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stimular.sharepoint.com/Gedeelde documenten/Projecten Stimular/Lopende projecten/813 EVZ-2/4 (eind)producten/Routekaart CO2 Reductie/5. Tool/Versie 2.0 (huidig)/tutorial en demo om te delen/"/>
    </mc:Choice>
  </mc:AlternateContent>
  <xr:revisionPtr revIDLastSave="3" documentId="8_{EF61A1A1-67AF-401F-81DE-7D0B580B43E9}" xr6:coauthVersionLast="47" xr6:coauthVersionMax="47" xr10:uidLastSave="{F59845CB-8825-4096-9DD0-E9C12F81AAB4}"/>
  <bookViews>
    <workbookView xWindow="-120" yWindow="-120" windowWidth="24240" windowHeight="13020" tabRatio="849" activeTab="3" xr2:uid="{00000000-000D-0000-FFFF-FFFF00000000}"/>
  </bookViews>
  <sheets>
    <sheet name="START" sheetId="15" r:id="rId1"/>
    <sheet name="Uitleg" sheetId="27" r:id="rId2"/>
    <sheet name="Bron" sheetId="80" r:id="rId3"/>
    <sheet name="Dashboard" sheetId="61" r:id="rId4"/>
    <sheet name="Blanco" sheetId="178" state="hidden" r:id="rId5"/>
    <sheet name="Cijfers" sheetId="64" r:id="rId6"/>
    <sheet name="Nieuwbouw" sheetId="56" r:id="rId7"/>
    <sheet name="Locatie1" sheetId="180" r:id="rId8"/>
    <sheet name="Locatie2" sheetId="179" r:id="rId9"/>
    <sheet name="Locatie3" sheetId="181" r:id="rId10"/>
    <sheet name="cluster eigendom" sheetId="182" r:id="rId11"/>
    <sheet name="cluster huur" sheetId="183" r:id="rId12"/>
  </sheets>
  <definedNames>
    <definedName name="_xlnm._FilterDatabase" localSheetId="4" hidden="1">Blanco!$B$43:$GZ$215</definedName>
    <definedName name="_xlnm._FilterDatabase" localSheetId="10" hidden="1">'cluster eigendom'!$B$43:$GZ$215</definedName>
    <definedName name="_xlnm._FilterDatabase" localSheetId="11" hidden="1">'cluster huur'!$B$43:$GZ$215</definedName>
    <definedName name="_xlnm._FilterDatabase" localSheetId="7" hidden="1">Locatie1!$B$43:$GZ$215</definedName>
    <definedName name="_xlnm._FilterDatabase" localSheetId="8" hidden="1">Locatie2!$B$43:$GZ$215</definedName>
    <definedName name="_xlnm._FilterDatabase" localSheetId="9" hidden="1">Locatie3!$B$43:$GZ$215</definedName>
    <definedName name="aardgasinkoop_2018" localSheetId="4">Blanco!$U$232</definedName>
    <definedName name="aardgasinkoop_2018" localSheetId="10">'cluster eigendom'!$U$232</definedName>
    <definedName name="aardgasinkoop_2018" localSheetId="11">'cluster huur'!$U$232</definedName>
    <definedName name="aardgasinkoop_2018" localSheetId="7">Locatie1!$U$232</definedName>
    <definedName name="aardgasinkoop_2018" localSheetId="8">Locatie2!$U$232</definedName>
    <definedName name="aardgasinkoop_2018" localSheetId="9">Locatie3!$U$232</definedName>
    <definedName name="aardgasinkoop_2019" localSheetId="4">Blanco!$V$232</definedName>
    <definedName name="aardgasinkoop_2019" localSheetId="10">'cluster eigendom'!$V$232</definedName>
    <definedName name="aardgasinkoop_2019" localSheetId="11">'cluster huur'!$V$232</definedName>
    <definedName name="aardgasinkoop_2019" localSheetId="7">Locatie1!$V$232</definedName>
    <definedName name="aardgasinkoop_2019" localSheetId="8">Locatie2!$V$232</definedName>
    <definedName name="aardgasinkoop_2019" localSheetId="9">Locatie3!$V$232</definedName>
    <definedName name="aardgasinkoop_2020" localSheetId="4">Blanco!$AB$232</definedName>
    <definedName name="aardgasinkoop_2020" localSheetId="10">'cluster eigendom'!$AB$232</definedName>
    <definedName name="aardgasinkoop_2020" localSheetId="11">'cluster huur'!$AB$232</definedName>
    <definedName name="aardgasinkoop_2020" localSheetId="7">Locatie1!$AB$232</definedName>
    <definedName name="aardgasinkoop_2020" localSheetId="8">Locatie2!$AB$232</definedName>
    <definedName name="aardgasinkoop_2020" localSheetId="9">Locatie3!$AB$232</definedName>
    <definedName name="aardgasinkoop_2021" localSheetId="4">Blanco!$AH$232</definedName>
    <definedName name="aardgasinkoop_2021" localSheetId="10">'cluster eigendom'!$AH$232</definedName>
    <definedName name="aardgasinkoop_2021" localSheetId="11">'cluster huur'!$AH$232</definedName>
    <definedName name="aardgasinkoop_2021" localSheetId="7">Locatie1!$AH$232</definedName>
    <definedName name="aardgasinkoop_2021" localSheetId="8">Locatie2!$AH$232</definedName>
    <definedName name="aardgasinkoop_2021" localSheetId="9">Locatie3!$AH$232</definedName>
    <definedName name="aardgasinkoop_2022" localSheetId="4">Blanco!$AN$232</definedName>
    <definedName name="aardgasinkoop_2022" localSheetId="10">'cluster eigendom'!$AN$232</definedName>
    <definedName name="aardgasinkoop_2022" localSheetId="11">'cluster huur'!$AN$232</definedName>
    <definedName name="aardgasinkoop_2022" localSheetId="7">Locatie1!$AN$232</definedName>
    <definedName name="aardgasinkoop_2022" localSheetId="8">Locatie2!$AN$232</definedName>
    <definedName name="aardgasinkoop_2022" localSheetId="9">Locatie3!$AN$232</definedName>
    <definedName name="aardgasinkoop_2023" localSheetId="4">Blanco!$AT$232</definedName>
    <definedName name="aardgasinkoop_2023" localSheetId="10">'cluster eigendom'!$AT$232</definedName>
    <definedName name="aardgasinkoop_2023" localSheetId="11">'cluster huur'!$AT$232</definedName>
    <definedName name="aardgasinkoop_2023" localSheetId="7">Locatie1!$AT$232</definedName>
    <definedName name="aardgasinkoop_2023" localSheetId="8">Locatie2!$AT$232</definedName>
    <definedName name="aardgasinkoop_2023" localSheetId="9">Locatie3!$AT$232</definedName>
    <definedName name="aardgasinkoop_2024" localSheetId="4">Blanco!$AZ$232</definedName>
    <definedName name="aardgasinkoop_2024" localSheetId="10">'cluster eigendom'!$AZ$232</definedName>
    <definedName name="aardgasinkoop_2024" localSheetId="11">'cluster huur'!$AZ$232</definedName>
    <definedName name="aardgasinkoop_2024" localSheetId="7">Locatie1!$AZ$232</definedName>
    <definedName name="aardgasinkoop_2024" localSheetId="8">Locatie2!$AZ$232</definedName>
    <definedName name="aardgasinkoop_2024" localSheetId="9">Locatie3!$AZ$232</definedName>
    <definedName name="aardgasinkoop_2025" localSheetId="4">Blanco!$BF$232</definedName>
    <definedName name="aardgasinkoop_2025" localSheetId="10">'cluster eigendom'!$BF$232</definedName>
    <definedName name="aardgasinkoop_2025" localSheetId="11">'cluster huur'!$BF$232</definedName>
    <definedName name="aardgasinkoop_2025" localSheetId="7">Locatie1!$BF$232</definedName>
    <definedName name="aardgasinkoop_2025" localSheetId="8">Locatie2!$BF$232</definedName>
    <definedName name="aardgasinkoop_2025" localSheetId="9">Locatie3!$BF$232</definedName>
    <definedName name="aardgasinkoop_2026" localSheetId="4">Blanco!$BL$232</definedName>
    <definedName name="aardgasinkoop_2026" localSheetId="10">'cluster eigendom'!$BL$232</definedName>
    <definedName name="aardgasinkoop_2026" localSheetId="11">'cluster huur'!$BL$232</definedName>
    <definedName name="aardgasinkoop_2026" localSheetId="7">Locatie1!$BL$232</definedName>
    <definedName name="aardgasinkoop_2026" localSheetId="8">Locatie2!$BL$232</definedName>
    <definedName name="aardgasinkoop_2026" localSheetId="9">Locatie3!$BL$232</definedName>
    <definedName name="aardgasinkoop_2027" localSheetId="4">Blanco!$BR$232</definedName>
    <definedName name="aardgasinkoop_2027" localSheetId="10">'cluster eigendom'!$BR$232</definedName>
    <definedName name="aardgasinkoop_2027" localSheetId="11">'cluster huur'!$BR$232</definedName>
    <definedName name="aardgasinkoop_2027" localSheetId="7">Locatie1!$BR$232</definedName>
    <definedName name="aardgasinkoop_2027" localSheetId="8">Locatie2!$BR$232</definedName>
    <definedName name="aardgasinkoop_2027" localSheetId="9">Locatie3!$BR$232</definedName>
    <definedName name="aardgasinkoop_2028" localSheetId="4">Blanco!$BX$232</definedName>
    <definedName name="aardgasinkoop_2028" localSheetId="10">'cluster eigendom'!$BX$232</definedName>
    <definedName name="aardgasinkoop_2028" localSheetId="11">'cluster huur'!$BX$232</definedName>
    <definedName name="aardgasinkoop_2028" localSheetId="7">Locatie1!$BX$232</definedName>
    <definedName name="aardgasinkoop_2028" localSheetId="8">Locatie2!$BX$232</definedName>
    <definedName name="aardgasinkoop_2028" localSheetId="9">Locatie3!$BX$232</definedName>
    <definedName name="aardgasinkoop_2029" localSheetId="4">Blanco!$CD$232</definedName>
    <definedName name="aardgasinkoop_2029" localSheetId="10">'cluster eigendom'!$CD$232</definedName>
    <definedName name="aardgasinkoop_2029" localSheetId="11">'cluster huur'!$CD$232</definedName>
    <definedName name="aardgasinkoop_2029" localSheetId="7">Locatie1!$CD$232</definedName>
    <definedName name="aardgasinkoop_2029" localSheetId="8">Locatie2!$CD$232</definedName>
    <definedName name="aardgasinkoop_2029" localSheetId="9">Locatie3!$CD$232</definedName>
    <definedName name="aardgasinkoop_2030" localSheetId="4">Blanco!$CJ$232</definedName>
    <definedName name="aardgasinkoop_2030" localSheetId="10">'cluster eigendom'!$CJ$232</definedName>
    <definedName name="aardgasinkoop_2030" localSheetId="11">'cluster huur'!$CJ$232</definedName>
    <definedName name="aardgasinkoop_2030" localSheetId="7">Locatie1!$CJ$232</definedName>
    <definedName name="aardgasinkoop_2030" localSheetId="8">Locatie2!$CJ$232</definedName>
    <definedName name="aardgasinkoop_2030" localSheetId="9">Locatie3!$CJ$232</definedName>
    <definedName name="aardgasinkoop_2031" localSheetId="4">Blanco!$CP$232</definedName>
    <definedName name="aardgasinkoop_2031" localSheetId="10">'cluster eigendom'!$CP$232</definedName>
    <definedName name="aardgasinkoop_2031" localSheetId="11">'cluster huur'!$CP$232</definedName>
    <definedName name="aardgasinkoop_2031" localSheetId="7">Locatie1!$CP$232</definedName>
    <definedName name="aardgasinkoop_2031" localSheetId="8">Locatie2!$CP$232</definedName>
    <definedName name="aardgasinkoop_2031" localSheetId="9">Locatie3!$CP$232</definedName>
    <definedName name="aardgasinkoop_2032" localSheetId="4">Blanco!$CV$232</definedName>
    <definedName name="aardgasinkoop_2032" localSheetId="10">'cluster eigendom'!$CV$232</definedName>
    <definedName name="aardgasinkoop_2032" localSheetId="11">'cluster huur'!$CV$232</definedName>
    <definedName name="aardgasinkoop_2032" localSheetId="7">Locatie1!$CV$232</definedName>
    <definedName name="aardgasinkoop_2032" localSheetId="8">Locatie2!$CV$232</definedName>
    <definedName name="aardgasinkoop_2032" localSheetId="9">Locatie3!$CV$232</definedName>
    <definedName name="aardgasinkoop_2033" localSheetId="4">Blanco!$DB$232</definedName>
    <definedName name="aardgasinkoop_2033" localSheetId="10">'cluster eigendom'!$DB$232</definedName>
    <definedName name="aardgasinkoop_2033" localSheetId="11">'cluster huur'!$DB$232</definedName>
    <definedName name="aardgasinkoop_2033" localSheetId="7">Locatie1!$DB$232</definedName>
    <definedName name="aardgasinkoop_2033" localSheetId="8">Locatie2!$DB$232</definedName>
    <definedName name="aardgasinkoop_2033" localSheetId="9">Locatie3!$DB$232</definedName>
    <definedName name="aardgasinkoop_2034" localSheetId="4">Blanco!$DH$232</definedName>
    <definedName name="aardgasinkoop_2034" localSheetId="10">'cluster eigendom'!$DH$232</definedName>
    <definedName name="aardgasinkoop_2034" localSheetId="11">'cluster huur'!$DH$232</definedName>
    <definedName name="aardgasinkoop_2034" localSheetId="7">Locatie1!$DH$232</definedName>
    <definedName name="aardgasinkoop_2034" localSheetId="8">Locatie2!$DH$232</definedName>
    <definedName name="aardgasinkoop_2034" localSheetId="9">Locatie3!$DH$232</definedName>
    <definedName name="aardgasinkoop_2035" localSheetId="4">Blanco!$DN$232</definedName>
    <definedName name="aardgasinkoop_2035" localSheetId="10">'cluster eigendom'!$DN$232</definedName>
    <definedName name="aardgasinkoop_2035" localSheetId="11">'cluster huur'!$DN$232</definedName>
    <definedName name="aardgasinkoop_2035" localSheetId="7">Locatie1!$DN$232</definedName>
    <definedName name="aardgasinkoop_2035" localSheetId="8">Locatie2!$DN$232</definedName>
    <definedName name="aardgasinkoop_2035" localSheetId="9">Locatie3!$DN$232</definedName>
    <definedName name="aardgasinkoop_2036" localSheetId="4">Blanco!$DT$232</definedName>
    <definedName name="aardgasinkoop_2036" localSheetId="10">'cluster eigendom'!$DT$232</definedName>
    <definedName name="aardgasinkoop_2036" localSheetId="11">'cluster huur'!$DT$232</definedName>
    <definedName name="aardgasinkoop_2036" localSheetId="7">Locatie1!$DT$232</definedName>
    <definedName name="aardgasinkoop_2036" localSheetId="8">Locatie2!$DT$232</definedName>
    <definedName name="aardgasinkoop_2036" localSheetId="9">Locatie3!$DT$232</definedName>
    <definedName name="aardgasinkoop_2037" localSheetId="4">Blanco!$DZ$232</definedName>
    <definedName name="aardgasinkoop_2037" localSheetId="10">'cluster eigendom'!$DZ$232</definedName>
    <definedName name="aardgasinkoop_2037" localSheetId="11">'cluster huur'!$DZ$232</definedName>
    <definedName name="aardgasinkoop_2037" localSheetId="7">Locatie1!$DZ$232</definedName>
    <definedName name="aardgasinkoop_2037" localSheetId="8">Locatie2!$DZ$232</definedName>
    <definedName name="aardgasinkoop_2037" localSheetId="9">Locatie3!$DZ$232</definedName>
    <definedName name="aardgasinkoop_2038" localSheetId="4">Blanco!$EF$232</definedName>
    <definedName name="aardgasinkoop_2038" localSheetId="10">'cluster eigendom'!$EF$232</definedName>
    <definedName name="aardgasinkoop_2038" localSheetId="11">'cluster huur'!$EF$232</definedName>
    <definedName name="aardgasinkoop_2038" localSheetId="7">Locatie1!$EF$232</definedName>
    <definedName name="aardgasinkoop_2038" localSheetId="8">Locatie2!$EF$232</definedName>
    <definedName name="aardgasinkoop_2038" localSheetId="9">Locatie3!$EF$232</definedName>
    <definedName name="aardgasinkoop_2039" localSheetId="4">Blanco!$EL$232</definedName>
    <definedName name="aardgasinkoop_2039" localSheetId="10">'cluster eigendom'!$EL$232</definedName>
    <definedName name="aardgasinkoop_2039" localSheetId="11">'cluster huur'!$EL$232</definedName>
    <definedName name="aardgasinkoop_2039" localSheetId="7">Locatie1!$EL$232</definedName>
    <definedName name="aardgasinkoop_2039" localSheetId="8">Locatie2!$EL$232</definedName>
    <definedName name="aardgasinkoop_2039" localSheetId="9">Locatie3!$EL$232</definedName>
    <definedName name="aardgasinkoop_2040" localSheetId="4">Blanco!$ER$232</definedName>
    <definedName name="aardgasinkoop_2040" localSheetId="10">'cluster eigendom'!$ER$232</definedName>
    <definedName name="aardgasinkoop_2040" localSheetId="11">'cluster huur'!$ER$232</definedName>
    <definedName name="aardgasinkoop_2040" localSheetId="7">Locatie1!$ER$232</definedName>
    <definedName name="aardgasinkoop_2040" localSheetId="8">Locatie2!$ER$232</definedName>
    <definedName name="aardgasinkoop_2040" localSheetId="9">Locatie3!$ER$232</definedName>
    <definedName name="aardgasinkoop_2041" localSheetId="4">Blanco!$EX$232</definedName>
    <definedName name="aardgasinkoop_2041" localSheetId="10">'cluster eigendom'!$EX$232</definedName>
    <definedName name="aardgasinkoop_2041" localSheetId="11">'cluster huur'!$EX$232</definedName>
    <definedName name="aardgasinkoop_2041" localSheetId="7">Locatie1!$EX$232</definedName>
    <definedName name="aardgasinkoop_2041" localSheetId="8">Locatie2!$EX$232</definedName>
    <definedName name="aardgasinkoop_2041" localSheetId="9">Locatie3!$EX$232</definedName>
    <definedName name="aardgasinkoop_2042" localSheetId="4">Blanco!$FD$232</definedName>
    <definedName name="aardgasinkoop_2042" localSheetId="10">'cluster eigendom'!$FD$232</definedName>
    <definedName name="aardgasinkoop_2042" localSheetId="11">'cluster huur'!$FD$232</definedName>
    <definedName name="aardgasinkoop_2042" localSheetId="7">Locatie1!$FD$232</definedName>
    <definedName name="aardgasinkoop_2042" localSheetId="8">Locatie2!$FD$232</definedName>
    <definedName name="aardgasinkoop_2042" localSheetId="9">Locatie3!$FD$232</definedName>
    <definedName name="aardgasinkoop_2043" localSheetId="4">Blanco!$FJ$232</definedName>
    <definedName name="aardgasinkoop_2043" localSheetId="10">'cluster eigendom'!$FJ$232</definedName>
    <definedName name="aardgasinkoop_2043" localSheetId="11">'cluster huur'!$FJ$232</definedName>
    <definedName name="aardgasinkoop_2043" localSheetId="7">Locatie1!$FJ$232</definedName>
    <definedName name="aardgasinkoop_2043" localSheetId="8">Locatie2!$FJ$232</definedName>
    <definedName name="aardgasinkoop_2043" localSheetId="9">Locatie3!$FJ$232</definedName>
    <definedName name="aardgasinkoop_2044" localSheetId="4">Blanco!$FP$232</definedName>
    <definedName name="aardgasinkoop_2044" localSheetId="10">'cluster eigendom'!$FP$232</definedName>
    <definedName name="aardgasinkoop_2044" localSheetId="11">'cluster huur'!$FP$232</definedName>
    <definedName name="aardgasinkoop_2044" localSheetId="7">Locatie1!$FP$232</definedName>
    <definedName name="aardgasinkoop_2044" localSheetId="8">Locatie2!$FP$232</definedName>
    <definedName name="aardgasinkoop_2044" localSheetId="9">Locatie3!$FP$232</definedName>
    <definedName name="aardgasinkoop_2045" localSheetId="4">Blanco!$FV$232</definedName>
    <definedName name="aardgasinkoop_2045" localSheetId="10">'cluster eigendom'!$FV$232</definedName>
    <definedName name="aardgasinkoop_2045" localSheetId="11">'cluster huur'!$FV$232</definedName>
    <definedName name="aardgasinkoop_2045" localSheetId="7">Locatie1!$FV$232</definedName>
    <definedName name="aardgasinkoop_2045" localSheetId="8">Locatie2!$FV$232</definedName>
    <definedName name="aardgasinkoop_2045" localSheetId="9">Locatie3!$FV$232</definedName>
    <definedName name="aardgasinkoop_2046" localSheetId="4">Blanco!$GB$232</definedName>
    <definedName name="aardgasinkoop_2046" localSheetId="10">'cluster eigendom'!$GB$232</definedName>
    <definedName name="aardgasinkoop_2046" localSheetId="11">'cluster huur'!$GB$232</definedName>
    <definedName name="aardgasinkoop_2046" localSheetId="7">Locatie1!$GB$232</definedName>
    <definedName name="aardgasinkoop_2046" localSheetId="8">Locatie2!$GB$232</definedName>
    <definedName name="aardgasinkoop_2046" localSheetId="9">Locatie3!$GB$232</definedName>
    <definedName name="aardgasinkoop_2047" localSheetId="4">Blanco!$GH$232</definedName>
    <definedName name="aardgasinkoop_2047" localSheetId="10">'cluster eigendom'!$GH$232</definedName>
    <definedName name="aardgasinkoop_2047" localSheetId="11">'cluster huur'!$GH$232</definedName>
    <definedName name="aardgasinkoop_2047" localSheetId="7">Locatie1!$GH$232</definedName>
    <definedName name="aardgasinkoop_2047" localSheetId="8">Locatie2!$GH$232</definedName>
    <definedName name="aardgasinkoop_2047" localSheetId="9">Locatie3!$GH$232</definedName>
    <definedName name="aardgasinkoop_2048" localSheetId="4">Blanco!$GN$232</definedName>
    <definedName name="aardgasinkoop_2048" localSheetId="10">'cluster eigendom'!$GN$232</definedName>
    <definedName name="aardgasinkoop_2048" localSheetId="11">'cluster huur'!$GN$232</definedName>
    <definedName name="aardgasinkoop_2048" localSheetId="7">Locatie1!$GN$232</definedName>
    <definedName name="aardgasinkoop_2048" localSheetId="8">Locatie2!$GN$232</definedName>
    <definedName name="aardgasinkoop_2048" localSheetId="9">Locatie3!$GN$232</definedName>
    <definedName name="aardgasinkoop_2049" localSheetId="4">Blanco!$GT$232</definedName>
    <definedName name="aardgasinkoop_2049" localSheetId="10">'cluster eigendom'!$GT$232</definedName>
    <definedName name="aardgasinkoop_2049" localSheetId="11">'cluster huur'!$GT$232</definedName>
    <definedName name="aardgasinkoop_2049" localSheetId="7">Locatie1!$GT$232</definedName>
    <definedName name="aardgasinkoop_2049" localSheetId="8">Locatie2!$GT$232</definedName>
    <definedName name="aardgasinkoop_2049" localSheetId="9">Locatie3!$GT$232</definedName>
    <definedName name="aardgasinkoop_2050" localSheetId="4">Blanco!$GZ$232</definedName>
    <definedName name="aardgasinkoop_2050" localSheetId="10">'cluster eigendom'!$GZ$232</definedName>
    <definedName name="aardgasinkoop_2050" localSheetId="11">'cluster huur'!$GZ$232</definedName>
    <definedName name="aardgasinkoop_2050" localSheetId="7">Locatie1!$GZ$232</definedName>
    <definedName name="aardgasinkoop_2050" localSheetId="8">Locatie2!$GZ$232</definedName>
    <definedName name="aardgasinkoop_2050" localSheetId="9">Locatie3!$GZ$232</definedName>
    <definedName name="aardgasinkoopm2_2022" localSheetId="4">Blanco!$AN$233</definedName>
    <definedName name="aardgasinkoopm2_2022" localSheetId="10">'cluster eigendom'!$AN$233</definedName>
    <definedName name="aardgasinkoopm2_2022" localSheetId="11">'cluster huur'!$AN$233</definedName>
    <definedName name="aardgasinkoopm2_2022" localSheetId="7">Locatie1!$AN$233</definedName>
    <definedName name="aardgasinkoopm2_2022" localSheetId="8">Locatie2!$AN$233</definedName>
    <definedName name="aardgasinkoopm2_2022" localSheetId="9">Locatie3!$AN$233</definedName>
    <definedName name="Aardgasprijs">Dashboard!$R$29</definedName>
    <definedName name="aardgasverbruikm2_2018" localSheetId="4">Blanco!$U$233</definedName>
    <definedName name="aardgasverbruikm2_2018" localSheetId="10">'cluster eigendom'!$U$233</definedName>
    <definedName name="aardgasverbruikm2_2018" localSheetId="11">'cluster huur'!$U$233</definedName>
    <definedName name="aardgasverbruikm2_2018" localSheetId="7">Locatie1!$U$233</definedName>
    <definedName name="aardgasverbruikm2_2018" localSheetId="8">Locatie2!$U$233</definedName>
    <definedName name="aardgasverbruikm2_2018" localSheetId="9">Locatie3!$U$233</definedName>
    <definedName name="aardgasverbruikm2_2019" localSheetId="4">Blanco!$V$233</definedName>
    <definedName name="aardgasverbruikm2_2019" localSheetId="10">'cluster eigendom'!$V$233</definedName>
    <definedName name="aardgasverbruikm2_2019" localSheetId="11">'cluster huur'!$V$233</definedName>
    <definedName name="aardgasverbruikm2_2019" localSheetId="7">Locatie1!$V$233</definedName>
    <definedName name="aardgasverbruikm2_2019" localSheetId="8">Locatie2!$V$233</definedName>
    <definedName name="aardgasverbruikm2_2019" localSheetId="9">Locatie3!$V$233</definedName>
    <definedName name="aardgasverbruikm2_2020" localSheetId="4">Blanco!$AB$233</definedName>
    <definedName name="aardgasverbruikm2_2020" localSheetId="10">'cluster eigendom'!$AB$233</definedName>
    <definedName name="aardgasverbruikm2_2020" localSheetId="11">'cluster huur'!$AB$233</definedName>
    <definedName name="aardgasverbruikm2_2020" localSheetId="7">Locatie1!$AB$233</definedName>
    <definedName name="aardgasverbruikm2_2020" localSheetId="8">Locatie2!$AB$233</definedName>
    <definedName name="aardgasverbruikm2_2020" localSheetId="9">Locatie3!$AB$233</definedName>
    <definedName name="aardgasverbruikm2_2021" localSheetId="4">Blanco!$AH$233</definedName>
    <definedName name="aardgasverbruikm2_2021" localSheetId="10">'cluster eigendom'!$AH$233</definedName>
    <definedName name="aardgasverbruikm2_2021" localSheetId="11">'cluster huur'!$AH$233</definedName>
    <definedName name="aardgasverbruikm2_2021" localSheetId="7">Locatie1!$AH$233</definedName>
    <definedName name="aardgasverbruikm2_2021" localSheetId="8">Locatie2!$AH$233</definedName>
    <definedName name="aardgasverbruikm2_2021" localSheetId="9">Locatie3!$AH$233</definedName>
    <definedName name="aardgasverbruikm2_2022" localSheetId="4">Blanco!$AN$233</definedName>
    <definedName name="aardgasverbruikm2_2022" localSheetId="10">'cluster eigendom'!$AN$233</definedName>
    <definedName name="aardgasverbruikm2_2022" localSheetId="11">'cluster huur'!$AN$233</definedName>
    <definedName name="aardgasverbruikm2_2022" localSheetId="7">Locatie1!$AN$233</definedName>
    <definedName name="aardgasverbruikm2_2022" localSheetId="8">Locatie2!$AN$233</definedName>
    <definedName name="aardgasverbruikm2_2022" localSheetId="9">Locatie3!$AN$233</definedName>
    <definedName name="aardgasverbruikm2_2023" localSheetId="4">Blanco!$AT$233</definedName>
    <definedName name="aardgasverbruikm2_2023" localSheetId="10">'cluster eigendom'!$AT$233</definedName>
    <definedName name="aardgasverbruikm2_2023" localSheetId="11">'cluster huur'!$AT$233</definedName>
    <definedName name="aardgasverbruikm2_2023" localSheetId="7">Locatie1!$AT$233</definedName>
    <definedName name="aardgasverbruikm2_2023" localSheetId="8">Locatie2!$AT$233</definedName>
    <definedName name="aardgasverbruikm2_2023" localSheetId="9">Locatie3!$AT$233</definedName>
    <definedName name="aardgasverbruikm2_2024" localSheetId="4">Blanco!$AZ$233</definedName>
    <definedName name="aardgasverbruikm2_2024" localSheetId="10">'cluster eigendom'!$AZ$233</definedName>
    <definedName name="aardgasverbruikm2_2024" localSheetId="11">'cluster huur'!$AZ$233</definedName>
    <definedName name="aardgasverbruikm2_2024" localSheetId="7">Locatie1!$AZ$233</definedName>
    <definedName name="aardgasverbruikm2_2024" localSheetId="8">Locatie2!$AZ$233</definedName>
    <definedName name="aardgasverbruikm2_2024" localSheetId="9">Locatie3!$AZ$233</definedName>
    <definedName name="aardgasverbruikm2_2025" localSheetId="4">Blanco!$BF$233</definedName>
    <definedName name="aardgasverbruikm2_2025" localSheetId="10">'cluster eigendom'!$BF$233</definedName>
    <definedName name="aardgasverbruikm2_2025" localSheetId="11">'cluster huur'!$BF$233</definedName>
    <definedName name="aardgasverbruikm2_2025" localSheetId="7">Locatie1!$BF$233</definedName>
    <definedName name="aardgasverbruikm2_2025" localSheetId="8">Locatie2!$BF$233</definedName>
    <definedName name="aardgasverbruikm2_2025" localSheetId="9">Locatie3!$BF$233</definedName>
    <definedName name="aardgasverbruikm2_2026" localSheetId="4">Blanco!$BL$233</definedName>
    <definedName name="aardgasverbruikm2_2026" localSheetId="10">'cluster eigendom'!$BL$233</definedName>
    <definedName name="aardgasverbruikm2_2026" localSheetId="11">'cluster huur'!$BL$233</definedName>
    <definedName name="aardgasverbruikm2_2026" localSheetId="7">Locatie1!$BL$233</definedName>
    <definedName name="aardgasverbruikm2_2026" localSheetId="8">Locatie2!$BL$233</definedName>
    <definedName name="aardgasverbruikm2_2026" localSheetId="9">Locatie3!$BL$233</definedName>
    <definedName name="aardgasverbruikm2_2027" localSheetId="4">Blanco!$BR$233</definedName>
    <definedName name="aardgasverbruikm2_2027" localSheetId="10">'cluster eigendom'!$BR$233</definedName>
    <definedName name="aardgasverbruikm2_2027" localSheetId="11">'cluster huur'!$BR$233</definedName>
    <definedName name="aardgasverbruikm2_2027" localSheetId="7">Locatie1!$BR$233</definedName>
    <definedName name="aardgasverbruikm2_2027" localSheetId="8">Locatie2!$BR$233</definedName>
    <definedName name="aardgasverbruikm2_2027" localSheetId="9">Locatie3!$BR$233</definedName>
    <definedName name="aardgasverbruikm2_2028" localSheetId="4">Blanco!$BX$233</definedName>
    <definedName name="aardgasverbruikm2_2028" localSheetId="10">'cluster eigendom'!$BX$233</definedName>
    <definedName name="aardgasverbruikm2_2028" localSheetId="11">'cluster huur'!$BX$233</definedName>
    <definedName name="aardgasverbruikm2_2028" localSheetId="7">Locatie1!$BX$233</definedName>
    <definedName name="aardgasverbruikm2_2028" localSheetId="8">Locatie2!$BX$233</definedName>
    <definedName name="aardgasverbruikm2_2028" localSheetId="9">Locatie3!$BX$233</definedName>
    <definedName name="aardgasverbruikm2_2029" localSheetId="4">Blanco!$CD$233</definedName>
    <definedName name="aardgasverbruikm2_2029" localSheetId="10">'cluster eigendom'!$CD$233</definedName>
    <definedName name="aardgasverbruikm2_2029" localSheetId="11">'cluster huur'!$CD$233</definedName>
    <definedName name="aardgasverbruikm2_2029" localSheetId="7">Locatie1!$CD$233</definedName>
    <definedName name="aardgasverbruikm2_2029" localSheetId="8">Locatie2!$CD$233</definedName>
    <definedName name="aardgasverbruikm2_2029" localSheetId="9">Locatie3!$CD$233</definedName>
    <definedName name="aardgasverbruikm2_2030" localSheetId="4">Blanco!$CJ$233</definedName>
    <definedName name="aardgasverbruikm2_2030" localSheetId="10">'cluster eigendom'!$CJ$233</definedName>
    <definedName name="aardgasverbruikm2_2030" localSheetId="11">'cluster huur'!$CJ$233</definedName>
    <definedName name="aardgasverbruikm2_2030" localSheetId="7">Locatie1!$CJ$233</definedName>
    <definedName name="aardgasverbruikm2_2030" localSheetId="8">Locatie2!$CJ$233</definedName>
    <definedName name="aardgasverbruikm2_2030" localSheetId="9">Locatie3!$CJ$233</definedName>
    <definedName name="aardgasverbruikm2_2031" localSheetId="4">Blanco!$CP$233</definedName>
    <definedName name="aardgasverbruikm2_2031" localSheetId="10">'cluster eigendom'!$CP$233</definedName>
    <definedName name="aardgasverbruikm2_2031" localSheetId="11">'cluster huur'!$CP$233</definedName>
    <definedName name="aardgasverbruikm2_2031" localSheetId="7">Locatie1!$CP$233</definedName>
    <definedName name="aardgasverbruikm2_2031" localSheetId="8">Locatie2!$CP$233</definedName>
    <definedName name="aardgasverbruikm2_2031" localSheetId="9">Locatie3!$CP$233</definedName>
    <definedName name="aardgasverbruikm2_2032" localSheetId="4">Blanco!$CV$233</definedName>
    <definedName name="aardgasverbruikm2_2032" localSheetId="10">'cluster eigendom'!$CV$233</definedName>
    <definedName name="aardgasverbruikm2_2032" localSheetId="11">'cluster huur'!$CV$233</definedName>
    <definedName name="aardgasverbruikm2_2032" localSheetId="7">Locatie1!$CV$233</definedName>
    <definedName name="aardgasverbruikm2_2032" localSheetId="8">Locatie2!$CV$233</definedName>
    <definedName name="aardgasverbruikm2_2032" localSheetId="9">Locatie3!$CV$233</definedName>
    <definedName name="aardgasverbruikm2_2033" localSheetId="4">Blanco!$DB$233</definedName>
    <definedName name="aardgasverbruikm2_2033" localSheetId="10">'cluster eigendom'!$DB$233</definedName>
    <definedName name="aardgasverbruikm2_2033" localSheetId="11">'cluster huur'!$DB$233</definedName>
    <definedName name="aardgasverbruikm2_2033" localSheetId="7">Locatie1!$DB$233</definedName>
    <definedName name="aardgasverbruikm2_2033" localSheetId="8">Locatie2!$DB$233</definedName>
    <definedName name="aardgasverbruikm2_2033" localSheetId="9">Locatie3!$DB$233</definedName>
    <definedName name="aardgasverbruikm2_2034" localSheetId="4">Blanco!$DH$233</definedName>
    <definedName name="aardgasverbruikm2_2034" localSheetId="10">'cluster eigendom'!$DH$233</definedName>
    <definedName name="aardgasverbruikm2_2034" localSheetId="11">'cluster huur'!$DH$233</definedName>
    <definedName name="aardgasverbruikm2_2034" localSheetId="7">Locatie1!$DH$233</definedName>
    <definedName name="aardgasverbruikm2_2034" localSheetId="8">Locatie2!$DH$233</definedName>
    <definedName name="aardgasverbruikm2_2034" localSheetId="9">Locatie3!$DH$233</definedName>
    <definedName name="aardgasverbruikm2_2035" localSheetId="4">Blanco!$DN$233</definedName>
    <definedName name="aardgasverbruikm2_2035" localSheetId="10">'cluster eigendom'!$DN$233</definedName>
    <definedName name="aardgasverbruikm2_2035" localSheetId="11">'cluster huur'!$DN$233</definedName>
    <definedName name="aardgasverbruikm2_2035" localSheetId="7">Locatie1!$DN$233</definedName>
    <definedName name="aardgasverbruikm2_2035" localSheetId="8">Locatie2!$DN$233</definedName>
    <definedName name="aardgasverbruikm2_2035" localSheetId="9">Locatie3!$DN$233</definedName>
    <definedName name="aardgasverbruikm2_2036" localSheetId="4">Blanco!$DT$233</definedName>
    <definedName name="aardgasverbruikm2_2036" localSheetId="10">'cluster eigendom'!$DT$233</definedName>
    <definedName name="aardgasverbruikm2_2036" localSheetId="11">'cluster huur'!$DT$233</definedName>
    <definedName name="aardgasverbruikm2_2036" localSheetId="7">Locatie1!$DT$233</definedName>
    <definedName name="aardgasverbruikm2_2036" localSheetId="8">Locatie2!$DT$233</definedName>
    <definedName name="aardgasverbruikm2_2036" localSheetId="9">Locatie3!$DT$233</definedName>
    <definedName name="aardgasverbruikm2_2037" localSheetId="4">Blanco!$DZ$233</definedName>
    <definedName name="aardgasverbruikm2_2037" localSheetId="10">'cluster eigendom'!$DZ$233</definedName>
    <definedName name="aardgasverbruikm2_2037" localSheetId="11">'cluster huur'!$DZ$233</definedName>
    <definedName name="aardgasverbruikm2_2037" localSheetId="7">Locatie1!$DZ$233</definedName>
    <definedName name="aardgasverbruikm2_2037" localSheetId="8">Locatie2!$DZ$233</definedName>
    <definedName name="aardgasverbruikm2_2037" localSheetId="9">Locatie3!$DZ$233</definedName>
    <definedName name="aardgasverbruikm2_2038" localSheetId="4">Blanco!$EF$233</definedName>
    <definedName name="aardgasverbruikm2_2038" localSheetId="10">'cluster eigendom'!$EF$233</definedName>
    <definedName name="aardgasverbruikm2_2038" localSheetId="11">'cluster huur'!$EF$233</definedName>
    <definedName name="aardgasverbruikm2_2038" localSheetId="7">Locatie1!$EF$233</definedName>
    <definedName name="aardgasverbruikm2_2038" localSheetId="8">Locatie2!$EF$233</definedName>
    <definedName name="aardgasverbruikm2_2038" localSheetId="9">Locatie3!$EF$233</definedName>
    <definedName name="aardgasverbruikm2_2039" localSheetId="4">Blanco!$EL$233</definedName>
    <definedName name="aardgasverbruikm2_2039" localSheetId="10">'cluster eigendom'!$EL$233</definedName>
    <definedName name="aardgasverbruikm2_2039" localSheetId="11">'cluster huur'!$EL$233</definedName>
    <definedName name="aardgasverbruikm2_2039" localSheetId="7">Locatie1!$EL$233</definedName>
    <definedName name="aardgasverbruikm2_2039" localSheetId="8">Locatie2!$EL$233</definedName>
    <definedName name="aardgasverbruikm2_2039" localSheetId="9">Locatie3!$EL$233</definedName>
    <definedName name="aardgasverbruikm2_2040" localSheetId="4">Blanco!$ER$233</definedName>
    <definedName name="aardgasverbruikm2_2040" localSheetId="10">'cluster eigendom'!$ER$233</definedName>
    <definedName name="aardgasverbruikm2_2040" localSheetId="11">'cluster huur'!$ER$233</definedName>
    <definedName name="aardgasverbruikm2_2040" localSheetId="7">Locatie1!$ER$233</definedName>
    <definedName name="aardgasverbruikm2_2040" localSheetId="8">Locatie2!$ER$233</definedName>
    <definedName name="aardgasverbruikm2_2040" localSheetId="9">Locatie3!$ER$233</definedName>
    <definedName name="aardgasverbruikm2_2041" localSheetId="4">Blanco!$EX$233</definedName>
    <definedName name="aardgasverbruikm2_2041" localSheetId="10">'cluster eigendom'!$EX$233</definedName>
    <definedName name="aardgasverbruikm2_2041" localSheetId="11">'cluster huur'!$EX$233</definedName>
    <definedName name="aardgasverbruikm2_2041" localSheetId="7">Locatie1!$EX$233</definedName>
    <definedName name="aardgasverbruikm2_2041" localSheetId="8">Locatie2!$EX$233</definedName>
    <definedName name="aardgasverbruikm2_2041" localSheetId="9">Locatie3!$EX$233</definedName>
    <definedName name="aardgasverbruikm2_2042" localSheetId="4">Blanco!$FD$233</definedName>
    <definedName name="aardgasverbruikm2_2042" localSheetId="10">'cluster eigendom'!$FD$233</definedName>
    <definedName name="aardgasverbruikm2_2042" localSheetId="11">'cluster huur'!$FD$233</definedName>
    <definedName name="aardgasverbruikm2_2042" localSheetId="7">Locatie1!$FD$233</definedName>
    <definedName name="aardgasverbruikm2_2042" localSheetId="8">Locatie2!$FD$233</definedName>
    <definedName name="aardgasverbruikm2_2042" localSheetId="9">Locatie3!$FD$233</definedName>
    <definedName name="aardgasverbruikm2_2043" localSheetId="4">Blanco!$FJ$233</definedName>
    <definedName name="aardgasverbruikm2_2043" localSheetId="10">'cluster eigendom'!$FJ$233</definedName>
    <definedName name="aardgasverbruikm2_2043" localSheetId="11">'cluster huur'!$FJ$233</definedName>
    <definedName name="aardgasverbruikm2_2043" localSheetId="7">Locatie1!$FJ$233</definedName>
    <definedName name="aardgasverbruikm2_2043" localSheetId="8">Locatie2!$FJ$233</definedName>
    <definedName name="aardgasverbruikm2_2043" localSheetId="9">Locatie3!$FJ$233</definedName>
    <definedName name="aardgasverbruikm2_2044" localSheetId="4">Blanco!$FP$233</definedName>
    <definedName name="aardgasverbruikm2_2044" localSheetId="10">'cluster eigendom'!$FP$233</definedName>
    <definedName name="aardgasverbruikm2_2044" localSheetId="11">'cluster huur'!$FP$233</definedName>
    <definedName name="aardgasverbruikm2_2044" localSheetId="7">Locatie1!$FP$233</definedName>
    <definedName name="aardgasverbruikm2_2044" localSheetId="8">Locatie2!$FP$233</definedName>
    <definedName name="aardgasverbruikm2_2044" localSheetId="9">Locatie3!$FP$233</definedName>
    <definedName name="aardgasverbruikm2_2045" localSheetId="4">Blanco!$FV$233</definedName>
    <definedName name="aardgasverbruikm2_2045" localSheetId="10">'cluster eigendom'!$FV$233</definedName>
    <definedName name="aardgasverbruikm2_2045" localSheetId="11">'cluster huur'!$FV$233</definedName>
    <definedName name="aardgasverbruikm2_2045" localSheetId="7">Locatie1!$FV$233</definedName>
    <definedName name="aardgasverbruikm2_2045" localSheetId="8">Locatie2!$FV$233</definedName>
    <definedName name="aardgasverbruikm2_2045" localSheetId="9">Locatie3!$FV$233</definedName>
    <definedName name="aardgasverbruikm2_2046" localSheetId="4">Blanco!$GB$233</definedName>
    <definedName name="aardgasverbruikm2_2046" localSheetId="10">'cluster eigendom'!$GB$233</definedName>
    <definedName name="aardgasverbruikm2_2046" localSheetId="11">'cluster huur'!$GB$233</definedName>
    <definedName name="aardgasverbruikm2_2046" localSheetId="7">Locatie1!$GB$233</definedName>
    <definedName name="aardgasverbruikm2_2046" localSheetId="8">Locatie2!$GB$233</definedName>
    <definedName name="aardgasverbruikm2_2046" localSheetId="9">Locatie3!$GB$233</definedName>
    <definedName name="aardgasverbruikm2_2047" localSheetId="4">Blanco!$GH$233</definedName>
    <definedName name="aardgasverbruikm2_2047" localSheetId="10">'cluster eigendom'!$GH$233</definedName>
    <definedName name="aardgasverbruikm2_2047" localSheetId="11">'cluster huur'!$GH$233</definedName>
    <definedName name="aardgasverbruikm2_2047" localSheetId="7">Locatie1!$GH$233</definedName>
    <definedName name="aardgasverbruikm2_2047" localSheetId="8">Locatie2!$GH$233</definedName>
    <definedName name="aardgasverbruikm2_2047" localSheetId="9">Locatie3!$GH$233</definedName>
    <definedName name="aardgasverbruikm2_2048" localSheetId="4">Blanco!$GN$233</definedName>
    <definedName name="aardgasverbruikm2_2048" localSheetId="10">'cluster eigendom'!$GN$233</definedName>
    <definedName name="aardgasverbruikm2_2048" localSheetId="11">'cluster huur'!$GN$233</definedName>
    <definedName name="aardgasverbruikm2_2048" localSheetId="7">Locatie1!$GN$233</definedName>
    <definedName name="aardgasverbruikm2_2048" localSheetId="8">Locatie2!$GN$233</definedName>
    <definedName name="aardgasverbruikm2_2048" localSheetId="9">Locatie3!$GN$233</definedName>
    <definedName name="aardgasverbruikm2_2049" localSheetId="4">Blanco!$GT$233</definedName>
    <definedName name="aardgasverbruikm2_2049" localSheetId="10">'cluster eigendom'!$GT$233</definedName>
    <definedName name="aardgasverbruikm2_2049" localSheetId="11">'cluster huur'!$GT$233</definedName>
    <definedName name="aardgasverbruikm2_2049" localSheetId="7">Locatie1!$GT$233</definedName>
    <definedName name="aardgasverbruikm2_2049" localSheetId="8">Locatie2!$GT$233</definedName>
    <definedName name="aardgasverbruikm2_2049" localSheetId="9">Locatie3!$GT$233</definedName>
    <definedName name="aardgasverbruikm2_2050" localSheetId="4">Blanco!$GZ$233</definedName>
    <definedName name="aardgasverbruikm2_2050" localSheetId="10">'cluster eigendom'!$GZ$233</definedName>
    <definedName name="aardgasverbruikm2_2050" localSheetId="11">'cluster huur'!$GZ$233</definedName>
    <definedName name="aardgasverbruikm2_2050" localSheetId="7">Locatie1!$GZ$233</definedName>
    <definedName name="aardgasverbruikm2_2050" localSheetId="8">Locatie2!$GZ$233</definedName>
    <definedName name="aardgasverbruikm2_2050" localSheetId="9">Locatie3!$GZ$233</definedName>
    <definedName name="bespar_2018" localSheetId="4">Blanco!$U$225</definedName>
    <definedName name="bespar_2018" localSheetId="10">'cluster eigendom'!$U$225</definedName>
    <definedName name="bespar_2018" localSheetId="11">'cluster huur'!$U$225</definedName>
    <definedName name="bespar_2018" localSheetId="7">Locatie1!$U$225</definedName>
    <definedName name="bespar_2018" localSheetId="8">Locatie2!$U$225</definedName>
    <definedName name="bespar_2018" localSheetId="9">Locatie3!$U$225</definedName>
    <definedName name="bespar_2019" localSheetId="4">Blanco!$V$225</definedName>
    <definedName name="bespar_2019" localSheetId="10">'cluster eigendom'!$V$225</definedName>
    <definedName name="bespar_2019" localSheetId="11">'cluster huur'!$V$225</definedName>
    <definedName name="bespar_2019" localSheetId="7">Locatie1!$V$225</definedName>
    <definedName name="bespar_2019" localSheetId="8">Locatie2!$V$225</definedName>
    <definedName name="bespar_2019" localSheetId="9">Locatie3!$V$225</definedName>
    <definedName name="bespar_2020" localSheetId="4">Blanco!$AB$225</definedName>
    <definedName name="bespar_2020" localSheetId="10">'cluster eigendom'!$AB$225</definedName>
    <definedName name="bespar_2020" localSheetId="11">'cluster huur'!$AB$225</definedName>
    <definedName name="bespar_2020" localSheetId="7">Locatie1!$AB$225</definedName>
    <definedName name="bespar_2020" localSheetId="8">Locatie2!$AB$225</definedName>
    <definedName name="bespar_2020" localSheetId="9">Locatie3!$AB$225</definedName>
    <definedName name="bespar_2021" localSheetId="4">Blanco!$AH$225</definedName>
    <definedName name="bespar_2021" localSheetId="10">'cluster eigendom'!$AH$225</definedName>
    <definedName name="bespar_2021" localSheetId="11">'cluster huur'!$AH$225</definedName>
    <definedName name="bespar_2021" localSheetId="7">Locatie1!$AH$225</definedName>
    <definedName name="bespar_2021" localSheetId="8">Locatie2!$AH$225</definedName>
    <definedName name="bespar_2021" localSheetId="9">Locatie3!$AH$225</definedName>
    <definedName name="bespar_2022" localSheetId="4">Blanco!$AN$225</definedName>
    <definedName name="bespar_2022" localSheetId="10">'cluster eigendom'!$AN$225</definedName>
    <definedName name="bespar_2022" localSheetId="11">'cluster huur'!$AN$225</definedName>
    <definedName name="bespar_2022" localSheetId="7">Locatie1!$AN$225</definedName>
    <definedName name="bespar_2022" localSheetId="8">Locatie2!$AN$225</definedName>
    <definedName name="bespar_2022" localSheetId="9">Locatie3!$AN$225</definedName>
    <definedName name="bespar_2023" localSheetId="4">Blanco!$AT$225</definedName>
    <definedName name="bespar_2023" localSheetId="10">'cluster eigendom'!$AT$225</definedName>
    <definedName name="bespar_2023" localSheetId="11">'cluster huur'!$AT$225</definedName>
    <definedName name="bespar_2023" localSheetId="7">Locatie1!$AT$225</definedName>
    <definedName name="bespar_2023" localSheetId="8">Locatie2!$AT$225</definedName>
    <definedName name="bespar_2023" localSheetId="9">Locatie3!$AT$225</definedName>
    <definedName name="bespar_2024" localSheetId="4">Blanco!$AZ$225</definedName>
    <definedName name="bespar_2024" localSheetId="10">'cluster eigendom'!$AZ$225</definedName>
    <definedName name="bespar_2024" localSheetId="11">'cluster huur'!$AZ$225</definedName>
    <definedName name="bespar_2024" localSheetId="7">Locatie1!$AZ$225</definedName>
    <definedName name="bespar_2024" localSheetId="8">Locatie2!$AZ$225</definedName>
    <definedName name="bespar_2024" localSheetId="9">Locatie3!$AZ$225</definedName>
    <definedName name="bespar_2025" localSheetId="4">Blanco!$BF$225</definedName>
    <definedName name="bespar_2025" localSheetId="10">'cluster eigendom'!$BF$225</definedName>
    <definedName name="bespar_2025" localSheetId="11">'cluster huur'!$BF$225</definedName>
    <definedName name="bespar_2025" localSheetId="7">Locatie1!$BF$225</definedName>
    <definedName name="bespar_2025" localSheetId="8">Locatie2!$BF$225</definedName>
    <definedName name="bespar_2025" localSheetId="9">Locatie3!$BF$225</definedName>
    <definedName name="bespar_2026" localSheetId="4">Blanco!$BL$225</definedName>
    <definedName name="bespar_2026" localSheetId="10">'cluster eigendom'!$BL$225</definedName>
    <definedName name="bespar_2026" localSheetId="11">'cluster huur'!$BL$225</definedName>
    <definedName name="bespar_2026" localSheetId="7">Locatie1!$BL$225</definedName>
    <definedName name="bespar_2026" localSheetId="8">Locatie2!$BL$225</definedName>
    <definedName name="bespar_2026" localSheetId="9">Locatie3!$BL$225</definedName>
    <definedName name="bespar_2027" localSheetId="4">Blanco!$BR$225</definedName>
    <definedName name="bespar_2027" localSheetId="10">'cluster eigendom'!$BR$225</definedName>
    <definedName name="bespar_2027" localSheetId="11">'cluster huur'!$BR$225</definedName>
    <definedName name="bespar_2027" localSheetId="7">Locatie1!$BR$225</definedName>
    <definedName name="bespar_2027" localSheetId="8">Locatie2!$BR$225</definedName>
    <definedName name="bespar_2027" localSheetId="9">Locatie3!$BR$225</definedName>
    <definedName name="bespar_2028" localSheetId="4">Blanco!$BX$225</definedName>
    <definedName name="bespar_2028" localSheetId="10">'cluster eigendom'!$BX$225</definedName>
    <definedName name="bespar_2028" localSheetId="11">'cluster huur'!$BX$225</definedName>
    <definedName name="bespar_2028" localSheetId="7">Locatie1!$BX$225</definedName>
    <definedName name="bespar_2028" localSheetId="8">Locatie2!$BX$225</definedName>
    <definedName name="bespar_2028" localSheetId="9">Locatie3!$BX$225</definedName>
    <definedName name="bespar_2029" localSheetId="4">Blanco!$CD$225</definedName>
    <definedName name="bespar_2029" localSheetId="10">'cluster eigendom'!$CD$225</definedName>
    <definedName name="bespar_2029" localSheetId="11">'cluster huur'!$CD$225</definedName>
    <definedName name="bespar_2029" localSheetId="7">Locatie1!$CD$225</definedName>
    <definedName name="bespar_2029" localSheetId="8">Locatie2!$CD$225</definedName>
    <definedName name="bespar_2029" localSheetId="9">Locatie3!$CD$225</definedName>
    <definedName name="bespar_2030" localSheetId="4">Blanco!$CJ$225</definedName>
    <definedName name="bespar_2030" localSheetId="10">'cluster eigendom'!$CJ$225</definedName>
    <definedName name="bespar_2030" localSheetId="11">'cluster huur'!$CJ$225</definedName>
    <definedName name="bespar_2030" localSheetId="7">Locatie1!$CJ$225</definedName>
    <definedName name="bespar_2030" localSheetId="8">Locatie2!$CJ$225</definedName>
    <definedName name="bespar_2030" localSheetId="9">Locatie3!$CJ$225</definedName>
    <definedName name="bespar_2031" localSheetId="4">Blanco!$CP$225</definedName>
    <definedName name="bespar_2031" localSheetId="10">'cluster eigendom'!$CP$225</definedName>
    <definedName name="bespar_2031" localSheetId="11">'cluster huur'!$CP$225</definedName>
    <definedName name="bespar_2031" localSheetId="7">Locatie1!$CP$225</definedName>
    <definedName name="bespar_2031" localSheetId="8">Locatie2!$CP$225</definedName>
    <definedName name="bespar_2031" localSheetId="9">Locatie3!$CP$225</definedName>
    <definedName name="bespar_2032" localSheetId="4">Blanco!$CV$225</definedName>
    <definedName name="bespar_2032" localSheetId="10">'cluster eigendom'!$CV$225</definedName>
    <definedName name="bespar_2032" localSheetId="11">'cluster huur'!$CV$225</definedName>
    <definedName name="bespar_2032" localSheetId="7">Locatie1!$CV$225</definedName>
    <definedName name="bespar_2032" localSheetId="8">Locatie2!$CV$225</definedName>
    <definedName name="bespar_2032" localSheetId="9">Locatie3!$CV$225</definedName>
    <definedName name="bespar_2033" localSheetId="4">Blanco!$DB$225</definedName>
    <definedName name="bespar_2033" localSheetId="10">'cluster eigendom'!$DB$225</definedName>
    <definedName name="bespar_2033" localSheetId="11">'cluster huur'!$DB$225</definedName>
    <definedName name="bespar_2033" localSheetId="7">Locatie1!$DB$225</definedName>
    <definedName name="bespar_2033" localSheetId="8">Locatie2!$DB$225</definedName>
    <definedName name="bespar_2033" localSheetId="9">Locatie3!$DB$225</definedName>
    <definedName name="bespar_2034" localSheetId="4">Blanco!$DH$225</definedName>
    <definedName name="bespar_2034" localSheetId="10">'cluster eigendom'!$DH$225</definedName>
    <definedName name="bespar_2034" localSheetId="11">'cluster huur'!$DH$225</definedName>
    <definedName name="bespar_2034" localSheetId="7">Locatie1!$DH$225</definedName>
    <definedName name="bespar_2034" localSheetId="8">Locatie2!$DH$225</definedName>
    <definedName name="bespar_2034" localSheetId="9">Locatie3!$DH$225</definedName>
    <definedName name="bespar_2035" localSheetId="4">Blanco!$DN$225</definedName>
    <definedName name="bespar_2035" localSheetId="10">'cluster eigendom'!$DN$225</definedName>
    <definedName name="bespar_2035" localSheetId="11">'cluster huur'!$DN$225</definedName>
    <definedName name="bespar_2035" localSheetId="7">Locatie1!$DN$225</definedName>
    <definedName name="bespar_2035" localSheetId="8">Locatie2!$DN$225</definedName>
    <definedName name="bespar_2035" localSheetId="9">Locatie3!$DN$225</definedName>
    <definedName name="bespar_2036" localSheetId="4">Blanco!$DT$225</definedName>
    <definedName name="bespar_2036" localSheetId="10">'cluster eigendom'!$DT$225</definedName>
    <definedName name="bespar_2036" localSheetId="11">'cluster huur'!$DT$225</definedName>
    <definedName name="bespar_2036" localSheetId="7">Locatie1!$DT$225</definedName>
    <definedName name="bespar_2036" localSheetId="8">Locatie2!$DT$225</definedName>
    <definedName name="bespar_2036" localSheetId="9">Locatie3!$DT$225</definedName>
    <definedName name="bespar_2037" localSheetId="4">Blanco!$DZ$225</definedName>
    <definedName name="bespar_2037" localSheetId="10">'cluster eigendom'!$DZ$225</definedName>
    <definedName name="bespar_2037" localSheetId="11">'cluster huur'!$DZ$225</definedName>
    <definedName name="bespar_2037" localSheetId="7">Locatie1!$DZ$225</definedName>
    <definedName name="bespar_2037" localSheetId="8">Locatie2!$DZ$225</definedName>
    <definedName name="bespar_2037" localSheetId="9">Locatie3!$DZ$225</definedName>
    <definedName name="bespar_2038" localSheetId="4">Blanco!$EF$225</definedName>
    <definedName name="bespar_2038" localSheetId="10">'cluster eigendom'!$EF$225</definedName>
    <definedName name="bespar_2038" localSheetId="11">'cluster huur'!$EF$225</definedName>
    <definedName name="bespar_2038" localSheetId="7">Locatie1!$EF$225</definedName>
    <definedName name="bespar_2038" localSheetId="8">Locatie2!$EF$225</definedName>
    <definedName name="bespar_2038" localSheetId="9">Locatie3!$EF$225</definedName>
    <definedName name="bespar_2039" localSheetId="4">Blanco!$EL$225</definedName>
    <definedName name="bespar_2039" localSheetId="10">'cluster eigendom'!$EL$225</definedName>
    <definedName name="bespar_2039" localSheetId="11">'cluster huur'!$EL$225</definedName>
    <definedName name="bespar_2039" localSheetId="7">Locatie1!$EL$225</definedName>
    <definedName name="bespar_2039" localSheetId="8">Locatie2!$EL$225</definedName>
    <definedName name="bespar_2039" localSheetId="9">Locatie3!$EL$225</definedName>
    <definedName name="bespar_2040" localSheetId="4">Blanco!$ER$225</definedName>
    <definedName name="bespar_2040" localSheetId="10">'cluster eigendom'!$ER$225</definedName>
    <definedName name="bespar_2040" localSheetId="11">'cluster huur'!$ER$225</definedName>
    <definedName name="bespar_2040" localSheetId="7">Locatie1!$ER$225</definedName>
    <definedName name="bespar_2040" localSheetId="8">Locatie2!$ER$225</definedName>
    <definedName name="bespar_2040" localSheetId="9">Locatie3!$ER$225</definedName>
    <definedName name="bespar_2041" localSheetId="4">Blanco!$EX$225</definedName>
    <definedName name="bespar_2041" localSheetId="10">'cluster eigendom'!$EX$225</definedName>
    <definedName name="bespar_2041" localSheetId="11">'cluster huur'!$EX$225</definedName>
    <definedName name="bespar_2041" localSheetId="7">Locatie1!$EX$225</definedName>
    <definedName name="bespar_2041" localSheetId="8">Locatie2!$EX$225</definedName>
    <definedName name="bespar_2041" localSheetId="9">Locatie3!$EX$225</definedName>
    <definedName name="bespar_2042" localSheetId="4">Blanco!$FD$225</definedName>
    <definedName name="bespar_2042" localSheetId="10">'cluster eigendom'!$FD$225</definedName>
    <definedName name="bespar_2042" localSheetId="11">'cluster huur'!$FD$225</definedName>
    <definedName name="bespar_2042" localSheetId="7">Locatie1!$FD$225</definedName>
    <definedName name="bespar_2042" localSheetId="8">Locatie2!$FD$225</definedName>
    <definedName name="bespar_2042" localSheetId="9">Locatie3!$FD$225</definedName>
    <definedName name="bespar_2043" localSheetId="4">Blanco!$FJ$225</definedName>
    <definedName name="bespar_2043" localSheetId="10">'cluster eigendom'!$FJ$225</definedName>
    <definedName name="bespar_2043" localSheetId="11">'cluster huur'!$FJ$225</definedName>
    <definedName name="bespar_2043" localSheetId="7">Locatie1!$FJ$225</definedName>
    <definedName name="bespar_2043" localSheetId="8">Locatie2!$FJ$225</definedName>
    <definedName name="bespar_2043" localSheetId="9">Locatie3!$FJ$225</definedName>
    <definedName name="bespar_2044" localSheetId="4">Blanco!$FP$225</definedName>
    <definedName name="bespar_2044" localSheetId="10">'cluster eigendom'!$FP$225</definedName>
    <definedName name="bespar_2044" localSheetId="11">'cluster huur'!$FP$225</definedName>
    <definedName name="bespar_2044" localSheetId="7">Locatie1!$FP$225</definedName>
    <definedName name="bespar_2044" localSheetId="8">Locatie2!$FP$225</definedName>
    <definedName name="bespar_2044" localSheetId="9">Locatie3!$FP$225</definedName>
    <definedName name="bespar_2045" localSheetId="4">Blanco!$FV$225</definedName>
    <definedName name="bespar_2045" localSheetId="10">'cluster eigendom'!$FV$225</definedName>
    <definedName name="bespar_2045" localSheetId="11">'cluster huur'!$FV$225</definedName>
    <definedName name="bespar_2045" localSheetId="7">Locatie1!$FV$225</definedName>
    <definedName name="bespar_2045" localSheetId="8">Locatie2!$FV$225</definedName>
    <definedName name="bespar_2045" localSheetId="9">Locatie3!$FV$225</definedName>
    <definedName name="bespar_2046" localSheetId="4">Blanco!$GB$225</definedName>
    <definedName name="bespar_2046" localSheetId="10">'cluster eigendom'!$GB$225</definedName>
    <definedName name="bespar_2046" localSheetId="11">'cluster huur'!$GB$225</definedName>
    <definedName name="bespar_2046" localSheetId="7">Locatie1!$GB$225</definedName>
    <definedName name="bespar_2046" localSheetId="8">Locatie2!$GB$225</definedName>
    <definedName name="bespar_2046" localSheetId="9">Locatie3!$GB$225</definedName>
    <definedName name="bespar_2047" localSheetId="4">Blanco!$GH$225</definedName>
    <definedName name="bespar_2047" localSheetId="10">'cluster eigendom'!$GH$225</definedName>
    <definedName name="bespar_2047" localSheetId="11">'cluster huur'!$GH$225</definedName>
    <definedName name="bespar_2047" localSheetId="7">Locatie1!$GH$225</definedName>
    <definedName name="bespar_2047" localSheetId="8">Locatie2!$GH$225</definedName>
    <definedName name="bespar_2047" localSheetId="9">Locatie3!$GH$225</definedName>
    <definedName name="bespar_2048" localSheetId="4">Blanco!$GN$225</definedName>
    <definedName name="bespar_2048" localSheetId="10">'cluster eigendom'!$GN$225</definedName>
    <definedName name="bespar_2048" localSheetId="11">'cluster huur'!$GN$225</definedName>
    <definedName name="bespar_2048" localSheetId="7">Locatie1!$GN$225</definedName>
    <definedName name="bespar_2048" localSheetId="8">Locatie2!$GN$225</definedName>
    <definedName name="bespar_2048" localSheetId="9">Locatie3!$GN$225</definedName>
    <definedName name="bespar_2049" localSheetId="4">Blanco!$GT$225</definedName>
    <definedName name="bespar_2049" localSheetId="10">'cluster eigendom'!$GT$225</definedName>
    <definedName name="bespar_2049" localSheetId="11">'cluster huur'!$GT$225</definedName>
    <definedName name="bespar_2049" localSheetId="7">Locatie1!$GT$225</definedName>
    <definedName name="bespar_2049" localSheetId="8">Locatie2!$GT$225</definedName>
    <definedName name="bespar_2049" localSheetId="9">Locatie3!$GT$225</definedName>
    <definedName name="bespar_2050" localSheetId="4">Blanco!$GZ$225</definedName>
    <definedName name="bespar_2050" localSheetId="10">'cluster eigendom'!$GZ$225</definedName>
    <definedName name="bespar_2050" localSheetId="11">'cluster huur'!$GZ$225</definedName>
    <definedName name="bespar_2050" localSheetId="7">Locatie1!$GZ$225</definedName>
    <definedName name="bespar_2050" localSheetId="8">Locatie2!$GZ$225</definedName>
    <definedName name="bespar_2050" localSheetId="9">Locatie3!$GZ$225</definedName>
    <definedName name="besparcum_2018" localSheetId="4">Blanco!$U$226</definedName>
    <definedName name="besparcum_2018" localSheetId="10">'cluster eigendom'!$U$226</definedName>
    <definedName name="besparcum_2018" localSheetId="11">'cluster huur'!$U$226</definedName>
    <definedName name="besparcum_2018" localSheetId="7">Locatie1!$U$226</definedName>
    <definedName name="besparcum_2018" localSheetId="8">Locatie2!$U$226</definedName>
    <definedName name="besparcum_2018" localSheetId="9">Locatie3!$U$226</definedName>
    <definedName name="besparcum_2019" localSheetId="4">Blanco!$V$226</definedName>
    <definedName name="besparcum_2019" localSheetId="10">'cluster eigendom'!$V$226</definedName>
    <definedName name="besparcum_2019" localSheetId="11">'cluster huur'!$V$226</definedName>
    <definedName name="besparcum_2019" localSheetId="7">Locatie1!$V$226</definedName>
    <definedName name="besparcum_2019" localSheetId="8">Locatie2!$V$226</definedName>
    <definedName name="besparcum_2019" localSheetId="9">Locatie3!$V$226</definedName>
    <definedName name="besparcum_2020" localSheetId="4">Blanco!$AB$226</definedName>
    <definedName name="besparcum_2020" localSheetId="10">'cluster eigendom'!$AB$226</definedName>
    <definedName name="besparcum_2020" localSheetId="11">'cluster huur'!$AB$226</definedName>
    <definedName name="besparcum_2020" localSheetId="7">Locatie1!$AB$226</definedName>
    <definedName name="besparcum_2020" localSheetId="8">Locatie2!$AB$226</definedName>
    <definedName name="besparcum_2020" localSheetId="9">Locatie3!$AB$226</definedName>
    <definedName name="besparcum_2021" localSheetId="4">Blanco!$AH$226</definedName>
    <definedName name="besparcum_2021" localSheetId="10">'cluster eigendom'!$AH$226</definedName>
    <definedName name="besparcum_2021" localSheetId="11">'cluster huur'!$AH$226</definedName>
    <definedName name="besparcum_2021" localSheetId="7">Locatie1!$AH$226</definedName>
    <definedName name="besparcum_2021" localSheetId="8">Locatie2!$AH$226</definedName>
    <definedName name="besparcum_2021" localSheetId="9">Locatie3!$AH$226</definedName>
    <definedName name="besparcum_2022" localSheetId="4">Blanco!$AN$226</definedName>
    <definedName name="besparcum_2022" localSheetId="10">'cluster eigendom'!$AN$226</definedName>
    <definedName name="besparcum_2022" localSheetId="11">'cluster huur'!$AN$226</definedName>
    <definedName name="besparcum_2022" localSheetId="7">Locatie1!$AN$226</definedName>
    <definedName name="besparcum_2022" localSheetId="8">Locatie2!$AN$226</definedName>
    <definedName name="besparcum_2022" localSheetId="9">Locatie3!$AN$226</definedName>
    <definedName name="besparcum_2023" localSheetId="4">Blanco!$AT$226</definedName>
    <definedName name="besparcum_2023" localSheetId="10">'cluster eigendom'!$AT$226</definedName>
    <definedName name="besparcum_2023" localSheetId="11">'cluster huur'!$AT$226</definedName>
    <definedName name="besparcum_2023" localSheetId="7">Locatie1!$AT$226</definedName>
    <definedName name="besparcum_2023" localSheetId="8">Locatie2!$AT$226</definedName>
    <definedName name="besparcum_2023" localSheetId="9">Locatie3!$AT$226</definedName>
    <definedName name="besparcum_2024" localSheetId="4">Blanco!$AZ$226</definedName>
    <definedName name="besparcum_2024" localSheetId="10">'cluster eigendom'!$AZ$226</definedName>
    <definedName name="besparcum_2024" localSheetId="11">'cluster huur'!$AZ$226</definedName>
    <definedName name="besparcum_2024" localSheetId="7">Locatie1!$AZ$226</definedName>
    <definedName name="besparcum_2024" localSheetId="8">Locatie2!$AZ$226</definedName>
    <definedName name="besparcum_2024" localSheetId="9">Locatie3!$AZ$226</definedName>
    <definedName name="besparcum_2025" localSheetId="4">Blanco!$BF$226</definedName>
    <definedName name="besparcum_2025" localSheetId="10">'cluster eigendom'!$BF$226</definedName>
    <definedName name="besparcum_2025" localSheetId="11">'cluster huur'!$BF$226</definedName>
    <definedName name="besparcum_2025" localSheetId="7">Locatie1!$BF$226</definedName>
    <definedName name="besparcum_2025" localSheetId="8">Locatie2!$BF$226</definedName>
    <definedName name="besparcum_2025" localSheetId="9">Locatie3!$BF$226</definedName>
    <definedName name="besparcum_2026" localSheetId="4">Blanco!$BL$226</definedName>
    <definedName name="besparcum_2026" localSheetId="10">'cluster eigendom'!$BL$226</definedName>
    <definedName name="besparcum_2026" localSheetId="11">'cluster huur'!$BL$226</definedName>
    <definedName name="besparcum_2026" localSheetId="7">Locatie1!$BL$226</definedName>
    <definedName name="besparcum_2026" localSheetId="8">Locatie2!$BL$226</definedName>
    <definedName name="besparcum_2026" localSheetId="9">Locatie3!$BL$226</definedName>
    <definedName name="besparcum_2027" localSheetId="4">Blanco!$BR$226</definedName>
    <definedName name="besparcum_2027" localSheetId="10">'cluster eigendom'!$BR$226</definedName>
    <definedName name="besparcum_2027" localSheetId="11">'cluster huur'!$BR$226</definedName>
    <definedName name="besparcum_2027" localSheetId="7">Locatie1!$BR$226</definedName>
    <definedName name="besparcum_2027" localSheetId="8">Locatie2!$BR$226</definedName>
    <definedName name="besparcum_2027" localSheetId="9">Locatie3!$BR$226</definedName>
    <definedName name="besparcum_2028" localSheetId="4">Blanco!$BX$226</definedName>
    <definedName name="besparcum_2028" localSheetId="10">'cluster eigendom'!$BX$226</definedName>
    <definedName name="besparcum_2028" localSheetId="11">'cluster huur'!$BX$226</definedName>
    <definedName name="besparcum_2028" localSheetId="7">Locatie1!$BX$226</definedName>
    <definedName name="besparcum_2028" localSheetId="8">Locatie2!$BX$226</definedName>
    <definedName name="besparcum_2028" localSheetId="9">Locatie3!$BX$226</definedName>
    <definedName name="besparcum_2029" localSheetId="4">Blanco!$CD$226</definedName>
    <definedName name="besparcum_2029" localSheetId="10">'cluster eigendom'!$CD$226</definedName>
    <definedName name="besparcum_2029" localSheetId="11">'cluster huur'!$CD$226</definedName>
    <definedName name="besparcum_2029" localSheetId="7">Locatie1!$CD$226</definedName>
    <definedName name="besparcum_2029" localSheetId="8">Locatie2!$CD$226</definedName>
    <definedName name="besparcum_2029" localSheetId="9">Locatie3!$CD$226</definedName>
    <definedName name="besparcum_2030" localSheetId="4">Blanco!$CJ$226</definedName>
    <definedName name="besparcum_2030" localSheetId="10">'cluster eigendom'!$CJ$226</definedName>
    <definedName name="besparcum_2030" localSheetId="11">'cluster huur'!$CJ$226</definedName>
    <definedName name="besparcum_2030" localSheetId="7">Locatie1!$CJ$226</definedName>
    <definedName name="besparcum_2030" localSheetId="8">Locatie2!$CJ$226</definedName>
    <definedName name="besparcum_2030" localSheetId="9">Locatie3!$CJ$226</definedName>
    <definedName name="besparcum_2031" localSheetId="4">Blanco!$CP$226</definedName>
    <definedName name="besparcum_2031" localSheetId="10">'cluster eigendom'!$CP$226</definedName>
    <definedName name="besparcum_2031" localSheetId="11">'cluster huur'!$CP$226</definedName>
    <definedName name="besparcum_2031" localSheetId="7">Locatie1!$CP$226</definedName>
    <definedName name="besparcum_2031" localSheetId="8">Locatie2!$CP$226</definedName>
    <definedName name="besparcum_2031" localSheetId="9">Locatie3!$CP$226</definedName>
    <definedName name="besparcum_2032" localSheetId="4">Blanco!$CV$226</definedName>
    <definedName name="besparcum_2032" localSheetId="10">'cluster eigendom'!$CV$226</definedName>
    <definedName name="besparcum_2032" localSheetId="11">'cluster huur'!$CV$226</definedName>
    <definedName name="besparcum_2032" localSheetId="7">Locatie1!$CV$226</definedName>
    <definedName name="besparcum_2032" localSheetId="8">Locatie2!$CV$226</definedName>
    <definedName name="besparcum_2032" localSheetId="9">Locatie3!$CV$226</definedName>
    <definedName name="besparcum_2033" localSheetId="4">Blanco!$DB$226</definedName>
    <definedName name="besparcum_2033" localSheetId="10">'cluster eigendom'!$DB$226</definedName>
    <definedName name="besparcum_2033" localSheetId="11">'cluster huur'!$DB$226</definedName>
    <definedName name="besparcum_2033" localSheetId="7">Locatie1!$DB$226</definedName>
    <definedName name="besparcum_2033" localSheetId="8">Locatie2!$DB$226</definedName>
    <definedName name="besparcum_2033" localSheetId="9">Locatie3!$DB$226</definedName>
    <definedName name="besparcum_2034" localSheetId="4">Blanco!$DH$226</definedName>
    <definedName name="besparcum_2034" localSheetId="10">'cluster eigendom'!$DH$226</definedName>
    <definedName name="besparcum_2034" localSheetId="11">'cluster huur'!$DH$226</definedName>
    <definedName name="besparcum_2034" localSheetId="7">Locatie1!$DH$226</definedName>
    <definedName name="besparcum_2034" localSheetId="8">Locatie2!$DH$226</definedName>
    <definedName name="besparcum_2034" localSheetId="9">Locatie3!$DH$226</definedName>
    <definedName name="besparcum_2035" localSheetId="4">Blanco!$DN$226</definedName>
    <definedName name="besparcum_2035" localSheetId="10">'cluster eigendom'!$DN$226</definedName>
    <definedName name="besparcum_2035" localSheetId="11">'cluster huur'!$DN$226</definedName>
    <definedName name="besparcum_2035" localSheetId="7">Locatie1!$DN$226</definedName>
    <definedName name="besparcum_2035" localSheetId="8">Locatie2!$DN$226</definedName>
    <definedName name="besparcum_2035" localSheetId="9">Locatie3!$DN$226</definedName>
    <definedName name="besparcum_2036" localSheetId="4">Blanco!$DT$226</definedName>
    <definedName name="besparcum_2036" localSheetId="10">'cluster eigendom'!$DT$226</definedName>
    <definedName name="besparcum_2036" localSheetId="11">'cluster huur'!$DT$226</definedName>
    <definedName name="besparcum_2036" localSheetId="7">Locatie1!$DT$226</definedName>
    <definedName name="besparcum_2036" localSheetId="8">Locatie2!$DT$226</definedName>
    <definedName name="besparcum_2036" localSheetId="9">Locatie3!$DT$226</definedName>
    <definedName name="besparcum_2037" localSheetId="4">Blanco!$DZ$226</definedName>
    <definedName name="besparcum_2037" localSheetId="10">'cluster eigendom'!$DZ$226</definedName>
    <definedName name="besparcum_2037" localSheetId="11">'cluster huur'!$DZ$226</definedName>
    <definedName name="besparcum_2037" localSheetId="7">Locatie1!$DZ$226</definedName>
    <definedName name="besparcum_2037" localSheetId="8">Locatie2!$DZ$226</definedName>
    <definedName name="besparcum_2037" localSheetId="9">Locatie3!$DZ$226</definedName>
    <definedName name="besparcum_2038" localSheetId="4">Blanco!$EF$226</definedName>
    <definedName name="besparcum_2038" localSheetId="10">'cluster eigendom'!$EF$226</definedName>
    <definedName name="besparcum_2038" localSheetId="11">'cluster huur'!$EF$226</definedName>
    <definedName name="besparcum_2038" localSheetId="7">Locatie1!$EF$226</definedName>
    <definedName name="besparcum_2038" localSheetId="8">Locatie2!$EF$226</definedName>
    <definedName name="besparcum_2038" localSheetId="9">Locatie3!$EF$226</definedName>
    <definedName name="besparcum_2039" localSheetId="4">Blanco!$EL$226</definedName>
    <definedName name="besparcum_2039" localSheetId="10">'cluster eigendom'!$EL$226</definedName>
    <definedName name="besparcum_2039" localSheetId="11">'cluster huur'!$EL$226</definedName>
    <definedName name="besparcum_2039" localSheetId="7">Locatie1!$EL$226</definedName>
    <definedName name="besparcum_2039" localSheetId="8">Locatie2!$EL$226</definedName>
    <definedName name="besparcum_2039" localSheetId="9">Locatie3!$EL$226</definedName>
    <definedName name="besparcum_2040" localSheetId="4">Blanco!$ER$226</definedName>
    <definedName name="besparcum_2040" localSheetId="10">'cluster eigendom'!$ER$226</definedName>
    <definedName name="besparcum_2040" localSheetId="11">'cluster huur'!$ER$226</definedName>
    <definedName name="besparcum_2040" localSheetId="7">Locatie1!$ER$226</definedName>
    <definedName name="besparcum_2040" localSheetId="8">Locatie2!$ER$226</definedName>
    <definedName name="besparcum_2040" localSheetId="9">Locatie3!$ER$226</definedName>
    <definedName name="besparcum_2041" localSheetId="4">Blanco!$EX$226</definedName>
    <definedName name="besparcum_2041" localSheetId="10">'cluster eigendom'!$EX$226</definedName>
    <definedName name="besparcum_2041" localSheetId="11">'cluster huur'!$EX$226</definedName>
    <definedName name="besparcum_2041" localSheetId="7">Locatie1!$EX$226</definedName>
    <definedName name="besparcum_2041" localSheetId="8">Locatie2!$EX$226</definedName>
    <definedName name="besparcum_2041" localSheetId="9">Locatie3!$EX$226</definedName>
    <definedName name="besparcum_2042" localSheetId="4">Blanco!$FD$226</definedName>
    <definedName name="besparcum_2042" localSheetId="10">'cluster eigendom'!$FD$226</definedName>
    <definedName name="besparcum_2042" localSheetId="11">'cluster huur'!$FD$226</definedName>
    <definedName name="besparcum_2042" localSheetId="7">Locatie1!$FD$226</definedName>
    <definedName name="besparcum_2042" localSheetId="8">Locatie2!$FD$226</definedName>
    <definedName name="besparcum_2042" localSheetId="9">Locatie3!$FD$226</definedName>
    <definedName name="besparcum_2043" localSheetId="4">Blanco!$FJ$226</definedName>
    <definedName name="besparcum_2043" localSheetId="10">'cluster eigendom'!$FJ$226</definedName>
    <definedName name="besparcum_2043" localSheetId="11">'cluster huur'!$FJ$226</definedName>
    <definedName name="besparcum_2043" localSheetId="7">Locatie1!$FJ$226</definedName>
    <definedName name="besparcum_2043" localSheetId="8">Locatie2!$FJ$226</definedName>
    <definedName name="besparcum_2043" localSheetId="9">Locatie3!$FJ$226</definedName>
    <definedName name="besparcum_2044" localSheetId="4">Blanco!$FP$226</definedName>
    <definedName name="besparcum_2044" localSheetId="10">'cluster eigendom'!$FP$226</definedName>
    <definedName name="besparcum_2044" localSheetId="11">'cluster huur'!$FP$226</definedName>
    <definedName name="besparcum_2044" localSheetId="7">Locatie1!$FP$226</definedName>
    <definedName name="besparcum_2044" localSheetId="8">Locatie2!$FP$226</definedName>
    <definedName name="besparcum_2044" localSheetId="9">Locatie3!$FP$226</definedName>
    <definedName name="besparcum_2045" localSheetId="4">Blanco!$FV$226</definedName>
    <definedName name="besparcum_2045" localSheetId="10">'cluster eigendom'!$FV$226</definedName>
    <definedName name="besparcum_2045" localSheetId="11">'cluster huur'!$FV$226</definedName>
    <definedName name="besparcum_2045" localSheetId="7">Locatie1!$FV$226</definedName>
    <definedName name="besparcum_2045" localSheetId="8">Locatie2!$FV$226</definedName>
    <definedName name="besparcum_2045" localSheetId="9">Locatie3!$FV$226</definedName>
    <definedName name="besparcum_2046" localSheetId="4">Blanco!$GB$226</definedName>
    <definedName name="besparcum_2046" localSheetId="10">'cluster eigendom'!$GB$226</definedName>
    <definedName name="besparcum_2046" localSheetId="11">'cluster huur'!$GB$226</definedName>
    <definedName name="besparcum_2046" localSheetId="7">Locatie1!$GB$226</definedName>
    <definedName name="besparcum_2046" localSheetId="8">Locatie2!$GB$226</definedName>
    <definedName name="besparcum_2046" localSheetId="9">Locatie3!$GB$226</definedName>
    <definedName name="besparcum_2047" localSheetId="4">Blanco!$GH$226</definedName>
    <definedName name="besparcum_2047" localSheetId="10">'cluster eigendom'!$GH$226</definedName>
    <definedName name="besparcum_2047" localSheetId="11">'cluster huur'!$GH$226</definedName>
    <definedName name="besparcum_2047" localSheetId="7">Locatie1!$GH$226</definedName>
    <definedName name="besparcum_2047" localSheetId="8">Locatie2!$GH$226</definedName>
    <definedName name="besparcum_2047" localSheetId="9">Locatie3!$GH$226</definedName>
    <definedName name="besparcum_2048" localSheetId="4">Blanco!$GN$226</definedName>
    <definedName name="besparcum_2048" localSheetId="10">'cluster eigendom'!$GN$226</definedName>
    <definedName name="besparcum_2048" localSheetId="11">'cluster huur'!$GN$226</definedName>
    <definedName name="besparcum_2048" localSheetId="7">Locatie1!$GN$226</definedName>
    <definedName name="besparcum_2048" localSheetId="8">Locatie2!$GN$226</definedName>
    <definedName name="besparcum_2048" localSheetId="9">Locatie3!$GN$226</definedName>
    <definedName name="besparcum_2049" localSheetId="4">Blanco!$GT$226</definedName>
    <definedName name="besparcum_2049" localSheetId="10">'cluster eigendom'!$GT$226</definedName>
    <definedName name="besparcum_2049" localSheetId="11">'cluster huur'!$GT$226</definedName>
    <definedName name="besparcum_2049" localSheetId="7">Locatie1!$GT$226</definedName>
    <definedName name="besparcum_2049" localSheetId="8">Locatie2!$GT$226</definedName>
    <definedName name="besparcum_2049" localSheetId="9">Locatie3!$GT$226</definedName>
    <definedName name="besparcum_2050" localSheetId="4">Blanco!$GZ$226</definedName>
    <definedName name="besparcum_2050" localSheetId="10">'cluster eigendom'!$GZ$226</definedName>
    <definedName name="besparcum_2050" localSheetId="11">'cluster huur'!$GZ$226</definedName>
    <definedName name="besparcum_2050" localSheetId="7">Locatie1!$GZ$226</definedName>
    <definedName name="besparcum_2050" localSheetId="8">Locatie2!$GZ$226</definedName>
    <definedName name="besparcum_2050" localSheetId="9">Locatie3!$GZ$226</definedName>
    <definedName name="BVO_2018" localSheetId="4">Blanco!$U$221</definedName>
    <definedName name="BVO_2018" localSheetId="10">'cluster eigendom'!$U$221</definedName>
    <definedName name="BVO_2018" localSheetId="11">'cluster huur'!$U$221</definedName>
    <definedName name="BVO_2018" localSheetId="7">Locatie1!$U$221</definedName>
    <definedName name="BVO_2018" localSheetId="8">Locatie2!$U$221</definedName>
    <definedName name="BVO_2018" localSheetId="9">Locatie3!$U$221</definedName>
    <definedName name="BVO_2019" localSheetId="4">Blanco!$V$221</definedName>
    <definedName name="BVO_2019" localSheetId="10">'cluster eigendom'!$V$221</definedName>
    <definedName name="BVO_2019" localSheetId="11">'cluster huur'!$V$221</definedName>
    <definedName name="BVO_2019" localSheetId="7">Locatie1!$V$221</definedName>
    <definedName name="BVO_2019" localSheetId="8">Locatie2!$V$221</definedName>
    <definedName name="BVO_2019" localSheetId="9">Locatie3!$V$221</definedName>
    <definedName name="BVO_2020" localSheetId="4">Blanco!$AB$221</definedName>
    <definedName name="BVO_2020" localSheetId="10">'cluster eigendom'!$AB$221</definedName>
    <definedName name="BVO_2020" localSheetId="11">'cluster huur'!$AB$221</definedName>
    <definedName name="BVO_2020" localSheetId="7">Locatie1!$AB$221</definedName>
    <definedName name="BVO_2020" localSheetId="8">Locatie2!$AB$221</definedName>
    <definedName name="BVO_2020" localSheetId="9">Locatie3!$AB$221</definedName>
    <definedName name="BVO_2021" localSheetId="4">Blanco!$AH$221</definedName>
    <definedName name="BVO_2021" localSheetId="10">'cluster eigendom'!$AH$221</definedName>
    <definedName name="BVO_2021" localSheetId="11">'cluster huur'!$AH$221</definedName>
    <definedName name="BVO_2021" localSheetId="7">Locatie1!$AH$221</definedName>
    <definedName name="BVO_2021" localSheetId="8">Locatie2!$AH$221</definedName>
    <definedName name="BVO_2021" localSheetId="9">Locatie3!$AH$221</definedName>
    <definedName name="BVO_2022" localSheetId="4">Blanco!$AN$221</definedName>
    <definedName name="BVO_2022" localSheetId="10">'cluster eigendom'!$AN$221</definedName>
    <definedName name="BVO_2022" localSheetId="11">'cluster huur'!$AN$221</definedName>
    <definedName name="BVO_2022" localSheetId="7">Locatie1!$AN$221</definedName>
    <definedName name="BVO_2022" localSheetId="8">Locatie2!$AN$221</definedName>
    <definedName name="BVO_2022" localSheetId="9">Locatie3!$AN$221</definedName>
    <definedName name="BVO_2023" localSheetId="4">Blanco!$AT$221</definedName>
    <definedName name="BVO_2023" localSheetId="10">'cluster eigendom'!$AT$221</definedName>
    <definedName name="BVO_2023" localSheetId="11">'cluster huur'!$AT$221</definedName>
    <definedName name="BVO_2023" localSheetId="7">Locatie1!$AT$221</definedName>
    <definedName name="BVO_2023" localSheetId="8">Locatie2!$AT$221</definedName>
    <definedName name="BVO_2023" localSheetId="9">Locatie3!$AT$221</definedName>
    <definedName name="BVO_2024" localSheetId="4">Blanco!$AZ$221</definedName>
    <definedName name="BVO_2024" localSheetId="10">'cluster eigendom'!$AZ$221</definedName>
    <definedName name="BVO_2024" localSheetId="11">'cluster huur'!$AZ$221</definedName>
    <definedName name="BVO_2024" localSheetId="7">Locatie1!$AZ$221</definedName>
    <definedName name="BVO_2024" localSheetId="8">Locatie2!$AZ$221</definedName>
    <definedName name="BVO_2024" localSheetId="9">Locatie3!$AZ$221</definedName>
    <definedName name="BVO_2025" localSheetId="4">Blanco!$BF$221</definedName>
    <definedName name="BVO_2025" localSheetId="10">'cluster eigendom'!$BF$221</definedName>
    <definedName name="BVO_2025" localSheetId="11">'cluster huur'!$BF$221</definedName>
    <definedName name="BVO_2025" localSheetId="7">Locatie1!$BF$221</definedName>
    <definedName name="BVO_2025" localSheetId="8">Locatie2!$BF$221</definedName>
    <definedName name="BVO_2025" localSheetId="9">Locatie3!$BF$221</definedName>
    <definedName name="BVO_2026" localSheetId="4">Blanco!$BL$221</definedName>
    <definedName name="BVO_2026" localSheetId="10">'cluster eigendom'!$BL$221</definedName>
    <definedName name="BVO_2026" localSheetId="11">'cluster huur'!$BL$221</definedName>
    <definedName name="BVO_2026" localSheetId="7">Locatie1!$BL$221</definedName>
    <definedName name="BVO_2026" localSheetId="8">Locatie2!$BL$221</definedName>
    <definedName name="BVO_2026" localSheetId="9">Locatie3!$BL$221</definedName>
    <definedName name="BVO_2027" localSheetId="4">Blanco!$BR$221</definedName>
    <definedName name="BVO_2027" localSheetId="10">'cluster eigendom'!$BR$221</definedName>
    <definedName name="BVO_2027" localSheetId="11">'cluster huur'!$BR$221</definedName>
    <definedName name="BVO_2027" localSheetId="7">Locatie1!$BR$221</definedName>
    <definedName name="BVO_2027" localSheetId="8">Locatie2!$BR$221</definedName>
    <definedName name="BVO_2027" localSheetId="9">Locatie3!$BR$221</definedName>
    <definedName name="BVO_2028" localSheetId="4">Blanco!$BX$221</definedName>
    <definedName name="BVO_2028" localSheetId="10">'cluster eigendom'!$BX$221</definedName>
    <definedName name="BVO_2028" localSheetId="11">'cluster huur'!$BX$221</definedName>
    <definedName name="BVO_2028" localSheetId="7">Locatie1!$BX$221</definedName>
    <definedName name="BVO_2028" localSheetId="8">Locatie2!$BX$221</definedName>
    <definedName name="BVO_2028" localSheetId="9">Locatie3!$BX$221</definedName>
    <definedName name="BVO_2029" localSheetId="4">Blanco!$CD$221</definedName>
    <definedName name="BVO_2029" localSheetId="10">'cluster eigendom'!$CD$221</definedName>
    <definedName name="BVO_2029" localSheetId="11">'cluster huur'!$CD$221</definedName>
    <definedName name="BVO_2029" localSheetId="7">Locatie1!$CD$221</definedName>
    <definedName name="BVO_2029" localSheetId="8">Locatie2!$CD$221</definedName>
    <definedName name="BVO_2029" localSheetId="9">Locatie3!$CD$221</definedName>
    <definedName name="BVO_2030" localSheetId="4">Blanco!$CJ$221</definedName>
    <definedName name="BVO_2030" localSheetId="10">'cluster eigendom'!$CJ$221</definedName>
    <definedName name="BVO_2030" localSheetId="11">'cluster huur'!$CJ$221</definedName>
    <definedName name="BVO_2030" localSheetId="7">Locatie1!$CJ$221</definedName>
    <definedName name="BVO_2030" localSheetId="8">Locatie2!$CJ$221</definedName>
    <definedName name="BVO_2030" localSheetId="9">Locatie3!$CJ$221</definedName>
    <definedName name="BVO_2031" localSheetId="4">Blanco!$CP$221</definedName>
    <definedName name="BVO_2031" localSheetId="10">'cluster eigendom'!$CP$221</definedName>
    <definedName name="BVO_2031" localSheetId="11">'cluster huur'!$CP$221</definedName>
    <definedName name="BVO_2031" localSheetId="7">Locatie1!$CP$221</definedName>
    <definedName name="BVO_2031" localSheetId="8">Locatie2!$CP$221</definedName>
    <definedName name="BVO_2031" localSheetId="9">Locatie3!$CP$221</definedName>
    <definedName name="BVO_2032" localSheetId="4">Blanco!$CV$221</definedName>
    <definedName name="BVO_2032" localSheetId="10">'cluster eigendom'!$CV$221</definedName>
    <definedName name="BVO_2032" localSheetId="11">'cluster huur'!$CV$221</definedName>
    <definedName name="BVO_2032" localSheetId="7">Locatie1!$CV$221</definedName>
    <definedName name="BVO_2032" localSheetId="8">Locatie2!$CV$221</definedName>
    <definedName name="BVO_2032" localSheetId="9">Locatie3!$CV$221</definedName>
    <definedName name="BVO_2033" localSheetId="4">Blanco!$DB$221</definedName>
    <definedName name="BVO_2033" localSheetId="10">'cluster eigendom'!$DB$221</definedName>
    <definedName name="BVO_2033" localSheetId="11">'cluster huur'!$DB$221</definedName>
    <definedName name="BVO_2033" localSheetId="7">Locatie1!$DB$221</definedName>
    <definedName name="BVO_2033" localSheetId="8">Locatie2!$DB$221</definedName>
    <definedName name="BVO_2033" localSheetId="9">Locatie3!$DB$221</definedName>
    <definedName name="BVO_2034" localSheetId="4">Blanco!$DH$221</definedName>
    <definedName name="BVO_2034" localSheetId="10">'cluster eigendom'!$DH$221</definedName>
    <definedName name="BVO_2034" localSheetId="11">'cluster huur'!$DH$221</definedName>
    <definedName name="BVO_2034" localSheetId="7">Locatie1!$DH$221</definedName>
    <definedName name="BVO_2034" localSheetId="8">Locatie2!$DH$221</definedName>
    <definedName name="BVO_2034" localSheetId="9">Locatie3!$DH$221</definedName>
    <definedName name="BVO_2035" localSheetId="4">Blanco!$DN$221</definedName>
    <definedName name="BVO_2035" localSheetId="10">'cluster eigendom'!$DN$221</definedName>
    <definedName name="BVO_2035" localSheetId="11">'cluster huur'!$DN$221</definedName>
    <definedName name="BVO_2035" localSheetId="7">Locatie1!$DN$221</definedName>
    <definedName name="BVO_2035" localSheetId="8">Locatie2!$DN$221</definedName>
    <definedName name="BVO_2035" localSheetId="9">Locatie3!$DN$221</definedName>
    <definedName name="BVO_2036" localSheetId="4">Blanco!$DT$221</definedName>
    <definedName name="BVO_2036" localSheetId="10">'cluster eigendom'!$DT$221</definedName>
    <definedName name="BVO_2036" localSheetId="11">'cluster huur'!$DT$221</definedName>
    <definedName name="BVO_2036" localSheetId="7">Locatie1!$DT$221</definedName>
    <definedName name="BVO_2036" localSheetId="8">Locatie2!$DT$221</definedName>
    <definedName name="BVO_2036" localSheetId="9">Locatie3!$DT$221</definedName>
    <definedName name="BVO_2037" localSheetId="4">Blanco!$DZ$221</definedName>
    <definedName name="BVO_2037" localSheetId="10">'cluster eigendom'!$DZ$221</definedName>
    <definedName name="BVO_2037" localSheetId="11">'cluster huur'!$DZ$221</definedName>
    <definedName name="BVO_2037" localSheetId="7">Locatie1!$DZ$221</definedName>
    <definedName name="BVO_2037" localSheetId="8">Locatie2!$DZ$221</definedName>
    <definedName name="BVO_2037" localSheetId="9">Locatie3!$DZ$221</definedName>
    <definedName name="BVO_2038" localSheetId="4">Blanco!$EF$221</definedName>
    <definedName name="BVO_2038" localSheetId="10">'cluster eigendom'!$EF$221</definedName>
    <definedName name="BVO_2038" localSheetId="11">'cluster huur'!$EF$221</definedName>
    <definedName name="BVO_2038" localSheetId="7">Locatie1!$EF$221</definedName>
    <definedName name="BVO_2038" localSheetId="8">Locatie2!$EF$221</definedName>
    <definedName name="BVO_2038" localSheetId="9">Locatie3!$EF$221</definedName>
    <definedName name="BVO_2039" localSheetId="4">Blanco!$EL$221</definedName>
    <definedName name="BVO_2039" localSheetId="10">'cluster eigendom'!$EL$221</definedName>
    <definedName name="BVO_2039" localSheetId="11">'cluster huur'!$EL$221</definedName>
    <definedName name="BVO_2039" localSheetId="7">Locatie1!$EL$221</definedName>
    <definedName name="BVO_2039" localSheetId="8">Locatie2!$EL$221</definedName>
    <definedName name="BVO_2039" localSheetId="9">Locatie3!$EL$221</definedName>
    <definedName name="BVO_2040" localSheetId="4">Blanco!$ER$221</definedName>
    <definedName name="BVO_2040" localSheetId="10">'cluster eigendom'!$ER$221</definedName>
    <definedName name="BVO_2040" localSheetId="11">'cluster huur'!$ER$221</definedName>
    <definedName name="BVO_2040" localSheetId="7">Locatie1!$ER$221</definedName>
    <definedName name="BVO_2040" localSheetId="8">Locatie2!$ER$221</definedName>
    <definedName name="BVO_2040" localSheetId="9">Locatie3!$ER$221</definedName>
    <definedName name="BVO_2041" localSheetId="4">Blanco!$EX$221</definedName>
    <definedName name="BVO_2041" localSheetId="10">'cluster eigendom'!$EX$221</definedName>
    <definedName name="BVO_2041" localSheetId="11">'cluster huur'!$EX$221</definedName>
    <definedName name="BVO_2041" localSheetId="7">Locatie1!$EX$221</definedName>
    <definedName name="BVO_2041" localSheetId="8">Locatie2!$EX$221</definedName>
    <definedName name="BVO_2041" localSheetId="9">Locatie3!$EX$221</definedName>
    <definedName name="BVO_2042" localSheetId="4">Blanco!$FD$221</definedName>
    <definedName name="BVO_2042" localSheetId="10">'cluster eigendom'!$FD$221</definedName>
    <definedName name="BVO_2042" localSheetId="11">'cluster huur'!$FD$221</definedName>
    <definedName name="BVO_2042" localSheetId="7">Locatie1!$FD$221</definedName>
    <definedName name="BVO_2042" localSheetId="8">Locatie2!$FD$221</definedName>
    <definedName name="BVO_2042" localSheetId="9">Locatie3!$FD$221</definedName>
    <definedName name="BVO_2043" localSheetId="4">Blanco!$FJ$221</definedName>
    <definedName name="BVO_2043" localSheetId="10">'cluster eigendom'!$FJ$221</definedName>
    <definedName name="BVO_2043" localSheetId="11">'cluster huur'!$FJ$221</definedName>
    <definedName name="BVO_2043" localSheetId="7">Locatie1!$FJ$221</definedName>
    <definedName name="BVO_2043" localSheetId="8">Locatie2!$FJ$221</definedName>
    <definedName name="BVO_2043" localSheetId="9">Locatie3!$FJ$221</definedName>
    <definedName name="BVO_2044" localSheetId="4">Blanco!$FP$221</definedName>
    <definedName name="BVO_2044" localSheetId="10">'cluster eigendom'!$FP$221</definedName>
    <definedName name="BVO_2044" localSheetId="11">'cluster huur'!$FP$221</definedName>
    <definedName name="BVO_2044" localSheetId="7">Locatie1!$FP$221</definedName>
    <definedName name="BVO_2044" localSheetId="8">Locatie2!$FP$221</definedName>
    <definedName name="BVO_2044" localSheetId="9">Locatie3!$FP$221</definedName>
    <definedName name="BVO_2045" localSheetId="4">Blanco!$FV$221</definedName>
    <definedName name="BVO_2045" localSheetId="10">'cluster eigendom'!$FV$221</definedName>
    <definedName name="BVO_2045" localSheetId="11">'cluster huur'!$FV$221</definedName>
    <definedName name="BVO_2045" localSheetId="7">Locatie1!$FV$221</definedName>
    <definedName name="BVO_2045" localSheetId="8">Locatie2!$FV$221</definedName>
    <definedName name="BVO_2045" localSheetId="9">Locatie3!$FV$221</definedName>
    <definedName name="BVO_2046" localSheetId="4">Blanco!$GB$221</definedName>
    <definedName name="BVO_2046" localSheetId="10">'cluster eigendom'!$GB$221</definedName>
    <definedName name="BVO_2046" localSheetId="11">'cluster huur'!$GB$221</definedName>
    <definedName name="BVO_2046" localSheetId="7">Locatie1!$GB$221</definedName>
    <definedName name="BVO_2046" localSheetId="8">Locatie2!$GB$221</definedName>
    <definedName name="BVO_2046" localSheetId="9">Locatie3!$GB$221</definedName>
    <definedName name="BVO_2047" localSheetId="4">Blanco!$GH$221</definedName>
    <definedName name="BVO_2047" localSheetId="10">'cluster eigendom'!$GH$221</definedName>
    <definedName name="BVO_2047" localSheetId="11">'cluster huur'!$GH$221</definedName>
    <definedName name="BVO_2047" localSheetId="7">Locatie1!$GH$221</definedName>
    <definedName name="BVO_2047" localSheetId="8">Locatie2!$GH$221</definedName>
    <definedName name="BVO_2047" localSheetId="9">Locatie3!$GH$221</definedName>
    <definedName name="BVO_2048" localSheetId="4">Blanco!$GN$221</definedName>
    <definedName name="BVO_2048" localSheetId="10">'cluster eigendom'!$GN$221</definedName>
    <definedName name="BVO_2048" localSheetId="11">'cluster huur'!$GN$221</definedName>
    <definedName name="BVO_2048" localSheetId="7">Locatie1!$GN$221</definedName>
    <definedName name="BVO_2048" localSheetId="8">Locatie2!$GN$221</definedName>
    <definedName name="BVO_2048" localSheetId="9">Locatie3!$GN$221</definedName>
    <definedName name="BVO_2049" localSheetId="4">Blanco!$GT$221</definedName>
    <definedName name="BVO_2049" localSheetId="10">'cluster eigendom'!$GT$221</definedName>
    <definedName name="BVO_2049" localSheetId="11">'cluster huur'!$GT$221</definedName>
    <definedName name="BVO_2049" localSheetId="7">Locatie1!$GT$221</definedName>
    <definedName name="BVO_2049" localSheetId="8">Locatie2!$GT$221</definedName>
    <definedName name="BVO_2049" localSheetId="9">Locatie3!$GT$221</definedName>
    <definedName name="BVO_2050" localSheetId="4">Blanco!$GZ$221</definedName>
    <definedName name="BVO_2050" localSheetId="10">'cluster eigendom'!$GZ$221</definedName>
    <definedName name="BVO_2050" localSheetId="11">'cluster huur'!$GZ$221</definedName>
    <definedName name="BVO_2050" localSheetId="7">Locatie1!$GZ$221</definedName>
    <definedName name="BVO_2050" localSheetId="8">Locatie2!$GZ$221</definedName>
    <definedName name="BVO_2050" localSheetId="9">Locatie3!$GZ$221</definedName>
    <definedName name="CO2_2018" localSheetId="4">Blanco!$U$253</definedName>
    <definedName name="CO2_2018" localSheetId="10">'cluster eigendom'!$U$253</definedName>
    <definedName name="CO2_2018" localSheetId="11">'cluster huur'!$U$253</definedName>
    <definedName name="CO2_2018" localSheetId="7">Locatie1!$U$253</definedName>
    <definedName name="CO2_2018" localSheetId="8">Locatie2!$U$253</definedName>
    <definedName name="CO2_2018" localSheetId="9">Locatie3!$U$253</definedName>
    <definedName name="CO2_2019" localSheetId="4">Blanco!$V$253</definedName>
    <definedName name="CO2_2019" localSheetId="10">'cluster eigendom'!$V$253</definedName>
    <definedName name="CO2_2019" localSheetId="11">'cluster huur'!$V$253</definedName>
    <definedName name="CO2_2019" localSheetId="7">Locatie1!$V$253</definedName>
    <definedName name="CO2_2019" localSheetId="8">Locatie2!$V$253</definedName>
    <definedName name="CO2_2019" localSheetId="9">Locatie3!$V$253</definedName>
    <definedName name="CO2_2020" localSheetId="4">Blanco!$AB$253</definedName>
    <definedName name="CO2_2020" localSheetId="10">'cluster eigendom'!$AB$253</definedName>
    <definedName name="CO2_2020" localSheetId="11">'cluster huur'!$AB$253</definedName>
    <definedName name="CO2_2020" localSheetId="7">Locatie1!$AB$253</definedName>
    <definedName name="CO2_2020" localSheetId="8">Locatie2!$AB$253</definedName>
    <definedName name="CO2_2020" localSheetId="9">Locatie3!$AB$253</definedName>
    <definedName name="CO2_2021" localSheetId="4">Blanco!$AH$253</definedName>
    <definedName name="CO2_2021" localSheetId="10">'cluster eigendom'!$AH$253</definedName>
    <definedName name="CO2_2021" localSheetId="11">'cluster huur'!$AH$253</definedName>
    <definedName name="CO2_2021" localSheetId="7">Locatie1!$AH$253</definedName>
    <definedName name="CO2_2021" localSheetId="8">Locatie2!$AH$253</definedName>
    <definedName name="CO2_2021" localSheetId="9">Locatie3!$AH$253</definedName>
    <definedName name="CO2_2022" localSheetId="4">Blanco!$AN$253</definedName>
    <definedName name="CO2_2022" localSheetId="10">'cluster eigendom'!$AN$253</definedName>
    <definedName name="CO2_2022" localSheetId="11">'cluster huur'!$AN$253</definedName>
    <definedName name="CO2_2022" localSheetId="7">Locatie1!$AN$253</definedName>
    <definedName name="CO2_2022" localSheetId="8">Locatie2!$AN$253</definedName>
    <definedName name="CO2_2022" localSheetId="9">Locatie3!$AN$253</definedName>
    <definedName name="CO2_2023" localSheetId="4">Blanco!$AT$253</definedName>
    <definedName name="CO2_2023" localSheetId="10">'cluster eigendom'!$AT$253</definedName>
    <definedName name="CO2_2023" localSheetId="11">'cluster huur'!$AT$253</definedName>
    <definedName name="CO2_2023" localSheetId="7">Locatie1!$AT$253</definedName>
    <definedName name="CO2_2023" localSheetId="8">Locatie2!$AT$253</definedName>
    <definedName name="CO2_2023" localSheetId="9">Locatie3!$AT$253</definedName>
    <definedName name="CO2_2024" localSheetId="4">Blanco!$AZ$253</definedName>
    <definedName name="CO2_2024" localSheetId="10">'cluster eigendom'!$AZ$253</definedName>
    <definedName name="CO2_2024" localSheetId="11">'cluster huur'!$AZ$253</definedName>
    <definedName name="CO2_2024" localSheetId="7">Locatie1!$AZ$253</definedName>
    <definedName name="CO2_2024" localSheetId="8">Locatie2!$AZ$253</definedName>
    <definedName name="CO2_2024" localSheetId="9">Locatie3!$AZ$253</definedName>
    <definedName name="CO2_2025" localSheetId="4">Blanco!$BF$253</definedName>
    <definedName name="CO2_2025" localSheetId="10">'cluster eigendom'!$BF$253</definedName>
    <definedName name="CO2_2025" localSheetId="11">'cluster huur'!$BF$253</definedName>
    <definedName name="CO2_2025" localSheetId="7">Locatie1!$BF$253</definedName>
    <definedName name="CO2_2025" localSheetId="8">Locatie2!$BF$253</definedName>
    <definedName name="CO2_2025" localSheetId="9">Locatie3!$BF$253</definedName>
    <definedName name="CO2_2026" localSheetId="4">Blanco!$BL$253</definedName>
    <definedName name="CO2_2026" localSheetId="10">'cluster eigendom'!$BL$253</definedName>
    <definedName name="CO2_2026" localSheetId="11">'cluster huur'!$BL$253</definedName>
    <definedName name="CO2_2026" localSheetId="7">Locatie1!$BL$253</definedName>
    <definedName name="CO2_2026" localSheetId="8">Locatie2!$BL$253</definedName>
    <definedName name="CO2_2026" localSheetId="9">Locatie3!$BL$253</definedName>
    <definedName name="CO2_2027" localSheetId="4">Blanco!$BR$253</definedName>
    <definedName name="CO2_2027" localSheetId="10">'cluster eigendom'!$BR$253</definedName>
    <definedName name="CO2_2027" localSheetId="11">'cluster huur'!$BR$253</definedName>
    <definedName name="CO2_2027" localSheetId="7">Locatie1!$BR$253</definedName>
    <definedName name="CO2_2027" localSheetId="8">Locatie2!$BR$253</definedName>
    <definedName name="CO2_2027" localSheetId="9">Locatie3!$BR$253</definedName>
    <definedName name="CO2_2028" localSheetId="4">Blanco!$BX$253</definedName>
    <definedName name="CO2_2028" localSheetId="10">'cluster eigendom'!$BX$253</definedName>
    <definedName name="CO2_2028" localSheetId="11">'cluster huur'!$BX$253</definedName>
    <definedName name="CO2_2028" localSheetId="7">Locatie1!$BX$253</definedName>
    <definedName name="CO2_2028" localSheetId="8">Locatie2!$BX$253</definedName>
    <definedName name="CO2_2028" localSheetId="9">Locatie3!$BX$253</definedName>
    <definedName name="CO2_2029" localSheetId="4">Blanco!$CD$253</definedName>
    <definedName name="CO2_2029" localSheetId="10">'cluster eigendom'!$CD$253</definedName>
    <definedName name="CO2_2029" localSheetId="11">'cluster huur'!$CD$253</definedName>
    <definedName name="CO2_2029" localSheetId="7">Locatie1!$CD$253</definedName>
    <definedName name="CO2_2029" localSheetId="8">Locatie2!$CD$253</definedName>
    <definedName name="CO2_2029" localSheetId="9">Locatie3!$CD$253</definedName>
    <definedName name="CO2_2030" localSheetId="4">Blanco!$CJ$253</definedName>
    <definedName name="CO2_2030" localSheetId="10">'cluster eigendom'!$CJ$253</definedName>
    <definedName name="CO2_2030" localSheetId="11">'cluster huur'!$CJ$253</definedName>
    <definedName name="CO2_2030" localSheetId="7">Locatie1!$CJ$253</definedName>
    <definedName name="CO2_2030" localSheetId="8">Locatie2!$CJ$253</definedName>
    <definedName name="CO2_2030" localSheetId="9">Locatie3!$CJ$253</definedName>
    <definedName name="CO2_2031" localSheetId="4">Blanco!$CP$253</definedName>
    <definedName name="CO2_2031" localSheetId="10">'cluster eigendom'!$CP$253</definedName>
    <definedName name="CO2_2031" localSheetId="11">'cluster huur'!$CP$253</definedName>
    <definedName name="CO2_2031" localSheetId="7">Locatie1!$CP$253</definedName>
    <definedName name="CO2_2031" localSheetId="8">Locatie2!$CP$253</definedName>
    <definedName name="CO2_2031" localSheetId="9">Locatie3!$CP$253</definedName>
    <definedName name="CO2_2032" localSheetId="4">Blanco!$CV$253</definedName>
    <definedName name="CO2_2032" localSheetId="10">'cluster eigendom'!$CV$253</definedName>
    <definedName name="CO2_2032" localSheetId="11">'cluster huur'!$CV$253</definedName>
    <definedName name="CO2_2032" localSheetId="7">Locatie1!$CV$253</definedName>
    <definedName name="CO2_2032" localSheetId="8">Locatie2!$CV$253</definedName>
    <definedName name="CO2_2032" localSheetId="9">Locatie3!$CV$253</definedName>
    <definedName name="CO2_2033" localSheetId="4">Blanco!$DB$253</definedName>
    <definedName name="CO2_2033" localSheetId="10">'cluster eigendom'!$DB$253</definedName>
    <definedName name="CO2_2033" localSheetId="11">'cluster huur'!$DB$253</definedName>
    <definedName name="CO2_2033" localSheetId="7">Locatie1!$DB$253</definedName>
    <definedName name="CO2_2033" localSheetId="8">Locatie2!$DB$253</definedName>
    <definedName name="CO2_2033" localSheetId="9">Locatie3!$DB$253</definedName>
    <definedName name="CO2_2034" localSheetId="4">Blanco!$DH$253</definedName>
    <definedName name="CO2_2034" localSheetId="10">'cluster eigendom'!$DH$253</definedName>
    <definedName name="CO2_2034" localSheetId="11">'cluster huur'!$DH$253</definedName>
    <definedName name="CO2_2034" localSheetId="7">Locatie1!$DH$253</definedName>
    <definedName name="CO2_2034" localSheetId="8">Locatie2!$DH$253</definedName>
    <definedName name="CO2_2034" localSheetId="9">Locatie3!$DH$253</definedName>
    <definedName name="CO2_2035" localSheetId="4">Blanco!$DN$253</definedName>
    <definedName name="CO2_2035" localSheetId="10">'cluster eigendom'!$DN$253</definedName>
    <definedName name="CO2_2035" localSheetId="11">'cluster huur'!$DN$253</definedName>
    <definedName name="CO2_2035" localSheetId="7">Locatie1!$DN$253</definedName>
    <definedName name="CO2_2035" localSheetId="8">Locatie2!$DN$253</definedName>
    <definedName name="CO2_2035" localSheetId="9">Locatie3!$DN$253</definedName>
    <definedName name="CO2_2036" localSheetId="4">Blanco!$DT$253</definedName>
    <definedName name="CO2_2036" localSheetId="10">'cluster eigendom'!$DT$253</definedName>
    <definedName name="CO2_2036" localSheetId="11">'cluster huur'!$DT$253</definedName>
    <definedName name="CO2_2036" localSheetId="7">Locatie1!$DT$253</definedName>
    <definedName name="CO2_2036" localSheetId="8">Locatie2!$DT$253</definedName>
    <definedName name="CO2_2036" localSheetId="9">Locatie3!$DT$253</definedName>
    <definedName name="CO2_2037" localSheetId="4">Blanco!$DZ$253</definedName>
    <definedName name="CO2_2037" localSheetId="10">'cluster eigendom'!$DZ$253</definedName>
    <definedName name="CO2_2037" localSheetId="11">'cluster huur'!$DZ$253</definedName>
    <definedName name="CO2_2037" localSheetId="7">Locatie1!$DZ$253</definedName>
    <definedName name="CO2_2037" localSheetId="8">Locatie2!$DZ$253</definedName>
    <definedName name="CO2_2037" localSheetId="9">Locatie3!$DZ$253</definedName>
    <definedName name="CO2_2038" localSheetId="4">Blanco!$EF$253</definedName>
    <definedName name="CO2_2038" localSheetId="10">'cluster eigendom'!$EF$253</definedName>
    <definedName name="CO2_2038" localSheetId="11">'cluster huur'!$EF$253</definedName>
    <definedName name="CO2_2038" localSheetId="7">Locatie1!$EF$253</definedName>
    <definedName name="CO2_2038" localSheetId="8">Locatie2!$EF$253</definedName>
    <definedName name="CO2_2038" localSheetId="9">Locatie3!$EF$253</definedName>
    <definedName name="CO2_2039" localSheetId="4">Blanco!$EL$253</definedName>
    <definedName name="CO2_2039" localSheetId="10">'cluster eigendom'!$EL$253</definedName>
    <definedName name="CO2_2039" localSheetId="11">'cluster huur'!$EL$253</definedName>
    <definedName name="CO2_2039" localSheetId="7">Locatie1!$EL$253</definedName>
    <definedName name="CO2_2039" localSheetId="8">Locatie2!$EL$253</definedName>
    <definedName name="CO2_2039" localSheetId="9">Locatie3!$EL$253</definedName>
    <definedName name="CO2_2040" localSheetId="4">Blanco!$ER$253</definedName>
    <definedName name="CO2_2040" localSheetId="10">'cluster eigendom'!$ER$253</definedName>
    <definedName name="CO2_2040" localSheetId="11">'cluster huur'!$ER$253</definedName>
    <definedName name="CO2_2040" localSheetId="7">Locatie1!$ER$253</definedName>
    <definedName name="CO2_2040" localSheetId="8">Locatie2!$ER$253</definedName>
    <definedName name="CO2_2040" localSheetId="9">Locatie3!$ER$253</definedName>
    <definedName name="CO2_2041" localSheetId="4">Blanco!$EX$253</definedName>
    <definedName name="CO2_2041" localSheetId="10">'cluster eigendom'!$EX$253</definedName>
    <definedName name="CO2_2041" localSheetId="11">'cluster huur'!$EX$253</definedName>
    <definedName name="CO2_2041" localSheetId="7">Locatie1!$EX$253</definedName>
    <definedName name="CO2_2041" localSheetId="8">Locatie2!$EX$253</definedName>
    <definedName name="CO2_2041" localSheetId="9">Locatie3!$EX$253</definedName>
    <definedName name="CO2_2042" localSheetId="4">Blanco!$FD$253</definedName>
    <definedName name="CO2_2042" localSheetId="10">'cluster eigendom'!$FD$253</definedName>
    <definedName name="CO2_2042" localSheetId="11">'cluster huur'!$FD$253</definedName>
    <definedName name="CO2_2042" localSheetId="7">Locatie1!$FD$253</definedName>
    <definedName name="CO2_2042" localSheetId="8">Locatie2!$FD$253</definedName>
    <definedName name="CO2_2042" localSheetId="9">Locatie3!$FD$253</definedName>
    <definedName name="CO2_2043" localSheetId="4">Blanco!$FJ$253</definedName>
    <definedName name="CO2_2043" localSheetId="10">'cluster eigendom'!$FJ$253</definedName>
    <definedName name="CO2_2043" localSheetId="11">'cluster huur'!$FJ$253</definedName>
    <definedName name="CO2_2043" localSheetId="7">Locatie1!$FJ$253</definedName>
    <definedName name="CO2_2043" localSheetId="8">Locatie2!$FJ$253</definedName>
    <definedName name="CO2_2043" localSheetId="9">Locatie3!$FJ$253</definedName>
    <definedName name="CO2_2044" localSheetId="4">Blanco!$FP$253</definedName>
    <definedName name="CO2_2044" localSheetId="10">'cluster eigendom'!$FP$253</definedName>
    <definedName name="CO2_2044" localSheetId="11">'cluster huur'!$FP$253</definedName>
    <definedName name="CO2_2044" localSheetId="7">Locatie1!$FP$253</definedName>
    <definedName name="CO2_2044" localSheetId="8">Locatie2!$FP$253</definedName>
    <definedName name="CO2_2044" localSheetId="9">Locatie3!$FP$253</definedName>
    <definedName name="CO2_2045" localSheetId="4">Blanco!$FV$253</definedName>
    <definedName name="CO2_2045" localSheetId="10">'cluster eigendom'!$FV$253</definedName>
    <definedName name="CO2_2045" localSheetId="11">'cluster huur'!$FV$253</definedName>
    <definedName name="CO2_2045" localSheetId="7">Locatie1!$FV$253</definedName>
    <definedName name="CO2_2045" localSheetId="8">Locatie2!$FV$253</definedName>
    <definedName name="CO2_2045" localSheetId="9">Locatie3!$FV$253</definedName>
    <definedName name="CO2_2046" localSheetId="4">Blanco!$GB$253</definedName>
    <definedName name="CO2_2046" localSheetId="10">'cluster eigendom'!$GB$253</definedName>
    <definedName name="CO2_2046" localSheetId="11">'cluster huur'!$GB$253</definedName>
    <definedName name="CO2_2046" localSheetId="7">Locatie1!$GB$253</definedName>
    <definedName name="CO2_2046" localSheetId="8">Locatie2!$GB$253</definedName>
    <definedName name="CO2_2046" localSheetId="9">Locatie3!$GB$253</definedName>
    <definedName name="CO2_2047" localSheetId="4">Blanco!$GH$253</definedName>
    <definedName name="CO2_2047" localSheetId="10">'cluster eigendom'!$GH$253</definedName>
    <definedName name="CO2_2047" localSheetId="11">'cluster huur'!$GH$253</definedName>
    <definedName name="CO2_2047" localSheetId="7">Locatie1!$GH$253</definedName>
    <definedName name="CO2_2047" localSheetId="8">Locatie2!$GH$253</definedName>
    <definedName name="CO2_2047" localSheetId="9">Locatie3!$GH$253</definedName>
    <definedName name="CO2_2048" localSheetId="4">Blanco!$GN$253</definedName>
    <definedName name="CO2_2048" localSheetId="10">'cluster eigendom'!$GN$253</definedName>
    <definedName name="CO2_2048" localSheetId="11">'cluster huur'!$GN$253</definedName>
    <definedName name="CO2_2048" localSheetId="7">Locatie1!$GN$253</definedName>
    <definedName name="CO2_2048" localSheetId="8">Locatie2!$GN$253</definedName>
    <definedName name="CO2_2048" localSheetId="9">Locatie3!$GN$253</definedName>
    <definedName name="CO2_2049" localSheetId="4">Blanco!$GT$253</definedName>
    <definedName name="CO2_2049" localSheetId="10">'cluster eigendom'!$GT$253</definedName>
    <definedName name="CO2_2049" localSheetId="11">'cluster huur'!$GT$253</definedName>
    <definedName name="CO2_2049" localSheetId="7">Locatie1!$GT$253</definedName>
    <definedName name="CO2_2049" localSheetId="8">Locatie2!$GT$253</definedName>
    <definedName name="CO2_2049" localSheetId="9">Locatie3!$GT$253</definedName>
    <definedName name="CO2_2050" localSheetId="4">Blanco!$GZ$253</definedName>
    <definedName name="CO2_2050" localSheetId="10">'cluster eigendom'!$GZ$253</definedName>
    <definedName name="CO2_2050" localSheetId="11">'cluster huur'!$GZ$253</definedName>
    <definedName name="CO2_2050" localSheetId="7">Locatie1!$GZ$253</definedName>
    <definedName name="CO2_2050" localSheetId="8">Locatie2!$GZ$253</definedName>
    <definedName name="CO2_2050" localSheetId="9">Locatie3!$GZ$253</definedName>
    <definedName name="CO2factorAardgas">Dashboard!$R$30</definedName>
    <definedName name="CO2factorElektriciteit">Dashboard!$X$30</definedName>
    <definedName name="CO2factorWarmte">Dashboard!$AF$30</definedName>
    <definedName name="CO2m2_2018" localSheetId="4">Blanco!$U$254</definedName>
    <definedName name="CO2m2_2018" localSheetId="10">'cluster eigendom'!$U$254</definedName>
    <definedName name="CO2m2_2018" localSheetId="11">'cluster huur'!$U$254</definedName>
    <definedName name="CO2m2_2018" localSheetId="7">Locatie1!$U$254</definedName>
    <definedName name="CO2m2_2018" localSheetId="8">Locatie2!$U$254</definedName>
    <definedName name="CO2m2_2018" localSheetId="9">Locatie3!$U$254</definedName>
    <definedName name="CO2m2_2019" localSheetId="4">Blanco!$V$254</definedName>
    <definedName name="CO2m2_2019" localSheetId="10">'cluster eigendom'!$V$254</definedName>
    <definedName name="CO2m2_2019" localSheetId="11">'cluster huur'!$V$254</definedName>
    <definedName name="CO2m2_2019" localSheetId="7">Locatie1!$V$254</definedName>
    <definedName name="CO2m2_2019" localSheetId="8">Locatie2!$V$254</definedName>
    <definedName name="CO2m2_2019" localSheetId="9">Locatie3!$V$254</definedName>
    <definedName name="CO2m2_2020" localSheetId="4">Blanco!$AB$254</definedName>
    <definedName name="CO2m2_2020" localSheetId="10">'cluster eigendom'!$AB$254</definedName>
    <definedName name="CO2m2_2020" localSheetId="11">'cluster huur'!$AB$254</definedName>
    <definedName name="CO2m2_2020" localSheetId="7">Locatie1!$AB$254</definedName>
    <definedName name="CO2m2_2020" localSheetId="8">Locatie2!$AB$254</definedName>
    <definedName name="CO2m2_2020" localSheetId="9">Locatie3!$AB$254</definedName>
    <definedName name="CO2m2_2021" localSheetId="4">Blanco!$AH$254</definedName>
    <definedName name="CO2m2_2021" localSheetId="10">'cluster eigendom'!$AH$254</definedName>
    <definedName name="CO2m2_2021" localSheetId="11">'cluster huur'!$AH$254</definedName>
    <definedName name="CO2m2_2021" localSheetId="7">Locatie1!$AH$254</definedName>
    <definedName name="CO2m2_2021" localSheetId="8">Locatie2!$AH$254</definedName>
    <definedName name="CO2m2_2021" localSheetId="9">Locatie3!$AH$254</definedName>
    <definedName name="CO2m2_2022" localSheetId="4">Blanco!$AN$254</definedName>
    <definedName name="CO2m2_2022" localSheetId="10">'cluster eigendom'!$AN$254</definedName>
    <definedName name="CO2m2_2022" localSheetId="11">'cluster huur'!$AN$254</definedName>
    <definedName name="CO2m2_2022" localSheetId="7">Locatie1!$AN$254</definedName>
    <definedName name="CO2m2_2022" localSheetId="8">Locatie2!$AN$254</definedName>
    <definedName name="CO2m2_2022" localSheetId="9">Locatie3!$AN$254</definedName>
    <definedName name="CO2m2_2023" localSheetId="4">Blanco!$AT$254</definedName>
    <definedName name="CO2m2_2023" localSheetId="10">'cluster eigendom'!$AT$254</definedName>
    <definedName name="CO2m2_2023" localSheetId="11">'cluster huur'!$AT$254</definedName>
    <definedName name="CO2m2_2023" localSheetId="7">Locatie1!$AT$254</definedName>
    <definedName name="CO2m2_2023" localSheetId="8">Locatie2!$AT$254</definedName>
    <definedName name="CO2m2_2023" localSheetId="9">Locatie3!$AT$254</definedName>
    <definedName name="CO2m2_2024" localSheetId="4">Blanco!$AZ$254</definedName>
    <definedName name="CO2m2_2024" localSheetId="10">'cluster eigendom'!$AZ$254</definedName>
    <definedName name="CO2m2_2024" localSheetId="11">'cluster huur'!$AZ$254</definedName>
    <definedName name="CO2m2_2024" localSheetId="7">Locatie1!$AZ$254</definedName>
    <definedName name="CO2m2_2024" localSheetId="8">Locatie2!$AZ$254</definedName>
    <definedName name="CO2m2_2024" localSheetId="9">Locatie3!$AZ$254</definedName>
    <definedName name="CO2m2_2025" localSheetId="4">Blanco!$BF$254</definedName>
    <definedName name="CO2m2_2025" localSheetId="10">'cluster eigendom'!$BF$254</definedName>
    <definedName name="CO2m2_2025" localSheetId="11">'cluster huur'!$BF$254</definedName>
    <definedName name="CO2m2_2025" localSheetId="7">Locatie1!$BF$254</definedName>
    <definedName name="CO2m2_2025" localSheetId="8">Locatie2!$BF$254</definedName>
    <definedName name="CO2m2_2025" localSheetId="9">Locatie3!$BF$254</definedName>
    <definedName name="CO2m2_2026" localSheetId="4">Blanco!$BL$254</definedName>
    <definedName name="CO2m2_2026" localSheetId="10">'cluster eigendom'!$BL$254</definedName>
    <definedName name="CO2m2_2026" localSheetId="11">'cluster huur'!$BL$254</definedName>
    <definedName name="CO2m2_2026" localSheetId="7">Locatie1!$BL$254</definedName>
    <definedName name="CO2m2_2026" localSheetId="8">Locatie2!$BL$254</definedName>
    <definedName name="CO2m2_2026" localSheetId="9">Locatie3!$BL$254</definedName>
    <definedName name="CO2m2_2027" localSheetId="4">Blanco!$BR$254</definedName>
    <definedName name="CO2m2_2027" localSheetId="10">'cluster eigendom'!$BR$254</definedName>
    <definedName name="CO2m2_2027" localSheetId="11">'cluster huur'!$BR$254</definedName>
    <definedName name="CO2m2_2027" localSheetId="7">Locatie1!$BR$254</definedName>
    <definedName name="CO2m2_2027" localSheetId="8">Locatie2!$BR$254</definedName>
    <definedName name="CO2m2_2027" localSheetId="9">Locatie3!$BR$254</definedName>
    <definedName name="CO2m2_2028" localSheetId="4">Blanco!$BX$254</definedName>
    <definedName name="CO2m2_2028" localSheetId="10">'cluster eigendom'!$BX$254</definedName>
    <definedName name="CO2m2_2028" localSheetId="11">'cluster huur'!$BX$254</definedName>
    <definedName name="CO2m2_2028" localSheetId="7">Locatie1!$BX$254</definedName>
    <definedName name="CO2m2_2028" localSheetId="8">Locatie2!$BX$254</definedName>
    <definedName name="CO2m2_2028" localSheetId="9">Locatie3!$BX$254</definedName>
    <definedName name="CO2m2_2029" localSheetId="4">Blanco!$CD$254</definedName>
    <definedName name="CO2m2_2029" localSheetId="10">'cluster eigendom'!$CD$254</definedName>
    <definedName name="CO2m2_2029" localSheetId="11">'cluster huur'!$CD$254</definedName>
    <definedName name="CO2m2_2029" localSheetId="7">Locatie1!$CD$254</definedName>
    <definedName name="CO2m2_2029" localSheetId="8">Locatie2!$CD$254</definedName>
    <definedName name="CO2m2_2029" localSheetId="9">Locatie3!$CD$254</definedName>
    <definedName name="CO2m2_2030" localSheetId="4">Blanco!$CJ$254</definedName>
    <definedName name="CO2m2_2030" localSheetId="10">'cluster eigendom'!$CJ$254</definedName>
    <definedName name="CO2m2_2030" localSheetId="11">'cluster huur'!$CJ$254</definedName>
    <definedName name="CO2m2_2030" localSheetId="7">Locatie1!$CJ$254</definedName>
    <definedName name="CO2m2_2030" localSheetId="8">Locatie2!$CJ$254</definedName>
    <definedName name="CO2m2_2030" localSheetId="9">Locatie3!$CJ$254</definedName>
    <definedName name="CO2m2_2031" localSheetId="4">Blanco!$CP$254</definedName>
    <definedName name="CO2m2_2031" localSheetId="10">'cluster eigendom'!$CP$254</definedName>
    <definedName name="CO2m2_2031" localSheetId="11">'cluster huur'!$CP$254</definedName>
    <definedName name="CO2m2_2031" localSheetId="7">Locatie1!$CP$254</definedName>
    <definedName name="CO2m2_2031" localSheetId="8">Locatie2!$CP$254</definedName>
    <definedName name="CO2m2_2031" localSheetId="9">Locatie3!$CP$254</definedName>
    <definedName name="CO2m2_2032" localSheetId="4">Blanco!$CV$254</definedName>
    <definedName name="CO2m2_2032" localSheetId="10">'cluster eigendom'!$CV$254</definedName>
    <definedName name="CO2m2_2032" localSheetId="11">'cluster huur'!$CV$254</definedName>
    <definedName name="CO2m2_2032" localSheetId="7">Locatie1!$CV$254</definedName>
    <definedName name="CO2m2_2032" localSheetId="8">Locatie2!$CV$254</definedName>
    <definedName name="CO2m2_2032" localSheetId="9">Locatie3!$CV$254</definedName>
    <definedName name="CO2m2_2033" localSheetId="4">Blanco!$DB$254</definedName>
    <definedName name="CO2m2_2033" localSheetId="10">'cluster eigendom'!$DB$254</definedName>
    <definedName name="CO2m2_2033" localSheetId="11">'cluster huur'!$DB$254</definedName>
    <definedName name="CO2m2_2033" localSheetId="7">Locatie1!$DB$254</definedName>
    <definedName name="CO2m2_2033" localSheetId="8">Locatie2!$DB$254</definedName>
    <definedName name="CO2m2_2033" localSheetId="9">Locatie3!$DB$254</definedName>
    <definedName name="CO2m2_2034" localSheetId="4">Blanco!$DH$254</definedName>
    <definedName name="CO2m2_2034" localSheetId="10">'cluster eigendom'!$DH$254</definedName>
    <definedName name="CO2m2_2034" localSheetId="11">'cluster huur'!$DH$254</definedName>
    <definedName name="CO2m2_2034" localSheetId="7">Locatie1!$DH$254</definedName>
    <definedName name="CO2m2_2034" localSheetId="8">Locatie2!$DH$254</definedName>
    <definedName name="CO2m2_2034" localSheetId="9">Locatie3!$DH$254</definedName>
    <definedName name="CO2m2_2035" localSheetId="4">Blanco!$DN$254</definedName>
    <definedName name="CO2m2_2035" localSheetId="10">'cluster eigendom'!$DN$254</definedName>
    <definedName name="CO2m2_2035" localSheetId="11">'cluster huur'!$DN$254</definedName>
    <definedName name="CO2m2_2035" localSheetId="7">Locatie1!$DN$254</definedName>
    <definedName name="CO2m2_2035" localSheetId="8">Locatie2!$DN$254</definedName>
    <definedName name="CO2m2_2035" localSheetId="9">Locatie3!$DN$254</definedName>
    <definedName name="CO2m2_2036" localSheetId="4">Blanco!$DT$254</definedName>
    <definedName name="CO2m2_2036" localSheetId="10">'cluster eigendom'!$DT$254</definedName>
    <definedName name="CO2m2_2036" localSheetId="11">'cluster huur'!$DT$254</definedName>
    <definedName name="CO2m2_2036" localSheetId="7">Locatie1!$DT$254</definedName>
    <definedName name="CO2m2_2036" localSheetId="8">Locatie2!$DT$254</definedName>
    <definedName name="CO2m2_2036" localSheetId="9">Locatie3!$DT$254</definedName>
    <definedName name="CO2m2_2037" localSheetId="4">Blanco!$DZ$254</definedName>
    <definedName name="CO2m2_2037" localSheetId="10">'cluster eigendom'!$DZ$254</definedName>
    <definedName name="CO2m2_2037" localSheetId="11">'cluster huur'!$DZ$254</definedName>
    <definedName name="CO2m2_2037" localSheetId="7">Locatie1!$DZ$254</definedName>
    <definedName name="CO2m2_2037" localSheetId="8">Locatie2!$DZ$254</definedName>
    <definedName name="CO2m2_2037" localSheetId="9">Locatie3!$DZ$254</definedName>
    <definedName name="CO2m2_2038" localSheetId="4">Blanco!$EF$254</definedName>
    <definedName name="CO2m2_2038" localSheetId="10">'cluster eigendom'!$EF$254</definedName>
    <definedName name="CO2m2_2038" localSheetId="11">'cluster huur'!$EF$254</definedName>
    <definedName name="CO2m2_2038" localSheetId="7">Locatie1!$EF$254</definedName>
    <definedName name="CO2m2_2038" localSheetId="8">Locatie2!$EF$254</definedName>
    <definedName name="CO2m2_2038" localSheetId="9">Locatie3!$EF$254</definedName>
    <definedName name="CO2m2_2039" localSheetId="4">Blanco!$EL$254</definedName>
    <definedName name="CO2m2_2039" localSheetId="10">'cluster eigendom'!$EL$254</definedName>
    <definedName name="CO2m2_2039" localSheetId="11">'cluster huur'!$EL$254</definedName>
    <definedName name="CO2m2_2039" localSheetId="7">Locatie1!$EL$254</definedName>
    <definedName name="CO2m2_2039" localSheetId="8">Locatie2!$EL$254</definedName>
    <definedName name="CO2m2_2039" localSheetId="9">Locatie3!$EL$254</definedName>
    <definedName name="CO2m2_2040" localSheetId="4">Blanco!$ER$254</definedName>
    <definedName name="CO2m2_2040" localSheetId="10">'cluster eigendom'!$ER$254</definedName>
    <definedName name="CO2m2_2040" localSheetId="11">'cluster huur'!$ER$254</definedName>
    <definedName name="CO2m2_2040" localSheetId="7">Locatie1!$ER$254</definedName>
    <definedName name="CO2m2_2040" localSheetId="8">Locatie2!$ER$254</definedName>
    <definedName name="CO2m2_2040" localSheetId="9">Locatie3!$ER$254</definedName>
    <definedName name="CO2m2_2041" localSheetId="4">Blanco!$EX$254</definedName>
    <definedName name="CO2m2_2041" localSheetId="10">'cluster eigendom'!$EX$254</definedName>
    <definedName name="CO2m2_2041" localSheetId="11">'cluster huur'!$EX$254</definedName>
    <definedName name="CO2m2_2041" localSheetId="7">Locatie1!$EX$254</definedName>
    <definedName name="CO2m2_2041" localSheetId="8">Locatie2!$EX$254</definedName>
    <definedName name="CO2m2_2041" localSheetId="9">Locatie3!$EX$254</definedName>
    <definedName name="CO2m2_2042" localSheetId="4">Blanco!$FD$254</definedName>
    <definedName name="CO2m2_2042" localSheetId="10">'cluster eigendom'!$FD$254</definedName>
    <definedName name="CO2m2_2042" localSheetId="11">'cluster huur'!$FD$254</definedName>
    <definedName name="CO2m2_2042" localSheetId="7">Locatie1!$FD$254</definedName>
    <definedName name="CO2m2_2042" localSheetId="8">Locatie2!$FD$254</definedName>
    <definedName name="CO2m2_2042" localSheetId="9">Locatie3!$FD$254</definedName>
    <definedName name="CO2m2_2043" localSheetId="4">Blanco!$FJ$254</definedName>
    <definedName name="CO2m2_2043" localSheetId="10">'cluster eigendom'!$FJ$254</definedName>
    <definedName name="CO2m2_2043" localSheetId="11">'cluster huur'!$FJ$254</definedName>
    <definedName name="CO2m2_2043" localSheetId="7">Locatie1!$FJ$254</definedName>
    <definedName name="CO2m2_2043" localSheetId="8">Locatie2!$FJ$254</definedName>
    <definedName name="CO2m2_2043" localSheetId="9">Locatie3!$FJ$254</definedName>
    <definedName name="CO2m2_2044" localSheetId="4">Blanco!$FP$254</definedName>
    <definedName name="CO2m2_2044" localSheetId="10">'cluster eigendom'!$FP$254</definedName>
    <definedName name="CO2m2_2044" localSheetId="11">'cluster huur'!$FP$254</definedName>
    <definedName name="CO2m2_2044" localSheetId="7">Locatie1!$FP$254</definedName>
    <definedName name="CO2m2_2044" localSheetId="8">Locatie2!$FP$254</definedName>
    <definedName name="CO2m2_2044" localSheetId="9">Locatie3!$FP$254</definedName>
    <definedName name="CO2m2_2045" localSheetId="4">Blanco!$FV$254</definedName>
    <definedName name="CO2m2_2045" localSheetId="10">'cluster eigendom'!$FV$254</definedName>
    <definedName name="CO2m2_2045" localSheetId="11">'cluster huur'!$FV$254</definedName>
    <definedName name="CO2m2_2045" localSheetId="7">Locatie1!$FV$254</definedName>
    <definedName name="CO2m2_2045" localSheetId="8">Locatie2!$FV$254</definedName>
    <definedName name="CO2m2_2045" localSheetId="9">Locatie3!$FV$254</definedName>
    <definedName name="CO2m2_2046" localSheetId="4">Blanco!$GB$254</definedName>
    <definedName name="CO2m2_2046" localSheetId="10">'cluster eigendom'!$GB$254</definedName>
    <definedName name="CO2m2_2046" localSheetId="11">'cluster huur'!$GB$254</definedName>
    <definedName name="CO2m2_2046" localSheetId="7">Locatie1!$GB$254</definedName>
    <definedName name="CO2m2_2046" localSheetId="8">Locatie2!$GB$254</definedName>
    <definedName name="CO2m2_2046" localSheetId="9">Locatie3!$GB$254</definedName>
    <definedName name="CO2m2_2047" localSheetId="4">Blanco!$GH$254</definedName>
    <definedName name="CO2m2_2047" localSheetId="10">'cluster eigendom'!$GH$254</definedName>
    <definedName name="CO2m2_2047" localSheetId="11">'cluster huur'!$GH$254</definedName>
    <definedName name="CO2m2_2047" localSheetId="7">Locatie1!$GH$254</definedName>
    <definedName name="CO2m2_2047" localSheetId="8">Locatie2!$GH$254</definedName>
    <definedName name="CO2m2_2047" localSheetId="9">Locatie3!$GH$254</definedName>
    <definedName name="CO2m2_2048" localSheetId="4">Blanco!$GN$254</definedName>
    <definedName name="CO2m2_2048" localSheetId="10">'cluster eigendom'!$GN$254</definedName>
    <definedName name="CO2m2_2048" localSheetId="11">'cluster huur'!$GN$254</definedName>
    <definedName name="CO2m2_2048" localSheetId="7">Locatie1!$GN$254</definedName>
    <definedName name="CO2m2_2048" localSheetId="8">Locatie2!$GN$254</definedName>
    <definedName name="CO2m2_2048" localSheetId="9">Locatie3!$GN$254</definedName>
    <definedName name="CO2m2_2049" localSheetId="4">Blanco!$GT$254</definedName>
    <definedName name="CO2m2_2049" localSheetId="10">'cluster eigendom'!$GT$254</definedName>
    <definedName name="CO2m2_2049" localSheetId="11">'cluster huur'!$GT$254</definedName>
    <definedName name="CO2m2_2049" localSheetId="7">Locatie1!$GT$254</definedName>
    <definedName name="CO2m2_2049" localSheetId="8">Locatie2!$GT$254</definedName>
    <definedName name="CO2m2_2049" localSheetId="9">Locatie3!$GT$254</definedName>
    <definedName name="CO2m2_2050" localSheetId="4">Blanco!$GZ$254</definedName>
    <definedName name="CO2m2_2050" localSheetId="10">'cluster eigendom'!$GZ$254</definedName>
    <definedName name="CO2m2_2050" localSheetId="11">'cluster huur'!$GZ$254</definedName>
    <definedName name="CO2m2_2050" localSheetId="7">Locatie1!$GZ$254</definedName>
    <definedName name="CO2m2_2050" localSheetId="8">Locatie2!$GZ$254</definedName>
    <definedName name="CO2m2_2050" localSheetId="9">Locatie3!$GZ$254</definedName>
    <definedName name="CO2reductieperc_2018" localSheetId="4">Blanco!$U$255</definedName>
    <definedName name="CO2reductieperc_2018" localSheetId="10">'cluster eigendom'!$U$255</definedName>
    <definedName name="CO2reductieperc_2018" localSheetId="11">'cluster huur'!$U$255</definedName>
    <definedName name="CO2reductieperc_2018" localSheetId="7">Locatie1!$U$255</definedName>
    <definedName name="CO2reductieperc_2018" localSheetId="8">Locatie2!$U$255</definedName>
    <definedName name="CO2reductieperc_2018" localSheetId="9">Locatie3!$U$255</definedName>
    <definedName name="CO2reductieperc_2019" localSheetId="4">Blanco!$V$255</definedName>
    <definedName name="CO2reductieperc_2019" localSheetId="10">'cluster eigendom'!$V$255</definedName>
    <definedName name="CO2reductieperc_2019" localSheetId="11">'cluster huur'!$V$255</definedName>
    <definedName name="CO2reductieperc_2019" localSheetId="7">Locatie1!$V$255</definedName>
    <definedName name="CO2reductieperc_2019" localSheetId="8">Locatie2!$V$255</definedName>
    <definedName name="CO2reductieperc_2019" localSheetId="9">Locatie3!$V$255</definedName>
    <definedName name="CO2reductieperc_2020" localSheetId="4">Blanco!$AB$255</definedName>
    <definedName name="CO2reductieperc_2020" localSheetId="10">'cluster eigendom'!$AB$255</definedName>
    <definedName name="CO2reductieperc_2020" localSheetId="11">'cluster huur'!$AB$255</definedName>
    <definedName name="CO2reductieperc_2020" localSheetId="7">Locatie1!$AB$255</definedName>
    <definedName name="CO2reductieperc_2020" localSheetId="8">Locatie2!$AB$255</definedName>
    <definedName name="CO2reductieperc_2020" localSheetId="9">Locatie3!$AB$255</definedName>
    <definedName name="CO2reductieperc_2021" localSheetId="4">Blanco!$AH$255</definedName>
    <definedName name="CO2reductieperc_2021" localSheetId="10">'cluster eigendom'!$AH$255</definedName>
    <definedName name="CO2reductieperc_2021" localSheetId="11">'cluster huur'!$AH$255</definedName>
    <definedName name="CO2reductieperc_2021" localSheetId="7">Locatie1!$AH$255</definedName>
    <definedName name="CO2reductieperc_2021" localSheetId="8">Locatie2!$AH$255</definedName>
    <definedName name="CO2reductieperc_2021" localSheetId="9">Locatie3!$AH$255</definedName>
    <definedName name="CO2reductieperc_2022" localSheetId="4">Blanco!$AN$255</definedName>
    <definedName name="CO2reductieperc_2022" localSheetId="10">'cluster eigendom'!$AN$255</definedName>
    <definedName name="CO2reductieperc_2022" localSheetId="11">'cluster huur'!$AN$255</definedName>
    <definedName name="CO2reductieperc_2022" localSheetId="7">Locatie1!$AN$255</definedName>
    <definedName name="CO2reductieperc_2022" localSheetId="8">Locatie2!$AN$255</definedName>
    <definedName name="CO2reductieperc_2022" localSheetId="9">Locatie3!$AN$255</definedName>
    <definedName name="CO2reductieperc_2023" localSheetId="4">Blanco!$AT$255</definedName>
    <definedName name="CO2reductieperc_2023" localSheetId="10">'cluster eigendom'!$AT$255</definedName>
    <definedName name="CO2reductieperc_2023" localSheetId="11">'cluster huur'!$AT$255</definedName>
    <definedName name="CO2reductieperc_2023" localSheetId="7">Locatie1!$AT$255</definedName>
    <definedName name="CO2reductieperc_2023" localSheetId="8">Locatie2!$AT$255</definedName>
    <definedName name="CO2reductieperc_2023" localSheetId="9">Locatie3!$AT$255</definedName>
    <definedName name="CO2reductieperc_2024" localSheetId="4">Blanco!$AZ$255</definedName>
    <definedName name="CO2reductieperc_2024" localSheetId="10">'cluster eigendom'!$AZ$255</definedName>
    <definedName name="CO2reductieperc_2024" localSheetId="11">'cluster huur'!$AZ$255</definedName>
    <definedName name="CO2reductieperc_2024" localSheetId="7">Locatie1!$AZ$255</definedName>
    <definedName name="CO2reductieperc_2024" localSheetId="8">Locatie2!$AZ$255</definedName>
    <definedName name="CO2reductieperc_2024" localSheetId="9">Locatie3!$AZ$255</definedName>
    <definedName name="CO2reductieperc_2025" localSheetId="4">Blanco!$BF$255</definedName>
    <definedName name="CO2reductieperc_2025" localSheetId="10">'cluster eigendom'!$BF$255</definedName>
    <definedName name="CO2reductieperc_2025" localSheetId="11">'cluster huur'!$BF$255</definedName>
    <definedName name="CO2reductieperc_2025" localSheetId="7">Locatie1!$BF$255</definedName>
    <definedName name="CO2reductieperc_2025" localSheetId="8">Locatie2!$BF$255</definedName>
    <definedName name="CO2reductieperc_2025" localSheetId="9">Locatie3!$BF$255</definedName>
    <definedName name="CO2reductieperc_2026" localSheetId="4">Blanco!$BL$255</definedName>
    <definedName name="CO2reductieperc_2026" localSheetId="10">'cluster eigendom'!$BL$255</definedName>
    <definedName name="CO2reductieperc_2026" localSheetId="11">'cluster huur'!$BL$255</definedName>
    <definedName name="CO2reductieperc_2026" localSheetId="7">Locatie1!$BL$255</definedName>
    <definedName name="CO2reductieperc_2026" localSheetId="8">Locatie2!$BL$255</definedName>
    <definedName name="CO2reductieperc_2026" localSheetId="9">Locatie3!$BL$255</definedName>
    <definedName name="CO2reductieperc_2027" localSheetId="4">Blanco!$BR$255</definedName>
    <definedName name="CO2reductieperc_2027" localSheetId="10">'cluster eigendom'!$BR$255</definedName>
    <definedName name="CO2reductieperc_2027" localSheetId="11">'cluster huur'!$BR$255</definedName>
    <definedName name="CO2reductieperc_2027" localSheetId="7">Locatie1!$BR$255</definedName>
    <definedName name="CO2reductieperc_2027" localSheetId="8">Locatie2!$BR$255</definedName>
    <definedName name="CO2reductieperc_2027" localSheetId="9">Locatie3!$BR$255</definedName>
    <definedName name="CO2reductieperc_2028" localSheetId="4">Blanco!$BX$255</definedName>
    <definedName name="CO2reductieperc_2028" localSheetId="10">'cluster eigendom'!$BX$255</definedName>
    <definedName name="CO2reductieperc_2028" localSheetId="11">'cluster huur'!$BX$255</definedName>
    <definedName name="CO2reductieperc_2028" localSheetId="7">Locatie1!$BX$255</definedName>
    <definedName name="CO2reductieperc_2028" localSheetId="8">Locatie2!$BX$255</definedName>
    <definedName name="CO2reductieperc_2028" localSheetId="9">Locatie3!$BX$255</definedName>
    <definedName name="CO2reductieperc_2029" localSheetId="4">Blanco!$CD$255</definedName>
    <definedName name="CO2reductieperc_2029" localSheetId="10">'cluster eigendom'!$CD$255</definedName>
    <definedName name="CO2reductieperc_2029" localSheetId="11">'cluster huur'!$CD$255</definedName>
    <definedName name="CO2reductieperc_2029" localSheetId="7">Locatie1!$CD$255</definedName>
    <definedName name="CO2reductieperc_2029" localSheetId="8">Locatie2!$CD$255</definedName>
    <definedName name="CO2reductieperc_2029" localSheetId="9">Locatie3!$CD$255</definedName>
    <definedName name="CO2reductieperc_2030" localSheetId="4">Blanco!$CJ$255</definedName>
    <definedName name="CO2reductieperc_2030" localSheetId="10">'cluster eigendom'!$CJ$255</definedName>
    <definedName name="CO2reductieperc_2030" localSheetId="11">'cluster huur'!$CJ$255</definedName>
    <definedName name="CO2reductieperc_2030" localSheetId="7">Locatie1!$CJ$255</definedName>
    <definedName name="CO2reductieperc_2030" localSheetId="8">Locatie2!$CJ$255</definedName>
    <definedName name="CO2reductieperc_2030" localSheetId="9">Locatie3!$CJ$255</definedName>
    <definedName name="CO2reductieperc_2031" localSheetId="4">Blanco!$CP$255</definedName>
    <definedName name="CO2reductieperc_2031" localSheetId="10">'cluster eigendom'!$CP$255</definedName>
    <definedName name="CO2reductieperc_2031" localSheetId="11">'cluster huur'!$CP$255</definedName>
    <definedName name="CO2reductieperc_2031" localSheetId="7">Locatie1!$CP$255</definedName>
    <definedName name="CO2reductieperc_2031" localSheetId="8">Locatie2!$CP$255</definedName>
    <definedName name="CO2reductieperc_2031" localSheetId="9">Locatie3!$CP$255</definedName>
    <definedName name="CO2reductieperc_2032" localSheetId="4">Blanco!$CV$255</definedName>
    <definedName name="CO2reductieperc_2032" localSheetId="10">'cluster eigendom'!$CV$255</definedName>
    <definedName name="CO2reductieperc_2032" localSheetId="11">'cluster huur'!$CV$255</definedName>
    <definedName name="CO2reductieperc_2032" localSheetId="7">Locatie1!$CV$255</definedName>
    <definedName name="CO2reductieperc_2032" localSheetId="8">Locatie2!$CV$255</definedName>
    <definedName name="CO2reductieperc_2032" localSheetId="9">Locatie3!$CV$255</definedName>
    <definedName name="CO2reductieperc_2033" localSheetId="4">Blanco!$DB$255</definedName>
    <definedName name="CO2reductieperc_2033" localSheetId="10">'cluster eigendom'!$DB$255</definedName>
    <definedName name="CO2reductieperc_2033" localSheetId="11">'cluster huur'!$DB$255</definedName>
    <definedName name="CO2reductieperc_2033" localSheetId="7">Locatie1!$DB$255</definedName>
    <definedName name="CO2reductieperc_2033" localSheetId="8">Locatie2!$DB$255</definedName>
    <definedName name="CO2reductieperc_2033" localSheetId="9">Locatie3!$DB$255</definedName>
    <definedName name="CO2reductieperc_2034" localSheetId="4">Blanco!$DH$255</definedName>
    <definedName name="CO2reductieperc_2034" localSheetId="10">'cluster eigendom'!$DH$255</definedName>
    <definedName name="CO2reductieperc_2034" localSheetId="11">'cluster huur'!$DH$255</definedName>
    <definedName name="CO2reductieperc_2034" localSheetId="7">Locatie1!$DH$255</definedName>
    <definedName name="CO2reductieperc_2034" localSheetId="8">Locatie2!$DH$255</definedName>
    <definedName name="CO2reductieperc_2034" localSheetId="9">Locatie3!$DH$255</definedName>
    <definedName name="CO2reductieperc_2035" localSheetId="4">Blanco!$DN$255</definedName>
    <definedName name="CO2reductieperc_2035" localSheetId="10">'cluster eigendom'!$DN$255</definedName>
    <definedName name="CO2reductieperc_2035" localSheetId="11">'cluster huur'!$DN$255</definedName>
    <definedName name="CO2reductieperc_2035" localSheetId="7">Locatie1!$DN$255</definedName>
    <definedName name="CO2reductieperc_2035" localSheetId="8">Locatie2!$DN$255</definedName>
    <definedName name="CO2reductieperc_2035" localSheetId="9">Locatie3!$DN$255</definedName>
    <definedName name="CO2reductieperc_2036" localSheetId="4">Blanco!$DT$255</definedName>
    <definedName name="CO2reductieperc_2036" localSheetId="10">'cluster eigendom'!$DT$255</definedName>
    <definedName name="CO2reductieperc_2036" localSheetId="11">'cluster huur'!$DT$255</definedName>
    <definedName name="CO2reductieperc_2036" localSheetId="7">Locatie1!$DT$255</definedName>
    <definedName name="CO2reductieperc_2036" localSheetId="8">Locatie2!$DT$255</definedName>
    <definedName name="CO2reductieperc_2036" localSheetId="9">Locatie3!$DT$255</definedName>
    <definedName name="CO2reductieperc_2037" localSheetId="4">Blanco!$DZ$255</definedName>
    <definedName name="CO2reductieperc_2037" localSheetId="10">'cluster eigendom'!$DZ$255</definedName>
    <definedName name="CO2reductieperc_2037" localSheetId="11">'cluster huur'!$DZ$255</definedName>
    <definedName name="CO2reductieperc_2037" localSheetId="7">Locatie1!$DZ$255</definedName>
    <definedName name="CO2reductieperc_2037" localSheetId="8">Locatie2!$DZ$255</definedName>
    <definedName name="CO2reductieperc_2037" localSheetId="9">Locatie3!$DZ$255</definedName>
    <definedName name="CO2reductieperc_2038" localSheetId="4">Blanco!$EF$255</definedName>
    <definedName name="CO2reductieperc_2038" localSheetId="10">'cluster eigendom'!$EF$255</definedName>
    <definedName name="CO2reductieperc_2038" localSheetId="11">'cluster huur'!$EF$255</definedName>
    <definedName name="CO2reductieperc_2038" localSheetId="7">Locatie1!$EF$255</definedName>
    <definedName name="CO2reductieperc_2038" localSheetId="8">Locatie2!$EF$255</definedName>
    <definedName name="CO2reductieperc_2038" localSheetId="9">Locatie3!$EF$255</definedName>
    <definedName name="CO2reductieperc_2039" localSheetId="4">Blanco!$EL$255</definedName>
    <definedName name="CO2reductieperc_2039" localSheetId="10">'cluster eigendom'!$EL$255</definedName>
    <definedName name="CO2reductieperc_2039" localSheetId="11">'cluster huur'!$EL$255</definedName>
    <definedName name="CO2reductieperc_2039" localSheetId="7">Locatie1!$EL$255</definedName>
    <definedName name="CO2reductieperc_2039" localSheetId="8">Locatie2!$EL$255</definedName>
    <definedName name="CO2reductieperc_2039" localSheetId="9">Locatie3!$EL$255</definedName>
    <definedName name="CO2reductieperc_2040" localSheetId="4">Blanco!$ER$255</definedName>
    <definedName name="CO2reductieperc_2040" localSheetId="10">'cluster eigendom'!$ER$255</definedName>
    <definedName name="CO2reductieperc_2040" localSheetId="11">'cluster huur'!$ER$255</definedName>
    <definedName name="CO2reductieperc_2040" localSheetId="7">Locatie1!$ER$255</definedName>
    <definedName name="CO2reductieperc_2040" localSheetId="8">Locatie2!$ER$255</definedName>
    <definedName name="CO2reductieperc_2040" localSheetId="9">Locatie3!$ER$255</definedName>
    <definedName name="CO2reductieperc_2041" localSheetId="4">Blanco!$EX$255</definedName>
    <definedName name="CO2reductieperc_2041" localSheetId="10">'cluster eigendom'!$EX$255</definedName>
    <definedName name="CO2reductieperc_2041" localSheetId="11">'cluster huur'!$EX$255</definedName>
    <definedName name="CO2reductieperc_2041" localSheetId="7">Locatie1!$EX$255</definedName>
    <definedName name="CO2reductieperc_2041" localSheetId="8">Locatie2!$EX$255</definedName>
    <definedName name="CO2reductieperc_2041" localSheetId="9">Locatie3!$EX$255</definedName>
    <definedName name="CO2reductieperc_2042" localSheetId="4">Blanco!$FD$255</definedName>
    <definedName name="CO2reductieperc_2042" localSheetId="10">'cluster eigendom'!$FD$255</definedName>
    <definedName name="CO2reductieperc_2042" localSheetId="11">'cluster huur'!$FD$255</definedName>
    <definedName name="CO2reductieperc_2042" localSheetId="7">Locatie1!$FD$255</definedName>
    <definedName name="CO2reductieperc_2042" localSheetId="8">Locatie2!$FD$255</definedName>
    <definedName name="CO2reductieperc_2042" localSheetId="9">Locatie3!$FD$255</definedName>
    <definedName name="CO2reductieperc_2043" localSheetId="4">Blanco!$FJ$255</definedName>
    <definedName name="CO2reductieperc_2043" localSheetId="10">'cluster eigendom'!$FJ$255</definedName>
    <definedName name="CO2reductieperc_2043" localSheetId="11">'cluster huur'!$FJ$255</definedName>
    <definedName name="CO2reductieperc_2043" localSheetId="7">Locatie1!$FJ$255</definedName>
    <definedName name="CO2reductieperc_2043" localSheetId="8">Locatie2!$FJ$255</definedName>
    <definedName name="CO2reductieperc_2043" localSheetId="9">Locatie3!$FJ$255</definedName>
    <definedName name="CO2reductieperc_2044" localSheetId="4">Blanco!$FP$255</definedName>
    <definedName name="CO2reductieperc_2044" localSheetId="10">'cluster eigendom'!$FP$255</definedName>
    <definedName name="CO2reductieperc_2044" localSheetId="11">'cluster huur'!$FP$255</definedName>
    <definedName name="CO2reductieperc_2044" localSheetId="7">Locatie1!$FP$255</definedName>
    <definedName name="CO2reductieperc_2044" localSheetId="8">Locatie2!$FP$255</definedName>
    <definedName name="CO2reductieperc_2044" localSheetId="9">Locatie3!$FP$255</definedName>
    <definedName name="CO2reductieperc_2045" localSheetId="4">Blanco!$FV$255</definedName>
    <definedName name="CO2reductieperc_2045" localSheetId="10">'cluster eigendom'!$FV$255</definedName>
    <definedName name="CO2reductieperc_2045" localSheetId="11">'cluster huur'!$FV$255</definedName>
    <definedName name="CO2reductieperc_2045" localSheetId="7">Locatie1!$FV$255</definedName>
    <definedName name="CO2reductieperc_2045" localSheetId="8">Locatie2!$FV$255</definedName>
    <definedName name="CO2reductieperc_2045" localSheetId="9">Locatie3!$FV$255</definedName>
    <definedName name="CO2reductieperc_2046" localSheetId="4">Blanco!$GB$255</definedName>
    <definedName name="CO2reductieperc_2046" localSheetId="10">'cluster eigendom'!$GB$255</definedName>
    <definedName name="CO2reductieperc_2046" localSheetId="11">'cluster huur'!$GB$255</definedName>
    <definedName name="CO2reductieperc_2046" localSheetId="7">Locatie1!$GB$255</definedName>
    <definedName name="CO2reductieperc_2046" localSheetId="8">Locatie2!$GB$255</definedName>
    <definedName name="CO2reductieperc_2046" localSheetId="9">Locatie3!$GB$255</definedName>
    <definedName name="CO2reductieperc_2047" localSheetId="4">Blanco!$GH$255</definedName>
    <definedName name="CO2reductieperc_2047" localSheetId="10">'cluster eigendom'!$GH$255</definedName>
    <definedName name="CO2reductieperc_2047" localSheetId="11">'cluster huur'!$GH$255</definedName>
    <definedName name="CO2reductieperc_2047" localSheetId="7">Locatie1!$GH$255</definedName>
    <definedName name="CO2reductieperc_2047" localSheetId="8">Locatie2!$GH$255</definedName>
    <definedName name="CO2reductieperc_2047" localSheetId="9">Locatie3!$GH$255</definedName>
    <definedName name="CO2reductieperc_2048" localSheetId="4">Blanco!$GN$255</definedName>
    <definedName name="CO2reductieperc_2048" localSheetId="10">'cluster eigendom'!$GN$255</definedName>
    <definedName name="CO2reductieperc_2048" localSheetId="11">'cluster huur'!$GN$255</definedName>
    <definedName name="CO2reductieperc_2048" localSheetId="7">Locatie1!$GN$255</definedName>
    <definedName name="CO2reductieperc_2048" localSheetId="8">Locatie2!$GN$255</definedName>
    <definedName name="CO2reductieperc_2048" localSheetId="9">Locatie3!$GN$255</definedName>
    <definedName name="CO2reductieperc_2049" localSheetId="4">Blanco!$GT$255</definedName>
    <definedName name="CO2reductieperc_2049" localSheetId="10">'cluster eigendom'!$GT$255</definedName>
    <definedName name="CO2reductieperc_2049" localSheetId="11">'cluster huur'!$GT$255</definedName>
    <definedName name="CO2reductieperc_2049" localSheetId="7">Locatie1!$GT$255</definedName>
    <definedName name="CO2reductieperc_2049" localSheetId="8">Locatie2!$GT$255</definedName>
    <definedName name="CO2reductieperc_2049" localSheetId="9">Locatie3!$GT$255</definedName>
    <definedName name="CO2reductieperc_2050" localSheetId="4">Blanco!$GZ$255</definedName>
    <definedName name="CO2reductieperc_2050" localSheetId="10">'cluster eigendom'!$GZ$255</definedName>
    <definedName name="CO2reductieperc_2050" localSheetId="11">'cluster huur'!$GZ$255</definedName>
    <definedName name="CO2reductieperc_2050" localSheetId="7">Locatie1!$GZ$255</definedName>
    <definedName name="CO2reductieperc_2050" localSheetId="8">Locatie2!$GZ$255</definedName>
    <definedName name="CO2reductieperc_2050" localSheetId="9">Locatie3!$GZ$255</definedName>
    <definedName name="Duurzamewarmte_2018" localSheetId="4">Blanco!$U$242</definedName>
    <definedName name="Duurzamewarmte_2018" localSheetId="10">'cluster eigendom'!$U$242</definedName>
    <definedName name="Duurzamewarmte_2018" localSheetId="11">'cluster huur'!$U$242</definedName>
    <definedName name="Duurzamewarmte_2018" localSheetId="7">Locatie1!$U$242</definedName>
    <definedName name="Duurzamewarmte_2018" localSheetId="8">Locatie2!$U$242</definedName>
    <definedName name="Duurzamewarmte_2018" localSheetId="9">Locatie3!$U$242</definedName>
    <definedName name="Duurzamewarmte_2019" localSheetId="4">Blanco!$V$242</definedName>
    <definedName name="Duurzamewarmte_2019" localSheetId="10">'cluster eigendom'!$V$242</definedName>
    <definedName name="Duurzamewarmte_2019" localSheetId="11">'cluster huur'!$V$242</definedName>
    <definedName name="Duurzamewarmte_2019" localSheetId="7">Locatie1!$V$242</definedName>
    <definedName name="Duurzamewarmte_2019" localSheetId="8">Locatie2!$V$242</definedName>
    <definedName name="Duurzamewarmte_2019" localSheetId="9">Locatie3!$V$242</definedName>
    <definedName name="Duurzamewarmte_2020" localSheetId="4">Blanco!$AB$242</definedName>
    <definedName name="Duurzamewarmte_2020" localSheetId="10">'cluster eigendom'!$AB$242</definedName>
    <definedName name="Duurzamewarmte_2020" localSheetId="11">'cluster huur'!$AB$242</definedName>
    <definedName name="Duurzamewarmte_2020" localSheetId="7">Locatie1!$AB$242</definedName>
    <definedName name="Duurzamewarmte_2020" localSheetId="8">Locatie2!$AB$242</definedName>
    <definedName name="Duurzamewarmte_2020" localSheetId="9">Locatie3!$AB$242</definedName>
    <definedName name="Duurzamewarmte_2021" localSheetId="4">Blanco!$AH$242</definedName>
    <definedName name="Duurzamewarmte_2021" localSheetId="10">'cluster eigendom'!$AH$242</definedName>
    <definedName name="Duurzamewarmte_2021" localSheetId="11">'cluster huur'!$AH$242</definedName>
    <definedName name="Duurzamewarmte_2021" localSheetId="7">Locatie1!$AH$242</definedName>
    <definedName name="Duurzamewarmte_2021" localSheetId="8">Locatie2!$AH$242</definedName>
    <definedName name="Duurzamewarmte_2021" localSheetId="9">Locatie3!$AH$242</definedName>
    <definedName name="Duurzamewarmte_2022" localSheetId="4">Blanco!$AN$242</definedName>
    <definedName name="Duurzamewarmte_2022" localSheetId="10">'cluster eigendom'!$AN$242</definedName>
    <definedName name="Duurzamewarmte_2022" localSheetId="11">'cluster huur'!$AN$242</definedName>
    <definedName name="Duurzamewarmte_2022" localSheetId="7">Locatie1!$AN$242</definedName>
    <definedName name="Duurzamewarmte_2022" localSheetId="8">Locatie2!$AN$242</definedName>
    <definedName name="Duurzamewarmte_2022" localSheetId="9">Locatie3!$AN$242</definedName>
    <definedName name="Duurzamewarmte_2023" localSheetId="4">Blanco!$AT$242</definedName>
    <definedName name="Duurzamewarmte_2023" localSheetId="10">'cluster eigendom'!$AT$242</definedName>
    <definedName name="Duurzamewarmte_2023" localSheetId="11">'cluster huur'!$AT$242</definedName>
    <definedName name="Duurzamewarmte_2023" localSheetId="7">Locatie1!$AT$242</definedName>
    <definedName name="Duurzamewarmte_2023" localSheetId="8">Locatie2!$AT$242</definedName>
    <definedName name="Duurzamewarmte_2023" localSheetId="9">Locatie3!$AT$242</definedName>
    <definedName name="Duurzamewarmte_2024" localSheetId="4">Blanco!$AZ$242</definedName>
    <definedName name="Duurzamewarmte_2024" localSheetId="10">'cluster eigendom'!$AZ$242</definedName>
    <definedName name="Duurzamewarmte_2024" localSheetId="11">'cluster huur'!$AZ$242</definedName>
    <definedName name="Duurzamewarmte_2024" localSheetId="7">Locatie1!$AZ$242</definedName>
    <definedName name="Duurzamewarmte_2024" localSheetId="8">Locatie2!$AZ$242</definedName>
    <definedName name="Duurzamewarmte_2024" localSheetId="9">Locatie3!$AZ$242</definedName>
    <definedName name="Duurzamewarmte_2025" localSheetId="4">Blanco!$BF$242</definedName>
    <definedName name="Duurzamewarmte_2025" localSheetId="10">'cluster eigendom'!$BF$242</definedName>
    <definedName name="Duurzamewarmte_2025" localSheetId="11">'cluster huur'!$BF$242</definedName>
    <definedName name="Duurzamewarmte_2025" localSheetId="7">Locatie1!$BF$242</definedName>
    <definedName name="Duurzamewarmte_2025" localSheetId="8">Locatie2!$BF$242</definedName>
    <definedName name="Duurzamewarmte_2025" localSheetId="9">Locatie3!$BF$242</definedName>
    <definedName name="Duurzamewarmte_2026" localSheetId="4">Blanco!$BL$242</definedName>
    <definedName name="Duurzamewarmte_2026" localSheetId="10">'cluster eigendom'!$BL$242</definedName>
    <definedName name="Duurzamewarmte_2026" localSheetId="11">'cluster huur'!$BL$242</definedName>
    <definedName name="Duurzamewarmte_2026" localSheetId="7">Locatie1!$BL$242</definedName>
    <definedName name="Duurzamewarmte_2026" localSheetId="8">Locatie2!$BL$242</definedName>
    <definedName name="Duurzamewarmte_2026" localSheetId="9">Locatie3!$BL$242</definedName>
    <definedName name="Duurzamewarmte_2027" localSheetId="4">Blanco!$BR$242</definedName>
    <definedName name="Duurzamewarmte_2027" localSheetId="10">'cluster eigendom'!$BR$242</definedName>
    <definedName name="Duurzamewarmte_2027" localSheetId="11">'cluster huur'!$BR$242</definedName>
    <definedName name="Duurzamewarmte_2027" localSheetId="7">Locatie1!$BR$242</definedName>
    <definedName name="Duurzamewarmte_2027" localSheetId="8">Locatie2!$BR$242</definedName>
    <definedName name="Duurzamewarmte_2027" localSheetId="9">Locatie3!$BR$242</definedName>
    <definedName name="Duurzamewarmte_2028" localSheetId="4">Blanco!$BX$242</definedName>
    <definedName name="Duurzamewarmte_2028" localSheetId="10">'cluster eigendom'!$BX$242</definedName>
    <definedName name="Duurzamewarmte_2028" localSheetId="11">'cluster huur'!$BX$242</definedName>
    <definedName name="Duurzamewarmte_2028" localSheetId="7">Locatie1!$BX$242</definedName>
    <definedName name="Duurzamewarmte_2028" localSheetId="8">Locatie2!$BX$242</definedName>
    <definedName name="Duurzamewarmte_2028" localSheetId="9">Locatie3!$BX$242</definedName>
    <definedName name="Duurzamewarmte_2029" localSheetId="4">Blanco!$CD$242</definedName>
    <definedName name="Duurzamewarmte_2029" localSheetId="10">'cluster eigendom'!$CD$242</definedName>
    <definedName name="Duurzamewarmte_2029" localSheetId="11">'cluster huur'!$CD$242</definedName>
    <definedName name="Duurzamewarmte_2029" localSheetId="7">Locatie1!$CD$242</definedName>
    <definedName name="Duurzamewarmte_2029" localSheetId="8">Locatie2!$CD$242</definedName>
    <definedName name="Duurzamewarmte_2029" localSheetId="9">Locatie3!$CD$242</definedName>
    <definedName name="Duurzamewarmte_2030" localSheetId="4">Blanco!$CJ$242</definedName>
    <definedName name="Duurzamewarmte_2030" localSheetId="10">'cluster eigendom'!$CJ$242</definedName>
    <definedName name="Duurzamewarmte_2030" localSheetId="11">'cluster huur'!$CJ$242</definedName>
    <definedName name="Duurzamewarmte_2030" localSheetId="7">Locatie1!$CJ$242</definedName>
    <definedName name="Duurzamewarmte_2030" localSheetId="8">Locatie2!$CJ$242</definedName>
    <definedName name="Duurzamewarmte_2030" localSheetId="9">Locatie3!$CJ$242</definedName>
    <definedName name="Duurzamewarmte_2031" localSheetId="4">Blanco!$CP$242</definedName>
    <definedName name="Duurzamewarmte_2031" localSheetId="10">'cluster eigendom'!$CP$242</definedName>
    <definedName name="Duurzamewarmte_2031" localSheetId="11">'cluster huur'!$CP$242</definedName>
    <definedName name="Duurzamewarmte_2031" localSheetId="7">Locatie1!$CP$242</definedName>
    <definedName name="Duurzamewarmte_2031" localSheetId="8">Locatie2!$CP$242</definedName>
    <definedName name="Duurzamewarmte_2031" localSheetId="9">Locatie3!$CP$242</definedName>
    <definedName name="Duurzamewarmte_2032" localSheetId="4">Blanco!$CV$242</definedName>
    <definedName name="Duurzamewarmte_2032" localSheetId="10">'cluster eigendom'!$CV$242</definedName>
    <definedName name="Duurzamewarmte_2032" localSheetId="11">'cluster huur'!$CV$242</definedName>
    <definedName name="Duurzamewarmte_2032" localSheetId="7">Locatie1!$CV$242</definedName>
    <definedName name="Duurzamewarmte_2032" localSheetId="8">Locatie2!$CV$242</definedName>
    <definedName name="Duurzamewarmte_2032" localSheetId="9">Locatie3!$CV$242</definedName>
    <definedName name="Duurzamewarmte_2033" localSheetId="4">Blanco!$DB$242</definedName>
    <definedName name="Duurzamewarmte_2033" localSheetId="10">'cluster eigendom'!$DB$242</definedName>
    <definedName name="Duurzamewarmte_2033" localSheetId="11">'cluster huur'!$DB$242</definedName>
    <definedName name="Duurzamewarmte_2033" localSheetId="7">Locatie1!$DB$242</definedName>
    <definedName name="Duurzamewarmte_2033" localSheetId="8">Locatie2!$DB$242</definedName>
    <definedName name="Duurzamewarmte_2033" localSheetId="9">Locatie3!$DB$242</definedName>
    <definedName name="Duurzamewarmte_2034" localSheetId="4">Blanco!$DH$242</definedName>
    <definedName name="Duurzamewarmte_2034" localSheetId="10">'cluster eigendom'!$DH$242</definedName>
    <definedName name="Duurzamewarmte_2034" localSheetId="11">'cluster huur'!$DH$242</definedName>
    <definedName name="Duurzamewarmte_2034" localSheetId="7">Locatie1!$DH$242</definedName>
    <definedName name="Duurzamewarmte_2034" localSheetId="8">Locatie2!$DH$242</definedName>
    <definedName name="Duurzamewarmte_2034" localSheetId="9">Locatie3!$DH$242</definedName>
    <definedName name="Duurzamewarmte_2035" localSheetId="4">Blanco!$DN$242</definedName>
    <definedName name="Duurzamewarmte_2035" localSheetId="10">'cluster eigendom'!$DN$242</definedName>
    <definedName name="Duurzamewarmte_2035" localSheetId="11">'cluster huur'!$DN$242</definedName>
    <definedName name="Duurzamewarmte_2035" localSheetId="7">Locatie1!$DN$242</definedName>
    <definedName name="Duurzamewarmte_2035" localSheetId="8">Locatie2!$DN$242</definedName>
    <definedName name="Duurzamewarmte_2035" localSheetId="9">Locatie3!$DN$242</definedName>
    <definedName name="Duurzamewarmte_2036" localSheetId="4">Blanco!$DT$242</definedName>
    <definedName name="Duurzamewarmte_2036" localSheetId="10">'cluster eigendom'!$DT$242</definedName>
    <definedName name="Duurzamewarmte_2036" localSheetId="11">'cluster huur'!$DT$242</definedName>
    <definedName name="Duurzamewarmte_2036" localSheetId="7">Locatie1!$DT$242</definedName>
    <definedName name="Duurzamewarmte_2036" localSheetId="8">Locatie2!$DT$242</definedName>
    <definedName name="Duurzamewarmte_2036" localSheetId="9">Locatie3!$DT$242</definedName>
    <definedName name="Duurzamewarmte_2037" localSheetId="4">Blanco!$DZ$242</definedName>
    <definedName name="Duurzamewarmte_2037" localSheetId="10">'cluster eigendom'!$DZ$242</definedName>
    <definedName name="Duurzamewarmte_2037" localSheetId="11">'cluster huur'!$DZ$242</definedName>
    <definedName name="Duurzamewarmte_2037" localSheetId="7">Locatie1!$DZ$242</definedName>
    <definedName name="Duurzamewarmte_2037" localSheetId="8">Locatie2!$DZ$242</definedName>
    <definedName name="Duurzamewarmte_2037" localSheetId="9">Locatie3!$DZ$242</definedName>
    <definedName name="Duurzamewarmte_2038" localSheetId="4">Blanco!$EF$242</definedName>
    <definedName name="Duurzamewarmte_2038" localSheetId="10">'cluster eigendom'!$EF$242</definedName>
    <definedName name="Duurzamewarmte_2038" localSheetId="11">'cluster huur'!$EF$242</definedName>
    <definedName name="Duurzamewarmte_2038" localSheetId="7">Locatie1!$EF$242</definedName>
    <definedName name="Duurzamewarmte_2038" localSheetId="8">Locatie2!$EF$242</definedName>
    <definedName name="Duurzamewarmte_2038" localSheetId="9">Locatie3!$EF$242</definedName>
    <definedName name="Duurzamewarmte_2039" localSheetId="4">Blanco!$EL$242</definedName>
    <definedName name="Duurzamewarmte_2039" localSheetId="10">'cluster eigendom'!$EL$242</definedName>
    <definedName name="Duurzamewarmte_2039" localSheetId="11">'cluster huur'!$EL$242</definedName>
    <definedName name="Duurzamewarmte_2039" localSheetId="7">Locatie1!$EL$242</definedName>
    <definedName name="Duurzamewarmte_2039" localSheetId="8">Locatie2!$EL$242</definedName>
    <definedName name="Duurzamewarmte_2039" localSheetId="9">Locatie3!$EL$242</definedName>
    <definedName name="Duurzamewarmte_2040" localSheetId="4">Blanco!$ER$242</definedName>
    <definedName name="Duurzamewarmte_2040" localSheetId="10">'cluster eigendom'!$ER$242</definedName>
    <definedName name="Duurzamewarmte_2040" localSheetId="11">'cluster huur'!$ER$242</definedName>
    <definedName name="Duurzamewarmte_2040" localSheetId="7">Locatie1!$ER$242</definedName>
    <definedName name="Duurzamewarmte_2040" localSheetId="8">Locatie2!$ER$242</definedName>
    <definedName name="Duurzamewarmte_2040" localSheetId="9">Locatie3!$ER$242</definedName>
    <definedName name="Duurzamewarmte_2041" localSheetId="4">Blanco!$EX$242</definedName>
    <definedName name="Duurzamewarmte_2041" localSheetId="10">'cluster eigendom'!$EX$242</definedName>
    <definedName name="Duurzamewarmte_2041" localSheetId="11">'cluster huur'!$EX$242</definedName>
    <definedName name="Duurzamewarmte_2041" localSheetId="7">Locatie1!$EX$242</definedName>
    <definedName name="Duurzamewarmte_2041" localSheetId="8">Locatie2!$EX$242</definedName>
    <definedName name="Duurzamewarmte_2041" localSheetId="9">Locatie3!$EX$242</definedName>
    <definedName name="Duurzamewarmte_2042" localSheetId="4">Blanco!$FD$242</definedName>
    <definedName name="Duurzamewarmte_2042" localSheetId="10">'cluster eigendom'!$FD$242</definedName>
    <definedName name="Duurzamewarmte_2042" localSheetId="11">'cluster huur'!$FD$242</definedName>
    <definedName name="Duurzamewarmte_2042" localSheetId="7">Locatie1!$FD$242</definedName>
    <definedName name="Duurzamewarmte_2042" localSheetId="8">Locatie2!$FD$242</definedName>
    <definedName name="Duurzamewarmte_2042" localSheetId="9">Locatie3!$FD$242</definedName>
    <definedName name="Duurzamewarmte_2043" localSheetId="4">Blanco!$FJ$242</definedName>
    <definedName name="Duurzamewarmte_2043" localSheetId="10">'cluster eigendom'!$FJ$242</definedName>
    <definedName name="Duurzamewarmte_2043" localSheetId="11">'cluster huur'!$FJ$242</definedName>
    <definedName name="Duurzamewarmte_2043" localSheetId="7">Locatie1!$FJ$242</definedName>
    <definedName name="Duurzamewarmte_2043" localSheetId="8">Locatie2!$FJ$242</definedName>
    <definedName name="Duurzamewarmte_2043" localSheetId="9">Locatie3!$FJ$242</definedName>
    <definedName name="Duurzamewarmte_2044" localSheetId="4">Blanco!$FP$242</definedName>
    <definedName name="Duurzamewarmte_2044" localSheetId="10">'cluster eigendom'!$FP$242</definedName>
    <definedName name="Duurzamewarmte_2044" localSheetId="11">'cluster huur'!$FP$242</definedName>
    <definedName name="Duurzamewarmte_2044" localSheetId="7">Locatie1!$FP$242</definedName>
    <definedName name="Duurzamewarmte_2044" localSheetId="8">Locatie2!$FP$242</definedName>
    <definedName name="Duurzamewarmte_2044" localSheetId="9">Locatie3!$FP$242</definedName>
    <definedName name="Duurzamewarmte_2045" localSheetId="4">Blanco!$FV$242</definedName>
    <definedName name="Duurzamewarmte_2045" localSheetId="10">'cluster eigendom'!$FV$242</definedName>
    <definedName name="Duurzamewarmte_2045" localSheetId="11">'cluster huur'!$FV$242</definedName>
    <definedName name="Duurzamewarmte_2045" localSheetId="7">Locatie1!$FV$242</definedName>
    <definedName name="Duurzamewarmte_2045" localSheetId="8">Locatie2!$FV$242</definedName>
    <definedName name="Duurzamewarmte_2045" localSheetId="9">Locatie3!$FV$242</definedName>
    <definedName name="Duurzamewarmte_2046" localSheetId="4">Blanco!$GB$242</definedName>
    <definedName name="Duurzamewarmte_2046" localSheetId="10">'cluster eigendom'!$GB$242</definedName>
    <definedName name="Duurzamewarmte_2046" localSheetId="11">'cluster huur'!$GB$242</definedName>
    <definedName name="Duurzamewarmte_2046" localSheetId="7">Locatie1!$GB$242</definedName>
    <definedName name="Duurzamewarmte_2046" localSheetId="8">Locatie2!$GB$242</definedName>
    <definedName name="Duurzamewarmte_2046" localSheetId="9">Locatie3!$GB$242</definedName>
    <definedName name="Duurzamewarmte_2047" localSheetId="4">Blanco!$GH$242</definedName>
    <definedName name="Duurzamewarmte_2047" localSheetId="10">'cluster eigendom'!$GH$242</definedName>
    <definedName name="Duurzamewarmte_2047" localSheetId="11">'cluster huur'!$GH$242</definedName>
    <definedName name="Duurzamewarmte_2047" localSheetId="7">Locatie1!$GH$242</definedName>
    <definedName name="Duurzamewarmte_2047" localSheetId="8">Locatie2!$GH$242</definedName>
    <definedName name="Duurzamewarmte_2047" localSheetId="9">Locatie3!$GH$242</definedName>
    <definedName name="Duurzamewarmte_2048" localSheetId="4">Blanco!$GN$242</definedName>
    <definedName name="Duurzamewarmte_2048" localSheetId="10">'cluster eigendom'!$GN$242</definedName>
    <definedName name="Duurzamewarmte_2048" localSheetId="11">'cluster huur'!$GN$242</definedName>
    <definedName name="Duurzamewarmte_2048" localSheetId="7">Locatie1!$GN$242</definedName>
    <definedName name="Duurzamewarmte_2048" localSheetId="8">Locatie2!$GN$242</definedName>
    <definedName name="Duurzamewarmte_2048" localSheetId="9">Locatie3!$GN$242</definedName>
    <definedName name="Duurzamewarmte_2049" localSheetId="4">Blanco!$GT$242</definedName>
    <definedName name="Duurzamewarmte_2049" localSheetId="10">'cluster eigendom'!$GT$242</definedName>
    <definedName name="Duurzamewarmte_2049" localSheetId="11">'cluster huur'!$GT$242</definedName>
    <definedName name="Duurzamewarmte_2049" localSheetId="7">Locatie1!$GT$242</definedName>
    <definedName name="Duurzamewarmte_2049" localSheetId="8">Locatie2!$GT$242</definedName>
    <definedName name="Duurzamewarmte_2049" localSheetId="9">Locatie3!$GT$242</definedName>
    <definedName name="Duurzamewarmte_2050" localSheetId="4">Blanco!$GZ$242</definedName>
    <definedName name="Duurzamewarmte_2050" localSheetId="10">'cluster eigendom'!$GZ$242</definedName>
    <definedName name="Duurzamewarmte_2050" localSheetId="11">'cluster huur'!$GZ$242</definedName>
    <definedName name="Duurzamewarmte_2050" localSheetId="7">Locatie1!$GZ$242</definedName>
    <definedName name="Duurzamewarmte_2050" localSheetId="8">Locatie2!$GZ$242</definedName>
    <definedName name="Duurzamewarmte_2050" localSheetId="9">Locatie3!$GZ$242</definedName>
    <definedName name="Duurzamewarmtem2_2018" localSheetId="4">Blanco!$U$243</definedName>
    <definedName name="Duurzamewarmtem2_2018" localSheetId="10">'cluster eigendom'!$U$243</definedName>
    <definedName name="Duurzamewarmtem2_2018" localSheetId="11">'cluster huur'!$U$243</definedName>
    <definedName name="Duurzamewarmtem2_2018" localSheetId="7">Locatie1!$U$243</definedName>
    <definedName name="Duurzamewarmtem2_2018" localSheetId="8">Locatie2!$U$243</definedName>
    <definedName name="Duurzamewarmtem2_2018" localSheetId="9">Locatie3!$U$243</definedName>
    <definedName name="Duurzamewarmtem2_2019" localSheetId="4">Blanco!$V$243</definedName>
    <definedName name="Duurzamewarmtem2_2019" localSheetId="10">'cluster eigendom'!$V$243</definedName>
    <definedName name="Duurzamewarmtem2_2019" localSheetId="11">'cluster huur'!$V$243</definedName>
    <definedName name="Duurzamewarmtem2_2019" localSheetId="7">Locatie1!$V$243</definedName>
    <definedName name="Duurzamewarmtem2_2019" localSheetId="8">Locatie2!$V$243</definedName>
    <definedName name="Duurzamewarmtem2_2019" localSheetId="9">Locatie3!$V$243</definedName>
    <definedName name="Duurzamewarmtem2_2020" localSheetId="4">Blanco!$AB$243</definedName>
    <definedName name="Duurzamewarmtem2_2020" localSheetId="10">'cluster eigendom'!$AB$243</definedName>
    <definedName name="Duurzamewarmtem2_2020" localSheetId="11">'cluster huur'!$AB$243</definedName>
    <definedName name="Duurzamewarmtem2_2020" localSheetId="7">Locatie1!$AB$243</definedName>
    <definedName name="Duurzamewarmtem2_2020" localSheetId="8">Locatie2!$AB$243</definedName>
    <definedName name="Duurzamewarmtem2_2020" localSheetId="9">Locatie3!$AB$243</definedName>
    <definedName name="Duurzamewarmtem2_2021" localSheetId="4">Blanco!$AH$243</definedName>
    <definedName name="Duurzamewarmtem2_2021" localSheetId="10">'cluster eigendom'!$AH$243</definedName>
    <definedName name="Duurzamewarmtem2_2021" localSheetId="11">'cluster huur'!$AH$243</definedName>
    <definedName name="Duurzamewarmtem2_2021" localSheetId="7">Locatie1!$AH$243</definedName>
    <definedName name="Duurzamewarmtem2_2021" localSheetId="8">Locatie2!$AH$243</definedName>
    <definedName name="Duurzamewarmtem2_2021" localSheetId="9">Locatie3!$AH$243</definedName>
    <definedName name="Duurzamewarmtem2_2022" localSheetId="4">Blanco!$AN$243</definedName>
    <definedName name="Duurzamewarmtem2_2022" localSheetId="10">'cluster eigendom'!$AN$243</definedName>
    <definedName name="Duurzamewarmtem2_2022" localSheetId="11">'cluster huur'!$AN$243</definedName>
    <definedName name="Duurzamewarmtem2_2022" localSheetId="7">Locatie1!$AN$243</definedName>
    <definedName name="Duurzamewarmtem2_2022" localSheetId="8">Locatie2!$AN$243</definedName>
    <definedName name="Duurzamewarmtem2_2022" localSheetId="9">Locatie3!$AN$243</definedName>
    <definedName name="Duurzamewarmtem2_2023" localSheetId="4">Blanco!$AT$243</definedName>
    <definedName name="Duurzamewarmtem2_2023" localSheetId="10">'cluster eigendom'!$AT$243</definedName>
    <definedName name="Duurzamewarmtem2_2023" localSheetId="11">'cluster huur'!$AT$243</definedName>
    <definedName name="Duurzamewarmtem2_2023" localSheetId="7">Locatie1!$AT$243</definedName>
    <definedName name="Duurzamewarmtem2_2023" localSheetId="8">Locatie2!$AT$243</definedName>
    <definedName name="Duurzamewarmtem2_2023" localSheetId="9">Locatie3!$AT$243</definedName>
    <definedName name="Duurzamewarmtem2_2024" localSheetId="4">Blanco!$AZ$243</definedName>
    <definedName name="Duurzamewarmtem2_2024" localSheetId="10">'cluster eigendom'!$AZ$243</definedName>
    <definedName name="Duurzamewarmtem2_2024" localSheetId="11">'cluster huur'!$AZ$243</definedName>
    <definedName name="Duurzamewarmtem2_2024" localSheetId="7">Locatie1!$AZ$243</definedName>
    <definedName name="Duurzamewarmtem2_2024" localSheetId="8">Locatie2!$AZ$243</definedName>
    <definedName name="Duurzamewarmtem2_2024" localSheetId="9">Locatie3!$AZ$243</definedName>
    <definedName name="Duurzamewarmtem2_2025" localSheetId="4">Blanco!$BF$243</definedName>
    <definedName name="Duurzamewarmtem2_2025" localSheetId="10">'cluster eigendom'!$BF$243</definedName>
    <definedName name="Duurzamewarmtem2_2025" localSheetId="11">'cluster huur'!$BF$243</definedName>
    <definedName name="Duurzamewarmtem2_2025" localSheetId="7">Locatie1!$BF$243</definedName>
    <definedName name="Duurzamewarmtem2_2025" localSheetId="8">Locatie2!$BF$243</definedName>
    <definedName name="Duurzamewarmtem2_2025" localSheetId="9">Locatie3!$BF$243</definedName>
    <definedName name="Duurzamewarmtem2_2026" localSheetId="4">Blanco!$BL$243</definedName>
    <definedName name="Duurzamewarmtem2_2026" localSheetId="10">'cluster eigendom'!$BL$243</definedName>
    <definedName name="Duurzamewarmtem2_2026" localSheetId="11">'cluster huur'!$BL$243</definedName>
    <definedName name="Duurzamewarmtem2_2026" localSheetId="7">Locatie1!$BL$243</definedName>
    <definedName name="Duurzamewarmtem2_2026" localSheetId="8">Locatie2!$BL$243</definedName>
    <definedName name="Duurzamewarmtem2_2026" localSheetId="9">Locatie3!$BL$243</definedName>
    <definedName name="Duurzamewarmtem2_2027" localSheetId="4">Blanco!$BR$243</definedName>
    <definedName name="Duurzamewarmtem2_2027" localSheetId="10">'cluster eigendom'!$BR$243</definedName>
    <definedName name="Duurzamewarmtem2_2027" localSheetId="11">'cluster huur'!$BR$243</definedName>
    <definedName name="Duurzamewarmtem2_2027" localSheetId="7">Locatie1!$BR$243</definedName>
    <definedName name="Duurzamewarmtem2_2027" localSheetId="8">Locatie2!$BR$243</definedName>
    <definedName name="Duurzamewarmtem2_2027" localSheetId="9">Locatie3!$BR$243</definedName>
    <definedName name="Duurzamewarmtem2_2028" localSheetId="4">Blanco!$BX$243</definedName>
    <definedName name="Duurzamewarmtem2_2028" localSheetId="10">'cluster eigendom'!$BX$243</definedName>
    <definedName name="Duurzamewarmtem2_2028" localSheetId="11">'cluster huur'!$BX$243</definedName>
    <definedName name="Duurzamewarmtem2_2028" localSheetId="7">Locatie1!$BX$243</definedName>
    <definedName name="Duurzamewarmtem2_2028" localSheetId="8">Locatie2!$BX$243</definedName>
    <definedName name="Duurzamewarmtem2_2028" localSheetId="9">Locatie3!$BX$243</definedName>
    <definedName name="Duurzamewarmtem2_2029" localSheetId="4">Blanco!$CD$243</definedName>
    <definedName name="Duurzamewarmtem2_2029" localSheetId="10">'cluster eigendom'!$CD$243</definedName>
    <definedName name="Duurzamewarmtem2_2029" localSheetId="11">'cluster huur'!$CD$243</definedName>
    <definedName name="Duurzamewarmtem2_2029" localSheetId="7">Locatie1!$CD$243</definedName>
    <definedName name="Duurzamewarmtem2_2029" localSheetId="8">Locatie2!$CD$243</definedName>
    <definedName name="Duurzamewarmtem2_2029" localSheetId="9">Locatie3!$CD$243</definedName>
    <definedName name="Duurzamewarmtem2_2030" localSheetId="4">Blanco!$CJ$243</definedName>
    <definedName name="Duurzamewarmtem2_2030" localSheetId="10">'cluster eigendom'!$CJ$243</definedName>
    <definedName name="Duurzamewarmtem2_2030" localSheetId="11">'cluster huur'!$CJ$243</definedName>
    <definedName name="Duurzamewarmtem2_2030" localSheetId="7">Locatie1!$CJ$243</definedName>
    <definedName name="Duurzamewarmtem2_2030" localSheetId="8">Locatie2!$CJ$243</definedName>
    <definedName name="Duurzamewarmtem2_2030" localSheetId="9">Locatie3!$CJ$243</definedName>
    <definedName name="Duurzamewarmtem2_2031" localSheetId="4">Blanco!$CP$243</definedName>
    <definedName name="Duurzamewarmtem2_2031" localSheetId="10">'cluster eigendom'!$CP$243</definedName>
    <definedName name="Duurzamewarmtem2_2031" localSheetId="11">'cluster huur'!$CP$243</definedName>
    <definedName name="Duurzamewarmtem2_2031" localSheetId="7">Locatie1!$CP$243</definedName>
    <definedName name="Duurzamewarmtem2_2031" localSheetId="8">Locatie2!$CP$243</definedName>
    <definedName name="Duurzamewarmtem2_2031" localSheetId="9">Locatie3!$CP$243</definedName>
    <definedName name="Duurzamewarmtem2_2032" localSheetId="4">Blanco!$CV$243</definedName>
    <definedName name="Duurzamewarmtem2_2032" localSheetId="10">'cluster eigendom'!$CV$243</definedName>
    <definedName name="Duurzamewarmtem2_2032" localSheetId="11">'cluster huur'!$CV$243</definedName>
    <definedName name="Duurzamewarmtem2_2032" localSheetId="7">Locatie1!$CV$243</definedName>
    <definedName name="Duurzamewarmtem2_2032" localSheetId="8">Locatie2!$CV$243</definedName>
    <definedName name="Duurzamewarmtem2_2032" localSheetId="9">Locatie3!$CV$243</definedName>
    <definedName name="Duurzamewarmtem2_2033" localSheetId="4">Blanco!$DB$243</definedName>
    <definedName name="Duurzamewarmtem2_2033" localSheetId="10">'cluster eigendom'!$DB$243</definedName>
    <definedName name="Duurzamewarmtem2_2033" localSheetId="11">'cluster huur'!$DB$243</definedName>
    <definedName name="Duurzamewarmtem2_2033" localSheetId="7">Locatie1!$DB$243</definedName>
    <definedName name="Duurzamewarmtem2_2033" localSheetId="8">Locatie2!$DB$243</definedName>
    <definedName name="Duurzamewarmtem2_2033" localSheetId="9">Locatie3!$DB$243</definedName>
    <definedName name="Duurzamewarmtem2_2034" localSheetId="4">Blanco!$DH$243</definedName>
    <definedName name="Duurzamewarmtem2_2034" localSheetId="10">'cluster eigendom'!$DH$243</definedName>
    <definedName name="Duurzamewarmtem2_2034" localSheetId="11">'cluster huur'!$DH$243</definedName>
    <definedName name="Duurzamewarmtem2_2034" localSheetId="7">Locatie1!$DH$243</definedName>
    <definedName name="Duurzamewarmtem2_2034" localSheetId="8">Locatie2!$DH$243</definedName>
    <definedName name="Duurzamewarmtem2_2034" localSheetId="9">Locatie3!$DH$243</definedName>
    <definedName name="Duurzamewarmtem2_2035" localSheetId="4">Blanco!$DN$243</definedName>
    <definedName name="Duurzamewarmtem2_2035" localSheetId="10">'cluster eigendom'!$DN$243</definedName>
    <definedName name="Duurzamewarmtem2_2035" localSheetId="11">'cluster huur'!$DN$243</definedName>
    <definedName name="Duurzamewarmtem2_2035" localSheetId="7">Locatie1!$DN$243</definedName>
    <definedName name="Duurzamewarmtem2_2035" localSheetId="8">Locatie2!$DN$243</definedName>
    <definedName name="Duurzamewarmtem2_2035" localSheetId="9">Locatie3!$DN$243</definedName>
    <definedName name="Duurzamewarmtem2_2036" localSheetId="4">Blanco!$DT$243</definedName>
    <definedName name="Duurzamewarmtem2_2036" localSheetId="10">'cluster eigendom'!$DT$243</definedName>
    <definedName name="Duurzamewarmtem2_2036" localSheetId="11">'cluster huur'!$DT$243</definedName>
    <definedName name="Duurzamewarmtem2_2036" localSheetId="7">Locatie1!$DT$243</definedName>
    <definedName name="Duurzamewarmtem2_2036" localSheetId="8">Locatie2!$DT$243</definedName>
    <definedName name="Duurzamewarmtem2_2036" localSheetId="9">Locatie3!$DT$243</definedName>
    <definedName name="Duurzamewarmtem2_2037" localSheetId="4">Blanco!$DZ$243</definedName>
    <definedName name="Duurzamewarmtem2_2037" localSheetId="10">'cluster eigendom'!$DZ$243</definedName>
    <definedName name="Duurzamewarmtem2_2037" localSheetId="11">'cluster huur'!$DZ$243</definedName>
    <definedName name="Duurzamewarmtem2_2037" localSheetId="7">Locatie1!$DZ$243</definedName>
    <definedName name="Duurzamewarmtem2_2037" localSheetId="8">Locatie2!$DZ$243</definedName>
    <definedName name="Duurzamewarmtem2_2037" localSheetId="9">Locatie3!$DZ$243</definedName>
    <definedName name="Duurzamewarmtem2_2038" localSheetId="4">Blanco!$EF$243</definedName>
    <definedName name="Duurzamewarmtem2_2038" localSheetId="10">'cluster eigendom'!$EF$243</definedName>
    <definedName name="Duurzamewarmtem2_2038" localSheetId="11">'cluster huur'!$EF$243</definedName>
    <definedName name="Duurzamewarmtem2_2038" localSheetId="7">Locatie1!$EF$243</definedName>
    <definedName name="Duurzamewarmtem2_2038" localSheetId="8">Locatie2!$EF$243</definedName>
    <definedName name="Duurzamewarmtem2_2038" localSheetId="9">Locatie3!$EF$243</definedName>
    <definedName name="Duurzamewarmtem2_2039" localSheetId="4">Blanco!$EL$243</definedName>
    <definedName name="Duurzamewarmtem2_2039" localSheetId="10">'cluster eigendom'!$EL$243</definedName>
    <definedName name="Duurzamewarmtem2_2039" localSheetId="11">'cluster huur'!$EL$243</definedName>
    <definedName name="Duurzamewarmtem2_2039" localSheetId="7">Locatie1!$EL$243</definedName>
    <definedName name="Duurzamewarmtem2_2039" localSheetId="8">Locatie2!$EL$243</definedName>
    <definedName name="Duurzamewarmtem2_2039" localSheetId="9">Locatie3!$EL$243</definedName>
    <definedName name="Duurzamewarmtem2_2040" localSheetId="4">Blanco!$ER$243</definedName>
    <definedName name="Duurzamewarmtem2_2040" localSheetId="10">'cluster eigendom'!$ER$243</definedName>
    <definedName name="Duurzamewarmtem2_2040" localSheetId="11">'cluster huur'!$ER$243</definedName>
    <definedName name="Duurzamewarmtem2_2040" localSheetId="7">Locatie1!$ER$243</definedName>
    <definedName name="Duurzamewarmtem2_2040" localSheetId="8">Locatie2!$ER$243</definedName>
    <definedName name="Duurzamewarmtem2_2040" localSheetId="9">Locatie3!$ER$243</definedName>
    <definedName name="Duurzamewarmtem2_2041" localSheetId="4">Blanco!$EX$243</definedName>
    <definedName name="Duurzamewarmtem2_2041" localSheetId="10">'cluster eigendom'!$EX$243</definedName>
    <definedName name="Duurzamewarmtem2_2041" localSheetId="11">'cluster huur'!$EX$243</definedName>
    <definedName name="Duurzamewarmtem2_2041" localSheetId="7">Locatie1!$EX$243</definedName>
    <definedName name="Duurzamewarmtem2_2041" localSheetId="8">Locatie2!$EX$243</definedName>
    <definedName name="Duurzamewarmtem2_2041" localSheetId="9">Locatie3!$EX$243</definedName>
    <definedName name="Duurzamewarmtem2_2042" localSheetId="4">Blanco!$FD$243</definedName>
    <definedName name="Duurzamewarmtem2_2042" localSheetId="10">'cluster eigendom'!$FD$243</definedName>
    <definedName name="Duurzamewarmtem2_2042" localSheetId="11">'cluster huur'!$FD$243</definedName>
    <definedName name="Duurzamewarmtem2_2042" localSheetId="7">Locatie1!$FD$243</definedName>
    <definedName name="Duurzamewarmtem2_2042" localSheetId="8">Locatie2!$FD$243</definedName>
    <definedName name="Duurzamewarmtem2_2042" localSheetId="9">Locatie3!$FD$243</definedName>
    <definedName name="Duurzamewarmtem2_2043" localSheetId="4">Blanco!$FJ$243</definedName>
    <definedName name="Duurzamewarmtem2_2043" localSheetId="10">'cluster eigendom'!$FJ$243</definedName>
    <definedName name="Duurzamewarmtem2_2043" localSheetId="11">'cluster huur'!$FJ$243</definedName>
    <definedName name="Duurzamewarmtem2_2043" localSheetId="7">Locatie1!$FJ$243</definedName>
    <definedName name="Duurzamewarmtem2_2043" localSheetId="8">Locatie2!$FJ$243</definedName>
    <definedName name="Duurzamewarmtem2_2043" localSheetId="9">Locatie3!$FJ$243</definedName>
    <definedName name="Duurzamewarmtem2_2044" localSheetId="4">Blanco!$FP$243</definedName>
    <definedName name="Duurzamewarmtem2_2044" localSheetId="10">'cluster eigendom'!$FP$243</definedName>
    <definedName name="Duurzamewarmtem2_2044" localSheetId="11">'cluster huur'!$FP$243</definedName>
    <definedName name="Duurzamewarmtem2_2044" localSheetId="7">Locatie1!$FP$243</definedName>
    <definedName name="Duurzamewarmtem2_2044" localSheetId="8">Locatie2!$FP$243</definedName>
    <definedName name="Duurzamewarmtem2_2044" localSheetId="9">Locatie3!$FP$243</definedName>
    <definedName name="Duurzamewarmtem2_2045" localSheetId="4">Blanco!$FV$243</definedName>
    <definedName name="Duurzamewarmtem2_2045" localSheetId="10">'cluster eigendom'!$FV$243</definedName>
    <definedName name="Duurzamewarmtem2_2045" localSheetId="11">'cluster huur'!$FV$243</definedName>
    <definedName name="Duurzamewarmtem2_2045" localSheetId="7">Locatie1!$FV$243</definedName>
    <definedName name="Duurzamewarmtem2_2045" localSheetId="8">Locatie2!$FV$243</definedName>
    <definedName name="Duurzamewarmtem2_2045" localSheetId="9">Locatie3!$FV$243</definedName>
    <definedName name="Duurzamewarmtem2_2046" localSheetId="4">Blanco!$GB$243</definedName>
    <definedName name="Duurzamewarmtem2_2046" localSheetId="10">'cluster eigendom'!$GB$243</definedName>
    <definedName name="Duurzamewarmtem2_2046" localSheetId="11">'cluster huur'!$GB$243</definedName>
    <definedName name="Duurzamewarmtem2_2046" localSheetId="7">Locatie1!$GB$243</definedName>
    <definedName name="Duurzamewarmtem2_2046" localSheetId="8">Locatie2!$GB$243</definedName>
    <definedName name="Duurzamewarmtem2_2046" localSheetId="9">Locatie3!$GB$243</definedName>
    <definedName name="Duurzamewarmtem2_2047" localSheetId="4">Blanco!$GH$243</definedName>
    <definedName name="Duurzamewarmtem2_2047" localSheetId="10">'cluster eigendom'!$GH$243</definedName>
    <definedName name="Duurzamewarmtem2_2047" localSheetId="11">'cluster huur'!$GH$243</definedName>
    <definedName name="Duurzamewarmtem2_2047" localSheetId="7">Locatie1!$GH$243</definedName>
    <definedName name="Duurzamewarmtem2_2047" localSheetId="8">Locatie2!$GH$243</definedName>
    <definedName name="Duurzamewarmtem2_2047" localSheetId="9">Locatie3!$GH$243</definedName>
    <definedName name="Duurzamewarmtem2_2048" localSheetId="4">Blanco!$GN$243</definedName>
    <definedName name="Duurzamewarmtem2_2048" localSheetId="10">'cluster eigendom'!$GN$243</definedName>
    <definedName name="Duurzamewarmtem2_2048" localSheetId="11">'cluster huur'!$GN$243</definedName>
    <definedName name="Duurzamewarmtem2_2048" localSheetId="7">Locatie1!$GN$243</definedName>
    <definedName name="Duurzamewarmtem2_2048" localSheetId="8">Locatie2!$GN$243</definedName>
    <definedName name="Duurzamewarmtem2_2048" localSheetId="9">Locatie3!$GN$243</definedName>
    <definedName name="Duurzamewarmtem2_2049" localSheetId="4">Blanco!$GT$243</definedName>
    <definedName name="Duurzamewarmtem2_2049" localSheetId="10">'cluster eigendom'!$GT$243</definedName>
    <definedName name="Duurzamewarmtem2_2049" localSheetId="11">'cluster huur'!$GT$243</definedName>
    <definedName name="Duurzamewarmtem2_2049" localSheetId="7">Locatie1!$GT$243</definedName>
    <definedName name="Duurzamewarmtem2_2049" localSheetId="8">Locatie2!$GT$243</definedName>
    <definedName name="Duurzamewarmtem2_2049" localSheetId="9">Locatie3!$GT$243</definedName>
    <definedName name="Duurzamewarmtem2_2050" localSheetId="4">Blanco!$GZ$243</definedName>
    <definedName name="Duurzamewarmtem2_2050" localSheetId="10">'cluster eigendom'!$GZ$243</definedName>
    <definedName name="Duurzamewarmtem2_2050" localSheetId="11">'cluster huur'!$GZ$243</definedName>
    <definedName name="Duurzamewarmtem2_2050" localSheetId="7">Locatie1!$GZ$243</definedName>
    <definedName name="Duurzamewarmtem2_2050" localSheetId="8">Locatie2!$GZ$243</definedName>
    <definedName name="Duurzamewarmtem2_2050" localSheetId="9">Locatie3!$GZ$243</definedName>
    <definedName name="Elektriciteitsprijs">Dashboard!$X$29</definedName>
    <definedName name="Elekverbruik_2018" localSheetId="4">Blanco!$U$229</definedName>
    <definedName name="Elekverbruik_2018" localSheetId="10">'cluster eigendom'!$U$229</definedName>
    <definedName name="Elekverbruik_2018" localSheetId="11">'cluster huur'!$U$229</definedName>
    <definedName name="Elekverbruik_2018" localSheetId="7">Locatie1!$U$229</definedName>
    <definedName name="Elekverbruik_2018" localSheetId="8">Locatie2!$U$229</definedName>
    <definedName name="Elekverbruik_2018" localSheetId="9">Locatie3!$U$229</definedName>
    <definedName name="Elekverbruik_2019" localSheetId="4">Blanco!$V$229</definedName>
    <definedName name="Elekverbruik_2019" localSheetId="10">'cluster eigendom'!$V$229</definedName>
    <definedName name="Elekverbruik_2019" localSheetId="11">'cluster huur'!$V$229</definedName>
    <definedName name="Elekverbruik_2019" localSheetId="7">Locatie1!$V$229</definedName>
    <definedName name="Elekverbruik_2019" localSheetId="8">Locatie2!$V$229</definedName>
    <definedName name="Elekverbruik_2019" localSheetId="9">Locatie3!$V$229</definedName>
    <definedName name="Elekverbruik_2020" localSheetId="4">Blanco!$AB$229</definedName>
    <definedName name="Elekverbruik_2020" localSheetId="10">'cluster eigendom'!$AB$229</definedName>
    <definedName name="Elekverbruik_2020" localSheetId="11">'cluster huur'!$AB$229</definedName>
    <definedName name="Elekverbruik_2020" localSheetId="7">Locatie1!$AB$229</definedName>
    <definedName name="Elekverbruik_2020" localSheetId="8">Locatie2!$AB$229</definedName>
    <definedName name="Elekverbruik_2020" localSheetId="9">Locatie3!$AB$229</definedName>
    <definedName name="Elekverbruik_2021" localSheetId="4">Blanco!$AH$229</definedName>
    <definedName name="Elekverbruik_2021" localSheetId="10">'cluster eigendom'!$AH$229</definedName>
    <definedName name="Elekverbruik_2021" localSheetId="11">'cluster huur'!$AH$229</definedName>
    <definedName name="Elekverbruik_2021" localSheetId="7">Locatie1!$AH$229</definedName>
    <definedName name="Elekverbruik_2021" localSheetId="8">Locatie2!$AH$229</definedName>
    <definedName name="Elekverbruik_2021" localSheetId="9">Locatie3!$AH$229</definedName>
    <definedName name="Elekverbruik_2022" localSheetId="4">Blanco!$AN$229</definedName>
    <definedName name="Elekverbruik_2022" localSheetId="10">'cluster eigendom'!$AN$229</definedName>
    <definedName name="Elekverbruik_2022" localSheetId="11">'cluster huur'!$AN$229</definedName>
    <definedName name="Elekverbruik_2022" localSheetId="7">Locatie1!$AN$229</definedName>
    <definedName name="Elekverbruik_2022" localSheetId="8">Locatie2!$AN$229</definedName>
    <definedName name="Elekverbruik_2022" localSheetId="9">Locatie3!$AN$229</definedName>
    <definedName name="Elekverbruik_2023" localSheetId="4">Blanco!$AT$229</definedName>
    <definedName name="Elekverbruik_2023" localSheetId="10">'cluster eigendom'!$AT$229</definedName>
    <definedName name="Elekverbruik_2023" localSheetId="11">'cluster huur'!$AT$229</definedName>
    <definedName name="Elekverbruik_2023" localSheetId="7">Locatie1!$AT$229</definedName>
    <definedName name="Elekverbruik_2023" localSheetId="8">Locatie2!$AT$229</definedName>
    <definedName name="Elekverbruik_2023" localSheetId="9">Locatie3!$AT$229</definedName>
    <definedName name="Elekverbruik_2024" localSheetId="4">Blanco!$AZ$229</definedName>
    <definedName name="Elekverbruik_2024" localSheetId="10">'cluster eigendom'!$AZ$229</definedName>
    <definedName name="Elekverbruik_2024" localSheetId="11">'cluster huur'!$AZ$229</definedName>
    <definedName name="Elekverbruik_2024" localSheetId="7">Locatie1!$AZ$229</definedName>
    <definedName name="Elekverbruik_2024" localSheetId="8">Locatie2!$AZ$229</definedName>
    <definedName name="Elekverbruik_2024" localSheetId="9">Locatie3!$AZ$229</definedName>
    <definedName name="Elekverbruik_2025" localSheetId="4">Blanco!$BF$229</definedName>
    <definedName name="Elekverbruik_2025" localSheetId="10">'cluster eigendom'!$BF$229</definedName>
    <definedName name="Elekverbruik_2025" localSheetId="11">'cluster huur'!$BF$229</definedName>
    <definedName name="Elekverbruik_2025" localSheetId="7">Locatie1!$BF$229</definedName>
    <definedName name="Elekverbruik_2025" localSheetId="8">Locatie2!$BF$229</definedName>
    <definedName name="Elekverbruik_2025" localSheetId="9">Locatie3!$BF$229</definedName>
    <definedName name="Elekverbruik_2026" localSheetId="4">Blanco!$BL$229</definedName>
    <definedName name="Elekverbruik_2026" localSheetId="10">'cluster eigendom'!$BL$229</definedName>
    <definedName name="Elekverbruik_2026" localSheetId="11">'cluster huur'!$BL$229</definedName>
    <definedName name="Elekverbruik_2026" localSheetId="7">Locatie1!$BL$229</definedName>
    <definedName name="Elekverbruik_2026" localSheetId="8">Locatie2!$BL$229</definedName>
    <definedName name="Elekverbruik_2026" localSheetId="9">Locatie3!$BL$229</definedName>
    <definedName name="Elekverbruik_2027" localSheetId="4">Blanco!$BR$229</definedName>
    <definedName name="Elekverbruik_2027" localSheetId="10">'cluster eigendom'!$BR$229</definedName>
    <definedName name="Elekverbruik_2027" localSheetId="11">'cluster huur'!$BR$229</definedName>
    <definedName name="Elekverbruik_2027" localSheetId="7">Locatie1!$BR$229</definedName>
    <definedName name="Elekverbruik_2027" localSheetId="8">Locatie2!$BR$229</definedName>
    <definedName name="Elekverbruik_2027" localSheetId="9">Locatie3!$BR$229</definedName>
    <definedName name="Elekverbruik_2028" localSheetId="4">Blanco!$BX$229</definedName>
    <definedName name="Elekverbruik_2028" localSheetId="10">'cluster eigendom'!$BX$229</definedName>
    <definedName name="Elekverbruik_2028" localSheetId="11">'cluster huur'!$BX$229</definedName>
    <definedName name="Elekverbruik_2028" localSheetId="7">Locatie1!$BX$229</definedName>
    <definedName name="Elekverbruik_2028" localSheetId="8">Locatie2!$BX$229</definedName>
    <definedName name="Elekverbruik_2028" localSheetId="9">Locatie3!$BX$229</definedName>
    <definedName name="Elekverbruik_2029" localSheetId="4">Blanco!$CD$229</definedName>
    <definedName name="Elekverbruik_2029" localSheetId="10">'cluster eigendom'!$CD$229</definedName>
    <definedName name="Elekverbruik_2029" localSheetId="11">'cluster huur'!$CD$229</definedName>
    <definedName name="Elekverbruik_2029" localSheetId="7">Locatie1!$CD$229</definedName>
    <definedName name="Elekverbruik_2029" localSheetId="8">Locatie2!$CD$229</definedName>
    <definedName name="Elekverbruik_2029" localSheetId="9">Locatie3!$CD$229</definedName>
    <definedName name="Elekverbruik_2030" localSheetId="4">Blanco!$CJ$229</definedName>
    <definedName name="Elekverbruik_2030" localSheetId="10">'cluster eigendom'!$CJ$229</definedName>
    <definedName name="Elekverbruik_2030" localSheetId="11">'cluster huur'!$CJ$229</definedName>
    <definedName name="Elekverbruik_2030" localSheetId="7">Locatie1!$CJ$229</definedName>
    <definedName name="Elekverbruik_2030" localSheetId="8">Locatie2!$CJ$229</definedName>
    <definedName name="Elekverbruik_2030" localSheetId="9">Locatie3!$CJ$229</definedName>
    <definedName name="Elekverbruik_2031" localSheetId="4">Blanco!$CP$229</definedName>
    <definedName name="Elekverbruik_2031" localSheetId="10">'cluster eigendom'!$CP$229</definedName>
    <definedName name="Elekverbruik_2031" localSheetId="11">'cluster huur'!$CP$229</definedName>
    <definedName name="Elekverbruik_2031" localSheetId="7">Locatie1!$CP$229</definedName>
    <definedName name="Elekverbruik_2031" localSheetId="8">Locatie2!$CP$229</definedName>
    <definedName name="Elekverbruik_2031" localSheetId="9">Locatie3!$CP$229</definedName>
    <definedName name="Elekverbruik_2032" localSheetId="4">Blanco!$CV$229</definedName>
    <definedName name="Elekverbruik_2032" localSheetId="10">'cluster eigendom'!$CV$229</definedName>
    <definedName name="Elekverbruik_2032" localSheetId="11">'cluster huur'!$CV$229</definedName>
    <definedName name="Elekverbruik_2032" localSheetId="7">Locatie1!$CV$229</definedName>
    <definedName name="Elekverbruik_2032" localSheetId="8">Locatie2!$CV$229</definedName>
    <definedName name="Elekverbruik_2032" localSheetId="9">Locatie3!$CV$229</definedName>
    <definedName name="Elekverbruik_2033" localSheetId="4">Blanco!$DB$229</definedName>
    <definedName name="Elekverbruik_2033" localSheetId="10">'cluster eigendom'!$DB$229</definedName>
    <definedName name="Elekverbruik_2033" localSheetId="11">'cluster huur'!$DB$229</definedName>
    <definedName name="Elekverbruik_2033" localSheetId="7">Locatie1!$DB$229</definedName>
    <definedName name="Elekverbruik_2033" localSheetId="8">Locatie2!$DB$229</definedName>
    <definedName name="Elekverbruik_2033" localSheetId="9">Locatie3!$DB$229</definedName>
    <definedName name="Elekverbruik_2034" localSheetId="4">Blanco!$DH$229</definedName>
    <definedName name="Elekverbruik_2034" localSheetId="10">'cluster eigendom'!$DH$229</definedName>
    <definedName name="Elekverbruik_2034" localSheetId="11">'cluster huur'!$DH$229</definedName>
    <definedName name="Elekverbruik_2034" localSheetId="7">Locatie1!$DH$229</definedName>
    <definedName name="Elekverbruik_2034" localSheetId="8">Locatie2!$DH$229</definedName>
    <definedName name="Elekverbruik_2034" localSheetId="9">Locatie3!$DH$229</definedName>
    <definedName name="Elekverbruik_2035" localSheetId="4">Blanco!$DN$229</definedName>
    <definedName name="Elekverbruik_2035" localSheetId="10">'cluster eigendom'!$DN$229</definedName>
    <definedName name="Elekverbruik_2035" localSheetId="11">'cluster huur'!$DN$229</definedName>
    <definedName name="Elekverbruik_2035" localSheetId="7">Locatie1!$DN$229</definedName>
    <definedName name="Elekverbruik_2035" localSheetId="8">Locatie2!$DN$229</definedName>
    <definedName name="Elekverbruik_2035" localSheetId="9">Locatie3!$DN$229</definedName>
    <definedName name="Elekverbruik_2036" localSheetId="4">Blanco!$DT$229</definedName>
    <definedName name="Elekverbruik_2036" localSheetId="10">'cluster eigendom'!$DT$229</definedName>
    <definedName name="Elekverbruik_2036" localSheetId="11">'cluster huur'!$DT$229</definedName>
    <definedName name="Elekverbruik_2036" localSheetId="7">Locatie1!$DT$229</definedName>
    <definedName name="Elekverbruik_2036" localSheetId="8">Locatie2!$DT$229</definedName>
    <definedName name="Elekverbruik_2036" localSheetId="9">Locatie3!$DT$229</definedName>
    <definedName name="Elekverbruik_2037" localSheetId="4">Blanco!$DZ$229</definedName>
    <definedName name="Elekverbruik_2037" localSheetId="10">'cluster eigendom'!$DZ$229</definedName>
    <definedName name="Elekverbruik_2037" localSheetId="11">'cluster huur'!$DZ$229</definedName>
    <definedName name="Elekverbruik_2037" localSheetId="7">Locatie1!$DZ$229</definedName>
    <definedName name="Elekverbruik_2037" localSheetId="8">Locatie2!$DZ$229</definedName>
    <definedName name="Elekverbruik_2037" localSheetId="9">Locatie3!$DZ$229</definedName>
    <definedName name="Elekverbruik_2038" localSheetId="4">Blanco!$EF$229</definedName>
    <definedName name="Elekverbruik_2038" localSheetId="10">'cluster eigendom'!$EF$229</definedName>
    <definedName name="Elekverbruik_2038" localSheetId="11">'cluster huur'!$EF$229</definedName>
    <definedName name="Elekverbruik_2038" localSheetId="7">Locatie1!$EF$229</definedName>
    <definedName name="Elekverbruik_2038" localSheetId="8">Locatie2!$EF$229</definedName>
    <definedName name="Elekverbruik_2038" localSheetId="9">Locatie3!$EF$229</definedName>
    <definedName name="Elekverbruik_2039" localSheetId="4">Blanco!$EL$229</definedName>
    <definedName name="Elekverbruik_2039" localSheetId="10">'cluster eigendom'!$EL$229</definedName>
    <definedName name="Elekverbruik_2039" localSheetId="11">'cluster huur'!$EL$229</definedName>
    <definedName name="Elekverbruik_2039" localSheetId="7">Locatie1!$EL$229</definedName>
    <definedName name="Elekverbruik_2039" localSheetId="8">Locatie2!$EL$229</definedName>
    <definedName name="Elekverbruik_2039" localSheetId="9">Locatie3!$EL$229</definedName>
    <definedName name="Elekverbruik_2040" localSheetId="4">Blanco!$ER$229</definedName>
    <definedName name="Elekverbruik_2040" localSheetId="10">'cluster eigendom'!$ER$229</definedName>
    <definedName name="Elekverbruik_2040" localSheetId="11">'cluster huur'!$ER$229</definedName>
    <definedName name="Elekverbruik_2040" localSheetId="7">Locatie1!$ER$229</definedName>
    <definedName name="Elekverbruik_2040" localSheetId="8">Locatie2!$ER$229</definedName>
    <definedName name="Elekverbruik_2040" localSheetId="9">Locatie3!$ER$229</definedName>
    <definedName name="Elekverbruik_2041" localSheetId="4">Blanco!$EX$229</definedName>
    <definedName name="Elekverbruik_2041" localSheetId="10">'cluster eigendom'!$EX$229</definedName>
    <definedName name="Elekverbruik_2041" localSheetId="11">'cluster huur'!$EX$229</definedName>
    <definedName name="Elekverbruik_2041" localSheetId="7">Locatie1!$EX$229</definedName>
    <definedName name="Elekverbruik_2041" localSheetId="8">Locatie2!$EX$229</definedName>
    <definedName name="Elekverbruik_2041" localSheetId="9">Locatie3!$EX$229</definedName>
    <definedName name="Elekverbruik_2042" localSheetId="4">Blanco!$FD$229</definedName>
    <definedName name="Elekverbruik_2042" localSheetId="10">'cluster eigendom'!$FD$229</definedName>
    <definedName name="Elekverbruik_2042" localSheetId="11">'cluster huur'!$FD$229</definedName>
    <definedName name="Elekverbruik_2042" localSheetId="7">Locatie1!$FD$229</definedName>
    <definedName name="Elekverbruik_2042" localSheetId="8">Locatie2!$FD$229</definedName>
    <definedName name="Elekverbruik_2042" localSheetId="9">Locatie3!$FD$229</definedName>
    <definedName name="Elekverbruik_2043" localSheetId="4">Blanco!$FJ$229</definedName>
    <definedName name="Elekverbruik_2043" localSheetId="10">'cluster eigendom'!$FJ$229</definedName>
    <definedName name="Elekverbruik_2043" localSheetId="11">'cluster huur'!$FJ$229</definedName>
    <definedName name="Elekverbruik_2043" localSheetId="7">Locatie1!$FJ$229</definedName>
    <definedName name="Elekverbruik_2043" localSheetId="8">Locatie2!$FJ$229</definedName>
    <definedName name="Elekverbruik_2043" localSheetId="9">Locatie3!$FJ$229</definedName>
    <definedName name="Elekverbruik_2044" localSheetId="4">Blanco!$FP$229</definedName>
    <definedName name="Elekverbruik_2044" localSheetId="10">'cluster eigendom'!$FP$229</definedName>
    <definedName name="Elekverbruik_2044" localSheetId="11">'cluster huur'!$FP$229</definedName>
    <definedName name="Elekverbruik_2044" localSheetId="7">Locatie1!$FP$229</definedName>
    <definedName name="Elekverbruik_2044" localSheetId="8">Locatie2!$FP$229</definedName>
    <definedName name="Elekverbruik_2044" localSheetId="9">Locatie3!$FP$229</definedName>
    <definedName name="Elekverbruik_2045" localSheetId="4">Blanco!$FV$229</definedName>
    <definedName name="Elekverbruik_2045" localSheetId="10">'cluster eigendom'!$FV$229</definedName>
    <definedName name="Elekverbruik_2045" localSheetId="11">'cluster huur'!$FV$229</definedName>
    <definedName name="Elekverbruik_2045" localSheetId="7">Locatie1!$FV$229</definedName>
    <definedName name="Elekverbruik_2045" localSheetId="8">Locatie2!$FV$229</definedName>
    <definedName name="Elekverbruik_2045" localSheetId="9">Locatie3!$FV$229</definedName>
    <definedName name="Elekverbruik_2046" localSheetId="4">Blanco!$GB$229</definedName>
    <definedName name="Elekverbruik_2046" localSheetId="10">'cluster eigendom'!$GB$229</definedName>
    <definedName name="Elekverbruik_2046" localSheetId="11">'cluster huur'!$GB$229</definedName>
    <definedName name="Elekverbruik_2046" localSheetId="7">Locatie1!$GB$229</definedName>
    <definedName name="Elekverbruik_2046" localSheetId="8">Locatie2!$GB$229</definedName>
    <definedName name="Elekverbruik_2046" localSheetId="9">Locatie3!$GB$229</definedName>
    <definedName name="Elekverbruik_2047" localSheetId="4">Blanco!$GH$229</definedName>
    <definedName name="Elekverbruik_2047" localSheetId="10">'cluster eigendom'!$GH$229</definedName>
    <definedName name="Elekverbruik_2047" localSheetId="11">'cluster huur'!$GH$229</definedName>
    <definedName name="Elekverbruik_2047" localSheetId="7">Locatie1!$GH$229</definedName>
    <definedName name="Elekverbruik_2047" localSheetId="8">Locatie2!$GH$229</definedName>
    <definedName name="Elekverbruik_2047" localSheetId="9">Locatie3!$GH$229</definedName>
    <definedName name="Elekverbruik_2048" localSheetId="4">Blanco!$GN$229</definedName>
    <definedName name="Elekverbruik_2048" localSheetId="10">'cluster eigendom'!$GN$229</definedName>
    <definedName name="Elekverbruik_2048" localSheetId="11">'cluster huur'!$GN$229</definedName>
    <definedName name="Elekverbruik_2048" localSheetId="7">Locatie1!$GN$229</definedName>
    <definedName name="Elekverbruik_2048" localSheetId="8">Locatie2!$GN$229</definedName>
    <definedName name="Elekverbruik_2048" localSheetId="9">Locatie3!$GN$229</definedName>
    <definedName name="Elekverbruik_2049" localSheetId="4">Blanco!$GT$229</definedName>
    <definedName name="Elekverbruik_2049" localSheetId="10">'cluster eigendom'!$GT$229</definedName>
    <definedName name="Elekverbruik_2049" localSheetId="11">'cluster huur'!$GT$229</definedName>
    <definedName name="Elekverbruik_2049" localSheetId="7">Locatie1!$GT$229</definedName>
    <definedName name="Elekverbruik_2049" localSheetId="8">Locatie2!$GT$229</definedName>
    <definedName name="Elekverbruik_2049" localSheetId="9">Locatie3!$GT$229</definedName>
    <definedName name="Elekverbruik_2050" localSheetId="4">Blanco!$GZ$229</definedName>
    <definedName name="Elekverbruik_2050" localSheetId="10">'cluster eigendom'!$GZ$229</definedName>
    <definedName name="Elekverbruik_2050" localSheetId="11">'cluster huur'!$GZ$229</definedName>
    <definedName name="Elekverbruik_2050" localSheetId="7">Locatie1!$GZ$229</definedName>
    <definedName name="Elekverbruik_2050" localSheetId="8">Locatie2!$GZ$229</definedName>
    <definedName name="Elekverbruik_2050" localSheetId="9">Locatie3!$GZ$229</definedName>
    <definedName name="Elekverbruikm2_2018" localSheetId="4">Blanco!$U$230</definedName>
    <definedName name="Elekverbruikm2_2018" localSheetId="10">'cluster eigendom'!$U$230</definedName>
    <definedName name="Elekverbruikm2_2018" localSheetId="11">'cluster huur'!$U$230</definedName>
    <definedName name="Elekverbruikm2_2018" localSheetId="7">Locatie1!$U$230</definedName>
    <definedName name="Elekverbruikm2_2018" localSheetId="8">Locatie2!$U$230</definedName>
    <definedName name="Elekverbruikm2_2018" localSheetId="9">Locatie3!$U$230</definedName>
    <definedName name="Elekverbruikm2_2019" localSheetId="4">Blanco!$V$230</definedName>
    <definedName name="Elekverbruikm2_2019" localSheetId="10">'cluster eigendom'!$V$230</definedName>
    <definedName name="Elekverbruikm2_2019" localSheetId="11">'cluster huur'!$V$230</definedName>
    <definedName name="Elekverbruikm2_2019" localSheetId="7">Locatie1!$V$230</definedName>
    <definedName name="Elekverbruikm2_2019" localSheetId="8">Locatie2!$V$230</definedName>
    <definedName name="Elekverbruikm2_2019" localSheetId="9">Locatie3!$V$230</definedName>
    <definedName name="Elekverbruikm2_2020" localSheetId="4">Blanco!$AB$230</definedName>
    <definedName name="Elekverbruikm2_2020" localSheetId="10">'cluster eigendom'!$AB$230</definedName>
    <definedName name="Elekverbruikm2_2020" localSheetId="11">'cluster huur'!$AB$230</definedName>
    <definedName name="Elekverbruikm2_2020" localSheetId="7">Locatie1!$AB$230</definedName>
    <definedName name="Elekverbruikm2_2020" localSheetId="8">Locatie2!$AB$230</definedName>
    <definedName name="Elekverbruikm2_2020" localSheetId="9">Locatie3!$AB$230</definedName>
    <definedName name="Elekverbruikm2_2021" localSheetId="4">Blanco!$AH$230</definedName>
    <definedName name="Elekverbruikm2_2021" localSheetId="10">'cluster eigendom'!$AH$230</definedName>
    <definedName name="Elekverbruikm2_2021" localSheetId="11">'cluster huur'!$AH$230</definedName>
    <definedName name="Elekverbruikm2_2021" localSheetId="7">Locatie1!$AH$230</definedName>
    <definedName name="Elekverbruikm2_2021" localSheetId="8">Locatie2!$AH$230</definedName>
    <definedName name="Elekverbruikm2_2021" localSheetId="9">Locatie3!$AH$230</definedName>
    <definedName name="Elekverbruikm2_2022" localSheetId="4">Blanco!$AN$230</definedName>
    <definedName name="Elekverbruikm2_2022" localSheetId="10">'cluster eigendom'!$AN$230</definedName>
    <definedName name="Elekverbruikm2_2022" localSheetId="11">'cluster huur'!$AN$230</definedName>
    <definedName name="Elekverbruikm2_2022" localSheetId="7">Locatie1!$AN$230</definedName>
    <definedName name="Elekverbruikm2_2022" localSheetId="8">Locatie2!$AN$230</definedName>
    <definedName name="Elekverbruikm2_2022" localSheetId="9">Locatie3!$AN$230</definedName>
    <definedName name="Elekverbruikm2_2023" localSheetId="4">Blanco!$AT$230</definedName>
    <definedName name="Elekverbruikm2_2023" localSheetId="10">'cluster eigendom'!$AT$230</definedName>
    <definedName name="Elekverbruikm2_2023" localSheetId="11">'cluster huur'!$AT$230</definedName>
    <definedName name="Elekverbruikm2_2023" localSheetId="7">Locatie1!$AT$230</definedName>
    <definedName name="Elekverbruikm2_2023" localSheetId="8">Locatie2!$AT$230</definedName>
    <definedName name="Elekverbruikm2_2023" localSheetId="9">Locatie3!$AT$230</definedName>
    <definedName name="Elekverbruikm2_2024" localSheetId="4">Blanco!$AZ$230</definedName>
    <definedName name="Elekverbruikm2_2024" localSheetId="10">'cluster eigendom'!$AZ$230</definedName>
    <definedName name="Elekverbruikm2_2024" localSheetId="11">'cluster huur'!$AZ$230</definedName>
    <definedName name="Elekverbruikm2_2024" localSheetId="7">Locatie1!$AZ$230</definedName>
    <definedName name="Elekverbruikm2_2024" localSheetId="8">Locatie2!$AZ$230</definedName>
    <definedName name="Elekverbruikm2_2024" localSheetId="9">Locatie3!$AZ$230</definedName>
    <definedName name="Elekverbruikm2_2025" localSheetId="4">Blanco!$BF$230</definedName>
    <definedName name="Elekverbruikm2_2025" localSheetId="10">'cluster eigendom'!$BF$230</definedName>
    <definedName name="Elekverbruikm2_2025" localSheetId="11">'cluster huur'!$BF$230</definedName>
    <definedName name="Elekverbruikm2_2025" localSheetId="7">Locatie1!$BF$230</definedName>
    <definedName name="Elekverbruikm2_2025" localSheetId="8">Locatie2!$BF$230</definedName>
    <definedName name="Elekverbruikm2_2025" localSheetId="9">Locatie3!$BF$230</definedName>
    <definedName name="Elekverbruikm2_2026" localSheetId="4">Blanco!$BL$230</definedName>
    <definedName name="Elekverbruikm2_2026" localSheetId="10">'cluster eigendom'!$BL$230</definedName>
    <definedName name="Elekverbruikm2_2026" localSheetId="11">'cluster huur'!$BL$230</definedName>
    <definedName name="Elekverbruikm2_2026" localSheetId="7">Locatie1!$BL$230</definedName>
    <definedName name="Elekverbruikm2_2026" localSheetId="8">Locatie2!$BL$230</definedName>
    <definedName name="Elekverbruikm2_2026" localSheetId="9">Locatie3!$BL$230</definedName>
    <definedName name="Elekverbruikm2_2027" localSheetId="4">Blanco!$BR$230</definedName>
    <definedName name="Elekverbruikm2_2027" localSheetId="10">'cluster eigendom'!$BR$230</definedName>
    <definedName name="Elekverbruikm2_2027" localSheetId="11">'cluster huur'!$BR$230</definedName>
    <definedName name="Elekverbruikm2_2027" localSheetId="7">Locatie1!$BR$230</definedName>
    <definedName name="Elekverbruikm2_2027" localSheetId="8">Locatie2!$BR$230</definedName>
    <definedName name="Elekverbruikm2_2027" localSheetId="9">Locatie3!$BR$230</definedName>
    <definedName name="Elekverbruikm2_2028" localSheetId="4">Blanco!$BX$230</definedName>
    <definedName name="Elekverbruikm2_2028" localSheetId="10">'cluster eigendom'!$BX$230</definedName>
    <definedName name="Elekverbruikm2_2028" localSheetId="11">'cluster huur'!$BX$230</definedName>
    <definedName name="Elekverbruikm2_2028" localSheetId="7">Locatie1!$BX$230</definedName>
    <definedName name="Elekverbruikm2_2028" localSheetId="8">Locatie2!$BX$230</definedName>
    <definedName name="Elekverbruikm2_2028" localSheetId="9">Locatie3!$BX$230</definedName>
    <definedName name="Elekverbruikm2_2029" localSheetId="4">Blanco!$CD$230</definedName>
    <definedName name="Elekverbruikm2_2029" localSheetId="10">'cluster eigendom'!$CD$230</definedName>
    <definedName name="Elekverbruikm2_2029" localSheetId="11">'cluster huur'!$CD$230</definedName>
    <definedName name="Elekverbruikm2_2029" localSheetId="7">Locatie1!$CD$230</definedName>
    <definedName name="Elekverbruikm2_2029" localSheetId="8">Locatie2!$CD$230</definedName>
    <definedName name="Elekverbruikm2_2029" localSheetId="9">Locatie3!$CD$230</definedName>
    <definedName name="Elekverbruikm2_2030" localSheetId="4">Blanco!$CJ$230</definedName>
    <definedName name="Elekverbruikm2_2030" localSheetId="10">'cluster eigendom'!$CJ$230</definedName>
    <definedName name="Elekverbruikm2_2030" localSheetId="11">'cluster huur'!$CJ$230</definedName>
    <definedName name="Elekverbruikm2_2030" localSheetId="7">Locatie1!$CJ$230</definedName>
    <definedName name="Elekverbruikm2_2030" localSheetId="8">Locatie2!$CJ$230</definedName>
    <definedName name="Elekverbruikm2_2030" localSheetId="9">Locatie3!$CJ$230</definedName>
    <definedName name="Elekverbruikm2_2031" localSheetId="4">Blanco!$CP$230</definedName>
    <definedName name="Elekverbruikm2_2031" localSheetId="10">'cluster eigendom'!$CP$230</definedName>
    <definedName name="Elekverbruikm2_2031" localSheetId="11">'cluster huur'!$CP$230</definedName>
    <definedName name="Elekverbruikm2_2031" localSheetId="7">Locatie1!$CP$230</definedName>
    <definedName name="Elekverbruikm2_2031" localSheetId="8">Locatie2!$CP$230</definedName>
    <definedName name="Elekverbruikm2_2031" localSheetId="9">Locatie3!$CP$230</definedName>
    <definedName name="Elekverbruikm2_2032" localSheetId="4">Blanco!$CV$230</definedName>
    <definedName name="Elekverbruikm2_2032" localSheetId="10">'cluster eigendom'!$CV$230</definedName>
    <definedName name="Elekverbruikm2_2032" localSheetId="11">'cluster huur'!$CV$230</definedName>
    <definedName name="Elekverbruikm2_2032" localSheetId="7">Locatie1!$CV$230</definedName>
    <definedName name="Elekverbruikm2_2032" localSheetId="8">Locatie2!$CV$230</definedName>
    <definedName name="Elekverbruikm2_2032" localSheetId="9">Locatie3!$CV$230</definedName>
    <definedName name="Elekverbruikm2_2033" localSheetId="4">Blanco!$DB$230</definedName>
    <definedName name="Elekverbruikm2_2033" localSheetId="10">'cluster eigendom'!$DB$230</definedName>
    <definedName name="Elekverbruikm2_2033" localSheetId="11">'cluster huur'!$DB$230</definedName>
    <definedName name="Elekverbruikm2_2033" localSheetId="7">Locatie1!$DB$230</definedName>
    <definedName name="Elekverbruikm2_2033" localSheetId="8">Locatie2!$DB$230</definedName>
    <definedName name="Elekverbruikm2_2033" localSheetId="9">Locatie3!$DB$230</definedName>
    <definedName name="Elekverbruikm2_2034" localSheetId="4">Blanco!$DH$230</definedName>
    <definedName name="Elekverbruikm2_2034" localSheetId="10">'cluster eigendom'!$DH$230</definedName>
    <definedName name="Elekverbruikm2_2034" localSheetId="11">'cluster huur'!$DH$230</definedName>
    <definedName name="Elekverbruikm2_2034" localSheetId="7">Locatie1!$DH$230</definedName>
    <definedName name="Elekverbruikm2_2034" localSheetId="8">Locatie2!$DH$230</definedName>
    <definedName name="Elekverbruikm2_2034" localSheetId="9">Locatie3!$DH$230</definedName>
    <definedName name="Elekverbruikm2_2035" localSheetId="4">Blanco!$DN$230</definedName>
    <definedName name="Elekverbruikm2_2035" localSheetId="10">'cluster eigendom'!$DN$230</definedName>
    <definedName name="Elekverbruikm2_2035" localSheetId="11">'cluster huur'!$DN$230</definedName>
    <definedName name="Elekverbruikm2_2035" localSheetId="7">Locatie1!$DN$230</definedName>
    <definedName name="Elekverbruikm2_2035" localSheetId="8">Locatie2!$DN$230</definedName>
    <definedName name="Elekverbruikm2_2035" localSheetId="9">Locatie3!$DN$230</definedName>
    <definedName name="Elekverbruikm2_2036" localSheetId="4">Blanco!$DT$230</definedName>
    <definedName name="Elekverbruikm2_2036" localSheetId="10">'cluster eigendom'!$DT$230</definedName>
    <definedName name="Elekverbruikm2_2036" localSheetId="11">'cluster huur'!$DT$230</definedName>
    <definedName name="Elekverbruikm2_2036" localSheetId="7">Locatie1!$DT$230</definedName>
    <definedName name="Elekverbruikm2_2036" localSheetId="8">Locatie2!$DT$230</definedName>
    <definedName name="Elekverbruikm2_2036" localSheetId="9">Locatie3!$DT$230</definedName>
    <definedName name="Elekverbruikm2_2037" localSheetId="4">Blanco!$DZ$230</definedName>
    <definedName name="Elekverbruikm2_2037" localSheetId="10">'cluster eigendom'!$DZ$230</definedName>
    <definedName name="Elekverbruikm2_2037" localSheetId="11">'cluster huur'!$DZ$230</definedName>
    <definedName name="Elekverbruikm2_2037" localSheetId="7">Locatie1!$DZ$230</definedName>
    <definedName name="Elekverbruikm2_2037" localSheetId="8">Locatie2!$DZ$230</definedName>
    <definedName name="Elekverbruikm2_2037" localSheetId="9">Locatie3!$DZ$230</definedName>
    <definedName name="Elekverbruikm2_2038" localSheetId="4">Blanco!$EF$230</definedName>
    <definedName name="Elekverbruikm2_2038" localSheetId="10">'cluster eigendom'!$EF$230</definedName>
    <definedName name="Elekverbruikm2_2038" localSheetId="11">'cluster huur'!$EF$230</definedName>
    <definedName name="Elekverbruikm2_2038" localSheetId="7">Locatie1!$EF$230</definedName>
    <definedName name="Elekverbruikm2_2038" localSheetId="8">Locatie2!$EF$230</definedName>
    <definedName name="Elekverbruikm2_2038" localSheetId="9">Locatie3!$EF$230</definedName>
    <definedName name="Elekverbruikm2_2039" localSheetId="4">Blanco!$EL$230</definedName>
    <definedName name="Elekverbruikm2_2039" localSheetId="10">'cluster eigendom'!$EL$230</definedName>
    <definedName name="Elekverbruikm2_2039" localSheetId="11">'cluster huur'!$EL$230</definedName>
    <definedName name="Elekverbruikm2_2039" localSheetId="7">Locatie1!$EL$230</definedName>
    <definedName name="Elekverbruikm2_2039" localSheetId="8">Locatie2!$EL$230</definedName>
    <definedName name="Elekverbruikm2_2039" localSheetId="9">Locatie3!$EL$230</definedName>
    <definedName name="Elekverbruikm2_2040" localSheetId="4">Blanco!$ER$230</definedName>
    <definedName name="Elekverbruikm2_2040" localSheetId="10">'cluster eigendom'!$ER$230</definedName>
    <definedName name="Elekverbruikm2_2040" localSheetId="11">'cluster huur'!$ER$230</definedName>
    <definedName name="Elekverbruikm2_2040" localSheetId="7">Locatie1!$ER$230</definedName>
    <definedName name="Elekverbruikm2_2040" localSheetId="8">Locatie2!$ER$230</definedName>
    <definedName name="Elekverbruikm2_2040" localSheetId="9">Locatie3!$ER$230</definedName>
    <definedName name="Elekverbruikm2_2041" localSheetId="4">Blanco!$EX$230</definedName>
    <definedName name="Elekverbruikm2_2041" localSheetId="10">'cluster eigendom'!$EX$230</definedName>
    <definedName name="Elekverbruikm2_2041" localSheetId="11">'cluster huur'!$EX$230</definedName>
    <definedName name="Elekverbruikm2_2041" localSheetId="7">Locatie1!$EX$230</definedName>
    <definedName name="Elekverbruikm2_2041" localSheetId="8">Locatie2!$EX$230</definedName>
    <definedName name="Elekverbruikm2_2041" localSheetId="9">Locatie3!$EX$230</definedName>
    <definedName name="Elekverbruikm2_2042" localSheetId="4">Blanco!$FD$230</definedName>
    <definedName name="Elekverbruikm2_2042" localSheetId="10">'cluster eigendom'!$FD$230</definedName>
    <definedName name="Elekverbruikm2_2042" localSheetId="11">'cluster huur'!$FD$230</definedName>
    <definedName name="Elekverbruikm2_2042" localSheetId="7">Locatie1!$FD$230</definedName>
    <definedName name="Elekverbruikm2_2042" localSheetId="8">Locatie2!$FD$230</definedName>
    <definedName name="Elekverbruikm2_2042" localSheetId="9">Locatie3!$FD$230</definedName>
    <definedName name="Elekverbruikm2_2043" localSheetId="4">Blanco!$FJ$230</definedName>
    <definedName name="Elekverbruikm2_2043" localSheetId="10">'cluster eigendom'!$FJ$230</definedName>
    <definedName name="Elekverbruikm2_2043" localSheetId="11">'cluster huur'!$FJ$230</definedName>
    <definedName name="Elekverbruikm2_2043" localSheetId="7">Locatie1!$FJ$230</definedName>
    <definedName name="Elekverbruikm2_2043" localSheetId="8">Locatie2!$FJ$230</definedName>
    <definedName name="Elekverbruikm2_2043" localSheetId="9">Locatie3!$FJ$230</definedName>
    <definedName name="Elekverbruikm2_2044" localSheetId="4">Blanco!$FP$230</definedName>
    <definedName name="Elekverbruikm2_2044" localSheetId="10">'cluster eigendom'!$FP$230</definedName>
    <definedName name="Elekverbruikm2_2044" localSheetId="11">'cluster huur'!$FP$230</definedName>
    <definedName name="Elekverbruikm2_2044" localSheetId="7">Locatie1!$FP$230</definedName>
    <definedName name="Elekverbruikm2_2044" localSheetId="8">Locatie2!$FP$230</definedName>
    <definedName name="Elekverbruikm2_2044" localSheetId="9">Locatie3!$FP$230</definedName>
    <definedName name="Elekverbruikm2_2045" localSheetId="4">Blanco!$FV$230</definedName>
    <definedName name="Elekverbruikm2_2045" localSheetId="10">'cluster eigendom'!$FV$230</definedName>
    <definedName name="Elekverbruikm2_2045" localSheetId="11">'cluster huur'!$FV$230</definedName>
    <definedName name="Elekverbruikm2_2045" localSheetId="7">Locatie1!$FV$230</definedName>
    <definedName name="Elekverbruikm2_2045" localSheetId="8">Locatie2!$FV$230</definedName>
    <definedName name="Elekverbruikm2_2045" localSheetId="9">Locatie3!$FV$230</definedName>
    <definedName name="Elekverbruikm2_2046" localSheetId="4">Blanco!$GB$230</definedName>
    <definedName name="Elekverbruikm2_2046" localSheetId="10">'cluster eigendom'!$GB$230</definedName>
    <definedName name="Elekverbruikm2_2046" localSheetId="11">'cluster huur'!$GB$230</definedName>
    <definedName name="Elekverbruikm2_2046" localSheetId="7">Locatie1!$GB$230</definedName>
    <definedName name="Elekverbruikm2_2046" localSheetId="8">Locatie2!$GB$230</definedName>
    <definedName name="Elekverbruikm2_2046" localSheetId="9">Locatie3!$GB$230</definedName>
    <definedName name="Elekverbruikm2_2047" localSheetId="4">Blanco!$GH$230</definedName>
    <definedName name="Elekverbruikm2_2047" localSheetId="10">'cluster eigendom'!$GH$230</definedName>
    <definedName name="Elekverbruikm2_2047" localSheetId="11">'cluster huur'!$GH$230</definedName>
    <definedName name="Elekverbruikm2_2047" localSheetId="7">Locatie1!$GH$230</definedName>
    <definedName name="Elekverbruikm2_2047" localSheetId="8">Locatie2!$GH$230</definedName>
    <definedName name="Elekverbruikm2_2047" localSheetId="9">Locatie3!$GH$230</definedName>
    <definedName name="Elekverbruikm2_2048" localSheetId="4">Blanco!$GN$230</definedName>
    <definedName name="Elekverbruikm2_2048" localSheetId="10">'cluster eigendom'!$GN$230</definedName>
    <definedName name="Elekverbruikm2_2048" localSheetId="11">'cluster huur'!$GN$230</definedName>
    <definedName name="Elekverbruikm2_2048" localSheetId="7">Locatie1!$GN$230</definedName>
    <definedName name="Elekverbruikm2_2048" localSheetId="8">Locatie2!$GN$230</definedName>
    <definedName name="Elekverbruikm2_2048" localSheetId="9">Locatie3!$GN$230</definedName>
    <definedName name="Elekverbruikm2_2049" localSheetId="4">Blanco!$GT$230</definedName>
    <definedName name="Elekverbruikm2_2049" localSheetId="10">'cluster eigendom'!$GT$230</definedName>
    <definedName name="Elekverbruikm2_2049" localSheetId="11">'cluster huur'!$GT$230</definedName>
    <definedName name="Elekverbruikm2_2049" localSheetId="7">Locatie1!$GT$230</definedName>
    <definedName name="Elekverbruikm2_2049" localSheetId="8">Locatie2!$GT$230</definedName>
    <definedName name="Elekverbruikm2_2049" localSheetId="9">Locatie3!$GT$230</definedName>
    <definedName name="Elekverbruikm2_2050" localSheetId="4">Blanco!$GZ$230</definedName>
    <definedName name="Elekverbruikm2_2050" localSheetId="10">'cluster eigendom'!$GZ$230</definedName>
    <definedName name="Elekverbruikm2_2050" localSheetId="11">'cluster huur'!$GZ$230</definedName>
    <definedName name="Elekverbruikm2_2050" localSheetId="7">Locatie1!$GZ$230</definedName>
    <definedName name="Elekverbruikm2_2050" localSheetId="8">Locatie2!$GZ$230</definedName>
    <definedName name="Elekverbruikm2_2050" localSheetId="9">Locatie3!$GZ$230</definedName>
    <definedName name="Energieverbruikm2_2050" localSheetId="4">Blanco!$GZ$240</definedName>
    <definedName name="Energieverbruikm2_2050" localSheetId="10">'cluster eigendom'!$GZ$240</definedName>
    <definedName name="Energieverbruikm2_2050" localSheetId="11">'cluster huur'!$GZ$240</definedName>
    <definedName name="Energieverbruikm2_2050" localSheetId="7">Locatie1!$GZ$240</definedName>
    <definedName name="Energieverbruikm2_2050" localSheetId="8">Locatie2!$GZ$240</definedName>
    <definedName name="Energieverbruikm2_2050" localSheetId="9">Locatie3!$GZ$240</definedName>
    <definedName name="GO_2018" localSheetId="4">Blanco!$U$222</definedName>
    <definedName name="GO_2018" localSheetId="10">'cluster eigendom'!$U$222</definedName>
    <definedName name="GO_2018" localSheetId="11">'cluster huur'!$U$222</definedName>
    <definedName name="GO_2018" localSheetId="7">Locatie1!$U$222</definedName>
    <definedName name="GO_2018" localSheetId="8">Locatie2!$U$222</definedName>
    <definedName name="GO_2018" localSheetId="9">Locatie3!$U$222</definedName>
    <definedName name="GO_2019" localSheetId="4">Blanco!$V$222</definedName>
    <definedName name="GO_2019" localSheetId="10">'cluster eigendom'!$V$222</definedName>
    <definedName name="GO_2019" localSheetId="11">'cluster huur'!$V$222</definedName>
    <definedName name="GO_2019" localSheetId="7">Locatie1!$V$222</definedName>
    <definedName name="GO_2019" localSheetId="8">Locatie2!$V$222</definedName>
    <definedName name="GO_2019" localSheetId="9">Locatie3!$V$222</definedName>
    <definedName name="GO_2020" localSheetId="4">Blanco!$AB$222</definedName>
    <definedName name="GO_2020" localSheetId="10">'cluster eigendom'!$AB$222</definedName>
    <definedName name="GO_2020" localSheetId="11">'cluster huur'!$AB$222</definedName>
    <definedName name="GO_2020" localSheetId="7">Locatie1!$AB$222</definedName>
    <definedName name="GO_2020" localSheetId="8">Locatie2!$AB$222</definedName>
    <definedName name="GO_2020" localSheetId="9">Locatie3!$AB$222</definedName>
    <definedName name="GO_2021" localSheetId="4">Blanco!$AH$222</definedName>
    <definedName name="GO_2021" localSheetId="10">'cluster eigendom'!$AH$222</definedName>
    <definedName name="GO_2021" localSheetId="11">'cluster huur'!$AH$222</definedName>
    <definedName name="GO_2021" localSheetId="7">Locatie1!$AH$222</definedName>
    <definedName name="GO_2021" localSheetId="8">Locatie2!$AH$222</definedName>
    <definedName name="GO_2021" localSheetId="9">Locatie3!$AH$222</definedName>
    <definedName name="GO_2022" localSheetId="4">Blanco!$AN$222</definedName>
    <definedName name="GO_2022" localSheetId="10">'cluster eigendom'!$AN$222</definedName>
    <definedName name="GO_2022" localSheetId="11">'cluster huur'!$AN$222</definedName>
    <definedName name="GO_2022" localSheetId="7">Locatie1!$AN$222</definedName>
    <definedName name="GO_2022" localSheetId="8">Locatie2!$AN$222</definedName>
    <definedName name="GO_2022" localSheetId="9">Locatie3!$AN$222</definedName>
    <definedName name="GO_2023" localSheetId="4">Blanco!$AT$222</definedName>
    <definedName name="GO_2023" localSheetId="10">'cluster eigendom'!$AT$222</definedName>
    <definedName name="GO_2023" localSheetId="11">'cluster huur'!$AT$222</definedName>
    <definedName name="GO_2023" localSheetId="7">Locatie1!$AT$222</definedName>
    <definedName name="GO_2023" localSheetId="8">Locatie2!$AT$222</definedName>
    <definedName name="GO_2023" localSheetId="9">Locatie3!$AT$222</definedName>
    <definedName name="GO_2024" localSheetId="4">Blanco!$AZ$222</definedName>
    <definedName name="GO_2024" localSheetId="10">'cluster eigendom'!$AZ$222</definedName>
    <definedName name="GO_2024" localSheetId="11">'cluster huur'!$AZ$222</definedName>
    <definedName name="GO_2024" localSheetId="7">Locatie1!$AZ$222</definedName>
    <definedName name="GO_2024" localSheetId="8">Locatie2!$AZ$222</definedName>
    <definedName name="GO_2024" localSheetId="9">Locatie3!$AZ$222</definedName>
    <definedName name="GO_2025" localSheetId="4">Blanco!$BF$222</definedName>
    <definedName name="GO_2025" localSheetId="10">'cluster eigendom'!$BF$222</definedName>
    <definedName name="GO_2025" localSheetId="11">'cluster huur'!$BF$222</definedName>
    <definedName name="GO_2025" localSheetId="7">Locatie1!$BF$222</definedName>
    <definedName name="GO_2025" localSheetId="8">Locatie2!$BF$222</definedName>
    <definedName name="GO_2025" localSheetId="9">Locatie3!$BF$222</definedName>
    <definedName name="GO_2026" localSheetId="4">Blanco!$BL$222</definedName>
    <definedName name="GO_2026" localSheetId="10">'cluster eigendom'!$BL$222</definedName>
    <definedName name="GO_2026" localSheetId="11">'cluster huur'!$BL$222</definedName>
    <definedName name="GO_2026" localSheetId="7">Locatie1!$BL$222</definedName>
    <definedName name="GO_2026" localSheetId="8">Locatie2!$BL$222</definedName>
    <definedName name="GO_2026" localSheetId="9">Locatie3!$BL$222</definedName>
    <definedName name="GO_2027" localSheetId="4">Blanco!$BR$222</definedName>
    <definedName name="GO_2027" localSheetId="10">'cluster eigendom'!$BR$222</definedName>
    <definedName name="GO_2027" localSheetId="11">'cluster huur'!$BR$222</definedName>
    <definedName name="GO_2027" localSheetId="7">Locatie1!$BR$222</definedName>
    <definedName name="GO_2027" localSheetId="8">Locatie2!$BR$222</definedName>
    <definedName name="GO_2027" localSheetId="9">Locatie3!$BR$222</definedName>
    <definedName name="GO_2028" localSheetId="4">Blanco!$BX$222</definedName>
    <definedName name="GO_2028" localSheetId="10">'cluster eigendom'!$BX$222</definedName>
    <definedName name="GO_2028" localSheetId="11">'cluster huur'!$BX$222</definedName>
    <definedName name="GO_2028" localSheetId="7">Locatie1!$BX$222</definedName>
    <definedName name="GO_2028" localSheetId="8">Locatie2!$BX$222</definedName>
    <definedName name="GO_2028" localSheetId="9">Locatie3!$BX$222</definedName>
    <definedName name="GO_2029" localSheetId="4">Blanco!$CD$222</definedName>
    <definedName name="GO_2029" localSheetId="10">'cluster eigendom'!$CD$222</definedName>
    <definedName name="GO_2029" localSheetId="11">'cluster huur'!$CD$222</definedName>
    <definedName name="GO_2029" localSheetId="7">Locatie1!$CD$222</definedName>
    <definedName name="GO_2029" localSheetId="8">Locatie2!$CD$222</definedName>
    <definedName name="GO_2029" localSheetId="9">Locatie3!$CD$222</definedName>
    <definedName name="GO_2030" localSheetId="4">Blanco!$CJ$222</definedName>
    <definedName name="GO_2030" localSheetId="10">'cluster eigendom'!$CJ$222</definedName>
    <definedName name="GO_2030" localSheetId="11">'cluster huur'!$CJ$222</definedName>
    <definedName name="GO_2030" localSheetId="7">Locatie1!$CJ$222</definedName>
    <definedName name="GO_2030" localSheetId="8">Locatie2!$CJ$222</definedName>
    <definedName name="GO_2030" localSheetId="9">Locatie3!$CJ$222</definedName>
    <definedName name="GO_2031" localSheetId="4">Blanco!$CP$222</definedName>
    <definedName name="GO_2031" localSheetId="10">'cluster eigendom'!$CP$222</definedName>
    <definedName name="GO_2031" localSheetId="11">'cluster huur'!$CP$222</definedName>
    <definedName name="GO_2031" localSheetId="7">Locatie1!$CP$222</definedName>
    <definedName name="GO_2031" localSheetId="8">Locatie2!$CP$222</definedName>
    <definedName name="GO_2031" localSheetId="9">Locatie3!$CP$222</definedName>
    <definedName name="GO_2032" localSheetId="4">Blanco!$CV$222</definedName>
    <definedName name="GO_2032" localSheetId="10">'cluster eigendom'!$CV$222</definedName>
    <definedName name="GO_2032" localSheetId="11">'cluster huur'!$CV$222</definedName>
    <definedName name="GO_2032" localSheetId="7">Locatie1!$CV$222</definedName>
    <definedName name="GO_2032" localSheetId="8">Locatie2!$CV$222</definedName>
    <definedName name="GO_2032" localSheetId="9">Locatie3!$CV$222</definedName>
    <definedName name="GO_2033" localSheetId="4">Blanco!$DB$222</definedName>
    <definedName name="GO_2033" localSheetId="10">'cluster eigendom'!$DB$222</definedName>
    <definedName name="GO_2033" localSheetId="11">'cluster huur'!$DB$222</definedName>
    <definedName name="GO_2033" localSheetId="7">Locatie1!$DB$222</definedName>
    <definedName name="GO_2033" localSheetId="8">Locatie2!$DB$222</definedName>
    <definedName name="GO_2033" localSheetId="9">Locatie3!$DB$222</definedName>
    <definedName name="GO_2034" localSheetId="4">Blanco!$DH$222</definedName>
    <definedName name="GO_2034" localSheetId="10">'cluster eigendom'!$DH$222</definedName>
    <definedName name="GO_2034" localSheetId="11">'cluster huur'!$DH$222</definedName>
    <definedName name="GO_2034" localSheetId="7">Locatie1!$DH$222</definedName>
    <definedName name="GO_2034" localSheetId="8">Locatie2!$DH$222</definedName>
    <definedName name="GO_2034" localSheetId="9">Locatie3!$DH$222</definedName>
    <definedName name="GO_2035" localSheetId="4">Blanco!$DN$222</definedName>
    <definedName name="GO_2035" localSheetId="10">'cluster eigendom'!$DN$222</definedName>
    <definedName name="GO_2035" localSheetId="11">'cluster huur'!$DN$222</definedName>
    <definedName name="GO_2035" localSheetId="7">Locatie1!$DN$222</definedName>
    <definedName name="GO_2035" localSheetId="8">Locatie2!$DN$222</definedName>
    <definedName name="GO_2035" localSheetId="9">Locatie3!$DN$222</definedName>
    <definedName name="GO_2036" localSheetId="4">Blanco!$DT$222</definedName>
    <definedName name="GO_2036" localSheetId="10">'cluster eigendom'!$DT$222</definedName>
    <definedName name="GO_2036" localSheetId="11">'cluster huur'!$DT$222</definedName>
    <definedName name="GO_2036" localSheetId="7">Locatie1!$DT$222</definedName>
    <definedName name="GO_2036" localSheetId="8">Locatie2!$DT$222</definedName>
    <definedName name="GO_2036" localSheetId="9">Locatie3!$DT$222</definedName>
    <definedName name="GO_2037" localSheetId="4">Blanco!$DZ$222</definedName>
    <definedName name="GO_2037" localSheetId="10">'cluster eigendom'!$DZ$222</definedName>
    <definedName name="GO_2037" localSheetId="11">'cluster huur'!$DZ$222</definedName>
    <definedName name="GO_2037" localSheetId="7">Locatie1!$DZ$222</definedName>
    <definedName name="GO_2037" localSheetId="8">Locatie2!$DZ$222</definedName>
    <definedName name="GO_2037" localSheetId="9">Locatie3!$DZ$222</definedName>
    <definedName name="GO_2038" localSheetId="4">Blanco!$EF$222</definedName>
    <definedName name="GO_2038" localSheetId="10">'cluster eigendom'!$EF$222</definedName>
    <definedName name="GO_2038" localSheetId="11">'cluster huur'!$EF$222</definedName>
    <definedName name="GO_2038" localSheetId="7">Locatie1!$EF$222</definedName>
    <definedName name="GO_2038" localSheetId="8">Locatie2!$EF$222</definedName>
    <definedName name="GO_2038" localSheetId="9">Locatie3!$EF$222</definedName>
    <definedName name="GO_2039" localSheetId="4">Blanco!$EL$222</definedName>
    <definedName name="GO_2039" localSheetId="10">'cluster eigendom'!$EL$222</definedName>
    <definedName name="GO_2039" localSheetId="11">'cluster huur'!$EL$222</definedName>
    <definedName name="GO_2039" localSheetId="7">Locatie1!$EL$222</definedName>
    <definedName name="GO_2039" localSheetId="8">Locatie2!$EL$222</definedName>
    <definedName name="GO_2039" localSheetId="9">Locatie3!$EL$222</definedName>
    <definedName name="GO_2040" localSheetId="4">Blanco!$ER$222</definedName>
    <definedName name="GO_2040" localSheetId="10">'cluster eigendom'!$ER$222</definedName>
    <definedName name="GO_2040" localSheetId="11">'cluster huur'!$ER$222</definedName>
    <definedName name="GO_2040" localSheetId="7">Locatie1!$ER$222</definedName>
    <definedName name="GO_2040" localSheetId="8">Locatie2!$ER$222</definedName>
    <definedName name="GO_2040" localSheetId="9">Locatie3!$ER$222</definedName>
    <definedName name="GO_2041" localSheetId="4">Blanco!$EX$222</definedName>
    <definedName name="GO_2041" localSheetId="10">'cluster eigendom'!$EX$222</definedName>
    <definedName name="GO_2041" localSheetId="11">'cluster huur'!$EX$222</definedName>
    <definedName name="GO_2041" localSheetId="7">Locatie1!$EX$222</definedName>
    <definedName name="GO_2041" localSheetId="8">Locatie2!$EX$222</definedName>
    <definedName name="GO_2041" localSheetId="9">Locatie3!$EX$222</definedName>
    <definedName name="GO_2042" localSheetId="4">Blanco!$FD$222</definedName>
    <definedName name="GO_2042" localSheetId="10">'cluster eigendom'!$FD$222</definedName>
    <definedName name="GO_2042" localSheetId="11">'cluster huur'!$FD$222</definedName>
    <definedName name="GO_2042" localSheetId="7">Locatie1!$FD$222</definedName>
    <definedName name="GO_2042" localSheetId="8">Locatie2!$FD$222</definedName>
    <definedName name="GO_2042" localSheetId="9">Locatie3!$FD$222</definedName>
    <definedName name="GO_2043" localSheetId="4">Blanco!$FJ$222</definedName>
    <definedName name="GO_2043" localSheetId="10">'cluster eigendom'!$FJ$222</definedName>
    <definedName name="GO_2043" localSheetId="11">'cluster huur'!$FJ$222</definedName>
    <definedName name="GO_2043" localSheetId="7">Locatie1!$FJ$222</definedName>
    <definedName name="GO_2043" localSheetId="8">Locatie2!$FJ$222</definedName>
    <definedName name="GO_2043" localSheetId="9">Locatie3!$FJ$222</definedName>
    <definedName name="GO_2044" localSheetId="4">Blanco!$FP$222</definedName>
    <definedName name="GO_2044" localSheetId="10">'cluster eigendom'!$FP$222</definedName>
    <definedName name="GO_2044" localSheetId="11">'cluster huur'!$FP$222</definedName>
    <definedName name="GO_2044" localSheetId="7">Locatie1!$FP$222</definedName>
    <definedName name="GO_2044" localSheetId="8">Locatie2!$FP$222</definedName>
    <definedName name="GO_2044" localSheetId="9">Locatie3!$FP$222</definedName>
    <definedName name="GO_2045" localSheetId="4">Blanco!$FV$222</definedName>
    <definedName name="GO_2045" localSheetId="10">'cluster eigendom'!$FV$222</definedName>
    <definedName name="GO_2045" localSheetId="11">'cluster huur'!$FV$222</definedName>
    <definedName name="GO_2045" localSheetId="7">Locatie1!$FV$222</definedName>
    <definedName name="GO_2045" localSheetId="8">Locatie2!$FV$222</definedName>
    <definedName name="GO_2045" localSheetId="9">Locatie3!$FV$222</definedName>
    <definedName name="GO_2046" localSheetId="4">Blanco!$GB$222</definedName>
    <definedName name="GO_2046" localSheetId="10">'cluster eigendom'!$GB$222</definedName>
    <definedName name="GO_2046" localSheetId="11">'cluster huur'!$GB$222</definedName>
    <definedName name="GO_2046" localSheetId="7">Locatie1!$GB$222</definedName>
    <definedName name="GO_2046" localSheetId="8">Locatie2!$GB$222</definedName>
    <definedName name="GO_2046" localSheetId="9">Locatie3!$GB$222</definedName>
    <definedName name="GO_2047" localSheetId="4">Blanco!$GH$222</definedName>
    <definedName name="GO_2047" localSheetId="10">'cluster eigendom'!$GH$222</definedName>
    <definedName name="GO_2047" localSheetId="11">'cluster huur'!$GH$222</definedName>
    <definedName name="GO_2047" localSheetId="7">Locatie1!$GH$222</definedName>
    <definedName name="GO_2047" localSheetId="8">Locatie2!$GH$222</definedName>
    <definedName name="GO_2047" localSheetId="9">Locatie3!$GH$222</definedName>
    <definedName name="GO_2048" localSheetId="4">Blanco!$GN$222</definedName>
    <definedName name="GO_2048" localSheetId="10">'cluster eigendom'!$GN$222</definedName>
    <definedName name="GO_2048" localSheetId="11">'cluster huur'!$GN$222</definedName>
    <definedName name="GO_2048" localSheetId="7">Locatie1!$GN$222</definedName>
    <definedName name="GO_2048" localSheetId="8">Locatie2!$GN$222</definedName>
    <definedName name="GO_2048" localSheetId="9">Locatie3!$GN$222</definedName>
    <definedName name="GO_2049" localSheetId="4">Blanco!$GT$222</definedName>
    <definedName name="GO_2049" localSheetId="10">'cluster eigendom'!$GT$222</definedName>
    <definedName name="GO_2049" localSheetId="11">'cluster huur'!$GT$222</definedName>
    <definedName name="GO_2049" localSheetId="7">Locatie1!$GT$222</definedName>
    <definedName name="GO_2049" localSheetId="8">Locatie2!$GT$222</definedName>
    <definedName name="GO_2049" localSheetId="9">Locatie3!$GT$222</definedName>
    <definedName name="GO_2050" localSheetId="4">Blanco!$GZ$222</definedName>
    <definedName name="GO_2050" localSheetId="10">'cluster eigendom'!$GZ$222</definedName>
    <definedName name="GO_2050" localSheetId="11">'cluster huur'!$GZ$222</definedName>
    <definedName name="GO_2050" localSheetId="7">Locatie1!$GZ$222</definedName>
    <definedName name="GO_2050" localSheetId="8">Locatie2!$GZ$222</definedName>
    <definedName name="GO_2050" localSheetId="9">Locatie3!$GZ$222</definedName>
    <definedName name="invest_2018" localSheetId="4">Blanco!$U$223</definedName>
    <definedName name="invest_2018" localSheetId="10">'cluster eigendom'!$U$223</definedName>
    <definedName name="invest_2018" localSheetId="11">'cluster huur'!$U$223</definedName>
    <definedName name="invest_2018" localSheetId="7">Locatie1!$U$223</definedName>
    <definedName name="invest_2018" localSheetId="8">Locatie2!$U$223</definedName>
    <definedName name="invest_2018" localSheetId="9">Locatie3!$U$223</definedName>
    <definedName name="invest_2019" localSheetId="4">Blanco!$V$223</definedName>
    <definedName name="invest_2019" localSheetId="10">'cluster eigendom'!$V$223</definedName>
    <definedName name="invest_2019" localSheetId="11">'cluster huur'!$V$223</definedName>
    <definedName name="invest_2019" localSheetId="7">Locatie1!$V$223</definedName>
    <definedName name="invest_2019" localSheetId="8">Locatie2!$V$223</definedName>
    <definedName name="invest_2019" localSheetId="9">Locatie3!$V$223</definedName>
    <definedName name="invest_2020" localSheetId="4">Blanco!$AB$223</definedName>
    <definedName name="invest_2020" localSheetId="10">'cluster eigendom'!$AB$223</definedName>
    <definedName name="invest_2020" localSheetId="11">'cluster huur'!$AB$223</definedName>
    <definedName name="invest_2020" localSheetId="7">Locatie1!$AB$223</definedName>
    <definedName name="invest_2020" localSheetId="8">Locatie2!$AB$223</definedName>
    <definedName name="invest_2020" localSheetId="9">Locatie3!$AB$223</definedName>
    <definedName name="invest_2021" localSheetId="4">Blanco!$AH$223</definedName>
    <definedName name="invest_2021" localSheetId="10">'cluster eigendom'!$AH$223</definedName>
    <definedName name="invest_2021" localSheetId="11">'cluster huur'!$AH$223</definedName>
    <definedName name="invest_2021" localSheetId="7">Locatie1!$AH$223</definedName>
    <definedName name="invest_2021" localSheetId="8">Locatie2!$AH$223</definedName>
    <definedName name="invest_2021" localSheetId="9">Locatie3!$AH$223</definedName>
    <definedName name="invest_2022" localSheetId="4">Blanco!$AN$223</definedName>
    <definedName name="invest_2022" localSheetId="10">'cluster eigendom'!$AN$223</definedName>
    <definedName name="invest_2022" localSheetId="11">'cluster huur'!$AN$223</definedName>
    <definedName name="invest_2022" localSheetId="7">Locatie1!$AN$223</definedName>
    <definedName name="invest_2022" localSheetId="8">Locatie2!$AN$223</definedName>
    <definedName name="invest_2022" localSheetId="9">Locatie3!$AN$223</definedName>
    <definedName name="invest_2023" localSheetId="4">Blanco!$AT$223</definedName>
    <definedName name="invest_2023" localSheetId="10">'cluster eigendom'!$AT$223</definedName>
    <definedName name="invest_2023" localSheetId="11">'cluster huur'!$AT$223</definedName>
    <definedName name="invest_2023" localSheetId="7">Locatie1!$AT$223</definedName>
    <definedName name="invest_2023" localSheetId="8">Locatie2!$AT$223</definedName>
    <definedName name="invest_2023" localSheetId="9">Locatie3!$AT$223</definedName>
    <definedName name="invest_2024" localSheetId="4">Blanco!$AZ$223</definedName>
    <definedName name="invest_2024" localSheetId="10">'cluster eigendom'!$AZ$223</definedName>
    <definedName name="invest_2024" localSheetId="11">'cluster huur'!$AZ$223</definedName>
    <definedName name="invest_2024" localSheetId="7">Locatie1!$AZ$223</definedName>
    <definedName name="invest_2024" localSheetId="8">Locatie2!$AZ$223</definedName>
    <definedName name="invest_2024" localSheetId="9">Locatie3!$AZ$223</definedName>
    <definedName name="invest_2025" localSheetId="4">Blanco!$BF$223</definedName>
    <definedName name="invest_2025" localSheetId="10">'cluster eigendom'!$BF$223</definedName>
    <definedName name="invest_2025" localSheetId="11">'cluster huur'!$BF$223</definedName>
    <definedName name="invest_2025" localSheetId="7">Locatie1!$BF$223</definedName>
    <definedName name="invest_2025" localSheetId="8">Locatie2!$BF$223</definedName>
    <definedName name="invest_2025" localSheetId="9">Locatie3!$BF$223</definedName>
    <definedName name="invest_2026" localSheetId="4">Blanco!$BL$223</definedName>
    <definedName name="invest_2026" localSheetId="10">'cluster eigendom'!$BL$223</definedName>
    <definedName name="invest_2026" localSheetId="11">'cluster huur'!$BL$223</definedName>
    <definedName name="invest_2026" localSheetId="7">Locatie1!$BL$223</definedName>
    <definedName name="invest_2026" localSheetId="8">Locatie2!$BL$223</definedName>
    <definedName name="invest_2026" localSheetId="9">Locatie3!$BL$223</definedName>
    <definedName name="invest_2027" localSheetId="4">Blanco!$BR$223</definedName>
    <definedName name="invest_2027" localSheetId="10">'cluster eigendom'!$BR$223</definedName>
    <definedName name="invest_2027" localSheetId="11">'cluster huur'!$BR$223</definedName>
    <definedName name="invest_2027" localSheetId="7">Locatie1!$BR$223</definedName>
    <definedName name="invest_2027" localSheetId="8">Locatie2!$BR$223</definedName>
    <definedName name="invest_2027" localSheetId="9">Locatie3!$BR$223</definedName>
    <definedName name="invest_2028" localSheetId="4">Blanco!$BX$223</definedName>
    <definedName name="invest_2028" localSheetId="10">'cluster eigendom'!$BX$223</definedName>
    <definedName name="invest_2028" localSheetId="11">'cluster huur'!$BX$223</definedName>
    <definedName name="invest_2028" localSheetId="7">Locatie1!$BX$223</definedName>
    <definedName name="invest_2028" localSheetId="8">Locatie2!$BX$223</definedName>
    <definedName name="invest_2028" localSheetId="9">Locatie3!$BX$223</definedName>
    <definedName name="invest_2029" localSheetId="4">Blanco!$CD$223</definedName>
    <definedName name="invest_2029" localSheetId="10">'cluster eigendom'!$CD$223</definedName>
    <definedName name="invest_2029" localSheetId="11">'cluster huur'!$CD$223</definedName>
    <definedName name="invest_2029" localSheetId="7">Locatie1!$CD$223</definedName>
    <definedName name="invest_2029" localSheetId="8">Locatie2!$CD$223</definedName>
    <definedName name="invest_2029" localSheetId="9">Locatie3!$CD$223</definedName>
    <definedName name="invest_2030" localSheetId="4">Blanco!$CJ$223</definedName>
    <definedName name="invest_2030" localSheetId="10">'cluster eigendom'!$CJ$223</definedName>
    <definedName name="invest_2030" localSheetId="11">'cluster huur'!$CJ$223</definedName>
    <definedName name="invest_2030" localSheetId="7">Locatie1!$CJ$223</definedName>
    <definedName name="invest_2030" localSheetId="8">Locatie2!$CJ$223</definedName>
    <definedName name="invest_2030" localSheetId="9">Locatie3!$CJ$223</definedName>
    <definedName name="invest_2031" localSheetId="4">Blanco!$CP$223</definedName>
    <definedName name="invest_2031" localSheetId="10">'cluster eigendom'!$CP$223</definedName>
    <definedName name="invest_2031" localSheetId="11">'cluster huur'!$CP$223</definedName>
    <definedName name="invest_2031" localSheetId="7">Locatie1!$CP$223</definedName>
    <definedName name="invest_2031" localSheetId="8">Locatie2!$CP$223</definedName>
    <definedName name="invest_2031" localSheetId="9">Locatie3!$CP$223</definedName>
    <definedName name="invest_2032" localSheetId="4">Blanco!$CV$223</definedName>
    <definedName name="invest_2032" localSheetId="10">'cluster eigendom'!$CV$223</definedName>
    <definedName name="invest_2032" localSheetId="11">'cluster huur'!$CV$223</definedName>
    <definedName name="invest_2032" localSheetId="7">Locatie1!$CV$223</definedName>
    <definedName name="invest_2032" localSheetId="8">Locatie2!$CV$223</definedName>
    <definedName name="invest_2032" localSheetId="9">Locatie3!$CV$223</definedName>
    <definedName name="invest_2033" localSheetId="4">Blanco!$DB$223</definedName>
    <definedName name="invest_2033" localSheetId="10">'cluster eigendom'!$DB$223</definedName>
    <definedName name="invest_2033" localSheetId="11">'cluster huur'!$DB$223</definedName>
    <definedName name="invest_2033" localSheetId="7">Locatie1!$DB$223</definedName>
    <definedName name="invest_2033" localSheetId="8">Locatie2!$DB$223</definedName>
    <definedName name="invest_2033" localSheetId="9">Locatie3!$DB$223</definedName>
    <definedName name="invest_2034" localSheetId="4">Blanco!$DH$223</definedName>
    <definedName name="invest_2034" localSheetId="10">'cluster eigendom'!$DH$223</definedName>
    <definedName name="invest_2034" localSheetId="11">'cluster huur'!$DH$223</definedName>
    <definedName name="invest_2034" localSheetId="7">Locatie1!$DH$223</definedName>
    <definedName name="invest_2034" localSheetId="8">Locatie2!$DH$223</definedName>
    <definedName name="invest_2034" localSheetId="9">Locatie3!$DH$223</definedName>
    <definedName name="invest_2035" localSheetId="4">Blanco!$DN$223</definedName>
    <definedName name="invest_2035" localSheetId="10">'cluster eigendom'!$DN$223</definedName>
    <definedName name="invest_2035" localSheetId="11">'cluster huur'!$DN$223</definedName>
    <definedName name="invest_2035" localSheetId="7">Locatie1!$DN$223</definedName>
    <definedName name="invest_2035" localSheetId="8">Locatie2!$DN$223</definedName>
    <definedName name="invest_2035" localSheetId="9">Locatie3!$DN$223</definedName>
    <definedName name="invest_2036" localSheetId="4">Blanco!$DT$223</definedName>
    <definedName name="invest_2036" localSheetId="10">'cluster eigendom'!$DT$223</definedName>
    <definedName name="invest_2036" localSheetId="11">'cluster huur'!$DT$223</definedName>
    <definedName name="invest_2036" localSheetId="7">Locatie1!$DT$223</definedName>
    <definedName name="invest_2036" localSheetId="8">Locatie2!$DT$223</definedName>
    <definedName name="invest_2036" localSheetId="9">Locatie3!$DT$223</definedName>
    <definedName name="invest_2037" localSheetId="4">Blanco!$DZ$223</definedName>
    <definedName name="invest_2037" localSheetId="10">'cluster eigendom'!$DZ$223</definedName>
    <definedName name="invest_2037" localSheetId="11">'cluster huur'!$DZ$223</definedName>
    <definedName name="invest_2037" localSheetId="7">Locatie1!$DZ$223</definedName>
    <definedName name="invest_2037" localSheetId="8">Locatie2!$DZ$223</definedName>
    <definedName name="invest_2037" localSheetId="9">Locatie3!$DZ$223</definedName>
    <definedName name="invest_2038" localSheetId="4">Blanco!$EF$223</definedName>
    <definedName name="invest_2038" localSheetId="10">'cluster eigendom'!$EF$223</definedName>
    <definedName name="invest_2038" localSheetId="11">'cluster huur'!$EF$223</definedName>
    <definedName name="invest_2038" localSheetId="7">Locatie1!$EF$223</definedName>
    <definedName name="invest_2038" localSheetId="8">Locatie2!$EF$223</definedName>
    <definedName name="invest_2038" localSheetId="9">Locatie3!$EF$223</definedName>
    <definedName name="invest_2039" localSheetId="4">Blanco!$EL$223</definedName>
    <definedName name="invest_2039" localSheetId="10">'cluster eigendom'!$EL$223</definedName>
    <definedName name="invest_2039" localSheetId="11">'cluster huur'!$EL$223</definedName>
    <definedName name="invest_2039" localSheetId="7">Locatie1!$EL$223</definedName>
    <definedName name="invest_2039" localSheetId="8">Locatie2!$EL$223</definedName>
    <definedName name="invest_2039" localSheetId="9">Locatie3!$EL$223</definedName>
    <definedName name="invest_2040" localSheetId="4">Blanco!$ER$223</definedName>
    <definedName name="invest_2040" localSheetId="10">'cluster eigendom'!$ER$223</definedName>
    <definedName name="invest_2040" localSheetId="11">'cluster huur'!$ER$223</definedName>
    <definedName name="invest_2040" localSheetId="7">Locatie1!$ER$223</definedName>
    <definedName name="invest_2040" localSheetId="8">Locatie2!$ER$223</definedName>
    <definedName name="invest_2040" localSheetId="9">Locatie3!$ER$223</definedName>
    <definedName name="invest_2041" localSheetId="4">Blanco!$EX$223</definedName>
    <definedName name="invest_2041" localSheetId="10">'cluster eigendom'!$EX$223</definedName>
    <definedName name="invest_2041" localSheetId="11">'cluster huur'!$EX$223</definedName>
    <definedName name="invest_2041" localSheetId="7">Locatie1!$EX$223</definedName>
    <definedName name="invest_2041" localSheetId="8">Locatie2!$EX$223</definedName>
    <definedName name="invest_2041" localSheetId="9">Locatie3!$EX$223</definedName>
    <definedName name="invest_2042" localSheetId="4">Blanco!$FD$223</definedName>
    <definedName name="invest_2042" localSheetId="10">'cluster eigendom'!$FD$223</definedName>
    <definedName name="invest_2042" localSheetId="11">'cluster huur'!$FD$223</definedName>
    <definedName name="invest_2042" localSheetId="7">Locatie1!$FD$223</definedName>
    <definedName name="invest_2042" localSheetId="8">Locatie2!$FD$223</definedName>
    <definedName name="invest_2042" localSheetId="9">Locatie3!$FD$223</definedName>
    <definedName name="invest_2043" localSheetId="4">Blanco!$FJ$223</definedName>
    <definedName name="invest_2043" localSheetId="10">'cluster eigendom'!$FJ$223</definedName>
    <definedName name="invest_2043" localSheetId="11">'cluster huur'!$FJ$223</definedName>
    <definedName name="invest_2043" localSheetId="7">Locatie1!$FJ$223</definedName>
    <definedName name="invest_2043" localSheetId="8">Locatie2!$FJ$223</definedName>
    <definedName name="invest_2043" localSheetId="9">Locatie3!$FJ$223</definedName>
    <definedName name="invest_2044" localSheetId="4">Blanco!$FP$223</definedName>
    <definedName name="invest_2044" localSheetId="10">'cluster eigendom'!$FP$223</definedName>
    <definedName name="invest_2044" localSheetId="11">'cluster huur'!$FP$223</definedName>
    <definedName name="invest_2044" localSheetId="7">Locatie1!$FP$223</definedName>
    <definedName name="invest_2044" localSheetId="8">Locatie2!$FP$223</definedName>
    <definedName name="invest_2044" localSheetId="9">Locatie3!$FP$223</definedName>
    <definedName name="invest_2045" localSheetId="4">Blanco!$FV$223</definedName>
    <definedName name="invest_2045" localSheetId="10">'cluster eigendom'!$FV$223</definedName>
    <definedName name="invest_2045" localSheetId="11">'cluster huur'!$FV$223</definedName>
    <definedName name="invest_2045" localSheetId="7">Locatie1!$FV$223</definedName>
    <definedName name="invest_2045" localSheetId="8">Locatie2!$FV$223</definedName>
    <definedName name="invest_2045" localSheetId="9">Locatie3!$FV$223</definedName>
    <definedName name="invest_2046" localSheetId="4">Blanco!$GB$223</definedName>
    <definedName name="invest_2046" localSheetId="10">'cluster eigendom'!$GB$223</definedName>
    <definedName name="invest_2046" localSheetId="11">'cluster huur'!$GB$223</definedName>
    <definedName name="invest_2046" localSheetId="7">Locatie1!$GB$223</definedName>
    <definedName name="invest_2046" localSheetId="8">Locatie2!$GB$223</definedName>
    <definedName name="invest_2046" localSheetId="9">Locatie3!$GB$223</definedName>
    <definedName name="invest_2047" localSheetId="4">Blanco!$GH$223</definedName>
    <definedName name="invest_2047" localSheetId="10">'cluster eigendom'!$GH$223</definedName>
    <definedName name="invest_2047" localSheetId="11">'cluster huur'!$GH$223</definedName>
    <definedName name="invest_2047" localSheetId="7">Locatie1!$GH$223</definedName>
    <definedName name="invest_2047" localSheetId="8">Locatie2!$GH$223</definedName>
    <definedName name="invest_2047" localSheetId="9">Locatie3!$GH$223</definedName>
    <definedName name="invest_2048" localSheetId="4">Blanco!$GN$223</definedName>
    <definedName name="invest_2048" localSheetId="10">'cluster eigendom'!$GN$223</definedName>
    <definedName name="invest_2048" localSheetId="11">'cluster huur'!$GN$223</definedName>
    <definedName name="invest_2048" localSheetId="7">Locatie1!$GN$223</definedName>
    <definedName name="invest_2048" localSheetId="8">Locatie2!$GN$223</definedName>
    <definedName name="invest_2048" localSheetId="9">Locatie3!$GN$223</definedName>
    <definedName name="invest_2049" localSheetId="4">Blanco!$GT$223</definedName>
    <definedName name="invest_2049" localSheetId="10">'cluster eigendom'!$GT$223</definedName>
    <definedName name="invest_2049" localSheetId="11">'cluster huur'!$GT$223</definedName>
    <definedName name="invest_2049" localSheetId="7">Locatie1!$GT$223</definedName>
    <definedName name="invest_2049" localSheetId="8">Locatie2!$GT$223</definedName>
    <definedName name="invest_2049" localSheetId="9">Locatie3!$GT$223</definedName>
    <definedName name="invest_2050" localSheetId="4">Blanco!$GZ$223</definedName>
    <definedName name="invest_2050" localSheetId="10">'cluster eigendom'!$GZ$223</definedName>
    <definedName name="invest_2050" localSheetId="11">'cluster huur'!$GZ$223</definedName>
    <definedName name="invest_2050" localSheetId="7">Locatie1!$GZ$223</definedName>
    <definedName name="invest_2050" localSheetId="8">Locatie2!$GZ$223</definedName>
    <definedName name="invest_2050" localSheetId="9">Locatie3!$GZ$223</definedName>
    <definedName name="investcum_2018" localSheetId="4">Blanco!$U$224</definedName>
    <definedName name="investcum_2018" localSheetId="10">'cluster eigendom'!$U$224</definedName>
    <definedName name="investcum_2018" localSheetId="11">'cluster huur'!$U$224</definedName>
    <definedName name="investcum_2018" localSheetId="7">Locatie1!$U$224</definedName>
    <definedName name="investcum_2018" localSheetId="8">Locatie2!$U$224</definedName>
    <definedName name="investcum_2018" localSheetId="9">Locatie3!$U$224</definedName>
    <definedName name="investcum_2019" localSheetId="4">Blanco!$V$224</definedName>
    <definedName name="investcum_2019" localSheetId="10">'cluster eigendom'!$V$224</definedName>
    <definedName name="investcum_2019" localSheetId="11">'cluster huur'!$V$224</definedName>
    <definedName name="investcum_2019" localSheetId="7">Locatie1!$V$224</definedName>
    <definedName name="investcum_2019" localSheetId="8">Locatie2!$V$224</definedName>
    <definedName name="investcum_2019" localSheetId="9">Locatie3!$V$224</definedName>
    <definedName name="investcum_2020" localSheetId="4">Blanco!$AB$224</definedName>
    <definedName name="investcum_2020" localSheetId="10">'cluster eigendom'!$AB$224</definedName>
    <definedName name="investcum_2020" localSheetId="11">'cluster huur'!$AB$224</definedName>
    <definedName name="investcum_2020" localSheetId="7">Locatie1!$AB$224</definedName>
    <definedName name="investcum_2020" localSheetId="8">Locatie2!$AB$224</definedName>
    <definedName name="investcum_2020" localSheetId="9">Locatie3!$AB$224</definedName>
    <definedName name="investcum_2021" localSheetId="4">Blanco!$AH$224</definedName>
    <definedName name="investcum_2021" localSheetId="10">'cluster eigendom'!$AH$224</definedName>
    <definedName name="investcum_2021" localSheetId="11">'cluster huur'!$AH$224</definedName>
    <definedName name="investcum_2021" localSheetId="7">Locatie1!$AH$224</definedName>
    <definedName name="investcum_2021" localSheetId="8">Locatie2!$AH$224</definedName>
    <definedName name="investcum_2021" localSheetId="9">Locatie3!$AH$224</definedName>
    <definedName name="investcum_2022" localSheetId="4">Blanco!$AN$224</definedName>
    <definedName name="investcum_2022" localSheetId="10">'cluster eigendom'!$AN$224</definedName>
    <definedName name="investcum_2022" localSheetId="11">'cluster huur'!$AN$224</definedName>
    <definedName name="investcum_2022" localSheetId="7">Locatie1!$AN$224</definedName>
    <definedName name="investcum_2022" localSheetId="8">Locatie2!$AN$224</definedName>
    <definedName name="investcum_2022" localSheetId="9">Locatie3!$AN$224</definedName>
    <definedName name="investcum_2023" localSheetId="4">Blanco!$AT$224</definedName>
    <definedName name="investcum_2023" localSheetId="10">'cluster eigendom'!$AT$224</definedName>
    <definedName name="investcum_2023" localSheetId="11">'cluster huur'!$AT$224</definedName>
    <definedName name="investcum_2023" localSheetId="7">Locatie1!$AT$224</definedName>
    <definedName name="investcum_2023" localSheetId="8">Locatie2!$AT$224</definedName>
    <definedName name="investcum_2023" localSheetId="9">Locatie3!$AT$224</definedName>
    <definedName name="investcum_2024" localSheetId="4">Blanco!$AZ$224</definedName>
    <definedName name="investcum_2024" localSheetId="10">'cluster eigendom'!$AZ$224</definedName>
    <definedName name="investcum_2024" localSheetId="11">'cluster huur'!$AZ$224</definedName>
    <definedName name="investcum_2024" localSheetId="7">Locatie1!$AZ$224</definedName>
    <definedName name="investcum_2024" localSheetId="8">Locatie2!$AZ$224</definedName>
    <definedName name="investcum_2024" localSheetId="9">Locatie3!$AZ$224</definedName>
    <definedName name="investcum_2025" localSheetId="4">Blanco!$BF$224</definedName>
    <definedName name="investcum_2025" localSheetId="10">'cluster eigendom'!$BF$224</definedName>
    <definedName name="investcum_2025" localSheetId="11">'cluster huur'!$BF$224</definedName>
    <definedName name="investcum_2025" localSheetId="7">Locatie1!$BF$224</definedName>
    <definedName name="investcum_2025" localSheetId="8">Locatie2!$BF$224</definedName>
    <definedName name="investcum_2025" localSheetId="9">Locatie3!$BF$224</definedName>
    <definedName name="investcum_2026" localSheetId="4">Blanco!$BL$224</definedName>
    <definedName name="investcum_2026" localSheetId="10">'cluster eigendom'!$BL$224</definedName>
    <definedName name="investcum_2026" localSheetId="11">'cluster huur'!$BL$224</definedName>
    <definedName name="investcum_2026" localSheetId="7">Locatie1!$BL$224</definedName>
    <definedName name="investcum_2026" localSheetId="8">Locatie2!$BL$224</definedName>
    <definedName name="investcum_2026" localSheetId="9">Locatie3!$BL$224</definedName>
    <definedName name="investcum_2027" localSheetId="4">Blanco!$BR$224</definedName>
    <definedName name="investcum_2027" localSheetId="10">'cluster eigendom'!$BR$224</definedName>
    <definedName name="investcum_2027" localSheetId="11">'cluster huur'!$BR$224</definedName>
    <definedName name="investcum_2027" localSheetId="7">Locatie1!$BR$224</definedName>
    <definedName name="investcum_2027" localSheetId="8">Locatie2!$BR$224</definedName>
    <definedName name="investcum_2027" localSheetId="9">Locatie3!$BR$224</definedName>
    <definedName name="investcum_2028" localSheetId="4">Blanco!$BX$224</definedName>
    <definedName name="investcum_2028" localSheetId="10">'cluster eigendom'!$BX$224</definedName>
    <definedName name="investcum_2028" localSheetId="11">'cluster huur'!$BX$224</definedName>
    <definedName name="investcum_2028" localSheetId="7">Locatie1!$BX$224</definedName>
    <definedName name="investcum_2028" localSheetId="8">Locatie2!$BX$224</definedName>
    <definedName name="investcum_2028" localSheetId="9">Locatie3!$BX$224</definedName>
    <definedName name="investcum_2029" localSheetId="4">Blanco!$CD$224</definedName>
    <definedName name="investcum_2029" localSheetId="10">'cluster eigendom'!$CD$224</definedName>
    <definedName name="investcum_2029" localSheetId="11">'cluster huur'!$CD$224</definedName>
    <definedName name="investcum_2029" localSheetId="7">Locatie1!$CD$224</definedName>
    <definedName name="investcum_2029" localSheetId="8">Locatie2!$CD$224</definedName>
    <definedName name="investcum_2029" localSheetId="9">Locatie3!$CD$224</definedName>
    <definedName name="investcum_2030" localSheetId="4">Blanco!$CJ$224</definedName>
    <definedName name="investcum_2030" localSheetId="10">'cluster eigendom'!$CJ$224</definedName>
    <definedName name="investcum_2030" localSheetId="11">'cluster huur'!$CJ$224</definedName>
    <definedName name="investcum_2030" localSheetId="7">Locatie1!$CJ$224</definedName>
    <definedName name="investcum_2030" localSheetId="8">Locatie2!$CJ$224</definedName>
    <definedName name="investcum_2030" localSheetId="9">Locatie3!$CJ$224</definedName>
    <definedName name="investcum_2031" localSheetId="4">Blanco!$CP$224</definedName>
    <definedName name="investcum_2031" localSheetId="10">'cluster eigendom'!$CP$224</definedName>
    <definedName name="investcum_2031" localSheetId="11">'cluster huur'!$CP$224</definedName>
    <definedName name="investcum_2031" localSheetId="7">Locatie1!$CP$224</definedName>
    <definedName name="investcum_2031" localSheetId="8">Locatie2!$CP$224</definedName>
    <definedName name="investcum_2031" localSheetId="9">Locatie3!$CP$224</definedName>
    <definedName name="investcum_2032" localSheetId="4">Blanco!$CV$224</definedName>
    <definedName name="investcum_2032" localSheetId="10">'cluster eigendom'!$CV$224</definedName>
    <definedName name="investcum_2032" localSheetId="11">'cluster huur'!$CV$224</definedName>
    <definedName name="investcum_2032" localSheetId="7">Locatie1!$CV$224</definedName>
    <definedName name="investcum_2032" localSheetId="8">Locatie2!$CV$224</definedName>
    <definedName name="investcum_2032" localSheetId="9">Locatie3!$CV$224</definedName>
    <definedName name="investcum_2033" localSheetId="4">Blanco!$DB$224</definedName>
    <definedName name="investcum_2033" localSheetId="10">'cluster eigendom'!$DB$224</definedName>
    <definedName name="investcum_2033" localSheetId="11">'cluster huur'!$DB$224</definedName>
    <definedName name="investcum_2033" localSheetId="7">Locatie1!$DB$224</definedName>
    <definedName name="investcum_2033" localSheetId="8">Locatie2!$DB$224</definedName>
    <definedName name="investcum_2033" localSheetId="9">Locatie3!$DB$224</definedName>
    <definedName name="investcum_2034" localSheetId="4">Blanco!$DH$224</definedName>
    <definedName name="investcum_2034" localSheetId="10">'cluster eigendom'!$DH$224</definedName>
    <definedName name="investcum_2034" localSheetId="11">'cluster huur'!$DH$224</definedName>
    <definedName name="investcum_2034" localSheetId="7">Locatie1!$DH$224</definedName>
    <definedName name="investcum_2034" localSheetId="8">Locatie2!$DH$224</definedName>
    <definedName name="investcum_2034" localSheetId="9">Locatie3!$DH$224</definedName>
    <definedName name="investcum_2035" localSheetId="4">Blanco!$DN$224</definedName>
    <definedName name="investcum_2035" localSheetId="10">'cluster eigendom'!$DN$224</definedName>
    <definedName name="investcum_2035" localSheetId="11">'cluster huur'!$DN$224</definedName>
    <definedName name="investcum_2035" localSheetId="7">Locatie1!$DN$224</definedName>
    <definedName name="investcum_2035" localSheetId="8">Locatie2!$DN$224</definedName>
    <definedName name="investcum_2035" localSheetId="9">Locatie3!$DN$224</definedName>
    <definedName name="investcum_2036" localSheetId="4">Blanco!$DT$224</definedName>
    <definedName name="investcum_2036" localSheetId="10">'cluster eigendom'!$DT$224</definedName>
    <definedName name="investcum_2036" localSheetId="11">'cluster huur'!$DT$224</definedName>
    <definedName name="investcum_2036" localSheetId="7">Locatie1!$DT$224</definedName>
    <definedName name="investcum_2036" localSheetId="8">Locatie2!$DT$224</definedName>
    <definedName name="investcum_2036" localSheetId="9">Locatie3!$DT$224</definedName>
    <definedName name="investcum_2037" localSheetId="4">Blanco!$DZ$224</definedName>
    <definedName name="investcum_2037" localSheetId="10">'cluster eigendom'!$DZ$224</definedName>
    <definedName name="investcum_2037" localSheetId="11">'cluster huur'!$DZ$224</definedName>
    <definedName name="investcum_2037" localSheetId="7">Locatie1!$DZ$224</definedName>
    <definedName name="investcum_2037" localSheetId="8">Locatie2!$DZ$224</definedName>
    <definedName name="investcum_2037" localSheetId="9">Locatie3!$DZ$224</definedName>
    <definedName name="investcum_2038" localSheetId="4">Blanco!$EF$224</definedName>
    <definedName name="investcum_2038" localSheetId="10">'cluster eigendom'!$EF$224</definedName>
    <definedName name="investcum_2038" localSheetId="11">'cluster huur'!$EF$224</definedName>
    <definedName name="investcum_2038" localSheetId="7">Locatie1!$EF$224</definedName>
    <definedName name="investcum_2038" localSheetId="8">Locatie2!$EF$224</definedName>
    <definedName name="investcum_2038" localSheetId="9">Locatie3!$EF$224</definedName>
    <definedName name="investcum_2039" localSheetId="4">Blanco!$EL$224</definedName>
    <definedName name="investcum_2039" localSheetId="10">'cluster eigendom'!$EL$224</definedName>
    <definedName name="investcum_2039" localSheetId="11">'cluster huur'!$EL$224</definedName>
    <definedName name="investcum_2039" localSheetId="7">Locatie1!$EL$224</definedName>
    <definedName name="investcum_2039" localSheetId="8">Locatie2!$EL$224</definedName>
    <definedName name="investcum_2039" localSheetId="9">Locatie3!$EL$224</definedName>
    <definedName name="investcum_2040" localSheetId="4">Blanco!$ER$224</definedName>
    <definedName name="investcum_2040" localSheetId="10">'cluster eigendom'!$ER$224</definedName>
    <definedName name="investcum_2040" localSheetId="11">'cluster huur'!$ER$224</definedName>
    <definedName name="investcum_2040" localSheetId="7">Locatie1!$ER$224</definedName>
    <definedName name="investcum_2040" localSheetId="8">Locatie2!$ER$224</definedName>
    <definedName name="investcum_2040" localSheetId="9">Locatie3!$ER$224</definedName>
    <definedName name="investcum_2041" localSheetId="4">Blanco!$EX$224</definedName>
    <definedName name="investcum_2041" localSheetId="10">'cluster eigendom'!$EX$224</definedName>
    <definedName name="investcum_2041" localSheetId="11">'cluster huur'!$EX$224</definedName>
    <definedName name="investcum_2041" localSheetId="7">Locatie1!$EX$224</definedName>
    <definedName name="investcum_2041" localSheetId="8">Locatie2!$EX$224</definedName>
    <definedName name="investcum_2041" localSheetId="9">Locatie3!$EX$224</definedName>
    <definedName name="investcum_2042" localSheetId="4">Blanco!$FD$224</definedName>
    <definedName name="investcum_2042" localSheetId="10">'cluster eigendom'!$FD$224</definedName>
    <definedName name="investcum_2042" localSheetId="11">'cluster huur'!$FD$224</definedName>
    <definedName name="investcum_2042" localSheetId="7">Locatie1!$FD$224</definedName>
    <definedName name="investcum_2042" localSheetId="8">Locatie2!$FD$224</definedName>
    <definedName name="investcum_2042" localSheetId="9">Locatie3!$FD$224</definedName>
    <definedName name="investcum_2043" localSheetId="4">Blanco!$FJ$224</definedName>
    <definedName name="investcum_2043" localSheetId="10">'cluster eigendom'!$FJ$224</definedName>
    <definedName name="investcum_2043" localSheetId="11">'cluster huur'!$FJ$224</definedName>
    <definedName name="investcum_2043" localSheetId="7">Locatie1!$FJ$224</definedName>
    <definedName name="investcum_2043" localSheetId="8">Locatie2!$FJ$224</definedName>
    <definedName name="investcum_2043" localSheetId="9">Locatie3!$FJ$224</definedName>
    <definedName name="investcum_2044" localSheetId="4">Blanco!$FP$224</definedName>
    <definedName name="investcum_2044" localSheetId="10">'cluster eigendom'!$FP$224</definedName>
    <definedName name="investcum_2044" localSheetId="11">'cluster huur'!$FP$224</definedName>
    <definedName name="investcum_2044" localSheetId="7">Locatie1!$FP$224</definedName>
    <definedName name="investcum_2044" localSheetId="8">Locatie2!$FP$224</definedName>
    <definedName name="investcum_2044" localSheetId="9">Locatie3!$FP$224</definedName>
    <definedName name="investcum_2045" localSheetId="4">Blanco!$FV$224</definedName>
    <definedName name="investcum_2045" localSheetId="10">'cluster eigendom'!$FV$224</definedName>
    <definedName name="investcum_2045" localSheetId="11">'cluster huur'!$FV$224</definedName>
    <definedName name="investcum_2045" localSheetId="7">Locatie1!$FV$224</definedName>
    <definedName name="investcum_2045" localSheetId="8">Locatie2!$FV$224</definedName>
    <definedName name="investcum_2045" localSheetId="9">Locatie3!$FV$224</definedName>
    <definedName name="investcum_2046" localSheetId="4">Blanco!$GB$224</definedName>
    <definedName name="investcum_2046" localSheetId="10">'cluster eigendom'!$GB$224</definedName>
    <definedName name="investcum_2046" localSheetId="11">'cluster huur'!$GB$224</definedName>
    <definedName name="investcum_2046" localSheetId="7">Locatie1!$GB$224</definedName>
    <definedName name="investcum_2046" localSheetId="8">Locatie2!$GB$224</definedName>
    <definedName name="investcum_2046" localSheetId="9">Locatie3!$GB$224</definedName>
    <definedName name="investcum_2047" localSheetId="4">Blanco!$GH$224</definedName>
    <definedName name="investcum_2047" localSheetId="10">'cluster eigendom'!$GH$224</definedName>
    <definedName name="investcum_2047" localSheetId="11">'cluster huur'!$GH$224</definedName>
    <definedName name="investcum_2047" localSheetId="7">Locatie1!$GH$224</definedName>
    <definedName name="investcum_2047" localSheetId="8">Locatie2!$GH$224</definedName>
    <definedName name="investcum_2047" localSheetId="9">Locatie3!$GH$224</definedName>
    <definedName name="investcum_2048" localSheetId="4">Blanco!$GN$224</definedName>
    <definedName name="investcum_2048" localSheetId="10">'cluster eigendom'!$GN$224</definedName>
    <definedName name="investcum_2048" localSheetId="11">'cluster huur'!$GN$224</definedName>
    <definedName name="investcum_2048" localSheetId="7">Locatie1!$GN$224</definedName>
    <definedName name="investcum_2048" localSheetId="8">Locatie2!$GN$224</definedName>
    <definedName name="investcum_2048" localSheetId="9">Locatie3!$GN$224</definedName>
    <definedName name="investcum_2049" localSheetId="4">Blanco!$GT$224</definedName>
    <definedName name="investcum_2049" localSheetId="10">'cluster eigendom'!$GT$224</definedName>
    <definedName name="investcum_2049" localSheetId="11">'cluster huur'!$GT$224</definedName>
    <definedName name="investcum_2049" localSheetId="7">Locatie1!$GT$224</definedName>
    <definedName name="investcum_2049" localSheetId="8">Locatie2!$GT$224</definedName>
    <definedName name="investcum_2049" localSheetId="9">Locatie3!$GT$224</definedName>
    <definedName name="investcum_2050" localSheetId="4">Blanco!$GZ$224</definedName>
    <definedName name="investcum_2050" localSheetId="10">'cluster eigendom'!$GZ$224</definedName>
    <definedName name="investcum_2050" localSheetId="11">'cluster huur'!$GZ$224</definedName>
    <definedName name="investcum_2050" localSheetId="7">Locatie1!$GZ$224</definedName>
    <definedName name="investcum_2050" localSheetId="8">Locatie2!$GZ$224</definedName>
    <definedName name="investcum_2050" localSheetId="9">Locatie3!$GZ$224</definedName>
    <definedName name="kostenbespaard_2018" localSheetId="4">Blanco!$U$251</definedName>
    <definedName name="kostenbespaard_2018" localSheetId="10">'cluster eigendom'!$U$251</definedName>
    <definedName name="kostenbespaard_2018" localSheetId="11">'cluster huur'!$U$251</definedName>
    <definedName name="kostenbespaard_2018" localSheetId="7">Locatie1!$U$251</definedName>
    <definedName name="kostenbespaard_2018" localSheetId="8">Locatie2!$U$251</definedName>
    <definedName name="kostenbespaard_2018" localSheetId="9">Locatie3!$U$251</definedName>
    <definedName name="kostenbespaard_2019" localSheetId="4">Blanco!$V$251</definedName>
    <definedName name="kostenbespaard_2019" localSheetId="10">'cluster eigendom'!$V$251</definedName>
    <definedName name="kostenbespaard_2019" localSheetId="11">'cluster huur'!$V$251</definedName>
    <definedName name="kostenbespaard_2019" localSheetId="7">Locatie1!$V$251</definedName>
    <definedName name="kostenbespaard_2019" localSheetId="8">Locatie2!$V$251</definedName>
    <definedName name="kostenbespaard_2019" localSheetId="9">Locatie3!$V$251</definedName>
    <definedName name="kostenbespaard_2020" localSheetId="4">Blanco!$AB$251</definedName>
    <definedName name="kostenbespaard_2020" localSheetId="10">'cluster eigendom'!$AB$251</definedName>
    <definedName name="kostenbespaard_2020" localSheetId="11">'cluster huur'!$AB$251</definedName>
    <definedName name="kostenbespaard_2020" localSheetId="7">Locatie1!$AB$251</definedName>
    <definedName name="kostenbespaard_2020" localSheetId="8">Locatie2!$AB$251</definedName>
    <definedName name="kostenbespaard_2020" localSheetId="9">Locatie3!$AB$251</definedName>
    <definedName name="kostenbespaard_2021" localSheetId="4">Blanco!$AH$251</definedName>
    <definedName name="kostenbespaard_2021" localSheetId="10">'cluster eigendom'!$AH$251</definedName>
    <definedName name="kostenbespaard_2021" localSheetId="11">'cluster huur'!$AH$251</definedName>
    <definedName name="kostenbespaard_2021" localSheetId="7">Locatie1!$AH$251</definedName>
    <definedName name="kostenbespaard_2021" localSheetId="8">Locatie2!$AH$251</definedName>
    <definedName name="kostenbespaard_2021" localSheetId="9">Locatie3!$AH$251</definedName>
    <definedName name="kostenbespaard_2022" localSheetId="4">Blanco!$AN$251</definedName>
    <definedName name="kostenbespaard_2022" localSheetId="10">'cluster eigendom'!$AN$251</definedName>
    <definedName name="kostenbespaard_2022" localSheetId="11">'cluster huur'!$AN$251</definedName>
    <definedName name="kostenbespaard_2022" localSheetId="7">Locatie1!$AN$251</definedName>
    <definedName name="kostenbespaard_2022" localSheetId="8">Locatie2!$AN$251</definedName>
    <definedName name="kostenbespaard_2022" localSheetId="9">Locatie3!$AN$251</definedName>
    <definedName name="kostenbespaard_2023" localSheetId="4">Blanco!$AT$251</definedName>
    <definedName name="kostenbespaard_2023" localSheetId="10">'cluster eigendom'!$AT$251</definedName>
    <definedName name="kostenbespaard_2023" localSheetId="11">'cluster huur'!$AT$251</definedName>
    <definedName name="kostenbespaard_2023" localSheetId="7">Locatie1!$AT$251</definedName>
    <definedName name="kostenbespaard_2023" localSheetId="8">Locatie2!$AT$251</definedName>
    <definedName name="kostenbespaard_2023" localSheetId="9">Locatie3!$AT$251</definedName>
    <definedName name="kostenbespaard_2024" localSheetId="4">Blanco!$AZ$251</definedName>
    <definedName name="kostenbespaard_2024" localSheetId="10">'cluster eigendom'!$AZ$251</definedName>
    <definedName name="kostenbespaard_2024" localSheetId="11">'cluster huur'!$AZ$251</definedName>
    <definedName name="kostenbespaard_2024" localSheetId="7">Locatie1!$AZ$251</definedName>
    <definedName name="kostenbespaard_2024" localSheetId="8">Locatie2!$AZ$251</definedName>
    <definedName name="kostenbespaard_2024" localSheetId="9">Locatie3!$AZ$251</definedName>
    <definedName name="kostenbespaard_2025" localSheetId="4">Blanco!$BF$251</definedName>
    <definedName name="kostenbespaard_2025" localSheetId="10">'cluster eigendom'!$BF$251</definedName>
    <definedName name="kostenbespaard_2025" localSheetId="11">'cluster huur'!$BF$251</definedName>
    <definedName name="kostenbespaard_2025" localSheetId="7">Locatie1!$BF$251</definedName>
    <definedName name="kostenbespaard_2025" localSheetId="8">Locatie2!$BF$251</definedName>
    <definedName name="kostenbespaard_2025" localSheetId="9">Locatie3!$BF$251</definedName>
    <definedName name="kostenbespaard_2026" localSheetId="4">Blanco!$BL$251</definedName>
    <definedName name="kostenbespaard_2026" localSheetId="10">'cluster eigendom'!$BL$251</definedName>
    <definedName name="kostenbespaard_2026" localSheetId="11">'cluster huur'!$BL$251</definedName>
    <definedName name="kostenbespaard_2026" localSheetId="7">Locatie1!$BL$251</definedName>
    <definedName name="kostenbespaard_2026" localSheetId="8">Locatie2!$BL$251</definedName>
    <definedName name="kostenbespaard_2026" localSheetId="9">Locatie3!$BL$251</definedName>
    <definedName name="kostenbespaard_2027" localSheetId="4">Blanco!$BR$251</definedName>
    <definedName name="kostenbespaard_2027" localSheetId="10">'cluster eigendom'!$BR$251</definedName>
    <definedName name="kostenbespaard_2027" localSheetId="11">'cluster huur'!$BR$251</definedName>
    <definedName name="kostenbespaard_2027" localSheetId="7">Locatie1!$BR$251</definedName>
    <definedName name="kostenbespaard_2027" localSheetId="8">Locatie2!$BR$251</definedName>
    <definedName name="kostenbespaard_2027" localSheetId="9">Locatie3!$BR$251</definedName>
    <definedName name="kostenbespaard_2028" localSheetId="4">Blanco!$BX$251</definedName>
    <definedName name="kostenbespaard_2028" localSheetId="10">'cluster eigendom'!$BX$251</definedName>
    <definedName name="kostenbespaard_2028" localSheetId="11">'cluster huur'!$BX$251</definedName>
    <definedName name="kostenbespaard_2028" localSheetId="7">Locatie1!$BX$251</definedName>
    <definedName name="kostenbespaard_2028" localSheetId="8">Locatie2!$BX$251</definedName>
    <definedName name="kostenbespaard_2028" localSheetId="9">Locatie3!$BX$251</definedName>
    <definedName name="kostenbespaard_2029" localSheetId="4">Blanco!$CD$251</definedName>
    <definedName name="kostenbespaard_2029" localSheetId="10">'cluster eigendom'!$CD$251</definedName>
    <definedName name="kostenbespaard_2029" localSheetId="11">'cluster huur'!$CD$251</definedName>
    <definedName name="kostenbespaard_2029" localSheetId="7">Locatie1!$CD$251</definedName>
    <definedName name="kostenbespaard_2029" localSheetId="8">Locatie2!$CD$251</definedName>
    <definedName name="kostenbespaard_2029" localSheetId="9">Locatie3!$CD$251</definedName>
    <definedName name="kostenbespaard_2030" localSheetId="4">Blanco!$CJ$251</definedName>
    <definedName name="kostenbespaard_2030" localSheetId="10">'cluster eigendom'!$CJ$251</definedName>
    <definedName name="kostenbespaard_2030" localSheetId="11">'cluster huur'!$CJ$251</definedName>
    <definedName name="kostenbespaard_2030" localSheetId="7">Locatie1!$CJ$251</definedName>
    <definedName name="kostenbespaard_2030" localSheetId="8">Locatie2!$CJ$251</definedName>
    <definedName name="kostenbespaard_2030" localSheetId="9">Locatie3!$CJ$251</definedName>
    <definedName name="kostenbespaard_2031" localSheetId="4">Blanco!$CP$251</definedName>
    <definedName name="kostenbespaard_2031" localSheetId="10">'cluster eigendom'!$CP$251</definedName>
    <definedName name="kostenbespaard_2031" localSheetId="11">'cluster huur'!$CP$251</definedName>
    <definedName name="kostenbespaard_2031" localSheetId="7">Locatie1!$CP$251</definedName>
    <definedName name="kostenbespaard_2031" localSheetId="8">Locatie2!$CP$251</definedName>
    <definedName name="kostenbespaard_2031" localSheetId="9">Locatie3!$CP$251</definedName>
    <definedName name="kostenbespaard_2032" localSheetId="4">Blanco!$CV$251</definedName>
    <definedName name="kostenbespaard_2032" localSheetId="10">'cluster eigendom'!$CV$251</definedName>
    <definedName name="kostenbespaard_2032" localSheetId="11">'cluster huur'!$CV$251</definedName>
    <definedName name="kostenbespaard_2032" localSheetId="7">Locatie1!$CV$251</definedName>
    <definedName name="kostenbespaard_2032" localSheetId="8">Locatie2!$CV$251</definedName>
    <definedName name="kostenbespaard_2032" localSheetId="9">Locatie3!$CV$251</definedName>
    <definedName name="kostenbespaard_2033" localSheetId="4">Blanco!$DB$251</definedName>
    <definedName name="kostenbespaard_2033" localSheetId="10">'cluster eigendom'!$DB$251</definedName>
    <definedName name="kostenbespaard_2033" localSheetId="11">'cluster huur'!$DB$251</definedName>
    <definedName name="kostenbespaard_2033" localSheetId="7">Locatie1!$DB$251</definedName>
    <definedName name="kostenbespaard_2033" localSheetId="8">Locatie2!$DB$251</definedName>
    <definedName name="kostenbespaard_2033" localSheetId="9">Locatie3!$DB$251</definedName>
    <definedName name="kostenbespaard_2034" localSheetId="4">Blanco!$DH$251</definedName>
    <definedName name="kostenbespaard_2034" localSheetId="10">'cluster eigendom'!$DH$251</definedName>
    <definedName name="kostenbespaard_2034" localSheetId="11">'cluster huur'!$DH$251</definedName>
    <definedName name="kostenbespaard_2034" localSheetId="7">Locatie1!$DH$251</definedName>
    <definedName name="kostenbespaard_2034" localSheetId="8">Locatie2!$DH$251</definedName>
    <definedName name="kostenbespaard_2034" localSheetId="9">Locatie3!$DH$251</definedName>
    <definedName name="kostenbespaard_2035" localSheetId="4">Blanco!$DN$251</definedName>
    <definedName name="kostenbespaard_2035" localSheetId="10">'cluster eigendom'!$DN$251</definedName>
    <definedName name="kostenbespaard_2035" localSheetId="11">'cluster huur'!$DN$251</definedName>
    <definedName name="kostenbespaard_2035" localSheetId="7">Locatie1!$DN$251</definedName>
    <definedName name="kostenbespaard_2035" localSheetId="8">Locatie2!$DN$251</definedName>
    <definedName name="kostenbespaard_2035" localSheetId="9">Locatie3!$DN$251</definedName>
    <definedName name="kostenbespaard_2036" localSheetId="4">Blanco!$DT$251</definedName>
    <definedName name="kostenbespaard_2036" localSheetId="10">'cluster eigendom'!$DT$251</definedName>
    <definedName name="kostenbespaard_2036" localSheetId="11">'cluster huur'!$DT$251</definedName>
    <definedName name="kostenbespaard_2036" localSheetId="7">Locatie1!$DT$251</definedName>
    <definedName name="kostenbespaard_2036" localSheetId="8">Locatie2!$DT$251</definedName>
    <definedName name="kostenbespaard_2036" localSheetId="9">Locatie3!$DT$251</definedName>
    <definedName name="kostenbespaard_2037" localSheetId="4">Blanco!$DZ$251</definedName>
    <definedName name="kostenbespaard_2037" localSheetId="10">'cluster eigendom'!$DZ$251</definedName>
    <definedName name="kostenbespaard_2037" localSheetId="11">'cluster huur'!$DZ$251</definedName>
    <definedName name="kostenbespaard_2037" localSheetId="7">Locatie1!$DZ$251</definedName>
    <definedName name="kostenbespaard_2037" localSheetId="8">Locatie2!$DZ$251</definedName>
    <definedName name="kostenbespaard_2037" localSheetId="9">Locatie3!$DZ$251</definedName>
    <definedName name="kostenbespaard_2038" localSheetId="4">Blanco!$EF$251</definedName>
    <definedName name="kostenbespaard_2038" localSheetId="10">'cluster eigendom'!$EF$251</definedName>
    <definedName name="kostenbespaard_2038" localSheetId="11">'cluster huur'!$EF$251</definedName>
    <definedName name="kostenbespaard_2038" localSheetId="7">Locatie1!$EF$251</definedName>
    <definedName name="kostenbespaard_2038" localSheetId="8">Locatie2!$EF$251</definedName>
    <definedName name="kostenbespaard_2038" localSheetId="9">Locatie3!$EF$251</definedName>
    <definedName name="kostenbespaard_2039" localSheetId="4">Blanco!$EL$251</definedName>
    <definedName name="kostenbespaard_2039" localSheetId="10">'cluster eigendom'!$EL$251</definedName>
    <definedName name="kostenbespaard_2039" localSheetId="11">'cluster huur'!$EL$251</definedName>
    <definedName name="kostenbespaard_2039" localSheetId="7">Locatie1!$EL$251</definedName>
    <definedName name="kostenbespaard_2039" localSheetId="8">Locatie2!$EL$251</definedName>
    <definedName name="kostenbespaard_2039" localSheetId="9">Locatie3!$EL$251</definedName>
    <definedName name="kostenbespaard_2040" localSheetId="4">Blanco!$ER$251</definedName>
    <definedName name="kostenbespaard_2040" localSheetId="10">'cluster eigendom'!$ER$251</definedName>
    <definedName name="kostenbespaard_2040" localSheetId="11">'cluster huur'!$ER$251</definedName>
    <definedName name="kostenbespaard_2040" localSheetId="7">Locatie1!$ER$251</definedName>
    <definedName name="kostenbespaard_2040" localSheetId="8">Locatie2!$ER$251</definedName>
    <definedName name="kostenbespaard_2040" localSheetId="9">Locatie3!$ER$251</definedName>
    <definedName name="kostenbespaard_2041" localSheetId="4">Blanco!$EX$251</definedName>
    <definedName name="kostenbespaard_2041" localSheetId="10">'cluster eigendom'!$EX$251</definedName>
    <definedName name="kostenbespaard_2041" localSheetId="11">'cluster huur'!$EX$251</definedName>
    <definedName name="kostenbespaard_2041" localSheetId="7">Locatie1!$EX$251</definedName>
    <definedName name="kostenbespaard_2041" localSheetId="8">Locatie2!$EX$251</definedName>
    <definedName name="kostenbespaard_2041" localSheetId="9">Locatie3!$EX$251</definedName>
    <definedName name="kostenbespaard_2042" localSheetId="4">Blanco!$FD$251</definedName>
    <definedName name="kostenbespaard_2042" localSheetId="10">'cluster eigendom'!$FD$251</definedName>
    <definedName name="kostenbespaard_2042" localSheetId="11">'cluster huur'!$FD$251</definedName>
    <definedName name="kostenbespaard_2042" localSheetId="7">Locatie1!$FD$251</definedName>
    <definedName name="kostenbespaard_2042" localSheetId="8">Locatie2!$FD$251</definedName>
    <definedName name="kostenbespaard_2042" localSheetId="9">Locatie3!$FD$251</definedName>
    <definedName name="kostenbespaard_2043" localSheetId="4">Blanco!$FJ$251</definedName>
    <definedName name="kostenbespaard_2043" localSheetId="10">'cluster eigendom'!$FJ$251</definedName>
    <definedName name="kostenbespaard_2043" localSheetId="11">'cluster huur'!$FJ$251</definedName>
    <definedName name="kostenbespaard_2043" localSheetId="7">Locatie1!$FJ$251</definedName>
    <definedName name="kostenbespaard_2043" localSheetId="8">Locatie2!$FJ$251</definedName>
    <definedName name="kostenbespaard_2043" localSheetId="9">Locatie3!$FJ$251</definedName>
    <definedName name="kostenbespaard_2044" localSheetId="4">Blanco!$FP$251</definedName>
    <definedName name="kostenbespaard_2044" localSheetId="10">'cluster eigendom'!$FP$251</definedName>
    <definedName name="kostenbespaard_2044" localSheetId="11">'cluster huur'!$FP$251</definedName>
    <definedName name="kostenbespaard_2044" localSheetId="7">Locatie1!$FP$251</definedName>
    <definedName name="kostenbespaard_2044" localSheetId="8">Locatie2!$FP$251</definedName>
    <definedName name="kostenbespaard_2044" localSheetId="9">Locatie3!$FP$251</definedName>
    <definedName name="kostenbespaard_2045" localSheetId="4">Blanco!$FV$251</definedName>
    <definedName name="kostenbespaard_2045" localSheetId="10">'cluster eigendom'!$FV$251</definedName>
    <definedName name="kostenbespaard_2045" localSheetId="11">'cluster huur'!$FV$251</definedName>
    <definedName name="kostenbespaard_2045" localSheetId="7">Locatie1!$FV$251</definedName>
    <definedName name="kostenbespaard_2045" localSheetId="8">Locatie2!$FV$251</definedName>
    <definedName name="kostenbespaard_2045" localSheetId="9">Locatie3!$FV$251</definedName>
    <definedName name="kostenbespaard_2046" localSheetId="4">Blanco!$GB$251</definedName>
    <definedName name="kostenbespaard_2046" localSheetId="10">'cluster eigendom'!$GB$251</definedName>
    <definedName name="kostenbespaard_2046" localSheetId="11">'cluster huur'!$GB$251</definedName>
    <definedName name="kostenbespaard_2046" localSheetId="7">Locatie1!$GB$251</definedName>
    <definedName name="kostenbespaard_2046" localSheetId="8">Locatie2!$GB$251</definedName>
    <definedName name="kostenbespaard_2046" localSheetId="9">Locatie3!$GB$251</definedName>
    <definedName name="kostenbespaard_2047" localSheetId="4">Blanco!$GH$251</definedName>
    <definedName name="kostenbespaard_2047" localSheetId="10">'cluster eigendom'!$GH$251</definedName>
    <definedName name="kostenbespaard_2047" localSheetId="11">'cluster huur'!$GH$251</definedName>
    <definedName name="kostenbespaard_2047" localSheetId="7">Locatie1!$GH$251</definedName>
    <definedName name="kostenbespaard_2047" localSheetId="8">Locatie2!$GH$251</definedName>
    <definedName name="kostenbespaard_2047" localSheetId="9">Locatie3!$GH$251</definedName>
    <definedName name="kostenbespaard_2048" localSheetId="4">Blanco!$GN$251</definedName>
    <definedName name="kostenbespaard_2048" localSheetId="10">'cluster eigendom'!$GN$251</definedName>
    <definedName name="kostenbespaard_2048" localSheetId="11">'cluster huur'!$GN$251</definedName>
    <definedName name="kostenbespaard_2048" localSheetId="7">Locatie1!$GN$251</definedName>
    <definedName name="kostenbespaard_2048" localSheetId="8">Locatie2!$GN$251</definedName>
    <definedName name="kostenbespaard_2048" localSheetId="9">Locatie3!$GN$251</definedName>
    <definedName name="kostenbespaard_2049" localSheetId="4">Blanco!$GT$251</definedName>
    <definedName name="kostenbespaard_2049" localSheetId="10">'cluster eigendom'!$GT$251</definedName>
    <definedName name="kostenbespaard_2049" localSheetId="11">'cluster huur'!$GT$251</definedName>
    <definedName name="kostenbespaard_2049" localSheetId="7">Locatie1!$GT$251</definedName>
    <definedName name="kostenbespaard_2049" localSheetId="8">Locatie2!$GT$251</definedName>
    <definedName name="kostenbespaard_2049" localSheetId="9">Locatie3!$GT$251</definedName>
    <definedName name="kostenbespaard_2050" localSheetId="4">Blanco!$GZ$251</definedName>
    <definedName name="kostenbespaard_2050" localSheetId="10">'cluster eigendom'!$GZ$251</definedName>
    <definedName name="kostenbespaard_2050" localSheetId="11">'cluster huur'!$GZ$251</definedName>
    <definedName name="kostenbespaard_2050" localSheetId="7">Locatie1!$GZ$251</definedName>
    <definedName name="kostenbespaard_2050" localSheetId="8">Locatie2!$GZ$251</definedName>
    <definedName name="kostenbespaard_2050" localSheetId="9">Locatie3!$GZ$251</definedName>
    <definedName name="kostenelek_2018" localSheetId="4">Blanco!$U$247</definedName>
    <definedName name="kostenelek_2018" localSheetId="10">'cluster eigendom'!$U$247</definedName>
    <definedName name="kostenelek_2018" localSheetId="11">'cluster huur'!$U$247</definedName>
    <definedName name="kostenelek_2018" localSheetId="7">Locatie1!$U$247</definedName>
    <definedName name="kostenelek_2018" localSheetId="8">Locatie2!$U$247</definedName>
    <definedName name="kostenelek_2018" localSheetId="9">Locatie3!$U$247</definedName>
    <definedName name="kostenelek_2019" localSheetId="4">Blanco!$V$247</definedName>
    <definedName name="kostenelek_2019" localSheetId="10">'cluster eigendom'!$V$247</definedName>
    <definedName name="kostenelek_2019" localSheetId="11">'cluster huur'!$V$247</definedName>
    <definedName name="kostenelek_2019" localSheetId="7">Locatie1!$V$247</definedName>
    <definedName name="kostenelek_2019" localSheetId="8">Locatie2!$V$247</definedName>
    <definedName name="kostenelek_2019" localSheetId="9">Locatie3!$V$247</definedName>
    <definedName name="kostenelek_2020" localSheetId="4">Blanco!$AB$247</definedName>
    <definedName name="kostenelek_2020" localSheetId="10">'cluster eigendom'!$AB$247</definedName>
    <definedName name="kostenelek_2020" localSheetId="11">'cluster huur'!$AB$247</definedName>
    <definedName name="kostenelek_2020" localSheetId="7">Locatie1!$AB$247</definedName>
    <definedName name="kostenelek_2020" localSheetId="8">Locatie2!$AB$247</definedName>
    <definedName name="kostenelek_2020" localSheetId="9">Locatie3!$AB$247</definedName>
    <definedName name="kostenelek_2021" localSheetId="4">Blanco!$AH$247</definedName>
    <definedName name="kostenelek_2021" localSheetId="10">'cluster eigendom'!$AH$247</definedName>
    <definedName name="kostenelek_2021" localSheetId="11">'cluster huur'!$AH$247</definedName>
    <definedName name="kostenelek_2021" localSheetId="7">Locatie1!$AH$247</definedName>
    <definedName name="kostenelek_2021" localSheetId="8">Locatie2!$AH$247</definedName>
    <definedName name="kostenelek_2021" localSheetId="9">Locatie3!$AH$247</definedName>
    <definedName name="kostenelek_2022" localSheetId="4">Blanco!$AN$247</definedName>
    <definedName name="kostenelek_2022" localSheetId="10">'cluster eigendom'!$AN$247</definedName>
    <definedName name="kostenelek_2022" localSheetId="11">'cluster huur'!$AN$247</definedName>
    <definedName name="kostenelek_2022" localSheetId="7">Locatie1!$AN$247</definedName>
    <definedName name="kostenelek_2022" localSheetId="8">Locatie2!$AN$247</definedName>
    <definedName name="kostenelek_2022" localSheetId="9">Locatie3!$AN$247</definedName>
    <definedName name="kostenelek_2023" localSheetId="4">Blanco!$AT$247</definedName>
    <definedName name="kostenelek_2023" localSheetId="10">'cluster eigendom'!$AT$247</definedName>
    <definedName name="kostenelek_2023" localSheetId="11">'cluster huur'!$AT$247</definedName>
    <definedName name="kostenelek_2023" localSheetId="7">Locatie1!$AT$247</definedName>
    <definedName name="kostenelek_2023" localSheetId="8">Locatie2!$AT$247</definedName>
    <definedName name="kostenelek_2023" localSheetId="9">Locatie3!$AT$247</definedName>
    <definedName name="kostenelek_2024" localSheetId="4">Blanco!$AZ$247</definedName>
    <definedName name="kostenelek_2024" localSheetId="10">'cluster eigendom'!$AZ$247</definedName>
    <definedName name="kostenelek_2024" localSheetId="11">'cluster huur'!$AZ$247</definedName>
    <definedName name="kostenelek_2024" localSheetId="7">Locatie1!$AZ$247</definedName>
    <definedName name="kostenelek_2024" localSheetId="8">Locatie2!$AZ$247</definedName>
    <definedName name="kostenelek_2024" localSheetId="9">Locatie3!$AZ$247</definedName>
    <definedName name="kostenelek_2025" localSheetId="4">Blanco!$BF$247</definedName>
    <definedName name="kostenelek_2025" localSheetId="10">'cluster eigendom'!$BF$247</definedName>
    <definedName name="kostenelek_2025" localSheetId="11">'cluster huur'!$BF$247</definedName>
    <definedName name="kostenelek_2025" localSheetId="7">Locatie1!$BF$247</definedName>
    <definedName name="kostenelek_2025" localSheetId="8">Locatie2!$BF$247</definedName>
    <definedName name="kostenelek_2025" localSheetId="9">Locatie3!$BF$247</definedName>
    <definedName name="kostenelek_2026" localSheetId="4">Blanco!$BL$247</definedName>
    <definedName name="kostenelek_2026" localSheetId="10">'cluster eigendom'!$BL$247</definedName>
    <definedName name="kostenelek_2026" localSheetId="11">'cluster huur'!$BL$247</definedName>
    <definedName name="kostenelek_2026" localSheetId="7">Locatie1!$BL$247</definedName>
    <definedName name="kostenelek_2026" localSheetId="8">Locatie2!$BL$247</definedName>
    <definedName name="kostenelek_2026" localSheetId="9">Locatie3!$BL$247</definedName>
    <definedName name="kostenelek_2027" localSheetId="4">Blanco!$BR$247</definedName>
    <definedName name="kostenelek_2027" localSheetId="10">'cluster eigendom'!$BR$247</definedName>
    <definedName name="kostenelek_2027" localSheetId="11">'cluster huur'!$BR$247</definedName>
    <definedName name="kostenelek_2027" localSheetId="7">Locatie1!$BR$247</definedName>
    <definedName name="kostenelek_2027" localSheetId="8">Locatie2!$BR$247</definedName>
    <definedName name="kostenelek_2027" localSheetId="9">Locatie3!$BR$247</definedName>
    <definedName name="kostenelek_2028" localSheetId="4">Blanco!$BX$247</definedName>
    <definedName name="kostenelek_2028" localSheetId="10">'cluster eigendom'!$BX$247</definedName>
    <definedName name="kostenelek_2028" localSheetId="11">'cluster huur'!$BX$247</definedName>
    <definedName name="kostenelek_2028" localSheetId="7">Locatie1!$BX$247</definedName>
    <definedName name="kostenelek_2028" localSheetId="8">Locatie2!$BX$247</definedName>
    <definedName name="kostenelek_2028" localSheetId="9">Locatie3!$BX$247</definedName>
    <definedName name="kostenelek_2029" localSheetId="4">Blanco!$CD$247</definedName>
    <definedName name="kostenelek_2029" localSheetId="10">'cluster eigendom'!$CD$247</definedName>
    <definedName name="kostenelek_2029" localSheetId="11">'cluster huur'!$CD$247</definedName>
    <definedName name="kostenelek_2029" localSheetId="7">Locatie1!$CD$247</definedName>
    <definedName name="kostenelek_2029" localSheetId="8">Locatie2!$CD$247</definedName>
    <definedName name="kostenelek_2029" localSheetId="9">Locatie3!$CD$247</definedName>
    <definedName name="kostenelek_2030" localSheetId="4">Blanco!$CJ$247</definedName>
    <definedName name="kostenelek_2030" localSheetId="10">'cluster eigendom'!$CJ$247</definedName>
    <definedName name="kostenelek_2030" localSheetId="11">'cluster huur'!$CJ$247</definedName>
    <definedName name="kostenelek_2030" localSheetId="7">Locatie1!$CJ$247</definedName>
    <definedName name="kostenelek_2030" localSheetId="8">Locatie2!$CJ$247</definedName>
    <definedName name="kostenelek_2030" localSheetId="9">Locatie3!$CJ$247</definedName>
    <definedName name="kostenelek_2031" localSheetId="4">Blanco!$CP$247</definedName>
    <definedName name="kostenelek_2031" localSheetId="10">'cluster eigendom'!$CP$247</definedName>
    <definedName name="kostenelek_2031" localSheetId="11">'cluster huur'!$CP$247</definedName>
    <definedName name="kostenelek_2031" localSheetId="7">Locatie1!$CP$247</definedName>
    <definedName name="kostenelek_2031" localSheetId="8">Locatie2!$CP$247</definedName>
    <definedName name="kostenelek_2031" localSheetId="9">Locatie3!$CP$247</definedName>
    <definedName name="kostenelek_2032" localSheetId="4">Blanco!$CV$247</definedName>
    <definedName name="kostenelek_2032" localSheetId="10">'cluster eigendom'!$CV$247</definedName>
    <definedName name="kostenelek_2032" localSheetId="11">'cluster huur'!$CV$247</definedName>
    <definedName name="kostenelek_2032" localSheetId="7">Locatie1!$CV$247</definedName>
    <definedName name="kostenelek_2032" localSheetId="8">Locatie2!$CV$247</definedName>
    <definedName name="kostenelek_2032" localSheetId="9">Locatie3!$CV$247</definedName>
    <definedName name="kostenelek_2033" localSheetId="4">Blanco!$DB$247</definedName>
    <definedName name="kostenelek_2033" localSheetId="10">'cluster eigendom'!$DB$247</definedName>
    <definedName name="kostenelek_2033" localSheetId="11">'cluster huur'!$DB$247</definedName>
    <definedName name="kostenelek_2033" localSheetId="7">Locatie1!$DB$247</definedName>
    <definedName name="kostenelek_2033" localSheetId="8">Locatie2!$DB$247</definedName>
    <definedName name="kostenelek_2033" localSheetId="9">Locatie3!$DB$247</definedName>
    <definedName name="kostenelek_2034" localSheetId="4">Blanco!$DH$247</definedName>
    <definedName name="kostenelek_2034" localSheetId="10">'cluster eigendom'!$DH$247</definedName>
    <definedName name="kostenelek_2034" localSheetId="11">'cluster huur'!$DH$247</definedName>
    <definedName name="kostenelek_2034" localSheetId="7">Locatie1!$DH$247</definedName>
    <definedName name="kostenelek_2034" localSheetId="8">Locatie2!$DH$247</definedName>
    <definedName name="kostenelek_2034" localSheetId="9">Locatie3!$DH$247</definedName>
    <definedName name="kostenelek_2035" localSheetId="4">Blanco!$DN$247</definedName>
    <definedName name="kostenelek_2035" localSheetId="10">'cluster eigendom'!$DN$247</definedName>
    <definedName name="kostenelek_2035" localSheetId="11">'cluster huur'!$DN$247</definedName>
    <definedName name="kostenelek_2035" localSheetId="7">Locatie1!$DN$247</definedName>
    <definedName name="kostenelek_2035" localSheetId="8">Locatie2!$DN$247</definedName>
    <definedName name="kostenelek_2035" localSheetId="9">Locatie3!$DN$247</definedName>
    <definedName name="kostenelek_2036" localSheetId="4">Blanco!$DT$247</definedName>
    <definedName name="kostenelek_2036" localSheetId="10">'cluster eigendom'!$DT$247</definedName>
    <definedName name="kostenelek_2036" localSheetId="11">'cluster huur'!$DT$247</definedName>
    <definedName name="kostenelek_2036" localSheetId="7">Locatie1!$DT$247</definedName>
    <definedName name="kostenelek_2036" localSheetId="8">Locatie2!$DT$247</definedName>
    <definedName name="kostenelek_2036" localSheetId="9">Locatie3!$DT$247</definedName>
    <definedName name="kostenelek_2037" localSheetId="4">Blanco!$DZ$247</definedName>
    <definedName name="kostenelek_2037" localSheetId="10">'cluster eigendom'!$DZ$247</definedName>
    <definedName name="kostenelek_2037" localSheetId="11">'cluster huur'!$DZ$247</definedName>
    <definedName name="kostenelek_2037" localSheetId="7">Locatie1!$DZ$247</definedName>
    <definedName name="kostenelek_2037" localSheetId="8">Locatie2!$DZ$247</definedName>
    <definedName name="kostenelek_2037" localSheetId="9">Locatie3!$DZ$247</definedName>
    <definedName name="kostenelek_2038" localSheetId="4">Blanco!$EF$247</definedName>
    <definedName name="kostenelek_2038" localSheetId="10">'cluster eigendom'!$EF$247</definedName>
    <definedName name="kostenelek_2038" localSheetId="11">'cluster huur'!$EF$247</definedName>
    <definedName name="kostenelek_2038" localSheetId="7">Locatie1!$EF$247</definedName>
    <definedName name="kostenelek_2038" localSheetId="8">Locatie2!$EF$247</definedName>
    <definedName name="kostenelek_2038" localSheetId="9">Locatie3!$EF$247</definedName>
    <definedName name="kostenelek_2039" localSheetId="4">Blanco!$EL$247</definedName>
    <definedName name="kostenelek_2039" localSheetId="10">'cluster eigendom'!$EL$247</definedName>
    <definedName name="kostenelek_2039" localSheetId="11">'cluster huur'!$EL$247</definedName>
    <definedName name="kostenelek_2039" localSheetId="7">Locatie1!$EL$247</definedName>
    <definedName name="kostenelek_2039" localSheetId="8">Locatie2!$EL$247</definedName>
    <definedName name="kostenelek_2039" localSheetId="9">Locatie3!$EL$247</definedName>
    <definedName name="kostenelek_2040" localSheetId="4">Blanco!$ER$247</definedName>
    <definedName name="kostenelek_2040" localSheetId="10">'cluster eigendom'!$ER$247</definedName>
    <definedName name="kostenelek_2040" localSheetId="11">'cluster huur'!$ER$247</definedName>
    <definedName name="kostenelek_2040" localSheetId="7">Locatie1!$ER$247</definedName>
    <definedName name="kostenelek_2040" localSheetId="8">Locatie2!$ER$247</definedName>
    <definedName name="kostenelek_2040" localSheetId="9">Locatie3!$ER$247</definedName>
    <definedName name="kostenelek_2041" localSheetId="4">Blanco!$EX$247</definedName>
    <definedName name="kostenelek_2041" localSheetId="10">'cluster eigendom'!$EX$247</definedName>
    <definedName name="kostenelek_2041" localSheetId="11">'cluster huur'!$EX$247</definedName>
    <definedName name="kostenelek_2041" localSheetId="7">Locatie1!$EX$247</definedName>
    <definedName name="kostenelek_2041" localSheetId="8">Locatie2!$EX$247</definedName>
    <definedName name="kostenelek_2041" localSheetId="9">Locatie3!$EX$247</definedName>
    <definedName name="kostenelek_2042" localSheetId="4">Blanco!$FD$247</definedName>
    <definedName name="kostenelek_2042" localSheetId="10">'cluster eigendom'!$FD$247</definedName>
    <definedName name="kostenelek_2042" localSheetId="11">'cluster huur'!$FD$247</definedName>
    <definedName name="kostenelek_2042" localSheetId="7">Locatie1!$FD$247</definedName>
    <definedName name="kostenelek_2042" localSheetId="8">Locatie2!$FD$247</definedName>
    <definedName name="kostenelek_2042" localSheetId="9">Locatie3!$FD$247</definedName>
    <definedName name="kostenelek_2043" localSheetId="4">Blanco!$FJ$247</definedName>
    <definedName name="kostenelek_2043" localSheetId="10">'cluster eigendom'!$FJ$247</definedName>
    <definedName name="kostenelek_2043" localSheetId="11">'cluster huur'!$FJ$247</definedName>
    <definedName name="kostenelek_2043" localSheetId="7">Locatie1!$FJ$247</definedName>
    <definedName name="kostenelek_2043" localSheetId="8">Locatie2!$FJ$247</definedName>
    <definedName name="kostenelek_2043" localSheetId="9">Locatie3!$FJ$247</definedName>
    <definedName name="kostenelek_2044" localSheetId="4">Blanco!$FP$247</definedName>
    <definedName name="kostenelek_2044" localSheetId="10">'cluster eigendom'!$FP$247</definedName>
    <definedName name="kostenelek_2044" localSheetId="11">'cluster huur'!$FP$247</definedName>
    <definedName name="kostenelek_2044" localSheetId="7">Locatie1!$FP$247</definedName>
    <definedName name="kostenelek_2044" localSheetId="8">Locatie2!$FP$247</definedName>
    <definedName name="kostenelek_2044" localSheetId="9">Locatie3!$FP$247</definedName>
    <definedName name="kostenelek_2045" localSheetId="4">Blanco!$FV$247</definedName>
    <definedName name="kostenelek_2045" localSheetId="10">'cluster eigendom'!$FV$247</definedName>
    <definedName name="kostenelek_2045" localSheetId="11">'cluster huur'!$FV$247</definedName>
    <definedName name="kostenelek_2045" localSheetId="7">Locatie1!$FV$247</definedName>
    <definedName name="kostenelek_2045" localSheetId="8">Locatie2!$FV$247</definedName>
    <definedName name="kostenelek_2045" localSheetId="9">Locatie3!$FV$247</definedName>
    <definedName name="kostenelek_2046" localSheetId="4">Blanco!$GB$247</definedName>
    <definedName name="kostenelek_2046" localSheetId="10">'cluster eigendom'!$GB$247</definedName>
    <definedName name="kostenelek_2046" localSheetId="11">'cluster huur'!$GB$247</definedName>
    <definedName name="kostenelek_2046" localSheetId="7">Locatie1!$GB$247</definedName>
    <definedName name="kostenelek_2046" localSheetId="8">Locatie2!$GB$247</definedName>
    <definedName name="kostenelek_2046" localSheetId="9">Locatie3!$GB$247</definedName>
    <definedName name="kostenelek_2047" localSheetId="4">Blanco!$GH$247</definedName>
    <definedName name="kostenelek_2047" localSheetId="10">'cluster eigendom'!$GH$247</definedName>
    <definedName name="kostenelek_2047" localSheetId="11">'cluster huur'!$GH$247</definedName>
    <definedName name="kostenelek_2047" localSheetId="7">Locatie1!$GH$247</definedName>
    <definedName name="kostenelek_2047" localSheetId="8">Locatie2!$GH$247</definedName>
    <definedName name="kostenelek_2047" localSheetId="9">Locatie3!$GH$247</definedName>
    <definedName name="kostenelek_2048" localSheetId="4">Blanco!$GN$247</definedName>
    <definedName name="kostenelek_2048" localSheetId="10">'cluster eigendom'!$GN$247</definedName>
    <definedName name="kostenelek_2048" localSheetId="11">'cluster huur'!$GN$247</definedName>
    <definedName name="kostenelek_2048" localSheetId="7">Locatie1!$GN$247</definedName>
    <definedName name="kostenelek_2048" localSheetId="8">Locatie2!$GN$247</definedName>
    <definedName name="kostenelek_2048" localSheetId="9">Locatie3!$GN$247</definedName>
    <definedName name="kostenelek_2049" localSheetId="4">Blanco!$GT$247</definedName>
    <definedName name="kostenelek_2049" localSheetId="10">'cluster eigendom'!$GT$247</definedName>
    <definedName name="kostenelek_2049" localSheetId="11">'cluster huur'!$GT$247</definedName>
    <definedName name="kostenelek_2049" localSheetId="7">Locatie1!$GT$247</definedName>
    <definedName name="kostenelek_2049" localSheetId="8">Locatie2!$GT$247</definedName>
    <definedName name="kostenelek_2049" localSheetId="9">Locatie3!$GT$247</definedName>
    <definedName name="kostenelek_2050" localSheetId="4">Blanco!$GZ$247</definedName>
    <definedName name="kostenelek_2050" localSheetId="10">'cluster eigendom'!$GZ$247</definedName>
    <definedName name="kostenelek_2050" localSheetId="11">'cluster huur'!$GZ$247</definedName>
    <definedName name="kostenelek_2050" localSheetId="7">Locatie1!$GZ$247</definedName>
    <definedName name="kostenelek_2050" localSheetId="8">Locatie2!$GZ$247</definedName>
    <definedName name="kostenelek_2050" localSheetId="9">Locatie3!$GZ$247</definedName>
    <definedName name="kostengas_2018" localSheetId="4">Blanco!$U$248</definedName>
    <definedName name="kostengas_2018" localSheetId="10">'cluster eigendom'!$U$248</definedName>
    <definedName name="kostengas_2018" localSheetId="11">'cluster huur'!$U$248</definedName>
    <definedName name="kostengas_2018" localSheetId="7">Locatie1!$U$248</definedName>
    <definedName name="kostengas_2018" localSheetId="8">Locatie2!$U$248</definedName>
    <definedName name="kostengas_2018" localSheetId="9">Locatie3!$U$248</definedName>
    <definedName name="kostengas_2019" localSheetId="4">Blanco!$V$248</definedName>
    <definedName name="kostengas_2019" localSheetId="10">'cluster eigendom'!$V$248</definedName>
    <definedName name="kostengas_2019" localSheetId="11">'cluster huur'!$V$248</definedName>
    <definedName name="kostengas_2019" localSheetId="7">Locatie1!$V$248</definedName>
    <definedName name="kostengas_2019" localSheetId="8">Locatie2!$V$248</definedName>
    <definedName name="kostengas_2019" localSheetId="9">Locatie3!$V$248</definedName>
    <definedName name="kostengas_2020" localSheetId="4">Blanco!$AB$248</definedName>
    <definedName name="kostengas_2020" localSheetId="10">'cluster eigendom'!$AB$248</definedName>
    <definedName name="kostengas_2020" localSheetId="11">'cluster huur'!$AB$248</definedName>
    <definedName name="kostengas_2020" localSheetId="7">Locatie1!$AB$248</definedName>
    <definedName name="kostengas_2020" localSheetId="8">Locatie2!$AB$248</definedName>
    <definedName name="kostengas_2020" localSheetId="9">Locatie3!$AB$248</definedName>
    <definedName name="kostengas_2021" localSheetId="4">Blanco!$AH$248</definedName>
    <definedName name="kostengas_2021" localSheetId="10">'cluster eigendom'!$AH$248</definedName>
    <definedName name="kostengas_2021" localSheetId="11">'cluster huur'!$AH$248</definedName>
    <definedName name="kostengas_2021" localSheetId="7">Locatie1!$AH$248</definedName>
    <definedName name="kostengas_2021" localSheetId="8">Locatie2!$AH$248</definedName>
    <definedName name="kostengas_2021" localSheetId="9">Locatie3!$AH$248</definedName>
    <definedName name="kostengas_2022" localSheetId="4">Blanco!$AN$248</definedName>
    <definedName name="kostengas_2022" localSheetId="10">'cluster eigendom'!$AN$248</definedName>
    <definedName name="kostengas_2022" localSheetId="11">'cluster huur'!$AN$248</definedName>
    <definedName name="kostengas_2022" localSheetId="7">Locatie1!$AN$248</definedName>
    <definedName name="kostengas_2022" localSheetId="8">Locatie2!$AN$248</definedName>
    <definedName name="kostengas_2022" localSheetId="9">Locatie3!$AN$248</definedName>
    <definedName name="kostengas_2023" localSheetId="4">Blanco!$AT$248</definedName>
    <definedName name="kostengas_2023" localSheetId="10">'cluster eigendom'!$AT$248</definedName>
    <definedName name="kostengas_2023" localSheetId="11">'cluster huur'!$AT$248</definedName>
    <definedName name="kostengas_2023" localSheetId="7">Locatie1!$AT$248</definedName>
    <definedName name="kostengas_2023" localSheetId="8">Locatie2!$AT$248</definedName>
    <definedName name="kostengas_2023" localSheetId="9">Locatie3!$AT$248</definedName>
    <definedName name="kostengas_2024" localSheetId="4">Blanco!$AZ$248</definedName>
    <definedName name="kostengas_2024" localSheetId="10">'cluster eigendom'!$AZ$248</definedName>
    <definedName name="kostengas_2024" localSheetId="11">'cluster huur'!$AZ$248</definedName>
    <definedName name="kostengas_2024" localSheetId="7">Locatie1!$AZ$248</definedName>
    <definedName name="kostengas_2024" localSheetId="8">Locatie2!$AZ$248</definedName>
    <definedName name="kostengas_2024" localSheetId="9">Locatie3!$AZ$248</definedName>
    <definedName name="kostengas_2025" localSheetId="4">Blanco!$BF$248</definedName>
    <definedName name="kostengas_2025" localSheetId="10">'cluster eigendom'!$BF$248</definedName>
    <definedName name="kostengas_2025" localSheetId="11">'cluster huur'!$BF$248</definedName>
    <definedName name="kostengas_2025" localSheetId="7">Locatie1!$BF$248</definedName>
    <definedName name="kostengas_2025" localSheetId="8">Locatie2!$BF$248</definedName>
    <definedName name="kostengas_2025" localSheetId="9">Locatie3!$BF$248</definedName>
    <definedName name="kostengas_2026" localSheetId="4">Blanco!$BL$248</definedName>
    <definedName name="kostengas_2026" localSheetId="10">'cluster eigendom'!$BL$248</definedName>
    <definedName name="kostengas_2026" localSheetId="11">'cluster huur'!$BL$248</definedName>
    <definedName name="kostengas_2026" localSheetId="7">Locatie1!$BL$248</definedName>
    <definedName name="kostengas_2026" localSheetId="8">Locatie2!$BL$248</definedName>
    <definedName name="kostengas_2026" localSheetId="9">Locatie3!$BL$248</definedName>
    <definedName name="kostengas_2027" localSheetId="4">Blanco!$BR$248</definedName>
    <definedName name="kostengas_2027" localSheetId="10">'cluster eigendom'!$BR$248</definedName>
    <definedName name="kostengas_2027" localSheetId="11">'cluster huur'!$BR$248</definedName>
    <definedName name="kostengas_2027" localSheetId="7">Locatie1!$BR$248</definedName>
    <definedName name="kostengas_2027" localSheetId="8">Locatie2!$BR$248</definedName>
    <definedName name="kostengas_2027" localSheetId="9">Locatie3!$BR$248</definedName>
    <definedName name="kostengas_2028" localSheetId="4">Blanco!$BX$248</definedName>
    <definedName name="kostengas_2028" localSheetId="10">'cluster eigendom'!$BX$248</definedName>
    <definedName name="kostengas_2028" localSheetId="11">'cluster huur'!$BX$248</definedName>
    <definedName name="kostengas_2028" localSheetId="7">Locatie1!$BX$248</definedName>
    <definedName name="kostengas_2028" localSheetId="8">Locatie2!$BX$248</definedName>
    <definedName name="kostengas_2028" localSheetId="9">Locatie3!$BX$248</definedName>
    <definedName name="kostengas_2029" localSheetId="4">Blanco!$CD$248</definedName>
    <definedName name="kostengas_2029" localSheetId="10">'cluster eigendom'!$CD$248</definedName>
    <definedName name="kostengas_2029" localSheetId="11">'cluster huur'!$CD$248</definedName>
    <definedName name="kostengas_2029" localSheetId="7">Locatie1!$CD$248</definedName>
    <definedName name="kostengas_2029" localSheetId="8">Locatie2!$CD$248</definedName>
    <definedName name="kostengas_2029" localSheetId="9">Locatie3!$CD$248</definedName>
    <definedName name="kostengas_2030" localSheetId="4">Blanco!$CJ$248</definedName>
    <definedName name="kostengas_2030" localSheetId="10">'cluster eigendom'!$CJ$248</definedName>
    <definedName name="kostengas_2030" localSheetId="11">'cluster huur'!$CJ$248</definedName>
    <definedName name="kostengas_2030" localSheetId="7">Locatie1!$CJ$248</definedName>
    <definedName name="kostengas_2030" localSheetId="8">Locatie2!$CJ$248</definedName>
    <definedName name="kostengas_2030" localSheetId="9">Locatie3!$CJ$248</definedName>
    <definedName name="kostengas_2031" localSheetId="4">Blanco!$CP$248</definedName>
    <definedName name="kostengas_2031" localSheetId="10">'cluster eigendom'!$CP$248</definedName>
    <definedName name="kostengas_2031" localSheetId="11">'cluster huur'!$CP$248</definedName>
    <definedName name="kostengas_2031" localSheetId="7">Locatie1!$CP$248</definedName>
    <definedName name="kostengas_2031" localSheetId="8">Locatie2!$CP$248</definedName>
    <definedName name="kostengas_2031" localSheetId="9">Locatie3!$CP$248</definedName>
    <definedName name="kostengas_2032" localSheetId="4">Blanco!$CV$248</definedName>
    <definedName name="kostengas_2032" localSheetId="10">'cluster eigendom'!$CV$248</definedName>
    <definedName name="kostengas_2032" localSheetId="11">'cluster huur'!$CV$248</definedName>
    <definedName name="kostengas_2032" localSheetId="7">Locatie1!$CV$248</definedName>
    <definedName name="kostengas_2032" localSheetId="8">Locatie2!$CV$248</definedName>
    <definedName name="kostengas_2032" localSheetId="9">Locatie3!$CV$248</definedName>
    <definedName name="kostengas_2033" localSheetId="4">Blanco!$DB$248</definedName>
    <definedName name="kostengas_2033" localSheetId="10">'cluster eigendom'!$DB$248</definedName>
    <definedName name="kostengas_2033" localSheetId="11">'cluster huur'!$DB$248</definedName>
    <definedName name="kostengas_2033" localSheetId="7">Locatie1!$DB$248</definedName>
    <definedName name="kostengas_2033" localSheetId="8">Locatie2!$DB$248</definedName>
    <definedName name="kostengas_2033" localSheetId="9">Locatie3!$DB$248</definedName>
    <definedName name="kostengas_2034" localSheetId="4">Blanco!$DH$248</definedName>
    <definedName name="kostengas_2034" localSheetId="10">'cluster eigendom'!$DH$248</definedName>
    <definedName name="kostengas_2034" localSheetId="11">'cluster huur'!$DH$248</definedName>
    <definedName name="kostengas_2034" localSheetId="7">Locatie1!$DH$248</definedName>
    <definedName name="kostengas_2034" localSheetId="8">Locatie2!$DH$248</definedName>
    <definedName name="kostengas_2034" localSheetId="9">Locatie3!$DH$248</definedName>
    <definedName name="kostengas_2035" localSheetId="4">Blanco!$DN$248</definedName>
    <definedName name="kostengas_2035" localSheetId="10">'cluster eigendom'!$DN$248</definedName>
    <definedName name="kostengas_2035" localSheetId="11">'cluster huur'!$DN$248</definedName>
    <definedName name="kostengas_2035" localSheetId="7">Locatie1!$DN$248</definedName>
    <definedName name="kostengas_2035" localSheetId="8">Locatie2!$DN$248</definedName>
    <definedName name="kostengas_2035" localSheetId="9">Locatie3!$DN$248</definedName>
    <definedName name="kostengas_2036" localSheetId="4">Blanco!$DT$248</definedName>
    <definedName name="kostengas_2036" localSheetId="10">'cluster eigendom'!$DT$248</definedName>
    <definedName name="kostengas_2036" localSheetId="11">'cluster huur'!$DT$248</definedName>
    <definedName name="kostengas_2036" localSheetId="7">Locatie1!$DT$248</definedName>
    <definedName name="kostengas_2036" localSheetId="8">Locatie2!$DT$248</definedName>
    <definedName name="kostengas_2036" localSheetId="9">Locatie3!$DT$248</definedName>
    <definedName name="kostengas_2037" localSheetId="4">Blanco!$DZ$248</definedName>
    <definedName name="kostengas_2037" localSheetId="10">'cluster eigendom'!$DZ$248</definedName>
    <definedName name="kostengas_2037" localSheetId="11">'cluster huur'!$DZ$248</definedName>
    <definedName name="kostengas_2037" localSheetId="7">Locatie1!$DZ$248</definedName>
    <definedName name="kostengas_2037" localSheetId="8">Locatie2!$DZ$248</definedName>
    <definedName name="kostengas_2037" localSheetId="9">Locatie3!$DZ$248</definedName>
    <definedName name="kostengas_2038" localSheetId="4">Blanco!$EF$248</definedName>
    <definedName name="kostengas_2038" localSheetId="10">'cluster eigendom'!$EF$248</definedName>
    <definedName name="kostengas_2038" localSheetId="11">'cluster huur'!$EF$248</definedName>
    <definedName name="kostengas_2038" localSheetId="7">Locatie1!$EF$248</definedName>
    <definedName name="kostengas_2038" localSheetId="8">Locatie2!$EF$248</definedName>
    <definedName name="kostengas_2038" localSheetId="9">Locatie3!$EF$248</definedName>
    <definedName name="kostengas_2039" localSheetId="4">Blanco!$EL$248</definedName>
    <definedName name="kostengas_2039" localSheetId="10">'cluster eigendom'!$EL$248</definedName>
    <definedName name="kostengas_2039" localSheetId="11">'cluster huur'!$EL$248</definedName>
    <definedName name="kostengas_2039" localSheetId="7">Locatie1!$EL$248</definedName>
    <definedName name="kostengas_2039" localSheetId="8">Locatie2!$EL$248</definedName>
    <definedName name="kostengas_2039" localSheetId="9">Locatie3!$EL$248</definedName>
    <definedName name="kostengas_2040" localSheetId="4">Blanco!$ER$248</definedName>
    <definedName name="kostengas_2040" localSheetId="10">'cluster eigendom'!$ER$248</definedName>
    <definedName name="kostengas_2040" localSheetId="11">'cluster huur'!$ER$248</definedName>
    <definedName name="kostengas_2040" localSheetId="7">Locatie1!$ER$248</definedName>
    <definedName name="kostengas_2040" localSheetId="8">Locatie2!$ER$248</definedName>
    <definedName name="kostengas_2040" localSheetId="9">Locatie3!$ER$248</definedName>
    <definedName name="kostengas_2041" localSheetId="4">Blanco!$EX$248</definedName>
    <definedName name="kostengas_2041" localSheetId="10">'cluster eigendom'!$EX$248</definedName>
    <definedName name="kostengas_2041" localSheetId="11">'cluster huur'!$EX$248</definedName>
    <definedName name="kostengas_2041" localSheetId="7">Locatie1!$EX$248</definedName>
    <definedName name="kostengas_2041" localSheetId="8">Locatie2!$EX$248</definedName>
    <definedName name="kostengas_2041" localSheetId="9">Locatie3!$EX$248</definedName>
    <definedName name="kostengas_2042" localSheetId="4">Blanco!$FD$248</definedName>
    <definedName name="kostengas_2042" localSheetId="10">'cluster eigendom'!$FD$248</definedName>
    <definedName name="kostengas_2042" localSheetId="11">'cluster huur'!$FD$248</definedName>
    <definedName name="kostengas_2042" localSheetId="7">Locatie1!$FD$248</definedName>
    <definedName name="kostengas_2042" localSheetId="8">Locatie2!$FD$248</definedName>
    <definedName name="kostengas_2042" localSheetId="9">Locatie3!$FD$248</definedName>
    <definedName name="kostengas_2043" localSheetId="4">Blanco!$FJ$248</definedName>
    <definedName name="kostengas_2043" localSheetId="10">'cluster eigendom'!$FJ$248</definedName>
    <definedName name="kostengas_2043" localSheetId="11">'cluster huur'!$FJ$248</definedName>
    <definedName name="kostengas_2043" localSheetId="7">Locatie1!$FJ$248</definedName>
    <definedName name="kostengas_2043" localSheetId="8">Locatie2!$FJ$248</definedName>
    <definedName name="kostengas_2043" localSheetId="9">Locatie3!$FJ$248</definedName>
    <definedName name="kostengas_2044" localSheetId="4">Blanco!$FP$248</definedName>
    <definedName name="kostengas_2044" localSheetId="10">'cluster eigendom'!$FP$248</definedName>
    <definedName name="kostengas_2044" localSheetId="11">'cluster huur'!$FP$248</definedName>
    <definedName name="kostengas_2044" localSheetId="7">Locatie1!$FP$248</definedName>
    <definedName name="kostengas_2044" localSheetId="8">Locatie2!$FP$248</definedName>
    <definedName name="kostengas_2044" localSheetId="9">Locatie3!$FP$248</definedName>
    <definedName name="kostengas_2045" localSheetId="4">Blanco!$FV$248</definedName>
    <definedName name="kostengas_2045" localSheetId="10">'cluster eigendom'!$FV$248</definedName>
    <definedName name="kostengas_2045" localSheetId="11">'cluster huur'!$FV$248</definedName>
    <definedName name="kostengas_2045" localSheetId="7">Locatie1!$FV$248</definedName>
    <definedName name="kostengas_2045" localSheetId="8">Locatie2!$FV$248</definedName>
    <definedName name="kostengas_2045" localSheetId="9">Locatie3!$FV$248</definedName>
    <definedName name="kostengas_2046" localSheetId="4">Blanco!$GB$248</definedName>
    <definedName name="kostengas_2046" localSheetId="10">'cluster eigendom'!$GB$248</definedName>
    <definedName name="kostengas_2046" localSheetId="11">'cluster huur'!$GB$248</definedName>
    <definedName name="kostengas_2046" localSheetId="7">Locatie1!$GB$248</definedName>
    <definedName name="kostengas_2046" localSheetId="8">Locatie2!$GB$248</definedName>
    <definedName name="kostengas_2046" localSheetId="9">Locatie3!$GB$248</definedName>
    <definedName name="kostengas_2047" localSheetId="4">Blanco!$GH$248</definedName>
    <definedName name="kostengas_2047" localSheetId="10">'cluster eigendom'!$GH$248</definedName>
    <definedName name="kostengas_2047" localSheetId="11">'cluster huur'!$GH$248</definedName>
    <definedName name="kostengas_2047" localSheetId="7">Locatie1!$GH$248</definedName>
    <definedName name="kostengas_2047" localSheetId="8">Locatie2!$GH$248</definedName>
    <definedName name="kostengas_2047" localSheetId="9">Locatie3!$GH$248</definedName>
    <definedName name="kostengas_2048" localSheetId="4">Blanco!$GN$248</definedName>
    <definedName name="kostengas_2048" localSheetId="10">'cluster eigendom'!$GN$248</definedName>
    <definedName name="kostengas_2048" localSheetId="11">'cluster huur'!$GN$248</definedName>
    <definedName name="kostengas_2048" localSheetId="7">Locatie1!$GN$248</definedName>
    <definedName name="kostengas_2048" localSheetId="8">Locatie2!$GN$248</definedName>
    <definedName name="kostengas_2048" localSheetId="9">Locatie3!$GN$248</definedName>
    <definedName name="kostengas_2049" localSheetId="4">Blanco!$GT$248</definedName>
    <definedName name="kostengas_2049" localSheetId="10">'cluster eigendom'!$GT$248</definedName>
    <definedName name="kostengas_2049" localSheetId="11">'cluster huur'!$GT$248</definedName>
    <definedName name="kostengas_2049" localSheetId="7">Locatie1!$GT$248</definedName>
    <definedName name="kostengas_2049" localSheetId="8">Locatie2!$GT$248</definedName>
    <definedName name="kostengas_2049" localSheetId="9">Locatie3!$GT$248</definedName>
    <definedName name="kostengas_2050" localSheetId="4">Blanco!$GZ$248</definedName>
    <definedName name="kostengas_2050" localSheetId="10">'cluster eigendom'!$GZ$248</definedName>
    <definedName name="kostengas_2050" localSheetId="11">'cluster huur'!$GZ$248</definedName>
    <definedName name="kostengas_2050" localSheetId="7">Locatie1!$GZ$248</definedName>
    <definedName name="kostengas_2050" localSheetId="8">Locatie2!$GZ$248</definedName>
    <definedName name="kostengas_2050" localSheetId="9">Locatie3!$GZ$248</definedName>
    <definedName name="kostentotaal_2018" localSheetId="4">Blanco!$U$250</definedName>
    <definedName name="kostentotaal_2018" localSheetId="10">'cluster eigendom'!$U$250</definedName>
    <definedName name="kostentotaal_2018" localSheetId="11">'cluster huur'!$U$250</definedName>
    <definedName name="kostentotaal_2018" localSheetId="7">Locatie1!$U$250</definedName>
    <definedName name="kostentotaal_2018" localSheetId="8">Locatie2!$U$250</definedName>
    <definedName name="kostentotaal_2018" localSheetId="9">Locatie3!$U$250</definedName>
    <definedName name="kostentotaal_2019" localSheetId="4">Blanco!$V$250</definedName>
    <definedName name="kostentotaal_2019" localSheetId="10">'cluster eigendom'!$V$250</definedName>
    <definedName name="kostentotaal_2019" localSheetId="11">'cluster huur'!$V$250</definedName>
    <definedName name="kostentotaal_2019" localSheetId="7">Locatie1!$V$250</definedName>
    <definedName name="kostentotaal_2019" localSheetId="8">Locatie2!$V$250</definedName>
    <definedName name="kostentotaal_2019" localSheetId="9">Locatie3!$V$250</definedName>
    <definedName name="kostentotaal_2020" localSheetId="4">Blanco!$AB$250</definedName>
    <definedName name="kostentotaal_2020" localSheetId="10">'cluster eigendom'!$AB$250</definedName>
    <definedName name="kostentotaal_2020" localSheetId="11">'cluster huur'!$AB$250</definedName>
    <definedName name="kostentotaal_2020" localSheetId="7">Locatie1!$AB$250</definedName>
    <definedName name="kostentotaal_2020" localSheetId="8">Locatie2!$AB$250</definedName>
    <definedName name="kostentotaal_2020" localSheetId="9">Locatie3!$AB$250</definedName>
    <definedName name="kostentotaal_2021" localSheetId="4">Blanco!$AH$250</definedName>
    <definedName name="kostentotaal_2021" localSheetId="10">'cluster eigendom'!$AH$250</definedName>
    <definedName name="kostentotaal_2021" localSheetId="11">'cluster huur'!$AH$250</definedName>
    <definedName name="kostentotaal_2021" localSheetId="7">Locatie1!$AH$250</definedName>
    <definedName name="kostentotaal_2021" localSheetId="8">Locatie2!$AH$250</definedName>
    <definedName name="kostentotaal_2021" localSheetId="9">Locatie3!$AH$250</definedName>
    <definedName name="kostentotaal_2022" localSheetId="4">Blanco!$AN$250</definedName>
    <definedName name="kostentotaal_2022" localSheetId="10">'cluster eigendom'!$AN$250</definedName>
    <definedName name="kostentotaal_2022" localSheetId="11">'cluster huur'!$AN$250</definedName>
    <definedName name="kostentotaal_2022" localSheetId="7">Locatie1!$AN$250</definedName>
    <definedName name="kostentotaal_2022" localSheetId="8">Locatie2!$AN$250</definedName>
    <definedName name="kostentotaal_2022" localSheetId="9">Locatie3!$AN$250</definedName>
    <definedName name="kostentotaal_2023" localSheetId="4">Blanco!$AT$250</definedName>
    <definedName name="kostentotaal_2023" localSheetId="10">'cluster eigendom'!$AT$250</definedName>
    <definedName name="kostentotaal_2023" localSheetId="11">'cluster huur'!$AT$250</definedName>
    <definedName name="kostentotaal_2023" localSheetId="7">Locatie1!$AT$250</definedName>
    <definedName name="kostentotaal_2023" localSheetId="8">Locatie2!$AT$250</definedName>
    <definedName name="kostentotaal_2023" localSheetId="9">Locatie3!$AT$250</definedName>
    <definedName name="kostentotaal_2024" localSheetId="4">Blanco!$AZ$250</definedName>
    <definedName name="kostentotaal_2024" localSheetId="10">'cluster eigendom'!$AZ$250</definedName>
    <definedName name="kostentotaal_2024" localSheetId="11">'cluster huur'!$AZ$250</definedName>
    <definedName name="kostentotaal_2024" localSheetId="7">Locatie1!$AZ$250</definedName>
    <definedName name="kostentotaal_2024" localSheetId="8">Locatie2!$AZ$250</definedName>
    <definedName name="kostentotaal_2024" localSheetId="9">Locatie3!$AZ$250</definedName>
    <definedName name="kostentotaal_2025" localSheetId="4">Blanco!$BF$250</definedName>
    <definedName name="kostentotaal_2025" localSheetId="10">'cluster eigendom'!$BF$250</definedName>
    <definedName name="kostentotaal_2025" localSheetId="11">'cluster huur'!$BF$250</definedName>
    <definedName name="kostentotaal_2025" localSheetId="7">Locatie1!$BF$250</definedName>
    <definedName name="kostentotaal_2025" localSheetId="8">Locatie2!$BF$250</definedName>
    <definedName name="kostentotaal_2025" localSheetId="9">Locatie3!$BF$250</definedName>
    <definedName name="kostentotaal_2026" localSheetId="4">Blanco!$BL$250</definedName>
    <definedName name="kostentotaal_2026" localSheetId="10">'cluster eigendom'!$BL$250</definedName>
    <definedName name="kostentotaal_2026" localSheetId="11">'cluster huur'!$BL$250</definedName>
    <definedName name="kostentotaal_2026" localSheetId="7">Locatie1!$BL$250</definedName>
    <definedName name="kostentotaal_2026" localSheetId="8">Locatie2!$BL$250</definedName>
    <definedName name="kostentotaal_2026" localSheetId="9">Locatie3!$BL$250</definedName>
    <definedName name="kostentotaal_2027" localSheetId="4">Blanco!$BR$250</definedName>
    <definedName name="kostentotaal_2027" localSheetId="10">'cluster eigendom'!$BR$250</definedName>
    <definedName name="kostentotaal_2027" localSheetId="11">'cluster huur'!$BR$250</definedName>
    <definedName name="kostentotaal_2027" localSheetId="7">Locatie1!$BR$250</definedName>
    <definedName name="kostentotaal_2027" localSheetId="8">Locatie2!$BR$250</definedName>
    <definedName name="kostentotaal_2027" localSheetId="9">Locatie3!$BR$250</definedName>
    <definedName name="kostentotaal_2028" localSheetId="4">Blanco!$BX$250</definedName>
    <definedName name="kostentotaal_2028" localSheetId="10">'cluster eigendom'!$BX$250</definedName>
    <definedName name="kostentotaal_2028" localSheetId="11">'cluster huur'!$BX$250</definedName>
    <definedName name="kostentotaal_2028" localSheetId="7">Locatie1!$BX$250</definedName>
    <definedName name="kostentotaal_2028" localSheetId="8">Locatie2!$BX$250</definedName>
    <definedName name="kostentotaal_2028" localSheetId="9">Locatie3!$BX$250</definedName>
    <definedName name="kostentotaal_2029" localSheetId="4">Blanco!$CD$250</definedName>
    <definedName name="kostentotaal_2029" localSheetId="10">'cluster eigendom'!$CD$250</definedName>
    <definedName name="kostentotaal_2029" localSheetId="11">'cluster huur'!$CD$250</definedName>
    <definedName name="kostentotaal_2029" localSheetId="7">Locatie1!$CD$250</definedName>
    <definedName name="kostentotaal_2029" localSheetId="8">Locatie2!$CD$250</definedName>
    <definedName name="kostentotaal_2029" localSheetId="9">Locatie3!$CD$250</definedName>
    <definedName name="kostentotaal_2030" localSheetId="4">Blanco!$CJ$250</definedName>
    <definedName name="kostentotaal_2030" localSheetId="10">'cluster eigendom'!$CJ$250</definedName>
    <definedName name="kostentotaal_2030" localSheetId="11">'cluster huur'!$CJ$250</definedName>
    <definedName name="kostentotaal_2030" localSheetId="7">Locatie1!$CJ$250</definedName>
    <definedName name="kostentotaal_2030" localSheetId="8">Locatie2!$CJ$250</definedName>
    <definedName name="kostentotaal_2030" localSheetId="9">Locatie3!$CJ$250</definedName>
    <definedName name="kostentotaal_2031" localSheetId="4">Blanco!$CP$250</definedName>
    <definedName name="kostentotaal_2031" localSheetId="10">'cluster eigendom'!$CP$250</definedName>
    <definedName name="kostentotaal_2031" localSheetId="11">'cluster huur'!$CP$250</definedName>
    <definedName name="kostentotaal_2031" localSheetId="7">Locatie1!$CP$250</definedName>
    <definedName name="kostentotaal_2031" localSheetId="8">Locatie2!$CP$250</definedName>
    <definedName name="kostentotaal_2031" localSheetId="9">Locatie3!$CP$250</definedName>
    <definedName name="kostentotaal_2032" localSheetId="4">Blanco!$CV$250</definedName>
    <definedName name="kostentotaal_2032" localSheetId="10">'cluster eigendom'!$CV$250</definedName>
    <definedName name="kostentotaal_2032" localSheetId="11">'cluster huur'!$CV$250</definedName>
    <definedName name="kostentotaal_2032" localSheetId="7">Locatie1!$CV$250</definedName>
    <definedName name="kostentotaal_2032" localSheetId="8">Locatie2!$CV$250</definedName>
    <definedName name="kostentotaal_2032" localSheetId="9">Locatie3!$CV$250</definedName>
    <definedName name="kostentotaal_2033" localSheetId="4">Blanco!$DB$250</definedName>
    <definedName name="kostentotaal_2033" localSheetId="10">'cluster eigendom'!$DB$250</definedName>
    <definedName name="kostentotaal_2033" localSheetId="11">'cluster huur'!$DB$250</definedName>
    <definedName name="kostentotaal_2033" localSheetId="7">Locatie1!$DB$250</definedName>
    <definedName name="kostentotaal_2033" localSheetId="8">Locatie2!$DB$250</definedName>
    <definedName name="kostentotaal_2033" localSheetId="9">Locatie3!$DB$250</definedName>
    <definedName name="kostentotaal_2034" localSheetId="4">Blanco!$DH$250</definedName>
    <definedName name="kostentotaal_2034" localSheetId="10">'cluster eigendom'!$DH$250</definedName>
    <definedName name="kostentotaal_2034" localSheetId="11">'cluster huur'!$DH$250</definedName>
    <definedName name="kostentotaal_2034" localSheetId="7">Locatie1!$DH$250</definedName>
    <definedName name="kostentotaal_2034" localSheetId="8">Locatie2!$DH$250</definedName>
    <definedName name="kostentotaal_2034" localSheetId="9">Locatie3!$DH$250</definedName>
    <definedName name="kostentotaal_2035" localSheetId="4">Blanco!$DN$250</definedName>
    <definedName name="kostentotaal_2035" localSheetId="10">'cluster eigendom'!$DN$250</definedName>
    <definedName name="kostentotaal_2035" localSheetId="11">'cluster huur'!$DN$250</definedName>
    <definedName name="kostentotaal_2035" localSheetId="7">Locatie1!$DN$250</definedName>
    <definedName name="kostentotaal_2035" localSheetId="8">Locatie2!$DN$250</definedName>
    <definedName name="kostentotaal_2035" localSheetId="9">Locatie3!$DN$250</definedName>
    <definedName name="kostentotaal_2036" localSheetId="4">Blanco!$DT$250</definedName>
    <definedName name="kostentotaal_2036" localSheetId="10">'cluster eigendom'!$DT$250</definedName>
    <definedName name="kostentotaal_2036" localSheetId="11">'cluster huur'!$DT$250</definedName>
    <definedName name="kostentotaal_2036" localSheetId="7">Locatie1!$DT$250</definedName>
    <definedName name="kostentotaal_2036" localSheetId="8">Locatie2!$DT$250</definedName>
    <definedName name="kostentotaal_2036" localSheetId="9">Locatie3!$DT$250</definedName>
    <definedName name="kostentotaal_2037" localSheetId="4">Blanco!$DZ$250</definedName>
    <definedName name="kostentotaal_2037" localSheetId="10">'cluster eigendom'!$DZ$250</definedName>
    <definedName name="kostentotaal_2037" localSheetId="11">'cluster huur'!$DZ$250</definedName>
    <definedName name="kostentotaal_2037" localSheetId="7">Locatie1!$DZ$250</definedName>
    <definedName name="kostentotaal_2037" localSheetId="8">Locatie2!$DZ$250</definedName>
    <definedName name="kostentotaal_2037" localSheetId="9">Locatie3!$DZ$250</definedName>
    <definedName name="kostentotaal_2038" localSheetId="4">Blanco!$EF$250</definedName>
    <definedName name="kostentotaal_2038" localSheetId="10">'cluster eigendom'!$EF$250</definedName>
    <definedName name="kostentotaal_2038" localSheetId="11">'cluster huur'!$EF$250</definedName>
    <definedName name="kostentotaal_2038" localSheetId="7">Locatie1!$EF$250</definedName>
    <definedName name="kostentotaal_2038" localSheetId="8">Locatie2!$EF$250</definedName>
    <definedName name="kostentotaal_2038" localSheetId="9">Locatie3!$EF$250</definedName>
    <definedName name="kostentotaal_2039" localSheetId="4">Blanco!$EL$250</definedName>
    <definedName name="kostentotaal_2039" localSheetId="10">'cluster eigendom'!$EL$250</definedName>
    <definedName name="kostentotaal_2039" localSheetId="11">'cluster huur'!$EL$250</definedName>
    <definedName name="kostentotaal_2039" localSheetId="7">Locatie1!$EL$250</definedName>
    <definedName name="kostentotaal_2039" localSheetId="8">Locatie2!$EL$250</definedName>
    <definedName name="kostentotaal_2039" localSheetId="9">Locatie3!$EL$250</definedName>
    <definedName name="kostentotaal_2040" localSheetId="4">Blanco!$ER$250</definedName>
    <definedName name="kostentotaal_2040" localSheetId="10">'cluster eigendom'!$ER$250</definedName>
    <definedName name="kostentotaal_2040" localSheetId="11">'cluster huur'!$ER$250</definedName>
    <definedName name="kostentotaal_2040" localSheetId="7">Locatie1!$ER$250</definedName>
    <definedName name="kostentotaal_2040" localSheetId="8">Locatie2!$ER$250</definedName>
    <definedName name="kostentotaal_2040" localSheetId="9">Locatie3!$ER$250</definedName>
    <definedName name="kostentotaal_2041" localSheetId="4">Blanco!$EX$250</definedName>
    <definedName name="kostentotaal_2041" localSheetId="10">'cluster eigendom'!$EX$250</definedName>
    <definedName name="kostentotaal_2041" localSheetId="11">'cluster huur'!$EX$250</definedName>
    <definedName name="kostentotaal_2041" localSheetId="7">Locatie1!$EX$250</definedName>
    <definedName name="kostentotaal_2041" localSheetId="8">Locatie2!$EX$250</definedName>
    <definedName name="kostentotaal_2041" localSheetId="9">Locatie3!$EX$250</definedName>
    <definedName name="kostentotaal_2042" localSheetId="4">Blanco!$FD$250</definedName>
    <definedName name="kostentotaal_2042" localSheetId="10">'cluster eigendom'!$FD$250</definedName>
    <definedName name="kostentotaal_2042" localSheetId="11">'cluster huur'!$FD$250</definedName>
    <definedName name="kostentotaal_2042" localSheetId="7">Locatie1!$FD$250</definedName>
    <definedName name="kostentotaal_2042" localSheetId="8">Locatie2!$FD$250</definedName>
    <definedName name="kostentotaal_2042" localSheetId="9">Locatie3!$FD$250</definedName>
    <definedName name="kostentotaal_2043" localSheetId="4">Blanco!$FJ$250</definedName>
    <definedName name="kostentotaal_2043" localSheetId="10">'cluster eigendom'!$FJ$250</definedName>
    <definedName name="kostentotaal_2043" localSheetId="11">'cluster huur'!$FJ$250</definedName>
    <definedName name="kostentotaal_2043" localSheetId="7">Locatie1!$FJ$250</definedName>
    <definedName name="kostentotaal_2043" localSheetId="8">Locatie2!$FJ$250</definedName>
    <definedName name="kostentotaal_2043" localSheetId="9">Locatie3!$FJ$250</definedName>
    <definedName name="kostentotaal_2044" localSheetId="4">Blanco!$FP$250</definedName>
    <definedName name="kostentotaal_2044" localSheetId="10">'cluster eigendom'!$FP$250</definedName>
    <definedName name="kostentotaal_2044" localSheetId="11">'cluster huur'!$FP$250</definedName>
    <definedName name="kostentotaal_2044" localSheetId="7">Locatie1!$FP$250</definedName>
    <definedName name="kostentotaal_2044" localSheetId="8">Locatie2!$FP$250</definedName>
    <definedName name="kostentotaal_2044" localSheetId="9">Locatie3!$FP$250</definedName>
    <definedName name="kostentotaal_2045" localSheetId="4">Blanco!$FV$250</definedName>
    <definedName name="kostentotaal_2045" localSheetId="10">'cluster eigendom'!$FV$250</definedName>
    <definedName name="kostentotaal_2045" localSheetId="11">'cluster huur'!$FV$250</definedName>
    <definedName name="kostentotaal_2045" localSheetId="7">Locatie1!$FV$250</definedName>
    <definedName name="kostentotaal_2045" localSheetId="8">Locatie2!$FV$250</definedName>
    <definedName name="kostentotaal_2045" localSheetId="9">Locatie3!$FV$250</definedName>
    <definedName name="kostentotaal_2046" localSheetId="4">Blanco!$GB$250</definedName>
    <definedName name="kostentotaal_2046" localSheetId="10">'cluster eigendom'!$GB$250</definedName>
    <definedName name="kostentotaal_2046" localSheetId="11">'cluster huur'!$GB$250</definedName>
    <definedName name="kostentotaal_2046" localSheetId="7">Locatie1!$GB$250</definedName>
    <definedName name="kostentotaal_2046" localSheetId="8">Locatie2!$GB$250</definedName>
    <definedName name="kostentotaal_2046" localSheetId="9">Locatie3!$GB$250</definedName>
    <definedName name="kostentotaal_2047" localSheetId="4">Blanco!$GH$250</definedName>
    <definedName name="kostentotaal_2047" localSheetId="10">'cluster eigendom'!$GH$250</definedName>
    <definedName name="kostentotaal_2047" localSheetId="11">'cluster huur'!$GH$250</definedName>
    <definedName name="kostentotaal_2047" localSheetId="7">Locatie1!$GH$250</definedName>
    <definedName name="kostentotaal_2047" localSheetId="8">Locatie2!$GH$250</definedName>
    <definedName name="kostentotaal_2047" localSheetId="9">Locatie3!$GH$250</definedName>
    <definedName name="kostentotaal_2048" localSheetId="4">Blanco!$GN$250</definedName>
    <definedName name="kostentotaal_2048" localSheetId="10">'cluster eigendom'!$GN$250</definedName>
    <definedName name="kostentotaal_2048" localSheetId="11">'cluster huur'!$GN$250</definedName>
    <definedName name="kostentotaal_2048" localSheetId="7">Locatie1!$GN$250</definedName>
    <definedName name="kostentotaal_2048" localSheetId="8">Locatie2!$GN$250</definedName>
    <definedName name="kostentotaal_2048" localSheetId="9">Locatie3!$GN$250</definedName>
    <definedName name="kostentotaal_2049" localSheetId="4">Blanco!$GT$250</definedName>
    <definedName name="kostentotaal_2049" localSheetId="10">'cluster eigendom'!$GT$250</definedName>
    <definedName name="kostentotaal_2049" localSheetId="11">'cluster huur'!$GT$250</definedName>
    <definedName name="kostentotaal_2049" localSheetId="7">Locatie1!$GT$250</definedName>
    <definedName name="kostentotaal_2049" localSheetId="8">Locatie2!$GT$250</definedName>
    <definedName name="kostentotaal_2049" localSheetId="9">Locatie3!$GT$250</definedName>
    <definedName name="kostentotaal_2050" localSheetId="4">Blanco!$GZ$250</definedName>
    <definedName name="kostentotaal_2050" localSheetId="10">'cluster eigendom'!$GZ$250</definedName>
    <definedName name="kostentotaal_2050" localSheetId="11">'cluster huur'!$GZ$250</definedName>
    <definedName name="kostentotaal_2050" localSheetId="7">Locatie1!$GZ$250</definedName>
    <definedName name="kostentotaal_2050" localSheetId="8">Locatie2!$GZ$250</definedName>
    <definedName name="kostentotaal_2050" localSheetId="9">Locatie3!$GZ$250</definedName>
    <definedName name="kostenwarmte_2018" localSheetId="4">Blanco!$U$249</definedName>
    <definedName name="kostenwarmte_2018" localSheetId="10">'cluster eigendom'!$U$249</definedName>
    <definedName name="kostenwarmte_2018" localSheetId="11">'cluster huur'!$U$249</definedName>
    <definedName name="kostenwarmte_2018" localSheetId="7">Locatie1!$U$249</definedName>
    <definedName name="kostenwarmte_2018" localSheetId="8">Locatie2!$U$249</definedName>
    <definedName name="kostenwarmte_2018" localSheetId="9">Locatie3!$U$249</definedName>
    <definedName name="kostenwarmte_2019" localSheetId="4">Blanco!$V$249</definedName>
    <definedName name="kostenwarmte_2019" localSheetId="10">'cluster eigendom'!$V$249</definedName>
    <definedName name="kostenwarmte_2019" localSheetId="11">'cluster huur'!$V$249</definedName>
    <definedName name="kostenwarmte_2019" localSheetId="7">Locatie1!$V$249</definedName>
    <definedName name="kostenwarmte_2019" localSheetId="8">Locatie2!$V$249</definedName>
    <definedName name="kostenwarmte_2019" localSheetId="9">Locatie3!$V$249</definedName>
    <definedName name="kostenwarmte_2020" localSheetId="4">Blanco!$AB$249</definedName>
    <definedName name="kostenwarmte_2020" localSheetId="10">'cluster eigendom'!$AB$249</definedName>
    <definedName name="kostenwarmte_2020" localSheetId="11">'cluster huur'!$AB$249</definedName>
    <definedName name="kostenwarmte_2020" localSheetId="7">Locatie1!$AB$249</definedName>
    <definedName name="kostenwarmte_2020" localSheetId="8">Locatie2!$AB$249</definedName>
    <definedName name="kostenwarmte_2020" localSheetId="9">Locatie3!$AB$249</definedName>
    <definedName name="kostenwarmte_2021" localSheetId="4">Blanco!$AH$249</definedName>
    <definedName name="kostenwarmte_2021" localSheetId="10">'cluster eigendom'!$AH$249</definedName>
    <definedName name="kostenwarmte_2021" localSheetId="11">'cluster huur'!$AH$249</definedName>
    <definedName name="kostenwarmte_2021" localSheetId="7">Locatie1!$AH$249</definedName>
    <definedName name="kostenwarmte_2021" localSheetId="8">Locatie2!$AH$249</definedName>
    <definedName name="kostenwarmte_2021" localSheetId="9">Locatie3!$AH$249</definedName>
    <definedName name="kostenwarmte_2022" localSheetId="4">Blanco!$AN$249</definedName>
    <definedName name="kostenwarmte_2022" localSheetId="10">'cluster eigendom'!$AN$249</definedName>
    <definedName name="kostenwarmte_2022" localSheetId="11">'cluster huur'!$AN$249</definedName>
    <definedName name="kostenwarmte_2022" localSheetId="7">Locatie1!$AN$249</definedName>
    <definedName name="kostenwarmte_2022" localSheetId="8">Locatie2!$AN$249</definedName>
    <definedName name="kostenwarmte_2022" localSheetId="9">Locatie3!$AN$249</definedName>
    <definedName name="kostenwarmte_2023" localSheetId="4">Blanco!$AT$249</definedName>
    <definedName name="kostenwarmte_2023" localSheetId="10">'cluster eigendom'!$AT$249</definedName>
    <definedName name="kostenwarmte_2023" localSheetId="11">'cluster huur'!$AT$249</definedName>
    <definedName name="kostenwarmte_2023" localSheetId="7">Locatie1!$AT$249</definedName>
    <definedName name="kostenwarmte_2023" localSheetId="8">Locatie2!$AT$249</definedName>
    <definedName name="kostenwarmte_2023" localSheetId="9">Locatie3!$AT$249</definedName>
    <definedName name="kostenwarmte_2024" localSheetId="4">Blanco!$AZ$249</definedName>
    <definedName name="kostenwarmte_2024" localSheetId="10">'cluster eigendom'!$AZ$249</definedName>
    <definedName name="kostenwarmte_2024" localSheetId="11">'cluster huur'!$AZ$249</definedName>
    <definedName name="kostenwarmte_2024" localSheetId="7">Locatie1!$AZ$249</definedName>
    <definedName name="kostenwarmte_2024" localSheetId="8">Locatie2!$AZ$249</definedName>
    <definedName name="kostenwarmte_2024" localSheetId="9">Locatie3!$AZ$249</definedName>
    <definedName name="kostenwarmte_2025" localSheetId="4">Blanco!$BF$249</definedName>
    <definedName name="kostenwarmte_2025" localSheetId="10">'cluster eigendom'!$BF$249</definedName>
    <definedName name="kostenwarmte_2025" localSheetId="11">'cluster huur'!$BF$249</definedName>
    <definedName name="kostenwarmte_2025" localSheetId="7">Locatie1!$BF$249</definedName>
    <definedName name="kostenwarmte_2025" localSheetId="8">Locatie2!$BF$249</definedName>
    <definedName name="kostenwarmte_2025" localSheetId="9">Locatie3!$BF$249</definedName>
    <definedName name="kostenwarmte_2026" localSheetId="4">Blanco!$BL$249</definedName>
    <definedName name="kostenwarmte_2026" localSheetId="10">'cluster eigendom'!$BL$249</definedName>
    <definedName name="kostenwarmte_2026" localSheetId="11">'cluster huur'!$BL$249</definedName>
    <definedName name="kostenwarmte_2026" localSheetId="7">Locatie1!$BL$249</definedName>
    <definedName name="kostenwarmte_2026" localSheetId="8">Locatie2!$BL$249</definedName>
    <definedName name="kostenwarmte_2026" localSheetId="9">Locatie3!$BL$249</definedName>
    <definedName name="kostenwarmte_2027" localSheetId="4">Blanco!$BR$249</definedName>
    <definedName name="kostenwarmte_2027" localSheetId="10">'cluster eigendom'!$BR$249</definedName>
    <definedName name="kostenwarmte_2027" localSheetId="11">'cluster huur'!$BR$249</definedName>
    <definedName name="kostenwarmte_2027" localSheetId="7">Locatie1!$BR$249</definedName>
    <definedName name="kostenwarmte_2027" localSheetId="8">Locatie2!$BR$249</definedName>
    <definedName name="kostenwarmte_2027" localSheetId="9">Locatie3!$BR$249</definedName>
    <definedName name="kostenwarmte_2028" localSheetId="4">Blanco!$BX$249</definedName>
    <definedName name="kostenwarmte_2028" localSheetId="10">'cluster eigendom'!$BX$249</definedName>
    <definedName name="kostenwarmte_2028" localSheetId="11">'cluster huur'!$BX$249</definedName>
    <definedName name="kostenwarmte_2028" localSheetId="7">Locatie1!$BX$249</definedName>
    <definedName name="kostenwarmte_2028" localSheetId="8">Locatie2!$BX$249</definedName>
    <definedName name="kostenwarmte_2028" localSheetId="9">Locatie3!$BX$249</definedName>
    <definedName name="kostenwarmte_2029" localSheetId="4">Blanco!$CD$249</definedName>
    <definedName name="kostenwarmte_2029" localSheetId="10">'cluster eigendom'!$CD$249</definedName>
    <definedName name="kostenwarmte_2029" localSheetId="11">'cluster huur'!$CD$249</definedName>
    <definedName name="kostenwarmte_2029" localSheetId="7">Locatie1!$CD$249</definedName>
    <definedName name="kostenwarmte_2029" localSheetId="8">Locatie2!$CD$249</definedName>
    <definedName name="kostenwarmte_2029" localSheetId="9">Locatie3!$CD$249</definedName>
    <definedName name="kostenwarmte_2030" localSheetId="4">Blanco!$CJ$249</definedName>
    <definedName name="kostenwarmte_2030" localSheetId="10">'cluster eigendom'!$CJ$249</definedName>
    <definedName name="kostenwarmte_2030" localSheetId="11">'cluster huur'!$CJ$249</definedName>
    <definedName name="kostenwarmte_2030" localSheetId="7">Locatie1!$CJ$249</definedName>
    <definedName name="kostenwarmte_2030" localSheetId="8">Locatie2!$CJ$249</definedName>
    <definedName name="kostenwarmte_2030" localSheetId="9">Locatie3!$CJ$249</definedName>
    <definedName name="kostenwarmte_2031" localSheetId="4">Blanco!$CP$249</definedName>
    <definedName name="kostenwarmte_2031" localSheetId="10">'cluster eigendom'!$CP$249</definedName>
    <definedName name="kostenwarmte_2031" localSheetId="11">'cluster huur'!$CP$249</definedName>
    <definedName name="kostenwarmte_2031" localSheetId="7">Locatie1!$CP$249</definedName>
    <definedName name="kostenwarmte_2031" localSheetId="8">Locatie2!$CP$249</definedName>
    <definedName name="kostenwarmte_2031" localSheetId="9">Locatie3!$CP$249</definedName>
    <definedName name="kostenwarmte_2032" localSheetId="4">Blanco!$CV$249</definedName>
    <definedName name="kostenwarmte_2032" localSheetId="10">'cluster eigendom'!$CV$249</definedName>
    <definedName name="kostenwarmte_2032" localSheetId="11">'cluster huur'!$CV$249</definedName>
    <definedName name="kostenwarmte_2032" localSheetId="7">Locatie1!$CV$249</definedName>
    <definedName name="kostenwarmte_2032" localSheetId="8">Locatie2!$CV$249</definedName>
    <definedName name="kostenwarmte_2032" localSheetId="9">Locatie3!$CV$249</definedName>
    <definedName name="kostenwarmte_2033" localSheetId="4">Blanco!$DB$249</definedName>
    <definedName name="kostenwarmte_2033" localSheetId="10">'cluster eigendom'!$DB$249</definedName>
    <definedName name="kostenwarmte_2033" localSheetId="11">'cluster huur'!$DB$249</definedName>
    <definedName name="kostenwarmte_2033" localSheetId="7">Locatie1!$DB$249</definedName>
    <definedName name="kostenwarmte_2033" localSheetId="8">Locatie2!$DB$249</definedName>
    <definedName name="kostenwarmte_2033" localSheetId="9">Locatie3!$DB$249</definedName>
    <definedName name="kostenwarmte_2034" localSheetId="4">Blanco!$DH$249</definedName>
    <definedName name="kostenwarmte_2034" localSheetId="10">'cluster eigendom'!$DH$249</definedName>
    <definedName name="kostenwarmte_2034" localSheetId="11">'cluster huur'!$DH$249</definedName>
    <definedName name="kostenwarmte_2034" localSheetId="7">Locatie1!$DH$249</definedName>
    <definedName name="kostenwarmte_2034" localSheetId="8">Locatie2!$DH$249</definedName>
    <definedName name="kostenwarmte_2034" localSheetId="9">Locatie3!$DH$249</definedName>
    <definedName name="kostenwarmte_2035" localSheetId="4">Blanco!$DN$249</definedName>
    <definedName name="kostenwarmte_2035" localSheetId="10">'cluster eigendom'!$DN$249</definedName>
    <definedName name="kostenwarmte_2035" localSheetId="11">'cluster huur'!$DN$249</definedName>
    <definedName name="kostenwarmte_2035" localSheetId="7">Locatie1!$DN$249</definedName>
    <definedName name="kostenwarmte_2035" localSheetId="8">Locatie2!$DN$249</definedName>
    <definedName name="kostenwarmte_2035" localSheetId="9">Locatie3!$DN$249</definedName>
    <definedName name="kostenwarmte_2036" localSheetId="4">Blanco!$DT$249</definedName>
    <definedName name="kostenwarmte_2036" localSheetId="10">'cluster eigendom'!$DT$249</definedName>
    <definedName name="kostenwarmte_2036" localSheetId="11">'cluster huur'!$DT$249</definedName>
    <definedName name="kostenwarmte_2036" localSheetId="7">Locatie1!$DT$249</definedName>
    <definedName name="kostenwarmte_2036" localSheetId="8">Locatie2!$DT$249</definedName>
    <definedName name="kostenwarmte_2036" localSheetId="9">Locatie3!$DT$249</definedName>
    <definedName name="kostenwarmte_2037" localSheetId="4">Blanco!$DZ$249</definedName>
    <definedName name="kostenwarmte_2037" localSheetId="10">'cluster eigendom'!$DZ$249</definedName>
    <definedName name="kostenwarmte_2037" localSheetId="11">'cluster huur'!$DZ$249</definedName>
    <definedName name="kostenwarmte_2037" localSheetId="7">Locatie1!$DZ$249</definedName>
    <definedName name="kostenwarmte_2037" localSheetId="8">Locatie2!$DZ$249</definedName>
    <definedName name="kostenwarmte_2037" localSheetId="9">Locatie3!$DZ$249</definedName>
    <definedName name="kostenwarmte_2038" localSheetId="4">Blanco!$EF$249</definedName>
    <definedName name="kostenwarmte_2038" localSheetId="10">'cluster eigendom'!$EF$249</definedName>
    <definedName name="kostenwarmte_2038" localSheetId="11">'cluster huur'!$EF$249</definedName>
    <definedName name="kostenwarmte_2038" localSheetId="7">Locatie1!$EF$249</definedName>
    <definedName name="kostenwarmte_2038" localSheetId="8">Locatie2!$EF$249</definedName>
    <definedName name="kostenwarmte_2038" localSheetId="9">Locatie3!$EF$249</definedName>
    <definedName name="kostenwarmte_2039" localSheetId="4">Blanco!$EL$249</definedName>
    <definedName name="kostenwarmte_2039" localSheetId="10">'cluster eigendom'!$EL$249</definedName>
    <definedName name="kostenwarmte_2039" localSheetId="11">'cluster huur'!$EL$249</definedName>
    <definedName name="kostenwarmte_2039" localSheetId="7">Locatie1!$EL$249</definedName>
    <definedName name="kostenwarmte_2039" localSheetId="8">Locatie2!$EL$249</definedName>
    <definedName name="kostenwarmte_2039" localSheetId="9">Locatie3!$EL$249</definedName>
    <definedName name="kostenwarmte_2040" localSheetId="4">Blanco!$ER$249</definedName>
    <definedName name="kostenwarmte_2040" localSheetId="10">'cluster eigendom'!$ER$249</definedName>
    <definedName name="kostenwarmte_2040" localSheetId="11">'cluster huur'!$ER$249</definedName>
    <definedName name="kostenwarmte_2040" localSheetId="7">Locatie1!$ER$249</definedName>
    <definedName name="kostenwarmte_2040" localSheetId="8">Locatie2!$ER$249</definedName>
    <definedName name="kostenwarmte_2040" localSheetId="9">Locatie3!$ER$249</definedName>
    <definedName name="kostenwarmte_2041" localSheetId="4">Blanco!$EX$249</definedName>
    <definedName name="kostenwarmte_2041" localSheetId="10">'cluster eigendom'!$EX$249</definedName>
    <definedName name="kostenwarmte_2041" localSheetId="11">'cluster huur'!$EX$249</definedName>
    <definedName name="kostenwarmte_2041" localSheetId="7">Locatie1!$EX$249</definedName>
    <definedName name="kostenwarmte_2041" localSheetId="8">Locatie2!$EX$249</definedName>
    <definedName name="kostenwarmte_2041" localSheetId="9">Locatie3!$EX$249</definedName>
    <definedName name="kostenwarmte_2042" localSheetId="4">Blanco!$FD$249</definedName>
    <definedName name="kostenwarmte_2042" localSheetId="10">'cluster eigendom'!$FD$249</definedName>
    <definedName name="kostenwarmte_2042" localSheetId="11">'cluster huur'!$FD$249</definedName>
    <definedName name="kostenwarmte_2042" localSheetId="7">Locatie1!$FD$249</definedName>
    <definedName name="kostenwarmte_2042" localSheetId="8">Locatie2!$FD$249</definedName>
    <definedName name="kostenwarmte_2042" localSheetId="9">Locatie3!$FD$249</definedName>
    <definedName name="kostenwarmte_2043" localSheetId="4">Blanco!$FJ$249</definedName>
    <definedName name="kostenwarmte_2043" localSheetId="10">'cluster eigendom'!$FJ$249</definedName>
    <definedName name="kostenwarmte_2043" localSheetId="11">'cluster huur'!$FJ$249</definedName>
    <definedName name="kostenwarmte_2043" localSheetId="7">Locatie1!$FJ$249</definedName>
    <definedName name="kostenwarmte_2043" localSheetId="8">Locatie2!$FJ$249</definedName>
    <definedName name="kostenwarmte_2043" localSheetId="9">Locatie3!$FJ$249</definedName>
    <definedName name="kostenwarmte_2044" localSheetId="4">Blanco!$FP$249</definedName>
    <definedName name="kostenwarmte_2044" localSheetId="10">'cluster eigendom'!$FP$249</definedName>
    <definedName name="kostenwarmte_2044" localSheetId="11">'cluster huur'!$FP$249</definedName>
    <definedName name="kostenwarmte_2044" localSheetId="7">Locatie1!$FP$249</definedName>
    <definedName name="kostenwarmte_2044" localSheetId="8">Locatie2!$FP$249</definedName>
    <definedName name="kostenwarmte_2044" localSheetId="9">Locatie3!$FP$249</definedName>
    <definedName name="kostenwarmte_2045" localSheetId="4">Blanco!$FV$249</definedName>
    <definedName name="kostenwarmte_2045" localSheetId="10">'cluster eigendom'!$FV$249</definedName>
    <definedName name="kostenwarmte_2045" localSheetId="11">'cluster huur'!$FV$249</definedName>
    <definedName name="kostenwarmte_2045" localSheetId="7">Locatie1!$FV$249</definedName>
    <definedName name="kostenwarmte_2045" localSheetId="8">Locatie2!$FV$249</definedName>
    <definedName name="kostenwarmte_2045" localSheetId="9">Locatie3!$FV$249</definedName>
    <definedName name="kostenwarmte_2046" localSheetId="4">Blanco!$GB$249</definedName>
    <definedName name="kostenwarmte_2046" localSheetId="10">'cluster eigendom'!$GB$249</definedName>
    <definedName name="kostenwarmte_2046" localSheetId="11">'cluster huur'!$GB$249</definedName>
    <definedName name="kostenwarmte_2046" localSheetId="7">Locatie1!$GB$249</definedName>
    <definedName name="kostenwarmte_2046" localSheetId="8">Locatie2!$GB$249</definedName>
    <definedName name="kostenwarmte_2046" localSheetId="9">Locatie3!$GB$249</definedName>
    <definedName name="kostenwarmte_2047" localSheetId="4">Blanco!$GH$249</definedName>
    <definedName name="kostenwarmte_2047" localSheetId="10">'cluster eigendom'!$GH$249</definedName>
    <definedName name="kostenwarmte_2047" localSheetId="11">'cluster huur'!$GH$249</definedName>
    <definedName name="kostenwarmte_2047" localSheetId="7">Locatie1!$GH$249</definedName>
    <definedName name="kostenwarmte_2047" localSheetId="8">Locatie2!$GH$249</definedName>
    <definedName name="kostenwarmte_2047" localSheetId="9">Locatie3!$GH$249</definedName>
    <definedName name="kostenwarmte_2048" localSheetId="4">Blanco!$GN$249</definedName>
    <definedName name="kostenwarmte_2048" localSheetId="10">'cluster eigendom'!$GN$249</definedName>
    <definedName name="kostenwarmte_2048" localSheetId="11">'cluster huur'!$GN$249</definedName>
    <definedName name="kostenwarmte_2048" localSheetId="7">Locatie1!$GN$249</definedName>
    <definedName name="kostenwarmte_2048" localSheetId="8">Locatie2!$GN$249</definedName>
    <definedName name="kostenwarmte_2048" localSheetId="9">Locatie3!$GN$249</definedName>
    <definedName name="kostenwarmte_2049" localSheetId="4">Blanco!$GT$249</definedName>
    <definedName name="kostenwarmte_2049" localSheetId="10">'cluster eigendom'!$GT$249</definedName>
    <definedName name="kostenwarmte_2049" localSheetId="11">'cluster huur'!$GT$249</definedName>
    <definedName name="kostenwarmte_2049" localSheetId="7">Locatie1!$GT$249</definedName>
    <definedName name="kostenwarmte_2049" localSheetId="8">Locatie2!$GT$249</definedName>
    <definedName name="kostenwarmte_2049" localSheetId="9">Locatie3!$GT$249</definedName>
    <definedName name="kostenwarmte_2050" localSheetId="4">Blanco!$GZ$249</definedName>
    <definedName name="kostenwarmte_2050" localSheetId="10">'cluster eigendom'!$GZ$249</definedName>
    <definedName name="kostenwarmte_2050" localSheetId="11">'cluster huur'!$GZ$249</definedName>
    <definedName name="kostenwarmte_2050" localSheetId="7">Locatie1!$GZ$249</definedName>
    <definedName name="kostenwarmte_2050" localSheetId="8">Locatie2!$GZ$249</definedName>
    <definedName name="kostenwarmte_2050" localSheetId="9">Locatie3!$GZ$249</definedName>
    <definedName name="MPZ___CO2_Reductietool_Zorg__versie_1.2_.xlsx_Locatie1__xlnm__FilterDatabase" localSheetId="0" hidden="1">START!#REF!</definedName>
    <definedName name="OpwekPV_2018" localSheetId="4">Blanco!$U$240</definedName>
    <definedName name="OpwekPV_2018" localSheetId="10">'cluster eigendom'!$U$240</definedName>
    <definedName name="OpwekPV_2018" localSheetId="11">'cluster huur'!$U$240</definedName>
    <definedName name="OpwekPV_2018" localSheetId="7">Locatie1!$U$240</definedName>
    <definedName name="OpwekPV_2018" localSheetId="8">Locatie2!$U$240</definedName>
    <definedName name="OpwekPV_2018" localSheetId="9">Locatie3!$U$240</definedName>
    <definedName name="OpwekPV_2019" localSheetId="4">Blanco!$V$240</definedName>
    <definedName name="OpwekPV_2019" localSheetId="10">'cluster eigendom'!$V$240</definedName>
    <definedName name="OpwekPV_2019" localSheetId="11">'cluster huur'!$V$240</definedName>
    <definedName name="OpwekPV_2019" localSheetId="7">Locatie1!$V$240</definedName>
    <definedName name="OpwekPV_2019" localSheetId="8">Locatie2!$V$240</definedName>
    <definedName name="OpwekPV_2019" localSheetId="9">Locatie3!$V$240</definedName>
    <definedName name="OpwekPV_2020" localSheetId="4">Blanco!$AB$240</definedName>
    <definedName name="OpwekPV_2020" localSheetId="10">'cluster eigendom'!$AB$240</definedName>
    <definedName name="OpwekPV_2020" localSheetId="11">'cluster huur'!$AB$240</definedName>
    <definedName name="OpwekPV_2020" localSheetId="7">Locatie1!$AB$240</definedName>
    <definedName name="OpwekPV_2020" localSheetId="8">Locatie2!$AB$240</definedName>
    <definedName name="OpwekPV_2020" localSheetId="9">Locatie3!$AB$240</definedName>
    <definedName name="OpwekPV_2021" localSheetId="4">Blanco!$AH$240</definedName>
    <definedName name="OpwekPV_2021" localSheetId="10">'cluster eigendom'!$AH$240</definedName>
    <definedName name="OpwekPV_2021" localSheetId="11">'cluster huur'!$AH$240</definedName>
    <definedName name="OpwekPV_2021" localSheetId="7">Locatie1!$AH$240</definedName>
    <definedName name="OpwekPV_2021" localSheetId="8">Locatie2!$AH$240</definedName>
    <definedName name="OpwekPV_2021" localSheetId="9">Locatie3!$AH$240</definedName>
    <definedName name="OpwekPV_2022" localSheetId="4">Blanco!$AN$240</definedName>
    <definedName name="OpwekPV_2022" localSheetId="10">'cluster eigendom'!$AN$240</definedName>
    <definedName name="OpwekPV_2022" localSheetId="11">'cluster huur'!$AN$240</definedName>
    <definedName name="OpwekPV_2022" localSheetId="7">Locatie1!$AN$240</definedName>
    <definedName name="OpwekPV_2022" localSheetId="8">Locatie2!$AN$240</definedName>
    <definedName name="OpwekPV_2022" localSheetId="9">Locatie3!$AN$240</definedName>
    <definedName name="OpwekPV_2023" localSheetId="4">Blanco!$AT$240</definedName>
    <definedName name="OpwekPV_2023" localSheetId="10">'cluster eigendom'!$AT$240</definedName>
    <definedName name="OpwekPV_2023" localSheetId="11">'cluster huur'!$AT$240</definedName>
    <definedName name="OpwekPV_2023" localSheetId="7">Locatie1!$AT$240</definedName>
    <definedName name="OpwekPV_2023" localSheetId="8">Locatie2!$AT$240</definedName>
    <definedName name="OpwekPV_2023" localSheetId="9">Locatie3!$AT$240</definedName>
    <definedName name="OpwekPV_2024" localSheetId="4">Blanco!$AZ$240</definedName>
    <definedName name="OpwekPV_2024" localSheetId="10">'cluster eigendom'!$AZ$240</definedName>
    <definedName name="OpwekPV_2024" localSheetId="11">'cluster huur'!$AZ$240</definedName>
    <definedName name="OpwekPV_2024" localSheetId="7">Locatie1!$AZ$240</definedName>
    <definedName name="OpwekPV_2024" localSheetId="8">Locatie2!$AZ$240</definedName>
    <definedName name="OpwekPV_2024" localSheetId="9">Locatie3!$AZ$240</definedName>
    <definedName name="OpwekPV_2025" localSheetId="4">Blanco!$BF$240</definedName>
    <definedName name="OpwekPV_2025" localSheetId="10">'cluster eigendom'!$BF$240</definedName>
    <definedName name="OpwekPV_2025" localSheetId="11">'cluster huur'!$BF$240</definedName>
    <definedName name="OpwekPV_2025" localSheetId="7">Locatie1!$BF$240</definedName>
    <definedName name="OpwekPV_2025" localSheetId="8">Locatie2!$BF$240</definedName>
    <definedName name="OpwekPV_2025" localSheetId="9">Locatie3!$BF$240</definedName>
    <definedName name="OpwekPV_2026" localSheetId="4">Blanco!$BL$240</definedName>
    <definedName name="OpwekPV_2026" localSheetId="10">'cluster eigendom'!$BL$240</definedName>
    <definedName name="OpwekPV_2026" localSheetId="11">'cluster huur'!$BL$240</definedName>
    <definedName name="OpwekPV_2026" localSheetId="7">Locatie1!$BL$240</definedName>
    <definedName name="OpwekPV_2026" localSheetId="8">Locatie2!$BL$240</definedName>
    <definedName name="OpwekPV_2026" localSheetId="9">Locatie3!$BL$240</definedName>
    <definedName name="OpwekPV_2027" localSheetId="4">Blanco!$BR$240</definedName>
    <definedName name="OpwekPV_2027" localSheetId="10">'cluster eigendom'!$BR$240</definedName>
    <definedName name="OpwekPV_2027" localSheetId="11">'cluster huur'!$BR$240</definedName>
    <definedName name="OpwekPV_2027" localSheetId="7">Locatie1!$BR$240</definedName>
    <definedName name="OpwekPV_2027" localSheetId="8">Locatie2!$BR$240</definedName>
    <definedName name="OpwekPV_2027" localSheetId="9">Locatie3!$BR$240</definedName>
    <definedName name="OpwekPV_2028" localSheetId="4">Blanco!$BX$240</definedName>
    <definedName name="OpwekPV_2028" localSheetId="10">'cluster eigendom'!$BX$240</definedName>
    <definedName name="OpwekPV_2028" localSheetId="11">'cluster huur'!$BX$240</definedName>
    <definedName name="OpwekPV_2028" localSheetId="7">Locatie1!$BX$240</definedName>
    <definedName name="OpwekPV_2028" localSheetId="8">Locatie2!$BX$240</definedName>
    <definedName name="OpwekPV_2028" localSheetId="9">Locatie3!$BX$240</definedName>
    <definedName name="OpwekPV_2029" localSheetId="4">Blanco!$CD$240</definedName>
    <definedName name="OpwekPV_2029" localSheetId="10">'cluster eigendom'!$CD$240</definedName>
    <definedName name="OpwekPV_2029" localSheetId="11">'cluster huur'!$CD$240</definedName>
    <definedName name="OpwekPV_2029" localSheetId="7">Locatie1!$CD$240</definedName>
    <definedName name="OpwekPV_2029" localSheetId="8">Locatie2!$CD$240</definedName>
    <definedName name="OpwekPV_2029" localSheetId="9">Locatie3!$CD$240</definedName>
    <definedName name="OpwekPV_2030" localSheetId="4">Blanco!$CJ$240</definedName>
    <definedName name="OpwekPV_2030" localSheetId="10">'cluster eigendom'!$CJ$240</definedName>
    <definedName name="OpwekPV_2030" localSheetId="11">'cluster huur'!$CJ$240</definedName>
    <definedName name="OpwekPV_2030" localSheetId="7">Locatie1!$CJ$240</definedName>
    <definedName name="OpwekPV_2030" localSheetId="8">Locatie2!$CJ$240</definedName>
    <definedName name="OpwekPV_2030" localSheetId="9">Locatie3!$CJ$240</definedName>
    <definedName name="OpwekPV_2031" localSheetId="4">Blanco!$CP$240</definedName>
    <definedName name="OpwekPV_2031" localSheetId="10">'cluster eigendom'!$CP$240</definedName>
    <definedName name="OpwekPV_2031" localSheetId="11">'cluster huur'!$CP$240</definedName>
    <definedName name="OpwekPV_2031" localSheetId="7">Locatie1!$CP$240</definedName>
    <definedName name="OpwekPV_2031" localSheetId="8">Locatie2!$CP$240</definedName>
    <definedName name="OpwekPV_2031" localSheetId="9">Locatie3!$CP$240</definedName>
    <definedName name="OpwekPV_2032" localSheetId="4">Blanco!$CV$240</definedName>
    <definedName name="OpwekPV_2032" localSheetId="10">'cluster eigendom'!$CV$240</definedName>
    <definedName name="OpwekPV_2032" localSheetId="11">'cluster huur'!$CV$240</definedName>
    <definedName name="OpwekPV_2032" localSheetId="7">Locatie1!$CV$240</definedName>
    <definedName name="OpwekPV_2032" localSheetId="8">Locatie2!$CV$240</definedName>
    <definedName name="OpwekPV_2032" localSheetId="9">Locatie3!$CV$240</definedName>
    <definedName name="OpwekPV_2033" localSheetId="4">Blanco!$DB$240</definedName>
    <definedName name="OpwekPV_2033" localSheetId="10">'cluster eigendom'!$DB$240</definedName>
    <definedName name="OpwekPV_2033" localSheetId="11">'cluster huur'!$DB$240</definedName>
    <definedName name="OpwekPV_2033" localSheetId="7">Locatie1!$DB$240</definedName>
    <definedName name="OpwekPV_2033" localSheetId="8">Locatie2!$DB$240</definedName>
    <definedName name="OpwekPV_2033" localSheetId="9">Locatie3!$DB$240</definedName>
    <definedName name="OpwekPV_2034" localSheetId="4">Blanco!$DH$240</definedName>
    <definedName name="OpwekPV_2034" localSheetId="10">'cluster eigendom'!$DH$240</definedName>
    <definedName name="OpwekPV_2034" localSheetId="11">'cluster huur'!$DH$240</definedName>
    <definedName name="OpwekPV_2034" localSheetId="7">Locatie1!$DH$240</definedName>
    <definedName name="OpwekPV_2034" localSheetId="8">Locatie2!$DH$240</definedName>
    <definedName name="OpwekPV_2034" localSheetId="9">Locatie3!$DH$240</definedName>
    <definedName name="OpwekPV_2035" localSheetId="4">Blanco!$DN$240</definedName>
    <definedName name="OpwekPV_2035" localSheetId="10">'cluster eigendom'!$DN$240</definedName>
    <definedName name="OpwekPV_2035" localSheetId="11">'cluster huur'!$DN$240</definedName>
    <definedName name="OpwekPV_2035" localSheetId="7">Locatie1!$DN$240</definedName>
    <definedName name="OpwekPV_2035" localSheetId="8">Locatie2!$DN$240</definedName>
    <definedName name="OpwekPV_2035" localSheetId="9">Locatie3!$DN$240</definedName>
    <definedName name="OpwekPV_2036" localSheetId="4">Blanco!$DT$240</definedName>
    <definedName name="OpwekPV_2036" localSheetId="10">'cluster eigendom'!$DT$240</definedName>
    <definedName name="OpwekPV_2036" localSheetId="11">'cluster huur'!$DT$240</definedName>
    <definedName name="OpwekPV_2036" localSheetId="7">Locatie1!$DT$240</definedName>
    <definedName name="OpwekPV_2036" localSheetId="8">Locatie2!$DT$240</definedName>
    <definedName name="OpwekPV_2036" localSheetId="9">Locatie3!$DT$240</definedName>
    <definedName name="OpwekPV_2037" localSheetId="4">Blanco!$DZ$240</definedName>
    <definedName name="OpwekPV_2037" localSheetId="10">'cluster eigendom'!$DZ$240</definedName>
    <definedName name="OpwekPV_2037" localSheetId="11">'cluster huur'!$DZ$240</definedName>
    <definedName name="OpwekPV_2037" localSheetId="7">Locatie1!$DZ$240</definedName>
    <definedName name="OpwekPV_2037" localSheetId="8">Locatie2!$DZ$240</definedName>
    <definedName name="OpwekPV_2037" localSheetId="9">Locatie3!$DZ$240</definedName>
    <definedName name="OpwekPV_2038" localSheetId="4">Blanco!$EF$240</definedName>
    <definedName name="OpwekPV_2038" localSheetId="10">'cluster eigendom'!$EF$240</definedName>
    <definedName name="OpwekPV_2038" localSheetId="11">'cluster huur'!$EF$240</definedName>
    <definedName name="OpwekPV_2038" localSheetId="7">Locatie1!$EF$240</definedName>
    <definedName name="OpwekPV_2038" localSheetId="8">Locatie2!$EF$240</definedName>
    <definedName name="OpwekPV_2038" localSheetId="9">Locatie3!$EF$240</definedName>
    <definedName name="OpwekPV_2039" localSheetId="4">Blanco!$EL$240</definedName>
    <definedName name="OpwekPV_2039" localSheetId="10">'cluster eigendom'!$EL$240</definedName>
    <definedName name="OpwekPV_2039" localSheetId="11">'cluster huur'!$EL$240</definedName>
    <definedName name="OpwekPV_2039" localSheetId="7">Locatie1!$EL$240</definedName>
    <definedName name="OpwekPV_2039" localSheetId="8">Locatie2!$EL$240</definedName>
    <definedName name="OpwekPV_2039" localSheetId="9">Locatie3!$EL$240</definedName>
    <definedName name="OpwekPV_2040" localSheetId="4">Blanco!$ER$240</definedName>
    <definedName name="OpwekPV_2040" localSheetId="10">'cluster eigendom'!$ER$240</definedName>
    <definedName name="OpwekPV_2040" localSheetId="11">'cluster huur'!$ER$240</definedName>
    <definedName name="OpwekPV_2040" localSheetId="7">Locatie1!$ER$240</definedName>
    <definedName name="OpwekPV_2040" localSheetId="8">Locatie2!$ER$240</definedName>
    <definedName name="OpwekPV_2040" localSheetId="9">Locatie3!$ER$240</definedName>
    <definedName name="OpwekPV_2041" localSheetId="4">Blanco!$EX$240</definedName>
    <definedName name="OpwekPV_2041" localSheetId="10">'cluster eigendom'!$EX$240</definedName>
    <definedName name="OpwekPV_2041" localSheetId="11">'cluster huur'!$EX$240</definedName>
    <definedName name="OpwekPV_2041" localSheetId="7">Locatie1!$EX$240</definedName>
    <definedName name="OpwekPV_2041" localSheetId="8">Locatie2!$EX$240</definedName>
    <definedName name="OpwekPV_2041" localSheetId="9">Locatie3!$EX$240</definedName>
    <definedName name="OpwekPV_2042" localSheetId="4">Blanco!$FD$240</definedName>
    <definedName name="OpwekPV_2042" localSheetId="10">'cluster eigendom'!$FD$240</definedName>
    <definedName name="OpwekPV_2042" localSheetId="11">'cluster huur'!$FD$240</definedName>
    <definedName name="OpwekPV_2042" localSheetId="7">Locatie1!$FD$240</definedName>
    <definedName name="OpwekPV_2042" localSheetId="8">Locatie2!$FD$240</definedName>
    <definedName name="OpwekPV_2042" localSheetId="9">Locatie3!$FD$240</definedName>
    <definedName name="OpwekPV_2043" localSheetId="4">Blanco!$FJ$240</definedName>
    <definedName name="OpwekPV_2043" localSheetId="10">'cluster eigendom'!$FJ$240</definedName>
    <definedName name="OpwekPV_2043" localSheetId="11">'cluster huur'!$FJ$240</definedName>
    <definedName name="OpwekPV_2043" localSheetId="7">Locatie1!$FJ$240</definedName>
    <definedName name="OpwekPV_2043" localSheetId="8">Locatie2!$FJ$240</definedName>
    <definedName name="OpwekPV_2043" localSheetId="9">Locatie3!$FJ$240</definedName>
    <definedName name="OpwekPV_2044" localSheetId="4">Blanco!$FP$240</definedName>
    <definedName name="OpwekPV_2044" localSheetId="10">'cluster eigendom'!$FP$240</definedName>
    <definedName name="OpwekPV_2044" localSheetId="11">'cluster huur'!$FP$240</definedName>
    <definedName name="OpwekPV_2044" localSheetId="7">Locatie1!$FP$240</definedName>
    <definedName name="OpwekPV_2044" localSheetId="8">Locatie2!$FP$240</definedName>
    <definedName name="OpwekPV_2044" localSheetId="9">Locatie3!$FP$240</definedName>
    <definedName name="OpwekPV_2045" localSheetId="4">Blanco!$FV$240</definedName>
    <definedName name="OpwekPV_2045" localSheetId="10">'cluster eigendom'!$FV$240</definedName>
    <definedName name="OpwekPV_2045" localSheetId="11">'cluster huur'!$FV$240</definedName>
    <definedName name="OpwekPV_2045" localSheetId="7">Locatie1!$FV$240</definedName>
    <definedName name="OpwekPV_2045" localSheetId="8">Locatie2!$FV$240</definedName>
    <definedName name="OpwekPV_2045" localSheetId="9">Locatie3!$FV$240</definedName>
    <definedName name="OpwekPV_2046" localSheetId="4">Blanco!$GB$240</definedName>
    <definedName name="OpwekPV_2046" localSheetId="10">'cluster eigendom'!$GB$240</definedName>
    <definedName name="OpwekPV_2046" localSheetId="11">'cluster huur'!$GB$240</definedName>
    <definedName name="OpwekPV_2046" localSheetId="7">Locatie1!$GB$240</definedName>
    <definedName name="OpwekPV_2046" localSheetId="8">Locatie2!$GB$240</definedName>
    <definedName name="OpwekPV_2046" localSheetId="9">Locatie3!$GB$240</definedName>
    <definedName name="OpwekPV_2047" localSheetId="4">Blanco!$GH$240</definedName>
    <definedName name="OpwekPV_2047" localSheetId="10">'cluster eigendom'!$GH$240</definedName>
    <definedName name="OpwekPV_2047" localSheetId="11">'cluster huur'!$GH$240</definedName>
    <definedName name="OpwekPV_2047" localSheetId="7">Locatie1!$GH$240</definedName>
    <definedName name="OpwekPV_2047" localSheetId="8">Locatie2!$GH$240</definedName>
    <definedName name="OpwekPV_2047" localSheetId="9">Locatie3!$GH$240</definedName>
    <definedName name="OpwekPV_2048" localSheetId="4">Blanco!$GN$240</definedName>
    <definedName name="OpwekPV_2048" localSheetId="10">'cluster eigendom'!$GN$240</definedName>
    <definedName name="OpwekPV_2048" localSheetId="11">'cluster huur'!$GN$240</definedName>
    <definedName name="OpwekPV_2048" localSheetId="7">Locatie1!$GN$240</definedName>
    <definedName name="OpwekPV_2048" localSheetId="8">Locatie2!$GN$240</definedName>
    <definedName name="OpwekPV_2048" localSheetId="9">Locatie3!$GN$240</definedName>
    <definedName name="OpwekPV_2049" localSheetId="4">Blanco!$GT$240</definedName>
    <definedName name="OpwekPV_2049" localSheetId="10">'cluster eigendom'!$GT$240</definedName>
    <definedName name="OpwekPV_2049" localSheetId="11">'cluster huur'!$GT$240</definedName>
    <definedName name="OpwekPV_2049" localSheetId="7">Locatie1!$GT$240</definedName>
    <definedName name="OpwekPV_2049" localSheetId="8">Locatie2!$GT$240</definedName>
    <definedName name="OpwekPV_2049" localSheetId="9">Locatie3!$GT$240</definedName>
    <definedName name="OpwekPV_2050" localSheetId="4">Blanco!$GZ$240</definedName>
    <definedName name="OpwekPV_2050" localSheetId="10">'cluster eigendom'!$GZ$240</definedName>
    <definedName name="OpwekPV_2050" localSheetId="11">'cluster huur'!$GZ$240</definedName>
    <definedName name="OpwekPV_2050" localSheetId="7">Locatie1!$GZ$240</definedName>
    <definedName name="OpwekPV_2050" localSheetId="8">Locatie2!$GZ$240</definedName>
    <definedName name="OpwekPV_2050" localSheetId="9">Locatie3!$GZ$240</definedName>
    <definedName name="OpwekPVm2_2018" localSheetId="4">Blanco!$U$241</definedName>
    <definedName name="OpwekPVm2_2018" localSheetId="10">'cluster eigendom'!$U$241</definedName>
    <definedName name="OpwekPVm2_2018" localSheetId="11">'cluster huur'!$U$241</definedName>
    <definedName name="OpwekPVm2_2018" localSheetId="7">Locatie1!$U$241</definedName>
    <definedName name="OpwekPVm2_2018" localSheetId="8">Locatie2!$U$241</definedName>
    <definedName name="OpwekPVm2_2018" localSheetId="9">Locatie3!$U$241</definedName>
    <definedName name="OpwekPVm2_2019" localSheetId="4">Blanco!$V$241</definedName>
    <definedName name="OpwekPVm2_2019" localSheetId="10">'cluster eigendom'!$V$241</definedName>
    <definedName name="OpwekPVm2_2019" localSheetId="11">'cluster huur'!$V$241</definedName>
    <definedName name="OpwekPVm2_2019" localSheetId="7">Locatie1!$V$241</definedName>
    <definedName name="OpwekPVm2_2019" localSheetId="8">Locatie2!$V$241</definedName>
    <definedName name="OpwekPVm2_2019" localSheetId="9">Locatie3!$V$241</definedName>
    <definedName name="OpwekPVm2_2020" localSheetId="4">Blanco!$AB$241</definedName>
    <definedName name="OpwekPVm2_2020" localSheetId="10">'cluster eigendom'!$AB$241</definedName>
    <definedName name="OpwekPVm2_2020" localSheetId="11">'cluster huur'!$AB$241</definedName>
    <definedName name="OpwekPVm2_2020" localSheetId="7">Locatie1!$AB$241</definedName>
    <definedName name="OpwekPVm2_2020" localSheetId="8">Locatie2!$AB$241</definedName>
    <definedName name="OpwekPVm2_2020" localSheetId="9">Locatie3!$AB$241</definedName>
    <definedName name="OpwekPVm2_2021" localSheetId="4">Blanco!$AH$241</definedName>
    <definedName name="OpwekPVm2_2021" localSheetId="10">'cluster eigendom'!$AH$241</definedName>
    <definedName name="OpwekPVm2_2021" localSheetId="11">'cluster huur'!$AH$241</definedName>
    <definedName name="OpwekPVm2_2021" localSheetId="7">Locatie1!$AH$241</definedName>
    <definedName name="OpwekPVm2_2021" localSheetId="8">Locatie2!$AH$241</definedName>
    <definedName name="OpwekPVm2_2021" localSheetId="9">Locatie3!$AH$241</definedName>
    <definedName name="OpwekPVm2_2022" localSheetId="4">Blanco!$AN$241</definedName>
    <definedName name="OpwekPVm2_2022" localSheetId="10">'cluster eigendom'!$AN$241</definedName>
    <definedName name="OpwekPVm2_2022" localSheetId="11">'cluster huur'!$AN$241</definedName>
    <definedName name="OpwekPVm2_2022" localSheetId="7">Locatie1!$AN$241</definedName>
    <definedName name="OpwekPVm2_2022" localSheetId="8">Locatie2!$AN$241</definedName>
    <definedName name="OpwekPVm2_2022" localSheetId="9">Locatie3!$AN$241</definedName>
    <definedName name="OpwekPVm2_2023" localSheetId="4">Blanco!$AT$241</definedName>
    <definedName name="OpwekPVm2_2023" localSheetId="10">'cluster eigendom'!$AT$241</definedName>
    <definedName name="OpwekPVm2_2023" localSheetId="11">'cluster huur'!$AT$241</definedName>
    <definedName name="OpwekPVm2_2023" localSheetId="7">Locatie1!$AT$241</definedName>
    <definedName name="OpwekPVm2_2023" localSheetId="8">Locatie2!$AT$241</definedName>
    <definedName name="OpwekPVm2_2023" localSheetId="9">Locatie3!$AT$241</definedName>
    <definedName name="OpwekPVm2_2024" localSheetId="4">Blanco!$AZ$241</definedName>
    <definedName name="OpwekPVm2_2024" localSheetId="10">'cluster eigendom'!$AZ$241</definedName>
    <definedName name="OpwekPVm2_2024" localSheetId="11">'cluster huur'!$AZ$241</definedName>
    <definedName name="OpwekPVm2_2024" localSheetId="7">Locatie1!$AZ$241</definedName>
    <definedName name="OpwekPVm2_2024" localSheetId="8">Locatie2!$AZ$241</definedName>
    <definedName name="OpwekPVm2_2024" localSheetId="9">Locatie3!$AZ$241</definedName>
    <definedName name="OpwekPVm2_2025" localSheetId="4">Blanco!$BF$241</definedName>
    <definedName name="OpwekPVm2_2025" localSheetId="10">'cluster eigendom'!$BF$241</definedName>
    <definedName name="OpwekPVm2_2025" localSheetId="11">'cluster huur'!$BF$241</definedName>
    <definedName name="OpwekPVm2_2025" localSheetId="7">Locatie1!$BF$241</definedName>
    <definedName name="OpwekPVm2_2025" localSheetId="8">Locatie2!$BF$241</definedName>
    <definedName name="OpwekPVm2_2025" localSheetId="9">Locatie3!$BF$241</definedName>
    <definedName name="OpwekPVm2_2026" localSheetId="4">Blanco!$BL$241</definedName>
    <definedName name="OpwekPVm2_2026" localSheetId="10">'cluster eigendom'!$BL$241</definedName>
    <definedName name="OpwekPVm2_2026" localSheetId="11">'cluster huur'!$BL$241</definedName>
    <definedName name="OpwekPVm2_2026" localSheetId="7">Locatie1!$BL$241</definedName>
    <definedName name="OpwekPVm2_2026" localSheetId="8">Locatie2!$BL$241</definedName>
    <definedName name="OpwekPVm2_2026" localSheetId="9">Locatie3!$BL$241</definedName>
    <definedName name="OpwekPVm2_2027" localSheetId="4">Blanco!$BR$241</definedName>
    <definedName name="OpwekPVm2_2027" localSheetId="10">'cluster eigendom'!$BR$241</definedName>
    <definedName name="OpwekPVm2_2027" localSheetId="11">'cluster huur'!$BR$241</definedName>
    <definedName name="OpwekPVm2_2027" localSheetId="7">Locatie1!$BR$241</definedName>
    <definedName name="OpwekPVm2_2027" localSheetId="8">Locatie2!$BR$241</definedName>
    <definedName name="OpwekPVm2_2027" localSheetId="9">Locatie3!$BR$241</definedName>
    <definedName name="OpwekPVm2_2028" localSheetId="4">Blanco!$BX$241</definedName>
    <definedName name="OpwekPVm2_2028" localSheetId="10">'cluster eigendom'!$BX$241</definedName>
    <definedName name="OpwekPVm2_2028" localSheetId="11">'cluster huur'!$BX$241</definedName>
    <definedName name="OpwekPVm2_2028" localSheetId="7">Locatie1!$BX$241</definedName>
    <definedName name="OpwekPVm2_2028" localSheetId="8">Locatie2!$BX$241</definedName>
    <definedName name="OpwekPVm2_2028" localSheetId="9">Locatie3!$BX$241</definedName>
    <definedName name="OpwekPVm2_2029" localSheetId="4">Blanco!$CD$241</definedName>
    <definedName name="OpwekPVm2_2029" localSheetId="10">'cluster eigendom'!$CD$241</definedName>
    <definedName name="OpwekPVm2_2029" localSheetId="11">'cluster huur'!$CD$241</definedName>
    <definedName name="OpwekPVm2_2029" localSheetId="7">Locatie1!$CD$241</definedName>
    <definedName name="OpwekPVm2_2029" localSheetId="8">Locatie2!$CD$241</definedName>
    <definedName name="OpwekPVm2_2029" localSheetId="9">Locatie3!$CD$241</definedName>
    <definedName name="OpwekPVm2_2030" localSheetId="4">Blanco!$CJ$241</definedName>
    <definedName name="OpwekPVm2_2030" localSheetId="10">'cluster eigendom'!$CJ$241</definedName>
    <definedName name="OpwekPVm2_2030" localSheetId="11">'cluster huur'!$CJ$241</definedName>
    <definedName name="OpwekPVm2_2030" localSheetId="7">Locatie1!$CJ$241</definedName>
    <definedName name="OpwekPVm2_2030" localSheetId="8">Locatie2!$CJ$241</definedName>
    <definedName name="OpwekPVm2_2030" localSheetId="9">Locatie3!$CJ$241</definedName>
    <definedName name="OpwekPVm2_2031" localSheetId="4">Blanco!$CP$241</definedName>
    <definedName name="OpwekPVm2_2031" localSheetId="10">'cluster eigendom'!$CP$241</definedName>
    <definedName name="OpwekPVm2_2031" localSheetId="11">'cluster huur'!$CP$241</definedName>
    <definedName name="OpwekPVm2_2031" localSheetId="7">Locatie1!$CP$241</definedName>
    <definedName name="OpwekPVm2_2031" localSheetId="8">Locatie2!$CP$241</definedName>
    <definedName name="OpwekPVm2_2031" localSheetId="9">Locatie3!$CP$241</definedName>
    <definedName name="OpwekPVm2_2032" localSheetId="4">Blanco!$CV$241</definedName>
    <definedName name="OpwekPVm2_2032" localSheetId="10">'cluster eigendom'!$CV$241</definedName>
    <definedName name="OpwekPVm2_2032" localSheetId="11">'cluster huur'!$CV$241</definedName>
    <definedName name="OpwekPVm2_2032" localSheetId="7">Locatie1!$CV$241</definedName>
    <definedName name="OpwekPVm2_2032" localSheetId="8">Locatie2!$CV$241</definedName>
    <definedName name="OpwekPVm2_2032" localSheetId="9">Locatie3!$CV$241</definedName>
    <definedName name="OpwekPVm2_2033" localSheetId="4">Blanco!$DB$241</definedName>
    <definedName name="OpwekPVm2_2033" localSheetId="10">'cluster eigendom'!$DB$241</definedName>
    <definedName name="OpwekPVm2_2033" localSheetId="11">'cluster huur'!$DB$241</definedName>
    <definedName name="OpwekPVm2_2033" localSheetId="7">Locatie1!$DB$241</definedName>
    <definedName name="OpwekPVm2_2033" localSheetId="8">Locatie2!$DB$241</definedName>
    <definedName name="OpwekPVm2_2033" localSheetId="9">Locatie3!$DB$241</definedName>
    <definedName name="OpwekPVm2_2034" localSheetId="4">Blanco!$DH$241</definedName>
    <definedName name="OpwekPVm2_2034" localSheetId="10">'cluster eigendom'!$DH$241</definedName>
    <definedName name="OpwekPVm2_2034" localSheetId="11">'cluster huur'!$DH$241</definedName>
    <definedName name="OpwekPVm2_2034" localSheetId="7">Locatie1!$DH$241</definedName>
    <definedName name="OpwekPVm2_2034" localSheetId="8">Locatie2!$DH$241</definedName>
    <definedName name="OpwekPVm2_2034" localSheetId="9">Locatie3!$DH$241</definedName>
    <definedName name="OpwekPVm2_2035" localSheetId="4">Blanco!$DN$241</definedName>
    <definedName name="OpwekPVm2_2035" localSheetId="10">'cluster eigendom'!$DN$241</definedName>
    <definedName name="OpwekPVm2_2035" localSheetId="11">'cluster huur'!$DN$241</definedName>
    <definedName name="OpwekPVm2_2035" localSheetId="7">Locatie1!$DN$241</definedName>
    <definedName name="OpwekPVm2_2035" localSheetId="8">Locatie2!$DN$241</definedName>
    <definedName name="OpwekPVm2_2035" localSheetId="9">Locatie3!$DN$241</definedName>
    <definedName name="OpwekPVm2_2036" localSheetId="4">Blanco!$DT$241</definedName>
    <definedName name="OpwekPVm2_2036" localSheetId="10">'cluster eigendom'!$DT$241</definedName>
    <definedName name="OpwekPVm2_2036" localSheetId="11">'cluster huur'!$DT$241</definedName>
    <definedName name="OpwekPVm2_2036" localSheetId="7">Locatie1!$DT$241</definedName>
    <definedName name="OpwekPVm2_2036" localSheetId="8">Locatie2!$DT$241</definedName>
    <definedName name="OpwekPVm2_2036" localSheetId="9">Locatie3!$DT$241</definedName>
    <definedName name="OpwekPVm2_2037" localSheetId="4">Blanco!$DZ$241</definedName>
    <definedName name="OpwekPVm2_2037" localSheetId="10">'cluster eigendom'!$DZ$241</definedName>
    <definedName name="OpwekPVm2_2037" localSheetId="11">'cluster huur'!$DZ$241</definedName>
    <definedName name="OpwekPVm2_2037" localSheetId="7">Locatie1!$DZ$241</definedName>
    <definedName name="OpwekPVm2_2037" localSheetId="8">Locatie2!$DZ$241</definedName>
    <definedName name="OpwekPVm2_2037" localSheetId="9">Locatie3!$DZ$241</definedName>
    <definedName name="OpwekPVm2_2038" localSheetId="4">Blanco!$EF$241</definedName>
    <definedName name="OpwekPVm2_2038" localSheetId="10">'cluster eigendom'!$EF$241</definedName>
    <definedName name="OpwekPVm2_2038" localSheetId="11">'cluster huur'!$EF$241</definedName>
    <definedName name="OpwekPVm2_2038" localSheetId="7">Locatie1!$EF$241</definedName>
    <definedName name="OpwekPVm2_2038" localSheetId="8">Locatie2!$EF$241</definedName>
    <definedName name="OpwekPVm2_2038" localSheetId="9">Locatie3!$EF$241</definedName>
    <definedName name="OpwekPVm2_2039" localSheetId="4">Blanco!$EL$241</definedName>
    <definedName name="OpwekPVm2_2039" localSheetId="10">'cluster eigendom'!$EL$241</definedName>
    <definedName name="OpwekPVm2_2039" localSheetId="11">'cluster huur'!$EL$241</definedName>
    <definedName name="OpwekPVm2_2039" localSheetId="7">Locatie1!$EL$241</definedName>
    <definedName name="OpwekPVm2_2039" localSheetId="8">Locatie2!$EL$241</definedName>
    <definedName name="OpwekPVm2_2039" localSheetId="9">Locatie3!$EL$241</definedName>
    <definedName name="OpwekPVm2_2040" localSheetId="4">Blanco!$ER$241</definedName>
    <definedName name="OpwekPVm2_2040" localSheetId="10">'cluster eigendom'!$ER$241</definedName>
    <definedName name="OpwekPVm2_2040" localSheetId="11">'cluster huur'!$ER$241</definedName>
    <definedName name="OpwekPVm2_2040" localSheetId="7">Locatie1!$ER$241</definedName>
    <definedName name="OpwekPVm2_2040" localSheetId="8">Locatie2!$ER$241</definedName>
    <definedName name="OpwekPVm2_2040" localSheetId="9">Locatie3!$ER$241</definedName>
    <definedName name="OpwekPVm2_2041" localSheetId="4">Blanco!$EX$241</definedName>
    <definedName name="OpwekPVm2_2041" localSheetId="10">'cluster eigendom'!$EX$241</definedName>
    <definedName name="OpwekPVm2_2041" localSheetId="11">'cluster huur'!$EX$241</definedName>
    <definedName name="OpwekPVm2_2041" localSheetId="7">Locatie1!$EX$241</definedName>
    <definedName name="OpwekPVm2_2041" localSheetId="8">Locatie2!$EX$241</definedName>
    <definedName name="OpwekPVm2_2041" localSheetId="9">Locatie3!$EX$241</definedName>
    <definedName name="OpwekPVm2_2042" localSheetId="4">Blanco!$FD$241</definedName>
    <definedName name="OpwekPVm2_2042" localSheetId="10">'cluster eigendom'!$FD$241</definedName>
    <definedName name="OpwekPVm2_2042" localSheetId="11">'cluster huur'!$FD$241</definedName>
    <definedName name="OpwekPVm2_2042" localSheetId="7">Locatie1!$FD$241</definedName>
    <definedName name="OpwekPVm2_2042" localSheetId="8">Locatie2!$FD$241</definedName>
    <definedName name="OpwekPVm2_2042" localSheetId="9">Locatie3!$FD$241</definedName>
    <definedName name="OpwekPVm2_2043" localSheetId="4">Blanco!$FJ$241</definedName>
    <definedName name="OpwekPVm2_2043" localSheetId="10">'cluster eigendom'!$FJ$241</definedName>
    <definedName name="OpwekPVm2_2043" localSheetId="11">'cluster huur'!$FJ$241</definedName>
    <definedName name="OpwekPVm2_2043" localSheetId="7">Locatie1!$FJ$241</definedName>
    <definedName name="OpwekPVm2_2043" localSheetId="8">Locatie2!$FJ$241</definedName>
    <definedName name="OpwekPVm2_2043" localSheetId="9">Locatie3!$FJ$241</definedName>
    <definedName name="OpwekPVm2_2044" localSheetId="4">Blanco!$FP$241</definedName>
    <definedName name="OpwekPVm2_2044" localSheetId="10">'cluster eigendom'!$FP$241</definedName>
    <definedName name="OpwekPVm2_2044" localSheetId="11">'cluster huur'!$FP$241</definedName>
    <definedName name="OpwekPVm2_2044" localSheetId="7">Locatie1!$FP$241</definedName>
    <definedName name="OpwekPVm2_2044" localSheetId="8">Locatie2!$FP$241</definedName>
    <definedName name="OpwekPVm2_2044" localSheetId="9">Locatie3!$FP$241</definedName>
    <definedName name="OpwekPVm2_2045" localSheetId="4">Blanco!$FV$241</definedName>
    <definedName name="OpwekPVm2_2045" localSheetId="10">'cluster eigendom'!$FV$241</definedName>
    <definedName name="OpwekPVm2_2045" localSheetId="11">'cluster huur'!$FV$241</definedName>
    <definedName name="OpwekPVm2_2045" localSheetId="7">Locatie1!$FV$241</definedName>
    <definedName name="OpwekPVm2_2045" localSheetId="8">Locatie2!$FV$241</definedName>
    <definedName name="OpwekPVm2_2045" localSheetId="9">Locatie3!$FV$241</definedName>
    <definedName name="OpwekPVm2_2046" localSheetId="4">Blanco!$GB$241</definedName>
    <definedName name="OpwekPVm2_2046" localSheetId="10">'cluster eigendom'!$GB$241</definedName>
    <definedName name="OpwekPVm2_2046" localSheetId="11">'cluster huur'!$GB$241</definedName>
    <definedName name="OpwekPVm2_2046" localSheetId="7">Locatie1!$GB$241</definedName>
    <definedName name="OpwekPVm2_2046" localSheetId="8">Locatie2!$GB$241</definedName>
    <definedName name="OpwekPVm2_2046" localSheetId="9">Locatie3!$GB$241</definedName>
    <definedName name="OpwekPVm2_2047" localSheetId="4">Blanco!$GH$241</definedName>
    <definedName name="OpwekPVm2_2047" localSheetId="10">'cluster eigendom'!$GH$241</definedName>
    <definedName name="OpwekPVm2_2047" localSheetId="11">'cluster huur'!$GH$241</definedName>
    <definedName name="OpwekPVm2_2047" localSheetId="7">Locatie1!$GH$241</definedName>
    <definedName name="OpwekPVm2_2047" localSheetId="8">Locatie2!$GH$241</definedName>
    <definedName name="OpwekPVm2_2047" localSheetId="9">Locatie3!$GH$241</definedName>
    <definedName name="OpwekPVm2_2048" localSheetId="4">Blanco!$GN$241</definedName>
    <definedName name="OpwekPVm2_2048" localSheetId="10">'cluster eigendom'!$GN$241</definedName>
    <definedName name="OpwekPVm2_2048" localSheetId="11">'cluster huur'!$GN$241</definedName>
    <definedName name="OpwekPVm2_2048" localSheetId="7">Locatie1!$GN$241</definedName>
    <definedName name="OpwekPVm2_2048" localSheetId="8">Locatie2!$GN$241</definedName>
    <definedName name="OpwekPVm2_2048" localSheetId="9">Locatie3!$GN$241</definedName>
    <definedName name="OpwekPVm2_2049" localSheetId="4">Blanco!$GT$241</definedName>
    <definedName name="OpwekPVm2_2049" localSheetId="10">'cluster eigendom'!$GT$241</definedName>
    <definedName name="OpwekPVm2_2049" localSheetId="11">'cluster huur'!$GT$241</definedName>
    <definedName name="OpwekPVm2_2049" localSheetId="7">Locatie1!$GT$241</definedName>
    <definedName name="OpwekPVm2_2049" localSheetId="8">Locatie2!$GT$241</definedName>
    <definedName name="OpwekPVm2_2049" localSheetId="9">Locatie3!$GT$241</definedName>
    <definedName name="OpwekPVm2_2050" localSheetId="4">Blanco!$GZ$241</definedName>
    <definedName name="OpwekPVm2_2050" localSheetId="10">'cluster eigendom'!$GZ$241</definedName>
    <definedName name="OpwekPVm2_2050" localSheetId="11">'cluster huur'!$GZ$241</definedName>
    <definedName name="OpwekPVm2_2050" localSheetId="7">Locatie1!$GZ$241</definedName>
    <definedName name="OpwekPVm2_2050" localSheetId="8">Locatie2!$GZ$241</definedName>
    <definedName name="OpwekPVm2_2050" localSheetId="9">Locatie3!$GZ$241</definedName>
    <definedName name="Totaalverbruik_2018" localSheetId="4">Blanco!$U$244</definedName>
    <definedName name="Totaalverbruik_2018" localSheetId="10">'cluster eigendom'!$U$244</definedName>
    <definedName name="Totaalverbruik_2018" localSheetId="11">'cluster huur'!$U$244</definedName>
    <definedName name="Totaalverbruik_2018" localSheetId="7">Locatie1!$U$244</definedName>
    <definedName name="Totaalverbruik_2018" localSheetId="8">Locatie2!$U$244</definedName>
    <definedName name="Totaalverbruik_2018" localSheetId="9">Locatie3!$U$244</definedName>
    <definedName name="Totaalverbruik_2019" localSheetId="4">Blanco!$V$244</definedName>
    <definedName name="Totaalverbruik_2019" localSheetId="10">'cluster eigendom'!$V$244</definedName>
    <definedName name="Totaalverbruik_2019" localSheetId="11">'cluster huur'!$V$244</definedName>
    <definedName name="Totaalverbruik_2019" localSheetId="7">Locatie1!$V$244</definedName>
    <definedName name="Totaalverbruik_2019" localSheetId="8">Locatie2!$V$244</definedName>
    <definedName name="Totaalverbruik_2019" localSheetId="9">Locatie3!$V$244</definedName>
    <definedName name="Totaalverbruik_2020" localSheetId="4">Blanco!$AB$244</definedName>
    <definedName name="Totaalverbruik_2020" localSheetId="10">'cluster eigendom'!$AB$244</definedName>
    <definedName name="Totaalverbruik_2020" localSheetId="11">'cluster huur'!$AB$244</definedName>
    <definedName name="Totaalverbruik_2020" localSheetId="7">Locatie1!$AB$244</definedName>
    <definedName name="Totaalverbruik_2020" localSheetId="8">Locatie2!$AB$244</definedName>
    <definedName name="Totaalverbruik_2020" localSheetId="9">Locatie3!$AB$244</definedName>
    <definedName name="Totaalverbruik_2021" localSheetId="4">Blanco!$AH$244</definedName>
    <definedName name="Totaalverbruik_2021" localSheetId="10">'cluster eigendom'!$AH$244</definedName>
    <definedName name="Totaalverbruik_2021" localSheetId="11">'cluster huur'!$AH$244</definedName>
    <definedName name="Totaalverbruik_2021" localSheetId="7">Locatie1!$AH$244</definedName>
    <definedName name="Totaalverbruik_2021" localSheetId="8">Locatie2!$AH$244</definedName>
    <definedName name="Totaalverbruik_2021" localSheetId="9">Locatie3!$AH$244</definedName>
    <definedName name="Totaalverbruik_2022" localSheetId="4">Blanco!$AN$244</definedName>
    <definedName name="Totaalverbruik_2022" localSheetId="10">'cluster eigendom'!$AN$244</definedName>
    <definedName name="Totaalverbruik_2022" localSheetId="11">'cluster huur'!$AN$244</definedName>
    <definedName name="Totaalverbruik_2022" localSheetId="7">Locatie1!$AN$244</definedName>
    <definedName name="Totaalverbruik_2022" localSheetId="8">Locatie2!$AN$244</definedName>
    <definedName name="Totaalverbruik_2022" localSheetId="9">Locatie3!$AN$244</definedName>
    <definedName name="Totaalverbruik_2023" localSheetId="4">Blanco!$AT$244</definedName>
    <definedName name="Totaalverbruik_2023" localSheetId="10">'cluster eigendom'!$AT$244</definedName>
    <definedName name="Totaalverbruik_2023" localSheetId="11">'cluster huur'!$AT$244</definedName>
    <definedName name="Totaalverbruik_2023" localSheetId="7">Locatie1!$AT$244</definedName>
    <definedName name="Totaalverbruik_2023" localSheetId="8">Locatie2!$AT$244</definedName>
    <definedName name="Totaalverbruik_2023" localSheetId="9">Locatie3!$AT$244</definedName>
    <definedName name="Totaalverbruik_2024" localSheetId="4">Blanco!$AZ$244</definedName>
    <definedName name="Totaalverbruik_2024" localSheetId="10">'cluster eigendom'!$AZ$244</definedName>
    <definedName name="Totaalverbruik_2024" localSheetId="11">'cluster huur'!$AZ$244</definedName>
    <definedName name="Totaalverbruik_2024" localSheetId="7">Locatie1!$AZ$244</definedName>
    <definedName name="Totaalverbruik_2024" localSheetId="8">Locatie2!$AZ$244</definedName>
    <definedName name="Totaalverbruik_2024" localSheetId="9">Locatie3!$AZ$244</definedName>
    <definedName name="Totaalverbruik_2025" localSheetId="4">Blanco!$BF$244</definedName>
    <definedName name="Totaalverbruik_2025" localSheetId="10">'cluster eigendom'!$BF$244</definedName>
    <definedName name="Totaalverbruik_2025" localSheetId="11">'cluster huur'!$BF$244</definedName>
    <definedName name="Totaalverbruik_2025" localSheetId="7">Locatie1!$BF$244</definedName>
    <definedName name="Totaalverbruik_2025" localSheetId="8">Locatie2!$BF$244</definedName>
    <definedName name="Totaalverbruik_2025" localSheetId="9">Locatie3!$BF$244</definedName>
    <definedName name="Totaalverbruik_2026" localSheetId="4">Blanco!$BL$244</definedName>
    <definedName name="Totaalverbruik_2026" localSheetId="10">'cluster eigendom'!$BL$244</definedName>
    <definedName name="Totaalverbruik_2026" localSheetId="11">'cluster huur'!$BL$244</definedName>
    <definedName name="Totaalverbruik_2026" localSheetId="7">Locatie1!$BL$244</definedName>
    <definedName name="Totaalverbruik_2026" localSheetId="8">Locatie2!$BL$244</definedName>
    <definedName name="Totaalverbruik_2026" localSheetId="9">Locatie3!$BL$244</definedName>
    <definedName name="Totaalverbruik_2027" localSheetId="4">Blanco!$BR$244</definedName>
    <definedName name="Totaalverbruik_2027" localSheetId="10">'cluster eigendom'!$BR$244</definedName>
    <definedName name="Totaalverbruik_2027" localSheetId="11">'cluster huur'!$BR$244</definedName>
    <definedName name="Totaalverbruik_2027" localSheetId="7">Locatie1!$BR$244</definedName>
    <definedName name="Totaalverbruik_2027" localSheetId="8">Locatie2!$BR$244</definedName>
    <definedName name="Totaalverbruik_2027" localSheetId="9">Locatie3!$BR$244</definedName>
    <definedName name="Totaalverbruik_2028" localSheetId="4">Blanco!$BX$244</definedName>
    <definedName name="Totaalverbruik_2028" localSheetId="10">'cluster eigendom'!$BX$244</definedName>
    <definedName name="Totaalverbruik_2028" localSheetId="11">'cluster huur'!$BX$244</definedName>
    <definedName name="Totaalverbruik_2028" localSheetId="7">Locatie1!$BX$244</definedName>
    <definedName name="Totaalverbruik_2028" localSheetId="8">Locatie2!$BX$244</definedName>
    <definedName name="Totaalverbruik_2028" localSheetId="9">Locatie3!$BX$244</definedName>
    <definedName name="Totaalverbruik_2029" localSheetId="4">Blanco!$CD$244</definedName>
    <definedName name="Totaalverbruik_2029" localSheetId="10">'cluster eigendom'!$CD$244</definedName>
    <definedName name="Totaalverbruik_2029" localSheetId="11">'cluster huur'!$CD$244</definedName>
    <definedName name="Totaalverbruik_2029" localSheetId="7">Locatie1!$CD$244</definedName>
    <definedName name="Totaalverbruik_2029" localSheetId="8">Locatie2!$CD$244</definedName>
    <definedName name="Totaalverbruik_2029" localSheetId="9">Locatie3!$CD$244</definedName>
    <definedName name="Totaalverbruik_2030" localSheetId="4">Blanco!$CJ$244</definedName>
    <definedName name="Totaalverbruik_2030" localSheetId="10">'cluster eigendom'!$CJ$244</definedName>
    <definedName name="Totaalverbruik_2030" localSheetId="11">'cluster huur'!$CJ$244</definedName>
    <definedName name="Totaalverbruik_2030" localSheetId="7">Locatie1!$CJ$244</definedName>
    <definedName name="Totaalverbruik_2030" localSheetId="8">Locatie2!$CJ$244</definedName>
    <definedName name="Totaalverbruik_2030" localSheetId="9">Locatie3!$CJ$244</definedName>
    <definedName name="Totaalverbruik_2031" localSheetId="4">Blanco!$CP$244</definedName>
    <definedName name="Totaalverbruik_2031" localSheetId="10">'cluster eigendom'!$CP$244</definedName>
    <definedName name="Totaalverbruik_2031" localSheetId="11">'cluster huur'!$CP$244</definedName>
    <definedName name="Totaalverbruik_2031" localSheetId="7">Locatie1!$CP$244</definedName>
    <definedName name="Totaalverbruik_2031" localSheetId="8">Locatie2!$CP$244</definedName>
    <definedName name="Totaalverbruik_2031" localSheetId="9">Locatie3!$CP$244</definedName>
    <definedName name="Totaalverbruik_2032" localSheetId="4">Blanco!$CV$244</definedName>
    <definedName name="Totaalverbruik_2032" localSheetId="10">'cluster eigendom'!$CV$244</definedName>
    <definedName name="Totaalverbruik_2032" localSheetId="11">'cluster huur'!$CV$244</definedName>
    <definedName name="Totaalverbruik_2032" localSheetId="7">Locatie1!$CV$244</definedName>
    <definedName name="Totaalverbruik_2032" localSheetId="8">Locatie2!$CV$244</definedName>
    <definedName name="Totaalverbruik_2032" localSheetId="9">Locatie3!$CV$244</definedName>
    <definedName name="Totaalverbruik_2033" localSheetId="4">Blanco!$DB$244</definedName>
    <definedName name="Totaalverbruik_2033" localSheetId="10">'cluster eigendom'!$DB$244</definedName>
    <definedName name="Totaalverbruik_2033" localSheetId="11">'cluster huur'!$DB$244</definedName>
    <definedName name="Totaalverbruik_2033" localSheetId="7">Locatie1!$DB$244</definedName>
    <definedName name="Totaalverbruik_2033" localSheetId="8">Locatie2!$DB$244</definedName>
    <definedName name="Totaalverbruik_2033" localSheetId="9">Locatie3!$DB$244</definedName>
    <definedName name="Totaalverbruik_2034" localSheetId="4">Blanco!$DH$244</definedName>
    <definedName name="Totaalverbruik_2034" localSheetId="10">'cluster eigendom'!$DH$244</definedName>
    <definedName name="Totaalverbruik_2034" localSheetId="11">'cluster huur'!$DH$244</definedName>
    <definedName name="Totaalverbruik_2034" localSheetId="7">Locatie1!$DH$244</definedName>
    <definedName name="Totaalverbruik_2034" localSheetId="8">Locatie2!$DH$244</definedName>
    <definedName name="Totaalverbruik_2034" localSheetId="9">Locatie3!$DH$244</definedName>
    <definedName name="Totaalverbruik_2035" localSheetId="4">Blanco!$DN$244</definedName>
    <definedName name="Totaalverbruik_2035" localSheetId="10">'cluster eigendom'!$DN$244</definedName>
    <definedName name="Totaalverbruik_2035" localSheetId="11">'cluster huur'!$DN$244</definedName>
    <definedName name="Totaalverbruik_2035" localSheetId="7">Locatie1!$DN$244</definedName>
    <definedName name="Totaalverbruik_2035" localSheetId="8">Locatie2!$DN$244</definedName>
    <definedName name="Totaalverbruik_2035" localSheetId="9">Locatie3!$DN$244</definedName>
    <definedName name="Totaalverbruik_2036" localSheetId="4">Blanco!$DT$244</definedName>
    <definedName name="Totaalverbruik_2036" localSheetId="10">'cluster eigendom'!$DT$244</definedName>
    <definedName name="Totaalverbruik_2036" localSheetId="11">'cluster huur'!$DT$244</definedName>
    <definedName name="Totaalverbruik_2036" localSheetId="7">Locatie1!$DT$244</definedName>
    <definedName name="Totaalverbruik_2036" localSheetId="8">Locatie2!$DT$244</definedName>
    <definedName name="Totaalverbruik_2036" localSheetId="9">Locatie3!$DT$244</definedName>
    <definedName name="Totaalverbruik_2037" localSheetId="4">Blanco!$DZ$244</definedName>
    <definedName name="Totaalverbruik_2037" localSheetId="10">'cluster eigendom'!$DZ$244</definedName>
    <definedName name="Totaalverbruik_2037" localSheetId="11">'cluster huur'!$DZ$244</definedName>
    <definedName name="Totaalverbruik_2037" localSheetId="7">Locatie1!$DZ$244</definedName>
    <definedName name="Totaalverbruik_2037" localSheetId="8">Locatie2!$DZ$244</definedName>
    <definedName name="Totaalverbruik_2037" localSheetId="9">Locatie3!$DZ$244</definedName>
    <definedName name="Totaalverbruik_2038" localSheetId="4">Blanco!$EF$244</definedName>
    <definedName name="Totaalverbruik_2038" localSheetId="10">'cluster eigendom'!$EF$244</definedName>
    <definedName name="Totaalverbruik_2038" localSheetId="11">'cluster huur'!$EF$244</definedName>
    <definedName name="Totaalverbruik_2038" localSheetId="7">Locatie1!$EF$244</definedName>
    <definedName name="Totaalverbruik_2038" localSheetId="8">Locatie2!$EF$244</definedName>
    <definedName name="Totaalverbruik_2038" localSheetId="9">Locatie3!$EF$244</definedName>
    <definedName name="Totaalverbruik_2039" localSheetId="4">Blanco!$EL$244</definedName>
    <definedName name="Totaalverbruik_2039" localSheetId="10">'cluster eigendom'!$EL$244</definedName>
    <definedName name="Totaalverbruik_2039" localSheetId="11">'cluster huur'!$EL$244</definedName>
    <definedName name="Totaalverbruik_2039" localSheetId="7">Locatie1!$EL$244</definedName>
    <definedName name="Totaalverbruik_2039" localSheetId="8">Locatie2!$EL$244</definedName>
    <definedName name="Totaalverbruik_2039" localSheetId="9">Locatie3!$EL$244</definedName>
    <definedName name="Totaalverbruik_2040" localSheetId="4">Blanco!$ER$244</definedName>
    <definedName name="Totaalverbruik_2040" localSheetId="10">'cluster eigendom'!$ER$244</definedName>
    <definedName name="Totaalverbruik_2040" localSheetId="11">'cluster huur'!$ER$244</definedName>
    <definedName name="Totaalverbruik_2040" localSheetId="7">Locatie1!$ER$244</definedName>
    <definedName name="Totaalverbruik_2040" localSheetId="8">Locatie2!$ER$244</definedName>
    <definedName name="Totaalverbruik_2040" localSheetId="9">Locatie3!$ER$244</definedName>
    <definedName name="Totaalverbruik_2041" localSheetId="4">Blanco!$EX$244</definedName>
    <definedName name="Totaalverbruik_2041" localSheetId="10">'cluster eigendom'!$EX$244</definedName>
    <definedName name="Totaalverbruik_2041" localSheetId="11">'cluster huur'!$EX$244</definedName>
    <definedName name="Totaalverbruik_2041" localSheetId="7">Locatie1!$EX$244</definedName>
    <definedName name="Totaalverbruik_2041" localSheetId="8">Locatie2!$EX$244</definedName>
    <definedName name="Totaalverbruik_2041" localSheetId="9">Locatie3!$EX$244</definedName>
    <definedName name="Totaalverbruik_2042" localSheetId="4">Blanco!$FD$244</definedName>
    <definedName name="Totaalverbruik_2042" localSheetId="10">'cluster eigendom'!$FD$244</definedName>
    <definedName name="Totaalverbruik_2042" localSheetId="11">'cluster huur'!$FD$244</definedName>
    <definedName name="Totaalverbruik_2042" localSheetId="7">Locatie1!$FD$244</definedName>
    <definedName name="Totaalverbruik_2042" localSheetId="8">Locatie2!$FD$244</definedName>
    <definedName name="Totaalverbruik_2042" localSheetId="9">Locatie3!$FD$244</definedName>
    <definedName name="Totaalverbruik_2043" localSheetId="4">Blanco!$FJ$244</definedName>
    <definedName name="Totaalverbruik_2043" localSheetId="10">'cluster eigendom'!$FJ$244</definedName>
    <definedName name="Totaalverbruik_2043" localSheetId="11">'cluster huur'!$FJ$244</definedName>
    <definedName name="Totaalverbruik_2043" localSheetId="7">Locatie1!$FJ$244</definedName>
    <definedName name="Totaalverbruik_2043" localSheetId="8">Locatie2!$FJ$244</definedName>
    <definedName name="Totaalverbruik_2043" localSheetId="9">Locatie3!$FJ$244</definedName>
    <definedName name="Totaalverbruik_2044" localSheetId="4">Blanco!$FP$244</definedName>
    <definedName name="Totaalverbruik_2044" localSheetId="10">'cluster eigendom'!$FP$244</definedName>
    <definedName name="Totaalverbruik_2044" localSheetId="11">'cluster huur'!$FP$244</definedName>
    <definedName name="Totaalverbruik_2044" localSheetId="7">Locatie1!$FP$244</definedName>
    <definedName name="Totaalverbruik_2044" localSheetId="8">Locatie2!$FP$244</definedName>
    <definedName name="Totaalverbruik_2044" localSheetId="9">Locatie3!$FP$244</definedName>
    <definedName name="Totaalverbruik_2045" localSheetId="4">Blanco!$FV$244</definedName>
    <definedName name="Totaalverbruik_2045" localSheetId="10">'cluster eigendom'!$FV$244</definedName>
    <definedName name="Totaalverbruik_2045" localSheetId="11">'cluster huur'!$FV$244</definedName>
    <definedName name="Totaalverbruik_2045" localSheetId="7">Locatie1!$FV$244</definedName>
    <definedName name="Totaalverbruik_2045" localSheetId="8">Locatie2!$FV$244</definedName>
    <definedName name="Totaalverbruik_2045" localSheetId="9">Locatie3!$FV$244</definedName>
    <definedName name="Totaalverbruik_2046" localSheetId="4">Blanco!$GB$244</definedName>
    <definedName name="Totaalverbruik_2046" localSheetId="10">'cluster eigendom'!$GB$244</definedName>
    <definedName name="Totaalverbruik_2046" localSheetId="11">'cluster huur'!$GB$244</definedName>
    <definedName name="Totaalverbruik_2046" localSheetId="7">Locatie1!$GB$244</definedName>
    <definedName name="Totaalverbruik_2046" localSheetId="8">Locatie2!$GB$244</definedName>
    <definedName name="Totaalverbruik_2046" localSheetId="9">Locatie3!$GB$244</definedName>
    <definedName name="Totaalverbruik_2047" localSheetId="4">Blanco!$GH$244</definedName>
    <definedName name="Totaalverbruik_2047" localSheetId="10">'cluster eigendom'!$GH$244</definedName>
    <definedName name="Totaalverbruik_2047" localSheetId="11">'cluster huur'!$GH$244</definedName>
    <definedName name="Totaalverbruik_2047" localSheetId="7">Locatie1!$GH$244</definedName>
    <definedName name="Totaalverbruik_2047" localSheetId="8">Locatie2!$GH$244</definedName>
    <definedName name="Totaalverbruik_2047" localSheetId="9">Locatie3!$GH$244</definedName>
    <definedName name="Totaalverbruik_2048" localSheetId="4">Blanco!$GN$244</definedName>
    <definedName name="Totaalverbruik_2048" localSheetId="10">'cluster eigendom'!$GN$244</definedName>
    <definedName name="Totaalverbruik_2048" localSheetId="11">'cluster huur'!$GN$244</definedName>
    <definedName name="Totaalverbruik_2048" localSheetId="7">Locatie1!$GN$244</definedName>
    <definedName name="Totaalverbruik_2048" localSheetId="8">Locatie2!$GN$244</definedName>
    <definedName name="Totaalverbruik_2048" localSheetId="9">Locatie3!$GN$244</definedName>
    <definedName name="Totaalverbruik_2049" localSheetId="4">Blanco!$GT$244</definedName>
    <definedName name="Totaalverbruik_2049" localSheetId="10">'cluster eigendom'!$GT$244</definedName>
    <definedName name="Totaalverbruik_2049" localSheetId="11">'cluster huur'!$GT$244</definedName>
    <definedName name="Totaalverbruik_2049" localSheetId="7">Locatie1!$GT$244</definedName>
    <definedName name="Totaalverbruik_2049" localSheetId="8">Locatie2!$GT$244</definedName>
    <definedName name="Totaalverbruik_2049" localSheetId="9">Locatie3!$GT$244</definedName>
    <definedName name="Totaalverbruik_2050" localSheetId="4">Blanco!$GZ$244</definedName>
    <definedName name="Totaalverbruik_2050" localSheetId="10">'cluster eigendom'!$GZ$244</definedName>
    <definedName name="Totaalverbruik_2050" localSheetId="11">'cluster huur'!$GZ$244</definedName>
    <definedName name="Totaalverbruik_2050" localSheetId="7">Locatie1!$GZ$244</definedName>
    <definedName name="Totaalverbruik_2050" localSheetId="8">Locatie2!$GZ$244</definedName>
    <definedName name="Totaalverbruik_2050" localSheetId="9">Locatie3!$GZ$244</definedName>
    <definedName name="Totaalverbruikm2_2018" localSheetId="4">Blanco!$U$245</definedName>
    <definedName name="Totaalverbruikm2_2018" localSheetId="10">'cluster eigendom'!$U$245</definedName>
    <definedName name="Totaalverbruikm2_2018" localSheetId="11">'cluster huur'!$U$245</definedName>
    <definedName name="Totaalverbruikm2_2018" localSheetId="7">Locatie1!$U$245</definedName>
    <definedName name="Totaalverbruikm2_2018" localSheetId="8">Locatie2!$U$245</definedName>
    <definedName name="Totaalverbruikm2_2018" localSheetId="9">Locatie3!$U$245</definedName>
    <definedName name="Totaalverbruikm2_2019" localSheetId="4">Blanco!$V$245</definedName>
    <definedName name="Totaalverbruikm2_2019" localSheetId="10">'cluster eigendom'!$V$245</definedName>
    <definedName name="Totaalverbruikm2_2019" localSheetId="11">'cluster huur'!$V$245</definedName>
    <definedName name="Totaalverbruikm2_2019" localSheetId="7">Locatie1!$V$245</definedName>
    <definedName name="Totaalverbruikm2_2019" localSheetId="8">Locatie2!$V$245</definedName>
    <definedName name="Totaalverbruikm2_2019" localSheetId="9">Locatie3!$V$245</definedName>
    <definedName name="Totaalverbruikm2_2020" localSheetId="4">Blanco!$AB$245</definedName>
    <definedName name="Totaalverbruikm2_2020" localSheetId="10">'cluster eigendom'!$AB$245</definedName>
    <definedName name="Totaalverbruikm2_2020" localSheetId="11">'cluster huur'!$AB$245</definedName>
    <definedName name="Totaalverbruikm2_2020" localSheetId="7">Locatie1!$AB$245</definedName>
    <definedName name="Totaalverbruikm2_2020" localSheetId="8">Locatie2!$AB$245</definedName>
    <definedName name="Totaalverbruikm2_2020" localSheetId="9">Locatie3!$AB$245</definedName>
    <definedName name="Totaalverbruikm2_2021" localSheetId="4">Blanco!$AH$245</definedName>
    <definedName name="Totaalverbruikm2_2021" localSheetId="10">'cluster eigendom'!$AH$245</definedName>
    <definedName name="Totaalverbruikm2_2021" localSheetId="11">'cluster huur'!$AH$245</definedName>
    <definedName name="Totaalverbruikm2_2021" localSheetId="7">Locatie1!$AH$245</definedName>
    <definedName name="Totaalverbruikm2_2021" localSheetId="8">Locatie2!$AH$245</definedName>
    <definedName name="Totaalverbruikm2_2021" localSheetId="9">Locatie3!$AH$245</definedName>
    <definedName name="Totaalverbruikm2_2022" localSheetId="4">Blanco!$AN$245</definedName>
    <definedName name="Totaalverbruikm2_2022" localSheetId="10">'cluster eigendom'!$AN$245</definedName>
    <definedName name="Totaalverbruikm2_2022" localSheetId="11">'cluster huur'!$AN$245</definedName>
    <definedName name="Totaalverbruikm2_2022" localSheetId="7">Locatie1!$AN$245</definedName>
    <definedName name="Totaalverbruikm2_2022" localSheetId="8">Locatie2!$AN$245</definedName>
    <definedName name="Totaalverbruikm2_2022" localSheetId="9">Locatie3!$AN$245</definedName>
    <definedName name="Totaalverbruikm2_2023" localSheetId="4">Blanco!$AT$245</definedName>
    <definedName name="Totaalverbruikm2_2023" localSheetId="10">'cluster eigendom'!$AT$245</definedName>
    <definedName name="Totaalverbruikm2_2023" localSheetId="11">'cluster huur'!$AT$245</definedName>
    <definedName name="Totaalverbruikm2_2023" localSheetId="7">Locatie1!$AT$245</definedName>
    <definedName name="Totaalverbruikm2_2023" localSheetId="8">Locatie2!$AT$245</definedName>
    <definedName name="Totaalverbruikm2_2023" localSheetId="9">Locatie3!$AT$245</definedName>
    <definedName name="Totaalverbruikm2_2024" localSheetId="4">Blanco!$AZ$245</definedName>
    <definedName name="Totaalverbruikm2_2024" localSheetId="10">'cluster eigendom'!$AZ$245</definedName>
    <definedName name="Totaalverbruikm2_2024" localSheetId="11">'cluster huur'!$AZ$245</definedName>
    <definedName name="Totaalverbruikm2_2024" localSheetId="7">Locatie1!$AZ$245</definedName>
    <definedName name="Totaalverbruikm2_2024" localSheetId="8">Locatie2!$AZ$245</definedName>
    <definedName name="Totaalverbruikm2_2024" localSheetId="9">Locatie3!$AZ$245</definedName>
    <definedName name="Totaalverbruikm2_2025" localSheetId="4">Blanco!$BF$245</definedName>
    <definedName name="Totaalverbruikm2_2025" localSheetId="10">'cluster eigendom'!$BF$245</definedName>
    <definedName name="Totaalverbruikm2_2025" localSheetId="11">'cluster huur'!$BF$245</definedName>
    <definedName name="Totaalverbruikm2_2025" localSheetId="7">Locatie1!$BF$245</definedName>
    <definedName name="Totaalverbruikm2_2025" localSheetId="8">Locatie2!$BF$245</definedName>
    <definedName name="Totaalverbruikm2_2025" localSheetId="9">Locatie3!$BF$245</definedName>
    <definedName name="Totaalverbruikm2_2026" localSheetId="4">Blanco!$BL$245</definedName>
    <definedName name="Totaalverbruikm2_2026" localSheetId="10">'cluster eigendom'!$BL$245</definedName>
    <definedName name="Totaalverbruikm2_2026" localSheetId="11">'cluster huur'!$BL$245</definedName>
    <definedName name="Totaalverbruikm2_2026" localSheetId="7">Locatie1!$BL$245</definedName>
    <definedName name="Totaalverbruikm2_2026" localSheetId="8">Locatie2!$BL$245</definedName>
    <definedName name="Totaalverbruikm2_2026" localSheetId="9">Locatie3!$BL$245</definedName>
    <definedName name="Totaalverbruikm2_2027" localSheetId="4">Blanco!$BR$245</definedName>
    <definedName name="Totaalverbruikm2_2027" localSheetId="10">'cluster eigendom'!$BR$245</definedName>
    <definedName name="Totaalverbruikm2_2027" localSheetId="11">'cluster huur'!$BR$245</definedName>
    <definedName name="Totaalverbruikm2_2027" localSheetId="7">Locatie1!$BR$245</definedName>
    <definedName name="Totaalverbruikm2_2027" localSheetId="8">Locatie2!$BR$245</definedName>
    <definedName name="Totaalverbruikm2_2027" localSheetId="9">Locatie3!$BR$245</definedName>
    <definedName name="Totaalverbruikm2_2028" localSheetId="4">Blanco!$BX$245</definedName>
    <definedName name="Totaalverbruikm2_2028" localSheetId="10">'cluster eigendom'!$BX$245</definedName>
    <definedName name="Totaalverbruikm2_2028" localSheetId="11">'cluster huur'!$BX$245</definedName>
    <definedName name="Totaalverbruikm2_2028" localSheetId="7">Locatie1!$BX$245</definedName>
    <definedName name="Totaalverbruikm2_2028" localSheetId="8">Locatie2!$BX$245</definedName>
    <definedName name="Totaalverbruikm2_2028" localSheetId="9">Locatie3!$BX$245</definedName>
    <definedName name="Totaalverbruikm2_2029" localSheetId="4">Blanco!$CD$245</definedName>
    <definedName name="Totaalverbruikm2_2029" localSheetId="10">'cluster eigendom'!$CD$245</definedName>
    <definedName name="Totaalverbruikm2_2029" localSheetId="11">'cluster huur'!$CD$245</definedName>
    <definedName name="Totaalverbruikm2_2029" localSheetId="7">Locatie1!$CD$245</definedName>
    <definedName name="Totaalverbruikm2_2029" localSheetId="8">Locatie2!$CD$245</definedName>
    <definedName name="Totaalverbruikm2_2029" localSheetId="9">Locatie3!$CD$245</definedName>
    <definedName name="Totaalverbruikm2_2030" localSheetId="4">Blanco!$CJ$245</definedName>
    <definedName name="Totaalverbruikm2_2030" localSheetId="10">'cluster eigendom'!$CJ$245</definedName>
    <definedName name="Totaalverbruikm2_2030" localSheetId="11">'cluster huur'!$CJ$245</definedName>
    <definedName name="Totaalverbruikm2_2030" localSheetId="7">Locatie1!$CJ$245</definedName>
    <definedName name="Totaalverbruikm2_2030" localSheetId="8">Locatie2!$CJ$245</definedName>
    <definedName name="Totaalverbruikm2_2030" localSheetId="9">Locatie3!$CJ$245</definedName>
    <definedName name="Totaalverbruikm2_2031" localSheetId="4">Blanco!$CP$245</definedName>
    <definedName name="Totaalverbruikm2_2031" localSheetId="10">'cluster eigendom'!$CP$245</definedName>
    <definedName name="Totaalverbruikm2_2031" localSheetId="11">'cluster huur'!$CP$245</definedName>
    <definedName name="Totaalverbruikm2_2031" localSheetId="7">Locatie1!$CP$245</definedName>
    <definedName name="Totaalverbruikm2_2031" localSheetId="8">Locatie2!$CP$245</definedName>
    <definedName name="Totaalverbruikm2_2031" localSheetId="9">Locatie3!$CP$245</definedName>
    <definedName name="Totaalverbruikm2_2032" localSheetId="4">Blanco!$CV$245</definedName>
    <definedName name="Totaalverbruikm2_2032" localSheetId="10">'cluster eigendom'!$CV$245</definedName>
    <definedName name="Totaalverbruikm2_2032" localSheetId="11">'cluster huur'!$CV$245</definedName>
    <definedName name="Totaalverbruikm2_2032" localSheetId="7">Locatie1!$CV$245</definedName>
    <definedName name="Totaalverbruikm2_2032" localSheetId="8">Locatie2!$CV$245</definedName>
    <definedName name="Totaalverbruikm2_2032" localSheetId="9">Locatie3!$CV$245</definedName>
    <definedName name="Totaalverbruikm2_2033" localSheetId="4">Blanco!$DB$245</definedName>
    <definedName name="Totaalverbruikm2_2033" localSheetId="10">'cluster eigendom'!$DB$245</definedName>
    <definedName name="Totaalverbruikm2_2033" localSheetId="11">'cluster huur'!$DB$245</definedName>
    <definedName name="Totaalverbruikm2_2033" localSheetId="7">Locatie1!$DB$245</definedName>
    <definedName name="Totaalverbruikm2_2033" localSheetId="8">Locatie2!$DB$245</definedName>
    <definedName name="Totaalverbruikm2_2033" localSheetId="9">Locatie3!$DB$245</definedName>
    <definedName name="Totaalverbruikm2_2034" localSheetId="4">Blanco!$DH$245</definedName>
    <definedName name="Totaalverbruikm2_2034" localSheetId="10">'cluster eigendom'!$DH$245</definedName>
    <definedName name="Totaalverbruikm2_2034" localSheetId="11">'cluster huur'!$DH$245</definedName>
    <definedName name="Totaalverbruikm2_2034" localSheetId="7">Locatie1!$DH$245</definedName>
    <definedName name="Totaalverbruikm2_2034" localSheetId="8">Locatie2!$DH$245</definedName>
    <definedName name="Totaalverbruikm2_2034" localSheetId="9">Locatie3!$DH$245</definedName>
    <definedName name="Totaalverbruikm2_2035" localSheetId="4">Blanco!$DN$245</definedName>
    <definedName name="Totaalverbruikm2_2035" localSheetId="10">'cluster eigendom'!$DN$245</definedName>
    <definedName name="Totaalverbruikm2_2035" localSheetId="11">'cluster huur'!$DN$245</definedName>
    <definedName name="Totaalverbruikm2_2035" localSheetId="7">Locatie1!$DN$245</definedName>
    <definedName name="Totaalverbruikm2_2035" localSheetId="8">Locatie2!$DN$245</definedName>
    <definedName name="Totaalverbruikm2_2035" localSheetId="9">Locatie3!$DN$245</definedName>
    <definedName name="Totaalverbruikm2_2036" localSheetId="4">Blanco!$DT$245</definedName>
    <definedName name="Totaalverbruikm2_2036" localSheetId="10">'cluster eigendom'!$DT$245</definedName>
    <definedName name="Totaalverbruikm2_2036" localSheetId="11">'cluster huur'!$DT$245</definedName>
    <definedName name="Totaalverbruikm2_2036" localSheetId="7">Locatie1!$DT$245</definedName>
    <definedName name="Totaalverbruikm2_2036" localSheetId="8">Locatie2!$DT$245</definedName>
    <definedName name="Totaalverbruikm2_2036" localSheetId="9">Locatie3!$DT$245</definedName>
    <definedName name="Totaalverbruikm2_2037" localSheetId="4">Blanco!$DZ$245</definedName>
    <definedName name="Totaalverbruikm2_2037" localSheetId="10">'cluster eigendom'!$DZ$245</definedName>
    <definedName name="Totaalverbruikm2_2037" localSheetId="11">'cluster huur'!$DZ$245</definedName>
    <definedName name="Totaalverbruikm2_2037" localSheetId="7">Locatie1!$DZ$245</definedName>
    <definedName name="Totaalverbruikm2_2037" localSheetId="8">Locatie2!$DZ$245</definedName>
    <definedName name="Totaalverbruikm2_2037" localSheetId="9">Locatie3!$DZ$245</definedName>
    <definedName name="Totaalverbruikm2_2038" localSheetId="4">Blanco!$EF$245</definedName>
    <definedName name="Totaalverbruikm2_2038" localSheetId="10">'cluster eigendom'!$EF$245</definedName>
    <definedName name="Totaalverbruikm2_2038" localSheetId="11">'cluster huur'!$EF$245</definedName>
    <definedName name="Totaalverbruikm2_2038" localSheetId="7">Locatie1!$EF$245</definedName>
    <definedName name="Totaalverbruikm2_2038" localSheetId="8">Locatie2!$EF$245</definedName>
    <definedName name="Totaalverbruikm2_2038" localSheetId="9">Locatie3!$EF$245</definedName>
    <definedName name="Totaalverbruikm2_2039" localSheetId="4">Blanco!$EL$245</definedName>
    <definedName name="Totaalverbruikm2_2039" localSheetId="10">'cluster eigendom'!$EL$245</definedName>
    <definedName name="Totaalverbruikm2_2039" localSheetId="11">'cluster huur'!$EL$245</definedName>
    <definedName name="Totaalverbruikm2_2039" localSheetId="7">Locatie1!$EL$245</definedName>
    <definedName name="Totaalverbruikm2_2039" localSheetId="8">Locatie2!$EL$245</definedName>
    <definedName name="Totaalverbruikm2_2039" localSheetId="9">Locatie3!$EL$245</definedName>
    <definedName name="Totaalverbruikm2_2040" localSheetId="4">Blanco!$ER$245</definedName>
    <definedName name="Totaalverbruikm2_2040" localSheetId="10">'cluster eigendom'!$ER$245</definedName>
    <definedName name="Totaalverbruikm2_2040" localSheetId="11">'cluster huur'!$ER$245</definedName>
    <definedName name="Totaalverbruikm2_2040" localSheetId="7">Locatie1!$ER$245</definedName>
    <definedName name="Totaalverbruikm2_2040" localSheetId="8">Locatie2!$ER$245</definedName>
    <definedName name="Totaalverbruikm2_2040" localSheetId="9">Locatie3!$ER$245</definedName>
    <definedName name="Totaalverbruikm2_2041" localSheetId="4">Blanco!$EX$245</definedName>
    <definedName name="Totaalverbruikm2_2041" localSheetId="10">'cluster eigendom'!$EX$245</definedName>
    <definedName name="Totaalverbruikm2_2041" localSheetId="11">'cluster huur'!$EX$245</definedName>
    <definedName name="Totaalverbruikm2_2041" localSheetId="7">Locatie1!$EX$245</definedName>
    <definedName name="Totaalverbruikm2_2041" localSheetId="8">Locatie2!$EX$245</definedName>
    <definedName name="Totaalverbruikm2_2041" localSheetId="9">Locatie3!$EX$245</definedName>
    <definedName name="Totaalverbruikm2_2042" localSheetId="4">Blanco!$FD$245</definedName>
    <definedName name="Totaalverbruikm2_2042" localSheetId="10">'cluster eigendom'!$FD$245</definedName>
    <definedName name="Totaalverbruikm2_2042" localSheetId="11">'cluster huur'!$FD$245</definedName>
    <definedName name="Totaalverbruikm2_2042" localSheetId="7">Locatie1!$FD$245</definedName>
    <definedName name="Totaalverbruikm2_2042" localSheetId="8">Locatie2!$FD$245</definedName>
    <definedName name="Totaalverbruikm2_2042" localSheetId="9">Locatie3!$FD$245</definedName>
    <definedName name="Totaalverbruikm2_2043" localSheetId="4">Blanco!$FJ$245</definedName>
    <definedName name="Totaalverbruikm2_2043" localSheetId="10">'cluster eigendom'!$FJ$245</definedName>
    <definedName name="Totaalverbruikm2_2043" localSheetId="11">'cluster huur'!$FJ$245</definedName>
    <definedName name="Totaalverbruikm2_2043" localSheetId="7">Locatie1!$FJ$245</definedName>
    <definedName name="Totaalverbruikm2_2043" localSheetId="8">Locatie2!$FJ$245</definedName>
    <definedName name="Totaalverbruikm2_2043" localSheetId="9">Locatie3!$FJ$245</definedName>
    <definedName name="Totaalverbruikm2_2044" localSheetId="4">Blanco!$FP$245</definedName>
    <definedName name="Totaalverbruikm2_2044" localSheetId="10">'cluster eigendom'!$FP$245</definedName>
    <definedName name="Totaalverbruikm2_2044" localSheetId="11">'cluster huur'!$FP$245</definedName>
    <definedName name="Totaalverbruikm2_2044" localSheetId="7">Locatie1!$FP$245</definedName>
    <definedName name="Totaalverbruikm2_2044" localSheetId="8">Locatie2!$FP$245</definedName>
    <definedName name="Totaalverbruikm2_2044" localSheetId="9">Locatie3!$FP$245</definedName>
    <definedName name="Totaalverbruikm2_2045" localSheetId="4">Blanco!$FV$245</definedName>
    <definedName name="Totaalverbruikm2_2045" localSheetId="10">'cluster eigendom'!$FV$245</definedName>
    <definedName name="Totaalverbruikm2_2045" localSheetId="11">'cluster huur'!$FV$245</definedName>
    <definedName name="Totaalverbruikm2_2045" localSheetId="7">Locatie1!$FV$245</definedName>
    <definedName name="Totaalverbruikm2_2045" localSheetId="8">Locatie2!$FV$245</definedName>
    <definedName name="Totaalverbruikm2_2045" localSheetId="9">Locatie3!$FV$245</definedName>
    <definedName name="Totaalverbruikm2_2046" localSheetId="4">Blanco!$GB$245</definedName>
    <definedName name="Totaalverbruikm2_2046" localSheetId="10">'cluster eigendom'!$GB$245</definedName>
    <definedName name="Totaalverbruikm2_2046" localSheetId="11">'cluster huur'!$GB$245</definedName>
    <definedName name="Totaalverbruikm2_2046" localSheetId="7">Locatie1!$GB$245</definedName>
    <definedName name="Totaalverbruikm2_2046" localSheetId="8">Locatie2!$GB$245</definedName>
    <definedName name="Totaalverbruikm2_2046" localSheetId="9">Locatie3!$GB$245</definedName>
    <definedName name="Totaalverbruikm2_2047" localSheetId="4">Blanco!$GH$245</definedName>
    <definedName name="Totaalverbruikm2_2047" localSheetId="10">'cluster eigendom'!$GH$245</definedName>
    <definedName name="Totaalverbruikm2_2047" localSheetId="11">'cluster huur'!$GH$245</definedName>
    <definedName name="Totaalverbruikm2_2047" localSheetId="7">Locatie1!$GH$245</definedName>
    <definedName name="Totaalverbruikm2_2047" localSheetId="8">Locatie2!$GH$245</definedName>
    <definedName name="Totaalverbruikm2_2047" localSheetId="9">Locatie3!$GH$245</definedName>
    <definedName name="Totaalverbruikm2_2048" localSheetId="4">Blanco!$GN$245</definedName>
    <definedName name="Totaalverbruikm2_2048" localSheetId="10">'cluster eigendom'!$GN$245</definedName>
    <definedName name="Totaalverbruikm2_2048" localSheetId="11">'cluster huur'!$GN$245</definedName>
    <definedName name="Totaalverbruikm2_2048" localSheetId="7">Locatie1!$GN$245</definedName>
    <definedName name="Totaalverbruikm2_2048" localSheetId="8">Locatie2!$GN$245</definedName>
    <definedName name="Totaalverbruikm2_2048" localSheetId="9">Locatie3!$GN$245</definedName>
    <definedName name="Totaalverbruikm2_2049" localSheetId="4">Blanco!$GT$245</definedName>
    <definedName name="Totaalverbruikm2_2049" localSheetId="10">'cluster eigendom'!$GT$245</definedName>
    <definedName name="Totaalverbruikm2_2049" localSheetId="11">'cluster huur'!$GT$245</definedName>
    <definedName name="Totaalverbruikm2_2049" localSheetId="7">Locatie1!$GT$245</definedName>
    <definedName name="Totaalverbruikm2_2049" localSheetId="8">Locatie2!$GT$245</definedName>
    <definedName name="Totaalverbruikm2_2049" localSheetId="9">Locatie3!$GT$245</definedName>
    <definedName name="Totaalverbruikm2_2050" localSheetId="4">Blanco!$GZ$245</definedName>
    <definedName name="Totaalverbruikm2_2050" localSheetId="10">'cluster eigendom'!$GZ$245</definedName>
    <definedName name="Totaalverbruikm2_2050" localSheetId="11">'cluster huur'!$GZ$245</definedName>
    <definedName name="Totaalverbruikm2_2050" localSheetId="7">Locatie1!$GZ$245</definedName>
    <definedName name="Totaalverbruikm2_2050" localSheetId="8">Locatie2!$GZ$245</definedName>
    <definedName name="Totaalverbruikm2_2050" localSheetId="9">Locatie3!$GZ$245</definedName>
    <definedName name="Totaleinkoop_2018" localSheetId="4">Blanco!$U$237</definedName>
    <definedName name="Totaleinkoop_2018" localSheetId="10">'cluster eigendom'!$U$237</definedName>
    <definedName name="Totaleinkoop_2018" localSheetId="11">'cluster huur'!$U$237</definedName>
    <definedName name="Totaleinkoop_2018" localSheetId="7">Locatie1!$U$237</definedName>
    <definedName name="Totaleinkoop_2018" localSheetId="8">Locatie2!$U$237</definedName>
    <definedName name="Totaleinkoop_2018" localSheetId="9">Locatie3!$U$237</definedName>
    <definedName name="Totaleinkoop_2019" localSheetId="4">Blanco!$V$237</definedName>
    <definedName name="Totaleinkoop_2019" localSheetId="10">'cluster eigendom'!$V$237</definedName>
    <definedName name="Totaleinkoop_2019" localSheetId="11">'cluster huur'!$V$237</definedName>
    <definedName name="Totaleinkoop_2019" localSheetId="7">Locatie1!$V$237</definedName>
    <definedName name="Totaleinkoop_2019" localSheetId="8">Locatie2!$V$237</definedName>
    <definedName name="Totaleinkoop_2019" localSheetId="9">Locatie3!$V$237</definedName>
    <definedName name="Totaleinkoop_2020" localSheetId="4">Blanco!$AB$237</definedName>
    <definedName name="Totaleinkoop_2020" localSheetId="10">'cluster eigendom'!$AB$237</definedName>
    <definedName name="Totaleinkoop_2020" localSheetId="11">'cluster huur'!$AB$237</definedName>
    <definedName name="Totaleinkoop_2020" localSheetId="7">Locatie1!$AB$237</definedName>
    <definedName name="Totaleinkoop_2020" localSheetId="8">Locatie2!$AB$237</definedName>
    <definedName name="Totaleinkoop_2020" localSheetId="9">Locatie3!$AB$237</definedName>
    <definedName name="Totaleinkoop_2021" localSheetId="4">Blanco!$AH$237</definedName>
    <definedName name="Totaleinkoop_2021" localSheetId="10">'cluster eigendom'!$AH$237</definedName>
    <definedName name="Totaleinkoop_2021" localSheetId="11">'cluster huur'!$AH$237</definedName>
    <definedName name="Totaleinkoop_2021" localSheetId="7">Locatie1!$AH$237</definedName>
    <definedName name="Totaleinkoop_2021" localSheetId="8">Locatie2!$AH$237</definedName>
    <definedName name="Totaleinkoop_2021" localSheetId="9">Locatie3!$AH$237</definedName>
    <definedName name="Totaleinkoop_2022" localSheetId="4">Blanco!$AN$237</definedName>
    <definedName name="Totaleinkoop_2022" localSheetId="10">'cluster eigendom'!$AN$237</definedName>
    <definedName name="Totaleinkoop_2022" localSheetId="11">'cluster huur'!$AN$237</definedName>
    <definedName name="Totaleinkoop_2022" localSheetId="7">Locatie1!$AN$237</definedName>
    <definedName name="Totaleinkoop_2022" localSheetId="8">Locatie2!$AN$237</definedName>
    <definedName name="Totaleinkoop_2022" localSheetId="9">Locatie3!$AN$237</definedName>
    <definedName name="Totaleinkoop_2023" localSheetId="4">Blanco!$AT$237</definedName>
    <definedName name="Totaleinkoop_2023" localSheetId="10">'cluster eigendom'!$AT$237</definedName>
    <definedName name="Totaleinkoop_2023" localSheetId="11">'cluster huur'!$AT$237</definedName>
    <definedName name="Totaleinkoop_2023" localSheetId="7">Locatie1!$AT$237</definedName>
    <definedName name="Totaleinkoop_2023" localSheetId="8">Locatie2!$AT$237</definedName>
    <definedName name="Totaleinkoop_2023" localSheetId="9">Locatie3!$AT$237</definedName>
    <definedName name="Totaleinkoop_2024" localSheetId="4">Blanco!$AZ$237</definedName>
    <definedName name="Totaleinkoop_2024" localSheetId="10">'cluster eigendom'!$AZ$237</definedName>
    <definedName name="Totaleinkoop_2024" localSheetId="11">'cluster huur'!$AZ$237</definedName>
    <definedName name="Totaleinkoop_2024" localSheetId="7">Locatie1!$AZ$237</definedName>
    <definedName name="Totaleinkoop_2024" localSheetId="8">Locatie2!$AZ$237</definedName>
    <definedName name="Totaleinkoop_2024" localSheetId="9">Locatie3!$AZ$237</definedName>
    <definedName name="Totaleinkoop_2025" localSheetId="4">Blanco!$BF$237</definedName>
    <definedName name="Totaleinkoop_2025" localSheetId="10">'cluster eigendom'!$BF$237</definedName>
    <definedName name="Totaleinkoop_2025" localSheetId="11">'cluster huur'!$BF$237</definedName>
    <definedName name="Totaleinkoop_2025" localSheetId="7">Locatie1!$BF$237</definedName>
    <definedName name="Totaleinkoop_2025" localSheetId="8">Locatie2!$BF$237</definedName>
    <definedName name="Totaleinkoop_2025" localSheetId="9">Locatie3!$BF$237</definedName>
    <definedName name="Totaleinkoop_2026" localSheetId="4">Blanco!$BL$237</definedName>
    <definedName name="Totaleinkoop_2026" localSheetId="10">'cluster eigendom'!$BL$237</definedName>
    <definedName name="Totaleinkoop_2026" localSheetId="11">'cluster huur'!$BL$237</definedName>
    <definedName name="Totaleinkoop_2026" localSheetId="7">Locatie1!$BL$237</definedName>
    <definedName name="Totaleinkoop_2026" localSheetId="8">Locatie2!$BL$237</definedName>
    <definedName name="Totaleinkoop_2026" localSheetId="9">Locatie3!$BL$237</definedName>
    <definedName name="Totaleinkoop_2027" localSheetId="4">Blanco!$BR$237</definedName>
    <definedName name="Totaleinkoop_2027" localSheetId="10">'cluster eigendom'!$BR$237</definedName>
    <definedName name="Totaleinkoop_2027" localSheetId="11">'cluster huur'!$BR$237</definedName>
    <definedName name="Totaleinkoop_2027" localSheetId="7">Locatie1!$BR$237</definedName>
    <definedName name="Totaleinkoop_2027" localSheetId="8">Locatie2!$BR$237</definedName>
    <definedName name="Totaleinkoop_2027" localSheetId="9">Locatie3!$BR$237</definedName>
    <definedName name="Totaleinkoop_2028" localSheetId="4">Blanco!$BX$237</definedName>
    <definedName name="Totaleinkoop_2028" localSheetId="10">'cluster eigendom'!$BX$237</definedName>
    <definedName name="Totaleinkoop_2028" localSheetId="11">'cluster huur'!$BX$237</definedName>
    <definedName name="Totaleinkoop_2028" localSheetId="7">Locatie1!$BX$237</definedName>
    <definedName name="Totaleinkoop_2028" localSheetId="8">Locatie2!$BX$237</definedName>
    <definedName name="Totaleinkoop_2028" localSheetId="9">Locatie3!$BX$237</definedName>
    <definedName name="Totaleinkoop_2029" localSheetId="4">Blanco!$CD$237</definedName>
    <definedName name="Totaleinkoop_2029" localSheetId="10">'cluster eigendom'!$CD$237</definedName>
    <definedName name="Totaleinkoop_2029" localSheetId="11">'cluster huur'!$CD$237</definedName>
    <definedName name="Totaleinkoop_2029" localSheetId="7">Locatie1!$CD$237</definedName>
    <definedName name="Totaleinkoop_2029" localSheetId="8">Locatie2!$CD$237</definedName>
    <definedName name="Totaleinkoop_2029" localSheetId="9">Locatie3!$CD$237</definedName>
    <definedName name="Totaleinkoop_2030" localSheetId="4">Blanco!$CJ$237</definedName>
    <definedName name="Totaleinkoop_2030" localSheetId="10">'cluster eigendom'!$CJ$237</definedName>
    <definedName name="Totaleinkoop_2030" localSheetId="11">'cluster huur'!$CJ$237</definedName>
    <definedName name="Totaleinkoop_2030" localSheetId="7">Locatie1!$CJ$237</definedName>
    <definedName name="Totaleinkoop_2030" localSheetId="8">Locatie2!$CJ$237</definedName>
    <definedName name="Totaleinkoop_2030" localSheetId="9">Locatie3!$CJ$237</definedName>
    <definedName name="Totaleinkoop_2031" localSheetId="4">Blanco!$CP$237</definedName>
    <definedName name="Totaleinkoop_2031" localSheetId="10">'cluster eigendom'!$CP$237</definedName>
    <definedName name="Totaleinkoop_2031" localSheetId="11">'cluster huur'!$CP$237</definedName>
    <definedName name="Totaleinkoop_2031" localSheetId="7">Locatie1!$CP$237</definedName>
    <definedName name="Totaleinkoop_2031" localSheetId="8">Locatie2!$CP$237</definedName>
    <definedName name="Totaleinkoop_2031" localSheetId="9">Locatie3!$CP$237</definedName>
    <definedName name="Totaleinkoop_2032" localSheetId="4">Blanco!$CV$237</definedName>
    <definedName name="Totaleinkoop_2032" localSheetId="10">'cluster eigendom'!$CV$237</definedName>
    <definedName name="Totaleinkoop_2032" localSheetId="11">'cluster huur'!$CV$237</definedName>
    <definedName name="Totaleinkoop_2032" localSheetId="7">Locatie1!$CV$237</definedName>
    <definedName name="Totaleinkoop_2032" localSheetId="8">Locatie2!$CV$237</definedName>
    <definedName name="Totaleinkoop_2032" localSheetId="9">Locatie3!$CV$237</definedName>
    <definedName name="Totaleinkoop_2033" localSheetId="4">Blanco!$DB$237</definedName>
    <definedName name="Totaleinkoop_2033" localSheetId="10">'cluster eigendom'!$DB$237</definedName>
    <definedName name="Totaleinkoop_2033" localSheetId="11">'cluster huur'!$DB$237</definedName>
    <definedName name="Totaleinkoop_2033" localSheetId="7">Locatie1!$DB$237</definedName>
    <definedName name="Totaleinkoop_2033" localSheetId="8">Locatie2!$DB$237</definedName>
    <definedName name="Totaleinkoop_2033" localSheetId="9">Locatie3!$DB$237</definedName>
    <definedName name="Totaleinkoop_2034" localSheetId="4">Blanco!$DH$237</definedName>
    <definedName name="Totaleinkoop_2034" localSheetId="10">'cluster eigendom'!$DH$237</definedName>
    <definedName name="Totaleinkoop_2034" localSheetId="11">'cluster huur'!$DH$237</definedName>
    <definedName name="Totaleinkoop_2034" localSheetId="7">Locatie1!$DH$237</definedName>
    <definedName name="Totaleinkoop_2034" localSheetId="8">Locatie2!$DH$237</definedName>
    <definedName name="Totaleinkoop_2034" localSheetId="9">Locatie3!$DH$237</definedName>
    <definedName name="Totaleinkoop_2035" localSheetId="4">Blanco!$DN$237</definedName>
    <definedName name="Totaleinkoop_2035" localSheetId="10">'cluster eigendom'!$DN$237</definedName>
    <definedName name="Totaleinkoop_2035" localSheetId="11">'cluster huur'!$DN$237</definedName>
    <definedName name="Totaleinkoop_2035" localSheetId="7">Locatie1!$DN$237</definedName>
    <definedName name="Totaleinkoop_2035" localSheetId="8">Locatie2!$DN$237</definedName>
    <definedName name="Totaleinkoop_2035" localSheetId="9">Locatie3!$DN$237</definedName>
    <definedName name="Totaleinkoop_2036" localSheetId="4">Blanco!$DT$237</definedName>
    <definedName name="Totaleinkoop_2036" localSheetId="10">'cluster eigendom'!$DT$237</definedName>
    <definedName name="Totaleinkoop_2036" localSheetId="11">'cluster huur'!$DT$237</definedName>
    <definedName name="Totaleinkoop_2036" localSheetId="7">Locatie1!$DT$237</definedName>
    <definedName name="Totaleinkoop_2036" localSheetId="8">Locatie2!$DT$237</definedName>
    <definedName name="Totaleinkoop_2036" localSheetId="9">Locatie3!$DT$237</definedName>
    <definedName name="Totaleinkoop_2037" localSheetId="4">Blanco!$DZ$237</definedName>
    <definedName name="Totaleinkoop_2037" localSheetId="10">'cluster eigendom'!$DZ$237</definedName>
    <definedName name="Totaleinkoop_2037" localSheetId="11">'cluster huur'!$DZ$237</definedName>
    <definedName name="Totaleinkoop_2037" localSheetId="7">Locatie1!$DZ$237</definedName>
    <definedName name="Totaleinkoop_2037" localSheetId="8">Locatie2!$DZ$237</definedName>
    <definedName name="Totaleinkoop_2037" localSheetId="9">Locatie3!$DZ$237</definedName>
    <definedName name="Totaleinkoop_2038" localSheetId="4">Blanco!$EF$237</definedName>
    <definedName name="Totaleinkoop_2038" localSheetId="10">'cluster eigendom'!$EF$237</definedName>
    <definedName name="Totaleinkoop_2038" localSheetId="11">'cluster huur'!$EF$237</definedName>
    <definedName name="Totaleinkoop_2038" localSheetId="7">Locatie1!$EF$237</definedName>
    <definedName name="Totaleinkoop_2038" localSheetId="8">Locatie2!$EF$237</definedName>
    <definedName name="Totaleinkoop_2038" localSheetId="9">Locatie3!$EF$237</definedName>
    <definedName name="Totaleinkoop_2039" localSheetId="4">Blanco!$EL$237</definedName>
    <definedName name="Totaleinkoop_2039" localSheetId="10">'cluster eigendom'!$EL$237</definedName>
    <definedName name="Totaleinkoop_2039" localSheetId="11">'cluster huur'!$EL$237</definedName>
    <definedName name="Totaleinkoop_2039" localSheetId="7">Locatie1!$EL$237</definedName>
    <definedName name="Totaleinkoop_2039" localSheetId="8">Locatie2!$EL$237</definedName>
    <definedName name="Totaleinkoop_2039" localSheetId="9">Locatie3!$EL$237</definedName>
    <definedName name="Totaleinkoop_2040" localSheetId="4">Blanco!$ER$237</definedName>
    <definedName name="Totaleinkoop_2040" localSheetId="10">'cluster eigendom'!$ER$237</definedName>
    <definedName name="Totaleinkoop_2040" localSheetId="11">'cluster huur'!$ER$237</definedName>
    <definedName name="Totaleinkoop_2040" localSheetId="7">Locatie1!$ER$237</definedName>
    <definedName name="Totaleinkoop_2040" localSheetId="8">Locatie2!$ER$237</definedName>
    <definedName name="Totaleinkoop_2040" localSheetId="9">Locatie3!$ER$237</definedName>
    <definedName name="Totaleinkoop_2041" localSheetId="4">Blanco!$EX$237</definedName>
    <definedName name="Totaleinkoop_2041" localSheetId="10">'cluster eigendom'!$EX$237</definedName>
    <definedName name="Totaleinkoop_2041" localSheetId="11">'cluster huur'!$EX$237</definedName>
    <definedName name="Totaleinkoop_2041" localSheetId="7">Locatie1!$EX$237</definedName>
    <definedName name="Totaleinkoop_2041" localSheetId="8">Locatie2!$EX$237</definedName>
    <definedName name="Totaleinkoop_2041" localSheetId="9">Locatie3!$EX$237</definedName>
    <definedName name="Totaleinkoop_2042" localSheetId="4">Blanco!$FD$237</definedName>
    <definedName name="Totaleinkoop_2042" localSheetId="10">'cluster eigendom'!$FD$237</definedName>
    <definedName name="Totaleinkoop_2042" localSheetId="11">'cluster huur'!$FD$237</definedName>
    <definedName name="Totaleinkoop_2042" localSheetId="7">Locatie1!$FD$237</definedName>
    <definedName name="Totaleinkoop_2042" localSheetId="8">Locatie2!$FD$237</definedName>
    <definedName name="Totaleinkoop_2042" localSheetId="9">Locatie3!$FD$237</definedName>
    <definedName name="Totaleinkoop_2043" localSheetId="4">Blanco!$FJ$237</definedName>
    <definedName name="Totaleinkoop_2043" localSheetId="10">'cluster eigendom'!$FJ$237</definedName>
    <definedName name="Totaleinkoop_2043" localSheetId="11">'cluster huur'!$FJ$237</definedName>
    <definedName name="Totaleinkoop_2043" localSheetId="7">Locatie1!$FJ$237</definedName>
    <definedName name="Totaleinkoop_2043" localSheetId="8">Locatie2!$FJ$237</definedName>
    <definedName name="Totaleinkoop_2043" localSheetId="9">Locatie3!$FJ$237</definedName>
    <definedName name="Totaleinkoop_2044" localSheetId="4">Blanco!$FP$237</definedName>
    <definedName name="Totaleinkoop_2044" localSheetId="10">'cluster eigendom'!$FP$237</definedName>
    <definedName name="Totaleinkoop_2044" localSheetId="11">'cluster huur'!$FP$237</definedName>
    <definedName name="Totaleinkoop_2044" localSheetId="7">Locatie1!$FP$237</definedName>
    <definedName name="Totaleinkoop_2044" localSheetId="8">Locatie2!$FP$237</definedName>
    <definedName name="Totaleinkoop_2044" localSheetId="9">Locatie3!$FP$237</definedName>
    <definedName name="Totaleinkoop_2045" localSheetId="4">Blanco!$FV$237</definedName>
    <definedName name="Totaleinkoop_2045" localSheetId="10">'cluster eigendom'!$FV$237</definedName>
    <definedName name="Totaleinkoop_2045" localSheetId="11">'cluster huur'!$FV$237</definedName>
    <definedName name="Totaleinkoop_2045" localSheetId="7">Locatie1!$FV$237</definedName>
    <definedName name="Totaleinkoop_2045" localSheetId="8">Locatie2!$FV$237</definedName>
    <definedName name="Totaleinkoop_2045" localSheetId="9">Locatie3!$FV$237</definedName>
    <definedName name="Totaleinkoop_2046" localSheetId="4">Blanco!$GB$237</definedName>
    <definedName name="Totaleinkoop_2046" localSheetId="10">'cluster eigendom'!$GB$237</definedName>
    <definedName name="Totaleinkoop_2046" localSheetId="11">'cluster huur'!$GB$237</definedName>
    <definedName name="Totaleinkoop_2046" localSheetId="7">Locatie1!$GB$237</definedName>
    <definedName name="Totaleinkoop_2046" localSheetId="8">Locatie2!$GB$237</definedName>
    <definedName name="Totaleinkoop_2046" localSheetId="9">Locatie3!$GB$237</definedName>
    <definedName name="Totaleinkoop_2047" localSheetId="4">Blanco!$GH$237</definedName>
    <definedName name="Totaleinkoop_2047" localSheetId="10">'cluster eigendom'!$GH$237</definedName>
    <definedName name="Totaleinkoop_2047" localSheetId="11">'cluster huur'!$GH$237</definedName>
    <definedName name="Totaleinkoop_2047" localSheetId="7">Locatie1!$GH$237</definedName>
    <definedName name="Totaleinkoop_2047" localSheetId="8">Locatie2!$GH$237</definedName>
    <definedName name="Totaleinkoop_2047" localSheetId="9">Locatie3!$GH$237</definedName>
    <definedName name="Totaleinkoop_2048" localSheetId="4">Blanco!$GN$237</definedName>
    <definedName name="Totaleinkoop_2048" localSheetId="10">'cluster eigendom'!$GN$237</definedName>
    <definedName name="Totaleinkoop_2048" localSheetId="11">'cluster huur'!$GN$237</definedName>
    <definedName name="Totaleinkoop_2048" localSheetId="7">Locatie1!$GN$237</definedName>
    <definedName name="Totaleinkoop_2048" localSheetId="8">Locatie2!$GN$237</definedName>
    <definedName name="Totaleinkoop_2048" localSheetId="9">Locatie3!$GN$237</definedName>
    <definedName name="Totaleinkoop_2049" localSheetId="4">Blanco!$GT$237</definedName>
    <definedName name="Totaleinkoop_2049" localSheetId="10">'cluster eigendom'!$GT$237</definedName>
    <definedName name="Totaleinkoop_2049" localSheetId="11">'cluster huur'!$GT$237</definedName>
    <definedName name="Totaleinkoop_2049" localSheetId="7">Locatie1!$GT$237</definedName>
    <definedName name="Totaleinkoop_2049" localSheetId="8">Locatie2!$GT$237</definedName>
    <definedName name="Totaleinkoop_2049" localSheetId="9">Locatie3!$GT$237</definedName>
    <definedName name="Totaleinkoop_2050" localSheetId="4">Blanco!$GZ$237</definedName>
    <definedName name="Totaleinkoop_2050" localSheetId="10">'cluster eigendom'!$GZ$237</definedName>
    <definedName name="Totaleinkoop_2050" localSheetId="11">'cluster huur'!$GZ$237</definedName>
    <definedName name="Totaleinkoop_2050" localSheetId="7">Locatie1!$GZ$237</definedName>
    <definedName name="Totaleinkoop_2050" localSheetId="8">Locatie2!$GZ$237</definedName>
    <definedName name="Totaleinkoop_2050" localSheetId="9">Locatie3!$GZ$237</definedName>
    <definedName name="Totaleinkoopm2_2018" localSheetId="4">Blanco!$U$238</definedName>
    <definedName name="Totaleinkoopm2_2018" localSheetId="10">'cluster eigendom'!$U$238</definedName>
    <definedName name="Totaleinkoopm2_2018" localSheetId="11">'cluster huur'!$U$238</definedName>
    <definedName name="Totaleinkoopm2_2018" localSheetId="7">Locatie1!$U$238</definedName>
    <definedName name="Totaleinkoopm2_2018" localSheetId="8">Locatie2!$U$238</definedName>
    <definedName name="Totaleinkoopm2_2018" localSheetId="9">Locatie3!$U$238</definedName>
    <definedName name="Totaleinkoopm2_2019" localSheetId="4">Blanco!$V$238</definedName>
    <definedName name="Totaleinkoopm2_2019" localSheetId="10">'cluster eigendom'!$V$238</definedName>
    <definedName name="Totaleinkoopm2_2019" localSheetId="11">'cluster huur'!$V$238</definedName>
    <definedName name="Totaleinkoopm2_2019" localSheetId="7">Locatie1!$V$238</definedName>
    <definedName name="Totaleinkoopm2_2019" localSheetId="8">Locatie2!$V$238</definedName>
    <definedName name="Totaleinkoopm2_2019" localSheetId="9">Locatie3!$V$238</definedName>
    <definedName name="Totaleinkoopm2_2020" localSheetId="4">Blanco!$AB$238</definedName>
    <definedName name="Totaleinkoopm2_2020" localSheetId="10">'cluster eigendom'!$AB$238</definedName>
    <definedName name="Totaleinkoopm2_2020" localSheetId="11">'cluster huur'!$AB$238</definedName>
    <definedName name="Totaleinkoopm2_2020" localSheetId="7">Locatie1!$AB$238</definedName>
    <definedName name="Totaleinkoopm2_2020" localSheetId="8">Locatie2!$AB$238</definedName>
    <definedName name="Totaleinkoopm2_2020" localSheetId="9">Locatie3!$AB$238</definedName>
    <definedName name="Totaleinkoopm2_2021" localSheetId="4">Blanco!$AH$238</definedName>
    <definedName name="Totaleinkoopm2_2021" localSheetId="10">'cluster eigendom'!$AH$238</definedName>
    <definedName name="Totaleinkoopm2_2021" localSheetId="11">'cluster huur'!$AH$238</definedName>
    <definedName name="Totaleinkoopm2_2021" localSheetId="7">Locatie1!$AH$238</definedName>
    <definedName name="Totaleinkoopm2_2021" localSheetId="8">Locatie2!$AH$238</definedName>
    <definedName name="Totaleinkoopm2_2021" localSheetId="9">Locatie3!$AH$238</definedName>
    <definedName name="Totaleinkoopm2_2022" localSheetId="4">Blanco!$AN$238</definedName>
    <definedName name="Totaleinkoopm2_2022" localSheetId="10">'cluster eigendom'!$AN$238</definedName>
    <definedName name="Totaleinkoopm2_2022" localSheetId="11">'cluster huur'!$AN$238</definedName>
    <definedName name="Totaleinkoopm2_2022" localSheetId="7">Locatie1!$AN$238</definedName>
    <definedName name="Totaleinkoopm2_2022" localSheetId="8">Locatie2!$AN$238</definedName>
    <definedName name="Totaleinkoopm2_2022" localSheetId="9">Locatie3!$AN$238</definedName>
    <definedName name="Totaleinkoopm2_2023" localSheetId="4">Blanco!$AT$238</definedName>
    <definedName name="Totaleinkoopm2_2023" localSheetId="10">'cluster eigendom'!$AT$238</definedName>
    <definedName name="Totaleinkoopm2_2023" localSheetId="11">'cluster huur'!$AT$238</definedName>
    <definedName name="Totaleinkoopm2_2023" localSheetId="7">Locatie1!$AT$238</definedName>
    <definedName name="Totaleinkoopm2_2023" localSheetId="8">Locatie2!$AT$238</definedName>
    <definedName name="Totaleinkoopm2_2023" localSheetId="9">Locatie3!$AT$238</definedName>
    <definedName name="Totaleinkoopm2_2024" localSheetId="4">Blanco!$AZ$238</definedName>
    <definedName name="Totaleinkoopm2_2024" localSheetId="10">'cluster eigendom'!$AZ$238</definedName>
    <definedName name="Totaleinkoopm2_2024" localSheetId="11">'cluster huur'!$AZ$238</definedName>
    <definedName name="Totaleinkoopm2_2024" localSheetId="7">Locatie1!$AZ$238</definedName>
    <definedName name="Totaleinkoopm2_2024" localSheetId="8">Locatie2!$AZ$238</definedName>
    <definedName name="Totaleinkoopm2_2024" localSheetId="9">Locatie3!$AZ$238</definedName>
    <definedName name="Totaleinkoopm2_2025" localSheetId="4">Blanco!$BF$238</definedName>
    <definedName name="Totaleinkoopm2_2025" localSheetId="10">'cluster eigendom'!$BF$238</definedName>
    <definedName name="Totaleinkoopm2_2025" localSheetId="11">'cluster huur'!$BF$238</definedName>
    <definedName name="Totaleinkoopm2_2025" localSheetId="7">Locatie1!$BF$238</definedName>
    <definedName name="Totaleinkoopm2_2025" localSheetId="8">Locatie2!$BF$238</definedName>
    <definedName name="Totaleinkoopm2_2025" localSheetId="9">Locatie3!$BF$238</definedName>
    <definedName name="Totaleinkoopm2_2026" localSheetId="4">Blanco!$BL$238</definedName>
    <definedName name="Totaleinkoopm2_2026" localSheetId="10">'cluster eigendom'!$BL$238</definedName>
    <definedName name="Totaleinkoopm2_2026" localSheetId="11">'cluster huur'!$BL$238</definedName>
    <definedName name="Totaleinkoopm2_2026" localSheetId="7">Locatie1!$BL$238</definedName>
    <definedName name="Totaleinkoopm2_2026" localSheetId="8">Locatie2!$BL$238</definedName>
    <definedName name="Totaleinkoopm2_2026" localSheetId="9">Locatie3!$BL$238</definedName>
    <definedName name="Totaleinkoopm2_2027" localSheetId="4">Blanco!$BR$238</definedName>
    <definedName name="Totaleinkoopm2_2027" localSheetId="10">'cluster eigendom'!$BR$238</definedName>
    <definedName name="Totaleinkoopm2_2027" localSheetId="11">'cluster huur'!$BR$238</definedName>
    <definedName name="Totaleinkoopm2_2027" localSheetId="7">Locatie1!$BR$238</definedName>
    <definedName name="Totaleinkoopm2_2027" localSheetId="8">Locatie2!$BR$238</definedName>
    <definedName name="Totaleinkoopm2_2027" localSheetId="9">Locatie3!$BR$238</definedName>
    <definedName name="Totaleinkoopm2_2028" localSheetId="4">Blanco!$BX$238</definedName>
    <definedName name="Totaleinkoopm2_2028" localSheetId="10">'cluster eigendom'!$BX$238</definedName>
    <definedName name="Totaleinkoopm2_2028" localSheetId="11">'cluster huur'!$BX$238</definedName>
    <definedName name="Totaleinkoopm2_2028" localSheetId="7">Locatie1!$BX$238</definedName>
    <definedName name="Totaleinkoopm2_2028" localSheetId="8">Locatie2!$BX$238</definedName>
    <definedName name="Totaleinkoopm2_2028" localSheetId="9">Locatie3!$BX$238</definedName>
    <definedName name="Totaleinkoopm2_2029" localSheetId="4">Blanco!$CD$238</definedName>
    <definedName name="Totaleinkoopm2_2029" localSheetId="10">'cluster eigendom'!$CD$238</definedName>
    <definedName name="Totaleinkoopm2_2029" localSheetId="11">'cluster huur'!$CD$238</definedName>
    <definedName name="Totaleinkoopm2_2029" localSheetId="7">Locatie1!$CD$238</definedName>
    <definedName name="Totaleinkoopm2_2029" localSheetId="8">Locatie2!$CD$238</definedName>
    <definedName name="Totaleinkoopm2_2029" localSheetId="9">Locatie3!$CD$238</definedName>
    <definedName name="Totaleinkoopm2_2030" localSheetId="4">Blanco!$CJ$238</definedName>
    <definedName name="Totaleinkoopm2_2030" localSheetId="10">'cluster eigendom'!$CJ$238</definedName>
    <definedName name="Totaleinkoopm2_2030" localSheetId="11">'cluster huur'!$CJ$238</definedName>
    <definedName name="Totaleinkoopm2_2030" localSheetId="7">Locatie1!$CJ$238</definedName>
    <definedName name="Totaleinkoopm2_2030" localSheetId="8">Locatie2!$CJ$238</definedName>
    <definedName name="Totaleinkoopm2_2030" localSheetId="9">Locatie3!$CJ$238</definedName>
    <definedName name="Totaleinkoopm2_2031" localSheetId="4">Blanco!$CP$238</definedName>
    <definedName name="Totaleinkoopm2_2031" localSheetId="10">'cluster eigendom'!$CP$238</definedName>
    <definedName name="Totaleinkoopm2_2031" localSheetId="11">'cluster huur'!$CP$238</definedName>
    <definedName name="Totaleinkoopm2_2031" localSheetId="7">Locatie1!$CP$238</definedName>
    <definedName name="Totaleinkoopm2_2031" localSheetId="8">Locatie2!$CP$238</definedName>
    <definedName name="Totaleinkoopm2_2031" localSheetId="9">Locatie3!$CP$238</definedName>
    <definedName name="Totaleinkoopm2_2032" localSheetId="4">Blanco!$CV$238</definedName>
    <definedName name="Totaleinkoopm2_2032" localSheetId="10">'cluster eigendom'!$CV$238</definedName>
    <definedName name="Totaleinkoopm2_2032" localSheetId="11">'cluster huur'!$CV$238</definedName>
    <definedName name="Totaleinkoopm2_2032" localSheetId="7">Locatie1!$CV$238</definedName>
    <definedName name="Totaleinkoopm2_2032" localSheetId="8">Locatie2!$CV$238</definedName>
    <definedName name="Totaleinkoopm2_2032" localSheetId="9">Locatie3!$CV$238</definedName>
    <definedName name="Totaleinkoopm2_2033" localSheetId="4">Blanco!$DB$238</definedName>
    <definedName name="Totaleinkoopm2_2033" localSheetId="10">'cluster eigendom'!$DB$238</definedName>
    <definedName name="Totaleinkoopm2_2033" localSheetId="11">'cluster huur'!$DB$238</definedName>
    <definedName name="Totaleinkoopm2_2033" localSheetId="7">Locatie1!$DB$238</definedName>
    <definedName name="Totaleinkoopm2_2033" localSheetId="8">Locatie2!$DB$238</definedName>
    <definedName name="Totaleinkoopm2_2033" localSheetId="9">Locatie3!$DB$238</definedName>
    <definedName name="Totaleinkoopm2_2034" localSheetId="4">Blanco!$DH$238</definedName>
    <definedName name="Totaleinkoopm2_2034" localSheetId="10">'cluster eigendom'!$DH$238</definedName>
    <definedName name="Totaleinkoopm2_2034" localSheetId="11">'cluster huur'!$DH$238</definedName>
    <definedName name="Totaleinkoopm2_2034" localSheetId="7">Locatie1!$DH$238</definedName>
    <definedName name="Totaleinkoopm2_2034" localSheetId="8">Locatie2!$DH$238</definedName>
    <definedName name="Totaleinkoopm2_2034" localSheetId="9">Locatie3!$DH$238</definedName>
    <definedName name="Totaleinkoopm2_2035" localSheetId="4">Blanco!$DN$238</definedName>
    <definedName name="Totaleinkoopm2_2035" localSheetId="10">'cluster eigendom'!$DN$238</definedName>
    <definedName name="Totaleinkoopm2_2035" localSheetId="11">'cluster huur'!$DN$238</definedName>
    <definedName name="Totaleinkoopm2_2035" localSheetId="7">Locatie1!$DN$238</definedName>
    <definedName name="Totaleinkoopm2_2035" localSheetId="8">Locatie2!$DN$238</definedName>
    <definedName name="Totaleinkoopm2_2035" localSheetId="9">Locatie3!$DN$238</definedName>
    <definedName name="Totaleinkoopm2_2036" localSheetId="4">Blanco!$DT$238</definedName>
    <definedName name="Totaleinkoopm2_2036" localSheetId="10">'cluster eigendom'!$DT$238</definedName>
    <definedName name="Totaleinkoopm2_2036" localSheetId="11">'cluster huur'!$DT$238</definedName>
    <definedName name="Totaleinkoopm2_2036" localSheetId="7">Locatie1!$DT$238</definedName>
    <definedName name="Totaleinkoopm2_2036" localSheetId="8">Locatie2!$DT$238</definedName>
    <definedName name="Totaleinkoopm2_2036" localSheetId="9">Locatie3!$DT$238</definedName>
    <definedName name="Totaleinkoopm2_2037" localSheetId="4">Blanco!$DZ$238</definedName>
    <definedName name="Totaleinkoopm2_2037" localSheetId="10">'cluster eigendom'!$DZ$238</definedName>
    <definedName name="Totaleinkoopm2_2037" localSheetId="11">'cluster huur'!$DZ$238</definedName>
    <definedName name="Totaleinkoopm2_2037" localSheetId="7">Locatie1!$DZ$238</definedName>
    <definedName name="Totaleinkoopm2_2037" localSheetId="8">Locatie2!$DZ$238</definedName>
    <definedName name="Totaleinkoopm2_2037" localSheetId="9">Locatie3!$DZ$238</definedName>
    <definedName name="Totaleinkoopm2_2038" localSheetId="4">Blanco!$EF$238</definedName>
    <definedName name="Totaleinkoopm2_2038" localSheetId="10">'cluster eigendom'!$EF$238</definedName>
    <definedName name="Totaleinkoopm2_2038" localSheetId="11">'cluster huur'!$EF$238</definedName>
    <definedName name="Totaleinkoopm2_2038" localSheetId="7">Locatie1!$EF$238</definedName>
    <definedName name="Totaleinkoopm2_2038" localSheetId="8">Locatie2!$EF$238</definedName>
    <definedName name="Totaleinkoopm2_2038" localSheetId="9">Locatie3!$EF$238</definedName>
    <definedName name="Totaleinkoopm2_2039" localSheetId="4">Blanco!$EL$238</definedName>
    <definedName name="Totaleinkoopm2_2039" localSheetId="10">'cluster eigendom'!$EL$238</definedName>
    <definedName name="Totaleinkoopm2_2039" localSheetId="11">'cluster huur'!$EL$238</definedName>
    <definedName name="Totaleinkoopm2_2039" localSheetId="7">Locatie1!$EL$238</definedName>
    <definedName name="Totaleinkoopm2_2039" localSheetId="8">Locatie2!$EL$238</definedName>
    <definedName name="Totaleinkoopm2_2039" localSheetId="9">Locatie3!$EL$238</definedName>
    <definedName name="Totaleinkoopm2_2040" localSheetId="4">Blanco!$ER$238</definedName>
    <definedName name="Totaleinkoopm2_2040" localSheetId="10">'cluster eigendom'!$ER$238</definedName>
    <definedName name="Totaleinkoopm2_2040" localSheetId="11">'cluster huur'!$ER$238</definedName>
    <definedName name="Totaleinkoopm2_2040" localSheetId="7">Locatie1!$ER$238</definedName>
    <definedName name="Totaleinkoopm2_2040" localSheetId="8">Locatie2!$ER$238</definedName>
    <definedName name="Totaleinkoopm2_2040" localSheetId="9">Locatie3!$ER$238</definedName>
    <definedName name="Totaleinkoopm2_2041" localSheetId="4">Blanco!$EX$238</definedName>
    <definedName name="Totaleinkoopm2_2041" localSheetId="10">'cluster eigendom'!$EX$238</definedName>
    <definedName name="Totaleinkoopm2_2041" localSheetId="11">'cluster huur'!$EX$238</definedName>
    <definedName name="Totaleinkoopm2_2041" localSheetId="7">Locatie1!$EX$238</definedName>
    <definedName name="Totaleinkoopm2_2041" localSheetId="8">Locatie2!$EX$238</definedName>
    <definedName name="Totaleinkoopm2_2041" localSheetId="9">Locatie3!$EX$238</definedName>
    <definedName name="Totaleinkoopm2_2042" localSheetId="4">Blanco!$FD$238</definedName>
    <definedName name="Totaleinkoopm2_2042" localSheetId="10">'cluster eigendom'!$FD$238</definedName>
    <definedName name="Totaleinkoopm2_2042" localSheetId="11">'cluster huur'!$FD$238</definedName>
    <definedName name="Totaleinkoopm2_2042" localSheetId="7">Locatie1!$FD$238</definedName>
    <definedName name="Totaleinkoopm2_2042" localSheetId="8">Locatie2!$FD$238</definedName>
    <definedName name="Totaleinkoopm2_2042" localSheetId="9">Locatie3!$FD$238</definedName>
    <definedName name="Totaleinkoopm2_2043" localSheetId="4">Blanco!$FJ$238</definedName>
    <definedName name="Totaleinkoopm2_2043" localSheetId="10">'cluster eigendom'!$FJ$238</definedName>
    <definedName name="Totaleinkoopm2_2043" localSheetId="11">'cluster huur'!$FJ$238</definedName>
    <definedName name="Totaleinkoopm2_2043" localSheetId="7">Locatie1!$FJ$238</definedName>
    <definedName name="Totaleinkoopm2_2043" localSheetId="8">Locatie2!$FJ$238</definedName>
    <definedName name="Totaleinkoopm2_2043" localSheetId="9">Locatie3!$FJ$238</definedName>
    <definedName name="Totaleinkoopm2_2044" localSheetId="4">Blanco!$FP$238</definedName>
    <definedName name="Totaleinkoopm2_2044" localSheetId="10">'cluster eigendom'!$FP$238</definedName>
    <definedName name="Totaleinkoopm2_2044" localSheetId="11">'cluster huur'!$FP$238</definedName>
    <definedName name="Totaleinkoopm2_2044" localSheetId="7">Locatie1!$FP$238</definedName>
    <definedName name="Totaleinkoopm2_2044" localSheetId="8">Locatie2!$FP$238</definedName>
    <definedName name="Totaleinkoopm2_2044" localSheetId="9">Locatie3!$FP$238</definedName>
    <definedName name="Totaleinkoopm2_2045" localSheetId="4">Blanco!$FV$238</definedName>
    <definedName name="Totaleinkoopm2_2045" localSheetId="10">'cluster eigendom'!$FV$238</definedName>
    <definedName name="Totaleinkoopm2_2045" localSheetId="11">'cluster huur'!$FV$238</definedName>
    <definedName name="Totaleinkoopm2_2045" localSheetId="7">Locatie1!$FV$238</definedName>
    <definedName name="Totaleinkoopm2_2045" localSheetId="8">Locatie2!$FV$238</definedName>
    <definedName name="Totaleinkoopm2_2045" localSheetId="9">Locatie3!$FV$238</definedName>
    <definedName name="Totaleinkoopm2_2046" localSheetId="4">Blanco!$GB$238</definedName>
    <definedName name="Totaleinkoopm2_2046" localSheetId="10">'cluster eigendom'!$GB$238</definedName>
    <definedName name="Totaleinkoopm2_2046" localSheetId="11">'cluster huur'!$GB$238</definedName>
    <definedName name="Totaleinkoopm2_2046" localSheetId="7">Locatie1!$GB$238</definedName>
    <definedName name="Totaleinkoopm2_2046" localSheetId="8">Locatie2!$GB$238</definedName>
    <definedName name="Totaleinkoopm2_2046" localSheetId="9">Locatie3!$GB$238</definedName>
    <definedName name="Totaleinkoopm2_2047" localSheetId="4">Blanco!$GH$238</definedName>
    <definedName name="Totaleinkoopm2_2047" localSheetId="10">'cluster eigendom'!$GH$238</definedName>
    <definedName name="Totaleinkoopm2_2047" localSheetId="11">'cluster huur'!$GH$238</definedName>
    <definedName name="Totaleinkoopm2_2047" localSheetId="7">Locatie1!$GH$238</definedName>
    <definedName name="Totaleinkoopm2_2047" localSheetId="8">Locatie2!$GH$238</definedName>
    <definedName name="Totaleinkoopm2_2047" localSheetId="9">Locatie3!$GH$238</definedName>
    <definedName name="Totaleinkoopm2_2048" localSheetId="4">Blanco!$GN$238</definedName>
    <definedName name="Totaleinkoopm2_2048" localSheetId="10">'cluster eigendom'!$GN$238</definedName>
    <definedName name="Totaleinkoopm2_2048" localSheetId="11">'cluster huur'!$GN$238</definedName>
    <definedName name="Totaleinkoopm2_2048" localSheetId="7">Locatie1!$GN$238</definedName>
    <definedName name="Totaleinkoopm2_2048" localSheetId="8">Locatie2!$GN$238</definedName>
    <definedName name="Totaleinkoopm2_2048" localSheetId="9">Locatie3!$GN$238</definedName>
    <definedName name="Totaleinkoopm2_2049" localSheetId="4">Blanco!$GT$238</definedName>
    <definedName name="Totaleinkoopm2_2049" localSheetId="10">'cluster eigendom'!$GT$238</definedName>
    <definedName name="Totaleinkoopm2_2049" localSheetId="11">'cluster huur'!$GT$238</definedName>
    <definedName name="Totaleinkoopm2_2049" localSheetId="7">Locatie1!$GT$238</definedName>
    <definedName name="Totaleinkoopm2_2049" localSheetId="8">Locatie2!$GT$238</definedName>
    <definedName name="Totaleinkoopm2_2049" localSheetId="9">Locatie3!$GT$238</definedName>
    <definedName name="Totaleinkoopm2_2050" localSheetId="4">Blanco!$GZ$238</definedName>
    <definedName name="Totaleinkoopm2_2050" localSheetId="10">'cluster eigendom'!$GZ$238</definedName>
    <definedName name="Totaleinkoopm2_2050" localSheetId="11">'cluster huur'!$GZ$238</definedName>
    <definedName name="Totaleinkoopm2_2050" localSheetId="7">Locatie1!$GZ$238</definedName>
    <definedName name="Totaleinkoopm2_2050" localSheetId="8">Locatie2!$GZ$238</definedName>
    <definedName name="Totaleinkoopm2_2050" localSheetId="9">Locatie3!$GZ$238</definedName>
    <definedName name="Warmteinkoop_2018" localSheetId="4">Blanco!$U$235</definedName>
    <definedName name="Warmteinkoop_2018" localSheetId="10">'cluster eigendom'!$U$235</definedName>
    <definedName name="Warmteinkoop_2018" localSheetId="11">'cluster huur'!$U$235</definedName>
    <definedName name="Warmteinkoop_2018" localSheetId="7">Locatie1!$U$235</definedName>
    <definedName name="Warmteinkoop_2018" localSheetId="8">Locatie2!$U$235</definedName>
    <definedName name="Warmteinkoop_2018" localSheetId="9">Locatie3!$U$235</definedName>
    <definedName name="Warmteinkoop_2019" localSheetId="4">Blanco!$V$235</definedName>
    <definedName name="Warmteinkoop_2019" localSheetId="10">'cluster eigendom'!$V$235</definedName>
    <definedName name="Warmteinkoop_2019" localSheetId="11">'cluster huur'!$V$235</definedName>
    <definedName name="Warmteinkoop_2019" localSheetId="7">Locatie1!$V$235</definedName>
    <definedName name="Warmteinkoop_2019" localSheetId="8">Locatie2!$V$235</definedName>
    <definedName name="Warmteinkoop_2019" localSheetId="9">Locatie3!$V$235</definedName>
    <definedName name="Warmteinkoop_2020" localSheetId="4">Blanco!$AB$235</definedName>
    <definedName name="Warmteinkoop_2020" localSheetId="10">'cluster eigendom'!$AB$235</definedName>
    <definedName name="Warmteinkoop_2020" localSheetId="11">'cluster huur'!$AB$235</definedName>
    <definedName name="Warmteinkoop_2020" localSheetId="7">Locatie1!$AB$235</definedName>
    <definedName name="Warmteinkoop_2020" localSheetId="8">Locatie2!$AB$235</definedName>
    <definedName name="Warmteinkoop_2020" localSheetId="9">Locatie3!$AB$235</definedName>
    <definedName name="Warmteinkoop_2021" localSheetId="4">Blanco!$AH$235</definedName>
    <definedName name="Warmteinkoop_2021" localSheetId="10">'cluster eigendom'!$AH$235</definedName>
    <definedName name="Warmteinkoop_2021" localSheetId="11">'cluster huur'!$AH$235</definedName>
    <definedName name="Warmteinkoop_2021" localSheetId="7">Locatie1!$AH$235</definedName>
    <definedName name="Warmteinkoop_2021" localSheetId="8">Locatie2!$AH$235</definedName>
    <definedName name="Warmteinkoop_2021" localSheetId="9">Locatie3!$AH$235</definedName>
    <definedName name="Warmteinkoop_2022" localSheetId="4">Blanco!$AN$235</definedName>
    <definedName name="Warmteinkoop_2022" localSheetId="10">'cluster eigendom'!$AN$235</definedName>
    <definedName name="Warmteinkoop_2022" localSheetId="11">'cluster huur'!$AN$235</definedName>
    <definedName name="Warmteinkoop_2022" localSheetId="7">Locatie1!$AN$235</definedName>
    <definedName name="Warmteinkoop_2022" localSheetId="8">Locatie2!$AN$235</definedName>
    <definedName name="Warmteinkoop_2022" localSheetId="9">Locatie3!$AN$235</definedName>
    <definedName name="Warmteinkoop_2023" localSheetId="4">Blanco!$AT$235</definedName>
    <definedName name="Warmteinkoop_2023" localSheetId="10">'cluster eigendom'!$AT$235</definedName>
    <definedName name="Warmteinkoop_2023" localSheetId="11">'cluster huur'!$AT$235</definedName>
    <definedName name="Warmteinkoop_2023" localSheetId="7">Locatie1!$AT$235</definedName>
    <definedName name="Warmteinkoop_2023" localSheetId="8">Locatie2!$AT$235</definedName>
    <definedName name="Warmteinkoop_2023" localSheetId="9">Locatie3!$AT$235</definedName>
    <definedName name="Warmteinkoop_2024" localSheetId="4">Blanco!$AZ$235</definedName>
    <definedName name="Warmteinkoop_2024" localSheetId="10">'cluster eigendom'!$AZ$235</definedName>
    <definedName name="Warmteinkoop_2024" localSheetId="11">'cluster huur'!$AZ$235</definedName>
    <definedName name="Warmteinkoop_2024" localSheetId="7">Locatie1!$AZ$235</definedName>
    <definedName name="Warmteinkoop_2024" localSheetId="8">Locatie2!$AZ$235</definedName>
    <definedName name="Warmteinkoop_2024" localSheetId="9">Locatie3!$AZ$235</definedName>
    <definedName name="Warmteinkoop_2025" localSheetId="4">Blanco!$BF$235</definedName>
    <definedName name="Warmteinkoop_2025" localSheetId="10">'cluster eigendom'!$BF$235</definedName>
    <definedName name="Warmteinkoop_2025" localSheetId="11">'cluster huur'!$BF$235</definedName>
    <definedName name="Warmteinkoop_2025" localSheetId="7">Locatie1!$BF$235</definedName>
    <definedName name="Warmteinkoop_2025" localSheetId="8">Locatie2!$BF$235</definedName>
    <definedName name="Warmteinkoop_2025" localSheetId="9">Locatie3!$BF$235</definedName>
    <definedName name="Warmteinkoop_2026" localSheetId="4">Blanco!$BL$235</definedName>
    <definedName name="Warmteinkoop_2026" localSheetId="10">'cluster eigendom'!$BL$235</definedName>
    <definedName name="Warmteinkoop_2026" localSheetId="11">'cluster huur'!$BL$235</definedName>
    <definedName name="Warmteinkoop_2026" localSheetId="7">Locatie1!$BL$235</definedName>
    <definedName name="Warmteinkoop_2026" localSheetId="8">Locatie2!$BL$235</definedName>
    <definedName name="Warmteinkoop_2026" localSheetId="9">Locatie3!$BL$235</definedName>
    <definedName name="Warmteinkoop_2027" localSheetId="4">Blanco!$BR$235</definedName>
    <definedName name="Warmteinkoop_2027" localSheetId="10">'cluster eigendom'!$BR$235</definedName>
    <definedName name="Warmteinkoop_2027" localSheetId="11">'cluster huur'!$BR$235</definedName>
    <definedName name="Warmteinkoop_2027" localSheetId="7">Locatie1!$BR$235</definedName>
    <definedName name="Warmteinkoop_2027" localSheetId="8">Locatie2!$BR$235</definedName>
    <definedName name="Warmteinkoop_2027" localSheetId="9">Locatie3!$BR$235</definedName>
    <definedName name="Warmteinkoop_2028" localSheetId="4">Blanco!$BX$235</definedName>
    <definedName name="Warmteinkoop_2028" localSheetId="10">'cluster eigendom'!$BX$235</definedName>
    <definedName name="Warmteinkoop_2028" localSheetId="11">'cluster huur'!$BX$235</definedName>
    <definedName name="Warmteinkoop_2028" localSheetId="7">Locatie1!$BX$235</definedName>
    <definedName name="Warmteinkoop_2028" localSheetId="8">Locatie2!$BX$235</definedName>
    <definedName name="Warmteinkoop_2028" localSheetId="9">Locatie3!$BX$235</definedName>
    <definedName name="Warmteinkoop_2029" localSheetId="4">Blanco!$CD$235</definedName>
    <definedName name="Warmteinkoop_2029" localSheetId="10">'cluster eigendom'!$CD$235</definedName>
    <definedName name="Warmteinkoop_2029" localSheetId="11">'cluster huur'!$CD$235</definedName>
    <definedName name="Warmteinkoop_2029" localSheetId="7">Locatie1!$CD$235</definedName>
    <definedName name="Warmteinkoop_2029" localSheetId="8">Locatie2!$CD$235</definedName>
    <definedName name="Warmteinkoop_2029" localSheetId="9">Locatie3!$CD$235</definedName>
    <definedName name="Warmteinkoop_2030" localSheetId="4">Blanco!$CJ$235</definedName>
    <definedName name="Warmteinkoop_2030" localSheetId="10">'cluster eigendom'!$CJ$235</definedName>
    <definedName name="Warmteinkoop_2030" localSheetId="11">'cluster huur'!$CJ$235</definedName>
    <definedName name="Warmteinkoop_2030" localSheetId="7">Locatie1!$CJ$235</definedName>
    <definedName name="Warmteinkoop_2030" localSheetId="8">Locatie2!$CJ$235</definedName>
    <definedName name="Warmteinkoop_2030" localSheetId="9">Locatie3!$CJ$235</definedName>
    <definedName name="Warmteinkoop_2031" localSheetId="4">Blanco!$CP$235</definedName>
    <definedName name="Warmteinkoop_2031" localSheetId="10">'cluster eigendom'!$CP$235</definedName>
    <definedName name="Warmteinkoop_2031" localSheetId="11">'cluster huur'!$CP$235</definedName>
    <definedName name="Warmteinkoop_2031" localSheetId="7">Locatie1!$CP$235</definedName>
    <definedName name="Warmteinkoop_2031" localSheetId="8">Locatie2!$CP$235</definedName>
    <definedName name="Warmteinkoop_2031" localSheetId="9">Locatie3!$CP$235</definedName>
    <definedName name="Warmteinkoop_2032" localSheetId="4">Blanco!$CV$235</definedName>
    <definedName name="Warmteinkoop_2032" localSheetId="10">'cluster eigendom'!$CV$235</definedName>
    <definedName name="Warmteinkoop_2032" localSheetId="11">'cluster huur'!$CV$235</definedName>
    <definedName name="Warmteinkoop_2032" localSheetId="7">Locatie1!$CV$235</definedName>
    <definedName name="Warmteinkoop_2032" localSheetId="8">Locatie2!$CV$235</definedName>
    <definedName name="Warmteinkoop_2032" localSheetId="9">Locatie3!$CV$235</definedName>
    <definedName name="Warmteinkoop_2033" localSheetId="4">Blanco!$DB$235</definedName>
    <definedName name="Warmteinkoop_2033" localSheetId="10">'cluster eigendom'!$DB$235</definedName>
    <definedName name="Warmteinkoop_2033" localSheetId="11">'cluster huur'!$DB$235</definedName>
    <definedName name="Warmteinkoop_2033" localSheetId="7">Locatie1!$DB$235</definedName>
    <definedName name="Warmteinkoop_2033" localSheetId="8">Locatie2!$DB$235</definedName>
    <definedName name="Warmteinkoop_2033" localSheetId="9">Locatie3!$DB$235</definedName>
    <definedName name="Warmteinkoop_2034" localSheetId="4">Blanco!$DH$235</definedName>
    <definedName name="Warmteinkoop_2034" localSheetId="10">'cluster eigendom'!$DH$235</definedName>
    <definedName name="Warmteinkoop_2034" localSheetId="11">'cluster huur'!$DH$235</definedName>
    <definedName name="Warmteinkoop_2034" localSheetId="7">Locatie1!$DH$235</definedName>
    <definedName name="Warmteinkoop_2034" localSheetId="8">Locatie2!$DH$235</definedName>
    <definedName name="Warmteinkoop_2034" localSheetId="9">Locatie3!$DH$235</definedName>
    <definedName name="Warmteinkoop_2035" localSheetId="4">Blanco!$DN$235</definedName>
    <definedName name="Warmteinkoop_2035" localSheetId="10">'cluster eigendom'!$DN$235</definedName>
    <definedName name="Warmteinkoop_2035" localSheetId="11">'cluster huur'!$DN$235</definedName>
    <definedName name="Warmteinkoop_2035" localSheetId="7">Locatie1!$DN$235</definedName>
    <definedName name="Warmteinkoop_2035" localSheetId="8">Locatie2!$DN$235</definedName>
    <definedName name="Warmteinkoop_2035" localSheetId="9">Locatie3!$DN$235</definedName>
    <definedName name="Warmteinkoop_2036" localSheetId="4">Blanco!$DT$235</definedName>
    <definedName name="Warmteinkoop_2036" localSheetId="10">'cluster eigendom'!$DT$235</definedName>
    <definedName name="Warmteinkoop_2036" localSheetId="11">'cluster huur'!$DT$235</definedName>
    <definedName name="Warmteinkoop_2036" localSheetId="7">Locatie1!$DT$235</definedName>
    <definedName name="Warmteinkoop_2036" localSheetId="8">Locatie2!$DT$235</definedName>
    <definedName name="Warmteinkoop_2036" localSheetId="9">Locatie3!$DT$235</definedName>
    <definedName name="Warmteinkoop_2037" localSheetId="4">Blanco!$DZ$235</definedName>
    <definedName name="Warmteinkoop_2037" localSheetId="10">'cluster eigendom'!$DZ$235</definedName>
    <definedName name="Warmteinkoop_2037" localSheetId="11">'cluster huur'!$DZ$235</definedName>
    <definedName name="Warmteinkoop_2037" localSheetId="7">Locatie1!$DZ$235</definedName>
    <definedName name="Warmteinkoop_2037" localSheetId="8">Locatie2!$DZ$235</definedName>
    <definedName name="Warmteinkoop_2037" localSheetId="9">Locatie3!$DZ$235</definedName>
    <definedName name="Warmteinkoop_2038" localSheetId="4">Blanco!$EF$235</definedName>
    <definedName name="Warmteinkoop_2038" localSheetId="10">'cluster eigendom'!$EF$235</definedName>
    <definedName name="Warmteinkoop_2038" localSheetId="11">'cluster huur'!$EF$235</definedName>
    <definedName name="Warmteinkoop_2038" localSheetId="7">Locatie1!$EF$235</definedName>
    <definedName name="Warmteinkoop_2038" localSheetId="8">Locatie2!$EF$235</definedName>
    <definedName name="Warmteinkoop_2038" localSheetId="9">Locatie3!$EF$235</definedName>
    <definedName name="Warmteinkoop_2039" localSheetId="4">Blanco!$EL$235</definedName>
    <definedName name="Warmteinkoop_2039" localSheetId="10">'cluster eigendom'!$EL$235</definedName>
    <definedName name="Warmteinkoop_2039" localSheetId="11">'cluster huur'!$EL$235</definedName>
    <definedName name="Warmteinkoop_2039" localSheetId="7">Locatie1!$EL$235</definedName>
    <definedName name="Warmteinkoop_2039" localSheetId="8">Locatie2!$EL$235</definedName>
    <definedName name="Warmteinkoop_2039" localSheetId="9">Locatie3!$EL$235</definedName>
    <definedName name="Warmteinkoop_2040" localSheetId="4">Blanco!$ER$235</definedName>
    <definedName name="Warmteinkoop_2040" localSheetId="10">'cluster eigendom'!$ER$235</definedName>
    <definedName name="Warmteinkoop_2040" localSheetId="11">'cluster huur'!$ER$235</definedName>
    <definedName name="Warmteinkoop_2040" localSheetId="7">Locatie1!$ER$235</definedName>
    <definedName name="Warmteinkoop_2040" localSheetId="8">Locatie2!$ER$235</definedName>
    <definedName name="Warmteinkoop_2040" localSheetId="9">Locatie3!$ER$235</definedName>
    <definedName name="Warmteinkoop_2041" localSheetId="4">Blanco!$EX$235</definedName>
    <definedName name="Warmteinkoop_2041" localSheetId="10">'cluster eigendom'!$EX$235</definedName>
    <definedName name="Warmteinkoop_2041" localSheetId="11">'cluster huur'!$EX$235</definedName>
    <definedName name="Warmteinkoop_2041" localSheetId="7">Locatie1!$EX$235</definedName>
    <definedName name="Warmteinkoop_2041" localSheetId="8">Locatie2!$EX$235</definedName>
    <definedName name="Warmteinkoop_2041" localSheetId="9">Locatie3!$EX$235</definedName>
    <definedName name="Warmteinkoop_2042" localSheetId="4">Blanco!$FD$235</definedName>
    <definedName name="Warmteinkoop_2042" localSheetId="10">'cluster eigendom'!$FD$235</definedName>
    <definedName name="Warmteinkoop_2042" localSheetId="11">'cluster huur'!$FD$235</definedName>
    <definedName name="Warmteinkoop_2042" localSheetId="7">Locatie1!$FD$235</definedName>
    <definedName name="Warmteinkoop_2042" localSheetId="8">Locatie2!$FD$235</definedName>
    <definedName name="Warmteinkoop_2042" localSheetId="9">Locatie3!$FD$235</definedName>
    <definedName name="Warmteinkoop_2043" localSheetId="4">Blanco!$FJ$235</definedName>
    <definedName name="Warmteinkoop_2043" localSheetId="10">'cluster eigendom'!$FJ$235</definedName>
    <definedName name="Warmteinkoop_2043" localSheetId="11">'cluster huur'!$FJ$235</definedName>
    <definedName name="Warmteinkoop_2043" localSheetId="7">Locatie1!$FJ$235</definedName>
    <definedName name="Warmteinkoop_2043" localSheetId="8">Locatie2!$FJ$235</definedName>
    <definedName name="Warmteinkoop_2043" localSheetId="9">Locatie3!$FJ$235</definedName>
    <definedName name="Warmteinkoop_2044" localSheetId="4">Blanco!$FP$235</definedName>
    <definedName name="Warmteinkoop_2044" localSheetId="10">'cluster eigendom'!$FP$235</definedName>
    <definedName name="Warmteinkoop_2044" localSheetId="11">'cluster huur'!$FP$235</definedName>
    <definedName name="Warmteinkoop_2044" localSheetId="7">Locatie1!$FP$235</definedName>
    <definedName name="Warmteinkoop_2044" localSheetId="8">Locatie2!$FP$235</definedName>
    <definedName name="Warmteinkoop_2044" localSheetId="9">Locatie3!$FP$235</definedName>
    <definedName name="Warmteinkoop_2045" localSheetId="4">Blanco!$FV$235</definedName>
    <definedName name="Warmteinkoop_2045" localSheetId="10">'cluster eigendom'!$FV$235</definedName>
    <definedName name="Warmteinkoop_2045" localSheetId="11">'cluster huur'!$FV$235</definedName>
    <definedName name="Warmteinkoop_2045" localSheetId="7">Locatie1!$FV$235</definedName>
    <definedName name="Warmteinkoop_2045" localSheetId="8">Locatie2!$FV$235</definedName>
    <definedName name="Warmteinkoop_2045" localSheetId="9">Locatie3!$FV$235</definedName>
    <definedName name="Warmteinkoop_2046" localSheetId="4">Blanco!$GB$235</definedName>
    <definedName name="Warmteinkoop_2046" localSheetId="10">'cluster eigendom'!$GB$235</definedName>
    <definedName name="Warmteinkoop_2046" localSheetId="11">'cluster huur'!$GB$235</definedName>
    <definedName name="Warmteinkoop_2046" localSheetId="7">Locatie1!$GB$235</definedName>
    <definedName name="Warmteinkoop_2046" localSheetId="8">Locatie2!$GB$235</definedName>
    <definedName name="Warmteinkoop_2046" localSheetId="9">Locatie3!$GB$235</definedName>
    <definedName name="Warmteinkoop_2047" localSheetId="4">Blanco!$GH$235</definedName>
    <definedName name="Warmteinkoop_2047" localSheetId="10">'cluster eigendom'!$GH$235</definedName>
    <definedName name="Warmteinkoop_2047" localSheetId="11">'cluster huur'!$GH$235</definedName>
    <definedName name="Warmteinkoop_2047" localSheetId="7">Locatie1!$GH$235</definedName>
    <definedName name="Warmteinkoop_2047" localSheetId="8">Locatie2!$GH$235</definedName>
    <definedName name="Warmteinkoop_2047" localSheetId="9">Locatie3!$GH$235</definedName>
    <definedName name="Warmteinkoop_2048" localSheetId="4">Blanco!$GN$235</definedName>
    <definedName name="Warmteinkoop_2048" localSheetId="10">'cluster eigendom'!$GN$235</definedName>
    <definedName name="Warmteinkoop_2048" localSheetId="11">'cluster huur'!$GN$235</definedName>
    <definedName name="Warmteinkoop_2048" localSheetId="7">Locatie1!$GN$235</definedName>
    <definedName name="Warmteinkoop_2048" localSheetId="8">Locatie2!$GN$235</definedName>
    <definedName name="Warmteinkoop_2048" localSheetId="9">Locatie3!$GN$235</definedName>
    <definedName name="Warmteinkoop_2049" localSheetId="4">Blanco!$GT$235</definedName>
    <definedName name="Warmteinkoop_2049" localSheetId="10">'cluster eigendom'!$GT$235</definedName>
    <definedName name="Warmteinkoop_2049" localSheetId="11">'cluster huur'!$GT$235</definedName>
    <definedName name="Warmteinkoop_2049" localSheetId="7">Locatie1!$GT$235</definedName>
    <definedName name="Warmteinkoop_2049" localSheetId="8">Locatie2!$GT$235</definedName>
    <definedName name="Warmteinkoop_2049" localSheetId="9">Locatie3!$GT$235</definedName>
    <definedName name="Warmteinkoop_2050" localSheetId="4">Blanco!$GZ$235</definedName>
    <definedName name="Warmteinkoop_2050" localSheetId="10">'cluster eigendom'!$GZ$235</definedName>
    <definedName name="Warmteinkoop_2050" localSheetId="11">'cluster huur'!$GZ$235</definedName>
    <definedName name="Warmteinkoop_2050" localSheetId="7">Locatie1!$GZ$235</definedName>
    <definedName name="Warmteinkoop_2050" localSheetId="8">Locatie2!$GZ$235</definedName>
    <definedName name="Warmteinkoop_2050" localSheetId="9">Locatie3!$GZ$235</definedName>
    <definedName name="Warmteprijs">Dashboard!$AF$29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D215" i="183" l="1"/>
  <c r="EZ215" i="183"/>
  <c r="DV215" i="183"/>
  <c r="CR215" i="183"/>
  <c r="CL215" i="183"/>
  <c r="CF215" i="183"/>
  <c r="BZ215" i="183"/>
  <c r="BT215" i="183"/>
  <c r="BN215" i="183"/>
  <c r="BH215" i="183"/>
  <c r="BB215" i="183"/>
  <c r="AV215" i="183"/>
  <c r="AP215" i="183"/>
  <c r="AJ215" i="183"/>
  <c r="AD215" i="183"/>
  <c r="X215" i="183"/>
  <c r="T215" i="183"/>
  <c r="I215" i="183"/>
  <c r="GD214" i="183"/>
  <c r="EZ214" i="183"/>
  <c r="DV214" i="183"/>
  <c r="CR214" i="183"/>
  <c r="CL214" i="183"/>
  <c r="CF214" i="183"/>
  <c r="BZ214" i="183"/>
  <c r="BT214" i="183"/>
  <c r="BN214" i="183"/>
  <c r="BH214" i="183"/>
  <c r="BB214" i="183"/>
  <c r="AV214" i="183"/>
  <c r="AP214" i="183"/>
  <c r="AJ214" i="183"/>
  <c r="AD214" i="183"/>
  <c r="X214" i="183"/>
  <c r="T214" i="183"/>
  <c r="I214" i="183"/>
  <c r="T213" i="183"/>
  <c r="I213" i="183"/>
  <c r="GD212" i="183"/>
  <c r="EZ212" i="183"/>
  <c r="DV212" i="183"/>
  <c r="CR212" i="183"/>
  <c r="CL212" i="183"/>
  <c r="CF212" i="183"/>
  <c r="BZ212" i="183"/>
  <c r="BT212" i="183"/>
  <c r="BN212" i="183"/>
  <c r="BH212" i="183"/>
  <c r="BB212" i="183"/>
  <c r="AV212" i="183"/>
  <c r="AP212" i="183"/>
  <c r="AJ212" i="183"/>
  <c r="AD212" i="183"/>
  <c r="X212" i="183"/>
  <c r="T212" i="183"/>
  <c r="I212" i="183"/>
  <c r="GD211" i="183"/>
  <c r="EZ211" i="183"/>
  <c r="DV211" i="183"/>
  <c r="CR211" i="183"/>
  <c r="CL211" i="183"/>
  <c r="CF211" i="183"/>
  <c r="BZ211" i="183"/>
  <c r="BT211" i="183"/>
  <c r="BN211" i="183"/>
  <c r="BH211" i="183"/>
  <c r="BB211" i="183"/>
  <c r="AV211" i="183"/>
  <c r="AP211" i="183"/>
  <c r="AJ211" i="183"/>
  <c r="AD211" i="183"/>
  <c r="X211" i="183"/>
  <c r="T211" i="183"/>
  <c r="I211" i="183"/>
  <c r="GD210" i="183"/>
  <c r="EZ210" i="183"/>
  <c r="DV210" i="183"/>
  <c r="CR210" i="183"/>
  <c r="CL210" i="183"/>
  <c r="CF210" i="183"/>
  <c r="BZ210" i="183"/>
  <c r="BT210" i="183"/>
  <c r="BN210" i="183"/>
  <c r="BH210" i="183"/>
  <c r="BB210" i="183"/>
  <c r="AV210" i="183"/>
  <c r="AP210" i="183"/>
  <c r="AJ210" i="183"/>
  <c r="AD210" i="183"/>
  <c r="X210" i="183"/>
  <c r="T210" i="183"/>
  <c r="I210" i="183"/>
  <c r="GD209" i="183"/>
  <c r="EZ209" i="183"/>
  <c r="DV209" i="183"/>
  <c r="CR209" i="183"/>
  <c r="CL209" i="183"/>
  <c r="CF209" i="183"/>
  <c r="BZ209" i="183"/>
  <c r="BT209" i="183"/>
  <c r="BN209" i="183"/>
  <c r="BH209" i="183"/>
  <c r="BB209" i="183"/>
  <c r="AV209" i="183"/>
  <c r="AP209" i="183"/>
  <c r="AJ209" i="183"/>
  <c r="AD209" i="183"/>
  <c r="X209" i="183"/>
  <c r="T209" i="183"/>
  <c r="I209" i="183"/>
  <c r="GD208" i="183"/>
  <c r="EZ208" i="183"/>
  <c r="DV208" i="183"/>
  <c r="CR208" i="183"/>
  <c r="CL208" i="183"/>
  <c r="CF208" i="183"/>
  <c r="BZ208" i="183"/>
  <c r="BT208" i="183"/>
  <c r="BN208" i="183"/>
  <c r="BH208" i="183"/>
  <c r="BB208" i="183"/>
  <c r="AV208" i="183"/>
  <c r="AP208" i="183"/>
  <c r="AJ208" i="183"/>
  <c r="AD208" i="183"/>
  <c r="X208" i="183"/>
  <c r="T208" i="183"/>
  <c r="I208" i="183"/>
  <c r="GD207" i="183"/>
  <c r="EZ207" i="183"/>
  <c r="DV207" i="183"/>
  <c r="CR207" i="183"/>
  <c r="CL207" i="183"/>
  <c r="CF207" i="183"/>
  <c r="BZ207" i="183"/>
  <c r="BT207" i="183"/>
  <c r="BN207" i="183"/>
  <c r="BH207" i="183"/>
  <c r="BB207" i="183"/>
  <c r="AV207" i="183"/>
  <c r="AP207" i="183"/>
  <c r="AJ207" i="183"/>
  <c r="AD207" i="183"/>
  <c r="X207" i="183"/>
  <c r="T207" i="183"/>
  <c r="I207" i="183"/>
  <c r="T206" i="183"/>
  <c r="I206" i="183"/>
  <c r="T205" i="183"/>
  <c r="I205" i="183"/>
  <c r="T204" i="183"/>
  <c r="I204" i="183"/>
  <c r="GF203" i="183"/>
  <c r="GE203" i="183"/>
  <c r="GD203" i="183"/>
  <c r="GC203" i="183"/>
  <c r="FB203" i="183"/>
  <c r="FA203" i="183"/>
  <c r="EZ203" i="183"/>
  <c r="EY203" i="183"/>
  <c r="DX203" i="183"/>
  <c r="DW203" i="183"/>
  <c r="DV203" i="183"/>
  <c r="DU203" i="183"/>
  <c r="CT203" i="183"/>
  <c r="CS203" i="183"/>
  <c r="CR203" i="183"/>
  <c r="CQ203" i="183"/>
  <c r="CN203" i="183"/>
  <c r="CM203" i="183"/>
  <c r="CL203" i="183"/>
  <c r="CK203" i="183"/>
  <c r="CH203" i="183"/>
  <c r="CG203" i="183"/>
  <c r="CF203" i="183"/>
  <c r="CE203" i="183"/>
  <c r="CB203" i="183"/>
  <c r="CA203" i="183"/>
  <c r="BZ203" i="183"/>
  <c r="BY203" i="183"/>
  <c r="BV203" i="183"/>
  <c r="BU203" i="183"/>
  <c r="BT203" i="183"/>
  <c r="BS203" i="183"/>
  <c r="BP203" i="183"/>
  <c r="BO203" i="183"/>
  <c r="BN203" i="183"/>
  <c r="BM203" i="183"/>
  <c r="BJ203" i="183"/>
  <c r="BI203" i="183"/>
  <c r="BH203" i="183"/>
  <c r="BG203" i="183"/>
  <c r="BD203" i="183"/>
  <c r="BC203" i="183"/>
  <c r="BB203" i="183"/>
  <c r="BA203" i="183"/>
  <c r="AX203" i="183"/>
  <c r="AW203" i="183"/>
  <c r="AV203" i="183"/>
  <c r="AU203" i="183"/>
  <c r="AR203" i="183"/>
  <c r="AQ203" i="183"/>
  <c r="AP203" i="183"/>
  <c r="AO203" i="183"/>
  <c r="AL203" i="183"/>
  <c r="AK203" i="183"/>
  <c r="AJ203" i="183"/>
  <c r="AI203" i="183"/>
  <c r="AF203" i="183"/>
  <c r="AE203" i="183"/>
  <c r="AD203" i="183"/>
  <c r="AC203" i="183"/>
  <c r="Z203" i="183"/>
  <c r="Y203" i="183"/>
  <c r="X203" i="183"/>
  <c r="W203" i="183"/>
  <c r="T203" i="183"/>
  <c r="I203" i="183"/>
  <c r="GF202" i="183"/>
  <c r="GE202" i="183"/>
  <c r="GD202" i="183"/>
  <c r="GC202" i="183"/>
  <c r="FB202" i="183"/>
  <c r="FA202" i="183"/>
  <c r="EZ202" i="183"/>
  <c r="EY202" i="183"/>
  <c r="DX202" i="183"/>
  <c r="DW202" i="183"/>
  <c r="DV202" i="183"/>
  <c r="DU202" i="183"/>
  <c r="CT202" i="183"/>
  <c r="CS202" i="183"/>
  <c r="CR202" i="183"/>
  <c r="CQ202" i="183"/>
  <c r="CN202" i="183"/>
  <c r="CM202" i="183"/>
  <c r="CL202" i="183"/>
  <c r="CK202" i="183"/>
  <c r="CH202" i="183"/>
  <c r="CG202" i="183"/>
  <c r="CF202" i="183"/>
  <c r="CE202" i="183"/>
  <c r="CB202" i="183"/>
  <c r="CA202" i="183"/>
  <c r="BZ202" i="183"/>
  <c r="BY202" i="183"/>
  <c r="BV202" i="183"/>
  <c r="BU202" i="183"/>
  <c r="BT202" i="183"/>
  <c r="BS202" i="183"/>
  <c r="BP202" i="183"/>
  <c r="BO202" i="183"/>
  <c r="BN202" i="183"/>
  <c r="BM202" i="183"/>
  <c r="BJ202" i="183"/>
  <c r="BI202" i="183"/>
  <c r="BH202" i="183"/>
  <c r="BG202" i="183"/>
  <c r="BD202" i="183"/>
  <c r="BC202" i="183"/>
  <c r="BB202" i="183"/>
  <c r="BA202" i="183"/>
  <c r="AX202" i="183"/>
  <c r="AW202" i="183"/>
  <c r="AV202" i="183"/>
  <c r="AU202" i="183"/>
  <c r="AR202" i="183"/>
  <c r="AQ202" i="183"/>
  <c r="AP202" i="183"/>
  <c r="AO202" i="183"/>
  <c r="AL202" i="183"/>
  <c r="AK202" i="183"/>
  <c r="AJ202" i="183"/>
  <c r="AI202" i="183"/>
  <c r="AF202" i="183"/>
  <c r="AE202" i="183"/>
  <c r="AD202" i="183"/>
  <c r="AC202" i="183"/>
  <c r="Z202" i="183"/>
  <c r="Y202" i="183"/>
  <c r="X202" i="183"/>
  <c r="W202" i="183"/>
  <c r="T202" i="183"/>
  <c r="I202" i="183"/>
  <c r="T201" i="183"/>
  <c r="I201" i="183"/>
  <c r="T200" i="183"/>
  <c r="I200" i="183"/>
  <c r="T199" i="183"/>
  <c r="I199" i="183"/>
  <c r="T198" i="183"/>
  <c r="I198" i="183"/>
  <c r="T197" i="183"/>
  <c r="I197" i="183"/>
  <c r="T196" i="183"/>
  <c r="I196" i="183"/>
  <c r="T195" i="183"/>
  <c r="I195" i="183"/>
  <c r="T194" i="183"/>
  <c r="I194" i="183"/>
  <c r="T193" i="183"/>
  <c r="I193" i="183"/>
  <c r="T192" i="183"/>
  <c r="I192" i="183"/>
  <c r="T191" i="183"/>
  <c r="I191" i="183"/>
  <c r="T190" i="183"/>
  <c r="I190" i="183"/>
  <c r="T189" i="183"/>
  <c r="I189" i="183"/>
  <c r="T188" i="183"/>
  <c r="I188" i="183"/>
  <c r="T187" i="183"/>
  <c r="I187" i="183"/>
  <c r="T186" i="183"/>
  <c r="I186" i="183"/>
  <c r="T185" i="183"/>
  <c r="I185" i="183"/>
  <c r="GG184" i="183"/>
  <c r="GF184" i="183"/>
  <c r="GE184" i="183"/>
  <c r="GD184" i="183"/>
  <c r="GC184" i="183"/>
  <c r="FC184" i="183"/>
  <c r="FB184" i="183"/>
  <c r="FA184" i="183"/>
  <c r="EZ184" i="183"/>
  <c r="EY184" i="183"/>
  <c r="DY184" i="183"/>
  <c r="DX184" i="183"/>
  <c r="DW184" i="183"/>
  <c r="DV184" i="183"/>
  <c r="DU184" i="183"/>
  <c r="CU184" i="183"/>
  <c r="CT184" i="183"/>
  <c r="CS184" i="183"/>
  <c r="CR184" i="183"/>
  <c r="CQ184" i="183"/>
  <c r="CO184" i="183"/>
  <c r="CN184" i="183"/>
  <c r="CM184" i="183"/>
  <c r="CL184" i="183"/>
  <c r="CK184" i="183"/>
  <c r="CI184" i="183"/>
  <c r="CH184" i="183"/>
  <c r="CG184" i="183"/>
  <c r="CF184" i="183"/>
  <c r="CE184" i="183"/>
  <c r="CC184" i="183"/>
  <c r="CB184" i="183"/>
  <c r="CA184" i="183"/>
  <c r="BZ184" i="183"/>
  <c r="BY184" i="183"/>
  <c r="BW184" i="183"/>
  <c r="BV184" i="183"/>
  <c r="BU184" i="183"/>
  <c r="BT184" i="183"/>
  <c r="BS184" i="183"/>
  <c r="BQ184" i="183"/>
  <c r="BP184" i="183"/>
  <c r="BO184" i="183"/>
  <c r="BN184" i="183"/>
  <c r="BM184" i="183"/>
  <c r="BK184" i="183"/>
  <c r="BJ184" i="183"/>
  <c r="BI184" i="183"/>
  <c r="BH184" i="183"/>
  <c r="BG184" i="183"/>
  <c r="BE184" i="183"/>
  <c r="BD184" i="183"/>
  <c r="BC184" i="183"/>
  <c r="BB184" i="183"/>
  <c r="BA184" i="183"/>
  <c r="AY184" i="183"/>
  <c r="AX184" i="183"/>
  <c r="AW184" i="183"/>
  <c r="AV184" i="183"/>
  <c r="AU184" i="183"/>
  <c r="AS184" i="183"/>
  <c r="AR184" i="183"/>
  <c r="AQ184" i="183"/>
  <c r="AP184" i="183"/>
  <c r="AO184" i="183"/>
  <c r="AM184" i="183"/>
  <c r="AL184" i="183"/>
  <c r="AK184" i="183"/>
  <c r="AJ184" i="183"/>
  <c r="AI184" i="183"/>
  <c r="AG184" i="183"/>
  <c r="AF184" i="183"/>
  <c r="AE184" i="183"/>
  <c r="AD184" i="183"/>
  <c r="AC184" i="183"/>
  <c r="AA184" i="183"/>
  <c r="Z184" i="183"/>
  <c r="Y184" i="183"/>
  <c r="X184" i="183"/>
  <c r="W184" i="183"/>
  <c r="T184" i="183"/>
  <c r="I184" i="183"/>
  <c r="GG183" i="183"/>
  <c r="GF183" i="183"/>
  <c r="GE183" i="183"/>
  <c r="GD183" i="183"/>
  <c r="GC183" i="183"/>
  <c r="FC183" i="183"/>
  <c r="FB183" i="183"/>
  <c r="FA183" i="183"/>
  <c r="EZ183" i="183"/>
  <c r="EY183" i="183"/>
  <c r="DY183" i="183"/>
  <c r="DX183" i="183"/>
  <c r="DW183" i="183"/>
  <c r="DV183" i="183"/>
  <c r="DU183" i="183"/>
  <c r="CU183" i="183"/>
  <c r="CT183" i="183"/>
  <c r="CS183" i="183"/>
  <c r="CR183" i="183"/>
  <c r="CQ183" i="183"/>
  <c r="CO183" i="183"/>
  <c r="CN183" i="183"/>
  <c r="CM183" i="183"/>
  <c r="CL183" i="183"/>
  <c r="CK183" i="183"/>
  <c r="CI183" i="183"/>
  <c r="CH183" i="183"/>
  <c r="CG183" i="183"/>
  <c r="CF183" i="183"/>
  <c r="CE183" i="183"/>
  <c r="CC183" i="183"/>
  <c r="CB183" i="183"/>
  <c r="CA183" i="183"/>
  <c r="BZ183" i="183"/>
  <c r="BY183" i="183"/>
  <c r="BW183" i="183"/>
  <c r="BV183" i="183"/>
  <c r="BU183" i="183"/>
  <c r="BT183" i="183"/>
  <c r="BS183" i="183"/>
  <c r="BQ183" i="183"/>
  <c r="BP183" i="183"/>
  <c r="BO183" i="183"/>
  <c r="BN183" i="183"/>
  <c r="BM183" i="183"/>
  <c r="BK183" i="183"/>
  <c r="BJ183" i="183"/>
  <c r="BI183" i="183"/>
  <c r="BH183" i="183"/>
  <c r="BG183" i="183"/>
  <c r="BE183" i="183"/>
  <c r="BD183" i="183"/>
  <c r="BC183" i="183"/>
  <c r="BB183" i="183"/>
  <c r="BA183" i="183"/>
  <c r="AY183" i="183"/>
  <c r="AX183" i="183"/>
  <c r="AW183" i="183"/>
  <c r="AV183" i="183"/>
  <c r="AU183" i="183"/>
  <c r="AS183" i="183"/>
  <c r="AR183" i="183"/>
  <c r="AQ183" i="183"/>
  <c r="AP183" i="183"/>
  <c r="AO183" i="183"/>
  <c r="AM183" i="183"/>
  <c r="AL183" i="183"/>
  <c r="AK183" i="183"/>
  <c r="AJ183" i="183"/>
  <c r="AI183" i="183"/>
  <c r="AG183" i="183"/>
  <c r="AF183" i="183"/>
  <c r="AE183" i="183"/>
  <c r="AD183" i="183"/>
  <c r="AC183" i="183"/>
  <c r="AA183" i="183"/>
  <c r="Z183" i="183"/>
  <c r="Y183" i="183"/>
  <c r="X183" i="183"/>
  <c r="W183" i="183"/>
  <c r="T183" i="183"/>
  <c r="I183" i="183"/>
  <c r="GG182" i="183"/>
  <c r="GF182" i="183"/>
  <c r="GE182" i="183"/>
  <c r="GD182" i="183"/>
  <c r="GC182" i="183"/>
  <c r="FC182" i="183"/>
  <c r="FB182" i="183"/>
  <c r="FA182" i="183"/>
  <c r="EZ182" i="183"/>
  <c r="EY182" i="183"/>
  <c r="DY182" i="183"/>
  <c r="DX182" i="183"/>
  <c r="DW182" i="183"/>
  <c r="DV182" i="183"/>
  <c r="DU182" i="183"/>
  <c r="CU182" i="183"/>
  <c r="CT182" i="183"/>
  <c r="CS182" i="183"/>
  <c r="CR182" i="183"/>
  <c r="CQ182" i="183"/>
  <c r="CO182" i="183"/>
  <c r="CN182" i="183"/>
  <c r="CM182" i="183"/>
  <c r="CL182" i="183"/>
  <c r="CK182" i="183"/>
  <c r="CI182" i="183"/>
  <c r="CH182" i="183"/>
  <c r="CG182" i="183"/>
  <c r="CF182" i="183"/>
  <c r="CE182" i="183"/>
  <c r="CC182" i="183"/>
  <c r="CB182" i="183"/>
  <c r="CA182" i="183"/>
  <c r="BZ182" i="183"/>
  <c r="BY182" i="183"/>
  <c r="BW182" i="183"/>
  <c r="BV182" i="183"/>
  <c r="BU182" i="183"/>
  <c r="BT182" i="183"/>
  <c r="BS182" i="183"/>
  <c r="BQ182" i="183"/>
  <c r="BP182" i="183"/>
  <c r="BO182" i="183"/>
  <c r="BN182" i="183"/>
  <c r="BM182" i="183"/>
  <c r="BK182" i="183"/>
  <c r="BJ182" i="183"/>
  <c r="BI182" i="183"/>
  <c r="BH182" i="183"/>
  <c r="BG182" i="183"/>
  <c r="BE182" i="183"/>
  <c r="BD182" i="183"/>
  <c r="BC182" i="183"/>
  <c r="BB182" i="183"/>
  <c r="BA182" i="183"/>
  <c r="AY182" i="183"/>
  <c r="AX182" i="183"/>
  <c r="AW182" i="183"/>
  <c r="AV182" i="183"/>
  <c r="AU182" i="183"/>
  <c r="AS182" i="183"/>
  <c r="AR182" i="183"/>
  <c r="AQ182" i="183"/>
  <c r="AP182" i="183"/>
  <c r="AO182" i="183"/>
  <c r="AM182" i="183"/>
  <c r="AL182" i="183"/>
  <c r="AK182" i="183"/>
  <c r="AJ182" i="183"/>
  <c r="AI182" i="183"/>
  <c r="AG182" i="183"/>
  <c r="AF182" i="183"/>
  <c r="AE182" i="183"/>
  <c r="AD182" i="183"/>
  <c r="AC182" i="183"/>
  <c r="AA182" i="183"/>
  <c r="Z182" i="183"/>
  <c r="Y182" i="183"/>
  <c r="X182" i="183"/>
  <c r="W182" i="183"/>
  <c r="T182" i="183"/>
  <c r="I182" i="183"/>
  <c r="GD181" i="183"/>
  <c r="EZ181" i="183"/>
  <c r="DV181" i="183"/>
  <c r="CR181" i="183"/>
  <c r="CL181" i="183"/>
  <c r="CF181" i="183"/>
  <c r="BZ181" i="183"/>
  <c r="BT181" i="183"/>
  <c r="BN181" i="183"/>
  <c r="BH181" i="183"/>
  <c r="BB181" i="183"/>
  <c r="AV181" i="183"/>
  <c r="AP181" i="183"/>
  <c r="AJ181" i="183"/>
  <c r="AD181" i="183"/>
  <c r="X181" i="183"/>
  <c r="T181" i="183"/>
  <c r="I181" i="183"/>
  <c r="GD180" i="183"/>
  <c r="EZ180" i="183"/>
  <c r="DV180" i="183"/>
  <c r="CR180" i="183"/>
  <c r="CL180" i="183"/>
  <c r="CF180" i="183"/>
  <c r="BZ180" i="183"/>
  <c r="BT180" i="183"/>
  <c r="BN180" i="183"/>
  <c r="BH180" i="183"/>
  <c r="BB180" i="183"/>
  <c r="AV180" i="183"/>
  <c r="AP180" i="183"/>
  <c r="AJ180" i="183"/>
  <c r="AD180" i="183"/>
  <c r="X180" i="183"/>
  <c r="T180" i="183"/>
  <c r="I180" i="183"/>
  <c r="T179" i="183"/>
  <c r="I179" i="183"/>
  <c r="T178" i="183"/>
  <c r="I178" i="183"/>
  <c r="T177" i="183"/>
  <c r="I177" i="183"/>
  <c r="T176" i="183"/>
  <c r="I176" i="183"/>
  <c r="GD175" i="183"/>
  <c r="EZ175" i="183"/>
  <c r="DV175" i="183"/>
  <c r="CR175" i="183"/>
  <c r="CL175" i="183"/>
  <c r="CF175" i="183"/>
  <c r="BZ175" i="183"/>
  <c r="BT175" i="183"/>
  <c r="BN175" i="183"/>
  <c r="BH175" i="183"/>
  <c r="BB175" i="183"/>
  <c r="AV175" i="183"/>
  <c r="AP175" i="183"/>
  <c r="AJ175" i="183"/>
  <c r="AD175" i="183"/>
  <c r="X175" i="183"/>
  <c r="T175" i="183"/>
  <c r="I175" i="183"/>
  <c r="GD174" i="183"/>
  <c r="EZ174" i="183"/>
  <c r="DV174" i="183"/>
  <c r="CR174" i="183"/>
  <c r="CL174" i="183"/>
  <c r="CF174" i="183"/>
  <c r="BZ174" i="183"/>
  <c r="BT174" i="183"/>
  <c r="BN174" i="183"/>
  <c r="BH174" i="183"/>
  <c r="BB174" i="183"/>
  <c r="AV174" i="183"/>
  <c r="AP174" i="183"/>
  <c r="AJ174" i="183"/>
  <c r="AD174" i="183"/>
  <c r="X174" i="183"/>
  <c r="T174" i="183"/>
  <c r="I174" i="183"/>
  <c r="T173" i="183"/>
  <c r="I173" i="183"/>
  <c r="T172" i="183"/>
  <c r="I172" i="183"/>
  <c r="T171" i="183"/>
  <c r="I171" i="183"/>
  <c r="T170" i="183"/>
  <c r="I170" i="183"/>
  <c r="T169" i="183"/>
  <c r="I169" i="183"/>
  <c r="T168" i="183"/>
  <c r="I168" i="183"/>
  <c r="T167" i="183"/>
  <c r="I167" i="183"/>
  <c r="GD166" i="183"/>
  <c r="EZ166" i="183"/>
  <c r="DV166" i="183"/>
  <c r="CR166" i="183"/>
  <c r="CL166" i="183"/>
  <c r="CF166" i="183"/>
  <c r="BZ166" i="183"/>
  <c r="BT166" i="183"/>
  <c r="BN166" i="183"/>
  <c r="BH166" i="183"/>
  <c r="BB166" i="183"/>
  <c r="AV166" i="183"/>
  <c r="AP166" i="183"/>
  <c r="AJ166" i="183"/>
  <c r="AD166" i="183"/>
  <c r="X166" i="183"/>
  <c r="T166" i="183"/>
  <c r="I166" i="183"/>
  <c r="T165" i="183"/>
  <c r="I165" i="183"/>
  <c r="GD164" i="183"/>
  <c r="EZ164" i="183"/>
  <c r="DV164" i="183"/>
  <c r="CR164" i="183"/>
  <c r="CL164" i="183"/>
  <c r="CF164" i="183"/>
  <c r="BZ164" i="183"/>
  <c r="BT164" i="183"/>
  <c r="BN164" i="183"/>
  <c r="BH164" i="183"/>
  <c r="BB164" i="183"/>
  <c r="AV164" i="183"/>
  <c r="AP164" i="183"/>
  <c r="AJ164" i="183"/>
  <c r="AD164" i="183"/>
  <c r="X164" i="183"/>
  <c r="T164" i="183"/>
  <c r="I164" i="183"/>
  <c r="T163" i="183"/>
  <c r="I163" i="183"/>
  <c r="GD162" i="183"/>
  <c r="EZ162" i="183"/>
  <c r="DV162" i="183"/>
  <c r="CR162" i="183"/>
  <c r="CL162" i="183"/>
  <c r="CF162" i="183"/>
  <c r="BZ162" i="183"/>
  <c r="BT162" i="183"/>
  <c r="BN162" i="183"/>
  <c r="BH162" i="183"/>
  <c r="BB162" i="183"/>
  <c r="AV162" i="183"/>
  <c r="AP162" i="183"/>
  <c r="AJ162" i="183"/>
  <c r="AD162" i="183"/>
  <c r="X162" i="183"/>
  <c r="T162" i="183"/>
  <c r="I162" i="183"/>
  <c r="T161" i="183"/>
  <c r="I161" i="183"/>
  <c r="T160" i="183"/>
  <c r="I160" i="183"/>
  <c r="GE159" i="183"/>
  <c r="FA159" i="183"/>
  <c r="DW159" i="183"/>
  <c r="CS159" i="183"/>
  <c r="CM159" i="183"/>
  <c r="CG159" i="183"/>
  <c r="CA159" i="183"/>
  <c r="BU159" i="183"/>
  <c r="BO159" i="183"/>
  <c r="BI159" i="183"/>
  <c r="BC159" i="183"/>
  <c r="AW159" i="183"/>
  <c r="AQ159" i="183"/>
  <c r="AK159" i="183"/>
  <c r="AE159" i="183"/>
  <c r="Y159" i="183"/>
  <c r="T159" i="183"/>
  <c r="I159" i="183"/>
  <c r="T158" i="183"/>
  <c r="I158" i="183"/>
  <c r="GE157" i="183"/>
  <c r="FA157" i="183"/>
  <c r="DW157" i="183"/>
  <c r="CS157" i="183"/>
  <c r="CM157" i="183"/>
  <c r="CG157" i="183"/>
  <c r="CA157" i="183"/>
  <c r="BU157" i="183"/>
  <c r="BO157" i="183"/>
  <c r="BI157" i="183"/>
  <c r="BC157" i="183"/>
  <c r="AW157" i="183"/>
  <c r="AQ157" i="183"/>
  <c r="AK157" i="183"/>
  <c r="AE157" i="183"/>
  <c r="Y157" i="183"/>
  <c r="T157" i="183"/>
  <c r="I157" i="183"/>
  <c r="GE156" i="183"/>
  <c r="FA156" i="183"/>
  <c r="DW156" i="183"/>
  <c r="CS156" i="183"/>
  <c r="CM156" i="183"/>
  <c r="CG156" i="183"/>
  <c r="CA156" i="183"/>
  <c r="BU156" i="183"/>
  <c r="BO156" i="183"/>
  <c r="BI156" i="183"/>
  <c r="BC156" i="183"/>
  <c r="AW156" i="183"/>
  <c r="AQ156" i="183"/>
  <c r="AK156" i="183"/>
  <c r="AE156" i="183"/>
  <c r="Y156" i="183"/>
  <c r="T156" i="183"/>
  <c r="I156" i="183"/>
  <c r="T155" i="183"/>
  <c r="I155" i="183"/>
  <c r="GE154" i="183"/>
  <c r="FA154" i="183"/>
  <c r="DW154" i="183"/>
  <c r="CS154" i="183"/>
  <c r="CM154" i="183"/>
  <c r="CG154" i="183"/>
  <c r="CA154" i="183"/>
  <c r="BU154" i="183"/>
  <c r="BO154" i="183"/>
  <c r="BI154" i="183"/>
  <c r="BC154" i="183"/>
  <c r="AW154" i="183"/>
  <c r="AQ154" i="183"/>
  <c r="AK154" i="183"/>
  <c r="AE154" i="183"/>
  <c r="Y154" i="183"/>
  <c r="T154" i="183"/>
  <c r="I154" i="183"/>
  <c r="T153" i="183"/>
  <c r="I153" i="183"/>
  <c r="T152" i="183"/>
  <c r="I152" i="183"/>
  <c r="T151" i="183"/>
  <c r="I151" i="183"/>
  <c r="T150" i="183"/>
  <c r="I150" i="183"/>
  <c r="T149" i="183"/>
  <c r="I149" i="183"/>
  <c r="T148" i="183"/>
  <c r="I148" i="183"/>
  <c r="T147" i="183"/>
  <c r="I147" i="183"/>
  <c r="T146" i="183"/>
  <c r="I146" i="183"/>
  <c r="T145" i="183"/>
  <c r="I145" i="183"/>
  <c r="GE144" i="183"/>
  <c r="FA144" i="183"/>
  <c r="DW144" i="183"/>
  <c r="CS144" i="183"/>
  <c r="CM144" i="183"/>
  <c r="CG144" i="183"/>
  <c r="CA144" i="183"/>
  <c r="BU144" i="183"/>
  <c r="BO144" i="183"/>
  <c r="BI144" i="183"/>
  <c r="BC144" i="183"/>
  <c r="AW144" i="183"/>
  <c r="AQ144" i="183"/>
  <c r="AK144" i="183"/>
  <c r="AE144" i="183"/>
  <c r="Y144" i="183"/>
  <c r="T144" i="183"/>
  <c r="I144" i="183"/>
  <c r="T143" i="183"/>
  <c r="I143" i="183"/>
  <c r="T142" i="183"/>
  <c r="I142" i="183"/>
  <c r="GE141" i="183"/>
  <c r="FA141" i="183"/>
  <c r="DW141" i="183"/>
  <c r="CS141" i="183"/>
  <c r="CM141" i="183"/>
  <c r="CG141" i="183"/>
  <c r="CA141" i="183"/>
  <c r="BU141" i="183"/>
  <c r="BO141" i="183"/>
  <c r="BI141" i="183"/>
  <c r="BC141" i="183"/>
  <c r="AW141" i="183"/>
  <c r="AQ141" i="183"/>
  <c r="AK141" i="183"/>
  <c r="AE141" i="183"/>
  <c r="Y141" i="183"/>
  <c r="T141" i="183"/>
  <c r="I141" i="183"/>
  <c r="GE140" i="183"/>
  <c r="FA140" i="183"/>
  <c r="DW140" i="183"/>
  <c r="CS140" i="183"/>
  <c r="CM140" i="183"/>
  <c r="CG140" i="183"/>
  <c r="CA140" i="183"/>
  <c r="BU140" i="183"/>
  <c r="BO140" i="183"/>
  <c r="BI140" i="183"/>
  <c r="BC140" i="183"/>
  <c r="AW140" i="183"/>
  <c r="AQ140" i="183"/>
  <c r="AK140" i="183"/>
  <c r="AE140" i="183"/>
  <c r="Y140" i="183"/>
  <c r="T140" i="183"/>
  <c r="I140" i="183"/>
  <c r="GE139" i="183"/>
  <c r="FA139" i="183"/>
  <c r="DW139" i="183"/>
  <c r="CS139" i="183"/>
  <c r="CM139" i="183"/>
  <c r="CG139" i="183"/>
  <c r="CA139" i="183"/>
  <c r="BU139" i="183"/>
  <c r="BO139" i="183"/>
  <c r="BI139" i="183"/>
  <c r="BC139" i="183"/>
  <c r="AW139" i="183"/>
  <c r="AQ139" i="183"/>
  <c r="AK139" i="183"/>
  <c r="AE139" i="183"/>
  <c r="Y139" i="183"/>
  <c r="T139" i="183"/>
  <c r="I139" i="183"/>
  <c r="T138" i="183"/>
  <c r="I138" i="183"/>
  <c r="T137" i="183"/>
  <c r="I137" i="183"/>
  <c r="GE136" i="183"/>
  <c r="FA136" i="183"/>
  <c r="DW136" i="183"/>
  <c r="CS136" i="183"/>
  <c r="CM136" i="183"/>
  <c r="CG136" i="183"/>
  <c r="CA136" i="183"/>
  <c r="BU136" i="183"/>
  <c r="BO136" i="183"/>
  <c r="BI136" i="183"/>
  <c r="BC136" i="183"/>
  <c r="AW136" i="183"/>
  <c r="AQ136" i="183"/>
  <c r="AK136" i="183"/>
  <c r="AE136" i="183"/>
  <c r="Y136" i="183"/>
  <c r="T136" i="183"/>
  <c r="I136" i="183"/>
  <c r="GE135" i="183"/>
  <c r="FA135" i="183"/>
  <c r="DW135" i="183"/>
  <c r="CS135" i="183"/>
  <c r="CM135" i="183"/>
  <c r="CG135" i="183"/>
  <c r="CA135" i="183"/>
  <c r="BU135" i="183"/>
  <c r="BO135" i="183"/>
  <c r="BI135" i="183"/>
  <c r="BC135" i="183"/>
  <c r="AW135" i="183"/>
  <c r="AQ135" i="183"/>
  <c r="AK135" i="183"/>
  <c r="AE135" i="183"/>
  <c r="Y135" i="183"/>
  <c r="T135" i="183"/>
  <c r="I135" i="183"/>
  <c r="GE134" i="183"/>
  <c r="FA134" i="183"/>
  <c r="DW134" i="183"/>
  <c r="CS134" i="183"/>
  <c r="CM134" i="183"/>
  <c r="CG134" i="183"/>
  <c r="CA134" i="183"/>
  <c r="BU134" i="183"/>
  <c r="BO134" i="183"/>
  <c r="BI134" i="183"/>
  <c r="BC134" i="183"/>
  <c r="AW134" i="183"/>
  <c r="AQ134" i="183"/>
  <c r="AK134" i="183"/>
  <c r="AE134" i="183"/>
  <c r="Y134" i="183"/>
  <c r="T134" i="183"/>
  <c r="I134" i="183"/>
  <c r="GE133" i="183"/>
  <c r="FA133" i="183"/>
  <c r="DW133" i="183"/>
  <c r="CS133" i="183"/>
  <c r="CM133" i="183"/>
  <c r="CG133" i="183"/>
  <c r="CA133" i="183"/>
  <c r="BU133" i="183"/>
  <c r="BO133" i="183"/>
  <c r="BI133" i="183"/>
  <c r="BC133" i="183"/>
  <c r="AW133" i="183"/>
  <c r="AQ133" i="183"/>
  <c r="AK133" i="183"/>
  <c r="AE133" i="183"/>
  <c r="Y133" i="183"/>
  <c r="T133" i="183"/>
  <c r="I133" i="183"/>
  <c r="T132" i="183"/>
  <c r="I132" i="183"/>
  <c r="GE131" i="183"/>
  <c r="FA131" i="183"/>
  <c r="DW131" i="183"/>
  <c r="CS131" i="183"/>
  <c r="CM131" i="183"/>
  <c r="CG131" i="183"/>
  <c r="CA131" i="183"/>
  <c r="BU131" i="183"/>
  <c r="BO131" i="183"/>
  <c r="BI131" i="183"/>
  <c r="BC131" i="183"/>
  <c r="AW131" i="183"/>
  <c r="AQ131" i="183"/>
  <c r="AK131" i="183"/>
  <c r="AE131" i="183"/>
  <c r="Y131" i="183"/>
  <c r="T131" i="183"/>
  <c r="I131" i="183"/>
  <c r="GE130" i="183"/>
  <c r="FA130" i="183"/>
  <c r="DW130" i="183"/>
  <c r="CS130" i="183"/>
  <c r="CM130" i="183"/>
  <c r="CG130" i="183"/>
  <c r="CA130" i="183"/>
  <c r="BU130" i="183"/>
  <c r="BO130" i="183"/>
  <c r="BI130" i="183"/>
  <c r="BC130" i="183"/>
  <c r="AW130" i="183"/>
  <c r="AQ130" i="183"/>
  <c r="AK130" i="183"/>
  <c r="AE130" i="183"/>
  <c r="Y130" i="183"/>
  <c r="T130" i="183"/>
  <c r="I130" i="183"/>
  <c r="GE129" i="183"/>
  <c r="FA129" i="183"/>
  <c r="DW129" i="183"/>
  <c r="CS129" i="183"/>
  <c r="CM129" i="183"/>
  <c r="CG129" i="183"/>
  <c r="CA129" i="183"/>
  <c r="BU129" i="183"/>
  <c r="BO129" i="183"/>
  <c r="BI129" i="183"/>
  <c r="BC129" i="183"/>
  <c r="AW129" i="183"/>
  <c r="AQ129" i="183"/>
  <c r="AK129" i="183"/>
  <c r="AE129" i="183"/>
  <c r="Y129" i="183"/>
  <c r="T129" i="183"/>
  <c r="I129" i="183"/>
  <c r="T128" i="183"/>
  <c r="I128" i="183"/>
  <c r="GE127" i="183"/>
  <c r="FA127" i="183"/>
  <c r="DW127" i="183"/>
  <c r="CS127" i="183"/>
  <c r="CM127" i="183"/>
  <c r="CG127" i="183"/>
  <c r="CA127" i="183"/>
  <c r="BU127" i="183"/>
  <c r="BO127" i="183"/>
  <c r="BI127" i="183"/>
  <c r="BC127" i="183"/>
  <c r="AW127" i="183"/>
  <c r="AQ127" i="183"/>
  <c r="AK127" i="183"/>
  <c r="AE127" i="183"/>
  <c r="Y127" i="183"/>
  <c r="T127" i="183"/>
  <c r="I127" i="183"/>
  <c r="T126" i="183"/>
  <c r="I126" i="183"/>
  <c r="GE125" i="183"/>
  <c r="FA125" i="183"/>
  <c r="DW125" i="183"/>
  <c r="CS125" i="183"/>
  <c r="CM125" i="183"/>
  <c r="CG125" i="183"/>
  <c r="CA125" i="183"/>
  <c r="BU125" i="183"/>
  <c r="BO125" i="183"/>
  <c r="BI125" i="183"/>
  <c r="BC125" i="183"/>
  <c r="AW125" i="183"/>
  <c r="AQ125" i="183"/>
  <c r="AK125" i="183"/>
  <c r="AE125" i="183"/>
  <c r="Y125" i="183"/>
  <c r="T125" i="183"/>
  <c r="I125" i="183"/>
  <c r="GE124" i="183"/>
  <c r="FA124" i="183"/>
  <c r="DW124" i="183"/>
  <c r="CS124" i="183"/>
  <c r="CM124" i="183"/>
  <c r="CG124" i="183"/>
  <c r="CA124" i="183"/>
  <c r="BU124" i="183"/>
  <c r="BO124" i="183"/>
  <c r="BI124" i="183"/>
  <c r="BC124" i="183"/>
  <c r="AW124" i="183"/>
  <c r="AQ124" i="183"/>
  <c r="AK124" i="183"/>
  <c r="AE124" i="183"/>
  <c r="Y124" i="183"/>
  <c r="T124" i="183"/>
  <c r="I124" i="183"/>
  <c r="T123" i="183"/>
  <c r="I123" i="183"/>
  <c r="T122" i="183"/>
  <c r="I122" i="183"/>
  <c r="T121" i="183"/>
  <c r="I121" i="183"/>
  <c r="GE120" i="183"/>
  <c r="FA120" i="183"/>
  <c r="DW120" i="183"/>
  <c r="CS120" i="183"/>
  <c r="CM120" i="183"/>
  <c r="CG120" i="183"/>
  <c r="CA120" i="183"/>
  <c r="BU120" i="183"/>
  <c r="BO120" i="183"/>
  <c r="BI120" i="183"/>
  <c r="BC120" i="183"/>
  <c r="AW120" i="183"/>
  <c r="AQ120" i="183"/>
  <c r="AK120" i="183"/>
  <c r="AE120" i="183"/>
  <c r="Y120" i="183"/>
  <c r="T120" i="183"/>
  <c r="I120" i="183"/>
  <c r="T119" i="183"/>
  <c r="I119" i="183"/>
  <c r="T118" i="183"/>
  <c r="I118" i="183"/>
  <c r="T117" i="183"/>
  <c r="I117" i="183"/>
  <c r="T116" i="183"/>
  <c r="I116" i="183"/>
  <c r="GE115" i="183"/>
  <c r="FA115" i="183"/>
  <c r="DW115" i="183"/>
  <c r="CS115" i="183"/>
  <c r="CM115" i="183"/>
  <c r="CG115" i="183"/>
  <c r="CA115" i="183"/>
  <c r="BU115" i="183"/>
  <c r="BO115" i="183"/>
  <c r="BI115" i="183"/>
  <c r="BC115" i="183"/>
  <c r="AW115" i="183"/>
  <c r="AQ115" i="183"/>
  <c r="AK115" i="183"/>
  <c r="AE115" i="183"/>
  <c r="Y115" i="183"/>
  <c r="T115" i="183"/>
  <c r="I115" i="183"/>
  <c r="T114" i="183"/>
  <c r="I114" i="183"/>
  <c r="GD113" i="183"/>
  <c r="EZ113" i="183"/>
  <c r="DV113" i="183"/>
  <c r="CR113" i="183"/>
  <c r="CL113" i="183"/>
  <c r="CF113" i="183"/>
  <c r="BZ113" i="183"/>
  <c r="BT113" i="183"/>
  <c r="BN113" i="183"/>
  <c r="BH113" i="183"/>
  <c r="BB113" i="183"/>
  <c r="AV113" i="183"/>
  <c r="AP113" i="183"/>
  <c r="AJ113" i="183"/>
  <c r="AD113" i="183"/>
  <c r="X113" i="183"/>
  <c r="T113" i="183"/>
  <c r="I113" i="183"/>
  <c r="GD112" i="183"/>
  <c r="EZ112" i="183"/>
  <c r="DV112" i="183"/>
  <c r="CR112" i="183"/>
  <c r="CL112" i="183"/>
  <c r="CF112" i="183"/>
  <c r="BZ112" i="183"/>
  <c r="BT112" i="183"/>
  <c r="BN112" i="183"/>
  <c r="BH112" i="183"/>
  <c r="BB112" i="183"/>
  <c r="AV112" i="183"/>
  <c r="AP112" i="183"/>
  <c r="AJ112" i="183"/>
  <c r="AD112" i="183"/>
  <c r="X112" i="183"/>
  <c r="T112" i="183"/>
  <c r="I112" i="183"/>
  <c r="GD111" i="183"/>
  <c r="EZ111" i="183"/>
  <c r="DV111" i="183"/>
  <c r="CR111" i="183"/>
  <c r="CL111" i="183"/>
  <c r="CF111" i="183"/>
  <c r="BZ111" i="183"/>
  <c r="BT111" i="183"/>
  <c r="BN111" i="183"/>
  <c r="BH111" i="183"/>
  <c r="BB111" i="183"/>
  <c r="AV111" i="183"/>
  <c r="AP111" i="183"/>
  <c r="AJ111" i="183"/>
  <c r="AD111" i="183"/>
  <c r="X111" i="183"/>
  <c r="T111" i="183"/>
  <c r="I111" i="183"/>
  <c r="GD110" i="183"/>
  <c r="EZ110" i="183"/>
  <c r="DV110" i="183"/>
  <c r="CR110" i="183"/>
  <c r="CL110" i="183"/>
  <c r="CF110" i="183"/>
  <c r="BZ110" i="183"/>
  <c r="BT110" i="183"/>
  <c r="BN110" i="183"/>
  <c r="BH110" i="183"/>
  <c r="BB110" i="183"/>
  <c r="AV110" i="183"/>
  <c r="AP110" i="183"/>
  <c r="AJ110" i="183"/>
  <c r="AD110" i="183"/>
  <c r="X110" i="183"/>
  <c r="T110" i="183"/>
  <c r="I110" i="183"/>
  <c r="GD109" i="183"/>
  <c r="EZ109" i="183"/>
  <c r="DV109" i="183"/>
  <c r="CR109" i="183"/>
  <c r="CL109" i="183"/>
  <c r="CF109" i="183"/>
  <c r="BZ109" i="183"/>
  <c r="BT109" i="183"/>
  <c r="BN109" i="183"/>
  <c r="BH109" i="183"/>
  <c r="BB109" i="183"/>
  <c r="AV109" i="183"/>
  <c r="AP109" i="183"/>
  <c r="AJ109" i="183"/>
  <c r="AD109" i="183"/>
  <c r="X109" i="183"/>
  <c r="T109" i="183"/>
  <c r="I109" i="183"/>
  <c r="GD108" i="183"/>
  <c r="EZ108" i="183"/>
  <c r="DV108" i="183"/>
  <c r="CR108" i="183"/>
  <c r="CL108" i="183"/>
  <c r="CF108" i="183"/>
  <c r="BZ108" i="183"/>
  <c r="BT108" i="183"/>
  <c r="BN108" i="183"/>
  <c r="BH108" i="183"/>
  <c r="BB108" i="183"/>
  <c r="AV108" i="183"/>
  <c r="AP108" i="183"/>
  <c r="AJ108" i="183"/>
  <c r="AD108" i="183"/>
  <c r="X108" i="183"/>
  <c r="T108" i="183"/>
  <c r="I108" i="183"/>
  <c r="T107" i="183"/>
  <c r="I107" i="183"/>
  <c r="GD106" i="183"/>
  <c r="EZ106" i="183"/>
  <c r="DV106" i="183"/>
  <c r="CR106" i="183"/>
  <c r="CL106" i="183"/>
  <c r="CF106" i="183"/>
  <c r="BZ106" i="183"/>
  <c r="BT106" i="183"/>
  <c r="BN106" i="183"/>
  <c r="BH106" i="183"/>
  <c r="BB106" i="183"/>
  <c r="AV106" i="183"/>
  <c r="AP106" i="183"/>
  <c r="AJ106" i="183"/>
  <c r="AD106" i="183"/>
  <c r="X106" i="183"/>
  <c r="T106" i="183"/>
  <c r="I106" i="183"/>
  <c r="GD105" i="183"/>
  <c r="EZ105" i="183"/>
  <c r="DV105" i="183"/>
  <c r="CR105" i="183"/>
  <c r="CL105" i="183"/>
  <c r="CF105" i="183"/>
  <c r="BZ105" i="183"/>
  <c r="BT105" i="183"/>
  <c r="BN105" i="183"/>
  <c r="BH105" i="183"/>
  <c r="BB105" i="183"/>
  <c r="AV105" i="183"/>
  <c r="AP105" i="183"/>
  <c r="AJ105" i="183"/>
  <c r="AD105" i="183"/>
  <c r="X105" i="183"/>
  <c r="T105" i="183"/>
  <c r="I105" i="183"/>
  <c r="T104" i="183"/>
  <c r="I104" i="183"/>
  <c r="T103" i="183"/>
  <c r="I103" i="183"/>
  <c r="T102" i="183"/>
  <c r="I102" i="183"/>
  <c r="T101" i="183"/>
  <c r="I101" i="183"/>
  <c r="T100" i="183"/>
  <c r="I100" i="183"/>
  <c r="T99" i="183"/>
  <c r="I99" i="183"/>
  <c r="T98" i="183"/>
  <c r="I98" i="183"/>
  <c r="T97" i="183"/>
  <c r="I97" i="183"/>
  <c r="T96" i="183"/>
  <c r="I96" i="183"/>
  <c r="T95" i="183"/>
  <c r="I95" i="183"/>
  <c r="T94" i="183"/>
  <c r="I94" i="183"/>
  <c r="T93" i="183"/>
  <c r="I93" i="183"/>
  <c r="GD92" i="183"/>
  <c r="EZ92" i="183"/>
  <c r="DV92" i="183"/>
  <c r="CR92" i="183"/>
  <c r="CL92" i="183"/>
  <c r="CF92" i="183"/>
  <c r="BZ92" i="183"/>
  <c r="BT92" i="183"/>
  <c r="BN92" i="183"/>
  <c r="BH92" i="183"/>
  <c r="BB92" i="183"/>
  <c r="AV92" i="183"/>
  <c r="AP92" i="183"/>
  <c r="AJ92" i="183"/>
  <c r="AD92" i="183"/>
  <c r="X92" i="183"/>
  <c r="T92" i="183"/>
  <c r="I92" i="183"/>
  <c r="GD91" i="183"/>
  <c r="EZ91" i="183"/>
  <c r="DV91" i="183"/>
  <c r="CR91" i="183"/>
  <c r="CL91" i="183"/>
  <c r="CF91" i="183"/>
  <c r="BZ91" i="183"/>
  <c r="BT91" i="183"/>
  <c r="BN91" i="183"/>
  <c r="BH91" i="183"/>
  <c r="BB91" i="183"/>
  <c r="AV91" i="183"/>
  <c r="AP91" i="183"/>
  <c r="AJ91" i="183"/>
  <c r="AD91" i="183"/>
  <c r="X91" i="183"/>
  <c r="T91" i="183"/>
  <c r="I91" i="183"/>
  <c r="GG90" i="183"/>
  <c r="GF90" i="183"/>
  <c r="GE90" i="183"/>
  <c r="GD90" i="183"/>
  <c r="GC90" i="183"/>
  <c r="FC90" i="183"/>
  <c r="FB90" i="183"/>
  <c r="FA90" i="183"/>
  <c r="EZ90" i="183"/>
  <c r="EY90" i="183"/>
  <c r="DY90" i="183"/>
  <c r="DX90" i="183"/>
  <c r="DW90" i="183"/>
  <c r="DV90" i="183"/>
  <c r="DU90" i="183"/>
  <c r="CU90" i="183"/>
  <c r="CT90" i="183"/>
  <c r="CS90" i="183"/>
  <c r="CR90" i="183"/>
  <c r="CQ90" i="183"/>
  <c r="CO90" i="183"/>
  <c r="CN90" i="183"/>
  <c r="CM90" i="183"/>
  <c r="CL90" i="183"/>
  <c r="CK90" i="183"/>
  <c r="CI90" i="183"/>
  <c r="CH90" i="183"/>
  <c r="CG90" i="183"/>
  <c r="CF90" i="183"/>
  <c r="CE90" i="183"/>
  <c r="CC90" i="183"/>
  <c r="CB90" i="183"/>
  <c r="CA90" i="183"/>
  <c r="BZ90" i="183"/>
  <c r="BY90" i="183"/>
  <c r="BW90" i="183"/>
  <c r="BV90" i="183"/>
  <c r="BU90" i="183"/>
  <c r="BT90" i="183"/>
  <c r="BS90" i="183"/>
  <c r="BQ90" i="183"/>
  <c r="BP90" i="183"/>
  <c r="BO90" i="183"/>
  <c r="BN90" i="183"/>
  <c r="BM90" i="183"/>
  <c r="BK90" i="183"/>
  <c r="BJ90" i="183"/>
  <c r="BI90" i="183"/>
  <c r="BH90" i="183"/>
  <c r="BG90" i="183"/>
  <c r="BE90" i="183"/>
  <c r="BD90" i="183"/>
  <c r="BC90" i="183"/>
  <c r="BB90" i="183"/>
  <c r="BA90" i="183"/>
  <c r="AY90" i="183"/>
  <c r="AX90" i="183"/>
  <c r="AW90" i="183"/>
  <c r="AV90" i="183"/>
  <c r="AU90" i="183"/>
  <c r="AS90" i="183"/>
  <c r="AR90" i="183"/>
  <c r="AQ90" i="183"/>
  <c r="AP90" i="183"/>
  <c r="AO90" i="183"/>
  <c r="AM90" i="183"/>
  <c r="AL90" i="183"/>
  <c r="AK90" i="183"/>
  <c r="AJ90" i="183"/>
  <c r="AI90" i="183"/>
  <c r="AG90" i="183"/>
  <c r="AF90" i="183"/>
  <c r="AE90" i="183"/>
  <c r="AD90" i="183"/>
  <c r="AC90" i="183"/>
  <c r="AA90" i="183"/>
  <c r="Z90" i="183"/>
  <c r="Y90" i="183"/>
  <c r="X90" i="183"/>
  <c r="W90" i="183"/>
  <c r="U90" i="183" s="1"/>
  <c r="T90" i="183"/>
  <c r="I90" i="183"/>
  <c r="T89" i="183"/>
  <c r="I89" i="183"/>
  <c r="T88" i="183"/>
  <c r="I88" i="183"/>
  <c r="T87" i="183"/>
  <c r="I87" i="183"/>
  <c r="T86" i="183"/>
  <c r="I86" i="183"/>
  <c r="T85" i="183"/>
  <c r="I85" i="183"/>
  <c r="T84" i="183"/>
  <c r="I84" i="183"/>
  <c r="GD83" i="183"/>
  <c r="EZ83" i="183"/>
  <c r="DV83" i="183"/>
  <c r="CR83" i="183"/>
  <c r="CL83" i="183"/>
  <c r="CF83" i="183"/>
  <c r="BZ83" i="183"/>
  <c r="BT83" i="183"/>
  <c r="BN83" i="183"/>
  <c r="BH83" i="183"/>
  <c r="BB83" i="183"/>
  <c r="AV83" i="183"/>
  <c r="AP83" i="183"/>
  <c r="AJ83" i="183"/>
  <c r="AD83" i="183"/>
  <c r="X83" i="183"/>
  <c r="T83" i="183"/>
  <c r="I83" i="183"/>
  <c r="GD82" i="183"/>
  <c r="EZ82" i="183"/>
  <c r="DV82" i="183"/>
  <c r="CR82" i="183"/>
  <c r="CL82" i="183"/>
  <c r="CF82" i="183"/>
  <c r="BZ82" i="183"/>
  <c r="BT82" i="183"/>
  <c r="BN82" i="183"/>
  <c r="BH82" i="183"/>
  <c r="BB82" i="183"/>
  <c r="AV82" i="183"/>
  <c r="AP82" i="183"/>
  <c r="AJ82" i="183"/>
  <c r="AD82" i="183"/>
  <c r="X82" i="183"/>
  <c r="T82" i="183"/>
  <c r="I82" i="183"/>
  <c r="GD81" i="183"/>
  <c r="EZ81" i="183"/>
  <c r="DV81" i="183"/>
  <c r="CR81" i="183"/>
  <c r="CL81" i="183"/>
  <c r="CF81" i="183"/>
  <c r="BZ81" i="183"/>
  <c r="BT81" i="183"/>
  <c r="BN81" i="183"/>
  <c r="BH81" i="183"/>
  <c r="BB81" i="183"/>
  <c r="AV81" i="183"/>
  <c r="AP81" i="183"/>
  <c r="AJ81" i="183"/>
  <c r="AD81" i="183"/>
  <c r="X81" i="183"/>
  <c r="T81" i="183"/>
  <c r="I81" i="183"/>
  <c r="GD80" i="183"/>
  <c r="EZ80" i="183"/>
  <c r="DV80" i="183"/>
  <c r="CR80" i="183"/>
  <c r="CL80" i="183"/>
  <c r="CF80" i="183"/>
  <c r="BZ80" i="183"/>
  <c r="BT80" i="183"/>
  <c r="BN80" i="183"/>
  <c r="BH80" i="183"/>
  <c r="BB80" i="183"/>
  <c r="AV80" i="183"/>
  <c r="AP80" i="183"/>
  <c r="AJ80" i="183"/>
  <c r="AD80" i="183"/>
  <c r="X80" i="183"/>
  <c r="T80" i="183"/>
  <c r="I80" i="183"/>
  <c r="T79" i="183"/>
  <c r="I79" i="183"/>
  <c r="T78" i="183"/>
  <c r="I78" i="183"/>
  <c r="T77" i="183"/>
  <c r="I77" i="183"/>
  <c r="T76" i="183"/>
  <c r="I76" i="183"/>
  <c r="T75" i="183"/>
  <c r="I75" i="183"/>
  <c r="T74" i="183"/>
  <c r="I74" i="183"/>
  <c r="T73" i="183"/>
  <c r="I73" i="183"/>
  <c r="T72" i="183"/>
  <c r="I72" i="183"/>
  <c r="GD71" i="183"/>
  <c r="EZ71" i="183"/>
  <c r="DV71" i="183"/>
  <c r="CR71" i="183"/>
  <c r="CL71" i="183"/>
  <c r="CF71" i="183"/>
  <c r="BZ71" i="183"/>
  <c r="BT71" i="183"/>
  <c r="BN71" i="183"/>
  <c r="BH71" i="183"/>
  <c r="BB71" i="183"/>
  <c r="AV71" i="183"/>
  <c r="AP71" i="183"/>
  <c r="AJ71" i="183"/>
  <c r="AD71" i="183"/>
  <c r="X71" i="183"/>
  <c r="T71" i="183"/>
  <c r="I71" i="183"/>
  <c r="T70" i="183"/>
  <c r="I70" i="183"/>
  <c r="T69" i="183"/>
  <c r="I69" i="183"/>
  <c r="T68" i="183"/>
  <c r="I68" i="183"/>
  <c r="T67" i="183"/>
  <c r="I67" i="183"/>
  <c r="T66" i="183"/>
  <c r="I66" i="183"/>
  <c r="T65" i="183"/>
  <c r="I65" i="183"/>
  <c r="T64" i="183"/>
  <c r="I64" i="183"/>
  <c r="T63" i="183"/>
  <c r="I63" i="183"/>
  <c r="T62" i="183"/>
  <c r="I62" i="183"/>
  <c r="T61" i="183"/>
  <c r="I61" i="183"/>
  <c r="T60" i="183"/>
  <c r="I60" i="183"/>
  <c r="T59" i="183"/>
  <c r="I59" i="183"/>
  <c r="T58" i="183"/>
  <c r="I58" i="183"/>
  <c r="T57" i="183"/>
  <c r="I57" i="183"/>
  <c r="T56" i="183"/>
  <c r="I56" i="183"/>
  <c r="T55" i="183"/>
  <c r="I55" i="183"/>
  <c r="T54" i="183"/>
  <c r="I54" i="183"/>
  <c r="T53" i="183"/>
  <c r="I53" i="183"/>
  <c r="T52" i="183"/>
  <c r="I52" i="183"/>
  <c r="T51" i="183"/>
  <c r="I51" i="183"/>
  <c r="T50" i="183"/>
  <c r="I50" i="183"/>
  <c r="T49" i="183"/>
  <c r="I49" i="183"/>
  <c r="T48" i="183"/>
  <c r="I48" i="183"/>
  <c r="T47" i="183"/>
  <c r="I47" i="183"/>
  <c r="T46" i="183"/>
  <c r="I46" i="183"/>
  <c r="T45" i="183"/>
  <c r="I45" i="183"/>
  <c r="GF44" i="183"/>
  <c r="GD44" i="183"/>
  <c r="FZ44" i="183"/>
  <c r="FX44" i="183"/>
  <c r="FB44" i="183"/>
  <c r="EZ44" i="183"/>
  <c r="EV44" i="183"/>
  <c r="ET44" i="183"/>
  <c r="DX44" i="183"/>
  <c r="DV44" i="183"/>
  <c r="DR44" i="183"/>
  <c r="DP44" i="183"/>
  <c r="CT44" i="183"/>
  <c r="CR44" i="183"/>
  <c r="CN44" i="183"/>
  <c r="CL44" i="183"/>
  <c r="CH44" i="183"/>
  <c r="CF44" i="183"/>
  <c r="CB44" i="183"/>
  <c r="BZ44" i="183"/>
  <c r="BV44" i="183"/>
  <c r="BT44" i="183"/>
  <c r="BP44" i="183"/>
  <c r="BN44" i="183"/>
  <c r="BJ44" i="183"/>
  <c r="BH44" i="183"/>
  <c r="BD44" i="183"/>
  <c r="BB44" i="183"/>
  <c r="AX44" i="183"/>
  <c r="AV44" i="183"/>
  <c r="AR44" i="183"/>
  <c r="AP44" i="183"/>
  <c r="AL44" i="183"/>
  <c r="AJ44" i="183"/>
  <c r="AF44" i="183"/>
  <c r="AD44" i="183"/>
  <c r="Z44" i="183"/>
  <c r="X44" i="183"/>
  <c r="T44" i="183"/>
  <c r="O44" i="183"/>
  <c r="I44" i="183"/>
  <c r="C14" i="183"/>
  <c r="C5" i="183"/>
  <c r="GD215" i="182"/>
  <c r="EZ215" i="182"/>
  <c r="DV215" i="182"/>
  <c r="CR215" i="182"/>
  <c r="CL215" i="182"/>
  <c r="CF215" i="182"/>
  <c r="BZ215" i="182"/>
  <c r="BT215" i="182"/>
  <c r="BN215" i="182"/>
  <c r="BH215" i="182"/>
  <c r="BB215" i="182"/>
  <c r="AV215" i="182"/>
  <c r="AP215" i="182"/>
  <c r="AJ215" i="182"/>
  <c r="AD215" i="182"/>
  <c r="X215" i="182"/>
  <c r="T215" i="182"/>
  <c r="I215" i="182"/>
  <c r="GD214" i="182"/>
  <c r="EZ214" i="182"/>
  <c r="DV214" i="182"/>
  <c r="CR214" i="182"/>
  <c r="CL214" i="182"/>
  <c r="CF214" i="182"/>
  <c r="BZ214" i="182"/>
  <c r="BT214" i="182"/>
  <c r="BN214" i="182"/>
  <c r="BH214" i="182"/>
  <c r="BB214" i="182"/>
  <c r="AV214" i="182"/>
  <c r="AP214" i="182"/>
  <c r="AJ214" i="182"/>
  <c r="AD214" i="182"/>
  <c r="X214" i="182"/>
  <c r="T214" i="182"/>
  <c r="I214" i="182"/>
  <c r="T213" i="182"/>
  <c r="I213" i="182"/>
  <c r="GD212" i="182"/>
  <c r="EZ212" i="182"/>
  <c r="DV212" i="182"/>
  <c r="CR212" i="182"/>
  <c r="CL212" i="182"/>
  <c r="CF212" i="182"/>
  <c r="BZ212" i="182"/>
  <c r="BT212" i="182"/>
  <c r="BN212" i="182"/>
  <c r="BH212" i="182"/>
  <c r="BB212" i="182"/>
  <c r="AV212" i="182"/>
  <c r="AP212" i="182"/>
  <c r="AJ212" i="182"/>
  <c r="AD212" i="182"/>
  <c r="X212" i="182"/>
  <c r="T212" i="182"/>
  <c r="I212" i="182"/>
  <c r="GD211" i="182"/>
  <c r="EZ211" i="182"/>
  <c r="DV211" i="182"/>
  <c r="CR211" i="182"/>
  <c r="CL211" i="182"/>
  <c r="CF211" i="182"/>
  <c r="BZ211" i="182"/>
  <c r="BT211" i="182"/>
  <c r="BN211" i="182"/>
  <c r="BH211" i="182"/>
  <c r="BB211" i="182"/>
  <c r="AV211" i="182"/>
  <c r="AP211" i="182"/>
  <c r="AJ211" i="182"/>
  <c r="AD211" i="182"/>
  <c r="X211" i="182"/>
  <c r="T211" i="182"/>
  <c r="I211" i="182"/>
  <c r="GD210" i="182"/>
  <c r="EZ210" i="182"/>
  <c r="DV210" i="182"/>
  <c r="CR210" i="182"/>
  <c r="CL210" i="182"/>
  <c r="CF210" i="182"/>
  <c r="BZ210" i="182"/>
  <c r="BT210" i="182"/>
  <c r="BN210" i="182"/>
  <c r="BH210" i="182"/>
  <c r="BB210" i="182"/>
  <c r="AV210" i="182"/>
  <c r="AP210" i="182"/>
  <c r="AJ210" i="182"/>
  <c r="AD210" i="182"/>
  <c r="X210" i="182"/>
  <c r="T210" i="182"/>
  <c r="I210" i="182"/>
  <c r="GD209" i="182"/>
  <c r="EZ209" i="182"/>
  <c r="DV209" i="182"/>
  <c r="CR209" i="182"/>
  <c r="CL209" i="182"/>
  <c r="CF209" i="182"/>
  <c r="BZ209" i="182"/>
  <c r="BT209" i="182"/>
  <c r="BN209" i="182"/>
  <c r="BH209" i="182"/>
  <c r="BB209" i="182"/>
  <c r="AV209" i="182"/>
  <c r="AP209" i="182"/>
  <c r="AJ209" i="182"/>
  <c r="AD209" i="182"/>
  <c r="X209" i="182"/>
  <c r="T209" i="182"/>
  <c r="I209" i="182"/>
  <c r="GD208" i="182"/>
  <c r="EZ208" i="182"/>
  <c r="DV208" i="182"/>
  <c r="CR208" i="182"/>
  <c r="CL208" i="182"/>
  <c r="CF208" i="182"/>
  <c r="BZ208" i="182"/>
  <c r="BT208" i="182"/>
  <c r="BN208" i="182"/>
  <c r="BH208" i="182"/>
  <c r="BB208" i="182"/>
  <c r="AV208" i="182"/>
  <c r="AP208" i="182"/>
  <c r="AJ208" i="182"/>
  <c r="AD208" i="182"/>
  <c r="X208" i="182"/>
  <c r="T208" i="182"/>
  <c r="I208" i="182"/>
  <c r="GD207" i="182"/>
  <c r="EZ207" i="182"/>
  <c r="DV207" i="182"/>
  <c r="CR207" i="182"/>
  <c r="CL207" i="182"/>
  <c r="CF207" i="182"/>
  <c r="BZ207" i="182"/>
  <c r="BT207" i="182"/>
  <c r="BN207" i="182"/>
  <c r="BH207" i="182"/>
  <c r="BB207" i="182"/>
  <c r="AV207" i="182"/>
  <c r="AP207" i="182"/>
  <c r="AJ207" i="182"/>
  <c r="AD207" i="182"/>
  <c r="X207" i="182"/>
  <c r="T207" i="182"/>
  <c r="I207" i="182"/>
  <c r="T206" i="182"/>
  <c r="I206" i="182"/>
  <c r="T205" i="182"/>
  <c r="I205" i="182"/>
  <c r="T204" i="182"/>
  <c r="I204" i="182"/>
  <c r="GF203" i="182"/>
  <c r="GE203" i="182"/>
  <c r="GD203" i="182"/>
  <c r="GC203" i="182"/>
  <c r="FB203" i="182"/>
  <c r="FA203" i="182"/>
  <c r="EZ203" i="182"/>
  <c r="EY203" i="182"/>
  <c r="DX203" i="182"/>
  <c r="DW203" i="182"/>
  <c r="DV203" i="182"/>
  <c r="DU203" i="182"/>
  <c r="CT203" i="182"/>
  <c r="CS203" i="182"/>
  <c r="CR203" i="182"/>
  <c r="CQ203" i="182"/>
  <c r="CN203" i="182"/>
  <c r="CM203" i="182"/>
  <c r="CL203" i="182"/>
  <c r="CK203" i="182"/>
  <c r="CH203" i="182"/>
  <c r="CG203" i="182"/>
  <c r="CF203" i="182"/>
  <c r="CE203" i="182"/>
  <c r="CB203" i="182"/>
  <c r="CA203" i="182"/>
  <c r="BZ203" i="182"/>
  <c r="BY203" i="182"/>
  <c r="BV203" i="182"/>
  <c r="BU203" i="182"/>
  <c r="BT203" i="182"/>
  <c r="BS203" i="182"/>
  <c r="BP203" i="182"/>
  <c r="BO203" i="182"/>
  <c r="BN203" i="182"/>
  <c r="BM203" i="182"/>
  <c r="BJ203" i="182"/>
  <c r="BI203" i="182"/>
  <c r="BH203" i="182"/>
  <c r="BG203" i="182"/>
  <c r="BD203" i="182"/>
  <c r="BC203" i="182"/>
  <c r="BB203" i="182"/>
  <c r="BA203" i="182"/>
  <c r="AX203" i="182"/>
  <c r="AW203" i="182"/>
  <c r="AV203" i="182"/>
  <c r="AU203" i="182"/>
  <c r="AR203" i="182"/>
  <c r="AQ203" i="182"/>
  <c r="AP203" i="182"/>
  <c r="AO203" i="182"/>
  <c r="AL203" i="182"/>
  <c r="AK203" i="182"/>
  <c r="AJ203" i="182"/>
  <c r="AI203" i="182"/>
  <c r="AF203" i="182"/>
  <c r="AE203" i="182"/>
  <c r="AD203" i="182"/>
  <c r="AC203" i="182"/>
  <c r="Z203" i="182"/>
  <c r="Y203" i="182"/>
  <c r="X203" i="182"/>
  <c r="W203" i="182"/>
  <c r="T203" i="182"/>
  <c r="I203" i="182"/>
  <c r="GF202" i="182"/>
  <c r="GE202" i="182"/>
  <c r="GD202" i="182"/>
  <c r="GC202" i="182"/>
  <c r="FB202" i="182"/>
  <c r="FA202" i="182"/>
  <c r="EZ202" i="182"/>
  <c r="EY202" i="182"/>
  <c r="DX202" i="182"/>
  <c r="DW202" i="182"/>
  <c r="DV202" i="182"/>
  <c r="DU202" i="182"/>
  <c r="CT202" i="182"/>
  <c r="CS202" i="182"/>
  <c r="CR202" i="182"/>
  <c r="CQ202" i="182"/>
  <c r="CN202" i="182"/>
  <c r="CM202" i="182"/>
  <c r="CL202" i="182"/>
  <c r="CK202" i="182"/>
  <c r="CH202" i="182"/>
  <c r="CG202" i="182"/>
  <c r="CF202" i="182"/>
  <c r="CE202" i="182"/>
  <c r="CB202" i="182"/>
  <c r="CA202" i="182"/>
  <c r="BZ202" i="182"/>
  <c r="BY202" i="182"/>
  <c r="BV202" i="182"/>
  <c r="BU202" i="182"/>
  <c r="BT202" i="182"/>
  <c r="BS202" i="182"/>
  <c r="BP202" i="182"/>
  <c r="BO202" i="182"/>
  <c r="BN202" i="182"/>
  <c r="BM202" i="182"/>
  <c r="BJ202" i="182"/>
  <c r="BI202" i="182"/>
  <c r="BH202" i="182"/>
  <c r="BG202" i="182"/>
  <c r="BD202" i="182"/>
  <c r="BC202" i="182"/>
  <c r="BB202" i="182"/>
  <c r="BA202" i="182"/>
  <c r="AX202" i="182"/>
  <c r="AW202" i="182"/>
  <c r="AV202" i="182"/>
  <c r="AU202" i="182"/>
  <c r="AR202" i="182"/>
  <c r="AQ202" i="182"/>
  <c r="AP202" i="182"/>
  <c r="AO202" i="182"/>
  <c r="AL202" i="182"/>
  <c r="AK202" i="182"/>
  <c r="AJ202" i="182"/>
  <c r="AI202" i="182"/>
  <c r="AF202" i="182"/>
  <c r="AE202" i="182"/>
  <c r="AD202" i="182"/>
  <c r="AC202" i="182"/>
  <c r="Z202" i="182"/>
  <c r="Y202" i="182"/>
  <c r="X202" i="182"/>
  <c r="W202" i="182"/>
  <c r="T202" i="182"/>
  <c r="I202" i="182"/>
  <c r="T201" i="182"/>
  <c r="I201" i="182"/>
  <c r="T200" i="182"/>
  <c r="I200" i="182"/>
  <c r="T199" i="182"/>
  <c r="I199" i="182"/>
  <c r="T198" i="182"/>
  <c r="I198" i="182"/>
  <c r="T197" i="182"/>
  <c r="I197" i="182"/>
  <c r="T196" i="182"/>
  <c r="I196" i="182"/>
  <c r="T195" i="182"/>
  <c r="I195" i="182"/>
  <c r="T194" i="182"/>
  <c r="I194" i="182"/>
  <c r="T193" i="182"/>
  <c r="I193" i="182"/>
  <c r="T192" i="182"/>
  <c r="I192" i="182"/>
  <c r="T191" i="182"/>
  <c r="I191" i="182"/>
  <c r="T190" i="182"/>
  <c r="I190" i="182"/>
  <c r="T189" i="182"/>
  <c r="I189" i="182"/>
  <c r="T188" i="182"/>
  <c r="I188" i="182"/>
  <c r="T187" i="182"/>
  <c r="I187" i="182"/>
  <c r="T186" i="182"/>
  <c r="I186" i="182"/>
  <c r="T185" i="182"/>
  <c r="I185" i="182"/>
  <c r="GG184" i="182"/>
  <c r="GF184" i="182"/>
  <c r="GE184" i="182"/>
  <c r="GD184" i="182"/>
  <c r="GC184" i="182"/>
  <c r="FC184" i="182"/>
  <c r="FB184" i="182"/>
  <c r="FA184" i="182"/>
  <c r="EZ184" i="182"/>
  <c r="EY184" i="182"/>
  <c r="DY184" i="182"/>
  <c r="DX184" i="182"/>
  <c r="DW184" i="182"/>
  <c r="DV184" i="182"/>
  <c r="DU184" i="182"/>
  <c r="CU184" i="182"/>
  <c r="CT184" i="182"/>
  <c r="CS184" i="182"/>
  <c r="CR184" i="182"/>
  <c r="CQ184" i="182"/>
  <c r="CO184" i="182"/>
  <c r="CN184" i="182"/>
  <c r="CM184" i="182"/>
  <c r="CL184" i="182"/>
  <c r="CK184" i="182"/>
  <c r="CI184" i="182"/>
  <c r="CH184" i="182"/>
  <c r="CG184" i="182"/>
  <c r="CF184" i="182"/>
  <c r="CE184" i="182"/>
  <c r="CC184" i="182"/>
  <c r="CB184" i="182"/>
  <c r="CA184" i="182"/>
  <c r="BZ184" i="182"/>
  <c r="BY184" i="182"/>
  <c r="BW184" i="182"/>
  <c r="BV184" i="182"/>
  <c r="BU184" i="182"/>
  <c r="BT184" i="182"/>
  <c r="BS184" i="182"/>
  <c r="BQ184" i="182"/>
  <c r="BP184" i="182"/>
  <c r="BO184" i="182"/>
  <c r="BN184" i="182"/>
  <c r="BM184" i="182"/>
  <c r="BK184" i="182"/>
  <c r="BJ184" i="182"/>
  <c r="BI184" i="182"/>
  <c r="BH184" i="182"/>
  <c r="BG184" i="182"/>
  <c r="BE184" i="182"/>
  <c r="BD184" i="182"/>
  <c r="BC184" i="182"/>
  <c r="BB184" i="182"/>
  <c r="BA184" i="182"/>
  <c r="AY184" i="182"/>
  <c r="AX184" i="182"/>
  <c r="AW184" i="182"/>
  <c r="AV184" i="182"/>
  <c r="AU184" i="182"/>
  <c r="AS184" i="182"/>
  <c r="AR184" i="182"/>
  <c r="AQ184" i="182"/>
  <c r="AP184" i="182"/>
  <c r="AO184" i="182"/>
  <c r="AM184" i="182"/>
  <c r="AL184" i="182"/>
  <c r="AK184" i="182"/>
  <c r="AJ184" i="182"/>
  <c r="AI184" i="182"/>
  <c r="AG184" i="182"/>
  <c r="AF184" i="182"/>
  <c r="AE184" i="182"/>
  <c r="AD184" i="182"/>
  <c r="AC184" i="182"/>
  <c r="AA184" i="182"/>
  <c r="Z184" i="182"/>
  <c r="Y184" i="182"/>
  <c r="X184" i="182"/>
  <c r="W184" i="182"/>
  <c r="T184" i="182"/>
  <c r="I184" i="182"/>
  <c r="GG183" i="182"/>
  <c r="GF183" i="182"/>
  <c r="GE183" i="182"/>
  <c r="GD183" i="182"/>
  <c r="GC183" i="182"/>
  <c r="FC183" i="182"/>
  <c r="FB183" i="182"/>
  <c r="FA183" i="182"/>
  <c r="EZ183" i="182"/>
  <c r="EY183" i="182"/>
  <c r="DY183" i="182"/>
  <c r="DX183" i="182"/>
  <c r="DW183" i="182"/>
  <c r="DV183" i="182"/>
  <c r="DU183" i="182"/>
  <c r="CU183" i="182"/>
  <c r="CT183" i="182"/>
  <c r="CS183" i="182"/>
  <c r="CR183" i="182"/>
  <c r="CQ183" i="182"/>
  <c r="CO183" i="182"/>
  <c r="CN183" i="182"/>
  <c r="CM183" i="182"/>
  <c r="CL183" i="182"/>
  <c r="CK183" i="182"/>
  <c r="CI183" i="182"/>
  <c r="CH183" i="182"/>
  <c r="CG183" i="182"/>
  <c r="CF183" i="182"/>
  <c r="CE183" i="182"/>
  <c r="CC183" i="182"/>
  <c r="CB183" i="182"/>
  <c r="CA183" i="182"/>
  <c r="BZ183" i="182"/>
  <c r="BY183" i="182"/>
  <c r="BW183" i="182"/>
  <c r="BV183" i="182"/>
  <c r="BU183" i="182"/>
  <c r="BT183" i="182"/>
  <c r="BS183" i="182"/>
  <c r="BQ183" i="182"/>
  <c r="BP183" i="182"/>
  <c r="BO183" i="182"/>
  <c r="BN183" i="182"/>
  <c r="BM183" i="182"/>
  <c r="BK183" i="182"/>
  <c r="BJ183" i="182"/>
  <c r="BI183" i="182"/>
  <c r="BH183" i="182"/>
  <c r="BG183" i="182"/>
  <c r="BE183" i="182"/>
  <c r="BD183" i="182"/>
  <c r="BC183" i="182"/>
  <c r="BB183" i="182"/>
  <c r="BA183" i="182"/>
  <c r="AY183" i="182"/>
  <c r="AX183" i="182"/>
  <c r="AW183" i="182"/>
  <c r="AV183" i="182"/>
  <c r="AU183" i="182"/>
  <c r="AS183" i="182"/>
  <c r="AR183" i="182"/>
  <c r="AQ183" i="182"/>
  <c r="AP183" i="182"/>
  <c r="AO183" i="182"/>
  <c r="AM183" i="182"/>
  <c r="AL183" i="182"/>
  <c r="AK183" i="182"/>
  <c r="AJ183" i="182"/>
  <c r="AI183" i="182"/>
  <c r="AG183" i="182"/>
  <c r="AF183" i="182"/>
  <c r="AE183" i="182"/>
  <c r="AD183" i="182"/>
  <c r="AC183" i="182"/>
  <c r="AA183" i="182"/>
  <c r="Z183" i="182"/>
  <c r="Y183" i="182"/>
  <c r="X183" i="182"/>
  <c r="W183" i="182"/>
  <c r="T183" i="182"/>
  <c r="I183" i="182"/>
  <c r="GG182" i="182"/>
  <c r="GF182" i="182"/>
  <c r="GE182" i="182"/>
  <c r="GD182" i="182"/>
  <c r="GC182" i="182"/>
  <c r="FC182" i="182"/>
  <c r="FB182" i="182"/>
  <c r="FA182" i="182"/>
  <c r="EZ182" i="182"/>
  <c r="EY182" i="182"/>
  <c r="DY182" i="182"/>
  <c r="DX182" i="182"/>
  <c r="DW182" i="182"/>
  <c r="DV182" i="182"/>
  <c r="DU182" i="182"/>
  <c r="CU182" i="182"/>
  <c r="CT182" i="182"/>
  <c r="CS182" i="182"/>
  <c r="CR182" i="182"/>
  <c r="CQ182" i="182"/>
  <c r="CO182" i="182"/>
  <c r="CN182" i="182"/>
  <c r="CM182" i="182"/>
  <c r="CL182" i="182"/>
  <c r="CK182" i="182"/>
  <c r="CI182" i="182"/>
  <c r="CH182" i="182"/>
  <c r="CG182" i="182"/>
  <c r="CF182" i="182"/>
  <c r="CE182" i="182"/>
  <c r="CC182" i="182"/>
  <c r="CB182" i="182"/>
  <c r="CA182" i="182"/>
  <c r="BZ182" i="182"/>
  <c r="BY182" i="182"/>
  <c r="BW182" i="182"/>
  <c r="BV182" i="182"/>
  <c r="BU182" i="182"/>
  <c r="BT182" i="182"/>
  <c r="BS182" i="182"/>
  <c r="BQ182" i="182"/>
  <c r="BP182" i="182"/>
  <c r="BO182" i="182"/>
  <c r="BN182" i="182"/>
  <c r="BM182" i="182"/>
  <c r="BK182" i="182"/>
  <c r="BJ182" i="182"/>
  <c r="BI182" i="182"/>
  <c r="BH182" i="182"/>
  <c r="BG182" i="182"/>
  <c r="BE182" i="182"/>
  <c r="BD182" i="182"/>
  <c r="BC182" i="182"/>
  <c r="BB182" i="182"/>
  <c r="BA182" i="182"/>
  <c r="AY182" i="182"/>
  <c r="AX182" i="182"/>
  <c r="AW182" i="182"/>
  <c r="AV182" i="182"/>
  <c r="AU182" i="182"/>
  <c r="AS182" i="182"/>
  <c r="AR182" i="182"/>
  <c r="AQ182" i="182"/>
  <c r="AP182" i="182"/>
  <c r="AO182" i="182"/>
  <c r="AM182" i="182"/>
  <c r="AL182" i="182"/>
  <c r="AK182" i="182"/>
  <c r="AJ182" i="182"/>
  <c r="AI182" i="182"/>
  <c r="AG182" i="182"/>
  <c r="AF182" i="182"/>
  <c r="AE182" i="182"/>
  <c r="AD182" i="182"/>
  <c r="AC182" i="182"/>
  <c r="AA182" i="182"/>
  <c r="Z182" i="182"/>
  <c r="Y182" i="182"/>
  <c r="X182" i="182"/>
  <c r="W182" i="182"/>
  <c r="T182" i="182"/>
  <c r="I182" i="182"/>
  <c r="GD181" i="182"/>
  <c r="EZ181" i="182"/>
  <c r="DV181" i="182"/>
  <c r="CR181" i="182"/>
  <c r="CL181" i="182"/>
  <c r="CF181" i="182"/>
  <c r="BZ181" i="182"/>
  <c r="BT181" i="182"/>
  <c r="BN181" i="182"/>
  <c r="BH181" i="182"/>
  <c r="BB181" i="182"/>
  <c r="AV181" i="182"/>
  <c r="AP181" i="182"/>
  <c r="AJ181" i="182"/>
  <c r="AD181" i="182"/>
  <c r="X181" i="182"/>
  <c r="T181" i="182"/>
  <c r="I181" i="182"/>
  <c r="GD180" i="182"/>
  <c r="EZ180" i="182"/>
  <c r="DV180" i="182"/>
  <c r="CR180" i="182"/>
  <c r="CL180" i="182"/>
  <c r="CF180" i="182"/>
  <c r="BZ180" i="182"/>
  <c r="BT180" i="182"/>
  <c r="BN180" i="182"/>
  <c r="BH180" i="182"/>
  <c r="BB180" i="182"/>
  <c r="AV180" i="182"/>
  <c r="AP180" i="182"/>
  <c r="AJ180" i="182"/>
  <c r="AD180" i="182"/>
  <c r="X180" i="182"/>
  <c r="T180" i="182"/>
  <c r="I180" i="182"/>
  <c r="T179" i="182"/>
  <c r="I179" i="182"/>
  <c r="T178" i="182"/>
  <c r="I178" i="182"/>
  <c r="T177" i="182"/>
  <c r="I177" i="182"/>
  <c r="T176" i="182"/>
  <c r="I176" i="182"/>
  <c r="GD175" i="182"/>
  <c r="EZ175" i="182"/>
  <c r="DV175" i="182"/>
  <c r="CR175" i="182"/>
  <c r="CL175" i="182"/>
  <c r="CF175" i="182"/>
  <c r="BZ175" i="182"/>
  <c r="BT175" i="182"/>
  <c r="BN175" i="182"/>
  <c r="BH175" i="182"/>
  <c r="BB175" i="182"/>
  <c r="AV175" i="182"/>
  <c r="AP175" i="182"/>
  <c r="AJ175" i="182"/>
  <c r="AD175" i="182"/>
  <c r="X175" i="182"/>
  <c r="T175" i="182"/>
  <c r="I175" i="182"/>
  <c r="GD174" i="182"/>
  <c r="EZ174" i="182"/>
  <c r="DV174" i="182"/>
  <c r="CR174" i="182"/>
  <c r="CL174" i="182"/>
  <c r="CF174" i="182"/>
  <c r="BZ174" i="182"/>
  <c r="BT174" i="182"/>
  <c r="BN174" i="182"/>
  <c r="BH174" i="182"/>
  <c r="BB174" i="182"/>
  <c r="AV174" i="182"/>
  <c r="AP174" i="182"/>
  <c r="AJ174" i="182"/>
  <c r="AD174" i="182"/>
  <c r="X174" i="182"/>
  <c r="T174" i="182"/>
  <c r="I174" i="182"/>
  <c r="T173" i="182"/>
  <c r="I173" i="182"/>
  <c r="T172" i="182"/>
  <c r="I172" i="182"/>
  <c r="T171" i="182"/>
  <c r="I171" i="182"/>
  <c r="T170" i="182"/>
  <c r="I170" i="182"/>
  <c r="T169" i="182"/>
  <c r="I169" i="182"/>
  <c r="T168" i="182"/>
  <c r="I168" i="182"/>
  <c r="T167" i="182"/>
  <c r="I167" i="182"/>
  <c r="GD166" i="182"/>
  <c r="EZ166" i="182"/>
  <c r="DV166" i="182"/>
  <c r="CR166" i="182"/>
  <c r="CL166" i="182"/>
  <c r="CF166" i="182"/>
  <c r="BZ166" i="182"/>
  <c r="BT166" i="182"/>
  <c r="BN166" i="182"/>
  <c r="BH166" i="182"/>
  <c r="BB166" i="182"/>
  <c r="AV166" i="182"/>
  <c r="AP166" i="182"/>
  <c r="AJ166" i="182"/>
  <c r="AD166" i="182"/>
  <c r="X166" i="182"/>
  <c r="T166" i="182"/>
  <c r="I166" i="182"/>
  <c r="T165" i="182"/>
  <c r="I165" i="182"/>
  <c r="GD164" i="182"/>
  <c r="EZ164" i="182"/>
  <c r="DV164" i="182"/>
  <c r="CR164" i="182"/>
  <c r="CL164" i="182"/>
  <c r="CF164" i="182"/>
  <c r="BZ164" i="182"/>
  <c r="BT164" i="182"/>
  <c r="BN164" i="182"/>
  <c r="BH164" i="182"/>
  <c r="BB164" i="182"/>
  <c r="AV164" i="182"/>
  <c r="AP164" i="182"/>
  <c r="AJ164" i="182"/>
  <c r="AD164" i="182"/>
  <c r="X164" i="182"/>
  <c r="T164" i="182"/>
  <c r="I164" i="182"/>
  <c r="T163" i="182"/>
  <c r="I163" i="182"/>
  <c r="GD162" i="182"/>
  <c r="EZ162" i="182"/>
  <c r="DV162" i="182"/>
  <c r="CR162" i="182"/>
  <c r="CL162" i="182"/>
  <c r="CF162" i="182"/>
  <c r="BZ162" i="182"/>
  <c r="BT162" i="182"/>
  <c r="BN162" i="182"/>
  <c r="BH162" i="182"/>
  <c r="BB162" i="182"/>
  <c r="AV162" i="182"/>
  <c r="AP162" i="182"/>
  <c r="AJ162" i="182"/>
  <c r="AD162" i="182"/>
  <c r="X162" i="182"/>
  <c r="T162" i="182"/>
  <c r="I162" i="182"/>
  <c r="T161" i="182"/>
  <c r="I161" i="182"/>
  <c r="T160" i="182"/>
  <c r="I160" i="182"/>
  <c r="GE159" i="182"/>
  <c r="FA159" i="182"/>
  <c r="DW159" i="182"/>
  <c r="CS159" i="182"/>
  <c r="CM159" i="182"/>
  <c r="CG159" i="182"/>
  <c r="CA159" i="182"/>
  <c r="BU159" i="182"/>
  <c r="BO159" i="182"/>
  <c r="BI159" i="182"/>
  <c r="BC159" i="182"/>
  <c r="AW159" i="182"/>
  <c r="AQ159" i="182"/>
  <c r="AK159" i="182"/>
  <c r="AE159" i="182"/>
  <c r="Y159" i="182"/>
  <c r="T159" i="182"/>
  <c r="I159" i="182"/>
  <c r="T158" i="182"/>
  <c r="I158" i="182"/>
  <c r="GE157" i="182"/>
  <c r="FA157" i="182"/>
  <c r="DW157" i="182"/>
  <c r="CS157" i="182"/>
  <c r="CM157" i="182"/>
  <c r="CG157" i="182"/>
  <c r="CA157" i="182"/>
  <c r="BU157" i="182"/>
  <c r="BO157" i="182"/>
  <c r="BI157" i="182"/>
  <c r="BC157" i="182"/>
  <c r="AW157" i="182"/>
  <c r="AQ157" i="182"/>
  <c r="AK157" i="182"/>
  <c r="AE157" i="182"/>
  <c r="Y157" i="182"/>
  <c r="T157" i="182"/>
  <c r="I157" i="182"/>
  <c r="GE156" i="182"/>
  <c r="FA156" i="182"/>
  <c r="DW156" i="182"/>
  <c r="CS156" i="182"/>
  <c r="CM156" i="182"/>
  <c r="CG156" i="182"/>
  <c r="CA156" i="182"/>
  <c r="BU156" i="182"/>
  <c r="BO156" i="182"/>
  <c r="BI156" i="182"/>
  <c r="BC156" i="182"/>
  <c r="AW156" i="182"/>
  <c r="AQ156" i="182"/>
  <c r="AK156" i="182"/>
  <c r="AE156" i="182"/>
  <c r="Y156" i="182"/>
  <c r="T156" i="182"/>
  <c r="I156" i="182"/>
  <c r="T155" i="182"/>
  <c r="I155" i="182"/>
  <c r="GE154" i="182"/>
  <c r="FA154" i="182"/>
  <c r="DW154" i="182"/>
  <c r="CS154" i="182"/>
  <c r="CM154" i="182"/>
  <c r="CG154" i="182"/>
  <c r="CA154" i="182"/>
  <c r="BU154" i="182"/>
  <c r="BO154" i="182"/>
  <c r="BI154" i="182"/>
  <c r="BC154" i="182"/>
  <c r="AW154" i="182"/>
  <c r="AQ154" i="182"/>
  <c r="AK154" i="182"/>
  <c r="AE154" i="182"/>
  <c r="Y154" i="182"/>
  <c r="T154" i="182"/>
  <c r="I154" i="182"/>
  <c r="T153" i="182"/>
  <c r="I153" i="182"/>
  <c r="T152" i="182"/>
  <c r="I152" i="182"/>
  <c r="T151" i="182"/>
  <c r="I151" i="182"/>
  <c r="T150" i="182"/>
  <c r="I150" i="182"/>
  <c r="T149" i="182"/>
  <c r="I149" i="182"/>
  <c r="T148" i="182"/>
  <c r="I148" i="182"/>
  <c r="T147" i="182"/>
  <c r="I147" i="182"/>
  <c r="T146" i="182"/>
  <c r="I146" i="182"/>
  <c r="T145" i="182"/>
  <c r="I145" i="182"/>
  <c r="GE144" i="182"/>
  <c r="FA144" i="182"/>
  <c r="DW144" i="182"/>
  <c r="CS144" i="182"/>
  <c r="CM144" i="182"/>
  <c r="CG144" i="182"/>
  <c r="CA144" i="182"/>
  <c r="BU144" i="182"/>
  <c r="BO144" i="182"/>
  <c r="BI144" i="182"/>
  <c r="BC144" i="182"/>
  <c r="AW144" i="182"/>
  <c r="AQ144" i="182"/>
  <c r="AK144" i="182"/>
  <c r="AE144" i="182"/>
  <c r="Y144" i="182"/>
  <c r="T144" i="182"/>
  <c r="I144" i="182"/>
  <c r="T143" i="182"/>
  <c r="I143" i="182"/>
  <c r="T142" i="182"/>
  <c r="I142" i="182"/>
  <c r="GE141" i="182"/>
  <c r="FA141" i="182"/>
  <c r="DW141" i="182"/>
  <c r="CS141" i="182"/>
  <c r="CM141" i="182"/>
  <c r="CG141" i="182"/>
  <c r="CA141" i="182"/>
  <c r="BU141" i="182"/>
  <c r="BO141" i="182"/>
  <c r="BI141" i="182"/>
  <c r="BC141" i="182"/>
  <c r="AW141" i="182"/>
  <c r="AQ141" i="182"/>
  <c r="AK141" i="182"/>
  <c r="AE141" i="182"/>
  <c r="Y141" i="182"/>
  <c r="T141" i="182"/>
  <c r="I141" i="182"/>
  <c r="GE140" i="182"/>
  <c r="FA140" i="182"/>
  <c r="DW140" i="182"/>
  <c r="CS140" i="182"/>
  <c r="CM140" i="182"/>
  <c r="CG140" i="182"/>
  <c r="CA140" i="182"/>
  <c r="BU140" i="182"/>
  <c r="BO140" i="182"/>
  <c r="BI140" i="182"/>
  <c r="BC140" i="182"/>
  <c r="AW140" i="182"/>
  <c r="AQ140" i="182"/>
  <c r="AK140" i="182"/>
  <c r="AE140" i="182"/>
  <c r="Y140" i="182"/>
  <c r="T140" i="182"/>
  <c r="I140" i="182"/>
  <c r="GE139" i="182"/>
  <c r="FA139" i="182"/>
  <c r="DW139" i="182"/>
  <c r="CS139" i="182"/>
  <c r="CM139" i="182"/>
  <c r="CG139" i="182"/>
  <c r="CA139" i="182"/>
  <c r="BU139" i="182"/>
  <c r="BO139" i="182"/>
  <c r="BI139" i="182"/>
  <c r="BC139" i="182"/>
  <c r="AW139" i="182"/>
  <c r="AQ139" i="182"/>
  <c r="AK139" i="182"/>
  <c r="AE139" i="182"/>
  <c r="Y139" i="182"/>
  <c r="T139" i="182"/>
  <c r="I139" i="182"/>
  <c r="T138" i="182"/>
  <c r="I138" i="182"/>
  <c r="T137" i="182"/>
  <c r="I137" i="182"/>
  <c r="GE136" i="182"/>
  <c r="FA136" i="182"/>
  <c r="DW136" i="182"/>
  <c r="CS136" i="182"/>
  <c r="CM136" i="182"/>
  <c r="CG136" i="182"/>
  <c r="CA136" i="182"/>
  <c r="BU136" i="182"/>
  <c r="BO136" i="182"/>
  <c r="BI136" i="182"/>
  <c r="BC136" i="182"/>
  <c r="AW136" i="182"/>
  <c r="AQ136" i="182"/>
  <c r="AK136" i="182"/>
  <c r="AE136" i="182"/>
  <c r="Y136" i="182"/>
  <c r="T136" i="182"/>
  <c r="I136" i="182"/>
  <c r="GE135" i="182"/>
  <c r="FA135" i="182"/>
  <c r="DW135" i="182"/>
  <c r="CS135" i="182"/>
  <c r="CM135" i="182"/>
  <c r="CG135" i="182"/>
  <c r="CA135" i="182"/>
  <c r="BU135" i="182"/>
  <c r="BO135" i="182"/>
  <c r="BI135" i="182"/>
  <c r="BC135" i="182"/>
  <c r="AW135" i="182"/>
  <c r="AQ135" i="182"/>
  <c r="AK135" i="182"/>
  <c r="AE135" i="182"/>
  <c r="Y135" i="182"/>
  <c r="T135" i="182"/>
  <c r="I135" i="182"/>
  <c r="GE134" i="182"/>
  <c r="FA134" i="182"/>
  <c r="DW134" i="182"/>
  <c r="CS134" i="182"/>
  <c r="CM134" i="182"/>
  <c r="CG134" i="182"/>
  <c r="CA134" i="182"/>
  <c r="BU134" i="182"/>
  <c r="BO134" i="182"/>
  <c r="BI134" i="182"/>
  <c r="BC134" i="182"/>
  <c r="AW134" i="182"/>
  <c r="AQ134" i="182"/>
  <c r="AK134" i="182"/>
  <c r="AE134" i="182"/>
  <c r="Y134" i="182"/>
  <c r="T134" i="182"/>
  <c r="I134" i="182"/>
  <c r="GE133" i="182"/>
  <c r="FA133" i="182"/>
  <c r="DW133" i="182"/>
  <c r="CS133" i="182"/>
  <c r="CM133" i="182"/>
  <c r="CG133" i="182"/>
  <c r="CA133" i="182"/>
  <c r="BU133" i="182"/>
  <c r="BO133" i="182"/>
  <c r="BI133" i="182"/>
  <c r="BC133" i="182"/>
  <c r="AW133" i="182"/>
  <c r="AQ133" i="182"/>
  <c r="AK133" i="182"/>
  <c r="AE133" i="182"/>
  <c r="Y133" i="182"/>
  <c r="T133" i="182"/>
  <c r="I133" i="182"/>
  <c r="T132" i="182"/>
  <c r="I132" i="182"/>
  <c r="GE131" i="182"/>
  <c r="FA131" i="182"/>
  <c r="DW131" i="182"/>
  <c r="CS131" i="182"/>
  <c r="CM131" i="182"/>
  <c r="CG131" i="182"/>
  <c r="CA131" i="182"/>
  <c r="BU131" i="182"/>
  <c r="BO131" i="182"/>
  <c r="BI131" i="182"/>
  <c r="BC131" i="182"/>
  <c r="AW131" i="182"/>
  <c r="AQ131" i="182"/>
  <c r="AK131" i="182"/>
  <c r="AE131" i="182"/>
  <c r="Y131" i="182"/>
  <c r="T131" i="182"/>
  <c r="I131" i="182"/>
  <c r="GE130" i="182"/>
  <c r="FA130" i="182"/>
  <c r="DW130" i="182"/>
  <c r="CS130" i="182"/>
  <c r="CM130" i="182"/>
  <c r="CG130" i="182"/>
  <c r="CA130" i="182"/>
  <c r="BU130" i="182"/>
  <c r="BO130" i="182"/>
  <c r="BI130" i="182"/>
  <c r="BC130" i="182"/>
  <c r="AW130" i="182"/>
  <c r="AQ130" i="182"/>
  <c r="AK130" i="182"/>
  <c r="AE130" i="182"/>
  <c r="Y130" i="182"/>
  <c r="T130" i="182"/>
  <c r="I130" i="182"/>
  <c r="GE129" i="182"/>
  <c r="FA129" i="182"/>
  <c r="DW129" i="182"/>
  <c r="CS129" i="182"/>
  <c r="CM129" i="182"/>
  <c r="CG129" i="182"/>
  <c r="CA129" i="182"/>
  <c r="BU129" i="182"/>
  <c r="BO129" i="182"/>
  <c r="BI129" i="182"/>
  <c r="BC129" i="182"/>
  <c r="AW129" i="182"/>
  <c r="AQ129" i="182"/>
  <c r="AK129" i="182"/>
  <c r="AE129" i="182"/>
  <c r="Y129" i="182"/>
  <c r="T129" i="182"/>
  <c r="I129" i="182"/>
  <c r="T128" i="182"/>
  <c r="I128" i="182"/>
  <c r="GE127" i="182"/>
  <c r="FA127" i="182"/>
  <c r="DW127" i="182"/>
  <c r="CS127" i="182"/>
  <c r="CM127" i="182"/>
  <c r="CG127" i="182"/>
  <c r="CA127" i="182"/>
  <c r="BU127" i="182"/>
  <c r="BO127" i="182"/>
  <c r="BI127" i="182"/>
  <c r="BC127" i="182"/>
  <c r="AW127" i="182"/>
  <c r="AQ127" i="182"/>
  <c r="AK127" i="182"/>
  <c r="AE127" i="182"/>
  <c r="Y127" i="182"/>
  <c r="T127" i="182"/>
  <c r="I127" i="182"/>
  <c r="T126" i="182"/>
  <c r="I126" i="182"/>
  <c r="GE125" i="182"/>
  <c r="FA125" i="182"/>
  <c r="DW125" i="182"/>
  <c r="CS125" i="182"/>
  <c r="CM125" i="182"/>
  <c r="CG125" i="182"/>
  <c r="CA125" i="182"/>
  <c r="BU125" i="182"/>
  <c r="BO125" i="182"/>
  <c r="BI125" i="182"/>
  <c r="BC125" i="182"/>
  <c r="AW125" i="182"/>
  <c r="AQ125" i="182"/>
  <c r="AK125" i="182"/>
  <c r="AE125" i="182"/>
  <c r="Y125" i="182"/>
  <c r="T125" i="182"/>
  <c r="I125" i="182"/>
  <c r="GE124" i="182"/>
  <c r="FA124" i="182"/>
  <c r="DW124" i="182"/>
  <c r="CS124" i="182"/>
  <c r="CM124" i="182"/>
  <c r="CG124" i="182"/>
  <c r="CA124" i="182"/>
  <c r="BU124" i="182"/>
  <c r="BO124" i="182"/>
  <c r="BI124" i="182"/>
  <c r="BC124" i="182"/>
  <c r="AW124" i="182"/>
  <c r="AQ124" i="182"/>
  <c r="AK124" i="182"/>
  <c r="AE124" i="182"/>
  <c r="Y124" i="182"/>
  <c r="T124" i="182"/>
  <c r="I124" i="182"/>
  <c r="T123" i="182"/>
  <c r="I123" i="182"/>
  <c r="T122" i="182"/>
  <c r="I122" i="182"/>
  <c r="T121" i="182"/>
  <c r="I121" i="182"/>
  <c r="GE120" i="182"/>
  <c r="FA120" i="182"/>
  <c r="DW120" i="182"/>
  <c r="CS120" i="182"/>
  <c r="CM120" i="182"/>
  <c r="CG120" i="182"/>
  <c r="CA120" i="182"/>
  <c r="BU120" i="182"/>
  <c r="BO120" i="182"/>
  <c r="BI120" i="182"/>
  <c r="BC120" i="182"/>
  <c r="AW120" i="182"/>
  <c r="AQ120" i="182"/>
  <c r="AK120" i="182"/>
  <c r="AE120" i="182"/>
  <c r="Y120" i="182"/>
  <c r="T120" i="182"/>
  <c r="I120" i="182"/>
  <c r="T119" i="182"/>
  <c r="I119" i="182"/>
  <c r="T118" i="182"/>
  <c r="I118" i="182"/>
  <c r="T117" i="182"/>
  <c r="I117" i="182"/>
  <c r="T116" i="182"/>
  <c r="I116" i="182"/>
  <c r="GE115" i="182"/>
  <c r="FA115" i="182"/>
  <c r="DW115" i="182"/>
  <c r="CS115" i="182"/>
  <c r="CM115" i="182"/>
  <c r="CG115" i="182"/>
  <c r="CA115" i="182"/>
  <c r="BU115" i="182"/>
  <c r="BO115" i="182"/>
  <c r="BI115" i="182"/>
  <c r="BC115" i="182"/>
  <c r="AW115" i="182"/>
  <c r="AQ115" i="182"/>
  <c r="AK115" i="182"/>
  <c r="AE115" i="182"/>
  <c r="Y115" i="182"/>
  <c r="T115" i="182"/>
  <c r="I115" i="182"/>
  <c r="T114" i="182"/>
  <c r="I114" i="182"/>
  <c r="GD113" i="182"/>
  <c r="EZ113" i="182"/>
  <c r="DV113" i="182"/>
  <c r="CR113" i="182"/>
  <c r="CL113" i="182"/>
  <c r="CF113" i="182"/>
  <c r="BZ113" i="182"/>
  <c r="BT113" i="182"/>
  <c r="BN113" i="182"/>
  <c r="BH113" i="182"/>
  <c r="BB113" i="182"/>
  <c r="AV113" i="182"/>
  <c r="AP113" i="182"/>
  <c r="AJ113" i="182"/>
  <c r="AD113" i="182"/>
  <c r="X113" i="182"/>
  <c r="T113" i="182"/>
  <c r="I113" i="182"/>
  <c r="GD112" i="182"/>
  <c r="EZ112" i="182"/>
  <c r="DV112" i="182"/>
  <c r="CR112" i="182"/>
  <c r="CL112" i="182"/>
  <c r="CF112" i="182"/>
  <c r="BZ112" i="182"/>
  <c r="BT112" i="182"/>
  <c r="BN112" i="182"/>
  <c r="BH112" i="182"/>
  <c r="BB112" i="182"/>
  <c r="AV112" i="182"/>
  <c r="AP112" i="182"/>
  <c r="AJ112" i="182"/>
  <c r="AD112" i="182"/>
  <c r="X112" i="182"/>
  <c r="T112" i="182"/>
  <c r="I112" i="182"/>
  <c r="GD111" i="182"/>
  <c r="EZ111" i="182"/>
  <c r="DV111" i="182"/>
  <c r="CR111" i="182"/>
  <c r="CL111" i="182"/>
  <c r="CF111" i="182"/>
  <c r="BZ111" i="182"/>
  <c r="BT111" i="182"/>
  <c r="BN111" i="182"/>
  <c r="BH111" i="182"/>
  <c r="BB111" i="182"/>
  <c r="AV111" i="182"/>
  <c r="AP111" i="182"/>
  <c r="AJ111" i="182"/>
  <c r="AD111" i="182"/>
  <c r="X111" i="182"/>
  <c r="T111" i="182"/>
  <c r="I111" i="182"/>
  <c r="GD110" i="182"/>
  <c r="EZ110" i="182"/>
  <c r="DV110" i="182"/>
  <c r="CR110" i="182"/>
  <c r="CL110" i="182"/>
  <c r="CF110" i="182"/>
  <c r="BZ110" i="182"/>
  <c r="BT110" i="182"/>
  <c r="BN110" i="182"/>
  <c r="BH110" i="182"/>
  <c r="BB110" i="182"/>
  <c r="AV110" i="182"/>
  <c r="AP110" i="182"/>
  <c r="AJ110" i="182"/>
  <c r="AD110" i="182"/>
  <c r="X110" i="182"/>
  <c r="T110" i="182"/>
  <c r="I110" i="182"/>
  <c r="GD109" i="182"/>
  <c r="EZ109" i="182"/>
  <c r="DV109" i="182"/>
  <c r="CR109" i="182"/>
  <c r="CL109" i="182"/>
  <c r="CF109" i="182"/>
  <c r="BZ109" i="182"/>
  <c r="BT109" i="182"/>
  <c r="BN109" i="182"/>
  <c r="BH109" i="182"/>
  <c r="BB109" i="182"/>
  <c r="AV109" i="182"/>
  <c r="AP109" i="182"/>
  <c r="AJ109" i="182"/>
  <c r="AD109" i="182"/>
  <c r="X109" i="182"/>
  <c r="T109" i="182"/>
  <c r="I109" i="182"/>
  <c r="GD108" i="182"/>
  <c r="EZ108" i="182"/>
  <c r="DV108" i="182"/>
  <c r="CR108" i="182"/>
  <c r="CL108" i="182"/>
  <c r="CF108" i="182"/>
  <c r="BZ108" i="182"/>
  <c r="BT108" i="182"/>
  <c r="BN108" i="182"/>
  <c r="BH108" i="182"/>
  <c r="BB108" i="182"/>
  <c r="AV108" i="182"/>
  <c r="AP108" i="182"/>
  <c r="AJ108" i="182"/>
  <c r="AD108" i="182"/>
  <c r="X108" i="182"/>
  <c r="T108" i="182"/>
  <c r="I108" i="182"/>
  <c r="T107" i="182"/>
  <c r="I107" i="182"/>
  <c r="GD106" i="182"/>
  <c r="EZ106" i="182"/>
  <c r="DV106" i="182"/>
  <c r="CR106" i="182"/>
  <c r="CL106" i="182"/>
  <c r="CF106" i="182"/>
  <c r="BZ106" i="182"/>
  <c r="BT106" i="182"/>
  <c r="BN106" i="182"/>
  <c r="BH106" i="182"/>
  <c r="BB106" i="182"/>
  <c r="AV106" i="182"/>
  <c r="AP106" i="182"/>
  <c r="AJ106" i="182"/>
  <c r="AD106" i="182"/>
  <c r="X106" i="182"/>
  <c r="T106" i="182"/>
  <c r="I106" i="182"/>
  <c r="GD105" i="182"/>
  <c r="EZ105" i="182"/>
  <c r="DV105" i="182"/>
  <c r="CR105" i="182"/>
  <c r="CL105" i="182"/>
  <c r="CF105" i="182"/>
  <c r="BZ105" i="182"/>
  <c r="BT105" i="182"/>
  <c r="BN105" i="182"/>
  <c r="BH105" i="182"/>
  <c r="BB105" i="182"/>
  <c r="AV105" i="182"/>
  <c r="AP105" i="182"/>
  <c r="AJ105" i="182"/>
  <c r="AD105" i="182"/>
  <c r="X105" i="182"/>
  <c r="T105" i="182"/>
  <c r="I105" i="182"/>
  <c r="T104" i="182"/>
  <c r="I104" i="182"/>
  <c r="T103" i="182"/>
  <c r="I103" i="182"/>
  <c r="T102" i="182"/>
  <c r="I102" i="182"/>
  <c r="T101" i="182"/>
  <c r="I101" i="182"/>
  <c r="T100" i="182"/>
  <c r="I100" i="182"/>
  <c r="T99" i="182"/>
  <c r="I99" i="182"/>
  <c r="T98" i="182"/>
  <c r="I98" i="182"/>
  <c r="T97" i="182"/>
  <c r="I97" i="182"/>
  <c r="T96" i="182"/>
  <c r="I96" i="182"/>
  <c r="T95" i="182"/>
  <c r="I95" i="182"/>
  <c r="T94" i="182"/>
  <c r="I94" i="182"/>
  <c r="T93" i="182"/>
  <c r="I93" i="182"/>
  <c r="GD92" i="182"/>
  <c r="EZ92" i="182"/>
  <c r="DV92" i="182"/>
  <c r="CR92" i="182"/>
  <c r="CL92" i="182"/>
  <c r="CF92" i="182"/>
  <c r="BZ92" i="182"/>
  <c r="BT92" i="182"/>
  <c r="BN92" i="182"/>
  <c r="BH92" i="182"/>
  <c r="BB92" i="182"/>
  <c r="AV92" i="182"/>
  <c r="AP92" i="182"/>
  <c r="AJ92" i="182"/>
  <c r="AD92" i="182"/>
  <c r="X92" i="182"/>
  <c r="T92" i="182"/>
  <c r="I92" i="182"/>
  <c r="GD91" i="182"/>
  <c r="EZ91" i="182"/>
  <c r="DV91" i="182"/>
  <c r="CR91" i="182"/>
  <c r="CL91" i="182"/>
  <c r="CF91" i="182"/>
  <c r="BZ91" i="182"/>
  <c r="BT91" i="182"/>
  <c r="BN91" i="182"/>
  <c r="BH91" i="182"/>
  <c r="BB91" i="182"/>
  <c r="AV91" i="182"/>
  <c r="AP91" i="182"/>
  <c r="AJ91" i="182"/>
  <c r="AD91" i="182"/>
  <c r="X91" i="182"/>
  <c r="T91" i="182"/>
  <c r="I91" i="182"/>
  <c r="GG90" i="182"/>
  <c r="GF90" i="182"/>
  <c r="GE90" i="182"/>
  <c r="GD90" i="182"/>
  <c r="GC90" i="182"/>
  <c r="FC90" i="182"/>
  <c r="FB90" i="182"/>
  <c r="FA90" i="182"/>
  <c r="EZ90" i="182"/>
  <c r="EY90" i="182"/>
  <c r="DY90" i="182"/>
  <c r="DX90" i="182"/>
  <c r="DW90" i="182"/>
  <c r="DV90" i="182"/>
  <c r="DU90" i="182"/>
  <c r="CU90" i="182"/>
  <c r="CT90" i="182"/>
  <c r="CS90" i="182"/>
  <c r="CR90" i="182"/>
  <c r="CQ90" i="182"/>
  <c r="CO90" i="182"/>
  <c r="CN90" i="182"/>
  <c r="CM90" i="182"/>
  <c r="CL90" i="182"/>
  <c r="CK90" i="182"/>
  <c r="CI90" i="182"/>
  <c r="CH90" i="182"/>
  <c r="CG90" i="182"/>
  <c r="CF90" i="182"/>
  <c r="CE90" i="182"/>
  <c r="CC90" i="182"/>
  <c r="CB90" i="182"/>
  <c r="CA90" i="182"/>
  <c r="BZ90" i="182"/>
  <c r="BY90" i="182"/>
  <c r="BW90" i="182"/>
  <c r="BV90" i="182"/>
  <c r="BU90" i="182"/>
  <c r="BT90" i="182"/>
  <c r="BS90" i="182"/>
  <c r="BQ90" i="182"/>
  <c r="BP90" i="182"/>
  <c r="BO90" i="182"/>
  <c r="BN90" i="182"/>
  <c r="BM90" i="182"/>
  <c r="BK90" i="182"/>
  <c r="BJ90" i="182"/>
  <c r="BI90" i="182"/>
  <c r="BH90" i="182"/>
  <c r="BG90" i="182"/>
  <c r="BE90" i="182"/>
  <c r="BD90" i="182"/>
  <c r="BC90" i="182"/>
  <c r="BB90" i="182"/>
  <c r="BA90" i="182"/>
  <c r="AY90" i="182"/>
  <c r="AX90" i="182"/>
  <c r="AW90" i="182"/>
  <c r="AV90" i="182"/>
  <c r="AU90" i="182"/>
  <c r="AS90" i="182"/>
  <c r="AR90" i="182"/>
  <c r="AQ90" i="182"/>
  <c r="AP90" i="182"/>
  <c r="AO90" i="182"/>
  <c r="AM90" i="182"/>
  <c r="AL90" i="182"/>
  <c r="AK90" i="182"/>
  <c r="AJ90" i="182"/>
  <c r="AI90" i="182"/>
  <c r="AG90" i="182"/>
  <c r="AF90" i="182"/>
  <c r="AE90" i="182"/>
  <c r="AD90" i="182"/>
  <c r="AC90" i="182"/>
  <c r="U90" i="182" s="1"/>
  <c r="AA90" i="182"/>
  <c r="Z90" i="182"/>
  <c r="Y90" i="182"/>
  <c r="X90" i="182"/>
  <c r="W90" i="182"/>
  <c r="T90" i="182"/>
  <c r="I90" i="182"/>
  <c r="T89" i="182"/>
  <c r="I89" i="182"/>
  <c r="T88" i="182"/>
  <c r="I88" i="182"/>
  <c r="T87" i="182"/>
  <c r="I87" i="182"/>
  <c r="T86" i="182"/>
  <c r="I86" i="182"/>
  <c r="T85" i="182"/>
  <c r="I85" i="182"/>
  <c r="T84" i="182"/>
  <c r="I84" i="182"/>
  <c r="GD83" i="182"/>
  <c r="EZ83" i="182"/>
  <c r="DV83" i="182"/>
  <c r="CR83" i="182"/>
  <c r="CL83" i="182"/>
  <c r="CF83" i="182"/>
  <c r="BZ83" i="182"/>
  <c r="BT83" i="182"/>
  <c r="BN83" i="182"/>
  <c r="BH83" i="182"/>
  <c r="BB83" i="182"/>
  <c r="AV83" i="182"/>
  <c r="AP83" i="182"/>
  <c r="AJ83" i="182"/>
  <c r="AD83" i="182"/>
  <c r="X83" i="182"/>
  <c r="T83" i="182"/>
  <c r="I83" i="182"/>
  <c r="GD82" i="182"/>
  <c r="EZ82" i="182"/>
  <c r="DV82" i="182"/>
  <c r="CR82" i="182"/>
  <c r="CL82" i="182"/>
  <c r="CF82" i="182"/>
  <c r="BZ82" i="182"/>
  <c r="BT82" i="182"/>
  <c r="BN82" i="182"/>
  <c r="BH82" i="182"/>
  <c r="BB82" i="182"/>
  <c r="AV82" i="182"/>
  <c r="AP82" i="182"/>
  <c r="AJ82" i="182"/>
  <c r="AD82" i="182"/>
  <c r="X82" i="182"/>
  <c r="T82" i="182"/>
  <c r="I82" i="182"/>
  <c r="GD81" i="182"/>
  <c r="EZ81" i="182"/>
  <c r="DV81" i="182"/>
  <c r="CR81" i="182"/>
  <c r="CL81" i="182"/>
  <c r="CF81" i="182"/>
  <c r="BZ81" i="182"/>
  <c r="BT81" i="182"/>
  <c r="BN81" i="182"/>
  <c r="BH81" i="182"/>
  <c r="BB81" i="182"/>
  <c r="AV81" i="182"/>
  <c r="AP81" i="182"/>
  <c r="AJ81" i="182"/>
  <c r="AD81" i="182"/>
  <c r="X81" i="182"/>
  <c r="T81" i="182"/>
  <c r="I81" i="182"/>
  <c r="GD80" i="182"/>
  <c r="EZ80" i="182"/>
  <c r="DV80" i="182"/>
  <c r="CR80" i="182"/>
  <c r="CL80" i="182"/>
  <c r="CF80" i="182"/>
  <c r="BZ80" i="182"/>
  <c r="BT80" i="182"/>
  <c r="BN80" i="182"/>
  <c r="BH80" i="182"/>
  <c r="BB80" i="182"/>
  <c r="AV80" i="182"/>
  <c r="AP80" i="182"/>
  <c r="AJ80" i="182"/>
  <c r="AD80" i="182"/>
  <c r="X80" i="182"/>
  <c r="T80" i="182"/>
  <c r="I80" i="182"/>
  <c r="T79" i="182"/>
  <c r="I79" i="182"/>
  <c r="T78" i="182"/>
  <c r="I78" i="182"/>
  <c r="T77" i="182"/>
  <c r="I77" i="182"/>
  <c r="T76" i="182"/>
  <c r="I76" i="182"/>
  <c r="T75" i="182"/>
  <c r="I75" i="182"/>
  <c r="T74" i="182"/>
  <c r="I74" i="182"/>
  <c r="T73" i="182"/>
  <c r="I73" i="182"/>
  <c r="T72" i="182"/>
  <c r="I72" i="182"/>
  <c r="GD71" i="182"/>
  <c r="EZ71" i="182"/>
  <c r="DV71" i="182"/>
  <c r="CR71" i="182"/>
  <c r="CL71" i="182"/>
  <c r="CF71" i="182"/>
  <c r="BZ71" i="182"/>
  <c r="BT71" i="182"/>
  <c r="BN71" i="182"/>
  <c r="BH71" i="182"/>
  <c r="BB71" i="182"/>
  <c r="AV71" i="182"/>
  <c r="AP71" i="182"/>
  <c r="AJ71" i="182"/>
  <c r="AD71" i="182"/>
  <c r="X71" i="182"/>
  <c r="T71" i="182"/>
  <c r="I71" i="182"/>
  <c r="T70" i="182"/>
  <c r="I70" i="182"/>
  <c r="T69" i="182"/>
  <c r="I69" i="182"/>
  <c r="T68" i="182"/>
  <c r="I68" i="182"/>
  <c r="T67" i="182"/>
  <c r="I67" i="182"/>
  <c r="T66" i="182"/>
  <c r="I66" i="182"/>
  <c r="T65" i="182"/>
  <c r="I65" i="182"/>
  <c r="T64" i="182"/>
  <c r="I64" i="182"/>
  <c r="T63" i="182"/>
  <c r="I63" i="182"/>
  <c r="T62" i="182"/>
  <c r="I62" i="182"/>
  <c r="T61" i="182"/>
  <c r="I61" i="182"/>
  <c r="T60" i="182"/>
  <c r="I60" i="182"/>
  <c r="T59" i="182"/>
  <c r="I59" i="182"/>
  <c r="T58" i="182"/>
  <c r="I58" i="182"/>
  <c r="T57" i="182"/>
  <c r="I57" i="182"/>
  <c r="T56" i="182"/>
  <c r="I56" i="182"/>
  <c r="T55" i="182"/>
  <c r="I55" i="182"/>
  <c r="T54" i="182"/>
  <c r="I54" i="182"/>
  <c r="T53" i="182"/>
  <c r="I53" i="182"/>
  <c r="T52" i="182"/>
  <c r="I52" i="182"/>
  <c r="T51" i="182"/>
  <c r="I51" i="182"/>
  <c r="T50" i="182"/>
  <c r="I50" i="182"/>
  <c r="T49" i="182"/>
  <c r="I49" i="182"/>
  <c r="T48" i="182"/>
  <c r="I48" i="182"/>
  <c r="T47" i="182"/>
  <c r="I47" i="182"/>
  <c r="T46" i="182"/>
  <c r="I46" i="182"/>
  <c r="T45" i="182"/>
  <c r="I45" i="182"/>
  <c r="GF44" i="182"/>
  <c r="GD44" i="182"/>
  <c r="FZ44" i="182"/>
  <c r="FX44" i="182"/>
  <c r="FB44" i="182"/>
  <c r="EZ44" i="182"/>
  <c r="EV44" i="182"/>
  <c r="ET44" i="182"/>
  <c r="DX44" i="182"/>
  <c r="DV44" i="182"/>
  <c r="DR44" i="182"/>
  <c r="DP44" i="182"/>
  <c r="CT44" i="182"/>
  <c r="CR44" i="182"/>
  <c r="CN44" i="182"/>
  <c r="CL44" i="182"/>
  <c r="CH44" i="182"/>
  <c r="CF44" i="182"/>
  <c r="CB44" i="182"/>
  <c r="BZ44" i="182"/>
  <c r="BV44" i="182"/>
  <c r="BT44" i="182"/>
  <c r="BP44" i="182"/>
  <c r="BN44" i="182"/>
  <c r="BJ44" i="182"/>
  <c r="BH44" i="182"/>
  <c r="BD44" i="182"/>
  <c r="BB44" i="182"/>
  <c r="AX44" i="182"/>
  <c r="AV44" i="182"/>
  <c r="AR44" i="182"/>
  <c r="AP44" i="182"/>
  <c r="AL44" i="182"/>
  <c r="AJ44" i="182"/>
  <c r="AF44" i="182"/>
  <c r="AD44" i="182"/>
  <c r="Z44" i="182"/>
  <c r="X44" i="182"/>
  <c r="T44" i="182"/>
  <c r="O44" i="182"/>
  <c r="I44" i="182"/>
  <c r="C14" i="182"/>
  <c r="C5" i="182"/>
  <c r="GD215" i="181"/>
  <c r="EZ215" i="181"/>
  <c r="DV215" i="181"/>
  <c r="CR215" i="181"/>
  <c r="CL215" i="181"/>
  <c r="CF215" i="181"/>
  <c r="BZ215" i="181"/>
  <c r="BT215" i="181"/>
  <c r="BN215" i="181"/>
  <c r="BH215" i="181"/>
  <c r="BB215" i="181"/>
  <c r="AV215" i="181"/>
  <c r="AP215" i="181"/>
  <c r="AJ215" i="181"/>
  <c r="AD215" i="181"/>
  <c r="X215" i="181"/>
  <c r="T215" i="181"/>
  <c r="I215" i="181"/>
  <c r="GD214" i="181"/>
  <c r="EZ214" i="181"/>
  <c r="DV214" i="181"/>
  <c r="CR214" i="181"/>
  <c r="CL214" i="181"/>
  <c r="CF214" i="181"/>
  <c r="BZ214" i="181"/>
  <c r="BT214" i="181"/>
  <c r="BN214" i="181"/>
  <c r="BH214" i="181"/>
  <c r="BB214" i="181"/>
  <c r="AV214" i="181"/>
  <c r="AP214" i="181"/>
  <c r="AJ214" i="181"/>
  <c r="AD214" i="181"/>
  <c r="X214" i="181"/>
  <c r="T214" i="181"/>
  <c r="I214" i="181"/>
  <c r="T213" i="181"/>
  <c r="I213" i="181"/>
  <c r="GD212" i="181"/>
  <c r="EZ212" i="181"/>
  <c r="DV212" i="181"/>
  <c r="CR212" i="181"/>
  <c r="CL212" i="181"/>
  <c r="CF212" i="181"/>
  <c r="BZ212" i="181"/>
  <c r="BT212" i="181"/>
  <c r="BN212" i="181"/>
  <c r="BH212" i="181"/>
  <c r="BB212" i="181"/>
  <c r="AV212" i="181"/>
  <c r="AP212" i="181"/>
  <c r="AJ212" i="181"/>
  <c r="AD212" i="181"/>
  <c r="X212" i="181"/>
  <c r="T212" i="181"/>
  <c r="I212" i="181"/>
  <c r="GD211" i="181"/>
  <c r="EZ211" i="181"/>
  <c r="DV211" i="181"/>
  <c r="CR211" i="181"/>
  <c r="CL211" i="181"/>
  <c r="CF211" i="181"/>
  <c r="BZ211" i="181"/>
  <c r="BT211" i="181"/>
  <c r="BN211" i="181"/>
  <c r="BH211" i="181"/>
  <c r="BB211" i="181"/>
  <c r="AV211" i="181"/>
  <c r="AP211" i="181"/>
  <c r="AJ211" i="181"/>
  <c r="AD211" i="181"/>
  <c r="X211" i="181"/>
  <c r="T211" i="181"/>
  <c r="I211" i="181"/>
  <c r="GD210" i="181"/>
  <c r="EZ210" i="181"/>
  <c r="DV210" i="181"/>
  <c r="CR210" i="181"/>
  <c r="CL210" i="181"/>
  <c r="CF210" i="181"/>
  <c r="BZ210" i="181"/>
  <c r="BT210" i="181"/>
  <c r="BN210" i="181"/>
  <c r="BH210" i="181"/>
  <c r="BB210" i="181"/>
  <c r="AV210" i="181"/>
  <c r="AP210" i="181"/>
  <c r="AJ210" i="181"/>
  <c r="AD210" i="181"/>
  <c r="X210" i="181"/>
  <c r="T210" i="181"/>
  <c r="I210" i="181"/>
  <c r="GD209" i="181"/>
  <c r="EZ209" i="181"/>
  <c r="DV209" i="181"/>
  <c r="CR209" i="181"/>
  <c r="CL209" i="181"/>
  <c r="CF209" i="181"/>
  <c r="BZ209" i="181"/>
  <c r="BT209" i="181"/>
  <c r="BN209" i="181"/>
  <c r="BH209" i="181"/>
  <c r="BB209" i="181"/>
  <c r="AV209" i="181"/>
  <c r="AP209" i="181"/>
  <c r="AJ209" i="181"/>
  <c r="AD209" i="181"/>
  <c r="X209" i="181"/>
  <c r="T209" i="181"/>
  <c r="I209" i="181"/>
  <c r="GD208" i="181"/>
  <c r="EZ208" i="181"/>
  <c r="DV208" i="181"/>
  <c r="CR208" i="181"/>
  <c r="CL208" i="181"/>
  <c r="CF208" i="181"/>
  <c r="BZ208" i="181"/>
  <c r="BT208" i="181"/>
  <c r="BN208" i="181"/>
  <c r="BH208" i="181"/>
  <c r="BB208" i="181"/>
  <c r="AV208" i="181"/>
  <c r="AP208" i="181"/>
  <c r="AJ208" i="181"/>
  <c r="AD208" i="181"/>
  <c r="X208" i="181"/>
  <c r="T208" i="181"/>
  <c r="I208" i="181"/>
  <c r="GD207" i="181"/>
  <c r="EZ207" i="181"/>
  <c r="DV207" i="181"/>
  <c r="CR207" i="181"/>
  <c r="CL207" i="181"/>
  <c r="CF207" i="181"/>
  <c r="BZ207" i="181"/>
  <c r="BT207" i="181"/>
  <c r="BN207" i="181"/>
  <c r="BH207" i="181"/>
  <c r="BB207" i="181"/>
  <c r="AV207" i="181"/>
  <c r="AP207" i="181"/>
  <c r="AJ207" i="181"/>
  <c r="AD207" i="181"/>
  <c r="X207" i="181"/>
  <c r="T207" i="181"/>
  <c r="I207" i="181"/>
  <c r="T206" i="181"/>
  <c r="I206" i="181"/>
  <c r="T205" i="181"/>
  <c r="I205" i="181"/>
  <c r="T204" i="181"/>
  <c r="I204" i="181"/>
  <c r="GF203" i="181"/>
  <c r="GE203" i="181"/>
  <c r="GD203" i="181"/>
  <c r="GC203" i="181"/>
  <c r="FB203" i="181"/>
  <c r="FA203" i="181"/>
  <c r="EZ203" i="181"/>
  <c r="EY203" i="181"/>
  <c r="DX203" i="181"/>
  <c r="DW203" i="181"/>
  <c r="DV203" i="181"/>
  <c r="DU203" i="181"/>
  <c r="CT203" i="181"/>
  <c r="CS203" i="181"/>
  <c r="CR203" i="181"/>
  <c r="CQ203" i="181"/>
  <c r="CN203" i="181"/>
  <c r="CM203" i="181"/>
  <c r="CL203" i="181"/>
  <c r="CK203" i="181"/>
  <c r="CH203" i="181"/>
  <c r="CG203" i="181"/>
  <c r="CF203" i="181"/>
  <c r="CE203" i="181"/>
  <c r="CB203" i="181"/>
  <c r="CA203" i="181"/>
  <c r="BZ203" i="181"/>
  <c r="BY203" i="181"/>
  <c r="BV203" i="181"/>
  <c r="BU203" i="181"/>
  <c r="BT203" i="181"/>
  <c r="BS203" i="181"/>
  <c r="BP203" i="181"/>
  <c r="BO203" i="181"/>
  <c r="BN203" i="181"/>
  <c r="BM203" i="181"/>
  <c r="BJ203" i="181"/>
  <c r="BI203" i="181"/>
  <c r="BH203" i="181"/>
  <c r="BG203" i="181"/>
  <c r="BD203" i="181"/>
  <c r="BC203" i="181"/>
  <c r="BB203" i="181"/>
  <c r="BA203" i="181"/>
  <c r="AX203" i="181"/>
  <c r="AW203" i="181"/>
  <c r="AV203" i="181"/>
  <c r="AU203" i="181"/>
  <c r="AR203" i="181"/>
  <c r="AQ203" i="181"/>
  <c r="AP203" i="181"/>
  <c r="AO203" i="181"/>
  <c r="AL203" i="181"/>
  <c r="AK203" i="181"/>
  <c r="AJ203" i="181"/>
  <c r="AI203" i="181"/>
  <c r="AF203" i="181"/>
  <c r="AE203" i="181"/>
  <c r="AD203" i="181"/>
  <c r="AC203" i="181"/>
  <c r="Z203" i="181"/>
  <c r="Y203" i="181"/>
  <c r="X203" i="181"/>
  <c r="W203" i="181"/>
  <c r="T203" i="181"/>
  <c r="I203" i="181"/>
  <c r="GF202" i="181"/>
  <c r="GE202" i="181"/>
  <c r="GD202" i="181"/>
  <c r="GC202" i="181"/>
  <c r="FB202" i="181"/>
  <c r="FA202" i="181"/>
  <c r="EZ202" i="181"/>
  <c r="EY202" i="181"/>
  <c r="DX202" i="181"/>
  <c r="DW202" i="181"/>
  <c r="DV202" i="181"/>
  <c r="DU202" i="181"/>
  <c r="CT202" i="181"/>
  <c r="CS202" i="181"/>
  <c r="CR202" i="181"/>
  <c r="CQ202" i="181"/>
  <c r="CN202" i="181"/>
  <c r="CM202" i="181"/>
  <c r="CL202" i="181"/>
  <c r="CK202" i="181"/>
  <c r="CH202" i="181"/>
  <c r="CG202" i="181"/>
  <c r="CF202" i="181"/>
  <c r="CE202" i="181"/>
  <c r="CB202" i="181"/>
  <c r="CA202" i="181"/>
  <c r="BZ202" i="181"/>
  <c r="BY202" i="181"/>
  <c r="BV202" i="181"/>
  <c r="BU202" i="181"/>
  <c r="BT202" i="181"/>
  <c r="BS202" i="181"/>
  <c r="BP202" i="181"/>
  <c r="BO202" i="181"/>
  <c r="BN202" i="181"/>
  <c r="BM202" i="181"/>
  <c r="BJ202" i="181"/>
  <c r="BI202" i="181"/>
  <c r="BH202" i="181"/>
  <c r="BG202" i="181"/>
  <c r="BD202" i="181"/>
  <c r="BC202" i="181"/>
  <c r="BB202" i="181"/>
  <c r="BA202" i="181"/>
  <c r="AX202" i="181"/>
  <c r="AW202" i="181"/>
  <c r="AV202" i="181"/>
  <c r="AU202" i="181"/>
  <c r="AR202" i="181"/>
  <c r="AQ202" i="181"/>
  <c r="AP202" i="181"/>
  <c r="AO202" i="181"/>
  <c r="AL202" i="181"/>
  <c r="AK202" i="181"/>
  <c r="AJ202" i="181"/>
  <c r="AI202" i="181"/>
  <c r="AF202" i="181"/>
  <c r="AE202" i="181"/>
  <c r="AD202" i="181"/>
  <c r="AC202" i="181"/>
  <c r="Z202" i="181"/>
  <c r="Y202" i="181"/>
  <c r="X202" i="181"/>
  <c r="W202" i="181"/>
  <c r="T202" i="181"/>
  <c r="I202" i="181"/>
  <c r="T201" i="181"/>
  <c r="I201" i="181"/>
  <c r="T200" i="181"/>
  <c r="I200" i="181"/>
  <c r="T199" i="181"/>
  <c r="I199" i="181"/>
  <c r="T198" i="181"/>
  <c r="I198" i="181"/>
  <c r="T197" i="181"/>
  <c r="I197" i="181"/>
  <c r="T196" i="181"/>
  <c r="I196" i="181"/>
  <c r="T195" i="181"/>
  <c r="I195" i="181"/>
  <c r="T194" i="181"/>
  <c r="I194" i="181"/>
  <c r="T193" i="181"/>
  <c r="I193" i="181"/>
  <c r="T192" i="181"/>
  <c r="I192" i="181"/>
  <c r="T191" i="181"/>
  <c r="I191" i="181"/>
  <c r="T190" i="181"/>
  <c r="I190" i="181"/>
  <c r="T189" i="181"/>
  <c r="I189" i="181"/>
  <c r="T188" i="181"/>
  <c r="I188" i="181"/>
  <c r="T187" i="181"/>
  <c r="I187" i="181"/>
  <c r="T186" i="181"/>
  <c r="I186" i="181"/>
  <c r="T185" i="181"/>
  <c r="I185" i="181"/>
  <c r="GG184" i="181"/>
  <c r="GF184" i="181"/>
  <c r="GE184" i="181"/>
  <c r="GD184" i="181"/>
  <c r="GC184" i="181"/>
  <c r="FC184" i="181"/>
  <c r="FB184" i="181"/>
  <c r="FA184" i="181"/>
  <c r="EZ184" i="181"/>
  <c r="EY184" i="181"/>
  <c r="DY184" i="181"/>
  <c r="DX184" i="181"/>
  <c r="DW184" i="181"/>
  <c r="DV184" i="181"/>
  <c r="DU184" i="181"/>
  <c r="CU184" i="181"/>
  <c r="CT184" i="181"/>
  <c r="CS184" i="181"/>
  <c r="CR184" i="181"/>
  <c r="CQ184" i="181"/>
  <c r="CO184" i="181"/>
  <c r="CN184" i="181"/>
  <c r="CM184" i="181"/>
  <c r="CL184" i="181"/>
  <c r="CK184" i="181"/>
  <c r="CI184" i="181"/>
  <c r="CH184" i="181"/>
  <c r="CG184" i="181"/>
  <c r="CF184" i="181"/>
  <c r="CE184" i="181"/>
  <c r="CC184" i="181"/>
  <c r="CB184" i="181"/>
  <c r="CA184" i="181"/>
  <c r="BZ184" i="181"/>
  <c r="BY184" i="181"/>
  <c r="BW184" i="181"/>
  <c r="BV184" i="181"/>
  <c r="BU184" i="181"/>
  <c r="BT184" i="181"/>
  <c r="BS184" i="181"/>
  <c r="BQ184" i="181"/>
  <c r="BP184" i="181"/>
  <c r="BO184" i="181"/>
  <c r="BN184" i="181"/>
  <c r="BM184" i="181"/>
  <c r="BK184" i="181"/>
  <c r="BJ184" i="181"/>
  <c r="BI184" i="181"/>
  <c r="BH184" i="181"/>
  <c r="BG184" i="181"/>
  <c r="BE184" i="181"/>
  <c r="BD184" i="181"/>
  <c r="BC184" i="181"/>
  <c r="BB184" i="181"/>
  <c r="BA184" i="181"/>
  <c r="AY184" i="181"/>
  <c r="AX184" i="181"/>
  <c r="AW184" i="181"/>
  <c r="AV184" i="181"/>
  <c r="AU184" i="181"/>
  <c r="AS184" i="181"/>
  <c r="AR184" i="181"/>
  <c r="AQ184" i="181"/>
  <c r="AP184" i="181"/>
  <c r="AO184" i="181"/>
  <c r="AM184" i="181"/>
  <c r="AL184" i="181"/>
  <c r="AK184" i="181"/>
  <c r="AJ184" i="181"/>
  <c r="AI184" i="181"/>
  <c r="AG184" i="181"/>
  <c r="AF184" i="181"/>
  <c r="AE184" i="181"/>
  <c r="AD184" i="181"/>
  <c r="AC184" i="181"/>
  <c r="AA184" i="181"/>
  <c r="Z184" i="181"/>
  <c r="Y184" i="181"/>
  <c r="X184" i="181"/>
  <c r="W184" i="181"/>
  <c r="T184" i="181"/>
  <c r="I184" i="181"/>
  <c r="GG183" i="181"/>
  <c r="GF183" i="181"/>
  <c r="GE183" i="181"/>
  <c r="GD183" i="181"/>
  <c r="GC183" i="181"/>
  <c r="FC183" i="181"/>
  <c r="FB183" i="181"/>
  <c r="FA183" i="181"/>
  <c r="EZ183" i="181"/>
  <c r="EY183" i="181"/>
  <c r="DY183" i="181"/>
  <c r="DX183" i="181"/>
  <c r="DW183" i="181"/>
  <c r="DV183" i="181"/>
  <c r="DU183" i="181"/>
  <c r="CU183" i="181"/>
  <c r="CT183" i="181"/>
  <c r="CS183" i="181"/>
  <c r="CR183" i="181"/>
  <c r="CQ183" i="181"/>
  <c r="CO183" i="181"/>
  <c r="CN183" i="181"/>
  <c r="CM183" i="181"/>
  <c r="CL183" i="181"/>
  <c r="CK183" i="181"/>
  <c r="CI183" i="181"/>
  <c r="CH183" i="181"/>
  <c r="CG183" i="181"/>
  <c r="CF183" i="181"/>
  <c r="CE183" i="181"/>
  <c r="CC183" i="181"/>
  <c r="CB183" i="181"/>
  <c r="CA183" i="181"/>
  <c r="BZ183" i="181"/>
  <c r="BY183" i="181"/>
  <c r="BW183" i="181"/>
  <c r="BV183" i="181"/>
  <c r="BU183" i="181"/>
  <c r="BT183" i="181"/>
  <c r="BS183" i="181"/>
  <c r="BQ183" i="181"/>
  <c r="BP183" i="181"/>
  <c r="BO183" i="181"/>
  <c r="BN183" i="181"/>
  <c r="BM183" i="181"/>
  <c r="BK183" i="181"/>
  <c r="BJ183" i="181"/>
  <c r="BI183" i="181"/>
  <c r="BH183" i="181"/>
  <c r="BG183" i="181"/>
  <c r="BE183" i="181"/>
  <c r="BD183" i="181"/>
  <c r="BC183" i="181"/>
  <c r="BB183" i="181"/>
  <c r="BA183" i="181"/>
  <c r="AY183" i="181"/>
  <c r="AX183" i="181"/>
  <c r="AW183" i="181"/>
  <c r="AV183" i="181"/>
  <c r="AU183" i="181"/>
  <c r="AS183" i="181"/>
  <c r="AR183" i="181"/>
  <c r="AQ183" i="181"/>
  <c r="AP183" i="181"/>
  <c r="AO183" i="181"/>
  <c r="AM183" i="181"/>
  <c r="AL183" i="181"/>
  <c r="AK183" i="181"/>
  <c r="AJ183" i="181"/>
  <c r="AI183" i="181"/>
  <c r="AG183" i="181"/>
  <c r="AF183" i="181"/>
  <c r="AE183" i="181"/>
  <c r="AD183" i="181"/>
  <c r="AC183" i="181"/>
  <c r="AA183" i="181"/>
  <c r="Z183" i="181"/>
  <c r="Y183" i="181"/>
  <c r="X183" i="181"/>
  <c r="W183" i="181"/>
  <c r="T183" i="181"/>
  <c r="I183" i="181"/>
  <c r="GG182" i="181"/>
  <c r="GF182" i="181"/>
  <c r="GE182" i="181"/>
  <c r="GD182" i="181"/>
  <c r="GC182" i="181"/>
  <c r="FC182" i="181"/>
  <c r="FB182" i="181"/>
  <c r="FA182" i="181"/>
  <c r="EZ182" i="181"/>
  <c r="EY182" i="181"/>
  <c r="DY182" i="181"/>
  <c r="DX182" i="181"/>
  <c r="DW182" i="181"/>
  <c r="DV182" i="181"/>
  <c r="DU182" i="181"/>
  <c r="CU182" i="181"/>
  <c r="CT182" i="181"/>
  <c r="CS182" i="181"/>
  <c r="CR182" i="181"/>
  <c r="CQ182" i="181"/>
  <c r="CO182" i="181"/>
  <c r="CN182" i="181"/>
  <c r="CM182" i="181"/>
  <c r="CL182" i="181"/>
  <c r="CK182" i="181"/>
  <c r="CI182" i="181"/>
  <c r="CH182" i="181"/>
  <c r="CG182" i="181"/>
  <c r="CF182" i="181"/>
  <c r="CE182" i="181"/>
  <c r="CC182" i="181"/>
  <c r="CB182" i="181"/>
  <c r="CA182" i="181"/>
  <c r="BZ182" i="181"/>
  <c r="BY182" i="181"/>
  <c r="BW182" i="181"/>
  <c r="BV182" i="181"/>
  <c r="BU182" i="181"/>
  <c r="BT182" i="181"/>
  <c r="BS182" i="181"/>
  <c r="BQ182" i="181"/>
  <c r="BP182" i="181"/>
  <c r="BO182" i="181"/>
  <c r="BN182" i="181"/>
  <c r="BM182" i="181"/>
  <c r="BK182" i="181"/>
  <c r="BJ182" i="181"/>
  <c r="BI182" i="181"/>
  <c r="BH182" i="181"/>
  <c r="BG182" i="181"/>
  <c r="BE182" i="181"/>
  <c r="BD182" i="181"/>
  <c r="BC182" i="181"/>
  <c r="BB182" i="181"/>
  <c r="BA182" i="181"/>
  <c r="AY182" i="181"/>
  <c r="AX182" i="181"/>
  <c r="AW182" i="181"/>
  <c r="AV182" i="181"/>
  <c r="AU182" i="181"/>
  <c r="AS182" i="181"/>
  <c r="AR182" i="181"/>
  <c r="AQ182" i="181"/>
  <c r="AP182" i="181"/>
  <c r="AO182" i="181"/>
  <c r="AM182" i="181"/>
  <c r="AL182" i="181"/>
  <c r="AK182" i="181"/>
  <c r="AJ182" i="181"/>
  <c r="AI182" i="181"/>
  <c r="AG182" i="181"/>
  <c r="AF182" i="181"/>
  <c r="AE182" i="181"/>
  <c r="AD182" i="181"/>
  <c r="AC182" i="181"/>
  <c r="AA182" i="181"/>
  <c r="Z182" i="181"/>
  <c r="Y182" i="181"/>
  <c r="X182" i="181"/>
  <c r="W182" i="181"/>
  <c r="T182" i="181"/>
  <c r="I182" i="181"/>
  <c r="GD181" i="181"/>
  <c r="EZ181" i="181"/>
  <c r="DV181" i="181"/>
  <c r="CR181" i="181"/>
  <c r="CL181" i="181"/>
  <c r="CF181" i="181"/>
  <c r="BZ181" i="181"/>
  <c r="BT181" i="181"/>
  <c r="BN181" i="181"/>
  <c r="BH181" i="181"/>
  <c r="BB181" i="181"/>
  <c r="AV181" i="181"/>
  <c r="AP181" i="181"/>
  <c r="AJ181" i="181"/>
  <c r="AD181" i="181"/>
  <c r="X181" i="181"/>
  <c r="T181" i="181"/>
  <c r="I181" i="181"/>
  <c r="GD180" i="181"/>
  <c r="EZ180" i="181"/>
  <c r="DV180" i="181"/>
  <c r="CR180" i="181"/>
  <c r="CL180" i="181"/>
  <c r="CF180" i="181"/>
  <c r="BZ180" i="181"/>
  <c r="BT180" i="181"/>
  <c r="BN180" i="181"/>
  <c r="BH180" i="181"/>
  <c r="BB180" i="181"/>
  <c r="AV180" i="181"/>
  <c r="AP180" i="181"/>
  <c r="AJ180" i="181"/>
  <c r="AD180" i="181"/>
  <c r="X180" i="181"/>
  <c r="T180" i="181"/>
  <c r="I180" i="181"/>
  <c r="T179" i="181"/>
  <c r="I179" i="181"/>
  <c r="T178" i="181"/>
  <c r="I178" i="181"/>
  <c r="T177" i="181"/>
  <c r="I177" i="181"/>
  <c r="T176" i="181"/>
  <c r="I176" i="181"/>
  <c r="GD175" i="181"/>
  <c r="EZ175" i="181"/>
  <c r="DV175" i="181"/>
  <c r="CR175" i="181"/>
  <c r="CL175" i="181"/>
  <c r="CF175" i="181"/>
  <c r="BZ175" i="181"/>
  <c r="BT175" i="181"/>
  <c r="BN175" i="181"/>
  <c r="BH175" i="181"/>
  <c r="BB175" i="181"/>
  <c r="AV175" i="181"/>
  <c r="AP175" i="181"/>
  <c r="AJ175" i="181"/>
  <c r="AD175" i="181"/>
  <c r="X175" i="181"/>
  <c r="T175" i="181"/>
  <c r="I175" i="181"/>
  <c r="GD174" i="181"/>
  <c r="EZ174" i="181"/>
  <c r="DV174" i="181"/>
  <c r="CR174" i="181"/>
  <c r="CL174" i="181"/>
  <c r="CF174" i="181"/>
  <c r="BZ174" i="181"/>
  <c r="BT174" i="181"/>
  <c r="BN174" i="181"/>
  <c r="BH174" i="181"/>
  <c r="BB174" i="181"/>
  <c r="AV174" i="181"/>
  <c r="AP174" i="181"/>
  <c r="AJ174" i="181"/>
  <c r="AD174" i="181"/>
  <c r="X174" i="181"/>
  <c r="T174" i="181"/>
  <c r="I174" i="181"/>
  <c r="T173" i="181"/>
  <c r="I173" i="181"/>
  <c r="T172" i="181"/>
  <c r="I172" i="181"/>
  <c r="T171" i="181"/>
  <c r="I171" i="181"/>
  <c r="T170" i="181"/>
  <c r="I170" i="181"/>
  <c r="T169" i="181"/>
  <c r="I169" i="181"/>
  <c r="T168" i="181"/>
  <c r="I168" i="181"/>
  <c r="T167" i="181"/>
  <c r="I167" i="181"/>
  <c r="GD166" i="181"/>
  <c r="EZ166" i="181"/>
  <c r="DV166" i="181"/>
  <c r="CR166" i="181"/>
  <c r="CL166" i="181"/>
  <c r="CF166" i="181"/>
  <c r="BZ166" i="181"/>
  <c r="BT166" i="181"/>
  <c r="BN166" i="181"/>
  <c r="BH166" i="181"/>
  <c r="BB166" i="181"/>
  <c r="AV166" i="181"/>
  <c r="AP166" i="181"/>
  <c r="AJ166" i="181"/>
  <c r="AD166" i="181"/>
  <c r="X166" i="181"/>
  <c r="T166" i="181"/>
  <c r="I166" i="181"/>
  <c r="T165" i="181"/>
  <c r="I165" i="181"/>
  <c r="GD164" i="181"/>
  <c r="EZ164" i="181"/>
  <c r="DV164" i="181"/>
  <c r="CR164" i="181"/>
  <c r="CL164" i="181"/>
  <c r="CF164" i="181"/>
  <c r="BZ164" i="181"/>
  <c r="BT164" i="181"/>
  <c r="BN164" i="181"/>
  <c r="BH164" i="181"/>
  <c r="BB164" i="181"/>
  <c r="AV164" i="181"/>
  <c r="AP164" i="181"/>
  <c r="AJ164" i="181"/>
  <c r="AD164" i="181"/>
  <c r="X164" i="181"/>
  <c r="T164" i="181"/>
  <c r="I164" i="181"/>
  <c r="T163" i="181"/>
  <c r="I163" i="181"/>
  <c r="GD162" i="181"/>
  <c r="EZ162" i="181"/>
  <c r="DV162" i="181"/>
  <c r="CR162" i="181"/>
  <c r="CL162" i="181"/>
  <c r="CF162" i="181"/>
  <c r="BZ162" i="181"/>
  <c r="BT162" i="181"/>
  <c r="BN162" i="181"/>
  <c r="BH162" i="181"/>
  <c r="BB162" i="181"/>
  <c r="AV162" i="181"/>
  <c r="AP162" i="181"/>
  <c r="AJ162" i="181"/>
  <c r="AD162" i="181"/>
  <c r="X162" i="181"/>
  <c r="T162" i="181"/>
  <c r="I162" i="181"/>
  <c r="T161" i="181"/>
  <c r="I161" i="181"/>
  <c r="T160" i="181"/>
  <c r="I160" i="181"/>
  <c r="GE159" i="181"/>
  <c r="FA159" i="181"/>
  <c r="DW159" i="181"/>
  <c r="CS159" i="181"/>
  <c r="CM159" i="181"/>
  <c r="CG159" i="181"/>
  <c r="CA159" i="181"/>
  <c r="BU159" i="181"/>
  <c r="BO159" i="181"/>
  <c r="BI159" i="181"/>
  <c r="BC159" i="181"/>
  <c r="AW159" i="181"/>
  <c r="AQ159" i="181"/>
  <c r="AK159" i="181"/>
  <c r="AE159" i="181"/>
  <c r="Y159" i="181"/>
  <c r="T159" i="181"/>
  <c r="I159" i="181"/>
  <c r="T158" i="181"/>
  <c r="I158" i="181"/>
  <c r="GE157" i="181"/>
  <c r="FA157" i="181"/>
  <c r="DW157" i="181"/>
  <c r="CS157" i="181"/>
  <c r="CM157" i="181"/>
  <c r="CG157" i="181"/>
  <c r="CA157" i="181"/>
  <c r="BU157" i="181"/>
  <c r="BO157" i="181"/>
  <c r="BI157" i="181"/>
  <c r="BC157" i="181"/>
  <c r="AW157" i="181"/>
  <c r="AQ157" i="181"/>
  <c r="AK157" i="181"/>
  <c r="AE157" i="181"/>
  <c r="Y157" i="181"/>
  <c r="T157" i="181"/>
  <c r="I157" i="181"/>
  <c r="GE156" i="181"/>
  <c r="FA156" i="181"/>
  <c r="DW156" i="181"/>
  <c r="CS156" i="181"/>
  <c r="CM156" i="181"/>
  <c r="CG156" i="181"/>
  <c r="CA156" i="181"/>
  <c r="BU156" i="181"/>
  <c r="BO156" i="181"/>
  <c r="BI156" i="181"/>
  <c r="BC156" i="181"/>
  <c r="AW156" i="181"/>
  <c r="AQ156" i="181"/>
  <c r="AK156" i="181"/>
  <c r="AE156" i="181"/>
  <c r="Y156" i="181"/>
  <c r="T156" i="181"/>
  <c r="I156" i="181"/>
  <c r="T155" i="181"/>
  <c r="I155" i="181"/>
  <c r="GE154" i="181"/>
  <c r="FA154" i="181"/>
  <c r="DW154" i="181"/>
  <c r="CS154" i="181"/>
  <c r="CM154" i="181"/>
  <c r="CG154" i="181"/>
  <c r="CA154" i="181"/>
  <c r="BU154" i="181"/>
  <c r="BO154" i="181"/>
  <c r="BI154" i="181"/>
  <c r="BC154" i="181"/>
  <c r="AW154" i="181"/>
  <c r="AQ154" i="181"/>
  <c r="AK154" i="181"/>
  <c r="AE154" i="181"/>
  <c r="Y154" i="181"/>
  <c r="T154" i="181"/>
  <c r="I154" i="181"/>
  <c r="T153" i="181"/>
  <c r="I153" i="181"/>
  <c r="T152" i="181"/>
  <c r="I152" i="181"/>
  <c r="T151" i="181"/>
  <c r="I151" i="181"/>
  <c r="T150" i="181"/>
  <c r="I150" i="181"/>
  <c r="T149" i="181"/>
  <c r="I149" i="181"/>
  <c r="T148" i="181"/>
  <c r="I148" i="181"/>
  <c r="T147" i="181"/>
  <c r="I147" i="181"/>
  <c r="T146" i="181"/>
  <c r="I146" i="181"/>
  <c r="T145" i="181"/>
  <c r="I145" i="181"/>
  <c r="GE144" i="181"/>
  <c r="FA144" i="181"/>
  <c r="DW144" i="181"/>
  <c r="CS144" i="181"/>
  <c r="CM144" i="181"/>
  <c r="CG144" i="181"/>
  <c r="CA144" i="181"/>
  <c r="BU144" i="181"/>
  <c r="BO144" i="181"/>
  <c r="BI144" i="181"/>
  <c r="BC144" i="181"/>
  <c r="AW144" i="181"/>
  <c r="AQ144" i="181"/>
  <c r="AK144" i="181"/>
  <c r="AE144" i="181"/>
  <c r="Y144" i="181"/>
  <c r="T144" i="181"/>
  <c r="I144" i="181"/>
  <c r="T143" i="181"/>
  <c r="I143" i="181"/>
  <c r="T142" i="181"/>
  <c r="I142" i="181"/>
  <c r="GE141" i="181"/>
  <c r="FA141" i="181"/>
  <c r="DW141" i="181"/>
  <c r="CS141" i="181"/>
  <c r="CM141" i="181"/>
  <c r="CG141" i="181"/>
  <c r="CA141" i="181"/>
  <c r="BU141" i="181"/>
  <c r="BO141" i="181"/>
  <c r="BI141" i="181"/>
  <c r="BC141" i="181"/>
  <c r="AW141" i="181"/>
  <c r="AQ141" i="181"/>
  <c r="AK141" i="181"/>
  <c r="AE141" i="181"/>
  <c r="Y141" i="181"/>
  <c r="T141" i="181"/>
  <c r="I141" i="181"/>
  <c r="GE140" i="181"/>
  <c r="FA140" i="181"/>
  <c r="DW140" i="181"/>
  <c r="CS140" i="181"/>
  <c r="CM140" i="181"/>
  <c r="CG140" i="181"/>
  <c r="CA140" i="181"/>
  <c r="BU140" i="181"/>
  <c r="BO140" i="181"/>
  <c r="BI140" i="181"/>
  <c r="BC140" i="181"/>
  <c r="AW140" i="181"/>
  <c r="AQ140" i="181"/>
  <c r="AK140" i="181"/>
  <c r="AE140" i="181"/>
  <c r="Y140" i="181"/>
  <c r="T140" i="181"/>
  <c r="I140" i="181"/>
  <c r="GE139" i="181"/>
  <c r="FA139" i="181"/>
  <c r="DW139" i="181"/>
  <c r="CS139" i="181"/>
  <c r="CM139" i="181"/>
  <c r="CG139" i="181"/>
  <c r="CA139" i="181"/>
  <c r="BU139" i="181"/>
  <c r="BO139" i="181"/>
  <c r="BI139" i="181"/>
  <c r="BC139" i="181"/>
  <c r="AW139" i="181"/>
  <c r="AQ139" i="181"/>
  <c r="AK139" i="181"/>
  <c r="AE139" i="181"/>
  <c r="Y139" i="181"/>
  <c r="T139" i="181"/>
  <c r="I139" i="181"/>
  <c r="T138" i="181"/>
  <c r="I138" i="181"/>
  <c r="T137" i="181"/>
  <c r="I137" i="181"/>
  <c r="GE136" i="181"/>
  <c r="FA136" i="181"/>
  <c r="DW136" i="181"/>
  <c r="CS136" i="181"/>
  <c r="CM136" i="181"/>
  <c r="CG136" i="181"/>
  <c r="CA136" i="181"/>
  <c r="BU136" i="181"/>
  <c r="BO136" i="181"/>
  <c r="BI136" i="181"/>
  <c r="BC136" i="181"/>
  <c r="AW136" i="181"/>
  <c r="AQ136" i="181"/>
  <c r="AK136" i="181"/>
  <c r="AE136" i="181"/>
  <c r="Y136" i="181"/>
  <c r="T136" i="181"/>
  <c r="I136" i="181"/>
  <c r="GE135" i="181"/>
  <c r="FA135" i="181"/>
  <c r="DW135" i="181"/>
  <c r="CS135" i="181"/>
  <c r="CM135" i="181"/>
  <c r="CG135" i="181"/>
  <c r="CA135" i="181"/>
  <c r="BU135" i="181"/>
  <c r="BO135" i="181"/>
  <c r="BI135" i="181"/>
  <c r="BC135" i="181"/>
  <c r="AW135" i="181"/>
  <c r="AQ135" i="181"/>
  <c r="AK135" i="181"/>
  <c r="AE135" i="181"/>
  <c r="Y135" i="181"/>
  <c r="T135" i="181"/>
  <c r="I135" i="181"/>
  <c r="GE134" i="181"/>
  <c r="FA134" i="181"/>
  <c r="DW134" i="181"/>
  <c r="CS134" i="181"/>
  <c r="CM134" i="181"/>
  <c r="CG134" i="181"/>
  <c r="CA134" i="181"/>
  <c r="BU134" i="181"/>
  <c r="BO134" i="181"/>
  <c r="BI134" i="181"/>
  <c r="BC134" i="181"/>
  <c r="AW134" i="181"/>
  <c r="AQ134" i="181"/>
  <c r="AK134" i="181"/>
  <c r="AE134" i="181"/>
  <c r="Y134" i="181"/>
  <c r="T134" i="181"/>
  <c r="I134" i="181"/>
  <c r="GE133" i="181"/>
  <c r="FA133" i="181"/>
  <c r="DW133" i="181"/>
  <c r="CS133" i="181"/>
  <c r="CM133" i="181"/>
  <c r="CG133" i="181"/>
  <c r="CA133" i="181"/>
  <c r="BU133" i="181"/>
  <c r="BO133" i="181"/>
  <c r="BI133" i="181"/>
  <c r="BC133" i="181"/>
  <c r="AW133" i="181"/>
  <c r="AQ133" i="181"/>
  <c r="AK133" i="181"/>
  <c r="AE133" i="181"/>
  <c r="Y133" i="181"/>
  <c r="T133" i="181"/>
  <c r="I133" i="181"/>
  <c r="T132" i="181"/>
  <c r="I132" i="181"/>
  <c r="GE131" i="181"/>
  <c r="FA131" i="181"/>
  <c r="DW131" i="181"/>
  <c r="CS131" i="181"/>
  <c r="CM131" i="181"/>
  <c r="CG131" i="181"/>
  <c r="CA131" i="181"/>
  <c r="BU131" i="181"/>
  <c r="BO131" i="181"/>
  <c r="BI131" i="181"/>
  <c r="BC131" i="181"/>
  <c r="AW131" i="181"/>
  <c r="AQ131" i="181"/>
  <c r="AK131" i="181"/>
  <c r="AE131" i="181"/>
  <c r="Y131" i="181"/>
  <c r="T131" i="181"/>
  <c r="I131" i="181"/>
  <c r="GE130" i="181"/>
  <c r="FA130" i="181"/>
  <c r="DW130" i="181"/>
  <c r="CS130" i="181"/>
  <c r="CM130" i="181"/>
  <c r="CG130" i="181"/>
  <c r="CA130" i="181"/>
  <c r="BU130" i="181"/>
  <c r="BO130" i="181"/>
  <c r="BI130" i="181"/>
  <c r="BC130" i="181"/>
  <c r="AW130" i="181"/>
  <c r="AQ130" i="181"/>
  <c r="AK130" i="181"/>
  <c r="AE130" i="181"/>
  <c r="Y130" i="181"/>
  <c r="T130" i="181"/>
  <c r="I130" i="181"/>
  <c r="GE129" i="181"/>
  <c r="FA129" i="181"/>
  <c r="DW129" i="181"/>
  <c r="CS129" i="181"/>
  <c r="CM129" i="181"/>
  <c r="CG129" i="181"/>
  <c r="CA129" i="181"/>
  <c r="BU129" i="181"/>
  <c r="BO129" i="181"/>
  <c r="BI129" i="181"/>
  <c r="BC129" i="181"/>
  <c r="AW129" i="181"/>
  <c r="AQ129" i="181"/>
  <c r="AK129" i="181"/>
  <c r="AE129" i="181"/>
  <c r="Y129" i="181"/>
  <c r="T129" i="181"/>
  <c r="I129" i="181"/>
  <c r="T128" i="181"/>
  <c r="I128" i="181"/>
  <c r="GE127" i="181"/>
  <c r="FA127" i="181"/>
  <c r="DW127" i="181"/>
  <c r="CS127" i="181"/>
  <c r="CM127" i="181"/>
  <c r="CG127" i="181"/>
  <c r="CA127" i="181"/>
  <c r="BU127" i="181"/>
  <c r="BO127" i="181"/>
  <c r="BI127" i="181"/>
  <c r="BC127" i="181"/>
  <c r="AW127" i="181"/>
  <c r="AQ127" i="181"/>
  <c r="AK127" i="181"/>
  <c r="AE127" i="181"/>
  <c r="Y127" i="181"/>
  <c r="T127" i="181"/>
  <c r="I127" i="181"/>
  <c r="T126" i="181"/>
  <c r="I126" i="181"/>
  <c r="GE125" i="181"/>
  <c r="FA125" i="181"/>
  <c r="DW125" i="181"/>
  <c r="CS125" i="181"/>
  <c r="CM125" i="181"/>
  <c r="CG125" i="181"/>
  <c r="CA125" i="181"/>
  <c r="BU125" i="181"/>
  <c r="BO125" i="181"/>
  <c r="BI125" i="181"/>
  <c r="BC125" i="181"/>
  <c r="AW125" i="181"/>
  <c r="AQ125" i="181"/>
  <c r="AK125" i="181"/>
  <c r="AE125" i="181"/>
  <c r="Y125" i="181"/>
  <c r="T125" i="181"/>
  <c r="I125" i="181"/>
  <c r="GE124" i="181"/>
  <c r="FA124" i="181"/>
  <c r="DW124" i="181"/>
  <c r="CS124" i="181"/>
  <c r="CM124" i="181"/>
  <c r="CG124" i="181"/>
  <c r="CA124" i="181"/>
  <c r="BU124" i="181"/>
  <c r="BO124" i="181"/>
  <c r="BI124" i="181"/>
  <c r="BC124" i="181"/>
  <c r="AW124" i="181"/>
  <c r="AQ124" i="181"/>
  <c r="AK124" i="181"/>
  <c r="AE124" i="181"/>
  <c r="Y124" i="181"/>
  <c r="T124" i="181"/>
  <c r="I124" i="181"/>
  <c r="T123" i="181"/>
  <c r="I123" i="181"/>
  <c r="T122" i="181"/>
  <c r="I122" i="181"/>
  <c r="T121" i="181"/>
  <c r="I121" i="181"/>
  <c r="GE120" i="181"/>
  <c r="FA120" i="181"/>
  <c r="DW120" i="181"/>
  <c r="CS120" i="181"/>
  <c r="CM120" i="181"/>
  <c r="CG120" i="181"/>
  <c r="CA120" i="181"/>
  <c r="BU120" i="181"/>
  <c r="BO120" i="181"/>
  <c r="BI120" i="181"/>
  <c r="BC120" i="181"/>
  <c r="AW120" i="181"/>
  <c r="AQ120" i="181"/>
  <c r="AK120" i="181"/>
  <c r="AE120" i="181"/>
  <c r="Y120" i="181"/>
  <c r="T120" i="181"/>
  <c r="I120" i="181"/>
  <c r="T119" i="181"/>
  <c r="I119" i="181"/>
  <c r="T118" i="181"/>
  <c r="I118" i="181"/>
  <c r="T117" i="181"/>
  <c r="I117" i="181"/>
  <c r="T116" i="181"/>
  <c r="I116" i="181"/>
  <c r="GE115" i="181"/>
  <c r="FA115" i="181"/>
  <c r="DW115" i="181"/>
  <c r="CS115" i="181"/>
  <c r="CM115" i="181"/>
  <c r="CG115" i="181"/>
  <c r="CA115" i="181"/>
  <c r="BU115" i="181"/>
  <c r="BO115" i="181"/>
  <c r="BI115" i="181"/>
  <c r="BC115" i="181"/>
  <c r="AW115" i="181"/>
  <c r="AQ115" i="181"/>
  <c r="AK115" i="181"/>
  <c r="AE115" i="181"/>
  <c r="Y115" i="181"/>
  <c r="T115" i="181"/>
  <c r="I115" i="181"/>
  <c r="T114" i="181"/>
  <c r="I114" i="181"/>
  <c r="GD113" i="181"/>
  <c r="EZ113" i="181"/>
  <c r="DV113" i="181"/>
  <c r="CR113" i="181"/>
  <c r="CL113" i="181"/>
  <c r="CF113" i="181"/>
  <c r="BZ113" i="181"/>
  <c r="BT113" i="181"/>
  <c r="BN113" i="181"/>
  <c r="BH113" i="181"/>
  <c r="BB113" i="181"/>
  <c r="AV113" i="181"/>
  <c r="AP113" i="181"/>
  <c r="AJ113" i="181"/>
  <c r="AD113" i="181"/>
  <c r="X113" i="181"/>
  <c r="T113" i="181"/>
  <c r="I113" i="181"/>
  <c r="GD112" i="181"/>
  <c r="EZ112" i="181"/>
  <c r="DV112" i="181"/>
  <c r="CR112" i="181"/>
  <c r="CL112" i="181"/>
  <c r="CF112" i="181"/>
  <c r="BZ112" i="181"/>
  <c r="BT112" i="181"/>
  <c r="BN112" i="181"/>
  <c r="BH112" i="181"/>
  <c r="BB112" i="181"/>
  <c r="AV112" i="181"/>
  <c r="AP112" i="181"/>
  <c r="AJ112" i="181"/>
  <c r="AD112" i="181"/>
  <c r="X112" i="181"/>
  <c r="T112" i="181"/>
  <c r="I112" i="181"/>
  <c r="GD111" i="181"/>
  <c r="EZ111" i="181"/>
  <c r="DV111" i="181"/>
  <c r="CR111" i="181"/>
  <c r="CL111" i="181"/>
  <c r="CF111" i="181"/>
  <c r="BZ111" i="181"/>
  <c r="BT111" i="181"/>
  <c r="BN111" i="181"/>
  <c r="BH111" i="181"/>
  <c r="BB111" i="181"/>
  <c r="AV111" i="181"/>
  <c r="AP111" i="181"/>
  <c r="AJ111" i="181"/>
  <c r="AD111" i="181"/>
  <c r="X111" i="181"/>
  <c r="T111" i="181"/>
  <c r="I111" i="181"/>
  <c r="GD110" i="181"/>
  <c r="EZ110" i="181"/>
  <c r="DV110" i="181"/>
  <c r="CR110" i="181"/>
  <c r="CL110" i="181"/>
  <c r="CF110" i="181"/>
  <c r="BZ110" i="181"/>
  <c r="BT110" i="181"/>
  <c r="BN110" i="181"/>
  <c r="BH110" i="181"/>
  <c r="BB110" i="181"/>
  <c r="AV110" i="181"/>
  <c r="AP110" i="181"/>
  <c r="AJ110" i="181"/>
  <c r="AD110" i="181"/>
  <c r="X110" i="181"/>
  <c r="T110" i="181"/>
  <c r="I110" i="181"/>
  <c r="GD109" i="181"/>
  <c r="EZ109" i="181"/>
  <c r="DV109" i="181"/>
  <c r="CR109" i="181"/>
  <c r="CL109" i="181"/>
  <c r="CF109" i="181"/>
  <c r="BZ109" i="181"/>
  <c r="BT109" i="181"/>
  <c r="BN109" i="181"/>
  <c r="BH109" i="181"/>
  <c r="BB109" i="181"/>
  <c r="AV109" i="181"/>
  <c r="AP109" i="181"/>
  <c r="AJ109" i="181"/>
  <c r="AD109" i="181"/>
  <c r="X109" i="181"/>
  <c r="T109" i="181"/>
  <c r="I109" i="181"/>
  <c r="GD108" i="181"/>
  <c r="EZ108" i="181"/>
  <c r="DV108" i="181"/>
  <c r="CR108" i="181"/>
  <c r="CL108" i="181"/>
  <c r="CF108" i="181"/>
  <c r="BZ108" i="181"/>
  <c r="BT108" i="181"/>
  <c r="BN108" i="181"/>
  <c r="BH108" i="181"/>
  <c r="BB108" i="181"/>
  <c r="AV108" i="181"/>
  <c r="AP108" i="181"/>
  <c r="AJ108" i="181"/>
  <c r="AD108" i="181"/>
  <c r="X108" i="181"/>
  <c r="T108" i="181"/>
  <c r="I108" i="181"/>
  <c r="T107" i="181"/>
  <c r="I107" i="181"/>
  <c r="GD106" i="181"/>
  <c r="EZ106" i="181"/>
  <c r="DV106" i="181"/>
  <c r="CR106" i="181"/>
  <c r="CL106" i="181"/>
  <c r="CF106" i="181"/>
  <c r="BZ106" i="181"/>
  <c r="BT106" i="181"/>
  <c r="BN106" i="181"/>
  <c r="BH106" i="181"/>
  <c r="BB106" i="181"/>
  <c r="AV106" i="181"/>
  <c r="AP106" i="181"/>
  <c r="AJ106" i="181"/>
  <c r="AD106" i="181"/>
  <c r="X106" i="181"/>
  <c r="T106" i="181"/>
  <c r="I106" i="181"/>
  <c r="GD105" i="181"/>
  <c r="EZ105" i="181"/>
  <c r="DV105" i="181"/>
  <c r="CR105" i="181"/>
  <c r="CL105" i="181"/>
  <c r="CF105" i="181"/>
  <c r="BZ105" i="181"/>
  <c r="BT105" i="181"/>
  <c r="BN105" i="181"/>
  <c r="BH105" i="181"/>
  <c r="BB105" i="181"/>
  <c r="AV105" i="181"/>
  <c r="AP105" i="181"/>
  <c r="AJ105" i="181"/>
  <c r="AD105" i="181"/>
  <c r="X105" i="181"/>
  <c r="T105" i="181"/>
  <c r="I105" i="181"/>
  <c r="T104" i="181"/>
  <c r="I104" i="181"/>
  <c r="T103" i="181"/>
  <c r="I103" i="181"/>
  <c r="T102" i="181"/>
  <c r="I102" i="181"/>
  <c r="T101" i="181"/>
  <c r="I101" i="181"/>
  <c r="T100" i="181"/>
  <c r="I100" i="181"/>
  <c r="T99" i="181"/>
  <c r="I99" i="181"/>
  <c r="T98" i="181"/>
  <c r="I98" i="181"/>
  <c r="T97" i="181"/>
  <c r="I97" i="181"/>
  <c r="T96" i="181"/>
  <c r="I96" i="181"/>
  <c r="T95" i="181"/>
  <c r="I95" i="181"/>
  <c r="T94" i="181"/>
  <c r="I94" i="181"/>
  <c r="T93" i="181"/>
  <c r="I93" i="181"/>
  <c r="GD92" i="181"/>
  <c r="EZ92" i="181"/>
  <c r="DV92" i="181"/>
  <c r="CR92" i="181"/>
  <c r="CL92" i="181"/>
  <c r="CF92" i="181"/>
  <c r="BZ92" i="181"/>
  <c r="BT92" i="181"/>
  <c r="BN92" i="181"/>
  <c r="BH92" i="181"/>
  <c r="BB92" i="181"/>
  <c r="AV92" i="181"/>
  <c r="AP92" i="181"/>
  <c r="AJ92" i="181"/>
  <c r="AD92" i="181"/>
  <c r="X92" i="181"/>
  <c r="T92" i="181"/>
  <c r="I92" i="181"/>
  <c r="GD91" i="181"/>
  <c r="EZ91" i="181"/>
  <c r="DV91" i="181"/>
  <c r="CR91" i="181"/>
  <c r="CL91" i="181"/>
  <c r="CF91" i="181"/>
  <c r="BZ91" i="181"/>
  <c r="BT91" i="181"/>
  <c r="BN91" i="181"/>
  <c r="BH91" i="181"/>
  <c r="BB91" i="181"/>
  <c r="AV91" i="181"/>
  <c r="AP91" i="181"/>
  <c r="AJ91" i="181"/>
  <c r="AD91" i="181"/>
  <c r="X91" i="181"/>
  <c r="T91" i="181"/>
  <c r="I91" i="181"/>
  <c r="GG90" i="181"/>
  <c r="GF90" i="181"/>
  <c r="GE90" i="181"/>
  <c r="GD90" i="181"/>
  <c r="GC90" i="181"/>
  <c r="FC90" i="181"/>
  <c r="FB90" i="181"/>
  <c r="FA90" i="181"/>
  <c r="EZ90" i="181"/>
  <c r="EY90" i="181"/>
  <c r="DY90" i="181"/>
  <c r="DX90" i="181"/>
  <c r="DW90" i="181"/>
  <c r="DV90" i="181"/>
  <c r="DU90" i="181"/>
  <c r="CU90" i="181"/>
  <c r="CT90" i="181"/>
  <c r="CS90" i="181"/>
  <c r="CR90" i="181"/>
  <c r="CQ90" i="181"/>
  <c r="CO90" i="181"/>
  <c r="CN90" i="181"/>
  <c r="CM90" i="181"/>
  <c r="CL90" i="181"/>
  <c r="CK90" i="181"/>
  <c r="CI90" i="181"/>
  <c r="CH90" i="181"/>
  <c r="CG90" i="181"/>
  <c r="CF90" i="181"/>
  <c r="CE90" i="181"/>
  <c r="CC90" i="181"/>
  <c r="CB90" i="181"/>
  <c r="CA90" i="181"/>
  <c r="BZ90" i="181"/>
  <c r="BY90" i="181"/>
  <c r="BW90" i="181"/>
  <c r="BV90" i="181"/>
  <c r="BU90" i="181"/>
  <c r="BT90" i="181"/>
  <c r="BS90" i="181"/>
  <c r="BQ90" i="181"/>
  <c r="BP90" i="181"/>
  <c r="BO90" i="181"/>
  <c r="BN90" i="181"/>
  <c r="BM90" i="181"/>
  <c r="BK90" i="181"/>
  <c r="BJ90" i="181"/>
  <c r="BI90" i="181"/>
  <c r="BH90" i="181"/>
  <c r="BG90" i="181"/>
  <c r="BE90" i="181"/>
  <c r="BD90" i="181"/>
  <c r="BC90" i="181"/>
  <c r="BB90" i="181"/>
  <c r="BA90" i="181"/>
  <c r="AY90" i="181"/>
  <c r="AX90" i="181"/>
  <c r="AW90" i="181"/>
  <c r="AV90" i="181"/>
  <c r="AU90" i="181"/>
  <c r="AS90" i="181"/>
  <c r="AR90" i="181"/>
  <c r="AQ90" i="181"/>
  <c r="AP90" i="181"/>
  <c r="AO90" i="181"/>
  <c r="AM90" i="181"/>
  <c r="AL90" i="181"/>
  <c r="AK90" i="181"/>
  <c r="AJ90" i="181"/>
  <c r="AI90" i="181"/>
  <c r="AG90" i="181"/>
  <c r="AF90" i="181"/>
  <c r="AE90" i="181"/>
  <c r="AD90" i="181"/>
  <c r="AC90" i="181"/>
  <c r="AA90" i="181"/>
  <c r="Z90" i="181"/>
  <c r="Y90" i="181"/>
  <c r="X90" i="181"/>
  <c r="W90" i="181"/>
  <c r="T90" i="181"/>
  <c r="I90" i="181"/>
  <c r="T89" i="181"/>
  <c r="I89" i="181"/>
  <c r="T88" i="181"/>
  <c r="I88" i="181"/>
  <c r="T87" i="181"/>
  <c r="I87" i="181"/>
  <c r="T86" i="181"/>
  <c r="I86" i="181"/>
  <c r="T85" i="181"/>
  <c r="I85" i="181"/>
  <c r="T84" i="181"/>
  <c r="I84" i="181"/>
  <c r="GD83" i="181"/>
  <c r="EZ83" i="181"/>
  <c r="DV83" i="181"/>
  <c r="CR83" i="181"/>
  <c r="CL83" i="181"/>
  <c r="CF83" i="181"/>
  <c r="BZ83" i="181"/>
  <c r="BT83" i="181"/>
  <c r="BN83" i="181"/>
  <c r="BH83" i="181"/>
  <c r="BB83" i="181"/>
  <c r="AV83" i="181"/>
  <c r="AP83" i="181"/>
  <c r="AJ83" i="181"/>
  <c r="AD83" i="181"/>
  <c r="X83" i="181"/>
  <c r="T83" i="181"/>
  <c r="I83" i="181"/>
  <c r="GD82" i="181"/>
  <c r="EZ82" i="181"/>
  <c r="DV82" i="181"/>
  <c r="CR82" i="181"/>
  <c r="CL82" i="181"/>
  <c r="CF82" i="181"/>
  <c r="BZ82" i="181"/>
  <c r="BT82" i="181"/>
  <c r="BN82" i="181"/>
  <c r="BH82" i="181"/>
  <c r="BB82" i="181"/>
  <c r="AV82" i="181"/>
  <c r="AP82" i="181"/>
  <c r="AJ82" i="181"/>
  <c r="AD82" i="181"/>
  <c r="X82" i="181"/>
  <c r="T82" i="181"/>
  <c r="I82" i="181"/>
  <c r="GD81" i="181"/>
  <c r="EZ81" i="181"/>
  <c r="DV81" i="181"/>
  <c r="CR81" i="181"/>
  <c r="CL81" i="181"/>
  <c r="CF81" i="181"/>
  <c r="BZ81" i="181"/>
  <c r="BT81" i="181"/>
  <c r="BN81" i="181"/>
  <c r="BH81" i="181"/>
  <c r="BB81" i="181"/>
  <c r="AV81" i="181"/>
  <c r="AP81" i="181"/>
  <c r="AJ81" i="181"/>
  <c r="AD81" i="181"/>
  <c r="X81" i="181"/>
  <c r="T81" i="181"/>
  <c r="I81" i="181"/>
  <c r="GD80" i="181"/>
  <c r="EZ80" i="181"/>
  <c r="DV80" i="181"/>
  <c r="CR80" i="181"/>
  <c r="CL80" i="181"/>
  <c r="CF80" i="181"/>
  <c r="BZ80" i="181"/>
  <c r="BT80" i="181"/>
  <c r="BN80" i="181"/>
  <c r="BH80" i="181"/>
  <c r="BB80" i="181"/>
  <c r="AV80" i="181"/>
  <c r="AP80" i="181"/>
  <c r="AJ80" i="181"/>
  <c r="AD80" i="181"/>
  <c r="X80" i="181"/>
  <c r="T80" i="181"/>
  <c r="I80" i="181"/>
  <c r="T79" i="181"/>
  <c r="I79" i="181"/>
  <c r="T78" i="181"/>
  <c r="I78" i="181"/>
  <c r="T77" i="181"/>
  <c r="I77" i="181"/>
  <c r="T76" i="181"/>
  <c r="I76" i="181"/>
  <c r="T75" i="181"/>
  <c r="I75" i="181"/>
  <c r="T74" i="181"/>
  <c r="I74" i="181"/>
  <c r="T73" i="181"/>
  <c r="I73" i="181"/>
  <c r="T72" i="181"/>
  <c r="I72" i="181"/>
  <c r="GD71" i="181"/>
  <c r="EZ71" i="181"/>
  <c r="DV71" i="181"/>
  <c r="CR71" i="181"/>
  <c r="CL71" i="181"/>
  <c r="CF71" i="181"/>
  <c r="BZ71" i="181"/>
  <c r="BT71" i="181"/>
  <c r="BN71" i="181"/>
  <c r="BH71" i="181"/>
  <c r="BB71" i="181"/>
  <c r="AV71" i="181"/>
  <c r="AP71" i="181"/>
  <c r="AJ71" i="181"/>
  <c r="AD71" i="181"/>
  <c r="X71" i="181"/>
  <c r="T71" i="181"/>
  <c r="I71" i="181"/>
  <c r="T70" i="181"/>
  <c r="I70" i="181"/>
  <c r="T69" i="181"/>
  <c r="I69" i="181"/>
  <c r="T68" i="181"/>
  <c r="I68" i="181"/>
  <c r="T67" i="181"/>
  <c r="I67" i="181"/>
  <c r="T66" i="181"/>
  <c r="I66" i="181"/>
  <c r="T65" i="181"/>
  <c r="I65" i="181"/>
  <c r="T64" i="181"/>
  <c r="I64" i="181"/>
  <c r="T63" i="181"/>
  <c r="I63" i="181"/>
  <c r="T62" i="181"/>
  <c r="I62" i="181"/>
  <c r="T61" i="181"/>
  <c r="I61" i="181"/>
  <c r="T60" i="181"/>
  <c r="I60" i="181"/>
  <c r="T59" i="181"/>
  <c r="I59" i="181"/>
  <c r="T58" i="181"/>
  <c r="I58" i="181"/>
  <c r="T57" i="181"/>
  <c r="I57" i="181"/>
  <c r="T56" i="181"/>
  <c r="I56" i="181"/>
  <c r="T55" i="181"/>
  <c r="I55" i="181"/>
  <c r="T54" i="181"/>
  <c r="I54" i="181"/>
  <c r="T53" i="181"/>
  <c r="I53" i="181"/>
  <c r="T52" i="181"/>
  <c r="I52" i="181"/>
  <c r="T51" i="181"/>
  <c r="I51" i="181"/>
  <c r="T50" i="181"/>
  <c r="I50" i="181"/>
  <c r="T49" i="181"/>
  <c r="I49" i="181"/>
  <c r="T48" i="181"/>
  <c r="I48" i="181"/>
  <c r="T47" i="181"/>
  <c r="I47" i="181"/>
  <c r="T46" i="181"/>
  <c r="I46" i="181"/>
  <c r="T45" i="181"/>
  <c r="I45" i="181"/>
  <c r="GF44" i="181"/>
  <c r="GD44" i="181"/>
  <c r="FZ44" i="181"/>
  <c r="FX44" i="181"/>
  <c r="FB44" i="181"/>
  <c r="EZ44" i="181"/>
  <c r="EV44" i="181"/>
  <c r="ET44" i="181"/>
  <c r="DX44" i="181"/>
  <c r="DV44" i="181"/>
  <c r="DR44" i="181"/>
  <c r="DP44" i="181"/>
  <c r="CT44" i="181"/>
  <c r="CR44" i="181"/>
  <c r="CN44" i="181"/>
  <c r="CL44" i="181"/>
  <c r="CH44" i="181"/>
  <c r="CF44" i="181"/>
  <c r="CB44" i="181"/>
  <c r="BZ44" i="181"/>
  <c r="BV44" i="181"/>
  <c r="BT44" i="181"/>
  <c r="BP44" i="181"/>
  <c r="BN44" i="181"/>
  <c r="BJ44" i="181"/>
  <c r="BH44" i="181"/>
  <c r="BD44" i="181"/>
  <c r="BB44" i="181"/>
  <c r="AX44" i="181"/>
  <c r="AV44" i="181"/>
  <c r="AR44" i="181"/>
  <c r="AP44" i="181"/>
  <c r="AL44" i="181"/>
  <c r="AJ44" i="181"/>
  <c r="AF44" i="181"/>
  <c r="AD44" i="181"/>
  <c r="Z44" i="181"/>
  <c r="X44" i="181"/>
  <c r="T44" i="181"/>
  <c r="O44" i="181"/>
  <c r="I44" i="181"/>
  <c r="C14" i="181"/>
  <c r="C5" i="181"/>
  <c r="GD215" i="180"/>
  <c r="EZ215" i="180"/>
  <c r="DV215" i="180"/>
  <c r="CR215" i="180"/>
  <c r="CL215" i="180"/>
  <c r="CF215" i="180"/>
  <c r="BZ215" i="180"/>
  <c r="BT215" i="180"/>
  <c r="BN215" i="180"/>
  <c r="BH215" i="180"/>
  <c r="BB215" i="180"/>
  <c r="AV215" i="180"/>
  <c r="AP215" i="180"/>
  <c r="AJ215" i="180"/>
  <c r="AD215" i="180"/>
  <c r="X215" i="180"/>
  <c r="T215" i="180"/>
  <c r="I215" i="180"/>
  <c r="GD214" i="180"/>
  <c r="EZ214" i="180"/>
  <c r="DV214" i="180"/>
  <c r="CR214" i="180"/>
  <c r="CL214" i="180"/>
  <c r="CF214" i="180"/>
  <c r="BZ214" i="180"/>
  <c r="BT214" i="180"/>
  <c r="BN214" i="180"/>
  <c r="BH214" i="180"/>
  <c r="BB214" i="180"/>
  <c r="AV214" i="180"/>
  <c r="AP214" i="180"/>
  <c r="AJ214" i="180"/>
  <c r="AD214" i="180"/>
  <c r="X214" i="180"/>
  <c r="T214" i="180"/>
  <c r="I214" i="180"/>
  <c r="T213" i="180"/>
  <c r="I213" i="180"/>
  <c r="GD212" i="180"/>
  <c r="EZ212" i="180"/>
  <c r="DV212" i="180"/>
  <c r="CR212" i="180"/>
  <c r="CL212" i="180"/>
  <c r="CF212" i="180"/>
  <c r="BZ212" i="180"/>
  <c r="BT212" i="180"/>
  <c r="BN212" i="180"/>
  <c r="BH212" i="180"/>
  <c r="BB212" i="180"/>
  <c r="AV212" i="180"/>
  <c r="AP212" i="180"/>
  <c r="AJ212" i="180"/>
  <c r="AD212" i="180"/>
  <c r="X212" i="180"/>
  <c r="T212" i="180"/>
  <c r="I212" i="180"/>
  <c r="GD211" i="180"/>
  <c r="EZ211" i="180"/>
  <c r="DV211" i="180"/>
  <c r="CR211" i="180"/>
  <c r="CL211" i="180"/>
  <c r="CF211" i="180"/>
  <c r="BZ211" i="180"/>
  <c r="BT211" i="180"/>
  <c r="BN211" i="180"/>
  <c r="BH211" i="180"/>
  <c r="BB211" i="180"/>
  <c r="AV211" i="180"/>
  <c r="AP211" i="180"/>
  <c r="AJ211" i="180"/>
  <c r="AD211" i="180"/>
  <c r="X211" i="180"/>
  <c r="T211" i="180"/>
  <c r="I211" i="180"/>
  <c r="GD210" i="180"/>
  <c r="EZ210" i="180"/>
  <c r="DV210" i="180"/>
  <c r="CR210" i="180"/>
  <c r="CL210" i="180"/>
  <c r="CF210" i="180"/>
  <c r="BZ210" i="180"/>
  <c r="BT210" i="180"/>
  <c r="BN210" i="180"/>
  <c r="BH210" i="180"/>
  <c r="BB210" i="180"/>
  <c r="AV210" i="180"/>
  <c r="AP210" i="180"/>
  <c r="AJ210" i="180"/>
  <c r="AD210" i="180"/>
  <c r="X210" i="180"/>
  <c r="T210" i="180"/>
  <c r="I210" i="180"/>
  <c r="GD209" i="180"/>
  <c r="EZ209" i="180"/>
  <c r="DV209" i="180"/>
  <c r="CR209" i="180"/>
  <c r="CL209" i="180"/>
  <c r="CF209" i="180"/>
  <c r="BZ209" i="180"/>
  <c r="BT209" i="180"/>
  <c r="BN209" i="180"/>
  <c r="BH209" i="180"/>
  <c r="BB209" i="180"/>
  <c r="AV209" i="180"/>
  <c r="AP209" i="180"/>
  <c r="AJ209" i="180"/>
  <c r="AD209" i="180"/>
  <c r="X209" i="180"/>
  <c r="T209" i="180"/>
  <c r="I209" i="180"/>
  <c r="GD208" i="180"/>
  <c r="EZ208" i="180"/>
  <c r="DV208" i="180"/>
  <c r="CR208" i="180"/>
  <c r="CL208" i="180"/>
  <c r="CF208" i="180"/>
  <c r="BZ208" i="180"/>
  <c r="BT208" i="180"/>
  <c r="BN208" i="180"/>
  <c r="BH208" i="180"/>
  <c r="BB208" i="180"/>
  <c r="AV208" i="180"/>
  <c r="AP208" i="180"/>
  <c r="AJ208" i="180"/>
  <c r="AD208" i="180"/>
  <c r="X208" i="180"/>
  <c r="T208" i="180"/>
  <c r="I208" i="180"/>
  <c r="GD207" i="180"/>
  <c r="EZ207" i="180"/>
  <c r="DV207" i="180"/>
  <c r="CR207" i="180"/>
  <c r="CL207" i="180"/>
  <c r="CF207" i="180"/>
  <c r="BZ207" i="180"/>
  <c r="BT207" i="180"/>
  <c r="BN207" i="180"/>
  <c r="BH207" i="180"/>
  <c r="BB207" i="180"/>
  <c r="AV207" i="180"/>
  <c r="AP207" i="180"/>
  <c r="AJ207" i="180"/>
  <c r="AD207" i="180"/>
  <c r="X207" i="180"/>
  <c r="T207" i="180"/>
  <c r="I207" i="180"/>
  <c r="T206" i="180"/>
  <c r="I206" i="180"/>
  <c r="T205" i="180"/>
  <c r="I205" i="180"/>
  <c r="T204" i="180"/>
  <c r="I204" i="180"/>
  <c r="GF203" i="180"/>
  <c r="GE203" i="180"/>
  <c r="GD203" i="180"/>
  <c r="GC203" i="180"/>
  <c r="FB203" i="180"/>
  <c r="FA203" i="180"/>
  <c r="EZ203" i="180"/>
  <c r="EY203" i="180"/>
  <c r="DX203" i="180"/>
  <c r="DW203" i="180"/>
  <c r="DV203" i="180"/>
  <c r="DU203" i="180"/>
  <c r="CT203" i="180"/>
  <c r="CS203" i="180"/>
  <c r="CR203" i="180"/>
  <c r="CQ203" i="180"/>
  <c r="CN203" i="180"/>
  <c r="CM203" i="180"/>
  <c r="CL203" i="180"/>
  <c r="CK203" i="180"/>
  <c r="CH203" i="180"/>
  <c r="CG203" i="180"/>
  <c r="CF203" i="180"/>
  <c r="CE203" i="180"/>
  <c r="CB203" i="180"/>
  <c r="CA203" i="180"/>
  <c r="BZ203" i="180"/>
  <c r="BY203" i="180"/>
  <c r="BV203" i="180"/>
  <c r="BU203" i="180"/>
  <c r="BT203" i="180"/>
  <c r="BS203" i="180"/>
  <c r="BP203" i="180"/>
  <c r="BO203" i="180"/>
  <c r="BN203" i="180"/>
  <c r="BM203" i="180"/>
  <c r="BJ203" i="180"/>
  <c r="BI203" i="180"/>
  <c r="BH203" i="180"/>
  <c r="BG203" i="180"/>
  <c r="BD203" i="180"/>
  <c r="BC203" i="180"/>
  <c r="BB203" i="180"/>
  <c r="BA203" i="180"/>
  <c r="AX203" i="180"/>
  <c r="AW203" i="180"/>
  <c r="AV203" i="180"/>
  <c r="AU203" i="180"/>
  <c r="AR203" i="180"/>
  <c r="AQ203" i="180"/>
  <c r="AP203" i="180"/>
  <c r="AO203" i="180"/>
  <c r="AL203" i="180"/>
  <c r="AK203" i="180"/>
  <c r="AJ203" i="180"/>
  <c r="AI203" i="180"/>
  <c r="AF203" i="180"/>
  <c r="AE203" i="180"/>
  <c r="AD203" i="180"/>
  <c r="AC203" i="180"/>
  <c r="Z203" i="180"/>
  <c r="Y203" i="180"/>
  <c r="X203" i="180"/>
  <c r="W203" i="180"/>
  <c r="T203" i="180"/>
  <c r="I203" i="180"/>
  <c r="GF202" i="180"/>
  <c r="GE202" i="180"/>
  <c r="GD202" i="180"/>
  <c r="GC202" i="180"/>
  <c r="FB202" i="180"/>
  <c r="FA202" i="180"/>
  <c r="EZ202" i="180"/>
  <c r="EY202" i="180"/>
  <c r="DX202" i="180"/>
  <c r="DW202" i="180"/>
  <c r="DV202" i="180"/>
  <c r="DU202" i="180"/>
  <c r="CT202" i="180"/>
  <c r="CS202" i="180"/>
  <c r="CR202" i="180"/>
  <c r="CQ202" i="180"/>
  <c r="CN202" i="180"/>
  <c r="CM202" i="180"/>
  <c r="CL202" i="180"/>
  <c r="CK202" i="180"/>
  <c r="CH202" i="180"/>
  <c r="CG202" i="180"/>
  <c r="CF202" i="180"/>
  <c r="CE202" i="180"/>
  <c r="CB202" i="180"/>
  <c r="CA202" i="180"/>
  <c r="BZ202" i="180"/>
  <c r="BY202" i="180"/>
  <c r="BV202" i="180"/>
  <c r="BU202" i="180"/>
  <c r="BT202" i="180"/>
  <c r="BS202" i="180"/>
  <c r="BP202" i="180"/>
  <c r="BO202" i="180"/>
  <c r="BN202" i="180"/>
  <c r="BM202" i="180"/>
  <c r="BJ202" i="180"/>
  <c r="BI202" i="180"/>
  <c r="BH202" i="180"/>
  <c r="BG202" i="180"/>
  <c r="BD202" i="180"/>
  <c r="BC202" i="180"/>
  <c r="BB202" i="180"/>
  <c r="BA202" i="180"/>
  <c r="AX202" i="180"/>
  <c r="AW202" i="180"/>
  <c r="AV202" i="180"/>
  <c r="AU202" i="180"/>
  <c r="AR202" i="180"/>
  <c r="AQ202" i="180"/>
  <c r="AP202" i="180"/>
  <c r="AO202" i="180"/>
  <c r="AL202" i="180"/>
  <c r="AK202" i="180"/>
  <c r="AJ202" i="180"/>
  <c r="AI202" i="180"/>
  <c r="AF202" i="180"/>
  <c r="AE202" i="180"/>
  <c r="AD202" i="180"/>
  <c r="AC202" i="180"/>
  <c r="Z202" i="180"/>
  <c r="Y202" i="180"/>
  <c r="X202" i="180"/>
  <c r="W202" i="180"/>
  <c r="T202" i="180"/>
  <c r="I202" i="180"/>
  <c r="T201" i="180"/>
  <c r="I201" i="180"/>
  <c r="T200" i="180"/>
  <c r="I200" i="180"/>
  <c r="T199" i="180"/>
  <c r="I199" i="180"/>
  <c r="T198" i="180"/>
  <c r="I198" i="180"/>
  <c r="T197" i="180"/>
  <c r="I197" i="180"/>
  <c r="T196" i="180"/>
  <c r="I196" i="180"/>
  <c r="T195" i="180"/>
  <c r="I195" i="180"/>
  <c r="T194" i="180"/>
  <c r="I194" i="180"/>
  <c r="T193" i="180"/>
  <c r="I193" i="180"/>
  <c r="T192" i="180"/>
  <c r="I192" i="180"/>
  <c r="T191" i="180"/>
  <c r="I191" i="180"/>
  <c r="T190" i="180"/>
  <c r="I190" i="180"/>
  <c r="T189" i="180"/>
  <c r="I189" i="180"/>
  <c r="T188" i="180"/>
  <c r="I188" i="180"/>
  <c r="T187" i="180"/>
  <c r="I187" i="180"/>
  <c r="T186" i="180"/>
  <c r="I186" i="180"/>
  <c r="T185" i="180"/>
  <c r="I185" i="180"/>
  <c r="GG184" i="180"/>
  <c r="GF184" i="180"/>
  <c r="GE184" i="180"/>
  <c r="GD184" i="180"/>
  <c r="GC184" i="180"/>
  <c r="FC184" i="180"/>
  <c r="FB184" i="180"/>
  <c r="FA184" i="180"/>
  <c r="EZ184" i="180"/>
  <c r="EY184" i="180"/>
  <c r="DY184" i="180"/>
  <c r="DX184" i="180"/>
  <c r="DW184" i="180"/>
  <c r="DV184" i="180"/>
  <c r="DU184" i="180"/>
  <c r="CU184" i="180"/>
  <c r="CT184" i="180"/>
  <c r="CS184" i="180"/>
  <c r="CR184" i="180"/>
  <c r="CQ184" i="180"/>
  <c r="CO184" i="180"/>
  <c r="CN184" i="180"/>
  <c r="CM184" i="180"/>
  <c r="CL184" i="180"/>
  <c r="CK184" i="180"/>
  <c r="CI184" i="180"/>
  <c r="CH184" i="180"/>
  <c r="CG184" i="180"/>
  <c r="CF184" i="180"/>
  <c r="CE184" i="180"/>
  <c r="CC184" i="180"/>
  <c r="CB184" i="180"/>
  <c r="CA184" i="180"/>
  <c r="BZ184" i="180"/>
  <c r="BY184" i="180"/>
  <c r="BW184" i="180"/>
  <c r="BV184" i="180"/>
  <c r="BU184" i="180"/>
  <c r="BT184" i="180"/>
  <c r="BS184" i="180"/>
  <c r="BQ184" i="180"/>
  <c r="BP184" i="180"/>
  <c r="BO184" i="180"/>
  <c r="BN184" i="180"/>
  <c r="BM184" i="180"/>
  <c r="BK184" i="180"/>
  <c r="BJ184" i="180"/>
  <c r="BI184" i="180"/>
  <c r="BH184" i="180"/>
  <c r="BG184" i="180"/>
  <c r="BE184" i="180"/>
  <c r="BD184" i="180"/>
  <c r="BC184" i="180"/>
  <c r="BB184" i="180"/>
  <c r="BA184" i="180"/>
  <c r="AY184" i="180"/>
  <c r="AX184" i="180"/>
  <c r="AW184" i="180"/>
  <c r="AV184" i="180"/>
  <c r="AU184" i="180"/>
  <c r="AS184" i="180"/>
  <c r="AR184" i="180"/>
  <c r="AQ184" i="180"/>
  <c r="AP184" i="180"/>
  <c r="AO184" i="180"/>
  <c r="AM184" i="180"/>
  <c r="AL184" i="180"/>
  <c r="AK184" i="180"/>
  <c r="AJ184" i="180"/>
  <c r="AI184" i="180"/>
  <c r="AG184" i="180"/>
  <c r="AF184" i="180"/>
  <c r="AE184" i="180"/>
  <c r="AD184" i="180"/>
  <c r="AC184" i="180"/>
  <c r="AA184" i="180"/>
  <c r="Z184" i="180"/>
  <c r="Y184" i="180"/>
  <c r="X184" i="180"/>
  <c r="W184" i="180"/>
  <c r="T184" i="180"/>
  <c r="I184" i="180"/>
  <c r="GG183" i="180"/>
  <c r="GF183" i="180"/>
  <c r="GE183" i="180"/>
  <c r="GD183" i="180"/>
  <c r="GC183" i="180"/>
  <c r="FC183" i="180"/>
  <c r="FB183" i="180"/>
  <c r="FA183" i="180"/>
  <c r="EZ183" i="180"/>
  <c r="EY183" i="180"/>
  <c r="DY183" i="180"/>
  <c r="DX183" i="180"/>
  <c r="DW183" i="180"/>
  <c r="DV183" i="180"/>
  <c r="DU183" i="180"/>
  <c r="CU183" i="180"/>
  <c r="CT183" i="180"/>
  <c r="CS183" i="180"/>
  <c r="CR183" i="180"/>
  <c r="CQ183" i="180"/>
  <c r="CO183" i="180"/>
  <c r="CN183" i="180"/>
  <c r="CM183" i="180"/>
  <c r="CL183" i="180"/>
  <c r="CK183" i="180"/>
  <c r="CI183" i="180"/>
  <c r="CH183" i="180"/>
  <c r="CG183" i="180"/>
  <c r="CF183" i="180"/>
  <c r="CE183" i="180"/>
  <c r="CC183" i="180"/>
  <c r="CB183" i="180"/>
  <c r="CA183" i="180"/>
  <c r="BZ183" i="180"/>
  <c r="BY183" i="180"/>
  <c r="BW183" i="180"/>
  <c r="BV183" i="180"/>
  <c r="BU183" i="180"/>
  <c r="BT183" i="180"/>
  <c r="BS183" i="180"/>
  <c r="BQ183" i="180"/>
  <c r="BP183" i="180"/>
  <c r="BO183" i="180"/>
  <c r="BN183" i="180"/>
  <c r="BM183" i="180"/>
  <c r="BK183" i="180"/>
  <c r="BJ183" i="180"/>
  <c r="BI183" i="180"/>
  <c r="BH183" i="180"/>
  <c r="BG183" i="180"/>
  <c r="BE183" i="180"/>
  <c r="BD183" i="180"/>
  <c r="BC183" i="180"/>
  <c r="BB183" i="180"/>
  <c r="BA183" i="180"/>
  <c r="AY183" i="180"/>
  <c r="AX183" i="180"/>
  <c r="AW183" i="180"/>
  <c r="AV183" i="180"/>
  <c r="AU183" i="180"/>
  <c r="AS183" i="180"/>
  <c r="AR183" i="180"/>
  <c r="AQ183" i="180"/>
  <c r="AP183" i="180"/>
  <c r="AO183" i="180"/>
  <c r="AM183" i="180"/>
  <c r="AL183" i="180"/>
  <c r="AK183" i="180"/>
  <c r="AJ183" i="180"/>
  <c r="AI183" i="180"/>
  <c r="AG183" i="180"/>
  <c r="AF183" i="180"/>
  <c r="AE183" i="180"/>
  <c r="AD183" i="180"/>
  <c r="AC183" i="180"/>
  <c r="AA183" i="180"/>
  <c r="Z183" i="180"/>
  <c r="Y183" i="180"/>
  <c r="X183" i="180"/>
  <c r="W183" i="180"/>
  <c r="T183" i="180"/>
  <c r="I183" i="180"/>
  <c r="GG182" i="180"/>
  <c r="GF182" i="180"/>
  <c r="GE182" i="180"/>
  <c r="GD182" i="180"/>
  <c r="GC182" i="180"/>
  <c r="FC182" i="180"/>
  <c r="FB182" i="180"/>
  <c r="FA182" i="180"/>
  <c r="EZ182" i="180"/>
  <c r="EY182" i="180"/>
  <c r="DY182" i="180"/>
  <c r="DX182" i="180"/>
  <c r="DW182" i="180"/>
  <c r="DV182" i="180"/>
  <c r="DU182" i="180"/>
  <c r="CU182" i="180"/>
  <c r="CT182" i="180"/>
  <c r="CS182" i="180"/>
  <c r="CR182" i="180"/>
  <c r="CQ182" i="180"/>
  <c r="CO182" i="180"/>
  <c r="CN182" i="180"/>
  <c r="CM182" i="180"/>
  <c r="CL182" i="180"/>
  <c r="CK182" i="180"/>
  <c r="CI182" i="180"/>
  <c r="CH182" i="180"/>
  <c r="CG182" i="180"/>
  <c r="CF182" i="180"/>
  <c r="CE182" i="180"/>
  <c r="CC182" i="180"/>
  <c r="CB182" i="180"/>
  <c r="CA182" i="180"/>
  <c r="BZ182" i="180"/>
  <c r="BY182" i="180"/>
  <c r="BW182" i="180"/>
  <c r="BV182" i="180"/>
  <c r="BU182" i="180"/>
  <c r="BT182" i="180"/>
  <c r="BS182" i="180"/>
  <c r="BQ182" i="180"/>
  <c r="BP182" i="180"/>
  <c r="BO182" i="180"/>
  <c r="BN182" i="180"/>
  <c r="BM182" i="180"/>
  <c r="BK182" i="180"/>
  <c r="BJ182" i="180"/>
  <c r="BI182" i="180"/>
  <c r="BH182" i="180"/>
  <c r="BG182" i="180"/>
  <c r="BE182" i="180"/>
  <c r="BD182" i="180"/>
  <c r="BC182" i="180"/>
  <c r="BB182" i="180"/>
  <c r="BA182" i="180"/>
  <c r="AY182" i="180"/>
  <c r="AX182" i="180"/>
  <c r="AW182" i="180"/>
  <c r="AV182" i="180"/>
  <c r="AU182" i="180"/>
  <c r="AS182" i="180"/>
  <c r="AR182" i="180"/>
  <c r="AQ182" i="180"/>
  <c r="AP182" i="180"/>
  <c r="AO182" i="180"/>
  <c r="AM182" i="180"/>
  <c r="AL182" i="180"/>
  <c r="AK182" i="180"/>
  <c r="AJ182" i="180"/>
  <c r="AI182" i="180"/>
  <c r="AG182" i="180"/>
  <c r="AF182" i="180"/>
  <c r="AE182" i="180"/>
  <c r="AD182" i="180"/>
  <c r="AC182" i="180"/>
  <c r="AA182" i="180"/>
  <c r="Z182" i="180"/>
  <c r="Y182" i="180"/>
  <c r="X182" i="180"/>
  <c r="W182" i="180"/>
  <c r="T182" i="180"/>
  <c r="I182" i="180"/>
  <c r="GD181" i="180"/>
  <c r="EZ181" i="180"/>
  <c r="DV181" i="180"/>
  <c r="CR181" i="180"/>
  <c r="CL181" i="180"/>
  <c r="CF181" i="180"/>
  <c r="BZ181" i="180"/>
  <c r="BT181" i="180"/>
  <c r="BN181" i="180"/>
  <c r="BH181" i="180"/>
  <c r="BB181" i="180"/>
  <c r="AV181" i="180"/>
  <c r="AP181" i="180"/>
  <c r="AJ181" i="180"/>
  <c r="AD181" i="180"/>
  <c r="X181" i="180"/>
  <c r="T181" i="180"/>
  <c r="I181" i="180"/>
  <c r="GD180" i="180"/>
  <c r="EZ180" i="180"/>
  <c r="DV180" i="180"/>
  <c r="CR180" i="180"/>
  <c r="CL180" i="180"/>
  <c r="CF180" i="180"/>
  <c r="BZ180" i="180"/>
  <c r="BT180" i="180"/>
  <c r="BN180" i="180"/>
  <c r="BH180" i="180"/>
  <c r="BB180" i="180"/>
  <c r="AV180" i="180"/>
  <c r="AP180" i="180"/>
  <c r="AJ180" i="180"/>
  <c r="AD180" i="180"/>
  <c r="X180" i="180"/>
  <c r="T180" i="180"/>
  <c r="I180" i="180"/>
  <c r="T179" i="180"/>
  <c r="I179" i="180"/>
  <c r="T178" i="180"/>
  <c r="I178" i="180"/>
  <c r="T177" i="180"/>
  <c r="I177" i="180"/>
  <c r="T176" i="180"/>
  <c r="I176" i="180"/>
  <c r="GD175" i="180"/>
  <c r="EZ175" i="180"/>
  <c r="DV175" i="180"/>
  <c r="CR175" i="180"/>
  <c r="CL175" i="180"/>
  <c r="CF175" i="180"/>
  <c r="BZ175" i="180"/>
  <c r="BT175" i="180"/>
  <c r="BN175" i="180"/>
  <c r="BH175" i="180"/>
  <c r="BB175" i="180"/>
  <c r="AV175" i="180"/>
  <c r="AP175" i="180"/>
  <c r="AJ175" i="180"/>
  <c r="AD175" i="180"/>
  <c r="X175" i="180"/>
  <c r="T175" i="180"/>
  <c r="I175" i="180"/>
  <c r="GD174" i="180"/>
  <c r="EZ174" i="180"/>
  <c r="DV174" i="180"/>
  <c r="CR174" i="180"/>
  <c r="CL174" i="180"/>
  <c r="CF174" i="180"/>
  <c r="BZ174" i="180"/>
  <c r="BT174" i="180"/>
  <c r="BN174" i="180"/>
  <c r="BH174" i="180"/>
  <c r="BB174" i="180"/>
  <c r="AV174" i="180"/>
  <c r="AP174" i="180"/>
  <c r="AJ174" i="180"/>
  <c r="AD174" i="180"/>
  <c r="X174" i="180"/>
  <c r="T174" i="180"/>
  <c r="I174" i="180"/>
  <c r="T173" i="180"/>
  <c r="I173" i="180"/>
  <c r="T172" i="180"/>
  <c r="I172" i="180"/>
  <c r="T171" i="180"/>
  <c r="I171" i="180"/>
  <c r="T170" i="180"/>
  <c r="I170" i="180"/>
  <c r="T169" i="180"/>
  <c r="I169" i="180"/>
  <c r="T168" i="180"/>
  <c r="I168" i="180"/>
  <c r="T167" i="180"/>
  <c r="I167" i="180"/>
  <c r="GD166" i="180"/>
  <c r="EZ166" i="180"/>
  <c r="DV166" i="180"/>
  <c r="CR166" i="180"/>
  <c r="CL166" i="180"/>
  <c r="CF166" i="180"/>
  <c r="BZ166" i="180"/>
  <c r="BT166" i="180"/>
  <c r="BN166" i="180"/>
  <c r="BH166" i="180"/>
  <c r="BB166" i="180"/>
  <c r="AV166" i="180"/>
  <c r="AP166" i="180"/>
  <c r="AJ166" i="180"/>
  <c r="AD166" i="180"/>
  <c r="X166" i="180"/>
  <c r="T166" i="180"/>
  <c r="I166" i="180"/>
  <c r="T165" i="180"/>
  <c r="I165" i="180"/>
  <c r="GD164" i="180"/>
  <c r="EZ164" i="180"/>
  <c r="DV164" i="180"/>
  <c r="CR164" i="180"/>
  <c r="CL164" i="180"/>
  <c r="CF164" i="180"/>
  <c r="BZ164" i="180"/>
  <c r="BT164" i="180"/>
  <c r="BN164" i="180"/>
  <c r="BH164" i="180"/>
  <c r="BB164" i="180"/>
  <c r="AV164" i="180"/>
  <c r="AP164" i="180"/>
  <c r="AJ164" i="180"/>
  <c r="AD164" i="180"/>
  <c r="X164" i="180"/>
  <c r="T164" i="180"/>
  <c r="I164" i="180"/>
  <c r="T163" i="180"/>
  <c r="I163" i="180"/>
  <c r="GD162" i="180"/>
  <c r="EZ162" i="180"/>
  <c r="DV162" i="180"/>
  <c r="CR162" i="180"/>
  <c r="CL162" i="180"/>
  <c r="CF162" i="180"/>
  <c r="BZ162" i="180"/>
  <c r="BT162" i="180"/>
  <c r="BN162" i="180"/>
  <c r="BH162" i="180"/>
  <c r="BB162" i="180"/>
  <c r="AV162" i="180"/>
  <c r="AP162" i="180"/>
  <c r="AJ162" i="180"/>
  <c r="AD162" i="180"/>
  <c r="X162" i="180"/>
  <c r="T162" i="180"/>
  <c r="I162" i="180"/>
  <c r="T161" i="180"/>
  <c r="I161" i="180"/>
  <c r="T160" i="180"/>
  <c r="I160" i="180"/>
  <c r="GE159" i="180"/>
  <c r="FA159" i="180"/>
  <c r="DW159" i="180"/>
  <c r="CS159" i="180"/>
  <c r="CM159" i="180"/>
  <c r="CG159" i="180"/>
  <c r="CA159" i="180"/>
  <c r="BU159" i="180"/>
  <c r="BO159" i="180"/>
  <c r="BI159" i="180"/>
  <c r="BC159" i="180"/>
  <c r="AW159" i="180"/>
  <c r="AQ159" i="180"/>
  <c r="AK159" i="180"/>
  <c r="AE159" i="180"/>
  <c r="Y159" i="180"/>
  <c r="T159" i="180"/>
  <c r="I159" i="180"/>
  <c r="T158" i="180"/>
  <c r="I158" i="180"/>
  <c r="GE157" i="180"/>
  <c r="FA157" i="180"/>
  <c r="DW157" i="180"/>
  <c r="CS157" i="180"/>
  <c r="CM157" i="180"/>
  <c r="CG157" i="180"/>
  <c r="CA157" i="180"/>
  <c r="BU157" i="180"/>
  <c r="BO157" i="180"/>
  <c r="BI157" i="180"/>
  <c r="BC157" i="180"/>
  <c r="AW157" i="180"/>
  <c r="AQ157" i="180"/>
  <c r="AK157" i="180"/>
  <c r="AE157" i="180"/>
  <c r="Y157" i="180"/>
  <c r="T157" i="180"/>
  <c r="I157" i="180"/>
  <c r="GE156" i="180"/>
  <c r="FA156" i="180"/>
  <c r="DW156" i="180"/>
  <c r="CS156" i="180"/>
  <c r="CM156" i="180"/>
  <c r="CG156" i="180"/>
  <c r="CA156" i="180"/>
  <c r="BU156" i="180"/>
  <c r="BO156" i="180"/>
  <c r="BI156" i="180"/>
  <c r="BC156" i="180"/>
  <c r="AW156" i="180"/>
  <c r="AQ156" i="180"/>
  <c r="AK156" i="180"/>
  <c r="AE156" i="180"/>
  <c r="Y156" i="180"/>
  <c r="T156" i="180"/>
  <c r="I156" i="180"/>
  <c r="T155" i="180"/>
  <c r="I155" i="180"/>
  <c r="GE154" i="180"/>
  <c r="FA154" i="180"/>
  <c r="DW154" i="180"/>
  <c r="CS154" i="180"/>
  <c r="CM154" i="180"/>
  <c r="CG154" i="180"/>
  <c r="CA154" i="180"/>
  <c r="BU154" i="180"/>
  <c r="BO154" i="180"/>
  <c r="BI154" i="180"/>
  <c r="BC154" i="180"/>
  <c r="AW154" i="180"/>
  <c r="AQ154" i="180"/>
  <c r="AK154" i="180"/>
  <c r="AE154" i="180"/>
  <c r="Y154" i="180"/>
  <c r="T154" i="180"/>
  <c r="I154" i="180"/>
  <c r="T153" i="180"/>
  <c r="I153" i="180"/>
  <c r="T152" i="180"/>
  <c r="I152" i="180"/>
  <c r="T151" i="180"/>
  <c r="I151" i="180"/>
  <c r="T150" i="180"/>
  <c r="I150" i="180"/>
  <c r="T149" i="180"/>
  <c r="I149" i="180"/>
  <c r="T148" i="180"/>
  <c r="I148" i="180"/>
  <c r="T147" i="180"/>
  <c r="I147" i="180"/>
  <c r="T146" i="180"/>
  <c r="I146" i="180"/>
  <c r="T145" i="180"/>
  <c r="I145" i="180"/>
  <c r="GE144" i="180"/>
  <c r="FA144" i="180"/>
  <c r="DW144" i="180"/>
  <c r="CS144" i="180"/>
  <c r="CM144" i="180"/>
  <c r="CG144" i="180"/>
  <c r="CA144" i="180"/>
  <c r="BU144" i="180"/>
  <c r="BO144" i="180"/>
  <c r="BI144" i="180"/>
  <c r="BC144" i="180"/>
  <c r="AW144" i="180"/>
  <c r="AQ144" i="180"/>
  <c r="AK144" i="180"/>
  <c r="AE144" i="180"/>
  <c r="Y144" i="180"/>
  <c r="T144" i="180"/>
  <c r="I144" i="180"/>
  <c r="T143" i="180"/>
  <c r="I143" i="180"/>
  <c r="T142" i="180"/>
  <c r="I142" i="180"/>
  <c r="GE141" i="180"/>
  <c r="FA141" i="180"/>
  <c r="DW141" i="180"/>
  <c r="CS141" i="180"/>
  <c r="CM141" i="180"/>
  <c r="CG141" i="180"/>
  <c r="CA141" i="180"/>
  <c r="BU141" i="180"/>
  <c r="BO141" i="180"/>
  <c r="BI141" i="180"/>
  <c r="BC141" i="180"/>
  <c r="AW141" i="180"/>
  <c r="AQ141" i="180"/>
  <c r="AK141" i="180"/>
  <c r="AE141" i="180"/>
  <c r="Y141" i="180"/>
  <c r="T141" i="180"/>
  <c r="I141" i="180"/>
  <c r="GE140" i="180"/>
  <c r="FA140" i="180"/>
  <c r="DW140" i="180"/>
  <c r="CS140" i="180"/>
  <c r="CM140" i="180"/>
  <c r="CG140" i="180"/>
  <c r="CA140" i="180"/>
  <c r="BU140" i="180"/>
  <c r="BO140" i="180"/>
  <c r="BI140" i="180"/>
  <c r="BC140" i="180"/>
  <c r="AW140" i="180"/>
  <c r="AQ140" i="180"/>
  <c r="AK140" i="180"/>
  <c r="AE140" i="180"/>
  <c r="Y140" i="180"/>
  <c r="T140" i="180"/>
  <c r="I140" i="180"/>
  <c r="GE139" i="180"/>
  <c r="FA139" i="180"/>
  <c r="DW139" i="180"/>
  <c r="CS139" i="180"/>
  <c r="CM139" i="180"/>
  <c r="CG139" i="180"/>
  <c r="CA139" i="180"/>
  <c r="BU139" i="180"/>
  <c r="BO139" i="180"/>
  <c r="BI139" i="180"/>
  <c r="BC139" i="180"/>
  <c r="AW139" i="180"/>
  <c r="AQ139" i="180"/>
  <c r="AK139" i="180"/>
  <c r="AE139" i="180"/>
  <c r="Y139" i="180"/>
  <c r="T139" i="180"/>
  <c r="I139" i="180"/>
  <c r="T138" i="180"/>
  <c r="I138" i="180"/>
  <c r="T137" i="180"/>
  <c r="I137" i="180"/>
  <c r="GE136" i="180"/>
  <c r="FA136" i="180"/>
  <c r="DW136" i="180"/>
  <c r="CS136" i="180"/>
  <c r="CM136" i="180"/>
  <c r="CG136" i="180"/>
  <c r="CA136" i="180"/>
  <c r="BU136" i="180"/>
  <c r="BO136" i="180"/>
  <c r="BI136" i="180"/>
  <c r="BC136" i="180"/>
  <c r="AW136" i="180"/>
  <c r="AQ136" i="180"/>
  <c r="AK136" i="180"/>
  <c r="AE136" i="180"/>
  <c r="Y136" i="180"/>
  <c r="T136" i="180"/>
  <c r="I136" i="180"/>
  <c r="GE135" i="180"/>
  <c r="FA135" i="180"/>
  <c r="DW135" i="180"/>
  <c r="CS135" i="180"/>
  <c r="CM135" i="180"/>
  <c r="CG135" i="180"/>
  <c r="CA135" i="180"/>
  <c r="BU135" i="180"/>
  <c r="BO135" i="180"/>
  <c r="BI135" i="180"/>
  <c r="BC135" i="180"/>
  <c r="AW135" i="180"/>
  <c r="AQ135" i="180"/>
  <c r="AK135" i="180"/>
  <c r="AE135" i="180"/>
  <c r="Y135" i="180"/>
  <c r="T135" i="180"/>
  <c r="I135" i="180"/>
  <c r="GE134" i="180"/>
  <c r="FA134" i="180"/>
  <c r="DW134" i="180"/>
  <c r="CS134" i="180"/>
  <c r="CM134" i="180"/>
  <c r="CG134" i="180"/>
  <c r="CA134" i="180"/>
  <c r="BU134" i="180"/>
  <c r="BO134" i="180"/>
  <c r="BI134" i="180"/>
  <c r="BC134" i="180"/>
  <c r="AW134" i="180"/>
  <c r="AQ134" i="180"/>
  <c r="AK134" i="180"/>
  <c r="AE134" i="180"/>
  <c r="Y134" i="180"/>
  <c r="T134" i="180"/>
  <c r="I134" i="180"/>
  <c r="GE133" i="180"/>
  <c r="FA133" i="180"/>
  <c r="DW133" i="180"/>
  <c r="CS133" i="180"/>
  <c r="CM133" i="180"/>
  <c r="CG133" i="180"/>
  <c r="CA133" i="180"/>
  <c r="BU133" i="180"/>
  <c r="BO133" i="180"/>
  <c r="BI133" i="180"/>
  <c r="BC133" i="180"/>
  <c r="AW133" i="180"/>
  <c r="AQ133" i="180"/>
  <c r="AK133" i="180"/>
  <c r="AE133" i="180"/>
  <c r="Y133" i="180"/>
  <c r="T133" i="180"/>
  <c r="I133" i="180"/>
  <c r="T132" i="180"/>
  <c r="I132" i="180"/>
  <c r="GE131" i="180"/>
  <c r="FA131" i="180"/>
  <c r="DW131" i="180"/>
  <c r="CS131" i="180"/>
  <c r="CM131" i="180"/>
  <c r="CG131" i="180"/>
  <c r="CA131" i="180"/>
  <c r="BU131" i="180"/>
  <c r="BO131" i="180"/>
  <c r="BI131" i="180"/>
  <c r="BC131" i="180"/>
  <c r="AW131" i="180"/>
  <c r="AQ131" i="180"/>
  <c r="AK131" i="180"/>
  <c r="AE131" i="180"/>
  <c r="Y131" i="180"/>
  <c r="T131" i="180"/>
  <c r="I131" i="180"/>
  <c r="GE130" i="180"/>
  <c r="FA130" i="180"/>
  <c r="DW130" i="180"/>
  <c r="CS130" i="180"/>
  <c r="CM130" i="180"/>
  <c r="CG130" i="180"/>
  <c r="CA130" i="180"/>
  <c r="BU130" i="180"/>
  <c r="BO130" i="180"/>
  <c r="BI130" i="180"/>
  <c r="BC130" i="180"/>
  <c r="AW130" i="180"/>
  <c r="AQ130" i="180"/>
  <c r="AK130" i="180"/>
  <c r="AE130" i="180"/>
  <c r="Y130" i="180"/>
  <c r="T130" i="180"/>
  <c r="I130" i="180"/>
  <c r="GE129" i="180"/>
  <c r="FA129" i="180"/>
  <c r="DW129" i="180"/>
  <c r="CS129" i="180"/>
  <c r="CM129" i="180"/>
  <c r="CG129" i="180"/>
  <c r="CA129" i="180"/>
  <c r="BU129" i="180"/>
  <c r="BO129" i="180"/>
  <c r="BI129" i="180"/>
  <c r="BC129" i="180"/>
  <c r="AW129" i="180"/>
  <c r="AQ129" i="180"/>
  <c r="AK129" i="180"/>
  <c r="AE129" i="180"/>
  <c r="Y129" i="180"/>
  <c r="T129" i="180"/>
  <c r="I129" i="180"/>
  <c r="T128" i="180"/>
  <c r="I128" i="180"/>
  <c r="GE127" i="180"/>
  <c r="FA127" i="180"/>
  <c r="DW127" i="180"/>
  <c r="CS127" i="180"/>
  <c r="CM127" i="180"/>
  <c r="CG127" i="180"/>
  <c r="CA127" i="180"/>
  <c r="BU127" i="180"/>
  <c r="BO127" i="180"/>
  <c r="BI127" i="180"/>
  <c r="BC127" i="180"/>
  <c r="AW127" i="180"/>
  <c r="AQ127" i="180"/>
  <c r="AK127" i="180"/>
  <c r="AE127" i="180"/>
  <c r="Y127" i="180"/>
  <c r="T127" i="180"/>
  <c r="I127" i="180"/>
  <c r="T126" i="180"/>
  <c r="I126" i="180"/>
  <c r="GE125" i="180"/>
  <c r="FA125" i="180"/>
  <c r="DW125" i="180"/>
  <c r="CS125" i="180"/>
  <c r="CM125" i="180"/>
  <c r="CG125" i="180"/>
  <c r="CA125" i="180"/>
  <c r="BU125" i="180"/>
  <c r="BO125" i="180"/>
  <c r="BI125" i="180"/>
  <c r="BC125" i="180"/>
  <c r="AW125" i="180"/>
  <c r="AQ125" i="180"/>
  <c r="AK125" i="180"/>
  <c r="AE125" i="180"/>
  <c r="Y125" i="180"/>
  <c r="T125" i="180"/>
  <c r="I125" i="180"/>
  <c r="GE124" i="180"/>
  <c r="FA124" i="180"/>
  <c r="DW124" i="180"/>
  <c r="CS124" i="180"/>
  <c r="CM124" i="180"/>
  <c r="CG124" i="180"/>
  <c r="CA124" i="180"/>
  <c r="BU124" i="180"/>
  <c r="BO124" i="180"/>
  <c r="BI124" i="180"/>
  <c r="BC124" i="180"/>
  <c r="AW124" i="180"/>
  <c r="AQ124" i="180"/>
  <c r="AK124" i="180"/>
  <c r="AE124" i="180"/>
  <c r="Y124" i="180"/>
  <c r="T124" i="180"/>
  <c r="I124" i="180"/>
  <c r="T123" i="180"/>
  <c r="I123" i="180"/>
  <c r="T122" i="180"/>
  <c r="I122" i="180"/>
  <c r="T121" i="180"/>
  <c r="I121" i="180"/>
  <c r="GE120" i="180"/>
  <c r="FA120" i="180"/>
  <c r="DW120" i="180"/>
  <c r="CS120" i="180"/>
  <c r="CM120" i="180"/>
  <c r="CG120" i="180"/>
  <c r="CA120" i="180"/>
  <c r="BU120" i="180"/>
  <c r="BO120" i="180"/>
  <c r="BI120" i="180"/>
  <c r="BC120" i="180"/>
  <c r="AW120" i="180"/>
  <c r="AQ120" i="180"/>
  <c r="AK120" i="180"/>
  <c r="AE120" i="180"/>
  <c r="Y120" i="180"/>
  <c r="T120" i="180"/>
  <c r="I120" i="180"/>
  <c r="T119" i="180"/>
  <c r="I119" i="180"/>
  <c r="T118" i="180"/>
  <c r="I118" i="180"/>
  <c r="T117" i="180"/>
  <c r="I117" i="180"/>
  <c r="T116" i="180"/>
  <c r="I116" i="180"/>
  <c r="GE115" i="180"/>
  <c r="FA115" i="180"/>
  <c r="DW115" i="180"/>
  <c r="CS115" i="180"/>
  <c r="CM115" i="180"/>
  <c r="CG115" i="180"/>
  <c r="CA115" i="180"/>
  <c r="BU115" i="180"/>
  <c r="BO115" i="180"/>
  <c r="BI115" i="180"/>
  <c r="BC115" i="180"/>
  <c r="AW115" i="180"/>
  <c r="AQ115" i="180"/>
  <c r="AK115" i="180"/>
  <c r="AE115" i="180"/>
  <c r="Y115" i="180"/>
  <c r="T115" i="180"/>
  <c r="I115" i="180"/>
  <c r="T114" i="180"/>
  <c r="I114" i="180"/>
  <c r="GD113" i="180"/>
  <c r="EZ113" i="180"/>
  <c r="DV113" i="180"/>
  <c r="CR113" i="180"/>
  <c r="CL113" i="180"/>
  <c r="CF113" i="180"/>
  <c r="BZ113" i="180"/>
  <c r="BT113" i="180"/>
  <c r="BN113" i="180"/>
  <c r="BH113" i="180"/>
  <c r="BB113" i="180"/>
  <c r="AV113" i="180"/>
  <c r="AP113" i="180"/>
  <c r="AJ113" i="180"/>
  <c r="AD113" i="180"/>
  <c r="X113" i="180"/>
  <c r="T113" i="180"/>
  <c r="I113" i="180"/>
  <c r="GD112" i="180"/>
  <c r="EZ112" i="180"/>
  <c r="DV112" i="180"/>
  <c r="CR112" i="180"/>
  <c r="CL112" i="180"/>
  <c r="CF112" i="180"/>
  <c r="BZ112" i="180"/>
  <c r="BT112" i="180"/>
  <c r="BN112" i="180"/>
  <c r="BH112" i="180"/>
  <c r="BB112" i="180"/>
  <c r="AV112" i="180"/>
  <c r="AP112" i="180"/>
  <c r="AJ112" i="180"/>
  <c r="AD112" i="180"/>
  <c r="X112" i="180"/>
  <c r="T112" i="180"/>
  <c r="I112" i="180"/>
  <c r="GD111" i="180"/>
  <c r="EZ111" i="180"/>
  <c r="DV111" i="180"/>
  <c r="CR111" i="180"/>
  <c r="CL111" i="180"/>
  <c r="CF111" i="180"/>
  <c r="BZ111" i="180"/>
  <c r="BT111" i="180"/>
  <c r="BN111" i="180"/>
  <c r="BH111" i="180"/>
  <c r="BB111" i="180"/>
  <c r="AV111" i="180"/>
  <c r="AP111" i="180"/>
  <c r="AJ111" i="180"/>
  <c r="AD111" i="180"/>
  <c r="X111" i="180"/>
  <c r="T111" i="180"/>
  <c r="I111" i="180"/>
  <c r="GD110" i="180"/>
  <c r="EZ110" i="180"/>
  <c r="DV110" i="180"/>
  <c r="CR110" i="180"/>
  <c r="CL110" i="180"/>
  <c r="CF110" i="180"/>
  <c r="BZ110" i="180"/>
  <c r="BT110" i="180"/>
  <c r="BN110" i="180"/>
  <c r="BH110" i="180"/>
  <c r="BB110" i="180"/>
  <c r="AV110" i="180"/>
  <c r="AP110" i="180"/>
  <c r="AJ110" i="180"/>
  <c r="AD110" i="180"/>
  <c r="X110" i="180"/>
  <c r="T110" i="180"/>
  <c r="I110" i="180"/>
  <c r="GD109" i="180"/>
  <c r="EZ109" i="180"/>
  <c r="DV109" i="180"/>
  <c r="CR109" i="180"/>
  <c r="CL109" i="180"/>
  <c r="CF109" i="180"/>
  <c r="BZ109" i="180"/>
  <c r="BT109" i="180"/>
  <c r="BN109" i="180"/>
  <c r="BH109" i="180"/>
  <c r="BB109" i="180"/>
  <c r="AV109" i="180"/>
  <c r="AP109" i="180"/>
  <c r="AJ109" i="180"/>
  <c r="AD109" i="180"/>
  <c r="X109" i="180"/>
  <c r="T109" i="180"/>
  <c r="I109" i="180"/>
  <c r="GD108" i="180"/>
  <c r="EZ108" i="180"/>
  <c r="DV108" i="180"/>
  <c r="CR108" i="180"/>
  <c r="CL108" i="180"/>
  <c r="CF108" i="180"/>
  <c r="BZ108" i="180"/>
  <c r="BT108" i="180"/>
  <c r="BN108" i="180"/>
  <c r="BH108" i="180"/>
  <c r="BB108" i="180"/>
  <c r="AV108" i="180"/>
  <c r="AP108" i="180"/>
  <c r="AJ108" i="180"/>
  <c r="AD108" i="180"/>
  <c r="X108" i="180"/>
  <c r="T108" i="180"/>
  <c r="I108" i="180"/>
  <c r="T107" i="180"/>
  <c r="I107" i="180"/>
  <c r="GD106" i="180"/>
  <c r="EZ106" i="180"/>
  <c r="DV106" i="180"/>
  <c r="CR106" i="180"/>
  <c r="CL106" i="180"/>
  <c r="CF106" i="180"/>
  <c r="BZ106" i="180"/>
  <c r="BT106" i="180"/>
  <c r="BN106" i="180"/>
  <c r="BH106" i="180"/>
  <c r="BB106" i="180"/>
  <c r="AV106" i="180"/>
  <c r="AP106" i="180"/>
  <c r="AJ106" i="180"/>
  <c r="AD106" i="180"/>
  <c r="X106" i="180"/>
  <c r="T106" i="180"/>
  <c r="I106" i="180"/>
  <c r="GD105" i="180"/>
  <c r="EZ105" i="180"/>
  <c r="DV105" i="180"/>
  <c r="CR105" i="180"/>
  <c r="CL105" i="180"/>
  <c r="CF105" i="180"/>
  <c r="BZ105" i="180"/>
  <c r="BT105" i="180"/>
  <c r="BN105" i="180"/>
  <c r="BH105" i="180"/>
  <c r="BB105" i="180"/>
  <c r="AV105" i="180"/>
  <c r="AP105" i="180"/>
  <c r="AJ105" i="180"/>
  <c r="AD105" i="180"/>
  <c r="X105" i="180"/>
  <c r="T105" i="180"/>
  <c r="I105" i="180"/>
  <c r="T104" i="180"/>
  <c r="I104" i="180"/>
  <c r="T103" i="180"/>
  <c r="I103" i="180"/>
  <c r="T102" i="180"/>
  <c r="I102" i="180"/>
  <c r="T101" i="180"/>
  <c r="I101" i="180"/>
  <c r="T100" i="180"/>
  <c r="I100" i="180"/>
  <c r="T99" i="180"/>
  <c r="I99" i="180"/>
  <c r="T98" i="180"/>
  <c r="I98" i="180"/>
  <c r="T97" i="180"/>
  <c r="I97" i="180"/>
  <c r="T96" i="180"/>
  <c r="I96" i="180"/>
  <c r="T95" i="180"/>
  <c r="I95" i="180"/>
  <c r="T94" i="180"/>
  <c r="I94" i="180"/>
  <c r="T93" i="180"/>
  <c r="I93" i="180"/>
  <c r="GD92" i="180"/>
  <c r="EZ92" i="180"/>
  <c r="DV92" i="180"/>
  <c r="CR92" i="180"/>
  <c r="CL92" i="180"/>
  <c r="CF92" i="180"/>
  <c r="BZ92" i="180"/>
  <c r="BT92" i="180"/>
  <c r="BN92" i="180"/>
  <c r="BH92" i="180"/>
  <c r="BB92" i="180"/>
  <c r="AV92" i="180"/>
  <c r="AP92" i="180"/>
  <c r="AJ92" i="180"/>
  <c r="AD92" i="180"/>
  <c r="X92" i="180"/>
  <c r="T92" i="180"/>
  <c r="I92" i="180"/>
  <c r="GD91" i="180"/>
  <c r="EZ91" i="180"/>
  <c r="DV91" i="180"/>
  <c r="CR91" i="180"/>
  <c r="CL91" i="180"/>
  <c r="CF91" i="180"/>
  <c r="BZ91" i="180"/>
  <c r="BT91" i="180"/>
  <c r="BN91" i="180"/>
  <c r="BH91" i="180"/>
  <c r="BB91" i="180"/>
  <c r="AV91" i="180"/>
  <c r="AP91" i="180"/>
  <c r="AJ91" i="180"/>
  <c r="AD91" i="180"/>
  <c r="X91" i="180"/>
  <c r="T91" i="180"/>
  <c r="I91" i="180"/>
  <c r="GG90" i="180"/>
  <c r="GF90" i="180"/>
  <c r="GE90" i="180"/>
  <c r="GD90" i="180"/>
  <c r="GC90" i="180"/>
  <c r="FC90" i="180"/>
  <c r="FB90" i="180"/>
  <c r="FA90" i="180"/>
  <c r="EZ90" i="180"/>
  <c r="EY90" i="180"/>
  <c r="DY90" i="180"/>
  <c r="DX90" i="180"/>
  <c r="DW90" i="180"/>
  <c r="DV90" i="180"/>
  <c r="DU90" i="180"/>
  <c r="CU90" i="180"/>
  <c r="CT90" i="180"/>
  <c r="CS90" i="180"/>
  <c r="CR90" i="180"/>
  <c r="CQ90" i="180"/>
  <c r="CO90" i="180"/>
  <c r="CN90" i="180"/>
  <c r="CM90" i="180"/>
  <c r="CL90" i="180"/>
  <c r="CK90" i="180"/>
  <c r="CI90" i="180"/>
  <c r="CH90" i="180"/>
  <c r="CG90" i="180"/>
  <c r="CF90" i="180"/>
  <c r="CE90" i="180"/>
  <c r="CC90" i="180"/>
  <c r="CB90" i="180"/>
  <c r="CA90" i="180"/>
  <c r="BZ90" i="180"/>
  <c r="BY90" i="180"/>
  <c r="BW90" i="180"/>
  <c r="BV90" i="180"/>
  <c r="BU90" i="180"/>
  <c r="BT90" i="180"/>
  <c r="BS90" i="180"/>
  <c r="BQ90" i="180"/>
  <c r="BP90" i="180"/>
  <c r="BO90" i="180"/>
  <c r="BN90" i="180"/>
  <c r="BM90" i="180"/>
  <c r="BK90" i="180"/>
  <c r="BJ90" i="180"/>
  <c r="BI90" i="180"/>
  <c r="BH90" i="180"/>
  <c r="BG90" i="180"/>
  <c r="BE90" i="180"/>
  <c r="BD90" i="180"/>
  <c r="BC90" i="180"/>
  <c r="BB90" i="180"/>
  <c r="BA90" i="180"/>
  <c r="AY90" i="180"/>
  <c r="AX90" i="180"/>
  <c r="AW90" i="180"/>
  <c r="AV90" i="180"/>
  <c r="AU90" i="180"/>
  <c r="AS90" i="180"/>
  <c r="AR90" i="180"/>
  <c r="AQ90" i="180"/>
  <c r="AP90" i="180"/>
  <c r="AO90" i="180"/>
  <c r="AM90" i="180"/>
  <c r="AL90" i="180"/>
  <c r="AK90" i="180"/>
  <c r="AJ90" i="180"/>
  <c r="AI90" i="180"/>
  <c r="AG90" i="180"/>
  <c r="AF90" i="180"/>
  <c r="AE90" i="180"/>
  <c r="AD90" i="180"/>
  <c r="AC90" i="180"/>
  <c r="AA90" i="180"/>
  <c r="Z90" i="180"/>
  <c r="Y90" i="180"/>
  <c r="X90" i="180"/>
  <c r="W90" i="180"/>
  <c r="T90" i="180"/>
  <c r="I90" i="180"/>
  <c r="T89" i="180"/>
  <c r="I89" i="180"/>
  <c r="T88" i="180"/>
  <c r="I88" i="180"/>
  <c r="T87" i="180"/>
  <c r="I87" i="180"/>
  <c r="T86" i="180"/>
  <c r="I86" i="180"/>
  <c r="T85" i="180"/>
  <c r="I85" i="180"/>
  <c r="T84" i="180"/>
  <c r="I84" i="180"/>
  <c r="GD83" i="180"/>
  <c r="EZ83" i="180"/>
  <c r="DV83" i="180"/>
  <c r="CR83" i="180"/>
  <c r="CL83" i="180"/>
  <c r="CF83" i="180"/>
  <c r="BZ83" i="180"/>
  <c r="BT83" i="180"/>
  <c r="BN83" i="180"/>
  <c r="BH83" i="180"/>
  <c r="BB83" i="180"/>
  <c r="AV83" i="180"/>
  <c r="AP83" i="180"/>
  <c r="AJ83" i="180"/>
  <c r="AD83" i="180"/>
  <c r="X83" i="180"/>
  <c r="T83" i="180"/>
  <c r="I83" i="180"/>
  <c r="GD82" i="180"/>
  <c r="EZ82" i="180"/>
  <c r="DV82" i="180"/>
  <c r="CR82" i="180"/>
  <c r="CL82" i="180"/>
  <c r="CF82" i="180"/>
  <c r="BZ82" i="180"/>
  <c r="BT82" i="180"/>
  <c r="BN82" i="180"/>
  <c r="BH82" i="180"/>
  <c r="BB82" i="180"/>
  <c r="AV82" i="180"/>
  <c r="AP82" i="180"/>
  <c r="AJ82" i="180"/>
  <c r="AD82" i="180"/>
  <c r="X82" i="180"/>
  <c r="T82" i="180"/>
  <c r="I82" i="180"/>
  <c r="GD81" i="180"/>
  <c r="EZ81" i="180"/>
  <c r="DV81" i="180"/>
  <c r="CR81" i="180"/>
  <c r="CL81" i="180"/>
  <c r="CF81" i="180"/>
  <c r="BZ81" i="180"/>
  <c r="BT81" i="180"/>
  <c r="BN81" i="180"/>
  <c r="BH81" i="180"/>
  <c r="BB81" i="180"/>
  <c r="AV81" i="180"/>
  <c r="AP81" i="180"/>
  <c r="AJ81" i="180"/>
  <c r="AD81" i="180"/>
  <c r="X81" i="180"/>
  <c r="T81" i="180"/>
  <c r="I81" i="180"/>
  <c r="GD80" i="180"/>
  <c r="EZ80" i="180"/>
  <c r="DV80" i="180"/>
  <c r="CR80" i="180"/>
  <c r="CL80" i="180"/>
  <c r="CF80" i="180"/>
  <c r="BZ80" i="180"/>
  <c r="BT80" i="180"/>
  <c r="BN80" i="180"/>
  <c r="BH80" i="180"/>
  <c r="BB80" i="180"/>
  <c r="AV80" i="180"/>
  <c r="AP80" i="180"/>
  <c r="AJ80" i="180"/>
  <c r="AD80" i="180"/>
  <c r="X80" i="180"/>
  <c r="T80" i="180"/>
  <c r="I80" i="180"/>
  <c r="T79" i="180"/>
  <c r="I79" i="180"/>
  <c r="T78" i="180"/>
  <c r="I78" i="180"/>
  <c r="T77" i="180"/>
  <c r="I77" i="180"/>
  <c r="T76" i="180"/>
  <c r="I76" i="180"/>
  <c r="T75" i="180"/>
  <c r="I75" i="180"/>
  <c r="T74" i="180"/>
  <c r="I74" i="180"/>
  <c r="T73" i="180"/>
  <c r="I73" i="180"/>
  <c r="T72" i="180"/>
  <c r="I72" i="180"/>
  <c r="GD71" i="180"/>
  <c r="EZ71" i="180"/>
  <c r="DV71" i="180"/>
  <c r="CR71" i="180"/>
  <c r="CL71" i="180"/>
  <c r="CF71" i="180"/>
  <c r="BZ71" i="180"/>
  <c r="BT71" i="180"/>
  <c r="BN71" i="180"/>
  <c r="BH71" i="180"/>
  <c r="BB71" i="180"/>
  <c r="AV71" i="180"/>
  <c r="AP71" i="180"/>
  <c r="AJ71" i="180"/>
  <c r="AD71" i="180"/>
  <c r="X71" i="180"/>
  <c r="T71" i="180"/>
  <c r="I71" i="180"/>
  <c r="T70" i="180"/>
  <c r="I70" i="180"/>
  <c r="T69" i="180"/>
  <c r="I69" i="180"/>
  <c r="T68" i="180"/>
  <c r="I68" i="180"/>
  <c r="T67" i="180"/>
  <c r="I67" i="180"/>
  <c r="T66" i="180"/>
  <c r="I66" i="180"/>
  <c r="T65" i="180"/>
  <c r="I65" i="180"/>
  <c r="T64" i="180"/>
  <c r="I64" i="180"/>
  <c r="T63" i="180"/>
  <c r="I63" i="180"/>
  <c r="T62" i="180"/>
  <c r="I62" i="180"/>
  <c r="T61" i="180"/>
  <c r="I61" i="180"/>
  <c r="T60" i="180"/>
  <c r="I60" i="180"/>
  <c r="T59" i="180"/>
  <c r="I59" i="180"/>
  <c r="T58" i="180"/>
  <c r="I58" i="180"/>
  <c r="T57" i="180"/>
  <c r="I57" i="180"/>
  <c r="T56" i="180"/>
  <c r="I56" i="180"/>
  <c r="T55" i="180"/>
  <c r="I55" i="180"/>
  <c r="T54" i="180"/>
  <c r="I54" i="180"/>
  <c r="T53" i="180"/>
  <c r="I53" i="180"/>
  <c r="T52" i="180"/>
  <c r="I52" i="180"/>
  <c r="T51" i="180"/>
  <c r="I51" i="180"/>
  <c r="T50" i="180"/>
  <c r="I50" i="180"/>
  <c r="T49" i="180"/>
  <c r="I49" i="180"/>
  <c r="T48" i="180"/>
  <c r="I48" i="180"/>
  <c r="T47" i="180"/>
  <c r="I47" i="180"/>
  <c r="T46" i="180"/>
  <c r="I46" i="180"/>
  <c r="T45" i="180"/>
  <c r="I45" i="180"/>
  <c r="GF44" i="180"/>
  <c r="GD44" i="180"/>
  <c r="FZ44" i="180"/>
  <c r="FX44" i="180"/>
  <c r="FB44" i="180"/>
  <c r="EZ44" i="180"/>
  <c r="EV44" i="180"/>
  <c r="ET44" i="180"/>
  <c r="DX44" i="180"/>
  <c r="DV44" i="180"/>
  <c r="DR44" i="180"/>
  <c r="DP44" i="180"/>
  <c r="CT44" i="180"/>
  <c r="CR44" i="180"/>
  <c r="CN44" i="180"/>
  <c r="CL44" i="180"/>
  <c r="CH44" i="180"/>
  <c r="CF44" i="180"/>
  <c r="CB44" i="180"/>
  <c r="BZ44" i="180"/>
  <c r="BV44" i="180"/>
  <c r="BT44" i="180"/>
  <c r="BP44" i="180"/>
  <c r="BN44" i="180"/>
  <c r="BJ44" i="180"/>
  <c r="BH44" i="180"/>
  <c r="BD44" i="180"/>
  <c r="BB44" i="180"/>
  <c r="AX44" i="180"/>
  <c r="AV44" i="180"/>
  <c r="AR44" i="180"/>
  <c r="AP44" i="180"/>
  <c r="AL44" i="180"/>
  <c r="AJ44" i="180"/>
  <c r="AF44" i="180"/>
  <c r="AD44" i="180"/>
  <c r="Z44" i="180"/>
  <c r="X44" i="180"/>
  <c r="T44" i="180"/>
  <c r="O44" i="180"/>
  <c r="I44" i="180"/>
  <c r="C14" i="180"/>
  <c r="C5" i="180"/>
  <c r="GD215" i="179"/>
  <c r="EZ215" i="179"/>
  <c r="DV215" i="179"/>
  <c r="CR215" i="179"/>
  <c r="CL215" i="179"/>
  <c r="CF215" i="179"/>
  <c r="BZ215" i="179"/>
  <c r="BT215" i="179"/>
  <c r="BN215" i="179"/>
  <c r="BH215" i="179"/>
  <c r="BB215" i="179"/>
  <c r="AV215" i="179"/>
  <c r="AP215" i="179"/>
  <c r="AJ215" i="179"/>
  <c r="AD215" i="179"/>
  <c r="X215" i="179"/>
  <c r="T215" i="179"/>
  <c r="I215" i="179"/>
  <c r="GD214" i="179"/>
  <c r="EZ214" i="179"/>
  <c r="DV214" i="179"/>
  <c r="CR214" i="179"/>
  <c r="CL214" i="179"/>
  <c r="CF214" i="179"/>
  <c r="BZ214" i="179"/>
  <c r="BT214" i="179"/>
  <c r="BN214" i="179"/>
  <c r="BH214" i="179"/>
  <c r="BB214" i="179"/>
  <c r="AV214" i="179"/>
  <c r="AP214" i="179"/>
  <c r="AJ214" i="179"/>
  <c r="AD214" i="179"/>
  <c r="X214" i="179"/>
  <c r="T214" i="179"/>
  <c r="I214" i="179"/>
  <c r="T213" i="179"/>
  <c r="I213" i="179"/>
  <c r="GD212" i="179"/>
  <c r="EZ212" i="179"/>
  <c r="DV212" i="179"/>
  <c r="CR212" i="179"/>
  <c r="CL212" i="179"/>
  <c r="CF212" i="179"/>
  <c r="BZ212" i="179"/>
  <c r="BT212" i="179"/>
  <c r="BN212" i="179"/>
  <c r="BH212" i="179"/>
  <c r="BB212" i="179"/>
  <c r="AV212" i="179"/>
  <c r="AP212" i="179"/>
  <c r="AJ212" i="179"/>
  <c r="AD212" i="179"/>
  <c r="X212" i="179"/>
  <c r="T212" i="179"/>
  <c r="I212" i="179"/>
  <c r="GD211" i="179"/>
  <c r="EZ211" i="179"/>
  <c r="DV211" i="179"/>
  <c r="CR211" i="179"/>
  <c r="CL211" i="179"/>
  <c r="CF211" i="179"/>
  <c r="BZ211" i="179"/>
  <c r="BT211" i="179"/>
  <c r="BN211" i="179"/>
  <c r="BH211" i="179"/>
  <c r="BB211" i="179"/>
  <c r="AV211" i="179"/>
  <c r="AP211" i="179"/>
  <c r="AJ211" i="179"/>
  <c r="AD211" i="179"/>
  <c r="X211" i="179"/>
  <c r="T211" i="179"/>
  <c r="I211" i="179"/>
  <c r="GD210" i="179"/>
  <c r="EZ210" i="179"/>
  <c r="DV210" i="179"/>
  <c r="CR210" i="179"/>
  <c r="CL210" i="179"/>
  <c r="CF210" i="179"/>
  <c r="BZ210" i="179"/>
  <c r="BT210" i="179"/>
  <c r="BN210" i="179"/>
  <c r="BH210" i="179"/>
  <c r="BB210" i="179"/>
  <c r="AV210" i="179"/>
  <c r="AP210" i="179"/>
  <c r="AJ210" i="179"/>
  <c r="AD210" i="179"/>
  <c r="X210" i="179"/>
  <c r="T210" i="179"/>
  <c r="I210" i="179"/>
  <c r="GD209" i="179"/>
  <c r="EZ209" i="179"/>
  <c r="DV209" i="179"/>
  <c r="CR209" i="179"/>
  <c r="CL209" i="179"/>
  <c r="CF209" i="179"/>
  <c r="BZ209" i="179"/>
  <c r="BT209" i="179"/>
  <c r="BN209" i="179"/>
  <c r="BH209" i="179"/>
  <c r="BB209" i="179"/>
  <c r="AV209" i="179"/>
  <c r="AP209" i="179"/>
  <c r="AJ209" i="179"/>
  <c r="AD209" i="179"/>
  <c r="X209" i="179"/>
  <c r="T209" i="179"/>
  <c r="I209" i="179"/>
  <c r="GD208" i="179"/>
  <c r="EZ208" i="179"/>
  <c r="DV208" i="179"/>
  <c r="CR208" i="179"/>
  <c r="CL208" i="179"/>
  <c r="CF208" i="179"/>
  <c r="BZ208" i="179"/>
  <c r="BT208" i="179"/>
  <c r="BN208" i="179"/>
  <c r="BH208" i="179"/>
  <c r="BB208" i="179"/>
  <c r="AV208" i="179"/>
  <c r="AP208" i="179"/>
  <c r="AJ208" i="179"/>
  <c r="AD208" i="179"/>
  <c r="X208" i="179"/>
  <c r="T208" i="179"/>
  <c r="I208" i="179"/>
  <c r="GD207" i="179"/>
  <c r="EZ207" i="179"/>
  <c r="DV207" i="179"/>
  <c r="CR207" i="179"/>
  <c r="CL207" i="179"/>
  <c r="CF207" i="179"/>
  <c r="BZ207" i="179"/>
  <c r="BT207" i="179"/>
  <c r="BN207" i="179"/>
  <c r="BH207" i="179"/>
  <c r="BB207" i="179"/>
  <c r="AV207" i="179"/>
  <c r="AP207" i="179"/>
  <c r="AJ207" i="179"/>
  <c r="AD207" i="179"/>
  <c r="X207" i="179"/>
  <c r="T207" i="179"/>
  <c r="I207" i="179"/>
  <c r="T206" i="179"/>
  <c r="I206" i="179"/>
  <c r="T205" i="179"/>
  <c r="I205" i="179"/>
  <c r="T204" i="179"/>
  <c r="I204" i="179"/>
  <c r="GF203" i="179"/>
  <c r="GE203" i="179"/>
  <c r="GD203" i="179"/>
  <c r="GC203" i="179"/>
  <c r="FB203" i="179"/>
  <c r="FA203" i="179"/>
  <c r="EZ203" i="179"/>
  <c r="EY203" i="179"/>
  <c r="DX203" i="179"/>
  <c r="DW203" i="179"/>
  <c r="DV203" i="179"/>
  <c r="DU203" i="179"/>
  <c r="CT203" i="179"/>
  <c r="CS203" i="179"/>
  <c r="CR203" i="179"/>
  <c r="CQ203" i="179"/>
  <c r="CN203" i="179"/>
  <c r="CM203" i="179"/>
  <c r="CL203" i="179"/>
  <c r="CK203" i="179"/>
  <c r="CH203" i="179"/>
  <c r="CG203" i="179"/>
  <c r="CF203" i="179"/>
  <c r="CE203" i="179"/>
  <c r="CB203" i="179"/>
  <c r="CA203" i="179"/>
  <c r="BZ203" i="179"/>
  <c r="BY203" i="179"/>
  <c r="BV203" i="179"/>
  <c r="BU203" i="179"/>
  <c r="BT203" i="179"/>
  <c r="BS203" i="179"/>
  <c r="BP203" i="179"/>
  <c r="BO203" i="179"/>
  <c r="BN203" i="179"/>
  <c r="BM203" i="179"/>
  <c r="BJ203" i="179"/>
  <c r="BI203" i="179"/>
  <c r="BH203" i="179"/>
  <c r="BG203" i="179"/>
  <c r="BD203" i="179"/>
  <c r="BC203" i="179"/>
  <c r="BB203" i="179"/>
  <c r="BA203" i="179"/>
  <c r="AX203" i="179"/>
  <c r="AW203" i="179"/>
  <c r="AV203" i="179"/>
  <c r="AU203" i="179"/>
  <c r="AR203" i="179"/>
  <c r="AQ203" i="179"/>
  <c r="AP203" i="179"/>
  <c r="AO203" i="179"/>
  <c r="AL203" i="179"/>
  <c r="AK203" i="179"/>
  <c r="AJ203" i="179"/>
  <c r="AI203" i="179"/>
  <c r="AF203" i="179"/>
  <c r="AE203" i="179"/>
  <c r="AD203" i="179"/>
  <c r="AC203" i="179"/>
  <c r="Z203" i="179"/>
  <c r="Y203" i="179"/>
  <c r="X203" i="179"/>
  <c r="W203" i="179"/>
  <c r="T203" i="179"/>
  <c r="I203" i="179"/>
  <c r="GF202" i="179"/>
  <c r="GE202" i="179"/>
  <c r="GD202" i="179"/>
  <c r="GC202" i="179"/>
  <c r="FB202" i="179"/>
  <c r="FA202" i="179"/>
  <c r="EZ202" i="179"/>
  <c r="EY202" i="179"/>
  <c r="DX202" i="179"/>
  <c r="DW202" i="179"/>
  <c r="DV202" i="179"/>
  <c r="DU202" i="179"/>
  <c r="CT202" i="179"/>
  <c r="CS202" i="179"/>
  <c r="CR202" i="179"/>
  <c r="CQ202" i="179"/>
  <c r="CN202" i="179"/>
  <c r="CM202" i="179"/>
  <c r="CL202" i="179"/>
  <c r="CK202" i="179"/>
  <c r="CH202" i="179"/>
  <c r="CG202" i="179"/>
  <c r="CF202" i="179"/>
  <c r="CE202" i="179"/>
  <c r="CB202" i="179"/>
  <c r="CA202" i="179"/>
  <c r="BZ202" i="179"/>
  <c r="BY202" i="179"/>
  <c r="BV202" i="179"/>
  <c r="BU202" i="179"/>
  <c r="BT202" i="179"/>
  <c r="BS202" i="179"/>
  <c r="BP202" i="179"/>
  <c r="BO202" i="179"/>
  <c r="BN202" i="179"/>
  <c r="BM202" i="179"/>
  <c r="BJ202" i="179"/>
  <c r="BI202" i="179"/>
  <c r="BH202" i="179"/>
  <c r="BG202" i="179"/>
  <c r="BD202" i="179"/>
  <c r="BC202" i="179"/>
  <c r="BB202" i="179"/>
  <c r="BA202" i="179"/>
  <c r="AX202" i="179"/>
  <c r="AW202" i="179"/>
  <c r="AV202" i="179"/>
  <c r="AU202" i="179"/>
  <c r="AR202" i="179"/>
  <c r="AQ202" i="179"/>
  <c r="AP202" i="179"/>
  <c r="AO202" i="179"/>
  <c r="AL202" i="179"/>
  <c r="AK202" i="179"/>
  <c r="AJ202" i="179"/>
  <c r="AI202" i="179"/>
  <c r="AF202" i="179"/>
  <c r="AE202" i="179"/>
  <c r="AD202" i="179"/>
  <c r="AC202" i="179"/>
  <c r="Z202" i="179"/>
  <c r="Y202" i="179"/>
  <c r="X202" i="179"/>
  <c r="W202" i="179"/>
  <c r="T202" i="179"/>
  <c r="I202" i="179"/>
  <c r="T201" i="179"/>
  <c r="I201" i="179"/>
  <c r="T200" i="179"/>
  <c r="I200" i="179"/>
  <c r="T199" i="179"/>
  <c r="I199" i="179"/>
  <c r="T198" i="179"/>
  <c r="I198" i="179"/>
  <c r="T197" i="179"/>
  <c r="I197" i="179"/>
  <c r="T196" i="179"/>
  <c r="I196" i="179"/>
  <c r="T195" i="179"/>
  <c r="I195" i="179"/>
  <c r="T194" i="179"/>
  <c r="I194" i="179"/>
  <c r="T193" i="179"/>
  <c r="I193" i="179"/>
  <c r="T192" i="179"/>
  <c r="I192" i="179"/>
  <c r="T191" i="179"/>
  <c r="I191" i="179"/>
  <c r="T190" i="179"/>
  <c r="I190" i="179"/>
  <c r="T189" i="179"/>
  <c r="I189" i="179"/>
  <c r="T188" i="179"/>
  <c r="I188" i="179"/>
  <c r="T187" i="179"/>
  <c r="I187" i="179"/>
  <c r="T186" i="179"/>
  <c r="I186" i="179"/>
  <c r="T185" i="179"/>
  <c r="I185" i="179"/>
  <c r="GG184" i="179"/>
  <c r="GF184" i="179"/>
  <c r="GE184" i="179"/>
  <c r="GD184" i="179"/>
  <c r="GC184" i="179"/>
  <c r="FC184" i="179"/>
  <c r="FB184" i="179"/>
  <c r="FA184" i="179"/>
  <c r="EZ184" i="179"/>
  <c r="EY184" i="179"/>
  <c r="DY184" i="179"/>
  <c r="DX184" i="179"/>
  <c r="DW184" i="179"/>
  <c r="DV184" i="179"/>
  <c r="DU184" i="179"/>
  <c r="CU184" i="179"/>
  <c r="CT184" i="179"/>
  <c r="CS184" i="179"/>
  <c r="CR184" i="179"/>
  <c r="CQ184" i="179"/>
  <c r="CO184" i="179"/>
  <c r="CN184" i="179"/>
  <c r="CM184" i="179"/>
  <c r="CL184" i="179"/>
  <c r="CK184" i="179"/>
  <c r="CI184" i="179"/>
  <c r="CH184" i="179"/>
  <c r="CG184" i="179"/>
  <c r="CF184" i="179"/>
  <c r="CE184" i="179"/>
  <c r="CC184" i="179"/>
  <c r="CB184" i="179"/>
  <c r="CA184" i="179"/>
  <c r="BZ184" i="179"/>
  <c r="BY184" i="179"/>
  <c r="BW184" i="179"/>
  <c r="BV184" i="179"/>
  <c r="BU184" i="179"/>
  <c r="BT184" i="179"/>
  <c r="BS184" i="179"/>
  <c r="BQ184" i="179"/>
  <c r="BP184" i="179"/>
  <c r="BO184" i="179"/>
  <c r="BN184" i="179"/>
  <c r="BM184" i="179"/>
  <c r="BK184" i="179"/>
  <c r="BJ184" i="179"/>
  <c r="BI184" i="179"/>
  <c r="BH184" i="179"/>
  <c r="BG184" i="179"/>
  <c r="BE184" i="179"/>
  <c r="BD184" i="179"/>
  <c r="BC184" i="179"/>
  <c r="BB184" i="179"/>
  <c r="BA184" i="179"/>
  <c r="AY184" i="179"/>
  <c r="AX184" i="179"/>
  <c r="AW184" i="179"/>
  <c r="AV184" i="179"/>
  <c r="AU184" i="179"/>
  <c r="AS184" i="179"/>
  <c r="AR184" i="179"/>
  <c r="AQ184" i="179"/>
  <c r="AP184" i="179"/>
  <c r="AO184" i="179"/>
  <c r="AM184" i="179"/>
  <c r="AL184" i="179"/>
  <c r="AK184" i="179"/>
  <c r="AJ184" i="179"/>
  <c r="AI184" i="179"/>
  <c r="AG184" i="179"/>
  <c r="AF184" i="179"/>
  <c r="AE184" i="179"/>
  <c r="AD184" i="179"/>
  <c r="AC184" i="179"/>
  <c r="AA184" i="179"/>
  <c r="Z184" i="179"/>
  <c r="Y184" i="179"/>
  <c r="X184" i="179"/>
  <c r="W184" i="179"/>
  <c r="T184" i="179"/>
  <c r="I184" i="179"/>
  <c r="GG183" i="179"/>
  <c r="GF183" i="179"/>
  <c r="GE183" i="179"/>
  <c r="GD183" i="179"/>
  <c r="GC183" i="179"/>
  <c r="FC183" i="179"/>
  <c r="FB183" i="179"/>
  <c r="FA183" i="179"/>
  <c r="EZ183" i="179"/>
  <c r="EY183" i="179"/>
  <c r="DY183" i="179"/>
  <c r="DX183" i="179"/>
  <c r="DW183" i="179"/>
  <c r="DV183" i="179"/>
  <c r="DU183" i="179"/>
  <c r="CU183" i="179"/>
  <c r="CT183" i="179"/>
  <c r="CS183" i="179"/>
  <c r="CR183" i="179"/>
  <c r="CQ183" i="179"/>
  <c r="CO183" i="179"/>
  <c r="CN183" i="179"/>
  <c r="CM183" i="179"/>
  <c r="CL183" i="179"/>
  <c r="CK183" i="179"/>
  <c r="CI183" i="179"/>
  <c r="CH183" i="179"/>
  <c r="CG183" i="179"/>
  <c r="CF183" i="179"/>
  <c r="CE183" i="179"/>
  <c r="CC183" i="179"/>
  <c r="CB183" i="179"/>
  <c r="CA183" i="179"/>
  <c r="BZ183" i="179"/>
  <c r="BY183" i="179"/>
  <c r="BW183" i="179"/>
  <c r="BV183" i="179"/>
  <c r="BU183" i="179"/>
  <c r="BT183" i="179"/>
  <c r="BS183" i="179"/>
  <c r="BQ183" i="179"/>
  <c r="BP183" i="179"/>
  <c r="BO183" i="179"/>
  <c r="BN183" i="179"/>
  <c r="BM183" i="179"/>
  <c r="BK183" i="179"/>
  <c r="BJ183" i="179"/>
  <c r="BI183" i="179"/>
  <c r="BH183" i="179"/>
  <c r="BG183" i="179"/>
  <c r="BE183" i="179"/>
  <c r="BD183" i="179"/>
  <c r="BC183" i="179"/>
  <c r="BB183" i="179"/>
  <c r="BA183" i="179"/>
  <c r="AY183" i="179"/>
  <c r="AX183" i="179"/>
  <c r="AW183" i="179"/>
  <c r="AV183" i="179"/>
  <c r="AU183" i="179"/>
  <c r="AS183" i="179"/>
  <c r="AR183" i="179"/>
  <c r="AQ183" i="179"/>
  <c r="AP183" i="179"/>
  <c r="AO183" i="179"/>
  <c r="AM183" i="179"/>
  <c r="AL183" i="179"/>
  <c r="AK183" i="179"/>
  <c r="AJ183" i="179"/>
  <c r="AI183" i="179"/>
  <c r="AG183" i="179"/>
  <c r="AF183" i="179"/>
  <c r="AE183" i="179"/>
  <c r="AD183" i="179"/>
  <c r="AC183" i="179"/>
  <c r="AA183" i="179"/>
  <c r="Z183" i="179"/>
  <c r="Y183" i="179"/>
  <c r="X183" i="179"/>
  <c r="W183" i="179"/>
  <c r="T183" i="179"/>
  <c r="I183" i="179"/>
  <c r="GG182" i="179"/>
  <c r="GF182" i="179"/>
  <c r="GE182" i="179"/>
  <c r="GD182" i="179"/>
  <c r="GC182" i="179"/>
  <c r="FC182" i="179"/>
  <c r="FB182" i="179"/>
  <c r="FA182" i="179"/>
  <c r="EZ182" i="179"/>
  <c r="EY182" i="179"/>
  <c r="DY182" i="179"/>
  <c r="DX182" i="179"/>
  <c r="DW182" i="179"/>
  <c r="DV182" i="179"/>
  <c r="DU182" i="179"/>
  <c r="CU182" i="179"/>
  <c r="CT182" i="179"/>
  <c r="CS182" i="179"/>
  <c r="CR182" i="179"/>
  <c r="CQ182" i="179"/>
  <c r="CO182" i="179"/>
  <c r="CN182" i="179"/>
  <c r="CM182" i="179"/>
  <c r="CL182" i="179"/>
  <c r="CK182" i="179"/>
  <c r="CI182" i="179"/>
  <c r="CH182" i="179"/>
  <c r="CG182" i="179"/>
  <c r="CF182" i="179"/>
  <c r="CE182" i="179"/>
  <c r="CC182" i="179"/>
  <c r="CB182" i="179"/>
  <c r="CA182" i="179"/>
  <c r="BZ182" i="179"/>
  <c r="BY182" i="179"/>
  <c r="BW182" i="179"/>
  <c r="BV182" i="179"/>
  <c r="BU182" i="179"/>
  <c r="BT182" i="179"/>
  <c r="BS182" i="179"/>
  <c r="BQ182" i="179"/>
  <c r="BP182" i="179"/>
  <c r="BO182" i="179"/>
  <c r="BN182" i="179"/>
  <c r="BM182" i="179"/>
  <c r="BK182" i="179"/>
  <c r="BJ182" i="179"/>
  <c r="BI182" i="179"/>
  <c r="BH182" i="179"/>
  <c r="BG182" i="179"/>
  <c r="BE182" i="179"/>
  <c r="BD182" i="179"/>
  <c r="BC182" i="179"/>
  <c r="BB182" i="179"/>
  <c r="BA182" i="179"/>
  <c r="AY182" i="179"/>
  <c r="AX182" i="179"/>
  <c r="AW182" i="179"/>
  <c r="AV182" i="179"/>
  <c r="AU182" i="179"/>
  <c r="AS182" i="179"/>
  <c r="AR182" i="179"/>
  <c r="AQ182" i="179"/>
  <c r="AP182" i="179"/>
  <c r="AO182" i="179"/>
  <c r="AM182" i="179"/>
  <c r="AL182" i="179"/>
  <c r="AK182" i="179"/>
  <c r="AJ182" i="179"/>
  <c r="AI182" i="179"/>
  <c r="AG182" i="179"/>
  <c r="AF182" i="179"/>
  <c r="AE182" i="179"/>
  <c r="AD182" i="179"/>
  <c r="AC182" i="179"/>
  <c r="AA182" i="179"/>
  <c r="Z182" i="179"/>
  <c r="Y182" i="179"/>
  <c r="X182" i="179"/>
  <c r="W182" i="179"/>
  <c r="T182" i="179"/>
  <c r="I182" i="179"/>
  <c r="GD181" i="179"/>
  <c r="EZ181" i="179"/>
  <c r="DV181" i="179"/>
  <c r="CR181" i="179"/>
  <c r="CL181" i="179"/>
  <c r="CF181" i="179"/>
  <c r="BZ181" i="179"/>
  <c r="BT181" i="179"/>
  <c r="BN181" i="179"/>
  <c r="BH181" i="179"/>
  <c r="BB181" i="179"/>
  <c r="AV181" i="179"/>
  <c r="AP181" i="179"/>
  <c r="AJ181" i="179"/>
  <c r="AD181" i="179"/>
  <c r="X181" i="179"/>
  <c r="T181" i="179"/>
  <c r="I181" i="179"/>
  <c r="GD180" i="179"/>
  <c r="EZ180" i="179"/>
  <c r="DV180" i="179"/>
  <c r="CR180" i="179"/>
  <c r="CL180" i="179"/>
  <c r="CF180" i="179"/>
  <c r="BZ180" i="179"/>
  <c r="BT180" i="179"/>
  <c r="BN180" i="179"/>
  <c r="BH180" i="179"/>
  <c r="BB180" i="179"/>
  <c r="AV180" i="179"/>
  <c r="AP180" i="179"/>
  <c r="AJ180" i="179"/>
  <c r="AD180" i="179"/>
  <c r="X180" i="179"/>
  <c r="T180" i="179"/>
  <c r="I180" i="179"/>
  <c r="T179" i="179"/>
  <c r="I179" i="179"/>
  <c r="T178" i="179"/>
  <c r="I178" i="179"/>
  <c r="T177" i="179"/>
  <c r="I177" i="179"/>
  <c r="T176" i="179"/>
  <c r="I176" i="179"/>
  <c r="GD175" i="179"/>
  <c r="EZ175" i="179"/>
  <c r="DV175" i="179"/>
  <c r="CR175" i="179"/>
  <c r="CL175" i="179"/>
  <c r="CF175" i="179"/>
  <c r="BZ175" i="179"/>
  <c r="BT175" i="179"/>
  <c r="BN175" i="179"/>
  <c r="BH175" i="179"/>
  <c r="BB175" i="179"/>
  <c r="AV175" i="179"/>
  <c r="AP175" i="179"/>
  <c r="AJ175" i="179"/>
  <c r="AD175" i="179"/>
  <c r="X175" i="179"/>
  <c r="T175" i="179"/>
  <c r="I175" i="179"/>
  <c r="GD174" i="179"/>
  <c r="EZ174" i="179"/>
  <c r="DV174" i="179"/>
  <c r="CR174" i="179"/>
  <c r="CL174" i="179"/>
  <c r="CF174" i="179"/>
  <c r="BZ174" i="179"/>
  <c r="BT174" i="179"/>
  <c r="BN174" i="179"/>
  <c r="BH174" i="179"/>
  <c r="BB174" i="179"/>
  <c r="AV174" i="179"/>
  <c r="AP174" i="179"/>
  <c r="AJ174" i="179"/>
  <c r="AD174" i="179"/>
  <c r="X174" i="179"/>
  <c r="T174" i="179"/>
  <c r="I174" i="179"/>
  <c r="T173" i="179"/>
  <c r="I173" i="179"/>
  <c r="T172" i="179"/>
  <c r="I172" i="179"/>
  <c r="T171" i="179"/>
  <c r="I171" i="179"/>
  <c r="T170" i="179"/>
  <c r="I170" i="179"/>
  <c r="T169" i="179"/>
  <c r="I169" i="179"/>
  <c r="T168" i="179"/>
  <c r="I168" i="179"/>
  <c r="T167" i="179"/>
  <c r="I167" i="179"/>
  <c r="GD166" i="179"/>
  <c r="EZ166" i="179"/>
  <c r="DV166" i="179"/>
  <c r="CR166" i="179"/>
  <c r="CL166" i="179"/>
  <c r="CF166" i="179"/>
  <c r="BZ166" i="179"/>
  <c r="BT166" i="179"/>
  <c r="BN166" i="179"/>
  <c r="BH166" i="179"/>
  <c r="BB166" i="179"/>
  <c r="AV166" i="179"/>
  <c r="AP166" i="179"/>
  <c r="AJ166" i="179"/>
  <c r="AD166" i="179"/>
  <c r="X166" i="179"/>
  <c r="T166" i="179"/>
  <c r="I166" i="179"/>
  <c r="T165" i="179"/>
  <c r="I165" i="179"/>
  <c r="GD164" i="179"/>
  <c r="EZ164" i="179"/>
  <c r="DV164" i="179"/>
  <c r="CR164" i="179"/>
  <c r="CL164" i="179"/>
  <c r="CF164" i="179"/>
  <c r="BZ164" i="179"/>
  <c r="BT164" i="179"/>
  <c r="BN164" i="179"/>
  <c r="BH164" i="179"/>
  <c r="BB164" i="179"/>
  <c r="AV164" i="179"/>
  <c r="AP164" i="179"/>
  <c r="AJ164" i="179"/>
  <c r="AD164" i="179"/>
  <c r="X164" i="179"/>
  <c r="T164" i="179"/>
  <c r="I164" i="179"/>
  <c r="T163" i="179"/>
  <c r="I163" i="179"/>
  <c r="GD162" i="179"/>
  <c r="EZ162" i="179"/>
  <c r="DV162" i="179"/>
  <c r="CR162" i="179"/>
  <c r="CL162" i="179"/>
  <c r="CF162" i="179"/>
  <c r="BZ162" i="179"/>
  <c r="BT162" i="179"/>
  <c r="BN162" i="179"/>
  <c r="BH162" i="179"/>
  <c r="BB162" i="179"/>
  <c r="AV162" i="179"/>
  <c r="AP162" i="179"/>
  <c r="AJ162" i="179"/>
  <c r="AD162" i="179"/>
  <c r="X162" i="179"/>
  <c r="T162" i="179"/>
  <c r="I162" i="179"/>
  <c r="T161" i="179"/>
  <c r="I161" i="179"/>
  <c r="T160" i="179"/>
  <c r="I160" i="179"/>
  <c r="GE159" i="179"/>
  <c r="FA159" i="179"/>
  <c r="DW159" i="179"/>
  <c r="CS159" i="179"/>
  <c r="CM159" i="179"/>
  <c r="CG159" i="179"/>
  <c r="CA159" i="179"/>
  <c r="BU159" i="179"/>
  <c r="BO159" i="179"/>
  <c r="BI159" i="179"/>
  <c r="BC159" i="179"/>
  <c r="AW159" i="179"/>
  <c r="AQ159" i="179"/>
  <c r="AK159" i="179"/>
  <c r="AE159" i="179"/>
  <c r="Y159" i="179"/>
  <c r="T159" i="179"/>
  <c r="I159" i="179"/>
  <c r="T158" i="179"/>
  <c r="I158" i="179"/>
  <c r="GE157" i="179"/>
  <c r="FA157" i="179"/>
  <c r="DW157" i="179"/>
  <c r="CS157" i="179"/>
  <c r="CM157" i="179"/>
  <c r="CG157" i="179"/>
  <c r="CA157" i="179"/>
  <c r="BU157" i="179"/>
  <c r="BO157" i="179"/>
  <c r="BI157" i="179"/>
  <c r="BC157" i="179"/>
  <c r="AW157" i="179"/>
  <c r="AQ157" i="179"/>
  <c r="AK157" i="179"/>
  <c r="AE157" i="179"/>
  <c r="Y157" i="179"/>
  <c r="T157" i="179"/>
  <c r="I157" i="179"/>
  <c r="GE156" i="179"/>
  <c r="FA156" i="179"/>
  <c r="DW156" i="179"/>
  <c r="CS156" i="179"/>
  <c r="CM156" i="179"/>
  <c r="CG156" i="179"/>
  <c r="CA156" i="179"/>
  <c r="BU156" i="179"/>
  <c r="BO156" i="179"/>
  <c r="BI156" i="179"/>
  <c r="BC156" i="179"/>
  <c r="AW156" i="179"/>
  <c r="AQ156" i="179"/>
  <c r="AK156" i="179"/>
  <c r="AE156" i="179"/>
  <c r="Y156" i="179"/>
  <c r="T156" i="179"/>
  <c r="I156" i="179"/>
  <c r="T155" i="179"/>
  <c r="I155" i="179"/>
  <c r="GE154" i="179"/>
  <c r="FA154" i="179"/>
  <c r="DW154" i="179"/>
  <c r="CS154" i="179"/>
  <c r="CM154" i="179"/>
  <c r="CG154" i="179"/>
  <c r="CA154" i="179"/>
  <c r="BU154" i="179"/>
  <c r="BO154" i="179"/>
  <c r="BI154" i="179"/>
  <c r="BC154" i="179"/>
  <c r="AW154" i="179"/>
  <c r="AQ154" i="179"/>
  <c r="AK154" i="179"/>
  <c r="AE154" i="179"/>
  <c r="Y154" i="179"/>
  <c r="T154" i="179"/>
  <c r="I154" i="179"/>
  <c r="T153" i="179"/>
  <c r="I153" i="179"/>
  <c r="T152" i="179"/>
  <c r="I152" i="179"/>
  <c r="T151" i="179"/>
  <c r="I151" i="179"/>
  <c r="T150" i="179"/>
  <c r="I150" i="179"/>
  <c r="T149" i="179"/>
  <c r="I149" i="179"/>
  <c r="T148" i="179"/>
  <c r="I148" i="179"/>
  <c r="T147" i="179"/>
  <c r="I147" i="179"/>
  <c r="T146" i="179"/>
  <c r="I146" i="179"/>
  <c r="T145" i="179"/>
  <c r="I145" i="179"/>
  <c r="GE144" i="179"/>
  <c r="FA144" i="179"/>
  <c r="DW144" i="179"/>
  <c r="CS144" i="179"/>
  <c r="CM144" i="179"/>
  <c r="CG144" i="179"/>
  <c r="CA144" i="179"/>
  <c r="BU144" i="179"/>
  <c r="BO144" i="179"/>
  <c r="BI144" i="179"/>
  <c r="BC144" i="179"/>
  <c r="AW144" i="179"/>
  <c r="AQ144" i="179"/>
  <c r="AK144" i="179"/>
  <c r="AE144" i="179"/>
  <c r="Y144" i="179"/>
  <c r="T144" i="179"/>
  <c r="I144" i="179"/>
  <c r="T143" i="179"/>
  <c r="I143" i="179"/>
  <c r="T142" i="179"/>
  <c r="I142" i="179"/>
  <c r="GE141" i="179"/>
  <c r="FA141" i="179"/>
  <c r="DW141" i="179"/>
  <c r="CS141" i="179"/>
  <c r="CM141" i="179"/>
  <c r="CG141" i="179"/>
  <c r="CA141" i="179"/>
  <c r="BU141" i="179"/>
  <c r="BO141" i="179"/>
  <c r="BI141" i="179"/>
  <c r="BC141" i="179"/>
  <c r="AW141" i="179"/>
  <c r="AQ141" i="179"/>
  <c r="AK141" i="179"/>
  <c r="AE141" i="179"/>
  <c r="Y141" i="179"/>
  <c r="T141" i="179"/>
  <c r="I141" i="179"/>
  <c r="GE140" i="179"/>
  <c r="FA140" i="179"/>
  <c r="DW140" i="179"/>
  <c r="CS140" i="179"/>
  <c r="CM140" i="179"/>
  <c r="CG140" i="179"/>
  <c r="CA140" i="179"/>
  <c r="BU140" i="179"/>
  <c r="BO140" i="179"/>
  <c r="BI140" i="179"/>
  <c r="BC140" i="179"/>
  <c r="AW140" i="179"/>
  <c r="AQ140" i="179"/>
  <c r="AK140" i="179"/>
  <c r="AE140" i="179"/>
  <c r="Y140" i="179"/>
  <c r="T140" i="179"/>
  <c r="I140" i="179"/>
  <c r="GE139" i="179"/>
  <c r="FA139" i="179"/>
  <c r="DW139" i="179"/>
  <c r="CS139" i="179"/>
  <c r="CM139" i="179"/>
  <c r="CG139" i="179"/>
  <c r="CA139" i="179"/>
  <c r="BU139" i="179"/>
  <c r="BO139" i="179"/>
  <c r="BI139" i="179"/>
  <c r="BC139" i="179"/>
  <c r="AW139" i="179"/>
  <c r="AQ139" i="179"/>
  <c r="AK139" i="179"/>
  <c r="AE139" i="179"/>
  <c r="Y139" i="179"/>
  <c r="T139" i="179"/>
  <c r="I139" i="179"/>
  <c r="T138" i="179"/>
  <c r="I138" i="179"/>
  <c r="T137" i="179"/>
  <c r="I137" i="179"/>
  <c r="GE136" i="179"/>
  <c r="FA136" i="179"/>
  <c r="DW136" i="179"/>
  <c r="CS136" i="179"/>
  <c r="CM136" i="179"/>
  <c r="CG136" i="179"/>
  <c r="CA136" i="179"/>
  <c r="BU136" i="179"/>
  <c r="BO136" i="179"/>
  <c r="BI136" i="179"/>
  <c r="BC136" i="179"/>
  <c r="AW136" i="179"/>
  <c r="AQ136" i="179"/>
  <c r="AK136" i="179"/>
  <c r="AE136" i="179"/>
  <c r="Y136" i="179"/>
  <c r="T136" i="179"/>
  <c r="I136" i="179"/>
  <c r="GE135" i="179"/>
  <c r="FA135" i="179"/>
  <c r="DW135" i="179"/>
  <c r="CS135" i="179"/>
  <c r="CM135" i="179"/>
  <c r="CG135" i="179"/>
  <c r="CA135" i="179"/>
  <c r="BU135" i="179"/>
  <c r="BO135" i="179"/>
  <c r="BI135" i="179"/>
  <c r="BC135" i="179"/>
  <c r="AW135" i="179"/>
  <c r="AQ135" i="179"/>
  <c r="AK135" i="179"/>
  <c r="AE135" i="179"/>
  <c r="Y135" i="179"/>
  <c r="T135" i="179"/>
  <c r="I135" i="179"/>
  <c r="GE134" i="179"/>
  <c r="FA134" i="179"/>
  <c r="DW134" i="179"/>
  <c r="CS134" i="179"/>
  <c r="CM134" i="179"/>
  <c r="CG134" i="179"/>
  <c r="CA134" i="179"/>
  <c r="BU134" i="179"/>
  <c r="BO134" i="179"/>
  <c r="BI134" i="179"/>
  <c r="BC134" i="179"/>
  <c r="AW134" i="179"/>
  <c r="AQ134" i="179"/>
  <c r="AK134" i="179"/>
  <c r="AE134" i="179"/>
  <c r="Y134" i="179"/>
  <c r="T134" i="179"/>
  <c r="I134" i="179"/>
  <c r="GE133" i="179"/>
  <c r="FA133" i="179"/>
  <c r="DW133" i="179"/>
  <c r="CS133" i="179"/>
  <c r="CM133" i="179"/>
  <c r="CG133" i="179"/>
  <c r="CA133" i="179"/>
  <c r="BU133" i="179"/>
  <c r="BO133" i="179"/>
  <c r="BI133" i="179"/>
  <c r="BC133" i="179"/>
  <c r="AW133" i="179"/>
  <c r="AQ133" i="179"/>
  <c r="AK133" i="179"/>
  <c r="AE133" i="179"/>
  <c r="Y133" i="179"/>
  <c r="T133" i="179"/>
  <c r="I133" i="179"/>
  <c r="T132" i="179"/>
  <c r="I132" i="179"/>
  <c r="GE131" i="179"/>
  <c r="FA131" i="179"/>
  <c r="DW131" i="179"/>
  <c r="CS131" i="179"/>
  <c r="CM131" i="179"/>
  <c r="CG131" i="179"/>
  <c r="CA131" i="179"/>
  <c r="BU131" i="179"/>
  <c r="BO131" i="179"/>
  <c r="BI131" i="179"/>
  <c r="BC131" i="179"/>
  <c r="AW131" i="179"/>
  <c r="AQ131" i="179"/>
  <c r="AK131" i="179"/>
  <c r="AE131" i="179"/>
  <c r="Y131" i="179"/>
  <c r="T131" i="179"/>
  <c r="I131" i="179"/>
  <c r="GE130" i="179"/>
  <c r="FA130" i="179"/>
  <c r="DW130" i="179"/>
  <c r="CS130" i="179"/>
  <c r="CM130" i="179"/>
  <c r="CG130" i="179"/>
  <c r="CA130" i="179"/>
  <c r="BU130" i="179"/>
  <c r="BO130" i="179"/>
  <c r="BI130" i="179"/>
  <c r="BC130" i="179"/>
  <c r="AW130" i="179"/>
  <c r="AQ130" i="179"/>
  <c r="AK130" i="179"/>
  <c r="AE130" i="179"/>
  <c r="Y130" i="179"/>
  <c r="T130" i="179"/>
  <c r="I130" i="179"/>
  <c r="GE129" i="179"/>
  <c r="FA129" i="179"/>
  <c r="DW129" i="179"/>
  <c r="CS129" i="179"/>
  <c r="CM129" i="179"/>
  <c r="CG129" i="179"/>
  <c r="CA129" i="179"/>
  <c r="BU129" i="179"/>
  <c r="BO129" i="179"/>
  <c r="BI129" i="179"/>
  <c r="BC129" i="179"/>
  <c r="AW129" i="179"/>
  <c r="AQ129" i="179"/>
  <c r="AK129" i="179"/>
  <c r="AE129" i="179"/>
  <c r="Y129" i="179"/>
  <c r="T129" i="179"/>
  <c r="I129" i="179"/>
  <c r="T128" i="179"/>
  <c r="I128" i="179"/>
  <c r="GE127" i="179"/>
  <c r="FA127" i="179"/>
  <c r="DW127" i="179"/>
  <c r="CS127" i="179"/>
  <c r="CM127" i="179"/>
  <c r="CG127" i="179"/>
  <c r="CA127" i="179"/>
  <c r="BU127" i="179"/>
  <c r="BO127" i="179"/>
  <c r="BI127" i="179"/>
  <c r="BC127" i="179"/>
  <c r="AW127" i="179"/>
  <c r="AQ127" i="179"/>
  <c r="AK127" i="179"/>
  <c r="AE127" i="179"/>
  <c r="Y127" i="179"/>
  <c r="T127" i="179"/>
  <c r="I127" i="179"/>
  <c r="T126" i="179"/>
  <c r="I126" i="179"/>
  <c r="GE125" i="179"/>
  <c r="FA125" i="179"/>
  <c r="DW125" i="179"/>
  <c r="CS125" i="179"/>
  <c r="CM125" i="179"/>
  <c r="CG125" i="179"/>
  <c r="CA125" i="179"/>
  <c r="BU125" i="179"/>
  <c r="BO125" i="179"/>
  <c r="BI125" i="179"/>
  <c r="BC125" i="179"/>
  <c r="AW125" i="179"/>
  <c r="AQ125" i="179"/>
  <c r="AK125" i="179"/>
  <c r="AE125" i="179"/>
  <c r="Y125" i="179"/>
  <c r="T125" i="179"/>
  <c r="I125" i="179"/>
  <c r="GE124" i="179"/>
  <c r="FA124" i="179"/>
  <c r="DW124" i="179"/>
  <c r="CS124" i="179"/>
  <c r="CM124" i="179"/>
  <c r="CG124" i="179"/>
  <c r="CA124" i="179"/>
  <c r="BU124" i="179"/>
  <c r="BO124" i="179"/>
  <c r="BI124" i="179"/>
  <c r="BC124" i="179"/>
  <c r="AW124" i="179"/>
  <c r="AQ124" i="179"/>
  <c r="AK124" i="179"/>
  <c r="AE124" i="179"/>
  <c r="Y124" i="179"/>
  <c r="T124" i="179"/>
  <c r="I124" i="179"/>
  <c r="T123" i="179"/>
  <c r="I123" i="179"/>
  <c r="T122" i="179"/>
  <c r="I122" i="179"/>
  <c r="T121" i="179"/>
  <c r="I121" i="179"/>
  <c r="GE120" i="179"/>
  <c r="FA120" i="179"/>
  <c r="DW120" i="179"/>
  <c r="CS120" i="179"/>
  <c r="CM120" i="179"/>
  <c r="CG120" i="179"/>
  <c r="CA120" i="179"/>
  <c r="BU120" i="179"/>
  <c r="BO120" i="179"/>
  <c r="BI120" i="179"/>
  <c r="BC120" i="179"/>
  <c r="AW120" i="179"/>
  <c r="AQ120" i="179"/>
  <c r="AK120" i="179"/>
  <c r="AE120" i="179"/>
  <c r="Y120" i="179"/>
  <c r="T120" i="179"/>
  <c r="I120" i="179"/>
  <c r="T119" i="179"/>
  <c r="I119" i="179"/>
  <c r="T118" i="179"/>
  <c r="I118" i="179"/>
  <c r="T117" i="179"/>
  <c r="I117" i="179"/>
  <c r="T116" i="179"/>
  <c r="I116" i="179"/>
  <c r="GE115" i="179"/>
  <c r="FA115" i="179"/>
  <c r="DW115" i="179"/>
  <c r="CS115" i="179"/>
  <c r="CM115" i="179"/>
  <c r="CG115" i="179"/>
  <c r="CA115" i="179"/>
  <c r="BU115" i="179"/>
  <c r="BO115" i="179"/>
  <c r="BI115" i="179"/>
  <c r="BC115" i="179"/>
  <c r="AW115" i="179"/>
  <c r="AQ115" i="179"/>
  <c r="AK115" i="179"/>
  <c r="AE115" i="179"/>
  <c r="Y115" i="179"/>
  <c r="T115" i="179"/>
  <c r="I115" i="179"/>
  <c r="T114" i="179"/>
  <c r="I114" i="179"/>
  <c r="GD113" i="179"/>
  <c r="EZ113" i="179"/>
  <c r="DV113" i="179"/>
  <c r="CR113" i="179"/>
  <c r="CL113" i="179"/>
  <c r="CF113" i="179"/>
  <c r="BZ113" i="179"/>
  <c r="BT113" i="179"/>
  <c r="BN113" i="179"/>
  <c r="BH113" i="179"/>
  <c r="BB113" i="179"/>
  <c r="AV113" i="179"/>
  <c r="AP113" i="179"/>
  <c r="AJ113" i="179"/>
  <c r="AD113" i="179"/>
  <c r="X113" i="179"/>
  <c r="T113" i="179"/>
  <c r="I113" i="179"/>
  <c r="GD112" i="179"/>
  <c r="EZ112" i="179"/>
  <c r="DV112" i="179"/>
  <c r="CR112" i="179"/>
  <c r="CL112" i="179"/>
  <c r="CF112" i="179"/>
  <c r="BZ112" i="179"/>
  <c r="BT112" i="179"/>
  <c r="BN112" i="179"/>
  <c r="BH112" i="179"/>
  <c r="BB112" i="179"/>
  <c r="AV112" i="179"/>
  <c r="AP112" i="179"/>
  <c r="AJ112" i="179"/>
  <c r="AD112" i="179"/>
  <c r="X112" i="179"/>
  <c r="T112" i="179"/>
  <c r="I112" i="179"/>
  <c r="GD111" i="179"/>
  <c r="EZ111" i="179"/>
  <c r="DV111" i="179"/>
  <c r="CR111" i="179"/>
  <c r="CL111" i="179"/>
  <c r="CF111" i="179"/>
  <c r="BZ111" i="179"/>
  <c r="BT111" i="179"/>
  <c r="BN111" i="179"/>
  <c r="BH111" i="179"/>
  <c r="BB111" i="179"/>
  <c r="AV111" i="179"/>
  <c r="AP111" i="179"/>
  <c r="AJ111" i="179"/>
  <c r="AD111" i="179"/>
  <c r="X111" i="179"/>
  <c r="T111" i="179"/>
  <c r="I111" i="179"/>
  <c r="GD110" i="179"/>
  <c r="EZ110" i="179"/>
  <c r="DV110" i="179"/>
  <c r="CR110" i="179"/>
  <c r="CL110" i="179"/>
  <c r="CF110" i="179"/>
  <c r="BZ110" i="179"/>
  <c r="BT110" i="179"/>
  <c r="BN110" i="179"/>
  <c r="BH110" i="179"/>
  <c r="BB110" i="179"/>
  <c r="AV110" i="179"/>
  <c r="AP110" i="179"/>
  <c r="AJ110" i="179"/>
  <c r="AD110" i="179"/>
  <c r="X110" i="179"/>
  <c r="T110" i="179"/>
  <c r="I110" i="179"/>
  <c r="GD109" i="179"/>
  <c r="EZ109" i="179"/>
  <c r="DV109" i="179"/>
  <c r="CR109" i="179"/>
  <c r="CL109" i="179"/>
  <c r="CF109" i="179"/>
  <c r="BZ109" i="179"/>
  <c r="BT109" i="179"/>
  <c r="BN109" i="179"/>
  <c r="BH109" i="179"/>
  <c r="BB109" i="179"/>
  <c r="AV109" i="179"/>
  <c r="AP109" i="179"/>
  <c r="AJ109" i="179"/>
  <c r="AD109" i="179"/>
  <c r="X109" i="179"/>
  <c r="T109" i="179"/>
  <c r="I109" i="179"/>
  <c r="GD108" i="179"/>
  <c r="EZ108" i="179"/>
  <c r="DV108" i="179"/>
  <c r="CR108" i="179"/>
  <c r="CL108" i="179"/>
  <c r="CF108" i="179"/>
  <c r="BZ108" i="179"/>
  <c r="BT108" i="179"/>
  <c r="BN108" i="179"/>
  <c r="BH108" i="179"/>
  <c r="BB108" i="179"/>
  <c r="AV108" i="179"/>
  <c r="AP108" i="179"/>
  <c r="AJ108" i="179"/>
  <c r="AD108" i="179"/>
  <c r="X108" i="179"/>
  <c r="T108" i="179"/>
  <c r="I108" i="179"/>
  <c r="T107" i="179"/>
  <c r="I107" i="179"/>
  <c r="GD106" i="179"/>
  <c r="EZ106" i="179"/>
  <c r="DV106" i="179"/>
  <c r="CR106" i="179"/>
  <c r="CL106" i="179"/>
  <c r="CF106" i="179"/>
  <c r="BZ106" i="179"/>
  <c r="BT106" i="179"/>
  <c r="BN106" i="179"/>
  <c r="BH106" i="179"/>
  <c r="BB106" i="179"/>
  <c r="AV106" i="179"/>
  <c r="AP106" i="179"/>
  <c r="AJ106" i="179"/>
  <c r="AD106" i="179"/>
  <c r="X106" i="179"/>
  <c r="T106" i="179"/>
  <c r="I106" i="179"/>
  <c r="GD105" i="179"/>
  <c r="EZ105" i="179"/>
  <c r="DV105" i="179"/>
  <c r="CR105" i="179"/>
  <c r="CL105" i="179"/>
  <c r="CF105" i="179"/>
  <c r="BZ105" i="179"/>
  <c r="BT105" i="179"/>
  <c r="BN105" i="179"/>
  <c r="BH105" i="179"/>
  <c r="BB105" i="179"/>
  <c r="AV105" i="179"/>
  <c r="AP105" i="179"/>
  <c r="AJ105" i="179"/>
  <c r="AD105" i="179"/>
  <c r="X105" i="179"/>
  <c r="T105" i="179"/>
  <c r="I105" i="179"/>
  <c r="T104" i="179"/>
  <c r="I104" i="179"/>
  <c r="T103" i="179"/>
  <c r="I103" i="179"/>
  <c r="T102" i="179"/>
  <c r="I102" i="179"/>
  <c r="T101" i="179"/>
  <c r="I101" i="179"/>
  <c r="T100" i="179"/>
  <c r="I100" i="179"/>
  <c r="T99" i="179"/>
  <c r="I99" i="179"/>
  <c r="T98" i="179"/>
  <c r="I98" i="179"/>
  <c r="T97" i="179"/>
  <c r="I97" i="179"/>
  <c r="T96" i="179"/>
  <c r="I96" i="179"/>
  <c r="T95" i="179"/>
  <c r="I95" i="179"/>
  <c r="T94" i="179"/>
  <c r="I94" i="179"/>
  <c r="T93" i="179"/>
  <c r="I93" i="179"/>
  <c r="GD92" i="179"/>
  <c r="EZ92" i="179"/>
  <c r="DV92" i="179"/>
  <c r="CR92" i="179"/>
  <c r="CL92" i="179"/>
  <c r="CF92" i="179"/>
  <c r="BZ92" i="179"/>
  <c r="BT92" i="179"/>
  <c r="BN92" i="179"/>
  <c r="BH92" i="179"/>
  <c r="BB92" i="179"/>
  <c r="AV92" i="179"/>
  <c r="AP92" i="179"/>
  <c r="AJ92" i="179"/>
  <c r="AD92" i="179"/>
  <c r="X92" i="179"/>
  <c r="T92" i="179"/>
  <c r="I92" i="179"/>
  <c r="GD91" i="179"/>
  <c r="EZ91" i="179"/>
  <c r="DV91" i="179"/>
  <c r="CR91" i="179"/>
  <c r="CL91" i="179"/>
  <c r="CF91" i="179"/>
  <c r="BZ91" i="179"/>
  <c r="BT91" i="179"/>
  <c r="BN91" i="179"/>
  <c r="BH91" i="179"/>
  <c r="BB91" i="179"/>
  <c r="AV91" i="179"/>
  <c r="AP91" i="179"/>
  <c r="AJ91" i="179"/>
  <c r="AD91" i="179"/>
  <c r="X91" i="179"/>
  <c r="T91" i="179"/>
  <c r="I91" i="179"/>
  <c r="GG90" i="179"/>
  <c r="GF90" i="179"/>
  <c r="GE90" i="179"/>
  <c r="GD90" i="179"/>
  <c r="GC90" i="179"/>
  <c r="FC90" i="179"/>
  <c r="FB90" i="179"/>
  <c r="FA90" i="179"/>
  <c r="EZ90" i="179"/>
  <c r="EY90" i="179"/>
  <c r="DY90" i="179"/>
  <c r="DX90" i="179"/>
  <c r="DW90" i="179"/>
  <c r="DV90" i="179"/>
  <c r="DU90" i="179"/>
  <c r="CU90" i="179"/>
  <c r="CT90" i="179"/>
  <c r="CS90" i="179"/>
  <c r="CR90" i="179"/>
  <c r="CQ90" i="179"/>
  <c r="CO90" i="179"/>
  <c r="CN90" i="179"/>
  <c r="CM90" i="179"/>
  <c r="CL90" i="179"/>
  <c r="CK90" i="179"/>
  <c r="CI90" i="179"/>
  <c r="CH90" i="179"/>
  <c r="CG90" i="179"/>
  <c r="CF90" i="179"/>
  <c r="CE90" i="179"/>
  <c r="CC90" i="179"/>
  <c r="CB90" i="179"/>
  <c r="CA90" i="179"/>
  <c r="BZ90" i="179"/>
  <c r="BY90" i="179"/>
  <c r="BW90" i="179"/>
  <c r="BV90" i="179"/>
  <c r="BU90" i="179"/>
  <c r="BT90" i="179"/>
  <c r="BS90" i="179"/>
  <c r="BQ90" i="179"/>
  <c r="BP90" i="179"/>
  <c r="BO90" i="179"/>
  <c r="BN90" i="179"/>
  <c r="BM90" i="179"/>
  <c r="BK90" i="179"/>
  <c r="BJ90" i="179"/>
  <c r="BI90" i="179"/>
  <c r="BH90" i="179"/>
  <c r="BG90" i="179"/>
  <c r="BE90" i="179"/>
  <c r="BD90" i="179"/>
  <c r="BC90" i="179"/>
  <c r="BB90" i="179"/>
  <c r="BA90" i="179"/>
  <c r="AY90" i="179"/>
  <c r="AX90" i="179"/>
  <c r="AW90" i="179"/>
  <c r="AV90" i="179"/>
  <c r="AU90" i="179"/>
  <c r="AS90" i="179"/>
  <c r="AR90" i="179"/>
  <c r="AQ90" i="179"/>
  <c r="AP90" i="179"/>
  <c r="AO90" i="179"/>
  <c r="AM90" i="179"/>
  <c r="AL90" i="179"/>
  <c r="AK90" i="179"/>
  <c r="AJ90" i="179"/>
  <c r="AI90" i="179"/>
  <c r="AG90" i="179"/>
  <c r="AF90" i="179"/>
  <c r="AE90" i="179"/>
  <c r="AD90" i="179"/>
  <c r="AC90" i="179"/>
  <c r="AA90" i="179"/>
  <c r="Z90" i="179"/>
  <c r="Y90" i="179"/>
  <c r="X90" i="179"/>
  <c r="W90" i="179"/>
  <c r="T90" i="179"/>
  <c r="I90" i="179"/>
  <c r="T89" i="179"/>
  <c r="I89" i="179"/>
  <c r="T88" i="179"/>
  <c r="I88" i="179"/>
  <c r="T87" i="179"/>
  <c r="I87" i="179"/>
  <c r="T86" i="179"/>
  <c r="I86" i="179"/>
  <c r="T85" i="179"/>
  <c r="I85" i="179"/>
  <c r="T84" i="179"/>
  <c r="I84" i="179"/>
  <c r="GD83" i="179"/>
  <c r="EZ83" i="179"/>
  <c r="DV83" i="179"/>
  <c r="CR83" i="179"/>
  <c r="CL83" i="179"/>
  <c r="CF83" i="179"/>
  <c r="BZ83" i="179"/>
  <c r="BT83" i="179"/>
  <c r="BN83" i="179"/>
  <c r="BH83" i="179"/>
  <c r="BB83" i="179"/>
  <c r="AV83" i="179"/>
  <c r="AP83" i="179"/>
  <c r="AJ83" i="179"/>
  <c r="AD83" i="179"/>
  <c r="X83" i="179"/>
  <c r="T83" i="179"/>
  <c r="I83" i="179"/>
  <c r="GD82" i="179"/>
  <c r="EZ82" i="179"/>
  <c r="DV82" i="179"/>
  <c r="CR82" i="179"/>
  <c r="CL82" i="179"/>
  <c r="CF82" i="179"/>
  <c r="BZ82" i="179"/>
  <c r="BT82" i="179"/>
  <c r="BN82" i="179"/>
  <c r="BH82" i="179"/>
  <c r="BB82" i="179"/>
  <c r="AV82" i="179"/>
  <c r="AP82" i="179"/>
  <c r="AJ82" i="179"/>
  <c r="AD82" i="179"/>
  <c r="X82" i="179"/>
  <c r="T82" i="179"/>
  <c r="I82" i="179"/>
  <c r="GD81" i="179"/>
  <c r="EZ81" i="179"/>
  <c r="DV81" i="179"/>
  <c r="CR81" i="179"/>
  <c r="CL81" i="179"/>
  <c r="CF81" i="179"/>
  <c r="BZ81" i="179"/>
  <c r="BT81" i="179"/>
  <c r="BN81" i="179"/>
  <c r="BH81" i="179"/>
  <c r="BB81" i="179"/>
  <c r="AV81" i="179"/>
  <c r="AP81" i="179"/>
  <c r="AJ81" i="179"/>
  <c r="AD81" i="179"/>
  <c r="X81" i="179"/>
  <c r="T81" i="179"/>
  <c r="I81" i="179"/>
  <c r="GD80" i="179"/>
  <c r="EZ80" i="179"/>
  <c r="DV80" i="179"/>
  <c r="CR80" i="179"/>
  <c r="CL80" i="179"/>
  <c r="CF80" i="179"/>
  <c r="BZ80" i="179"/>
  <c r="BT80" i="179"/>
  <c r="BN80" i="179"/>
  <c r="BH80" i="179"/>
  <c r="BB80" i="179"/>
  <c r="AV80" i="179"/>
  <c r="AP80" i="179"/>
  <c r="AJ80" i="179"/>
  <c r="AD80" i="179"/>
  <c r="X80" i="179"/>
  <c r="T80" i="179"/>
  <c r="I80" i="179"/>
  <c r="T79" i="179"/>
  <c r="I79" i="179"/>
  <c r="T78" i="179"/>
  <c r="I78" i="179"/>
  <c r="T77" i="179"/>
  <c r="I77" i="179"/>
  <c r="T76" i="179"/>
  <c r="I76" i="179"/>
  <c r="T75" i="179"/>
  <c r="I75" i="179"/>
  <c r="T74" i="179"/>
  <c r="I74" i="179"/>
  <c r="T73" i="179"/>
  <c r="I73" i="179"/>
  <c r="T72" i="179"/>
  <c r="I72" i="179"/>
  <c r="GD71" i="179"/>
  <c r="EZ71" i="179"/>
  <c r="DV71" i="179"/>
  <c r="CR71" i="179"/>
  <c r="CL71" i="179"/>
  <c r="CF71" i="179"/>
  <c r="BZ71" i="179"/>
  <c r="BT71" i="179"/>
  <c r="BN71" i="179"/>
  <c r="BH71" i="179"/>
  <c r="BB71" i="179"/>
  <c r="AV71" i="179"/>
  <c r="AP71" i="179"/>
  <c r="AJ71" i="179"/>
  <c r="AD71" i="179"/>
  <c r="X71" i="179"/>
  <c r="T71" i="179"/>
  <c r="I71" i="179"/>
  <c r="T70" i="179"/>
  <c r="I70" i="179"/>
  <c r="T69" i="179"/>
  <c r="I69" i="179"/>
  <c r="T68" i="179"/>
  <c r="I68" i="179"/>
  <c r="T67" i="179"/>
  <c r="I67" i="179"/>
  <c r="T66" i="179"/>
  <c r="I66" i="179"/>
  <c r="T65" i="179"/>
  <c r="I65" i="179"/>
  <c r="T64" i="179"/>
  <c r="I64" i="179"/>
  <c r="T63" i="179"/>
  <c r="I63" i="179"/>
  <c r="T62" i="179"/>
  <c r="I62" i="179"/>
  <c r="T61" i="179"/>
  <c r="I61" i="179"/>
  <c r="T60" i="179"/>
  <c r="I60" i="179"/>
  <c r="T59" i="179"/>
  <c r="I59" i="179"/>
  <c r="T58" i="179"/>
  <c r="I58" i="179"/>
  <c r="T57" i="179"/>
  <c r="I57" i="179"/>
  <c r="T56" i="179"/>
  <c r="I56" i="179"/>
  <c r="T55" i="179"/>
  <c r="I55" i="179"/>
  <c r="T54" i="179"/>
  <c r="I54" i="179"/>
  <c r="T53" i="179"/>
  <c r="I53" i="179"/>
  <c r="T52" i="179"/>
  <c r="I52" i="179"/>
  <c r="T51" i="179"/>
  <c r="I51" i="179"/>
  <c r="T50" i="179"/>
  <c r="I50" i="179"/>
  <c r="T49" i="179"/>
  <c r="I49" i="179"/>
  <c r="T48" i="179"/>
  <c r="I48" i="179"/>
  <c r="T47" i="179"/>
  <c r="I47" i="179"/>
  <c r="T46" i="179"/>
  <c r="I46" i="179"/>
  <c r="T45" i="179"/>
  <c r="I45" i="179"/>
  <c r="GF44" i="179"/>
  <c r="GD44" i="179"/>
  <c r="FZ44" i="179"/>
  <c r="FX44" i="179"/>
  <c r="FB44" i="179"/>
  <c r="EZ44" i="179"/>
  <c r="EV44" i="179"/>
  <c r="ET44" i="179"/>
  <c r="DX44" i="179"/>
  <c r="DV44" i="179"/>
  <c r="DR44" i="179"/>
  <c r="DP44" i="179"/>
  <c r="CT44" i="179"/>
  <c r="CR44" i="179"/>
  <c r="CN44" i="179"/>
  <c r="CL44" i="179"/>
  <c r="CH44" i="179"/>
  <c r="CF44" i="179"/>
  <c r="CB44" i="179"/>
  <c r="BZ44" i="179"/>
  <c r="BV44" i="179"/>
  <c r="BT44" i="179"/>
  <c r="BP44" i="179"/>
  <c r="BN44" i="179"/>
  <c r="BJ44" i="179"/>
  <c r="BH44" i="179"/>
  <c r="BD44" i="179"/>
  <c r="BB44" i="179"/>
  <c r="AX44" i="179"/>
  <c r="AV44" i="179"/>
  <c r="AR44" i="179"/>
  <c r="AP44" i="179"/>
  <c r="AL44" i="179"/>
  <c r="AJ44" i="179"/>
  <c r="AF44" i="179"/>
  <c r="AD44" i="179"/>
  <c r="Z44" i="179"/>
  <c r="X44" i="179"/>
  <c r="T44" i="179"/>
  <c r="O44" i="179"/>
  <c r="I44" i="179"/>
  <c r="C14" i="179"/>
  <c r="C5" i="179"/>
  <c r="U183" i="180" l="1"/>
  <c r="U90" i="180"/>
  <c r="U184" i="179"/>
  <c r="U183" i="182"/>
  <c r="U202" i="182"/>
  <c r="U182" i="179"/>
  <c r="U202" i="180"/>
  <c r="U182" i="181"/>
  <c r="U183" i="181"/>
  <c r="U184" i="181"/>
  <c r="U184" i="182"/>
  <c r="U182" i="183"/>
  <c r="U202" i="183"/>
  <c r="R215" i="183"/>
  <c r="L212" i="183"/>
  <c r="M208" i="183"/>
  <c r="R204" i="183"/>
  <c r="R199" i="183"/>
  <c r="R196" i="183"/>
  <c r="R193" i="183"/>
  <c r="R190" i="183"/>
  <c r="R187" i="183"/>
  <c r="R181" i="183"/>
  <c r="P178" i="183"/>
  <c r="M175" i="183"/>
  <c r="R171" i="183"/>
  <c r="R168" i="183"/>
  <c r="Q165" i="183"/>
  <c r="L162" i="183"/>
  <c r="R158" i="183"/>
  <c r="L155" i="183"/>
  <c r="R151" i="183"/>
  <c r="R148" i="183"/>
  <c r="R145" i="183"/>
  <c r="P142" i="183"/>
  <c r="Q138" i="183"/>
  <c r="L135" i="183"/>
  <c r="L131" i="183"/>
  <c r="P127" i="183"/>
  <c r="R123" i="183"/>
  <c r="R120" i="183"/>
  <c r="Q117" i="183"/>
  <c r="P114" i="183"/>
  <c r="Q110" i="183"/>
  <c r="R106" i="183"/>
  <c r="P103" i="183"/>
  <c r="P100" i="183"/>
  <c r="P97" i="183"/>
  <c r="P94" i="183"/>
  <c r="R89" i="183"/>
  <c r="R86" i="183"/>
  <c r="R83" i="183"/>
  <c r="R79" i="183"/>
  <c r="R76" i="183"/>
  <c r="R73" i="183"/>
  <c r="Q70" i="183"/>
  <c r="Q67" i="183"/>
  <c r="Q64" i="183"/>
  <c r="Q61" i="183"/>
  <c r="Q58" i="183"/>
  <c r="Q55" i="183"/>
  <c r="Q52" i="183"/>
  <c r="Q49" i="183"/>
  <c r="Q46" i="183"/>
  <c r="M215" i="183"/>
  <c r="Q211" i="183"/>
  <c r="Q207" i="183"/>
  <c r="P204" i="183"/>
  <c r="P199" i="183"/>
  <c r="P196" i="183"/>
  <c r="P193" i="183"/>
  <c r="P190" i="183"/>
  <c r="P187" i="183"/>
  <c r="L181" i="183"/>
  <c r="R177" i="183"/>
  <c r="Q174" i="183"/>
  <c r="P171" i="183"/>
  <c r="P168" i="183"/>
  <c r="L165" i="183"/>
  <c r="Q161" i="183"/>
  <c r="M158" i="183"/>
  <c r="P154" i="183"/>
  <c r="P151" i="183"/>
  <c r="P148" i="183"/>
  <c r="P145" i="183"/>
  <c r="R141" i="183"/>
  <c r="M138" i="183"/>
  <c r="P134" i="183"/>
  <c r="P130" i="183"/>
  <c r="R126" i="183"/>
  <c r="P123" i="183"/>
  <c r="M120" i="183"/>
  <c r="M117" i="183"/>
  <c r="R113" i="183"/>
  <c r="R109" i="183"/>
  <c r="L106" i="183"/>
  <c r="R102" i="183"/>
  <c r="R99" i="183"/>
  <c r="R96" i="183"/>
  <c r="R93" i="183"/>
  <c r="P89" i="183"/>
  <c r="P86" i="183"/>
  <c r="L83" i="183"/>
  <c r="P79" i="183"/>
  <c r="P76" i="183"/>
  <c r="P73" i="183"/>
  <c r="L70" i="183"/>
  <c r="L67" i="183"/>
  <c r="M64" i="183"/>
  <c r="M61" i="183"/>
  <c r="L58" i="183"/>
  <c r="L55" i="183"/>
  <c r="M52" i="183"/>
  <c r="L49" i="183"/>
  <c r="L46" i="183"/>
  <c r="Q213" i="183"/>
  <c r="R209" i="183"/>
  <c r="M206" i="183"/>
  <c r="M201" i="183"/>
  <c r="M198" i="183"/>
  <c r="M195" i="183"/>
  <c r="M192" i="183"/>
  <c r="M189" i="183"/>
  <c r="M186" i="183"/>
  <c r="Q179" i="183"/>
  <c r="Q176" i="183"/>
  <c r="M173" i="183"/>
  <c r="L170" i="183"/>
  <c r="L167" i="183"/>
  <c r="Q163" i="183"/>
  <c r="P160" i="183"/>
  <c r="P156" i="183"/>
  <c r="M153" i="183"/>
  <c r="L150" i="183"/>
  <c r="L147" i="183"/>
  <c r="R143" i="183"/>
  <c r="L140" i="183"/>
  <c r="R136" i="183"/>
  <c r="R132" i="183"/>
  <c r="R128" i="183"/>
  <c r="P125" i="183"/>
  <c r="M122" i="183"/>
  <c r="R118" i="183"/>
  <c r="R115" i="183"/>
  <c r="L112" i="183"/>
  <c r="M108" i="183"/>
  <c r="Q104" i="183"/>
  <c r="Q101" i="183"/>
  <c r="Q98" i="183"/>
  <c r="Q95" i="183"/>
  <c r="Q92" i="183"/>
  <c r="M88" i="183"/>
  <c r="M85" i="183"/>
  <c r="Q81" i="183"/>
  <c r="M78" i="183"/>
  <c r="L75" i="183"/>
  <c r="L72" i="183"/>
  <c r="R68" i="183"/>
  <c r="R65" i="183"/>
  <c r="R62" i="183"/>
  <c r="R59" i="183"/>
  <c r="R56" i="183"/>
  <c r="R53" i="183"/>
  <c r="R50" i="183"/>
  <c r="R47" i="183"/>
  <c r="M44" i="183"/>
  <c r="P213" i="183"/>
  <c r="Q209" i="183"/>
  <c r="R205" i="183"/>
  <c r="R200" i="183"/>
  <c r="R197" i="183"/>
  <c r="R194" i="183"/>
  <c r="R191" i="183"/>
  <c r="R188" i="183"/>
  <c r="R185" i="183"/>
  <c r="P179" i="183"/>
  <c r="P176" i="183"/>
  <c r="R172" i="183"/>
  <c r="R169" i="183"/>
  <c r="R166" i="183"/>
  <c r="P163" i="183"/>
  <c r="L160" i="183"/>
  <c r="M156" i="183"/>
  <c r="R152" i="183"/>
  <c r="R149" i="183"/>
  <c r="R146" i="183"/>
  <c r="Q143" i="183"/>
  <c r="R139" i="183"/>
  <c r="P136" i="183"/>
  <c r="P132" i="183"/>
  <c r="Q128" i="183"/>
  <c r="M125" i="183"/>
  <c r="R121" i="183"/>
  <c r="Q118" i="183"/>
  <c r="P115" i="183"/>
  <c r="R111" i="183"/>
  <c r="R107" i="183"/>
  <c r="P104" i="183"/>
  <c r="P101" i="183"/>
  <c r="P98" i="183"/>
  <c r="P95" i="183"/>
  <c r="L92" i="183"/>
  <c r="R87" i="183"/>
  <c r="R84" i="183"/>
  <c r="L81" i="183"/>
  <c r="R77" i="183"/>
  <c r="R74" i="183"/>
  <c r="R71" i="183"/>
  <c r="Q68" i="183"/>
  <c r="Q65" i="183"/>
  <c r="Q62" i="183"/>
  <c r="Q59" i="183"/>
  <c r="Q56" i="183"/>
  <c r="Q53" i="183"/>
  <c r="Q50" i="183"/>
  <c r="Q47" i="183"/>
  <c r="R212" i="183"/>
  <c r="R208" i="183"/>
  <c r="P205" i="183"/>
  <c r="P200" i="183"/>
  <c r="P197" i="183"/>
  <c r="P194" i="183"/>
  <c r="P191" i="183"/>
  <c r="P188" i="183"/>
  <c r="P185" i="183"/>
  <c r="R178" i="183"/>
  <c r="R175" i="183"/>
  <c r="P172" i="183"/>
  <c r="P169" i="183"/>
  <c r="L166" i="183"/>
  <c r="R162" i="183"/>
  <c r="P159" i="183"/>
  <c r="Q155" i="183"/>
  <c r="P152" i="183"/>
  <c r="P149" i="183"/>
  <c r="P146" i="183"/>
  <c r="L143" i="183"/>
  <c r="L139" i="183"/>
  <c r="R135" i="183"/>
  <c r="R131" i="183"/>
  <c r="M128" i="183"/>
  <c r="P124" i="183"/>
  <c r="P121" i="183"/>
  <c r="M118" i="183"/>
  <c r="R114" i="183"/>
  <c r="M111" i="183"/>
  <c r="P107" i="183"/>
  <c r="R103" i="183"/>
  <c r="R100" i="183"/>
  <c r="R97" i="183"/>
  <c r="R94" i="183"/>
  <c r="Q91" i="183"/>
  <c r="P87" i="183"/>
  <c r="P84" i="183"/>
  <c r="Q80" i="183"/>
  <c r="P77" i="183"/>
  <c r="P74" i="183"/>
  <c r="L71" i="183"/>
  <c r="M68" i="183"/>
  <c r="M65" i="183"/>
  <c r="L62" i="183"/>
  <c r="L59" i="183"/>
  <c r="L56" i="183"/>
  <c r="L53" i="183"/>
  <c r="L50" i="183"/>
  <c r="L47" i="183"/>
  <c r="Q212" i="183"/>
  <c r="Q208" i="183"/>
  <c r="M205" i="183"/>
  <c r="M200" i="183"/>
  <c r="M197" i="183"/>
  <c r="M194" i="183"/>
  <c r="M191" i="183"/>
  <c r="M188" i="183"/>
  <c r="M185" i="183"/>
  <c r="Q178" i="183"/>
  <c r="Q175" i="183"/>
  <c r="L172" i="183"/>
  <c r="L169" i="183"/>
  <c r="R165" i="183"/>
  <c r="Q162" i="183"/>
  <c r="M159" i="183"/>
  <c r="P155" i="183"/>
  <c r="M152" i="183"/>
  <c r="M149" i="183"/>
  <c r="L146" i="183"/>
  <c r="R142" i="183"/>
  <c r="R138" i="183"/>
  <c r="P135" i="183"/>
  <c r="P131" i="183"/>
  <c r="R127" i="183"/>
  <c r="L124" i="183"/>
  <c r="M121" i="183"/>
  <c r="R117" i="183"/>
  <c r="Q114" i="183"/>
  <c r="R110" i="183"/>
  <c r="L107" i="183"/>
  <c r="Q103" i="183"/>
  <c r="Q100" i="183"/>
  <c r="Q97" i="183"/>
  <c r="Q94" i="183"/>
  <c r="L91" i="183"/>
  <c r="M87" i="183"/>
  <c r="L84" i="183"/>
  <c r="M80" i="183"/>
  <c r="M77" i="183"/>
  <c r="M74" i="183"/>
  <c r="R70" i="183"/>
  <c r="R67" i="183"/>
  <c r="R64" i="183"/>
  <c r="R61" i="183"/>
  <c r="R58" i="183"/>
  <c r="R55" i="183"/>
  <c r="R52" i="183"/>
  <c r="R49" i="183"/>
  <c r="R46" i="183"/>
  <c r="Q215" i="183"/>
  <c r="R207" i="183"/>
  <c r="Q199" i="183"/>
  <c r="Q193" i="183"/>
  <c r="Q187" i="183"/>
  <c r="M178" i="183"/>
  <c r="Q171" i="183"/>
  <c r="P165" i="183"/>
  <c r="P158" i="183"/>
  <c r="Q151" i="183"/>
  <c r="Q145" i="183"/>
  <c r="P138" i="183"/>
  <c r="R130" i="183"/>
  <c r="Q123" i="183"/>
  <c r="P117" i="183"/>
  <c r="L110" i="183"/>
  <c r="M103" i="183"/>
  <c r="L97" i="183"/>
  <c r="Q89" i="183"/>
  <c r="Q83" i="183"/>
  <c r="Q76" i="183"/>
  <c r="P70" i="183"/>
  <c r="P64" i="183"/>
  <c r="P58" i="183"/>
  <c r="P52" i="183"/>
  <c r="P46" i="183"/>
  <c r="R214" i="183"/>
  <c r="M207" i="183"/>
  <c r="M199" i="183"/>
  <c r="M193" i="183"/>
  <c r="M187" i="183"/>
  <c r="Q177" i="183"/>
  <c r="L171" i="183"/>
  <c r="R164" i="183"/>
  <c r="R157" i="183"/>
  <c r="L151" i="183"/>
  <c r="L145" i="183"/>
  <c r="R137" i="183"/>
  <c r="L130" i="183"/>
  <c r="M123" i="183"/>
  <c r="R116" i="183"/>
  <c r="Q109" i="183"/>
  <c r="Q102" i="183"/>
  <c r="Q96" i="183"/>
  <c r="M89" i="183"/>
  <c r="R82" i="183"/>
  <c r="L76" i="183"/>
  <c r="R69" i="183"/>
  <c r="R63" i="183"/>
  <c r="R57" i="183"/>
  <c r="R51" i="183"/>
  <c r="R45" i="183"/>
  <c r="Q214" i="183"/>
  <c r="R206" i="183"/>
  <c r="R198" i="183"/>
  <c r="R192" i="183"/>
  <c r="R186" i="183"/>
  <c r="P177" i="183"/>
  <c r="R170" i="183"/>
  <c r="Q164" i="183"/>
  <c r="P157" i="183"/>
  <c r="R150" i="183"/>
  <c r="R144" i="183"/>
  <c r="Q137" i="183"/>
  <c r="R129" i="183"/>
  <c r="R122" i="183"/>
  <c r="Q116" i="183"/>
  <c r="M109" i="183"/>
  <c r="P102" i="183"/>
  <c r="P96" i="183"/>
  <c r="R88" i="183"/>
  <c r="Q82" i="183"/>
  <c r="R75" i="183"/>
  <c r="Q69" i="183"/>
  <c r="Q63" i="183"/>
  <c r="Q57" i="183"/>
  <c r="Q51" i="183"/>
  <c r="Q45" i="183"/>
  <c r="L213" i="183"/>
  <c r="R210" i="183"/>
  <c r="R201" i="183"/>
  <c r="R195" i="183"/>
  <c r="R189" i="183"/>
  <c r="Q180" i="183"/>
  <c r="R173" i="183"/>
  <c r="R167" i="183"/>
  <c r="L161" i="183"/>
  <c r="R153" i="183"/>
  <c r="R147" i="183"/>
  <c r="L141" i="183"/>
  <c r="R133" i="183"/>
  <c r="P126" i="183"/>
  <c r="Q119" i="183"/>
  <c r="L113" i="183"/>
  <c r="Q105" i="183"/>
  <c r="P99" i="183"/>
  <c r="P93" i="183"/>
  <c r="R85" i="183"/>
  <c r="R78" i="183"/>
  <c r="R72" i="183"/>
  <c r="Q66" i="183"/>
  <c r="Q60" i="183"/>
  <c r="Q54" i="183"/>
  <c r="Q48" i="183"/>
  <c r="Q210" i="183"/>
  <c r="Q201" i="183"/>
  <c r="Q195" i="183"/>
  <c r="Q189" i="183"/>
  <c r="L180" i="183"/>
  <c r="Q173" i="183"/>
  <c r="Q167" i="183"/>
  <c r="R160" i="183"/>
  <c r="Q153" i="183"/>
  <c r="Q147" i="183"/>
  <c r="R140" i="183"/>
  <c r="P133" i="183"/>
  <c r="M126" i="183"/>
  <c r="P119" i="183"/>
  <c r="R112" i="183"/>
  <c r="L105" i="183"/>
  <c r="M99" i="183"/>
  <c r="M93" i="183"/>
  <c r="Q85" i="183"/>
  <c r="Q78" i="183"/>
  <c r="Q72" i="183"/>
  <c r="P66" i="183"/>
  <c r="P60" i="183"/>
  <c r="P54" i="183"/>
  <c r="P48" i="183"/>
  <c r="M210" i="183"/>
  <c r="P201" i="183"/>
  <c r="P195" i="183"/>
  <c r="P189" i="183"/>
  <c r="R179" i="183"/>
  <c r="P173" i="183"/>
  <c r="P167" i="183"/>
  <c r="Q160" i="183"/>
  <c r="P153" i="183"/>
  <c r="P147" i="183"/>
  <c r="P140" i="183"/>
  <c r="L133" i="183"/>
  <c r="R125" i="183"/>
  <c r="M119" i="183"/>
  <c r="Q112" i="183"/>
  <c r="R104" i="183"/>
  <c r="R98" i="183"/>
  <c r="R92" i="183"/>
  <c r="P85" i="183"/>
  <c r="P78" i="183"/>
  <c r="P72" i="183"/>
  <c r="M66" i="183"/>
  <c r="L60" i="183"/>
  <c r="L54" i="183"/>
  <c r="L48" i="183"/>
  <c r="L214" i="183"/>
  <c r="P198" i="183"/>
  <c r="P186" i="183"/>
  <c r="P170" i="183"/>
  <c r="R156" i="183"/>
  <c r="L144" i="183"/>
  <c r="M129" i="183"/>
  <c r="L116" i="183"/>
  <c r="R101" i="183"/>
  <c r="P88" i="183"/>
  <c r="P75" i="183"/>
  <c r="L63" i="183"/>
  <c r="L51" i="183"/>
  <c r="R213" i="183"/>
  <c r="Q197" i="183"/>
  <c r="Q185" i="183"/>
  <c r="Q169" i="183"/>
  <c r="R155" i="183"/>
  <c r="P143" i="183"/>
  <c r="P128" i="183"/>
  <c r="L115" i="183"/>
  <c r="L101" i="183"/>
  <c r="Q87" i="183"/>
  <c r="Q74" i="183"/>
  <c r="P62" i="183"/>
  <c r="P50" i="183"/>
  <c r="R211" i="183"/>
  <c r="Q196" i="183"/>
  <c r="Q181" i="183"/>
  <c r="Q168" i="183"/>
  <c r="R154" i="183"/>
  <c r="M142" i="183"/>
  <c r="L127" i="183"/>
  <c r="L114" i="183"/>
  <c r="L100" i="183"/>
  <c r="Q86" i="183"/>
  <c r="Q73" i="183"/>
  <c r="P61" i="183"/>
  <c r="P49" i="183"/>
  <c r="Q204" i="183"/>
  <c r="Q190" i="183"/>
  <c r="R174" i="183"/>
  <c r="R161" i="183"/>
  <c r="Q148" i="183"/>
  <c r="R134" i="183"/>
  <c r="P120" i="183"/>
  <c r="Q106" i="183"/>
  <c r="M94" i="183"/>
  <c r="Q79" i="183"/>
  <c r="P67" i="183"/>
  <c r="P55" i="183"/>
  <c r="M204" i="183"/>
  <c r="M190" i="183"/>
  <c r="L174" i="183"/>
  <c r="P161" i="183"/>
  <c r="L148" i="183"/>
  <c r="L134" i="183"/>
  <c r="R119" i="183"/>
  <c r="R105" i="183"/>
  <c r="Q93" i="183"/>
  <c r="M79" i="183"/>
  <c r="R66" i="183"/>
  <c r="R54" i="183"/>
  <c r="Q200" i="183"/>
  <c r="Q188" i="183"/>
  <c r="Q172" i="183"/>
  <c r="R159" i="183"/>
  <c r="Q146" i="183"/>
  <c r="L132" i="183"/>
  <c r="P118" i="183"/>
  <c r="M104" i="183"/>
  <c r="R91" i="183"/>
  <c r="Q77" i="183"/>
  <c r="P65" i="183"/>
  <c r="P53" i="183"/>
  <c r="L211" i="183"/>
  <c r="R180" i="183"/>
  <c r="L154" i="183"/>
  <c r="Q126" i="183"/>
  <c r="Q99" i="183"/>
  <c r="M73" i="183"/>
  <c r="R48" i="183"/>
  <c r="M209" i="183"/>
  <c r="M179" i="183"/>
  <c r="Q152" i="183"/>
  <c r="R124" i="183"/>
  <c r="L98" i="183"/>
  <c r="Q71" i="183"/>
  <c r="P47" i="183"/>
  <c r="Q206" i="183"/>
  <c r="M177" i="183"/>
  <c r="Q150" i="183"/>
  <c r="Q122" i="183"/>
  <c r="L96" i="183"/>
  <c r="P69" i="183"/>
  <c r="P45" i="183"/>
  <c r="P206" i="183"/>
  <c r="R176" i="183"/>
  <c r="P150" i="183"/>
  <c r="P122" i="183"/>
  <c r="R95" i="183"/>
  <c r="M69" i="183"/>
  <c r="L45" i="183"/>
  <c r="Q192" i="183"/>
  <c r="L164" i="183"/>
  <c r="P137" i="183"/>
  <c r="R108" i="183"/>
  <c r="M82" i="183"/>
  <c r="P57" i="183"/>
  <c r="P192" i="183"/>
  <c r="R163" i="183"/>
  <c r="M137" i="183"/>
  <c r="Q108" i="183"/>
  <c r="R81" i="183"/>
  <c r="L57" i="183"/>
  <c r="Q191" i="183"/>
  <c r="L163" i="183"/>
  <c r="M136" i="183"/>
  <c r="Q107" i="183"/>
  <c r="R80" i="183"/>
  <c r="P56" i="183"/>
  <c r="Q205" i="183"/>
  <c r="P141" i="183"/>
  <c r="Q75" i="183"/>
  <c r="Q198" i="183"/>
  <c r="P139" i="183"/>
  <c r="P68" i="183"/>
  <c r="M196" i="183"/>
  <c r="P129" i="183"/>
  <c r="P63" i="183"/>
  <c r="Q186" i="183"/>
  <c r="P116" i="183"/>
  <c r="P59" i="183"/>
  <c r="Q166" i="183"/>
  <c r="M95" i="183"/>
  <c r="M157" i="183"/>
  <c r="Q88" i="183"/>
  <c r="Q149" i="183"/>
  <c r="M86" i="183"/>
  <c r="Q194" i="183"/>
  <c r="M176" i="183"/>
  <c r="Q170" i="183"/>
  <c r="L102" i="183"/>
  <c r="Q84" i="183"/>
  <c r="R60" i="183"/>
  <c r="L168" i="183"/>
  <c r="P144" i="183"/>
  <c r="Q121" i="183"/>
  <c r="Q111" i="183"/>
  <c r="Q113" i="183"/>
  <c r="P51" i="183"/>
  <c r="U184" i="183"/>
  <c r="U183" i="183"/>
  <c r="U203" i="183"/>
  <c r="R215" i="182"/>
  <c r="L212" i="182"/>
  <c r="M208" i="182"/>
  <c r="R204" i="182"/>
  <c r="R199" i="182"/>
  <c r="R196" i="182"/>
  <c r="R193" i="182"/>
  <c r="R190" i="182"/>
  <c r="R187" i="182"/>
  <c r="R181" i="182"/>
  <c r="P178" i="182"/>
  <c r="M175" i="182"/>
  <c r="R171" i="182"/>
  <c r="R168" i="182"/>
  <c r="Q165" i="182"/>
  <c r="L162" i="182"/>
  <c r="R158" i="182"/>
  <c r="L155" i="182"/>
  <c r="R151" i="182"/>
  <c r="R148" i="182"/>
  <c r="R145" i="182"/>
  <c r="P142" i="182"/>
  <c r="Q138" i="182"/>
  <c r="L135" i="182"/>
  <c r="L131" i="182"/>
  <c r="P127" i="182"/>
  <c r="R123" i="182"/>
  <c r="R120" i="182"/>
  <c r="Q117" i="182"/>
  <c r="P114" i="182"/>
  <c r="Q110" i="182"/>
  <c r="R106" i="182"/>
  <c r="P103" i="182"/>
  <c r="P100" i="182"/>
  <c r="P97" i="182"/>
  <c r="P94" i="182"/>
  <c r="R89" i="182"/>
  <c r="R86" i="182"/>
  <c r="R83" i="182"/>
  <c r="R79" i="182"/>
  <c r="R76" i="182"/>
  <c r="R73" i="182"/>
  <c r="Q70" i="182"/>
  <c r="Q67" i="182"/>
  <c r="Q64" i="182"/>
  <c r="Q61" i="182"/>
  <c r="Q58" i="182"/>
  <c r="Q55" i="182"/>
  <c r="Q52" i="182"/>
  <c r="Q49" i="182"/>
  <c r="Q46" i="182"/>
  <c r="Q215" i="182"/>
  <c r="R211" i="182"/>
  <c r="R207" i="182"/>
  <c r="Q204" i="182"/>
  <c r="Q199" i="182"/>
  <c r="Q196" i="182"/>
  <c r="Q193" i="182"/>
  <c r="Q190" i="182"/>
  <c r="Q187" i="182"/>
  <c r="Q181" i="182"/>
  <c r="M178" i="182"/>
  <c r="R174" i="182"/>
  <c r="Q171" i="182"/>
  <c r="Q168" i="182"/>
  <c r="P165" i="182"/>
  <c r="R161" i="182"/>
  <c r="P158" i="182"/>
  <c r="R154" i="182"/>
  <c r="Q151" i="182"/>
  <c r="Q148" i="182"/>
  <c r="Q145" i="182"/>
  <c r="M142" i="182"/>
  <c r="P138" i="182"/>
  <c r="R134" i="182"/>
  <c r="R130" i="182"/>
  <c r="L127" i="182"/>
  <c r="Q123" i="182"/>
  <c r="P120" i="182"/>
  <c r="P117" i="182"/>
  <c r="L114" i="182"/>
  <c r="L110" i="182"/>
  <c r="Q106" i="182"/>
  <c r="M103" i="182"/>
  <c r="L100" i="182"/>
  <c r="L97" i="182"/>
  <c r="M94" i="182"/>
  <c r="Q89" i="182"/>
  <c r="Q86" i="182"/>
  <c r="Q83" i="182"/>
  <c r="Q79" i="182"/>
  <c r="Q76" i="182"/>
  <c r="Q73" i="182"/>
  <c r="P70" i="182"/>
  <c r="P67" i="182"/>
  <c r="P64" i="182"/>
  <c r="P61" i="182"/>
  <c r="P58" i="182"/>
  <c r="P55" i="182"/>
  <c r="P52" i="182"/>
  <c r="P49" i="182"/>
  <c r="P46" i="182"/>
  <c r="M215" i="182"/>
  <c r="Q211" i="182"/>
  <c r="Q207" i="182"/>
  <c r="R214" i="182"/>
  <c r="L211" i="182"/>
  <c r="M207" i="182"/>
  <c r="M204" i="182"/>
  <c r="M199" i="182"/>
  <c r="M196" i="182"/>
  <c r="M193" i="182"/>
  <c r="M190" i="182"/>
  <c r="M187" i="182"/>
  <c r="R180" i="182"/>
  <c r="Q177" i="182"/>
  <c r="L174" i="182"/>
  <c r="L171" i="182"/>
  <c r="L168" i="182"/>
  <c r="R164" i="182"/>
  <c r="P161" i="182"/>
  <c r="R157" i="182"/>
  <c r="L154" i="182"/>
  <c r="L151" i="182"/>
  <c r="L148" i="182"/>
  <c r="L145" i="182"/>
  <c r="P141" i="182"/>
  <c r="R137" i="182"/>
  <c r="L134" i="182"/>
  <c r="L130" i="182"/>
  <c r="Q126" i="182"/>
  <c r="M123" i="182"/>
  <c r="R119" i="182"/>
  <c r="R116" i="182"/>
  <c r="Q113" i="182"/>
  <c r="Q109" i="182"/>
  <c r="R105" i="182"/>
  <c r="Q102" i="182"/>
  <c r="Q99" i="182"/>
  <c r="Q96" i="182"/>
  <c r="Q93" i="182"/>
  <c r="M89" i="182"/>
  <c r="M86" i="182"/>
  <c r="R82" i="182"/>
  <c r="M79" i="182"/>
  <c r="L76" i="182"/>
  <c r="M73" i="182"/>
  <c r="R69" i="182"/>
  <c r="R66" i="182"/>
  <c r="R63" i="182"/>
  <c r="R60" i="182"/>
  <c r="R57" i="182"/>
  <c r="R54" i="182"/>
  <c r="R51" i="182"/>
  <c r="R48" i="182"/>
  <c r="R45" i="182"/>
  <c r="Q214" i="182"/>
  <c r="R210" i="182"/>
  <c r="R206" i="182"/>
  <c r="R201" i="182"/>
  <c r="R198" i="182"/>
  <c r="R195" i="182"/>
  <c r="R192" i="182"/>
  <c r="R189" i="182"/>
  <c r="R186" i="182"/>
  <c r="Q180" i="182"/>
  <c r="P177" i="182"/>
  <c r="R173" i="182"/>
  <c r="R170" i="182"/>
  <c r="R167" i="182"/>
  <c r="Q164" i="182"/>
  <c r="L161" i="182"/>
  <c r="P157" i="182"/>
  <c r="R153" i="182"/>
  <c r="R150" i="182"/>
  <c r="R147" i="182"/>
  <c r="R144" i="182"/>
  <c r="L141" i="182"/>
  <c r="Q137" i="182"/>
  <c r="R133" i="182"/>
  <c r="R129" i="182"/>
  <c r="P126" i="182"/>
  <c r="R122" i="182"/>
  <c r="Q119" i="182"/>
  <c r="Q116" i="182"/>
  <c r="L113" i="182"/>
  <c r="M109" i="182"/>
  <c r="Q105" i="182"/>
  <c r="P102" i="182"/>
  <c r="P99" i="182"/>
  <c r="P96" i="182"/>
  <c r="P93" i="182"/>
  <c r="R88" i="182"/>
  <c r="R85" i="182"/>
  <c r="Q82" i="182"/>
  <c r="R78" i="182"/>
  <c r="R75" i="182"/>
  <c r="R72" i="182"/>
  <c r="Q69" i="182"/>
  <c r="Q66" i="182"/>
  <c r="Q63" i="182"/>
  <c r="Q60" i="182"/>
  <c r="Q57" i="182"/>
  <c r="Q54" i="182"/>
  <c r="Q51" i="182"/>
  <c r="Q48" i="182"/>
  <c r="Q45" i="182"/>
  <c r="L214" i="182"/>
  <c r="Q210" i="182"/>
  <c r="R213" i="182"/>
  <c r="P213" i="182"/>
  <c r="Q209" i="182"/>
  <c r="R205" i="182"/>
  <c r="R200" i="182"/>
  <c r="R197" i="182"/>
  <c r="R194" i="182"/>
  <c r="R191" i="182"/>
  <c r="R188" i="182"/>
  <c r="R185" i="182"/>
  <c r="P179" i="182"/>
  <c r="P176" i="182"/>
  <c r="R172" i="182"/>
  <c r="R169" i="182"/>
  <c r="R166" i="182"/>
  <c r="P163" i="182"/>
  <c r="L160" i="182"/>
  <c r="M156" i="182"/>
  <c r="R152" i="182"/>
  <c r="R149" i="182"/>
  <c r="R146" i="182"/>
  <c r="Q143" i="182"/>
  <c r="R139" i="182"/>
  <c r="P136" i="182"/>
  <c r="P132" i="182"/>
  <c r="Q128" i="182"/>
  <c r="M125" i="182"/>
  <c r="R121" i="182"/>
  <c r="Q118" i="182"/>
  <c r="P115" i="182"/>
  <c r="R111" i="182"/>
  <c r="R107" i="182"/>
  <c r="P104" i="182"/>
  <c r="P101" i="182"/>
  <c r="P98" i="182"/>
  <c r="P95" i="182"/>
  <c r="L92" i="182"/>
  <c r="R87" i="182"/>
  <c r="R84" i="182"/>
  <c r="L81" i="182"/>
  <c r="R77" i="182"/>
  <c r="R74" i="182"/>
  <c r="R71" i="182"/>
  <c r="Q68" i="182"/>
  <c r="Q65" i="182"/>
  <c r="Q62" i="182"/>
  <c r="Q59" i="182"/>
  <c r="Q56" i="182"/>
  <c r="Q53" i="182"/>
  <c r="Q50" i="182"/>
  <c r="Q47" i="182"/>
  <c r="L213" i="182"/>
  <c r="M209" i="182"/>
  <c r="Q205" i="182"/>
  <c r="Q200" i="182"/>
  <c r="Q197" i="182"/>
  <c r="Q194" i="182"/>
  <c r="Q191" i="182"/>
  <c r="Q188" i="182"/>
  <c r="Q185" i="182"/>
  <c r="M179" i="182"/>
  <c r="M176" i="182"/>
  <c r="Q172" i="182"/>
  <c r="Q169" i="182"/>
  <c r="Q166" i="182"/>
  <c r="L163" i="182"/>
  <c r="R159" i="182"/>
  <c r="R155" i="182"/>
  <c r="Q152" i="182"/>
  <c r="Q149" i="182"/>
  <c r="Q146" i="182"/>
  <c r="P143" i="182"/>
  <c r="P139" i="182"/>
  <c r="M136" i="182"/>
  <c r="L132" i="182"/>
  <c r="P128" i="182"/>
  <c r="R124" i="182"/>
  <c r="Q121" i="182"/>
  <c r="P118" i="182"/>
  <c r="L115" i="182"/>
  <c r="Q111" i="182"/>
  <c r="Q107" i="182"/>
  <c r="M104" i="182"/>
  <c r="L101" i="182"/>
  <c r="L98" i="182"/>
  <c r="M95" i="182"/>
  <c r="R91" i="182"/>
  <c r="Q87" i="182"/>
  <c r="Q84" i="182"/>
  <c r="R80" i="182"/>
  <c r="Q77" i="182"/>
  <c r="Q74" i="182"/>
  <c r="Q71" i="182"/>
  <c r="P68" i="182"/>
  <c r="P65" i="182"/>
  <c r="P62" i="182"/>
  <c r="P59" i="182"/>
  <c r="P56" i="182"/>
  <c r="P53" i="182"/>
  <c r="P50" i="182"/>
  <c r="P47" i="182"/>
  <c r="R212" i="182"/>
  <c r="R208" i="182"/>
  <c r="P205" i="182"/>
  <c r="P200" i="182"/>
  <c r="P197" i="182"/>
  <c r="P194" i="182"/>
  <c r="P191" i="182"/>
  <c r="P188" i="182"/>
  <c r="P185" i="182"/>
  <c r="R178" i="182"/>
  <c r="R175" i="182"/>
  <c r="P172" i="182"/>
  <c r="P169" i="182"/>
  <c r="L166" i="182"/>
  <c r="R162" i="182"/>
  <c r="P159" i="182"/>
  <c r="Q155" i="182"/>
  <c r="P152" i="182"/>
  <c r="P149" i="182"/>
  <c r="P146" i="182"/>
  <c r="L143" i="182"/>
  <c r="L139" i="182"/>
  <c r="R135" i="182"/>
  <c r="R131" i="182"/>
  <c r="M128" i="182"/>
  <c r="P124" i="182"/>
  <c r="P121" i="182"/>
  <c r="M118" i="182"/>
  <c r="R114" i="182"/>
  <c r="M111" i="182"/>
  <c r="P107" i="182"/>
  <c r="R103" i="182"/>
  <c r="R100" i="182"/>
  <c r="R97" i="182"/>
  <c r="R94" i="182"/>
  <c r="Q91" i="182"/>
  <c r="P87" i="182"/>
  <c r="P84" i="182"/>
  <c r="Q80" i="182"/>
  <c r="P77" i="182"/>
  <c r="P74" i="182"/>
  <c r="L71" i="182"/>
  <c r="M68" i="182"/>
  <c r="M65" i="182"/>
  <c r="L62" i="182"/>
  <c r="L59" i="182"/>
  <c r="L56" i="182"/>
  <c r="L53" i="182"/>
  <c r="L50" i="182"/>
  <c r="L47" i="182"/>
  <c r="Q213" i="182"/>
  <c r="M201" i="182"/>
  <c r="P193" i="182"/>
  <c r="P186" i="182"/>
  <c r="Q175" i="182"/>
  <c r="Q167" i="182"/>
  <c r="P160" i="182"/>
  <c r="P151" i="182"/>
  <c r="L144" i="182"/>
  <c r="P135" i="182"/>
  <c r="M126" i="182"/>
  <c r="R118" i="182"/>
  <c r="R109" i="182"/>
  <c r="R101" i="182"/>
  <c r="Q94" i="182"/>
  <c r="Q85" i="182"/>
  <c r="M78" i="182"/>
  <c r="L70" i="182"/>
  <c r="L63" i="182"/>
  <c r="R55" i="182"/>
  <c r="P48" i="182"/>
  <c r="Q212" i="182"/>
  <c r="M200" i="182"/>
  <c r="Q192" i="182"/>
  <c r="M186" i="182"/>
  <c r="Q174" i="182"/>
  <c r="P167" i="182"/>
  <c r="M159" i="182"/>
  <c r="Q150" i="182"/>
  <c r="R143" i="182"/>
  <c r="P134" i="182"/>
  <c r="R125" i="182"/>
  <c r="R117" i="182"/>
  <c r="R108" i="182"/>
  <c r="Q101" i="182"/>
  <c r="R93" i="182"/>
  <c r="P85" i="182"/>
  <c r="M77" i="182"/>
  <c r="P69" i="182"/>
  <c r="R62" i="182"/>
  <c r="L55" i="182"/>
  <c r="L48" i="182"/>
  <c r="M210" i="182"/>
  <c r="P199" i="182"/>
  <c r="P192" i="182"/>
  <c r="M185" i="182"/>
  <c r="Q173" i="182"/>
  <c r="L167" i="182"/>
  <c r="M158" i="182"/>
  <c r="P150" i="182"/>
  <c r="R142" i="182"/>
  <c r="P133" i="182"/>
  <c r="P125" i="182"/>
  <c r="M117" i="182"/>
  <c r="Q108" i="182"/>
  <c r="Q100" i="182"/>
  <c r="M93" i="182"/>
  <c r="M85" i="182"/>
  <c r="P76" i="182"/>
  <c r="M69" i="182"/>
  <c r="R61" i="182"/>
  <c r="P54" i="182"/>
  <c r="R47" i="182"/>
  <c r="R209" i="182"/>
  <c r="Q198" i="182"/>
  <c r="M192" i="182"/>
  <c r="L181" i="182"/>
  <c r="P173" i="182"/>
  <c r="R165" i="182"/>
  <c r="M157" i="182"/>
  <c r="L150" i="182"/>
  <c r="R141" i="182"/>
  <c r="L133" i="182"/>
  <c r="L124" i="182"/>
  <c r="P116" i="182"/>
  <c r="M108" i="182"/>
  <c r="R99" i="182"/>
  <c r="R92" i="182"/>
  <c r="L84" i="182"/>
  <c r="Q75" i="182"/>
  <c r="R68" i="182"/>
  <c r="Q208" i="182"/>
  <c r="P198" i="182"/>
  <c r="M191" i="182"/>
  <c r="L180" i="182"/>
  <c r="M173" i="182"/>
  <c r="L165" i="182"/>
  <c r="R156" i="182"/>
  <c r="M205" i="182"/>
  <c r="Q195" i="182"/>
  <c r="M189" i="182"/>
  <c r="R177" i="182"/>
  <c r="P170" i="182"/>
  <c r="Q162" i="182"/>
  <c r="Q153" i="182"/>
  <c r="L147" i="182"/>
  <c r="M138" i="182"/>
  <c r="M129" i="182"/>
  <c r="M121" i="182"/>
  <c r="R112" i="182"/>
  <c r="Q104" i="182"/>
  <c r="R96" i="182"/>
  <c r="P88" i="182"/>
  <c r="M80" i="182"/>
  <c r="Q72" i="182"/>
  <c r="R65" i="182"/>
  <c r="L58" i="182"/>
  <c r="L51" i="182"/>
  <c r="P204" i="182"/>
  <c r="P195" i="182"/>
  <c r="M188" i="182"/>
  <c r="M177" i="182"/>
  <c r="L170" i="182"/>
  <c r="Q161" i="182"/>
  <c r="P153" i="182"/>
  <c r="L146" i="182"/>
  <c r="P137" i="182"/>
  <c r="R128" i="182"/>
  <c r="M120" i="182"/>
  <c r="Q112" i="182"/>
  <c r="Q103" i="182"/>
  <c r="L96" i="182"/>
  <c r="M88" i="182"/>
  <c r="P79" i="182"/>
  <c r="P72" i="182"/>
  <c r="R64" i="182"/>
  <c r="P57" i="182"/>
  <c r="R50" i="182"/>
  <c r="P201" i="182"/>
  <c r="M194" i="182"/>
  <c r="Q186" i="182"/>
  <c r="Q176" i="182"/>
  <c r="Q206" i="182"/>
  <c r="R179" i="182"/>
  <c r="R160" i="182"/>
  <c r="P144" i="182"/>
  <c r="R126" i="182"/>
  <c r="R110" i="182"/>
  <c r="Q95" i="182"/>
  <c r="P78" i="182"/>
  <c r="P63" i="182"/>
  <c r="P51" i="182"/>
  <c r="P206" i="182"/>
  <c r="Q179" i="182"/>
  <c r="Q160" i="182"/>
  <c r="R140" i="182"/>
  <c r="P123" i="182"/>
  <c r="L107" i="182"/>
  <c r="Q92" i="182"/>
  <c r="P75" i="182"/>
  <c r="M61" i="182"/>
  <c r="R49" i="182"/>
  <c r="P196" i="182"/>
  <c r="Q170" i="182"/>
  <c r="M152" i="182"/>
  <c r="R136" i="182"/>
  <c r="M119" i="182"/>
  <c r="L102" i="182"/>
  <c r="P86" i="182"/>
  <c r="R70" i="182"/>
  <c r="L57" i="182"/>
  <c r="L45" i="182"/>
  <c r="M195" i="182"/>
  <c r="L169" i="182"/>
  <c r="M149" i="182"/>
  <c r="R132" i="182"/>
  <c r="L116" i="182"/>
  <c r="M99" i="182"/>
  <c r="L83" i="182"/>
  <c r="R67" i="182"/>
  <c r="R56" i="182"/>
  <c r="M44" i="182"/>
  <c r="P190" i="182"/>
  <c r="Q189" i="182"/>
  <c r="L164" i="182"/>
  <c r="Q147" i="182"/>
  <c r="P130" i="182"/>
  <c r="Q114" i="182"/>
  <c r="Q98" i="182"/>
  <c r="R81" i="182"/>
  <c r="P66" i="182"/>
  <c r="R53" i="182"/>
  <c r="P189" i="182"/>
  <c r="R163" i="182"/>
  <c r="P147" i="182"/>
  <c r="P129" i="182"/>
  <c r="R113" i="182"/>
  <c r="Q97" i="182"/>
  <c r="Q81" i="182"/>
  <c r="M66" i="182"/>
  <c r="R52" i="182"/>
  <c r="M206" i="182"/>
  <c r="P155" i="182"/>
  <c r="P122" i="182"/>
  <c r="P89" i="182"/>
  <c r="L60" i="182"/>
  <c r="Q201" i="182"/>
  <c r="P154" i="182"/>
  <c r="M122" i="182"/>
  <c r="Q88" i="182"/>
  <c r="R59" i="182"/>
  <c r="M197" i="182"/>
  <c r="P148" i="182"/>
  <c r="R115" i="182"/>
  <c r="M82" i="182"/>
  <c r="L54" i="182"/>
  <c r="Q178" i="182"/>
  <c r="P140" i="182"/>
  <c r="L106" i="182"/>
  <c r="L75" i="182"/>
  <c r="L49" i="182"/>
  <c r="R176" i="182"/>
  <c r="L140" i="182"/>
  <c r="L105" i="182"/>
  <c r="M74" i="182"/>
  <c r="R46" i="182"/>
  <c r="L172" i="182"/>
  <c r="R138" i="182"/>
  <c r="R104" i="182"/>
  <c r="P73" i="182"/>
  <c r="L46" i="182"/>
  <c r="P171" i="182"/>
  <c r="M137" i="182"/>
  <c r="R102" i="182"/>
  <c r="L72" i="182"/>
  <c r="P45" i="182"/>
  <c r="P168" i="182"/>
  <c r="P131" i="182"/>
  <c r="R98" i="182"/>
  <c r="L67" i="182"/>
  <c r="M198" i="182"/>
  <c r="M87" i="182"/>
  <c r="P187" i="182"/>
  <c r="Q78" i="182"/>
  <c r="M153" i="182"/>
  <c r="R58" i="182"/>
  <c r="P145" i="182"/>
  <c r="M52" i="182"/>
  <c r="Q122" i="182"/>
  <c r="P119" i="182"/>
  <c r="L91" i="182"/>
  <c r="Q163" i="182"/>
  <c r="P156" i="182"/>
  <c r="L112" i="182"/>
  <c r="R95" i="182"/>
  <c r="M64" i="182"/>
  <c r="P60" i="182"/>
  <c r="R127" i="182"/>
  <c r="U182" i="182"/>
  <c r="U203" i="182"/>
  <c r="R215" i="181"/>
  <c r="L212" i="181"/>
  <c r="M208" i="181"/>
  <c r="R204" i="181"/>
  <c r="R199" i="181"/>
  <c r="R196" i="181"/>
  <c r="R193" i="181"/>
  <c r="R190" i="181"/>
  <c r="R187" i="181"/>
  <c r="R181" i="181"/>
  <c r="P178" i="181"/>
  <c r="M175" i="181"/>
  <c r="R171" i="181"/>
  <c r="R168" i="181"/>
  <c r="Q165" i="181"/>
  <c r="L162" i="181"/>
  <c r="R158" i="181"/>
  <c r="L155" i="181"/>
  <c r="R151" i="181"/>
  <c r="R148" i="181"/>
  <c r="R145" i="181"/>
  <c r="P142" i="181"/>
  <c r="Q138" i="181"/>
  <c r="L135" i="181"/>
  <c r="L131" i="181"/>
  <c r="P127" i="181"/>
  <c r="R123" i="181"/>
  <c r="R120" i="181"/>
  <c r="Q117" i="181"/>
  <c r="P114" i="181"/>
  <c r="Q110" i="181"/>
  <c r="R106" i="181"/>
  <c r="P103" i="181"/>
  <c r="P100" i="181"/>
  <c r="P97" i="181"/>
  <c r="P94" i="181"/>
  <c r="R89" i="181"/>
  <c r="R86" i="181"/>
  <c r="R83" i="181"/>
  <c r="R79" i="181"/>
  <c r="R76" i="181"/>
  <c r="R73" i="181"/>
  <c r="Q70" i="181"/>
  <c r="Q67" i="181"/>
  <c r="Q64" i="181"/>
  <c r="Q61" i="181"/>
  <c r="Q58" i="181"/>
  <c r="Q55" i="181"/>
  <c r="Q52" i="181"/>
  <c r="Q49" i="181"/>
  <c r="Q46" i="181"/>
  <c r="Q215" i="181"/>
  <c r="R211" i="181"/>
  <c r="R207" i="181"/>
  <c r="Q204" i="181"/>
  <c r="Q199" i="181"/>
  <c r="Q196" i="181"/>
  <c r="Q193" i="181"/>
  <c r="Q190" i="181"/>
  <c r="Q187" i="181"/>
  <c r="Q181" i="181"/>
  <c r="M178" i="181"/>
  <c r="R174" i="181"/>
  <c r="Q171" i="181"/>
  <c r="Q168" i="181"/>
  <c r="P165" i="181"/>
  <c r="R161" i="181"/>
  <c r="P158" i="181"/>
  <c r="R154" i="181"/>
  <c r="Q151" i="181"/>
  <c r="Q148" i="181"/>
  <c r="Q145" i="181"/>
  <c r="M142" i="181"/>
  <c r="P138" i="181"/>
  <c r="R134" i="181"/>
  <c r="R130" i="181"/>
  <c r="L127" i="181"/>
  <c r="Q123" i="181"/>
  <c r="P120" i="181"/>
  <c r="P117" i="181"/>
  <c r="L114" i="181"/>
  <c r="L110" i="181"/>
  <c r="Q106" i="181"/>
  <c r="M103" i="181"/>
  <c r="L100" i="181"/>
  <c r="L97" i="181"/>
  <c r="M94" i="181"/>
  <c r="Q89" i="181"/>
  <c r="Q86" i="181"/>
  <c r="Q83" i="181"/>
  <c r="Q79" i="181"/>
  <c r="M215" i="181"/>
  <c r="Q211" i="181"/>
  <c r="Q207" i="181"/>
  <c r="P204" i="181"/>
  <c r="P199" i="181"/>
  <c r="P196" i="181"/>
  <c r="P193" i="181"/>
  <c r="P190" i="181"/>
  <c r="P187" i="181"/>
  <c r="L181" i="181"/>
  <c r="R177" i="181"/>
  <c r="Q174" i="181"/>
  <c r="P171" i="181"/>
  <c r="P168" i="181"/>
  <c r="L165" i="181"/>
  <c r="Q161" i="181"/>
  <c r="M158" i="181"/>
  <c r="P154" i="181"/>
  <c r="P151" i="181"/>
  <c r="P148" i="181"/>
  <c r="P145" i="181"/>
  <c r="R141" i="181"/>
  <c r="M138" i="181"/>
  <c r="P134" i="181"/>
  <c r="P130" i="181"/>
  <c r="R126" i="181"/>
  <c r="P123" i="181"/>
  <c r="M120" i="181"/>
  <c r="M117" i="181"/>
  <c r="R113" i="181"/>
  <c r="R109" i="181"/>
  <c r="L106" i="181"/>
  <c r="R102" i="181"/>
  <c r="R214" i="181"/>
  <c r="L211" i="181"/>
  <c r="M207" i="181"/>
  <c r="M204" i="181"/>
  <c r="M199" i="181"/>
  <c r="M196" i="181"/>
  <c r="M193" i="181"/>
  <c r="M190" i="181"/>
  <c r="M187" i="181"/>
  <c r="R180" i="181"/>
  <c r="Q177" i="181"/>
  <c r="L174" i="181"/>
  <c r="L171" i="181"/>
  <c r="L168" i="181"/>
  <c r="R164" i="181"/>
  <c r="P161" i="181"/>
  <c r="R157" i="181"/>
  <c r="L154" i="181"/>
  <c r="L151" i="181"/>
  <c r="L148" i="181"/>
  <c r="L145" i="181"/>
  <c r="P141" i="181"/>
  <c r="R137" i="181"/>
  <c r="L134" i="181"/>
  <c r="L130" i="181"/>
  <c r="Q126" i="181"/>
  <c r="M123" i="181"/>
  <c r="R119" i="181"/>
  <c r="R116" i="181"/>
  <c r="Q113" i="181"/>
  <c r="Q109" i="181"/>
  <c r="R105" i="181"/>
  <c r="Q102" i="181"/>
  <c r="Q99" i="181"/>
  <c r="Q96" i="181"/>
  <c r="Q93" i="181"/>
  <c r="M89" i="181"/>
  <c r="M86" i="181"/>
  <c r="R82" i="181"/>
  <c r="M79" i="181"/>
  <c r="L76" i="181"/>
  <c r="M73" i="181"/>
  <c r="R69" i="181"/>
  <c r="R66" i="181"/>
  <c r="R63" i="181"/>
  <c r="R60" i="181"/>
  <c r="R57" i="181"/>
  <c r="R54" i="181"/>
  <c r="R51" i="181"/>
  <c r="R48" i="181"/>
  <c r="R45" i="181"/>
  <c r="Q214" i="181"/>
  <c r="R210" i="181"/>
  <c r="R206" i="181"/>
  <c r="R201" i="181"/>
  <c r="R198" i="181"/>
  <c r="R195" i="181"/>
  <c r="R192" i="181"/>
  <c r="R189" i="181"/>
  <c r="R186" i="181"/>
  <c r="Q180" i="181"/>
  <c r="P177" i="181"/>
  <c r="R173" i="181"/>
  <c r="R170" i="181"/>
  <c r="R167" i="181"/>
  <c r="Q164" i="181"/>
  <c r="L161" i="181"/>
  <c r="P157" i="181"/>
  <c r="R153" i="181"/>
  <c r="R150" i="181"/>
  <c r="R147" i="181"/>
  <c r="R144" i="181"/>
  <c r="L141" i="181"/>
  <c r="Q137" i="181"/>
  <c r="R133" i="181"/>
  <c r="R129" i="181"/>
  <c r="P126" i="181"/>
  <c r="R122" i="181"/>
  <c r="Q119" i="181"/>
  <c r="Q116" i="181"/>
  <c r="L113" i="181"/>
  <c r="M109" i="181"/>
  <c r="Q105" i="181"/>
  <c r="P102" i="181"/>
  <c r="P99" i="181"/>
  <c r="P96" i="181"/>
  <c r="P93" i="181"/>
  <c r="R88" i="181"/>
  <c r="R85" i="181"/>
  <c r="Q82" i="181"/>
  <c r="R78" i="181"/>
  <c r="R75" i="181"/>
  <c r="R72" i="181"/>
  <c r="Q69" i="181"/>
  <c r="Q66" i="181"/>
  <c r="Q63" i="181"/>
  <c r="Q60" i="181"/>
  <c r="Q57" i="181"/>
  <c r="Q54" i="181"/>
  <c r="Q51" i="181"/>
  <c r="Q48" i="181"/>
  <c r="Q45" i="181"/>
  <c r="L214" i="181"/>
  <c r="Q210" i="181"/>
  <c r="Q206" i="181"/>
  <c r="Q201" i="181"/>
  <c r="Q198" i="181"/>
  <c r="Q195" i="181"/>
  <c r="Q192" i="181"/>
  <c r="Q189" i="181"/>
  <c r="Q186" i="181"/>
  <c r="L180" i="181"/>
  <c r="M177" i="181"/>
  <c r="Q173" i="181"/>
  <c r="Q170" i="181"/>
  <c r="Q167" i="181"/>
  <c r="L164" i="181"/>
  <c r="R160" i="181"/>
  <c r="M157" i="181"/>
  <c r="Q153" i="181"/>
  <c r="Q150" i="181"/>
  <c r="Q147" i="181"/>
  <c r="P144" i="181"/>
  <c r="R140" i="181"/>
  <c r="P137" i="181"/>
  <c r="P133" i="181"/>
  <c r="P129" i="181"/>
  <c r="M126" i="181"/>
  <c r="Q122" i="181"/>
  <c r="P119" i="181"/>
  <c r="P116" i="181"/>
  <c r="R112" i="181"/>
  <c r="R108" i="181"/>
  <c r="L105" i="181"/>
  <c r="L102" i="181"/>
  <c r="M99" i="181"/>
  <c r="L96" i="181"/>
  <c r="M93" i="181"/>
  <c r="Q88" i="181"/>
  <c r="Q85" i="181"/>
  <c r="M82" i="181"/>
  <c r="Q78" i="181"/>
  <c r="Q75" i="181"/>
  <c r="Q72" i="181"/>
  <c r="P69" i="181"/>
  <c r="P66" i="181"/>
  <c r="P63" i="181"/>
  <c r="P60" i="181"/>
  <c r="P57" i="181"/>
  <c r="P54" i="181"/>
  <c r="P51" i="181"/>
  <c r="P48" i="181"/>
  <c r="P45" i="181"/>
  <c r="R213" i="181"/>
  <c r="M210" i="181"/>
  <c r="P206" i="181"/>
  <c r="P201" i="181"/>
  <c r="P198" i="181"/>
  <c r="P195" i="181"/>
  <c r="P192" i="181"/>
  <c r="P189" i="181"/>
  <c r="P186" i="181"/>
  <c r="R179" i="181"/>
  <c r="R176" i="181"/>
  <c r="P173" i="181"/>
  <c r="P170" i="181"/>
  <c r="P167" i="181"/>
  <c r="R163" i="181"/>
  <c r="Q160" i="181"/>
  <c r="R156" i="181"/>
  <c r="P153" i="181"/>
  <c r="P150" i="181"/>
  <c r="P147" i="181"/>
  <c r="L144" i="181"/>
  <c r="P140" i="181"/>
  <c r="M137" i="181"/>
  <c r="L133" i="181"/>
  <c r="M129" i="181"/>
  <c r="R125" i="181"/>
  <c r="P122" i="181"/>
  <c r="M119" i="181"/>
  <c r="L116" i="181"/>
  <c r="Q112" i="181"/>
  <c r="Q108" i="181"/>
  <c r="R104" i="181"/>
  <c r="R101" i="181"/>
  <c r="R98" i="181"/>
  <c r="R95" i="181"/>
  <c r="R92" i="181"/>
  <c r="P88" i="181"/>
  <c r="P85" i="181"/>
  <c r="R81" i="181"/>
  <c r="P78" i="181"/>
  <c r="P75" i="181"/>
  <c r="P72" i="181"/>
  <c r="M69" i="181"/>
  <c r="M66" i="181"/>
  <c r="L63" i="181"/>
  <c r="L60" i="181"/>
  <c r="L57" i="181"/>
  <c r="L54" i="181"/>
  <c r="L51" i="181"/>
  <c r="L48" i="181"/>
  <c r="L45" i="181"/>
  <c r="Q213" i="181"/>
  <c r="R209" i="181"/>
  <c r="M206" i="181"/>
  <c r="M201" i="181"/>
  <c r="M198" i="181"/>
  <c r="M195" i="181"/>
  <c r="M192" i="181"/>
  <c r="M189" i="181"/>
  <c r="M186" i="181"/>
  <c r="Q179" i="181"/>
  <c r="Q176" i="181"/>
  <c r="M173" i="181"/>
  <c r="L170" i="181"/>
  <c r="L167" i="181"/>
  <c r="Q163" i="181"/>
  <c r="P160" i="181"/>
  <c r="P156" i="181"/>
  <c r="M153" i="181"/>
  <c r="L150" i="181"/>
  <c r="L147" i="181"/>
  <c r="R143" i="181"/>
  <c r="L140" i="181"/>
  <c r="R136" i="181"/>
  <c r="R132" i="181"/>
  <c r="R128" i="181"/>
  <c r="P125" i="181"/>
  <c r="M122" i="181"/>
  <c r="R118" i="181"/>
  <c r="R115" i="181"/>
  <c r="L112" i="181"/>
  <c r="M108" i="181"/>
  <c r="Q104" i="181"/>
  <c r="Q101" i="181"/>
  <c r="Q98" i="181"/>
  <c r="Q95" i="181"/>
  <c r="Q92" i="181"/>
  <c r="M88" i="181"/>
  <c r="M85" i="181"/>
  <c r="Q81" i="181"/>
  <c r="M78" i="181"/>
  <c r="L75" i="181"/>
  <c r="L72" i="181"/>
  <c r="R68" i="181"/>
  <c r="R65" i="181"/>
  <c r="R62" i="181"/>
  <c r="R59" i="181"/>
  <c r="R56" i="181"/>
  <c r="R53" i="181"/>
  <c r="R50" i="181"/>
  <c r="R47" i="181"/>
  <c r="M44" i="181"/>
  <c r="P213" i="181"/>
  <c r="Q209" i="181"/>
  <c r="R205" i="181"/>
  <c r="R200" i="181"/>
  <c r="R197" i="181"/>
  <c r="R194" i="181"/>
  <c r="R191" i="181"/>
  <c r="R188" i="181"/>
  <c r="R185" i="181"/>
  <c r="P179" i="181"/>
  <c r="P176" i="181"/>
  <c r="R172" i="181"/>
  <c r="R169" i="181"/>
  <c r="R166" i="181"/>
  <c r="P163" i="181"/>
  <c r="L160" i="181"/>
  <c r="M156" i="181"/>
  <c r="R152" i="181"/>
  <c r="R149" i="181"/>
  <c r="R146" i="181"/>
  <c r="Q143" i="181"/>
  <c r="R139" i="181"/>
  <c r="P136" i="181"/>
  <c r="P132" i="181"/>
  <c r="Q128" i="181"/>
  <c r="M125" i="181"/>
  <c r="R121" i="181"/>
  <c r="Q118" i="181"/>
  <c r="P115" i="181"/>
  <c r="R111" i="181"/>
  <c r="R107" i="181"/>
  <c r="P104" i="181"/>
  <c r="P101" i="181"/>
  <c r="P98" i="181"/>
  <c r="P95" i="181"/>
  <c r="L92" i="181"/>
  <c r="R87" i="181"/>
  <c r="R84" i="181"/>
  <c r="L81" i="181"/>
  <c r="R77" i="181"/>
  <c r="R74" i="181"/>
  <c r="R71" i="181"/>
  <c r="Q68" i="181"/>
  <c r="Q65" i="181"/>
  <c r="Q62" i="181"/>
  <c r="Q59" i="181"/>
  <c r="Q56" i="181"/>
  <c r="Q53" i="181"/>
  <c r="Q50" i="181"/>
  <c r="Q47" i="181"/>
  <c r="L213" i="181"/>
  <c r="M209" i="181"/>
  <c r="Q205" i="181"/>
  <c r="Q200" i="181"/>
  <c r="Q197" i="181"/>
  <c r="Q194" i="181"/>
  <c r="Q191" i="181"/>
  <c r="Q188" i="181"/>
  <c r="Q185" i="181"/>
  <c r="M179" i="181"/>
  <c r="M176" i="181"/>
  <c r="Q172" i="181"/>
  <c r="Q169" i="181"/>
  <c r="Q166" i="181"/>
  <c r="L163" i="181"/>
  <c r="R159" i="181"/>
  <c r="R155" i="181"/>
  <c r="Q152" i="181"/>
  <c r="Q149" i="181"/>
  <c r="Q146" i="181"/>
  <c r="P143" i="181"/>
  <c r="P139" i="181"/>
  <c r="M136" i="181"/>
  <c r="L132" i="181"/>
  <c r="P128" i="181"/>
  <c r="R124" i="181"/>
  <c r="Q121" i="181"/>
  <c r="P118" i="181"/>
  <c r="L115" i="181"/>
  <c r="Q111" i="181"/>
  <c r="Q107" i="181"/>
  <c r="M104" i="181"/>
  <c r="L101" i="181"/>
  <c r="L98" i="181"/>
  <c r="M95" i="181"/>
  <c r="R91" i="181"/>
  <c r="Q87" i="181"/>
  <c r="Q84" i="181"/>
  <c r="R80" i="181"/>
  <c r="Q77" i="181"/>
  <c r="Q74" i="181"/>
  <c r="Q71" i="181"/>
  <c r="P68" i="181"/>
  <c r="P65" i="181"/>
  <c r="P62" i="181"/>
  <c r="P59" i="181"/>
  <c r="P56" i="181"/>
  <c r="P53" i="181"/>
  <c r="P50" i="181"/>
  <c r="P47" i="181"/>
  <c r="R212" i="181"/>
  <c r="R208" i="181"/>
  <c r="P205" i="181"/>
  <c r="P200" i="181"/>
  <c r="P197" i="181"/>
  <c r="P194" i="181"/>
  <c r="P191" i="181"/>
  <c r="P188" i="181"/>
  <c r="P185" i="181"/>
  <c r="R178" i="181"/>
  <c r="R175" i="181"/>
  <c r="P172" i="181"/>
  <c r="P169" i="181"/>
  <c r="L166" i="181"/>
  <c r="R162" i="181"/>
  <c r="P159" i="181"/>
  <c r="Q155" i="181"/>
  <c r="P152" i="181"/>
  <c r="P149" i="181"/>
  <c r="P146" i="181"/>
  <c r="L143" i="181"/>
  <c r="L139" i="181"/>
  <c r="R135" i="181"/>
  <c r="R131" i="181"/>
  <c r="M128" i="181"/>
  <c r="P124" i="181"/>
  <c r="P121" i="181"/>
  <c r="M118" i="181"/>
  <c r="R114" i="181"/>
  <c r="M111" i="181"/>
  <c r="P107" i="181"/>
  <c r="R103" i="181"/>
  <c r="R100" i="181"/>
  <c r="R97" i="181"/>
  <c r="R94" i="181"/>
  <c r="Q91" i="181"/>
  <c r="P87" i="181"/>
  <c r="P84" i="181"/>
  <c r="Q80" i="181"/>
  <c r="P77" i="181"/>
  <c r="P74" i="181"/>
  <c r="L71" i="181"/>
  <c r="M68" i="181"/>
  <c r="M65" i="181"/>
  <c r="L62" i="181"/>
  <c r="L59" i="181"/>
  <c r="L56" i="181"/>
  <c r="L53" i="181"/>
  <c r="L50" i="181"/>
  <c r="L47" i="181"/>
  <c r="Q212" i="181"/>
  <c r="L169" i="181"/>
  <c r="R127" i="181"/>
  <c r="Q94" i="181"/>
  <c r="P76" i="181"/>
  <c r="M64" i="181"/>
  <c r="M52" i="181"/>
  <c r="Q208" i="181"/>
  <c r="R165" i="181"/>
  <c r="L124" i="181"/>
  <c r="R93" i="181"/>
  <c r="M74" i="181"/>
  <c r="R61" i="181"/>
  <c r="R49" i="181"/>
  <c r="M200" i="181"/>
  <c r="M159" i="181"/>
  <c r="R117" i="181"/>
  <c r="P89" i="181"/>
  <c r="P73" i="181"/>
  <c r="M61" i="181"/>
  <c r="L49" i="181"/>
  <c r="M194" i="181"/>
  <c r="M152" i="181"/>
  <c r="R110" i="181"/>
  <c r="P86" i="181"/>
  <c r="P70" i="181"/>
  <c r="P58" i="181"/>
  <c r="P46" i="181"/>
  <c r="M191" i="181"/>
  <c r="M149" i="181"/>
  <c r="L107" i="181"/>
  <c r="L84" i="181"/>
  <c r="L70" i="181"/>
  <c r="L58" i="181"/>
  <c r="L46" i="181"/>
  <c r="M185" i="181"/>
  <c r="R142" i="181"/>
  <c r="Q100" i="181"/>
  <c r="M80" i="181"/>
  <c r="P67" i="181"/>
  <c r="P55" i="181"/>
  <c r="Q178" i="181"/>
  <c r="R138" i="181"/>
  <c r="R99" i="181"/>
  <c r="P79" i="181"/>
  <c r="L67" i="181"/>
  <c r="L55" i="181"/>
  <c r="Q175" i="181"/>
  <c r="P135" i="181"/>
  <c r="Q97" i="181"/>
  <c r="M77" i="181"/>
  <c r="R64" i="181"/>
  <c r="R52" i="181"/>
  <c r="M205" i="181"/>
  <c r="L91" i="181"/>
  <c r="P49" i="181"/>
  <c r="M197" i="181"/>
  <c r="M87" i="181"/>
  <c r="R46" i="181"/>
  <c r="L172" i="181"/>
  <c r="Q76" i="181"/>
  <c r="P155" i="181"/>
  <c r="R70" i="181"/>
  <c r="L146" i="181"/>
  <c r="R67" i="181"/>
  <c r="M121" i="181"/>
  <c r="P61" i="181"/>
  <c r="Q114" i="181"/>
  <c r="R58" i="181"/>
  <c r="Q103" i="181"/>
  <c r="R55" i="181"/>
  <c r="M188" i="181"/>
  <c r="Q162" i="181"/>
  <c r="R96" i="181"/>
  <c r="Q73" i="181"/>
  <c r="P64" i="181"/>
  <c r="P131" i="181"/>
  <c r="L83" i="181"/>
  <c r="P52" i="181"/>
  <c r="U90" i="181"/>
  <c r="U202" i="181"/>
  <c r="U203" i="181"/>
  <c r="R215" i="180"/>
  <c r="L212" i="180"/>
  <c r="M208" i="180"/>
  <c r="R204" i="180"/>
  <c r="R199" i="180"/>
  <c r="R196" i="180"/>
  <c r="R193" i="180"/>
  <c r="R190" i="180"/>
  <c r="R187" i="180"/>
  <c r="R181" i="180"/>
  <c r="P178" i="180"/>
  <c r="M175" i="180"/>
  <c r="R171" i="180"/>
  <c r="R168" i="180"/>
  <c r="Q165" i="180"/>
  <c r="L162" i="180"/>
  <c r="R158" i="180"/>
  <c r="L155" i="180"/>
  <c r="R151" i="180"/>
  <c r="R148" i="180"/>
  <c r="R145" i="180"/>
  <c r="P142" i="180"/>
  <c r="Q138" i="180"/>
  <c r="L135" i="180"/>
  <c r="L131" i="180"/>
  <c r="P127" i="180"/>
  <c r="R123" i="180"/>
  <c r="R120" i="180"/>
  <c r="Q117" i="180"/>
  <c r="P114" i="180"/>
  <c r="Q110" i="180"/>
  <c r="R106" i="180"/>
  <c r="P103" i="180"/>
  <c r="P100" i="180"/>
  <c r="P97" i="180"/>
  <c r="P94" i="180"/>
  <c r="R89" i="180"/>
  <c r="R86" i="180"/>
  <c r="R83" i="180"/>
  <c r="R79" i="180"/>
  <c r="R76" i="180"/>
  <c r="R73" i="180"/>
  <c r="Q70" i="180"/>
  <c r="Q67" i="180"/>
  <c r="Q64" i="180"/>
  <c r="Q61" i="180"/>
  <c r="Q58" i="180"/>
  <c r="Q55" i="180"/>
  <c r="Q52" i="180"/>
  <c r="Q49" i="180"/>
  <c r="Q46" i="180"/>
  <c r="Q215" i="180"/>
  <c r="R211" i="180"/>
  <c r="R207" i="180"/>
  <c r="Q204" i="180"/>
  <c r="Q199" i="180"/>
  <c r="Q196" i="180"/>
  <c r="Q193" i="180"/>
  <c r="Q190" i="180"/>
  <c r="Q187" i="180"/>
  <c r="Q181" i="180"/>
  <c r="M178" i="180"/>
  <c r="R174" i="180"/>
  <c r="Q171" i="180"/>
  <c r="Q168" i="180"/>
  <c r="P165" i="180"/>
  <c r="R161" i="180"/>
  <c r="P158" i="180"/>
  <c r="R154" i="180"/>
  <c r="Q151" i="180"/>
  <c r="Q148" i="180"/>
  <c r="Q145" i="180"/>
  <c r="M142" i="180"/>
  <c r="P138" i="180"/>
  <c r="R134" i="180"/>
  <c r="R130" i="180"/>
  <c r="L127" i="180"/>
  <c r="Q123" i="180"/>
  <c r="P120" i="180"/>
  <c r="P117" i="180"/>
  <c r="L114" i="180"/>
  <c r="L110" i="180"/>
  <c r="Q106" i="180"/>
  <c r="M103" i="180"/>
  <c r="L100" i="180"/>
  <c r="L97" i="180"/>
  <c r="M94" i="180"/>
  <c r="Q89" i="180"/>
  <c r="Q86" i="180"/>
  <c r="Q83" i="180"/>
  <c r="Q79" i="180"/>
  <c r="Q76" i="180"/>
  <c r="Q73" i="180"/>
  <c r="P70" i="180"/>
  <c r="P67" i="180"/>
  <c r="P64" i="180"/>
  <c r="P61" i="180"/>
  <c r="P58" i="180"/>
  <c r="P55" i="180"/>
  <c r="P52" i="180"/>
  <c r="P49" i="180"/>
  <c r="P46" i="180"/>
  <c r="M215" i="180"/>
  <c r="Q211" i="180"/>
  <c r="Q207" i="180"/>
  <c r="P204" i="180"/>
  <c r="P199" i="180"/>
  <c r="P196" i="180"/>
  <c r="P193" i="180"/>
  <c r="P190" i="180"/>
  <c r="P187" i="180"/>
  <c r="L181" i="180"/>
  <c r="R177" i="180"/>
  <c r="Q174" i="180"/>
  <c r="P171" i="180"/>
  <c r="P168" i="180"/>
  <c r="L165" i="180"/>
  <c r="Q161" i="180"/>
  <c r="M158" i="180"/>
  <c r="P154" i="180"/>
  <c r="P151" i="180"/>
  <c r="P148" i="180"/>
  <c r="P145" i="180"/>
  <c r="R141" i="180"/>
  <c r="M138" i="180"/>
  <c r="P134" i="180"/>
  <c r="P130" i="180"/>
  <c r="R126" i="180"/>
  <c r="P123" i="180"/>
  <c r="M120" i="180"/>
  <c r="M117" i="180"/>
  <c r="R113" i="180"/>
  <c r="R109" i="180"/>
  <c r="L106" i="180"/>
  <c r="R102" i="180"/>
  <c r="R99" i="180"/>
  <c r="R96" i="180"/>
  <c r="R93" i="180"/>
  <c r="P89" i="180"/>
  <c r="P86" i="180"/>
  <c r="L83" i="180"/>
  <c r="P79" i="180"/>
  <c r="P76" i="180"/>
  <c r="P73" i="180"/>
  <c r="L70" i="180"/>
  <c r="L67" i="180"/>
  <c r="M64" i="180"/>
  <c r="M61" i="180"/>
  <c r="L58" i="180"/>
  <c r="L55" i="180"/>
  <c r="M52" i="180"/>
  <c r="L49" i="180"/>
  <c r="L46" i="180"/>
  <c r="R214" i="180"/>
  <c r="L211" i="180"/>
  <c r="M207" i="180"/>
  <c r="M204" i="180"/>
  <c r="M199" i="180"/>
  <c r="M196" i="180"/>
  <c r="M193" i="180"/>
  <c r="M190" i="180"/>
  <c r="M187" i="180"/>
  <c r="R180" i="180"/>
  <c r="Q177" i="180"/>
  <c r="L174" i="180"/>
  <c r="L171" i="180"/>
  <c r="L168" i="180"/>
  <c r="R164" i="180"/>
  <c r="P161" i="180"/>
  <c r="R157" i="180"/>
  <c r="L154" i="180"/>
  <c r="L151" i="180"/>
  <c r="L148" i="180"/>
  <c r="L145" i="180"/>
  <c r="P141" i="180"/>
  <c r="R137" i="180"/>
  <c r="L134" i="180"/>
  <c r="L130" i="180"/>
  <c r="Q126" i="180"/>
  <c r="M123" i="180"/>
  <c r="R119" i="180"/>
  <c r="R116" i="180"/>
  <c r="Q113" i="180"/>
  <c r="Q109" i="180"/>
  <c r="R105" i="180"/>
  <c r="Q102" i="180"/>
  <c r="Q99" i="180"/>
  <c r="Q96" i="180"/>
  <c r="Q93" i="180"/>
  <c r="M89" i="180"/>
  <c r="M86" i="180"/>
  <c r="R82" i="180"/>
  <c r="M79" i="180"/>
  <c r="L76" i="180"/>
  <c r="M73" i="180"/>
  <c r="R69" i="180"/>
  <c r="R66" i="180"/>
  <c r="R63" i="180"/>
  <c r="R60" i="180"/>
  <c r="R57" i="180"/>
  <c r="R54" i="180"/>
  <c r="R51" i="180"/>
  <c r="R48" i="180"/>
  <c r="R45" i="180"/>
  <c r="Q214" i="180"/>
  <c r="R210" i="180"/>
  <c r="R206" i="180"/>
  <c r="R201" i="180"/>
  <c r="R198" i="180"/>
  <c r="R195" i="180"/>
  <c r="R192" i="180"/>
  <c r="R189" i="180"/>
  <c r="R186" i="180"/>
  <c r="Q180" i="180"/>
  <c r="P177" i="180"/>
  <c r="R173" i="180"/>
  <c r="R170" i="180"/>
  <c r="R167" i="180"/>
  <c r="Q164" i="180"/>
  <c r="L161" i="180"/>
  <c r="P157" i="180"/>
  <c r="R153" i="180"/>
  <c r="R150" i="180"/>
  <c r="R147" i="180"/>
  <c r="R144" i="180"/>
  <c r="L141" i="180"/>
  <c r="Q137" i="180"/>
  <c r="R133" i="180"/>
  <c r="R129" i="180"/>
  <c r="P126" i="180"/>
  <c r="R122" i="180"/>
  <c r="Q119" i="180"/>
  <c r="Q116" i="180"/>
  <c r="L113" i="180"/>
  <c r="M109" i="180"/>
  <c r="Q105" i="180"/>
  <c r="P102" i="180"/>
  <c r="P99" i="180"/>
  <c r="P96" i="180"/>
  <c r="P93" i="180"/>
  <c r="R88" i="180"/>
  <c r="R85" i="180"/>
  <c r="Q82" i="180"/>
  <c r="R78" i="180"/>
  <c r="R75" i="180"/>
  <c r="R72" i="180"/>
  <c r="Q69" i="180"/>
  <c r="Q66" i="180"/>
  <c r="Q63" i="180"/>
  <c r="Q60" i="180"/>
  <c r="Q57" i="180"/>
  <c r="Q54" i="180"/>
  <c r="Q51" i="180"/>
  <c r="Q48" i="180"/>
  <c r="Q45" i="180"/>
  <c r="L214" i="180"/>
  <c r="Q210" i="180"/>
  <c r="Q206" i="180"/>
  <c r="Q201" i="180"/>
  <c r="Q198" i="180"/>
  <c r="Q195" i="180"/>
  <c r="Q192" i="180"/>
  <c r="Q189" i="180"/>
  <c r="Q186" i="180"/>
  <c r="L180" i="180"/>
  <c r="M177" i="180"/>
  <c r="Q173" i="180"/>
  <c r="Q170" i="180"/>
  <c r="Q167" i="180"/>
  <c r="L164" i="180"/>
  <c r="R160" i="180"/>
  <c r="M157" i="180"/>
  <c r="Q153" i="180"/>
  <c r="Q150" i="180"/>
  <c r="Q147" i="180"/>
  <c r="P144" i="180"/>
  <c r="R140" i="180"/>
  <c r="P137" i="180"/>
  <c r="P133" i="180"/>
  <c r="P129" i="180"/>
  <c r="M126" i="180"/>
  <c r="Q122" i="180"/>
  <c r="P119" i="180"/>
  <c r="P116" i="180"/>
  <c r="R112" i="180"/>
  <c r="R108" i="180"/>
  <c r="L105" i="180"/>
  <c r="L102" i="180"/>
  <c r="M99" i="180"/>
  <c r="L96" i="180"/>
  <c r="M93" i="180"/>
  <c r="Q88" i="180"/>
  <c r="Q85" i="180"/>
  <c r="M82" i="180"/>
  <c r="Q78" i="180"/>
  <c r="Q75" i="180"/>
  <c r="Q72" i="180"/>
  <c r="P69" i="180"/>
  <c r="P66" i="180"/>
  <c r="P63" i="180"/>
  <c r="P60" i="180"/>
  <c r="P57" i="180"/>
  <c r="P54" i="180"/>
  <c r="P51" i="180"/>
  <c r="P48" i="180"/>
  <c r="P45" i="180"/>
  <c r="R213" i="180"/>
  <c r="M210" i="180"/>
  <c r="P206" i="180"/>
  <c r="P201" i="180"/>
  <c r="P198" i="180"/>
  <c r="P195" i="180"/>
  <c r="P192" i="180"/>
  <c r="P189" i="180"/>
  <c r="P186" i="180"/>
  <c r="R179" i="180"/>
  <c r="R176" i="180"/>
  <c r="P173" i="180"/>
  <c r="P170" i="180"/>
  <c r="P167" i="180"/>
  <c r="R163" i="180"/>
  <c r="Q160" i="180"/>
  <c r="R156" i="180"/>
  <c r="P153" i="180"/>
  <c r="P150" i="180"/>
  <c r="P147" i="180"/>
  <c r="L144" i="180"/>
  <c r="P140" i="180"/>
  <c r="M137" i="180"/>
  <c r="L133" i="180"/>
  <c r="M129" i="180"/>
  <c r="R125" i="180"/>
  <c r="P122" i="180"/>
  <c r="M119" i="180"/>
  <c r="L116" i="180"/>
  <c r="Q112" i="180"/>
  <c r="Q108" i="180"/>
  <c r="R104" i="180"/>
  <c r="R101" i="180"/>
  <c r="R98" i="180"/>
  <c r="R95" i="180"/>
  <c r="R92" i="180"/>
  <c r="P88" i="180"/>
  <c r="P85" i="180"/>
  <c r="R81" i="180"/>
  <c r="P78" i="180"/>
  <c r="P75" i="180"/>
  <c r="P72" i="180"/>
  <c r="M69" i="180"/>
  <c r="M66" i="180"/>
  <c r="L63" i="180"/>
  <c r="L60" i="180"/>
  <c r="L57" i="180"/>
  <c r="L54" i="180"/>
  <c r="L51" i="180"/>
  <c r="L48" i="180"/>
  <c r="L45" i="180"/>
  <c r="Q213" i="180"/>
  <c r="R209" i="180"/>
  <c r="M206" i="180"/>
  <c r="M201" i="180"/>
  <c r="M198" i="180"/>
  <c r="M195" i="180"/>
  <c r="M192" i="180"/>
  <c r="M189" i="180"/>
  <c r="M186" i="180"/>
  <c r="Q179" i="180"/>
  <c r="Q176" i="180"/>
  <c r="M173" i="180"/>
  <c r="L170" i="180"/>
  <c r="L167" i="180"/>
  <c r="Q163" i="180"/>
  <c r="P160" i="180"/>
  <c r="P156" i="180"/>
  <c r="M153" i="180"/>
  <c r="L150" i="180"/>
  <c r="L147" i="180"/>
  <c r="R143" i="180"/>
  <c r="L140" i="180"/>
  <c r="R136" i="180"/>
  <c r="R132" i="180"/>
  <c r="R128" i="180"/>
  <c r="P125" i="180"/>
  <c r="M122" i="180"/>
  <c r="R118" i="180"/>
  <c r="R115" i="180"/>
  <c r="L112" i="180"/>
  <c r="M108" i="180"/>
  <c r="Q104" i="180"/>
  <c r="Q101" i="180"/>
  <c r="Q98" i="180"/>
  <c r="Q95" i="180"/>
  <c r="Q92" i="180"/>
  <c r="M88" i="180"/>
  <c r="M85" i="180"/>
  <c r="Q81" i="180"/>
  <c r="M78" i="180"/>
  <c r="L75" i="180"/>
  <c r="L72" i="180"/>
  <c r="R68" i="180"/>
  <c r="R65" i="180"/>
  <c r="R62" i="180"/>
  <c r="R59" i="180"/>
  <c r="R56" i="180"/>
  <c r="R53" i="180"/>
  <c r="R50" i="180"/>
  <c r="R47" i="180"/>
  <c r="M44" i="180"/>
  <c r="P213" i="180"/>
  <c r="Q209" i="180"/>
  <c r="R205" i="180"/>
  <c r="R200" i="180"/>
  <c r="R197" i="180"/>
  <c r="R194" i="180"/>
  <c r="R191" i="180"/>
  <c r="R188" i="180"/>
  <c r="R185" i="180"/>
  <c r="P179" i="180"/>
  <c r="P176" i="180"/>
  <c r="R172" i="180"/>
  <c r="R169" i="180"/>
  <c r="R166" i="180"/>
  <c r="P163" i="180"/>
  <c r="L160" i="180"/>
  <c r="M156" i="180"/>
  <c r="R152" i="180"/>
  <c r="R149" i="180"/>
  <c r="R146" i="180"/>
  <c r="Q143" i="180"/>
  <c r="R139" i="180"/>
  <c r="P136" i="180"/>
  <c r="P132" i="180"/>
  <c r="Q128" i="180"/>
  <c r="M125" i="180"/>
  <c r="R121" i="180"/>
  <c r="Q118" i="180"/>
  <c r="P115" i="180"/>
  <c r="R111" i="180"/>
  <c r="R107" i="180"/>
  <c r="P104" i="180"/>
  <c r="P101" i="180"/>
  <c r="P98" i="180"/>
  <c r="P95" i="180"/>
  <c r="L92" i="180"/>
  <c r="R87" i="180"/>
  <c r="R84" i="180"/>
  <c r="L81" i="180"/>
  <c r="R77" i="180"/>
  <c r="R74" i="180"/>
  <c r="R71" i="180"/>
  <c r="Q68" i="180"/>
  <c r="Q65" i="180"/>
  <c r="Q62" i="180"/>
  <c r="Q59" i="180"/>
  <c r="Q56" i="180"/>
  <c r="Q53" i="180"/>
  <c r="Q50" i="180"/>
  <c r="Q47" i="180"/>
  <c r="L213" i="180"/>
  <c r="M209" i="180"/>
  <c r="Q205" i="180"/>
  <c r="Q200" i="180"/>
  <c r="Q197" i="180"/>
  <c r="Q194" i="180"/>
  <c r="Q191" i="180"/>
  <c r="Q188" i="180"/>
  <c r="Q185" i="180"/>
  <c r="M179" i="180"/>
  <c r="M176" i="180"/>
  <c r="Q172" i="180"/>
  <c r="Q169" i="180"/>
  <c r="Q166" i="180"/>
  <c r="L163" i="180"/>
  <c r="R159" i="180"/>
  <c r="R155" i="180"/>
  <c r="Q152" i="180"/>
  <c r="Q149" i="180"/>
  <c r="Q146" i="180"/>
  <c r="P143" i="180"/>
  <c r="P139" i="180"/>
  <c r="M136" i="180"/>
  <c r="L132" i="180"/>
  <c r="P128" i="180"/>
  <c r="R124" i="180"/>
  <c r="Q121" i="180"/>
  <c r="P118" i="180"/>
  <c r="L115" i="180"/>
  <c r="Q111" i="180"/>
  <c r="Q107" i="180"/>
  <c r="M104" i="180"/>
  <c r="L101" i="180"/>
  <c r="L98" i="180"/>
  <c r="M95" i="180"/>
  <c r="R91" i="180"/>
  <c r="Q87" i="180"/>
  <c r="Q84" i="180"/>
  <c r="R80" i="180"/>
  <c r="Q77" i="180"/>
  <c r="Q74" i="180"/>
  <c r="Q71" i="180"/>
  <c r="P68" i="180"/>
  <c r="P65" i="180"/>
  <c r="P62" i="180"/>
  <c r="P59" i="180"/>
  <c r="P56" i="180"/>
  <c r="P53" i="180"/>
  <c r="P50" i="180"/>
  <c r="P47" i="180"/>
  <c r="R212" i="180"/>
  <c r="P191" i="180"/>
  <c r="P169" i="180"/>
  <c r="P149" i="180"/>
  <c r="M128" i="180"/>
  <c r="P107" i="180"/>
  <c r="P87" i="180"/>
  <c r="M68" i="180"/>
  <c r="L50" i="180"/>
  <c r="Q212" i="180"/>
  <c r="M191" i="180"/>
  <c r="L169" i="180"/>
  <c r="M149" i="180"/>
  <c r="R127" i="180"/>
  <c r="L107" i="180"/>
  <c r="M87" i="180"/>
  <c r="R67" i="180"/>
  <c r="R49" i="180"/>
  <c r="R208" i="180"/>
  <c r="P188" i="180"/>
  <c r="L166" i="180"/>
  <c r="P146" i="180"/>
  <c r="P124" i="180"/>
  <c r="R103" i="180"/>
  <c r="P84" i="180"/>
  <c r="M65" i="180"/>
  <c r="L47" i="180"/>
  <c r="Q208" i="180"/>
  <c r="M188" i="180"/>
  <c r="R165" i="180"/>
  <c r="L146" i="180"/>
  <c r="L124" i="180"/>
  <c r="Q103" i="180"/>
  <c r="L84" i="180"/>
  <c r="R64" i="180"/>
  <c r="R46" i="180"/>
  <c r="M197" i="180"/>
  <c r="Q175" i="180"/>
  <c r="P155" i="180"/>
  <c r="P135" i="180"/>
  <c r="Q114" i="180"/>
  <c r="Q94" i="180"/>
  <c r="M74" i="180"/>
  <c r="R55" i="180"/>
  <c r="P194" i="180"/>
  <c r="P172" i="180"/>
  <c r="P152" i="180"/>
  <c r="R131" i="180"/>
  <c r="M111" i="180"/>
  <c r="Q91" i="180"/>
  <c r="L71" i="180"/>
  <c r="L53" i="180"/>
  <c r="P205" i="180"/>
  <c r="R162" i="180"/>
  <c r="P121" i="180"/>
  <c r="Q80" i="180"/>
  <c r="M205" i="180"/>
  <c r="Q162" i="180"/>
  <c r="M121" i="180"/>
  <c r="M80" i="180"/>
  <c r="P200" i="180"/>
  <c r="Q155" i="180"/>
  <c r="R100" i="180"/>
  <c r="L59" i="180"/>
  <c r="M200" i="180"/>
  <c r="M152" i="180"/>
  <c r="Q100" i="180"/>
  <c r="R58" i="180"/>
  <c r="M194" i="180"/>
  <c r="R142" i="180"/>
  <c r="Q97" i="180"/>
  <c r="R52" i="180"/>
  <c r="L172" i="180"/>
  <c r="R117" i="180"/>
  <c r="R70" i="180"/>
  <c r="P159" i="180"/>
  <c r="R114" i="180"/>
  <c r="L62" i="180"/>
  <c r="P185" i="180"/>
  <c r="R110" i="180"/>
  <c r="R178" i="180"/>
  <c r="R94" i="180"/>
  <c r="R138" i="180"/>
  <c r="L56" i="180"/>
  <c r="R135" i="180"/>
  <c r="P131" i="180"/>
  <c r="P197" i="180"/>
  <c r="P74" i="180"/>
  <c r="M185" i="180"/>
  <c r="R61" i="180"/>
  <c r="R97" i="180"/>
  <c r="L91" i="180"/>
  <c r="P77" i="180"/>
  <c r="L143" i="180"/>
  <c r="Q178" i="180"/>
  <c r="R175" i="180"/>
  <c r="L139" i="180"/>
  <c r="M118" i="180"/>
  <c r="M77" i="180"/>
  <c r="M159" i="180"/>
  <c r="U182" i="180"/>
  <c r="U184" i="180"/>
  <c r="U203" i="180"/>
  <c r="R215" i="179"/>
  <c r="L212" i="179"/>
  <c r="M208" i="179"/>
  <c r="R204" i="179"/>
  <c r="R199" i="179"/>
  <c r="R196" i="179"/>
  <c r="R193" i="179"/>
  <c r="R190" i="179"/>
  <c r="R187" i="179"/>
  <c r="R181" i="179"/>
  <c r="P178" i="179"/>
  <c r="M175" i="179"/>
  <c r="R171" i="179"/>
  <c r="R168" i="179"/>
  <c r="Q165" i="179"/>
  <c r="L162" i="179"/>
  <c r="R158" i="179"/>
  <c r="L155" i="179"/>
  <c r="R151" i="179"/>
  <c r="R148" i="179"/>
  <c r="R145" i="179"/>
  <c r="P142" i="179"/>
  <c r="Q138" i="179"/>
  <c r="L135" i="179"/>
  <c r="L131" i="179"/>
  <c r="P127" i="179"/>
  <c r="R123" i="179"/>
  <c r="R120" i="179"/>
  <c r="Q117" i="179"/>
  <c r="P114" i="179"/>
  <c r="Q110" i="179"/>
  <c r="R106" i="179"/>
  <c r="P103" i="179"/>
  <c r="P100" i="179"/>
  <c r="P97" i="179"/>
  <c r="P94" i="179"/>
  <c r="R89" i="179"/>
  <c r="R86" i="179"/>
  <c r="R83" i="179"/>
  <c r="R79" i="179"/>
  <c r="R76" i="179"/>
  <c r="R73" i="179"/>
  <c r="Q70" i="179"/>
  <c r="Q67" i="179"/>
  <c r="Q64" i="179"/>
  <c r="Q61" i="179"/>
  <c r="Q58" i="179"/>
  <c r="Q55" i="179"/>
  <c r="Q52" i="179"/>
  <c r="Q49" i="179"/>
  <c r="Q46" i="179"/>
  <c r="Q215" i="179"/>
  <c r="R211" i="179"/>
  <c r="R207" i="179"/>
  <c r="Q204" i="179"/>
  <c r="Q199" i="179"/>
  <c r="Q196" i="179"/>
  <c r="Q193" i="179"/>
  <c r="Q190" i="179"/>
  <c r="Q187" i="179"/>
  <c r="Q181" i="179"/>
  <c r="M178" i="179"/>
  <c r="R174" i="179"/>
  <c r="Q171" i="179"/>
  <c r="Q168" i="179"/>
  <c r="P165" i="179"/>
  <c r="R161" i="179"/>
  <c r="P158" i="179"/>
  <c r="R154" i="179"/>
  <c r="Q151" i="179"/>
  <c r="Q148" i="179"/>
  <c r="Q145" i="179"/>
  <c r="M142" i="179"/>
  <c r="P138" i="179"/>
  <c r="R134" i="179"/>
  <c r="R130" i="179"/>
  <c r="L127" i="179"/>
  <c r="Q123" i="179"/>
  <c r="P120" i="179"/>
  <c r="P117" i="179"/>
  <c r="L114" i="179"/>
  <c r="L110" i="179"/>
  <c r="Q106" i="179"/>
  <c r="M103" i="179"/>
  <c r="L100" i="179"/>
  <c r="L97" i="179"/>
  <c r="M94" i="179"/>
  <c r="Q89" i="179"/>
  <c r="Q86" i="179"/>
  <c r="Q83" i="179"/>
  <c r="Q79" i="179"/>
  <c r="Q76" i="179"/>
  <c r="Q73" i="179"/>
  <c r="P70" i="179"/>
  <c r="P67" i="179"/>
  <c r="P64" i="179"/>
  <c r="P61" i="179"/>
  <c r="P58" i="179"/>
  <c r="P55" i="179"/>
  <c r="P52" i="179"/>
  <c r="P49" i="179"/>
  <c r="P46" i="179"/>
  <c r="R213" i="179"/>
  <c r="M210" i="179"/>
  <c r="P206" i="179"/>
  <c r="P201" i="179"/>
  <c r="P198" i="179"/>
  <c r="P195" i="179"/>
  <c r="P192" i="179"/>
  <c r="P189" i="179"/>
  <c r="P186" i="179"/>
  <c r="R179" i="179"/>
  <c r="R176" i="179"/>
  <c r="P173" i="179"/>
  <c r="P170" i="179"/>
  <c r="P167" i="179"/>
  <c r="R163" i="179"/>
  <c r="Q160" i="179"/>
  <c r="R156" i="179"/>
  <c r="P153" i="179"/>
  <c r="P150" i="179"/>
  <c r="P147" i="179"/>
  <c r="L144" i="179"/>
  <c r="P140" i="179"/>
  <c r="M137" i="179"/>
  <c r="L133" i="179"/>
  <c r="M129" i="179"/>
  <c r="R125" i="179"/>
  <c r="P122" i="179"/>
  <c r="M119" i="179"/>
  <c r="L116" i="179"/>
  <c r="Q112" i="179"/>
  <c r="Q108" i="179"/>
  <c r="R104" i="179"/>
  <c r="R101" i="179"/>
  <c r="R98" i="179"/>
  <c r="R95" i="179"/>
  <c r="R92" i="179"/>
  <c r="P88" i="179"/>
  <c r="P85" i="179"/>
  <c r="R81" i="179"/>
  <c r="P78" i="179"/>
  <c r="P75" i="179"/>
  <c r="P72" i="179"/>
  <c r="M69" i="179"/>
  <c r="M66" i="179"/>
  <c r="L63" i="179"/>
  <c r="L60" i="179"/>
  <c r="L57" i="179"/>
  <c r="L54" i="179"/>
  <c r="L51" i="179"/>
  <c r="L48" i="179"/>
  <c r="L45" i="179"/>
  <c r="Q213" i="179"/>
  <c r="R209" i="179"/>
  <c r="M206" i="179"/>
  <c r="M201" i="179"/>
  <c r="M198" i="179"/>
  <c r="M195" i="179"/>
  <c r="M192" i="179"/>
  <c r="M189" i="179"/>
  <c r="M186" i="179"/>
  <c r="Q179" i="179"/>
  <c r="Q176" i="179"/>
  <c r="M173" i="179"/>
  <c r="L170" i="179"/>
  <c r="L167" i="179"/>
  <c r="Q163" i="179"/>
  <c r="P160" i="179"/>
  <c r="P156" i="179"/>
  <c r="M153" i="179"/>
  <c r="L150" i="179"/>
  <c r="L147" i="179"/>
  <c r="R143" i="179"/>
  <c r="L140" i="179"/>
  <c r="R136" i="179"/>
  <c r="R132" i="179"/>
  <c r="R128" i="179"/>
  <c r="P125" i="179"/>
  <c r="M122" i="179"/>
  <c r="R118" i="179"/>
  <c r="R115" i="179"/>
  <c r="L112" i="179"/>
  <c r="M108" i="179"/>
  <c r="Q104" i="179"/>
  <c r="Q101" i="179"/>
  <c r="Q98" i="179"/>
  <c r="Q95" i="179"/>
  <c r="Q92" i="179"/>
  <c r="M88" i="179"/>
  <c r="M85" i="179"/>
  <c r="Q81" i="179"/>
  <c r="M78" i="179"/>
  <c r="L75" i="179"/>
  <c r="L72" i="179"/>
  <c r="R68" i="179"/>
  <c r="R65" i="179"/>
  <c r="R62" i="179"/>
  <c r="R59" i="179"/>
  <c r="R56" i="179"/>
  <c r="R53" i="179"/>
  <c r="R50" i="179"/>
  <c r="R47" i="179"/>
  <c r="M44" i="179"/>
  <c r="P213" i="179"/>
  <c r="Q209" i="179"/>
  <c r="R205" i="179"/>
  <c r="R200" i="179"/>
  <c r="R197" i="179"/>
  <c r="R194" i="179"/>
  <c r="R191" i="179"/>
  <c r="R188" i="179"/>
  <c r="R185" i="179"/>
  <c r="P179" i="179"/>
  <c r="P176" i="179"/>
  <c r="R172" i="179"/>
  <c r="R169" i="179"/>
  <c r="R166" i="179"/>
  <c r="P163" i="179"/>
  <c r="L160" i="179"/>
  <c r="M156" i="179"/>
  <c r="R152" i="179"/>
  <c r="R149" i="179"/>
  <c r="R146" i="179"/>
  <c r="Q143" i="179"/>
  <c r="R139" i="179"/>
  <c r="P136" i="179"/>
  <c r="P132" i="179"/>
  <c r="Q128" i="179"/>
  <c r="M125" i="179"/>
  <c r="R121" i="179"/>
  <c r="Q118" i="179"/>
  <c r="P115" i="179"/>
  <c r="R111" i="179"/>
  <c r="R107" i="179"/>
  <c r="P104" i="179"/>
  <c r="P101" i="179"/>
  <c r="P98" i="179"/>
  <c r="P95" i="179"/>
  <c r="L92" i="179"/>
  <c r="R87" i="179"/>
  <c r="R84" i="179"/>
  <c r="L81" i="179"/>
  <c r="R77" i="179"/>
  <c r="R74" i="179"/>
  <c r="R71" i="179"/>
  <c r="Q68" i="179"/>
  <c r="Q65" i="179"/>
  <c r="Q62" i="179"/>
  <c r="Q59" i="179"/>
  <c r="Q56" i="179"/>
  <c r="Q53" i="179"/>
  <c r="Q50" i="179"/>
  <c r="Q47" i="179"/>
  <c r="M215" i="179"/>
  <c r="R208" i="179"/>
  <c r="Q201" i="179"/>
  <c r="M196" i="179"/>
  <c r="M191" i="179"/>
  <c r="Q185" i="179"/>
  <c r="P177" i="179"/>
  <c r="P171" i="179"/>
  <c r="L166" i="179"/>
  <c r="R160" i="179"/>
  <c r="L154" i="179"/>
  <c r="M149" i="179"/>
  <c r="P143" i="179"/>
  <c r="Q137" i="179"/>
  <c r="P130" i="179"/>
  <c r="P124" i="179"/>
  <c r="P119" i="179"/>
  <c r="Q113" i="179"/>
  <c r="L107" i="179"/>
  <c r="L101" i="179"/>
  <c r="P96" i="179"/>
  <c r="P89" i="179"/>
  <c r="P84" i="179"/>
  <c r="Q78" i="179"/>
  <c r="M73" i="179"/>
  <c r="R67" i="179"/>
  <c r="P62" i="179"/>
  <c r="Q57" i="179"/>
  <c r="M52" i="179"/>
  <c r="L47" i="179"/>
  <c r="R214" i="179"/>
  <c r="Q208" i="179"/>
  <c r="Q200" i="179"/>
  <c r="R195" i="179"/>
  <c r="P190" i="179"/>
  <c r="P185" i="179"/>
  <c r="M177" i="179"/>
  <c r="L171" i="179"/>
  <c r="R165" i="179"/>
  <c r="R159" i="179"/>
  <c r="R153" i="179"/>
  <c r="P148" i="179"/>
  <c r="L143" i="179"/>
  <c r="P137" i="179"/>
  <c r="L130" i="179"/>
  <c r="L124" i="179"/>
  <c r="P118" i="179"/>
  <c r="L113" i="179"/>
  <c r="L106" i="179"/>
  <c r="R100" i="179"/>
  <c r="L96" i="179"/>
  <c r="M89" i="179"/>
  <c r="L84" i="179"/>
  <c r="Q77" i="179"/>
  <c r="R72" i="179"/>
  <c r="L67" i="179"/>
  <c r="L62" i="179"/>
  <c r="P57" i="179"/>
  <c r="R51" i="179"/>
  <c r="R46" i="179"/>
  <c r="Q211" i="179"/>
  <c r="P205" i="179"/>
  <c r="Q198" i="179"/>
  <c r="M193" i="179"/>
  <c r="M188" i="179"/>
  <c r="M179" i="179"/>
  <c r="R173" i="179"/>
  <c r="P168" i="179"/>
  <c r="R162" i="179"/>
  <c r="M157" i="179"/>
  <c r="L151" i="179"/>
  <c r="L146" i="179"/>
  <c r="P139" i="179"/>
  <c r="R133" i="179"/>
  <c r="R126" i="179"/>
  <c r="P121" i="179"/>
  <c r="P116" i="179"/>
  <c r="Q109" i="179"/>
  <c r="Q103" i="179"/>
  <c r="L98" i="179"/>
  <c r="P93" i="179"/>
  <c r="P86" i="179"/>
  <c r="Q80" i="179"/>
  <c r="Q75" i="179"/>
  <c r="R69" i="179"/>
  <c r="R64" i="179"/>
  <c r="P59" i="179"/>
  <c r="Q54" i="179"/>
  <c r="L49" i="179"/>
  <c r="L211" i="179"/>
  <c r="M205" i="179"/>
  <c r="Q197" i="179"/>
  <c r="R192" i="179"/>
  <c r="P187" i="179"/>
  <c r="R178" i="179"/>
  <c r="Q173" i="179"/>
  <c r="L168" i="179"/>
  <c r="Q162" i="179"/>
  <c r="R155" i="179"/>
  <c r="R150" i="179"/>
  <c r="P145" i="179"/>
  <c r="L139" i="179"/>
  <c r="P133" i="179"/>
  <c r="Q126" i="179"/>
  <c r="M121" i="179"/>
  <c r="L115" i="179"/>
  <c r="M109" i="179"/>
  <c r="R102" i="179"/>
  <c r="R97" i="179"/>
  <c r="M93" i="179"/>
  <c r="M86" i="179"/>
  <c r="M80" i="179"/>
  <c r="Q74" i="179"/>
  <c r="Q69" i="179"/>
  <c r="M64" i="179"/>
  <c r="L59" i="179"/>
  <c r="P54" i="179"/>
  <c r="R48" i="179"/>
  <c r="R210" i="179"/>
  <c r="P204" i="179"/>
  <c r="P197" i="179"/>
  <c r="Q192" i="179"/>
  <c r="M187" i="179"/>
  <c r="Q178" i="179"/>
  <c r="Q172" i="179"/>
  <c r="R167" i="179"/>
  <c r="Q161" i="179"/>
  <c r="Q155" i="179"/>
  <c r="Q150" i="179"/>
  <c r="L145" i="179"/>
  <c r="R138" i="179"/>
  <c r="L132" i="179"/>
  <c r="P126" i="179"/>
  <c r="M120" i="179"/>
  <c r="R114" i="179"/>
  <c r="R108" i="179"/>
  <c r="Q102" i="179"/>
  <c r="Q97" i="179"/>
  <c r="R91" i="179"/>
  <c r="R85" i="179"/>
  <c r="P79" i="179"/>
  <c r="P74" i="179"/>
  <c r="P69" i="179"/>
  <c r="R63" i="179"/>
  <c r="R58" i="179"/>
  <c r="P53" i="179"/>
  <c r="Q48" i="179"/>
  <c r="Q214" i="179"/>
  <c r="M204" i="179"/>
  <c r="M194" i="179"/>
  <c r="L181" i="179"/>
  <c r="L172" i="179"/>
  <c r="L163" i="179"/>
  <c r="P152" i="179"/>
  <c r="R142" i="179"/>
  <c r="R131" i="179"/>
  <c r="Q122" i="179"/>
  <c r="Q111" i="179"/>
  <c r="L102" i="179"/>
  <c r="Q93" i="179"/>
  <c r="Q82" i="179"/>
  <c r="Q72" i="179"/>
  <c r="Q63" i="179"/>
  <c r="L55" i="179"/>
  <c r="R45" i="179"/>
  <c r="L214" i="179"/>
  <c r="R201" i="179"/>
  <c r="P193" i="179"/>
  <c r="R180" i="179"/>
  <c r="R170" i="179"/>
  <c r="P161" i="179"/>
  <c r="M152" i="179"/>
  <c r="R141" i="179"/>
  <c r="P131" i="179"/>
  <c r="Q121" i="179"/>
  <c r="M111" i="179"/>
  <c r="Q100" i="179"/>
  <c r="Q91" i="179"/>
  <c r="M82" i="179"/>
  <c r="Q71" i="179"/>
  <c r="P63" i="179"/>
  <c r="R54" i="179"/>
  <c r="Q45" i="179"/>
  <c r="Q207" i="179"/>
  <c r="M197" i="179"/>
  <c r="Q188" i="179"/>
  <c r="R175" i="179"/>
  <c r="Q166" i="179"/>
  <c r="P157" i="179"/>
  <c r="Q147" i="179"/>
  <c r="M136" i="179"/>
  <c r="M126" i="179"/>
  <c r="R116" i="179"/>
  <c r="Q105" i="179"/>
  <c r="Q96" i="179"/>
  <c r="M87" i="179"/>
  <c r="P76" i="179"/>
  <c r="R66" i="179"/>
  <c r="L58" i="179"/>
  <c r="L50" i="179"/>
  <c r="M207" i="179"/>
  <c r="P196" i="179"/>
  <c r="P188" i="179"/>
  <c r="Q175" i="179"/>
  <c r="L165" i="179"/>
  <c r="P155" i="179"/>
  <c r="Q146" i="179"/>
  <c r="R135" i="179"/>
  <c r="R124" i="179"/>
  <c r="Q116" i="179"/>
  <c r="L105" i="179"/>
  <c r="M95" i="179"/>
  <c r="Q85" i="179"/>
  <c r="L76" i="179"/>
  <c r="Q66" i="179"/>
  <c r="R57" i="179"/>
  <c r="R49" i="179"/>
  <c r="R206" i="179"/>
  <c r="Q195" i="179"/>
  <c r="R186" i="179"/>
  <c r="Q174" i="179"/>
  <c r="R164" i="179"/>
  <c r="P154" i="179"/>
  <c r="P146" i="179"/>
  <c r="P135" i="179"/>
  <c r="P123" i="179"/>
  <c r="Q114" i="179"/>
  <c r="M104" i="179"/>
  <c r="R94" i="179"/>
  <c r="Q84" i="179"/>
  <c r="R75" i="179"/>
  <c r="P66" i="179"/>
  <c r="P56" i="179"/>
  <c r="P48" i="179"/>
  <c r="L213" i="179"/>
  <c r="Q194" i="179"/>
  <c r="Q177" i="179"/>
  <c r="P159" i="179"/>
  <c r="P144" i="179"/>
  <c r="R127" i="179"/>
  <c r="Q107" i="179"/>
  <c r="L91" i="179"/>
  <c r="M74" i="179"/>
  <c r="Q60" i="179"/>
  <c r="R212" i="179"/>
  <c r="P194" i="179"/>
  <c r="M176" i="179"/>
  <c r="M159" i="179"/>
  <c r="P141" i="179"/>
  <c r="M123" i="179"/>
  <c r="P107" i="179"/>
  <c r="R88" i="179"/>
  <c r="P73" i="179"/>
  <c r="P60" i="179"/>
  <c r="P200" i="179"/>
  <c r="Q186" i="179"/>
  <c r="L169" i="179"/>
  <c r="Q149" i="179"/>
  <c r="L134" i="179"/>
  <c r="M117" i="179"/>
  <c r="P99" i="179"/>
  <c r="R80" i="179"/>
  <c r="P65" i="179"/>
  <c r="P51" i="179"/>
  <c r="M200" i="179"/>
  <c r="M185" i="179"/>
  <c r="Q167" i="179"/>
  <c r="P149" i="179"/>
  <c r="R129" i="179"/>
  <c r="R113" i="179"/>
  <c r="M99" i="179"/>
  <c r="M79" i="179"/>
  <c r="M65" i="179"/>
  <c r="P50" i="179"/>
  <c r="P199" i="179"/>
  <c r="Q180" i="179"/>
  <c r="Q164" i="179"/>
  <c r="L148" i="179"/>
  <c r="P129" i="179"/>
  <c r="R112" i="179"/>
  <c r="R96" i="179"/>
  <c r="R78" i="179"/>
  <c r="R61" i="179"/>
  <c r="P47" i="179"/>
  <c r="Q212" i="179"/>
  <c r="L180" i="179"/>
  <c r="Q152" i="179"/>
  <c r="R119" i="179"/>
  <c r="R93" i="179"/>
  <c r="M68" i="179"/>
  <c r="Q210" i="179"/>
  <c r="R177" i="179"/>
  <c r="P151" i="179"/>
  <c r="Q119" i="179"/>
  <c r="Q88" i="179"/>
  <c r="M61" i="179"/>
  <c r="Q206" i="179"/>
  <c r="P172" i="179"/>
  <c r="R144" i="179"/>
  <c r="R117" i="179"/>
  <c r="P87" i="179"/>
  <c r="L56" i="179"/>
  <c r="Q205" i="179"/>
  <c r="Q170" i="179"/>
  <c r="L141" i="179"/>
  <c r="R110" i="179"/>
  <c r="L83" i="179"/>
  <c r="R55" i="179"/>
  <c r="M199" i="179"/>
  <c r="Q169" i="179"/>
  <c r="R140" i="179"/>
  <c r="R109" i="179"/>
  <c r="R82" i="179"/>
  <c r="L53" i="179"/>
  <c r="Q191" i="179"/>
  <c r="L164" i="179"/>
  <c r="R137" i="179"/>
  <c r="R103" i="179"/>
  <c r="M77" i="179"/>
  <c r="Q51" i="179"/>
  <c r="P191" i="179"/>
  <c r="L161" i="179"/>
  <c r="P134" i="179"/>
  <c r="P102" i="179"/>
  <c r="L71" i="179"/>
  <c r="L46" i="179"/>
  <c r="M209" i="179"/>
  <c r="P128" i="179"/>
  <c r="P68" i="179"/>
  <c r="L174" i="179"/>
  <c r="R99" i="179"/>
  <c r="P169" i="179"/>
  <c r="Q99" i="179"/>
  <c r="M158" i="179"/>
  <c r="Q94" i="179"/>
  <c r="R157" i="179"/>
  <c r="Q87" i="179"/>
  <c r="M190" i="179"/>
  <c r="L70" i="179"/>
  <c r="Q189" i="179"/>
  <c r="R52" i="179"/>
  <c r="M128" i="179"/>
  <c r="R122" i="179"/>
  <c r="R198" i="179"/>
  <c r="R189" i="179"/>
  <c r="R147" i="179"/>
  <c r="M138" i="179"/>
  <c r="P77" i="179"/>
  <c r="R70" i="179"/>
  <c r="R60" i="179"/>
  <c r="Q153" i="179"/>
  <c r="M118" i="179"/>
  <c r="R105" i="179"/>
  <c r="P45" i="179"/>
  <c r="U90" i="179"/>
  <c r="U183" i="179"/>
  <c r="U202" i="179"/>
  <c r="U203" i="179"/>
  <c r="AU175" i="183" l="1"/>
  <c r="CK175" i="183"/>
  <c r="BG175" i="183"/>
  <c r="BS175" i="183"/>
  <c r="CQ175" i="183"/>
  <c r="W175" i="183"/>
  <c r="BM175" i="183"/>
  <c r="EY175" i="183"/>
  <c r="AI175" i="183"/>
  <c r="DU175" i="183"/>
  <c r="AO175" i="183"/>
  <c r="CE175" i="183"/>
  <c r="AC175" i="183"/>
  <c r="BA175" i="183"/>
  <c r="GC175" i="183"/>
  <c r="BY175" i="183"/>
  <c r="BO170" i="183"/>
  <c r="FA170" i="183"/>
  <c r="AK170" i="183"/>
  <c r="CA170" i="183"/>
  <c r="CM170" i="183"/>
  <c r="GE170" i="183"/>
  <c r="AQ170" i="183"/>
  <c r="CG170" i="183"/>
  <c r="BC170" i="183"/>
  <c r="AE170" i="183"/>
  <c r="Y170" i="183"/>
  <c r="DW170" i="183"/>
  <c r="CS170" i="183"/>
  <c r="BU170" i="183"/>
  <c r="BI170" i="183"/>
  <c r="AW170" i="183"/>
  <c r="BB63" i="183"/>
  <c r="CR63" i="183"/>
  <c r="X63" i="183"/>
  <c r="BN63" i="183"/>
  <c r="EZ63" i="183"/>
  <c r="AJ63" i="183"/>
  <c r="BZ63" i="183"/>
  <c r="AV63" i="183"/>
  <c r="CL63" i="183"/>
  <c r="BH63" i="183"/>
  <c r="DV63" i="183"/>
  <c r="AD63" i="183"/>
  <c r="BT63" i="183"/>
  <c r="GD63" i="183"/>
  <c r="AP63" i="183"/>
  <c r="CF63" i="183"/>
  <c r="EY136" i="183"/>
  <c r="AI136" i="183"/>
  <c r="BY136" i="183"/>
  <c r="AU136" i="183"/>
  <c r="CE136" i="183"/>
  <c r="BA136" i="183"/>
  <c r="CQ136" i="183"/>
  <c r="W136" i="183"/>
  <c r="BS136" i="183"/>
  <c r="DU136" i="183"/>
  <c r="AC136" i="183"/>
  <c r="BM136" i="183"/>
  <c r="GC136" i="183"/>
  <c r="BG136" i="183"/>
  <c r="AO136" i="183"/>
  <c r="CK136" i="183"/>
  <c r="AV137" i="183"/>
  <c r="CL137" i="183"/>
  <c r="BH137" i="183"/>
  <c r="CR137" i="183"/>
  <c r="X137" i="183"/>
  <c r="BN137" i="183"/>
  <c r="EZ137" i="183"/>
  <c r="AJ137" i="183"/>
  <c r="BT137" i="183"/>
  <c r="AP137" i="183"/>
  <c r="CF137" i="183"/>
  <c r="BB137" i="183"/>
  <c r="BZ137" i="183"/>
  <c r="DV137" i="183"/>
  <c r="GD137" i="183"/>
  <c r="AD137" i="183"/>
  <c r="EY96" i="183"/>
  <c r="DU96" i="183"/>
  <c r="GC96" i="183"/>
  <c r="AI96" i="183"/>
  <c r="BY96" i="183"/>
  <c r="AU96" i="183"/>
  <c r="CK96" i="183"/>
  <c r="BG96" i="183"/>
  <c r="AC96" i="183"/>
  <c r="BS96" i="183"/>
  <c r="AO96" i="183"/>
  <c r="CE96" i="183"/>
  <c r="CQ96" i="183"/>
  <c r="W96" i="183"/>
  <c r="BM96" i="183"/>
  <c r="BA96" i="183"/>
  <c r="CT48" i="183"/>
  <c r="Z48" i="183"/>
  <c r="BP48" i="183"/>
  <c r="FB48" i="183"/>
  <c r="AL48" i="183"/>
  <c r="CB48" i="183"/>
  <c r="AX48" i="183"/>
  <c r="CN48" i="183"/>
  <c r="BJ48" i="183"/>
  <c r="DX48" i="183"/>
  <c r="AF48" i="183"/>
  <c r="BV48" i="183"/>
  <c r="GF48" i="183"/>
  <c r="AR48" i="183"/>
  <c r="CH48" i="183"/>
  <c r="BD48" i="183"/>
  <c r="GD118" i="183"/>
  <c r="AP118" i="183"/>
  <c r="CF118" i="183"/>
  <c r="BB118" i="183"/>
  <c r="CL118" i="183"/>
  <c r="BH118" i="183"/>
  <c r="AJ118" i="183"/>
  <c r="EZ118" i="183"/>
  <c r="BT118" i="183"/>
  <c r="AV118" i="183"/>
  <c r="X118" i="183"/>
  <c r="BN118" i="183"/>
  <c r="DV118" i="183"/>
  <c r="CR118" i="183"/>
  <c r="BZ118" i="183"/>
  <c r="AD118" i="183"/>
  <c r="AU101" i="183"/>
  <c r="BG101" i="183"/>
  <c r="DU101" i="183"/>
  <c r="AC101" i="183"/>
  <c r="BS101" i="183"/>
  <c r="GC101" i="183"/>
  <c r="AO101" i="183"/>
  <c r="CE101" i="183"/>
  <c r="BA101" i="183"/>
  <c r="CQ101" i="183"/>
  <c r="W101" i="183"/>
  <c r="BM101" i="183"/>
  <c r="EY101" i="183"/>
  <c r="AI101" i="183"/>
  <c r="BY101" i="183"/>
  <c r="CK101" i="183"/>
  <c r="GD88" i="183"/>
  <c r="AP88" i="183"/>
  <c r="BB88" i="183"/>
  <c r="CR88" i="183"/>
  <c r="X88" i="183"/>
  <c r="BN88" i="183"/>
  <c r="EZ88" i="183"/>
  <c r="AJ88" i="183"/>
  <c r="BZ88" i="183"/>
  <c r="AV88" i="183"/>
  <c r="CL88" i="183"/>
  <c r="DV88" i="183"/>
  <c r="AD88" i="183"/>
  <c r="BT88" i="183"/>
  <c r="BH88" i="183"/>
  <c r="CF88" i="183"/>
  <c r="GC60" i="183"/>
  <c r="EY60" i="183"/>
  <c r="DU60" i="183"/>
  <c r="AO60" i="183"/>
  <c r="CE60" i="183"/>
  <c r="BA60" i="183"/>
  <c r="CQ60" i="183"/>
  <c r="W60" i="183"/>
  <c r="BM60" i="183"/>
  <c r="AI60" i="183"/>
  <c r="BY60" i="183"/>
  <c r="AU60" i="183"/>
  <c r="CK60" i="183"/>
  <c r="BG60" i="183"/>
  <c r="AC60" i="183"/>
  <c r="BS60" i="183"/>
  <c r="DV140" i="183"/>
  <c r="AD140" i="183"/>
  <c r="BT140" i="183"/>
  <c r="GD140" i="183"/>
  <c r="AP140" i="183"/>
  <c r="BZ140" i="183"/>
  <c r="AV140" i="183"/>
  <c r="CL140" i="183"/>
  <c r="CR140" i="183"/>
  <c r="X140" i="183"/>
  <c r="EZ140" i="183"/>
  <c r="AJ140" i="183"/>
  <c r="BB140" i="183"/>
  <c r="CF140" i="183"/>
  <c r="BN140" i="183"/>
  <c r="BH140" i="183"/>
  <c r="AV54" i="183"/>
  <c r="CL54" i="183"/>
  <c r="BH54" i="183"/>
  <c r="DV54" i="183"/>
  <c r="AD54" i="183"/>
  <c r="BT54" i="183"/>
  <c r="GD54" i="183"/>
  <c r="AP54" i="183"/>
  <c r="CF54" i="183"/>
  <c r="BB54" i="183"/>
  <c r="CR54" i="183"/>
  <c r="X54" i="183"/>
  <c r="BN54" i="183"/>
  <c r="EZ54" i="183"/>
  <c r="AJ54" i="183"/>
  <c r="BZ54" i="183"/>
  <c r="BZ133" i="183"/>
  <c r="AV133" i="183"/>
  <c r="CL133" i="183"/>
  <c r="BB133" i="183"/>
  <c r="CR133" i="183"/>
  <c r="X133" i="183"/>
  <c r="BN133" i="183"/>
  <c r="BH133" i="183"/>
  <c r="EZ133" i="183"/>
  <c r="AJ133" i="183"/>
  <c r="CF133" i="183"/>
  <c r="GD133" i="183"/>
  <c r="AP133" i="183"/>
  <c r="DV133" i="183"/>
  <c r="AD133" i="183"/>
  <c r="BT133" i="183"/>
  <c r="BC48" i="183"/>
  <c r="CS48" i="183"/>
  <c r="Y48" i="183"/>
  <c r="BO48" i="183"/>
  <c r="FA48" i="183"/>
  <c r="AK48" i="183"/>
  <c r="CA48" i="183"/>
  <c r="AW48" i="183"/>
  <c r="CM48" i="183"/>
  <c r="BI48" i="183"/>
  <c r="DW48" i="183"/>
  <c r="AE48" i="183"/>
  <c r="BU48" i="183"/>
  <c r="GE48" i="183"/>
  <c r="AQ48" i="183"/>
  <c r="CG48" i="183"/>
  <c r="DV126" i="183"/>
  <c r="AD126" i="183"/>
  <c r="BT126" i="183"/>
  <c r="GD126" i="183"/>
  <c r="AP126" i="183"/>
  <c r="BZ126" i="183"/>
  <c r="AV126" i="183"/>
  <c r="CL126" i="183"/>
  <c r="CR126" i="183"/>
  <c r="X126" i="183"/>
  <c r="EZ126" i="183"/>
  <c r="BB126" i="183"/>
  <c r="BN126" i="183"/>
  <c r="CF126" i="183"/>
  <c r="BH126" i="183"/>
  <c r="AJ126" i="183"/>
  <c r="GF210" i="183"/>
  <c r="AR210" i="183"/>
  <c r="FB210" i="183"/>
  <c r="AF210" i="183"/>
  <c r="BJ210" i="183"/>
  <c r="CN210" i="183"/>
  <c r="BP210" i="183"/>
  <c r="CT210" i="183"/>
  <c r="AX210" i="183"/>
  <c r="AL210" i="183"/>
  <c r="CH210" i="183"/>
  <c r="DX210" i="183"/>
  <c r="Z210" i="183"/>
  <c r="BD210" i="183"/>
  <c r="CB210" i="183"/>
  <c r="BV210" i="183"/>
  <c r="BA109" i="183"/>
  <c r="CK109" i="183"/>
  <c r="DU109" i="183"/>
  <c r="CE109" i="183"/>
  <c r="BG109" i="183"/>
  <c r="AO109" i="183"/>
  <c r="GC109" i="183"/>
  <c r="EY109" i="183"/>
  <c r="AI109" i="183"/>
  <c r="BY109" i="183"/>
  <c r="BS109" i="183"/>
  <c r="AC109" i="183"/>
  <c r="CQ109" i="183"/>
  <c r="AU109" i="183"/>
  <c r="W109" i="183"/>
  <c r="BM109" i="183"/>
  <c r="BJ192" i="183"/>
  <c r="DX192" i="183"/>
  <c r="BV192" i="183"/>
  <c r="GF192" i="183"/>
  <c r="CB192" i="183"/>
  <c r="CN192" i="183"/>
  <c r="AX192" i="183"/>
  <c r="BP192" i="183"/>
  <c r="FB192" i="183"/>
  <c r="CH192" i="183"/>
  <c r="CT192" i="183"/>
  <c r="BD192" i="183"/>
  <c r="AL192" i="183"/>
  <c r="AR192" i="183"/>
  <c r="AF192" i="183"/>
  <c r="Z192" i="183"/>
  <c r="GE96" i="183"/>
  <c r="AW96" i="183"/>
  <c r="CM96" i="183"/>
  <c r="FA96" i="183"/>
  <c r="BI96" i="183"/>
  <c r="AE96" i="183"/>
  <c r="DW96" i="183"/>
  <c r="BU96" i="183"/>
  <c r="AQ96" i="183"/>
  <c r="CG96" i="183"/>
  <c r="BC96" i="183"/>
  <c r="CS96" i="183"/>
  <c r="Y96" i="183"/>
  <c r="AK96" i="183"/>
  <c r="CA96" i="183"/>
  <c r="BO96" i="183"/>
  <c r="BO177" i="183"/>
  <c r="GE177" i="183"/>
  <c r="AQ177" i="183"/>
  <c r="CG177" i="183"/>
  <c r="BC177" i="183"/>
  <c r="CS177" i="183"/>
  <c r="CM177" i="183"/>
  <c r="BI177" i="183"/>
  <c r="DW177" i="183"/>
  <c r="CA177" i="183"/>
  <c r="AK177" i="183"/>
  <c r="AE177" i="183"/>
  <c r="Y177" i="183"/>
  <c r="AW177" i="183"/>
  <c r="BU177" i="183"/>
  <c r="FA177" i="183"/>
  <c r="DW83" i="183"/>
  <c r="GE83" i="183"/>
  <c r="CG83" i="183"/>
  <c r="BU83" i="183"/>
  <c r="AQ83" i="183"/>
  <c r="CM83" i="183"/>
  <c r="FA83" i="183"/>
  <c r="BC83" i="183"/>
  <c r="Y83" i="183"/>
  <c r="BO83" i="183"/>
  <c r="AK83" i="183"/>
  <c r="CA83" i="183"/>
  <c r="AW83" i="183"/>
  <c r="CS83" i="183"/>
  <c r="BI83" i="183"/>
  <c r="AE83" i="183"/>
  <c r="BT165" i="183"/>
  <c r="GD165" i="183"/>
  <c r="AP165" i="183"/>
  <c r="CF165" i="183"/>
  <c r="BN165" i="183"/>
  <c r="AV165" i="183"/>
  <c r="CL165" i="183"/>
  <c r="BH165" i="183"/>
  <c r="BZ165" i="183"/>
  <c r="EZ165" i="183"/>
  <c r="BB165" i="183"/>
  <c r="AJ165" i="183"/>
  <c r="DV165" i="183"/>
  <c r="AD165" i="183"/>
  <c r="X165" i="183"/>
  <c r="CR165" i="183"/>
  <c r="CH58" i="183"/>
  <c r="BD58" i="183"/>
  <c r="CT58" i="183"/>
  <c r="Z58" i="183"/>
  <c r="BP58" i="183"/>
  <c r="FB58" i="183"/>
  <c r="AL58" i="183"/>
  <c r="CB58" i="183"/>
  <c r="AX58" i="183"/>
  <c r="CN58" i="183"/>
  <c r="BJ58" i="183"/>
  <c r="DX58" i="183"/>
  <c r="AF58" i="183"/>
  <c r="BV58" i="183"/>
  <c r="GF58" i="183"/>
  <c r="AR58" i="183"/>
  <c r="FA97" i="183"/>
  <c r="AK97" i="183"/>
  <c r="AW97" i="183"/>
  <c r="CM97" i="183"/>
  <c r="BI97" i="183"/>
  <c r="DW97" i="183"/>
  <c r="AE97" i="183"/>
  <c r="BU97" i="183"/>
  <c r="GE97" i="183"/>
  <c r="AQ97" i="183"/>
  <c r="CG97" i="183"/>
  <c r="BC97" i="183"/>
  <c r="CS97" i="183"/>
  <c r="Y97" i="183"/>
  <c r="CA97" i="183"/>
  <c r="BO97" i="183"/>
  <c r="DX138" i="183"/>
  <c r="AF138" i="183"/>
  <c r="BV138" i="183"/>
  <c r="GF138" i="183"/>
  <c r="AR138" i="183"/>
  <c r="CB138" i="183"/>
  <c r="AX138" i="183"/>
  <c r="CN138" i="183"/>
  <c r="FB138" i="183"/>
  <c r="BJ138" i="183"/>
  <c r="CH138" i="183"/>
  <c r="BD138" i="183"/>
  <c r="CT138" i="183"/>
  <c r="BP138" i="183"/>
  <c r="AL138" i="183"/>
  <c r="Z138" i="183"/>
  <c r="FA178" i="183"/>
  <c r="AK178" i="183"/>
  <c r="AW178" i="183"/>
  <c r="CG178" i="183"/>
  <c r="BC178" i="183"/>
  <c r="CS178" i="183"/>
  <c r="Y178" i="183"/>
  <c r="AQ178" i="183"/>
  <c r="GE178" i="183"/>
  <c r="BI178" i="183"/>
  <c r="BU178" i="183"/>
  <c r="CA178" i="183"/>
  <c r="DW178" i="183"/>
  <c r="AE178" i="183"/>
  <c r="CM178" i="183"/>
  <c r="BO178" i="183"/>
  <c r="EY53" i="183"/>
  <c r="AI53" i="183"/>
  <c r="BY53" i="183"/>
  <c r="AU53" i="183"/>
  <c r="CK53" i="183"/>
  <c r="BG53" i="183"/>
  <c r="DU53" i="183"/>
  <c r="AC53" i="183"/>
  <c r="BS53" i="183"/>
  <c r="GC53" i="183"/>
  <c r="AO53" i="183"/>
  <c r="CE53" i="183"/>
  <c r="BA53" i="183"/>
  <c r="CQ53" i="183"/>
  <c r="W53" i="183"/>
  <c r="BM53" i="183"/>
  <c r="BC91" i="183"/>
  <c r="BO91" i="183"/>
  <c r="FA91" i="183"/>
  <c r="AK91" i="183"/>
  <c r="CA91" i="183"/>
  <c r="AW91" i="183"/>
  <c r="CM91" i="183"/>
  <c r="BI91" i="183"/>
  <c r="DW91" i="183"/>
  <c r="AE91" i="183"/>
  <c r="GE91" i="183"/>
  <c r="AQ91" i="183"/>
  <c r="CG91" i="183"/>
  <c r="Y91" i="183"/>
  <c r="CS91" i="183"/>
  <c r="BU91" i="183"/>
  <c r="FB131" i="183"/>
  <c r="AL131" i="183"/>
  <c r="CB131" i="183"/>
  <c r="AX131" i="183"/>
  <c r="CH131" i="183"/>
  <c r="BD131" i="183"/>
  <c r="CT131" i="183"/>
  <c r="Z131" i="183"/>
  <c r="BP131" i="183"/>
  <c r="GF131" i="183"/>
  <c r="AR131" i="183"/>
  <c r="BJ131" i="183"/>
  <c r="CN131" i="183"/>
  <c r="DX131" i="183"/>
  <c r="BV131" i="183"/>
  <c r="AF131" i="183"/>
  <c r="EZ172" i="183"/>
  <c r="AJ172" i="183"/>
  <c r="BZ172" i="183"/>
  <c r="AV172" i="183"/>
  <c r="BH172" i="183"/>
  <c r="CF172" i="183"/>
  <c r="BB172" i="183"/>
  <c r="CR172" i="183"/>
  <c r="X172" i="183"/>
  <c r="BT172" i="183"/>
  <c r="CL172" i="183"/>
  <c r="AD172" i="183"/>
  <c r="DV172" i="183"/>
  <c r="AP172" i="183"/>
  <c r="GD172" i="183"/>
  <c r="BN172" i="183"/>
  <c r="CG47" i="183"/>
  <c r="BC47" i="183"/>
  <c r="CS47" i="183"/>
  <c r="Y47" i="183"/>
  <c r="BO47" i="183"/>
  <c r="FA47" i="183"/>
  <c r="AK47" i="183"/>
  <c r="CA47" i="183"/>
  <c r="AW47" i="183"/>
  <c r="CM47" i="183"/>
  <c r="BI47" i="183"/>
  <c r="DW47" i="183"/>
  <c r="AE47" i="183"/>
  <c r="BU47" i="183"/>
  <c r="GE47" i="183"/>
  <c r="AQ47" i="183"/>
  <c r="DX84" i="183"/>
  <c r="GF84" i="183"/>
  <c r="AR84" i="183"/>
  <c r="CH84" i="183"/>
  <c r="BD84" i="183"/>
  <c r="CT84" i="183"/>
  <c r="Z84" i="183"/>
  <c r="BP84" i="183"/>
  <c r="FB84" i="183"/>
  <c r="AL84" i="183"/>
  <c r="CB84" i="183"/>
  <c r="CN84" i="183"/>
  <c r="AX84" i="183"/>
  <c r="AF84" i="183"/>
  <c r="BV84" i="183"/>
  <c r="BJ84" i="183"/>
  <c r="CK125" i="183"/>
  <c r="BG125" i="183"/>
  <c r="DU125" i="183"/>
  <c r="AC125" i="183"/>
  <c r="BM125" i="183"/>
  <c r="EY125" i="183"/>
  <c r="AI125" i="183"/>
  <c r="BY125" i="183"/>
  <c r="BS125" i="183"/>
  <c r="AU125" i="183"/>
  <c r="CQ125" i="183"/>
  <c r="W125" i="183"/>
  <c r="BA125" i="183"/>
  <c r="AO125" i="183"/>
  <c r="GC125" i="183"/>
  <c r="CE125" i="183"/>
  <c r="BD166" i="183"/>
  <c r="CT166" i="183"/>
  <c r="Z166" i="183"/>
  <c r="BP166" i="183"/>
  <c r="AX166" i="183"/>
  <c r="DX166" i="183"/>
  <c r="AF166" i="183"/>
  <c r="BV166" i="183"/>
  <c r="GF166" i="183"/>
  <c r="AR166" i="183"/>
  <c r="CN166" i="183"/>
  <c r="BJ166" i="183"/>
  <c r="CH166" i="183"/>
  <c r="FB166" i="183"/>
  <c r="CB166" i="183"/>
  <c r="AL166" i="183"/>
  <c r="CM209" i="183"/>
  <c r="DW209" i="183"/>
  <c r="AE209" i="183"/>
  <c r="BO209" i="183"/>
  <c r="FA209" i="183"/>
  <c r="AK209" i="183"/>
  <c r="CA209" i="183"/>
  <c r="CS209" i="183"/>
  <c r="GE209" i="183"/>
  <c r="AW209" i="183"/>
  <c r="BI209" i="183"/>
  <c r="BU209" i="183"/>
  <c r="AQ209" i="183"/>
  <c r="CG209" i="183"/>
  <c r="Y209" i="183"/>
  <c r="BC209" i="183"/>
  <c r="CE75" i="183"/>
  <c r="BA75" i="183"/>
  <c r="CQ75" i="183"/>
  <c r="W75" i="183"/>
  <c r="BM75" i="183"/>
  <c r="EY75" i="183"/>
  <c r="AI75" i="183"/>
  <c r="BY75" i="183"/>
  <c r="AU75" i="183"/>
  <c r="CK75" i="183"/>
  <c r="BG75" i="183"/>
  <c r="DU75" i="183"/>
  <c r="AC75" i="183"/>
  <c r="BS75" i="183"/>
  <c r="GC75" i="183"/>
  <c r="AO75" i="183"/>
  <c r="BV115" i="183"/>
  <c r="GF115" i="183"/>
  <c r="AR115" i="183"/>
  <c r="CN115" i="183"/>
  <c r="BD115" i="183"/>
  <c r="FB115" i="183"/>
  <c r="AL115" i="183"/>
  <c r="CT115" i="183"/>
  <c r="BP115" i="183"/>
  <c r="CH115" i="183"/>
  <c r="BJ115" i="183"/>
  <c r="CB115" i="183"/>
  <c r="AX115" i="183"/>
  <c r="AF115" i="183"/>
  <c r="Z115" i="183"/>
  <c r="DX115" i="183"/>
  <c r="CF156" i="183"/>
  <c r="BB156" i="183"/>
  <c r="CR156" i="183"/>
  <c r="X156" i="183"/>
  <c r="BH156" i="183"/>
  <c r="DV156" i="183"/>
  <c r="AD156" i="183"/>
  <c r="BT156" i="183"/>
  <c r="AV156" i="183"/>
  <c r="BZ156" i="183"/>
  <c r="EZ156" i="183"/>
  <c r="BN156" i="183"/>
  <c r="AJ156" i="183"/>
  <c r="CL156" i="183"/>
  <c r="AP156" i="183"/>
  <c r="GD156" i="183"/>
  <c r="CE198" i="183"/>
  <c r="BG198" i="183"/>
  <c r="DU198" i="183"/>
  <c r="AC198" i="183"/>
  <c r="BS198" i="183"/>
  <c r="GC198" i="183"/>
  <c r="BM198" i="183"/>
  <c r="CK198" i="183"/>
  <c r="AO198" i="183"/>
  <c r="EY198" i="183"/>
  <c r="CQ198" i="183"/>
  <c r="AU198" i="183"/>
  <c r="W198" i="183"/>
  <c r="BA198" i="183"/>
  <c r="BY198" i="183"/>
  <c r="AI198" i="183"/>
  <c r="EY67" i="183"/>
  <c r="AI67" i="183"/>
  <c r="BY67" i="183"/>
  <c r="AU67" i="183"/>
  <c r="CK67" i="183"/>
  <c r="BG67" i="183"/>
  <c r="DU67" i="183"/>
  <c r="AC67" i="183"/>
  <c r="BS67" i="183"/>
  <c r="GC67" i="183"/>
  <c r="AO67" i="183"/>
  <c r="CE67" i="183"/>
  <c r="BA67" i="183"/>
  <c r="CQ67" i="183"/>
  <c r="W67" i="183"/>
  <c r="BM67" i="183"/>
  <c r="BS106" i="183"/>
  <c r="DU106" i="183"/>
  <c r="BY106" i="183"/>
  <c r="BA106" i="183"/>
  <c r="CE106" i="183"/>
  <c r="W106" i="183"/>
  <c r="BM106" i="183"/>
  <c r="AO106" i="183"/>
  <c r="BG106" i="183"/>
  <c r="CQ106" i="183"/>
  <c r="AI106" i="183"/>
  <c r="GC106" i="183"/>
  <c r="CK106" i="183"/>
  <c r="AC106" i="183"/>
  <c r="AU106" i="183"/>
  <c r="EY106" i="183"/>
  <c r="AV148" i="183"/>
  <c r="CL148" i="183"/>
  <c r="BH148" i="183"/>
  <c r="CR148" i="183"/>
  <c r="X148" i="183"/>
  <c r="BN148" i="183"/>
  <c r="EZ148" i="183"/>
  <c r="AJ148" i="183"/>
  <c r="GD148" i="183"/>
  <c r="CF148" i="183"/>
  <c r="BB148" i="183"/>
  <c r="BZ148" i="183"/>
  <c r="BT148" i="183"/>
  <c r="AD148" i="183"/>
  <c r="DV148" i="183"/>
  <c r="AP148" i="183"/>
  <c r="GD190" i="183"/>
  <c r="AP190" i="183"/>
  <c r="CF190" i="183"/>
  <c r="BB190" i="183"/>
  <c r="BH190" i="183"/>
  <c r="DV190" i="183"/>
  <c r="AD190" i="183"/>
  <c r="X190" i="183"/>
  <c r="CR190" i="183"/>
  <c r="BT190" i="183"/>
  <c r="AV190" i="183"/>
  <c r="EZ190" i="183"/>
  <c r="BZ190" i="183"/>
  <c r="BN190" i="183"/>
  <c r="CL190" i="183"/>
  <c r="AJ190" i="183"/>
  <c r="GE58" i="183"/>
  <c r="AQ58" i="183"/>
  <c r="CG58" i="183"/>
  <c r="BC58" i="183"/>
  <c r="CS58" i="183"/>
  <c r="Y58" i="183"/>
  <c r="BO58" i="183"/>
  <c r="FA58" i="183"/>
  <c r="AK58" i="183"/>
  <c r="CA58" i="183"/>
  <c r="AW58" i="183"/>
  <c r="CM58" i="183"/>
  <c r="BI58" i="183"/>
  <c r="DW58" i="183"/>
  <c r="AE58" i="183"/>
  <c r="BU58" i="183"/>
  <c r="BN97" i="183"/>
  <c r="BZ97" i="183"/>
  <c r="AV97" i="183"/>
  <c r="CL97" i="183"/>
  <c r="BH97" i="183"/>
  <c r="DV97" i="183"/>
  <c r="AD97" i="183"/>
  <c r="BT97" i="183"/>
  <c r="GD97" i="183"/>
  <c r="AP97" i="183"/>
  <c r="CF97" i="183"/>
  <c r="BB97" i="183"/>
  <c r="AJ97" i="183"/>
  <c r="EZ97" i="183"/>
  <c r="CR97" i="183"/>
  <c r="X97" i="183"/>
  <c r="BI138" i="183"/>
  <c r="DW138" i="183"/>
  <c r="AE138" i="183"/>
  <c r="BU138" i="183"/>
  <c r="FA138" i="183"/>
  <c r="AK138" i="183"/>
  <c r="CA138" i="183"/>
  <c r="AW138" i="183"/>
  <c r="Y138" i="183"/>
  <c r="CM138" i="183"/>
  <c r="GE138" i="183"/>
  <c r="CG138" i="183"/>
  <c r="AQ138" i="183"/>
  <c r="BO138" i="183"/>
  <c r="CS138" i="183"/>
  <c r="BC138" i="183"/>
  <c r="BN178" i="183"/>
  <c r="EZ178" i="183"/>
  <c r="BZ178" i="183"/>
  <c r="GD178" i="183"/>
  <c r="AP178" i="183"/>
  <c r="CF178" i="183"/>
  <c r="BB178" i="183"/>
  <c r="CL178" i="183"/>
  <c r="AJ178" i="183"/>
  <c r="AV178" i="183"/>
  <c r="X178" i="183"/>
  <c r="CR178" i="183"/>
  <c r="BT178" i="183"/>
  <c r="AD178" i="183"/>
  <c r="BH178" i="183"/>
  <c r="DV178" i="183"/>
  <c r="DU176" i="183"/>
  <c r="BS176" i="183"/>
  <c r="GC176" i="183"/>
  <c r="CQ176" i="183"/>
  <c r="BY176" i="183"/>
  <c r="BG176" i="183"/>
  <c r="AC176" i="183"/>
  <c r="AO176" i="183"/>
  <c r="CE176" i="183"/>
  <c r="BM176" i="183"/>
  <c r="AI176" i="183"/>
  <c r="W176" i="183"/>
  <c r="BA176" i="183"/>
  <c r="AU176" i="183"/>
  <c r="CK176" i="183"/>
  <c r="EY176" i="183"/>
  <c r="CF129" i="183"/>
  <c r="BB129" i="183"/>
  <c r="CR129" i="183"/>
  <c r="X129" i="183"/>
  <c r="BH129" i="183"/>
  <c r="DV129" i="183"/>
  <c r="AD129" i="183"/>
  <c r="BT129" i="183"/>
  <c r="AV129" i="183"/>
  <c r="BZ129" i="183"/>
  <c r="CL129" i="183"/>
  <c r="AJ129" i="183"/>
  <c r="BN129" i="183"/>
  <c r="AP129" i="183"/>
  <c r="GD129" i="183"/>
  <c r="EZ129" i="183"/>
  <c r="CK163" i="183"/>
  <c r="BG163" i="183"/>
  <c r="DU163" i="183"/>
  <c r="AC163" i="183"/>
  <c r="CE163" i="183"/>
  <c r="BM163" i="183"/>
  <c r="EY163" i="183"/>
  <c r="AI163" i="183"/>
  <c r="BY163" i="183"/>
  <c r="AO163" i="183"/>
  <c r="BS163" i="183"/>
  <c r="BA163" i="183"/>
  <c r="AU163" i="183"/>
  <c r="CQ163" i="183"/>
  <c r="W163" i="183"/>
  <c r="GC163" i="183"/>
  <c r="BG164" i="183"/>
  <c r="DU164" i="183"/>
  <c r="AC164" i="183"/>
  <c r="BS164" i="183"/>
  <c r="BA164" i="183"/>
  <c r="EY164" i="183"/>
  <c r="AI164" i="183"/>
  <c r="BY164" i="183"/>
  <c r="AU164" i="183"/>
  <c r="BM164" i="183"/>
  <c r="GC164" i="183"/>
  <c r="CK164" i="183"/>
  <c r="AO164" i="183"/>
  <c r="CQ164" i="183"/>
  <c r="CE164" i="183"/>
  <c r="W164" i="183"/>
  <c r="CM122" i="183"/>
  <c r="BI122" i="183"/>
  <c r="CS122" i="183"/>
  <c r="BO122" i="183"/>
  <c r="FA122" i="183"/>
  <c r="BU122" i="183"/>
  <c r="AK122" i="183"/>
  <c r="BC122" i="183"/>
  <c r="AW122" i="183"/>
  <c r="Y122" i="183"/>
  <c r="GE122" i="183"/>
  <c r="AQ122" i="183"/>
  <c r="DW122" i="183"/>
  <c r="AE122" i="183"/>
  <c r="CG122" i="183"/>
  <c r="CA122" i="183"/>
  <c r="BS73" i="183"/>
  <c r="GC73" i="183"/>
  <c r="AO73" i="183"/>
  <c r="CE73" i="183"/>
  <c r="BA73" i="183"/>
  <c r="CQ73" i="183"/>
  <c r="W73" i="183"/>
  <c r="BM73" i="183"/>
  <c r="EY73" i="183"/>
  <c r="AI73" i="183"/>
  <c r="BY73" i="183"/>
  <c r="AU73" i="183"/>
  <c r="CK73" i="183"/>
  <c r="BG73" i="183"/>
  <c r="DU73" i="183"/>
  <c r="AC73" i="183"/>
  <c r="BM132" i="183"/>
  <c r="EY132" i="183"/>
  <c r="AI132" i="183"/>
  <c r="BY132" i="183"/>
  <c r="GC132" i="183"/>
  <c r="AO132" i="183"/>
  <c r="CE132" i="183"/>
  <c r="BA132" i="183"/>
  <c r="BG132" i="183"/>
  <c r="AC132" i="183"/>
  <c r="BS132" i="183"/>
  <c r="CQ132" i="183"/>
  <c r="CK132" i="183"/>
  <c r="W132" i="183"/>
  <c r="AU132" i="183"/>
  <c r="DU132" i="183"/>
  <c r="BY134" i="183"/>
  <c r="AU134" i="183"/>
  <c r="CK134" i="183"/>
  <c r="BA134" i="183"/>
  <c r="CQ134" i="183"/>
  <c r="W134" i="183"/>
  <c r="BM134" i="183"/>
  <c r="DU134" i="183"/>
  <c r="AC134" i="183"/>
  <c r="EY134" i="183"/>
  <c r="BG134" i="183"/>
  <c r="AI134" i="183"/>
  <c r="BS134" i="183"/>
  <c r="CE134" i="183"/>
  <c r="AO134" i="183"/>
  <c r="GC134" i="183"/>
  <c r="BJ134" i="183"/>
  <c r="DX134" i="183"/>
  <c r="AF134" i="183"/>
  <c r="BV134" i="183"/>
  <c r="FB134" i="183"/>
  <c r="AL134" i="183"/>
  <c r="CB134" i="183"/>
  <c r="AX134" i="183"/>
  <c r="BD134" i="183"/>
  <c r="CH134" i="183"/>
  <c r="CT134" i="183"/>
  <c r="BP134" i="183"/>
  <c r="Z134" i="183"/>
  <c r="GF134" i="183"/>
  <c r="AR134" i="183"/>
  <c r="CN134" i="183"/>
  <c r="DU127" i="183"/>
  <c r="AC127" i="183"/>
  <c r="BS127" i="183"/>
  <c r="GC127" i="183"/>
  <c r="AO127" i="183"/>
  <c r="BY127" i="183"/>
  <c r="AU127" i="183"/>
  <c r="CK127" i="183"/>
  <c r="CQ127" i="183"/>
  <c r="W127" i="183"/>
  <c r="EY127" i="183"/>
  <c r="AI127" i="183"/>
  <c r="BA127" i="183"/>
  <c r="CE127" i="183"/>
  <c r="BM127" i="183"/>
  <c r="BG127" i="183"/>
  <c r="CK115" i="183"/>
  <c r="BG115" i="183"/>
  <c r="EY115" i="183"/>
  <c r="AI115" i="183"/>
  <c r="GC115" i="183"/>
  <c r="BY115" i="183"/>
  <c r="AO115" i="183"/>
  <c r="CQ115" i="183"/>
  <c r="W115" i="183"/>
  <c r="DU115" i="183"/>
  <c r="CE115" i="183"/>
  <c r="AC115" i="183"/>
  <c r="AU115" i="183"/>
  <c r="BM115" i="183"/>
  <c r="BA115" i="183"/>
  <c r="BS115" i="183"/>
  <c r="DX101" i="183"/>
  <c r="AF101" i="183"/>
  <c r="GF101" i="183"/>
  <c r="AR101" i="183"/>
  <c r="CH101" i="183"/>
  <c r="BD101" i="183"/>
  <c r="CT101" i="183"/>
  <c r="Z101" i="183"/>
  <c r="BP101" i="183"/>
  <c r="FB101" i="183"/>
  <c r="AL101" i="183"/>
  <c r="CB101" i="183"/>
  <c r="AX101" i="183"/>
  <c r="CN101" i="183"/>
  <c r="BV101" i="183"/>
  <c r="BJ101" i="183"/>
  <c r="BM66" i="183"/>
  <c r="EY66" i="183"/>
  <c r="AI66" i="183"/>
  <c r="BY66" i="183"/>
  <c r="AU66" i="183"/>
  <c r="CK66" i="183"/>
  <c r="BG66" i="183"/>
  <c r="DU66" i="183"/>
  <c r="AC66" i="183"/>
  <c r="BS66" i="183"/>
  <c r="GC66" i="183"/>
  <c r="AO66" i="183"/>
  <c r="CE66" i="183"/>
  <c r="BA66" i="183"/>
  <c r="CQ66" i="183"/>
  <c r="W66" i="183"/>
  <c r="BZ147" i="183"/>
  <c r="AV147" i="183"/>
  <c r="CL147" i="183"/>
  <c r="BB147" i="183"/>
  <c r="CR147" i="183"/>
  <c r="X147" i="183"/>
  <c r="BN147" i="183"/>
  <c r="DV147" i="183"/>
  <c r="BT147" i="183"/>
  <c r="GD147" i="183"/>
  <c r="CF147" i="183"/>
  <c r="EZ147" i="183"/>
  <c r="AP147" i="183"/>
  <c r="AD147" i="183"/>
  <c r="BH147" i="183"/>
  <c r="AJ147" i="183"/>
  <c r="GD60" i="183"/>
  <c r="CF60" i="183"/>
  <c r="BB60" i="183"/>
  <c r="CR60" i="183"/>
  <c r="X60" i="183"/>
  <c r="BN60" i="183"/>
  <c r="AJ60" i="183"/>
  <c r="BZ60" i="183"/>
  <c r="AV60" i="183"/>
  <c r="CL60" i="183"/>
  <c r="BH60" i="183"/>
  <c r="EZ60" i="183"/>
  <c r="AD60" i="183"/>
  <c r="BT60" i="183"/>
  <c r="DV60" i="183"/>
  <c r="AP60" i="183"/>
  <c r="GF140" i="183"/>
  <c r="AR140" i="183"/>
  <c r="CH140" i="183"/>
  <c r="BD140" i="183"/>
  <c r="CN140" i="183"/>
  <c r="BJ140" i="183"/>
  <c r="DX140" i="183"/>
  <c r="AF140" i="183"/>
  <c r="AX140" i="183"/>
  <c r="BP140" i="183"/>
  <c r="CB140" i="183"/>
  <c r="CT140" i="183"/>
  <c r="Z140" i="183"/>
  <c r="AL140" i="183"/>
  <c r="FB140" i="183"/>
  <c r="BV140" i="183"/>
  <c r="CM54" i="183"/>
  <c r="BI54" i="183"/>
  <c r="DW54" i="183"/>
  <c r="AE54" i="183"/>
  <c r="BU54" i="183"/>
  <c r="GE54" i="183"/>
  <c r="AQ54" i="183"/>
  <c r="CG54" i="183"/>
  <c r="BC54" i="183"/>
  <c r="CS54" i="183"/>
  <c r="Y54" i="183"/>
  <c r="BO54" i="183"/>
  <c r="FA54" i="183"/>
  <c r="AK54" i="183"/>
  <c r="CA54" i="183"/>
  <c r="AW54" i="183"/>
  <c r="CN133" i="183"/>
  <c r="BJ133" i="183"/>
  <c r="DX133" i="183"/>
  <c r="AF133" i="183"/>
  <c r="BP133" i="183"/>
  <c r="FB133" i="183"/>
  <c r="AL133" i="183"/>
  <c r="CB133" i="183"/>
  <c r="CH133" i="183"/>
  <c r="GF133" i="183"/>
  <c r="AR133" i="183"/>
  <c r="CT133" i="183"/>
  <c r="BD133" i="183"/>
  <c r="Z133" i="183"/>
  <c r="BV133" i="183"/>
  <c r="AX133" i="183"/>
  <c r="DU213" i="183"/>
  <c r="AC213" i="183"/>
  <c r="GC213" i="183"/>
  <c r="AO213" i="183"/>
  <c r="EY213" i="183"/>
  <c r="AI213" i="183"/>
  <c r="CK213" i="183"/>
  <c r="BG213" i="183"/>
  <c r="BY213" i="183"/>
  <c r="BS213" i="183"/>
  <c r="W213" i="183"/>
  <c r="CE213" i="183"/>
  <c r="BM213" i="183"/>
  <c r="BA213" i="183"/>
  <c r="CQ213" i="183"/>
  <c r="AU213" i="183"/>
  <c r="BU116" i="183"/>
  <c r="GE116" i="183"/>
  <c r="AQ116" i="183"/>
  <c r="CG116" i="183"/>
  <c r="CM116" i="183"/>
  <c r="AE116" i="183"/>
  <c r="BO116" i="183"/>
  <c r="AW116" i="183"/>
  <c r="FA116" i="183"/>
  <c r="CA116" i="183"/>
  <c r="CS116" i="183"/>
  <c r="BC116" i="183"/>
  <c r="AK116" i="183"/>
  <c r="BI116" i="183"/>
  <c r="DW116" i="183"/>
  <c r="Y116" i="183"/>
  <c r="BP198" i="183"/>
  <c r="FB198" i="183"/>
  <c r="GF198" i="183"/>
  <c r="AR198" i="183"/>
  <c r="CH198" i="183"/>
  <c r="BD198" i="183"/>
  <c r="BJ198" i="183"/>
  <c r="AL198" i="183"/>
  <c r="CB198" i="183"/>
  <c r="Z198" i="183"/>
  <c r="CN198" i="183"/>
  <c r="CT198" i="183"/>
  <c r="AX198" i="183"/>
  <c r="DX198" i="183"/>
  <c r="BV198" i="183"/>
  <c r="AF198" i="183"/>
  <c r="DW102" i="183"/>
  <c r="AE102" i="183"/>
  <c r="GE102" i="183"/>
  <c r="AQ102" i="183"/>
  <c r="CG102" i="183"/>
  <c r="BC102" i="183"/>
  <c r="CS102" i="183"/>
  <c r="Y102" i="183"/>
  <c r="BO102" i="183"/>
  <c r="FA102" i="183"/>
  <c r="AK102" i="183"/>
  <c r="CA102" i="183"/>
  <c r="AW102" i="183"/>
  <c r="CM102" i="183"/>
  <c r="BI102" i="183"/>
  <c r="BU102" i="183"/>
  <c r="CK187" i="183"/>
  <c r="BG187" i="183"/>
  <c r="DU187" i="183"/>
  <c r="AC187" i="183"/>
  <c r="EY187" i="183"/>
  <c r="AI187" i="183"/>
  <c r="BY187" i="183"/>
  <c r="GC187" i="183"/>
  <c r="BM187" i="183"/>
  <c r="BS187" i="183"/>
  <c r="AU187" i="183"/>
  <c r="W187" i="183"/>
  <c r="CQ187" i="183"/>
  <c r="BA187" i="183"/>
  <c r="CE187" i="183"/>
  <c r="AO187" i="183"/>
  <c r="BC89" i="183"/>
  <c r="BO89" i="183"/>
  <c r="FA89" i="183"/>
  <c r="AK89" i="183"/>
  <c r="CA89" i="183"/>
  <c r="AW89" i="183"/>
  <c r="CM89" i="183"/>
  <c r="BI89" i="183"/>
  <c r="DW89" i="183"/>
  <c r="AE89" i="183"/>
  <c r="GE89" i="183"/>
  <c r="AQ89" i="183"/>
  <c r="CG89" i="183"/>
  <c r="Y89" i="183"/>
  <c r="CS89" i="183"/>
  <c r="BU89" i="183"/>
  <c r="FA171" i="183"/>
  <c r="AK171" i="183"/>
  <c r="CA171" i="183"/>
  <c r="AW171" i="183"/>
  <c r="BI171" i="183"/>
  <c r="CG171" i="183"/>
  <c r="BC171" i="183"/>
  <c r="CS171" i="183"/>
  <c r="Y171" i="183"/>
  <c r="AQ171" i="183"/>
  <c r="BO171" i="183"/>
  <c r="AE171" i="183"/>
  <c r="BU171" i="183"/>
  <c r="CM171" i="183"/>
  <c r="GE171" i="183"/>
  <c r="DW171" i="183"/>
  <c r="BD61" i="183"/>
  <c r="CT61" i="183"/>
  <c r="Z61" i="183"/>
  <c r="BP61" i="183"/>
  <c r="FB61" i="183"/>
  <c r="AL61" i="183"/>
  <c r="CB61" i="183"/>
  <c r="AX61" i="183"/>
  <c r="CN61" i="183"/>
  <c r="BJ61" i="183"/>
  <c r="DX61" i="183"/>
  <c r="AF61" i="183"/>
  <c r="BV61" i="183"/>
  <c r="GF61" i="183"/>
  <c r="AR61" i="183"/>
  <c r="CH61" i="183"/>
  <c r="CM100" i="183"/>
  <c r="DW100" i="183"/>
  <c r="AE100" i="183"/>
  <c r="BU100" i="183"/>
  <c r="GE100" i="183"/>
  <c r="AQ100" i="183"/>
  <c r="CG100" i="183"/>
  <c r="BC100" i="183"/>
  <c r="CS100" i="183"/>
  <c r="Y100" i="183"/>
  <c r="BO100" i="183"/>
  <c r="FA100" i="183"/>
  <c r="AK100" i="183"/>
  <c r="CA100" i="183"/>
  <c r="BI100" i="183"/>
  <c r="AW100" i="183"/>
  <c r="CT142" i="183"/>
  <c r="Z142" i="183"/>
  <c r="BP142" i="183"/>
  <c r="FB142" i="183"/>
  <c r="AL142" i="183"/>
  <c r="BV142" i="183"/>
  <c r="GF142" i="183"/>
  <c r="AR142" i="183"/>
  <c r="CH142" i="183"/>
  <c r="CN142" i="183"/>
  <c r="BJ142" i="183"/>
  <c r="DX142" i="183"/>
  <c r="AF142" i="183"/>
  <c r="CB142" i="183"/>
  <c r="AX142" i="183"/>
  <c r="BD142" i="183"/>
  <c r="BM185" i="183"/>
  <c r="EY185" i="183"/>
  <c r="AI185" i="183"/>
  <c r="BY185" i="183"/>
  <c r="GC185" i="183"/>
  <c r="AO185" i="183"/>
  <c r="CE185" i="183"/>
  <c r="BA185" i="183"/>
  <c r="AU185" i="183"/>
  <c r="BS185" i="183"/>
  <c r="BG185" i="183"/>
  <c r="AC185" i="183"/>
  <c r="DU185" i="183"/>
  <c r="CQ185" i="183"/>
  <c r="W185" i="183"/>
  <c r="CK185" i="183"/>
  <c r="CK56" i="183"/>
  <c r="BG56" i="183"/>
  <c r="DU56" i="183"/>
  <c r="AC56" i="183"/>
  <c r="BS56" i="183"/>
  <c r="GC56" i="183"/>
  <c r="AO56" i="183"/>
  <c r="CE56" i="183"/>
  <c r="BA56" i="183"/>
  <c r="CQ56" i="183"/>
  <c r="W56" i="183"/>
  <c r="BM56" i="183"/>
  <c r="EY56" i="183"/>
  <c r="AI56" i="183"/>
  <c r="BY56" i="183"/>
  <c r="AU56" i="183"/>
  <c r="CB94" i="183"/>
  <c r="AX94" i="183"/>
  <c r="CN94" i="183"/>
  <c r="BJ94" i="183"/>
  <c r="DX94" i="183"/>
  <c r="AF94" i="183"/>
  <c r="BV94" i="183"/>
  <c r="GF94" i="183"/>
  <c r="AR94" i="183"/>
  <c r="CH94" i="183"/>
  <c r="BD94" i="183"/>
  <c r="BP94" i="183"/>
  <c r="FB94" i="183"/>
  <c r="AL94" i="183"/>
  <c r="Z94" i="183"/>
  <c r="CT94" i="183"/>
  <c r="CN135" i="183"/>
  <c r="CT135" i="183"/>
  <c r="FB135" i="183"/>
  <c r="AF135" i="183"/>
  <c r="BV135" i="183"/>
  <c r="AR135" i="183"/>
  <c r="CH135" i="183"/>
  <c r="DX135" i="183"/>
  <c r="AX135" i="183"/>
  <c r="CB135" i="183"/>
  <c r="BP135" i="183"/>
  <c r="GF135" i="183"/>
  <c r="Z135" i="183"/>
  <c r="AL135" i="183"/>
  <c r="BJ135" i="183"/>
  <c r="BD135" i="183"/>
  <c r="DX175" i="183"/>
  <c r="AF175" i="183"/>
  <c r="BV175" i="183"/>
  <c r="GF175" i="183"/>
  <c r="AR175" i="183"/>
  <c r="BD175" i="183"/>
  <c r="CB175" i="183"/>
  <c r="AX175" i="183"/>
  <c r="CN175" i="183"/>
  <c r="CT175" i="183"/>
  <c r="BP175" i="183"/>
  <c r="BJ175" i="183"/>
  <c r="FB175" i="183"/>
  <c r="Z175" i="183"/>
  <c r="AL175" i="183"/>
  <c r="CH175" i="183"/>
  <c r="BO50" i="183"/>
  <c r="FA50" i="183"/>
  <c r="AK50" i="183"/>
  <c r="CA50" i="183"/>
  <c r="AW50" i="183"/>
  <c r="CM50" i="183"/>
  <c r="BI50" i="183"/>
  <c r="DW50" i="183"/>
  <c r="AE50" i="183"/>
  <c r="BU50" i="183"/>
  <c r="GE50" i="183"/>
  <c r="AQ50" i="183"/>
  <c r="CG50" i="183"/>
  <c r="BC50" i="183"/>
  <c r="CS50" i="183"/>
  <c r="Y50" i="183"/>
  <c r="CH87" i="183"/>
  <c r="CT87" i="183"/>
  <c r="Z87" i="183"/>
  <c r="BP87" i="183"/>
  <c r="FB87" i="183"/>
  <c r="AL87" i="183"/>
  <c r="CB87" i="183"/>
  <c r="AX87" i="183"/>
  <c r="CN87" i="183"/>
  <c r="BJ87" i="183"/>
  <c r="BV87" i="183"/>
  <c r="GF87" i="183"/>
  <c r="AR87" i="183"/>
  <c r="BD87" i="183"/>
  <c r="AF87" i="183"/>
  <c r="DX87" i="183"/>
  <c r="CG128" i="183"/>
  <c r="BC128" i="183"/>
  <c r="CS128" i="183"/>
  <c r="Y128" i="183"/>
  <c r="BI128" i="183"/>
  <c r="DW128" i="183"/>
  <c r="AE128" i="183"/>
  <c r="BU128" i="183"/>
  <c r="AQ128" i="183"/>
  <c r="BO128" i="183"/>
  <c r="FA128" i="183"/>
  <c r="CA128" i="183"/>
  <c r="AW128" i="183"/>
  <c r="AK128" i="183"/>
  <c r="GE128" i="183"/>
  <c r="CM128" i="183"/>
  <c r="BP169" i="183"/>
  <c r="FB169" i="183"/>
  <c r="AL169" i="183"/>
  <c r="CB169" i="183"/>
  <c r="GF169" i="183"/>
  <c r="CH169" i="183"/>
  <c r="BD169" i="183"/>
  <c r="DX169" i="183"/>
  <c r="AX169" i="183"/>
  <c r="BV169" i="183"/>
  <c r="CT169" i="183"/>
  <c r="Z169" i="183"/>
  <c r="AR169" i="183"/>
  <c r="CN169" i="183"/>
  <c r="AF169" i="183"/>
  <c r="BJ169" i="183"/>
  <c r="BT213" i="183"/>
  <c r="CF213" i="183"/>
  <c r="BZ213" i="183"/>
  <c r="BH213" i="183"/>
  <c r="DV213" i="183"/>
  <c r="AD213" i="183"/>
  <c r="X213" i="183"/>
  <c r="CR213" i="183"/>
  <c r="AV213" i="183"/>
  <c r="AJ213" i="183"/>
  <c r="EZ213" i="183"/>
  <c r="BB213" i="183"/>
  <c r="AP213" i="183"/>
  <c r="CL213" i="183"/>
  <c r="BN213" i="183"/>
  <c r="GD213" i="183"/>
  <c r="BM78" i="183"/>
  <c r="EY78" i="183"/>
  <c r="AI78" i="183"/>
  <c r="BY78" i="183"/>
  <c r="AU78" i="183"/>
  <c r="CK78" i="183"/>
  <c r="BG78" i="183"/>
  <c r="DU78" i="183"/>
  <c r="AC78" i="183"/>
  <c r="BS78" i="183"/>
  <c r="GC78" i="183"/>
  <c r="AO78" i="183"/>
  <c r="CE78" i="183"/>
  <c r="BA78" i="183"/>
  <c r="CQ78" i="183"/>
  <c r="W78" i="183"/>
  <c r="BD118" i="183"/>
  <c r="CT118" i="183"/>
  <c r="Z118" i="183"/>
  <c r="BP118" i="183"/>
  <c r="DX118" i="183"/>
  <c r="BV118" i="183"/>
  <c r="FB118" i="183"/>
  <c r="CH118" i="183"/>
  <c r="BJ118" i="183"/>
  <c r="CB118" i="183"/>
  <c r="AR118" i="183"/>
  <c r="GF118" i="183"/>
  <c r="CN118" i="183"/>
  <c r="AF118" i="183"/>
  <c r="AX118" i="183"/>
  <c r="AL118" i="183"/>
  <c r="BZ160" i="183"/>
  <c r="AV160" i="183"/>
  <c r="CL160" i="183"/>
  <c r="BB160" i="183"/>
  <c r="CR160" i="183"/>
  <c r="X160" i="183"/>
  <c r="BN160" i="183"/>
  <c r="BT160" i="183"/>
  <c r="AP160" i="183"/>
  <c r="CF160" i="183"/>
  <c r="EZ160" i="183"/>
  <c r="DV160" i="183"/>
  <c r="AJ160" i="183"/>
  <c r="BH160" i="183"/>
  <c r="GD160" i="183"/>
  <c r="AD160" i="183"/>
  <c r="BM201" i="183"/>
  <c r="EY201" i="183"/>
  <c r="AI201" i="183"/>
  <c r="BY201" i="183"/>
  <c r="GC201" i="183"/>
  <c r="AO201" i="183"/>
  <c r="CE201" i="183"/>
  <c r="BA201" i="183"/>
  <c r="BG201" i="183"/>
  <c r="AC201" i="183"/>
  <c r="W201" i="183"/>
  <c r="BS201" i="183"/>
  <c r="CQ201" i="183"/>
  <c r="DU201" i="183"/>
  <c r="AU201" i="183"/>
  <c r="CK201" i="183"/>
  <c r="CK70" i="183"/>
  <c r="BG70" i="183"/>
  <c r="DU70" i="183"/>
  <c r="AC70" i="183"/>
  <c r="BS70" i="183"/>
  <c r="GC70" i="183"/>
  <c r="AO70" i="183"/>
  <c r="CE70" i="183"/>
  <c r="BA70" i="183"/>
  <c r="CQ70" i="183"/>
  <c r="W70" i="183"/>
  <c r="BM70" i="183"/>
  <c r="EY70" i="183"/>
  <c r="AI70" i="183"/>
  <c r="BY70" i="183"/>
  <c r="AU70" i="183"/>
  <c r="FB109" i="183"/>
  <c r="AL109" i="183"/>
  <c r="CT109" i="183"/>
  <c r="Z109" i="183"/>
  <c r="GF109" i="183"/>
  <c r="BJ109" i="183"/>
  <c r="CN109" i="183"/>
  <c r="BV109" i="183"/>
  <c r="BD109" i="183"/>
  <c r="CH109" i="183"/>
  <c r="CB109" i="183"/>
  <c r="DX109" i="183"/>
  <c r="AF109" i="183"/>
  <c r="AX109" i="183"/>
  <c r="BP109" i="183"/>
  <c r="AR109" i="183"/>
  <c r="CL151" i="183"/>
  <c r="BH151" i="183"/>
  <c r="DV151" i="183"/>
  <c r="AD151" i="183"/>
  <c r="BN151" i="183"/>
  <c r="EZ151" i="183"/>
  <c r="BZ151" i="183"/>
  <c r="CF151" i="183"/>
  <c r="BB151" i="183"/>
  <c r="CR151" i="183"/>
  <c r="AJ151" i="183"/>
  <c r="AV151" i="183"/>
  <c r="AP151" i="183"/>
  <c r="X151" i="183"/>
  <c r="GD151" i="183"/>
  <c r="BT151" i="183"/>
  <c r="CL193" i="183"/>
  <c r="BH193" i="183"/>
  <c r="DV193" i="183"/>
  <c r="AD193" i="183"/>
  <c r="BT193" i="183"/>
  <c r="EZ193" i="183"/>
  <c r="AJ193" i="183"/>
  <c r="BZ193" i="183"/>
  <c r="BN193" i="183"/>
  <c r="GD193" i="183"/>
  <c r="AP193" i="183"/>
  <c r="CR193" i="183"/>
  <c r="CF193" i="183"/>
  <c r="AV193" i="183"/>
  <c r="X193" i="183"/>
  <c r="BB193" i="183"/>
  <c r="CG61" i="183"/>
  <c r="BC61" i="183"/>
  <c r="CS61" i="183"/>
  <c r="Y61" i="183"/>
  <c r="BO61" i="183"/>
  <c r="FA61" i="183"/>
  <c r="AK61" i="183"/>
  <c r="CA61" i="183"/>
  <c r="AW61" i="183"/>
  <c r="CM61" i="183"/>
  <c r="BI61" i="183"/>
  <c r="DW61" i="183"/>
  <c r="AE61" i="183"/>
  <c r="BU61" i="183"/>
  <c r="GE61" i="183"/>
  <c r="AQ61" i="183"/>
  <c r="AV100" i="183"/>
  <c r="BH100" i="183"/>
  <c r="DV100" i="183"/>
  <c r="AD100" i="183"/>
  <c r="BT100" i="183"/>
  <c r="GD100" i="183"/>
  <c r="AP100" i="183"/>
  <c r="CF100" i="183"/>
  <c r="BB100" i="183"/>
  <c r="CR100" i="183"/>
  <c r="X100" i="183"/>
  <c r="BN100" i="183"/>
  <c r="EZ100" i="183"/>
  <c r="AJ100" i="183"/>
  <c r="CL100" i="183"/>
  <c r="BZ100" i="183"/>
  <c r="CF142" i="183"/>
  <c r="BB142" i="183"/>
  <c r="CR142" i="183"/>
  <c r="X142" i="183"/>
  <c r="BH142" i="183"/>
  <c r="DV142" i="183"/>
  <c r="AD142" i="183"/>
  <c r="BT142" i="183"/>
  <c r="AJ142" i="183"/>
  <c r="AV142" i="183"/>
  <c r="Q142" i="183"/>
  <c r="AP142" i="183"/>
  <c r="CL142" i="183"/>
  <c r="EZ142" i="183"/>
  <c r="BZ142" i="183"/>
  <c r="BN142" i="183"/>
  <c r="GD142" i="183"/>
  <c r="BJ181" i="183"/>
  <c r="DX181" i="183"/>
  <c r="AF181" i="183"/>
  <c r="BV181" i="183"/>
  <c r="FB181" i="183"/>
  <c r="AL181" i="183"/>
  <c r="CB181" i="183"/>
  <c r="AX181" i="183"/>
  <c r="CH181" i="183"/>
  <c r="CT181" i="183"/>
  <c r="Z181" i="183"/>
  <c r="GF181" i="183"/>
  <c r="AR181" i="183"/>
  <c r="CN181" i="183"/>
  <c r="BD181" i="183"/>
  <c r="BP181" i="183"/>
  <c r="CT119" i="183"/>
  <c r="Z119" i="183"/>
  <c r="BP119" i="183"/>
  <c r="FB119" i="183"/>
  <c r="AL119" i="183"/>
  <c r="BV119" i="183"/>
  <c r="GF119" i="183"/>
  <c r="AR119" i="183"/>
  <c r="CB119" i="183"/>
  <c r="BD119" i="183"/>
  <c r="AF119" i="183"/>
  <c r="DX119" i="183"/>
  <c r="AX119" i="183"/>
  <c r="BJ119" i="183"/>
  <c r="CH119" i="183"/>
  <c r="CN119" i="183"/>
  <c r="AW99" i="183"/>
  <c r="BI99" i="183"/>
  <c r="DW99" i="183"/>
  <c r="AE99" i="183"/>
  <c r="BU99" i="183"/>
  <c r="GE99" i="183"/>
  <c r="AQ99" i="183"/>
  <c r="CG99" i="183"/>
  <c r="BC99" i="183"/>
  <c r="CS99" i="183"/>
  <c r="Y99" i="183"/>
  <c r="BO99" i="183"/>
  <c r="FA99" i="183"/>
  <c r="AK99" i="183"/>
  <c r="CM99" i="183"/>
  <c r="CA99" i="183"/>
  <c r="GD128" i="183"/>
  <c r="AP128" i="183"/>
  <c r="CF128" i="183"/>
  <c r="BB128" i="183"/>
  <c r="CL128" i="183"/>
  <c r="BH128" i="183"/>
  <c r="DV128" i="183"/>
  <c r="AD128" i="183"/>
  <c r="AV128" i="183"/>
  <c r="BT128" i="183"/>
  <c r="CR128" i="183"/>
  <c r="X128" i="183"/>
  <c r="EZ128" i="183"/>
  <c r="BZ128" i="183"/>
  <c r="BN128" i="183"/>
  <c r="AJ128" i="183"/>
  <c r="CN122" i="183"/>
  <c r="BJ122" i="183"/>
  <c r="DX122" i="183"/>
  <c r="BP122" i="183"/>
  <c r="FB122" i="183"/>
  <c r="CT122" i="183"/>
  <c r="AX122" i="183"/>
  <c r="CB122" i="183"/>
  <c r="Z122" i="183"/>
  <c r="BD122" i="183"/>
  <c r="CH122" i="183"/>
  <c r="AL122" i="183"/>
  <c r="AR122" i="183"/>
  <c r="GF122" i="183"/>
  <c r="AF122" i="183"/>
  <c r="BV122" i="183"/>
  <c r="CB206" i="183"/>
  <c r="BD206" i="183"/>
  <c r="CT206" i="183"/>
  <c r="Z206" i="183"/>
  <c r="BP206" i="183"/>
  <c r="AF206" i="183"/>
  <c r="AR206" i="183"/>
  <c r="CH206" i="183"/>
  <c r="BJ206" i="183"/>
  <c r="DX206" i="183"/>
  <c r="AL206" i="183"/>
  <c r="AX206" i="183"/>
  <c r="CN206" i="183"/>
  <c r="FB206" i="183"/>
  <c r="GF206" i="183"/>
  <c r="BV206" i="183"/>
  <c r="BO109" i="183"/>
  <c r="GE109" i="183"/>
  <c r="DW109" i="183"/>
  <c r="BU109" i="183"/>
  <c r="AW109" i="183"/>
  <c r="CA109" i="183"/>
  <c r="Y109" i="183"/>
  <c r="FA109" i="183"/>
  <c r="CM109" i="183"/>
  <c r="BC109" i="183"/>
  <c r="AE109" i="183"/>
  <c r="CS109" i="183"/>
  <c r="AQ109" i="183"/>
  <c r="AK109" i="183"/>
  <c r="CG109" i="183"/>
  <c r="BI109" i="183"/>
  <c r="AU193" i="183"/>
  <c r="CK193" i="183"/>
  <c r="BG193" i="183"/>
  <c r="DU193" i="183"/>
  <c r="AC193" i="183"/>
  <c r="BM193" i="183"/>
  <c r="EY193" i="183"/>
  <c r="AI193" i="183"/>
  <c r="CQ193" i="183"/>
  <c r="BS193" i="183"/>
  <c r="AO193" i="183"/>
  <c r="W193" i="183"/>
  <c r="BY193" i="183"/>
  <c r="CE193" i="183"/>
  <c r="BA193" i="183"/>
  <c r="GC193" i="183"/>
  <c r="CQ97" i="183"/>
  <c r="W97" i="183"/>
  <c r="EY97" i="183"/>
  <c r="AI97" i="183"/>
  <c r="BY97" i="183"/>
  <c r="AU97" i="183"/>
  <c r="CK97" i="183"/>
  <c r="BG97" i="183"/>
  <c r="DU97" i="183"/>
  <c r="AC97" i="183"/>
  <c r="BS97" i="183"/>
  <c r="GC97" i="183"/>
  <c r="AO97" i="183"/>
  <c r="CE97" i="183"/>
  <c r="BM97" i="183"/>
  <c r="BA97" i="183"/>
  <c r="CQ178" i="183"/>
  <c r="W178" i="183"/>
  <c r="EY178" i="183"/>
  <c r="AI178" i="183"/>
  <c r="BS178" i="183"/>
  <c r="GC178" i="183"/>
  <c r="AO178" i="183"/>
  <c r="CE178" i="183"/>
  <c r="BM178" i="183"/>
  <c r="CK178" i="183"/>
  <c r="BG178" i="183"/>
  <c r="DU178" i="183"/>
  <c r="AU178" i="183"/>
  <c r="AC178" i="183"/>
  <c r="BY178" i="183"/>
  <c r="BA178" i="183"/>
  <c r="FB64" i="183"/>
  <c r="AL64" i="183"/>
  <c r="CB64" i="183"/>
  <c r="AX64" i="183"/>
  <c r="CN64" i="183"/>
  <c r="BJ64" i="183"/>
  <c r="DX64" i="183"/>
  <c r="AF64" i="183"/>
  <c r="BV64" i="183"/>
  <c r="GF64" i="183"/>
  <c r="AR64" i="183"/>
  <c r="CH64" i="183"/>
  <c r="BD64" i="183"/>
  <c r="CT64" i="183"/>
  <c r="Z64" i="183"/>
  <c r="BP64" i="183"/>
  <c r="CG103" i="183"/>
  <c r="FA103" i="183"/>
  <c r="AE103" i="183"/>
  <c r="CM103" i="183"/>
  <c r="AQ103" i="183"/>
  <c r="BU103" i="183"/>
  <c r="Y103" i="183"/>
  <c r="DW103" i="183"/>
  <c r="BC103" i="183"/>
  <c r="AK103" i="183"/>
  <c r="GE103" i="183"/>
  <c r="BO103" i="183"/>
  <c r="CS103" i="183"/>
  <c r="AW103" i="183"/>
  <c r="CA103" i="183"/>
  <c r="BI103" i="183"/>
  <c r="BM146" i="183"/>
  <c r="EY146" i="183"/>
  <c r="AI146" i="183"/>
  <c r="BY146" i="183"/>
  <c r="GC146" i="183"/>
  <c r="AO146" i="183"/>
  <c r="CE146" i="183"/>
  <c r="BA146" i="183"/>
  <c r="CQ146" i="183"/>
  <c r="CK146" i="183"/>
  <c r="DU146" i="183"/>
  <c r="AU146" i="183"/>
  <c r="BS146" i="183"/>
  <c r="BG146" i="183"/>
  <c r="W146" i="183"/>
  <c r="AC146" i="183"/>
  <c r="BG188" i="183"/>
  <c r="DU188" i="183"/>
  <c r="AC188" i="183"/>
  <c r="BS188" i="183"/>
  <c r="BY188" i="183"/>
  <c r="AU188" i="183"/>
  <c r="CE188" i="183"/>
  <c r="AI188" i="183"/>
  <c r="CQ188" i="183"/>
  <c r="AO188" i="183"/>
  <c r="GC188" i="183"/>
  <c r="CK188" i="183"/>
  <c r="EY188" i="183"/>
  <c r="BA188" i="183"/>
  <c r="BM188" i="183"/>
  <c r="W188" i="183"/>
  <c r="BS59" i="183"/>
  <c r="GC59" i="183"/>
  <c r="AO59" i="183"/>
  <c r="CE59" i="183"/>
  <c r="BA59" i="183"/>
  <c r="CQ59" i="183"/>
  <c r="W59" i="183"/>
  <c r="BM59" i="183"/>
  <c r="EY59" i="183"/>
  <c r="AI59" i="183"/>
  <c r="BY59" i="183"/>
  <c r="AU59" i="183"/>
  <c r="CK59" i="183"/>
  <c r="BG59" i="183"/>
  <c r="DU59" i="183"/>
  <c r="AC59" i="183"/>
  <c r="CB97" i="183"/>
  <c r="CN97" i="183"/>
  <c r="BJ97" i="183"/>
  <c r="DX97" i="183"/>
  <c r="AF97" i="183"/>
  <c r="BV97" i="183"/>
  <c r="GF97" i="183"/>
  <c r="AR97" i="183"/>
  <c r="CH97" i="183"/>
  <c r="BD97" i="183"/>
  <c r="CT97" i="183"/>
  <c r="Z97" i="183"/>
  <c r="BP97" i="183"/>
  <c r="AX97" i="183"/>
  <c r="AL97" i="183"/>
  <c r="FB97" i="183"/>
  <c r="CK139" i="183"/>
  <c r="BG139" i="183"/>
  <c r="DU139" i="183"/>
  <c r="AC139" i="183"/>
  <c r="BM139" i="183"/>
  <c r="EY139" i="183"/>
  <c r="AI139" i="183"/>
  <c r="BY139" i="183"/>
  <c r="BA139" i="183"/>
  <c r="CE139" i="183"/>
  <c r="AO139" i="183"/>
  <c r="GC139" i="183"/>
  <c r="CQ139" i="183"/>
  <c r="AU139" i="183"/>
  <c r="W139" i="183"/>
  <c r="BS139" i="183"/>
  <c r="CB178" i="183"/>
  <c r="CN178" i="183"/>
  <c r="BD178" i="183"/>
  <c r="CT178" i="183"/>
  <c r="Z178" i="183"/>
  <c r="BP178" i="183"/>
  <c r="GF178" i="183"/>
  <c r="BJ178" i="183"/>
  <c r="AL178" i="183"/>
  <c r="AF178" i="183"/>
  <c r="BV178" i="183"/>
  <c r="CH178" i="183"/>
  <c r="DX178" i="183"/>
  <c r="AX178" i="183"/>
  <c r="AR178" i="183"/>
  <c r="FB178" i="183"/>
  <c r="AW53" i="183"/>
  <c r="CM53" i="183"/>
  <c r="BI53" i="183"/>
  <c r="DW53" i="183"/>
  <c r="AE53" i="183"/>
  <c r="BU53" i="183"/>
  <c r="GE53" i="183"/>
  <c r="AQ53" i="183"/>
  <c r="CG53" i="183"/>
  <c r="BC53" i="183"/>
  <c r="CS53" i="183"/>
  <c r="Y53" i="183"/>
  <c r="BO53" i="183"/>
  <c r="FA53" i="183"/>
  <c r="AK53" i="183"/>
  <c r="CA53" i="183"/>
  <c r="CE92" i="183"/>
  <c r="CQ92" i="183"/>
  <c r="W92" i="183"/>
  <c r="BM92" i="183"/>
  <c r="EY92" i="183"/>
  <c r="AI92" i="183"/>
  <c r="BY92" i="183"/>
  <c r="AU92" i="183"/>
  <c r="CK92" i="183"/>
  <c r="BG92" i="183"/>
  <c r="BS92" i="183"/>
  <c r="GC92" i="183"/>
  <c r="AO92" i="183"/>
  <c r="BA92" i="183"/>
  <c r="AC92" i="183"/>
  <c r="DU92" i="183"/>
  <c r="EZ132" i="183"/>
  <c r="AJ132" i="183"/>
  <c r="BZ132" i="183"/>
  <c r="AV132" i="183"/>
  <c r="Q132" i="183"/>
  <c r="CF132" i="183"/>
  <c r="BB132" i="183"/>
  <c r="CR132" i="183"/>
  <c r="X132" i="183"/>
  <c r="AD132" i="183"/>
  <c r="GD132" i="183"/>
  <c r="AP132" i="183"/>
  <c r="BN132" i="183"/>
  <c r="CL132" i="183"/>
  <c r="DV132" i="183"/>
  <c r="BT132" i="183"/>
  <c r="BH132" i="183"/>
  <c r="AX172" i="183"/>
  <c r="CN172" i="183"/>
  <c r="BJ172" i="183"/>
  <c r="BV172" i="183"/>
  <c r="CT172" i="183"/>
  <c r="Z172" i="183"/>
  <c r="BP172" i="183"/>
  <c r="FB172" i="183"/>
  <c r="AL172" i="183"/>
  <c r="CH172" i="183"/>
  <c r="GF172" i="183"/>
  <c r="CB172" i="183"/>
  <c r="AR172" i="183"/>
  <c r="DX172" i="183"/>
  <c r="BD172" i="183"/>
  <c r="AF172" i="183"/>
  <c r="GC44" i="183"/>
  <c r="DU44" i="183"/>
  <c r="CE44" i="183"/>
  <c r="BG44" i="183"/>
  <c r="AI44" i="183"/>
  <c r="FW44" i="183"/>
  <c r="DO44" i="183"/>
  <c r="BY44" i="183"/>
  <c r="BA44" i="183"/>
  <c r="AC44" i="183"/>
  <c r="EY44" i="183"/>
  <c r="CQ44" i="183"/>
  <c r="BS44" i="183"/>
  <c r="AU44" i="183"/>
  <c r="W44" i="183"/>
  <c r="ES44" i="183"/>
  <c r="CK44" i="183"/>
  <c r="BM44" i="183"/>
  <c r="AO44" i="183"/>
  <c r="EY122" i="183"/>
  <c r="BY122" i="183"/>
  <c r="AU122" i="183"/>
  <c r="CE122" i="183"/>
  <c r="BA122" i="183"/>
  <c r="CQ122" i="183"/>
  <c r="DU122" i="183"/>
  <c r="W122" i="183"/>
  <c r="BS122" i="183"/>
  <c r="AI122" i="183"/>
  <c r="GC122" i="183"/>
  <c r="BG122" i="183"/>
  <c r="AO122" i="183"/>
  <c r="CK122" i="183"/>
  <c r="AC122" i="183"/>
  <c r="BM122" i="183"/>
  <c r="GD73" i="183"/>
  <c r="AP73" i="183"/>
  <c r="CF73" i="183"/>
  <c r="BB73" i="183"/>
  <c r="CR73" i="183"/>
  <c r="X73" i="183"/>
  <c r="BN73" i="183"/>
  <c r="EZ73" i="183"/>
  <c r="AJ73" i="183"/>
  <c r="BZ73" i="183"/>
  <c r="AV73" i="183"/>
  <c r="CL73" i="183"/>
  <c r="BH73" i="183"/>
  <c r="DV73" i="183"/>
  <c r="AD73" i="183"/>
  <c r="BT73" i="183"/>
  <c r="BO64" i="183"/>
  <c r="FA64" i="183"/>
  <c r="AK64" i="183"/>
  <c r="CA64" i="183"/>
  <c r="AW64" i="183"/>
  <c r="CM64" i="183"/>
  <c r="BI64" i="183"/>
  <c r="DW64" i="183"/>
  <c r="AE64" i="183"/>
  <c r="BU64" i="183"/>
  <c r="GE64" i="183"/>
  <c r="AQ64" i="183"/>
  <c r="CG64" i="183"/>
  <c r="BC64" i="183"/>
  <c r="CS64" i="183"/>
  <c r="Y64" i="183"/>
  <c r="BV187" i="183"/>
  <c r="GF187" i="183"/>
  <c r="AR187" i="183"/>
  <c r="CH187" i="183"/>
  <c r="CN187" i="183"/>
  <c r="BJ187" i="183"/>
  <c r="AL187" i="183"/>
  <c r="FB187" i="183"/>
  <c r="AX187" i="183"/>
  <c r="BP187" i="183"/>
  <c r="DX187" i="183"/>
  <c r="CT187" i="183"/>
  <c r="BD187" i="183"/>
  <c r="CB187" i="183"/>
  <c r="AF187" i="183"/>
  <c r="Z187" i="183"/>
  <c r="BI55" i="183"/>
  <c r="DW55" i="183"/>
  <c r="AE55" i="183"/>
  <c r="BU55" i="183"/>
  <c r="GE55" i="183"/>
  <c r="AQ55" i="183"/>
  <c r="CG55" i="183"/>
  <c r="BC55" i="183"/>
  <c r="CS55" i="183"/>
  <c r="Y55" i="183"/>
  <c r="BO55" i="183"/>
  <c r="FA55" i="183"/>
  <c r="AK55" i="183"/>
  <c r="CA55" i="183"/>
  <c r="AW55" i="183"/>
  <c r="CM55" i="183"/>
  <c r="CQ206" i="183"/>
  <c r="W206" i="183"/>
  <c r="BS206" i="183"/>
  <c r="GC206" i="183"/>
  <c r="AO206" i="183"/>
  <c r="CE206" i="183"/>
  <c r="BG206" i="183"/>
  <c r="AI206" i="183"/>
  <c r="DU206" i="183"/>
  <c r="BY206" i="183"/>
  <c r="BA206" i="183"/>
  <c r="EY206" i="183"/>
  <c r="AU206" i="183"/>
  <c r="AC206" i="183"/>
  <c r="BM206" i="183"/>
  <c r="CK206" i="183"/>
  <c r="BN51" i="183"/>
  <c r="EZ51" i="183"/>
  <c r="AJ51" i="183"/>
  <c r="BZ51" i="183"/>
  <c r="AV51" i="183"/>
  <c r="CL51" i="183"/>
  <c r="BH51" i="183"/>
  <c r="DV51" i="183"/>
  <c r="AD51" i="183"/>
  <c r="BT51" i="183"/>
  <c r="GD51" i="183"/>
  <c r="AP51" i="183"/>
  <c r="CF51" i="183"/>
  <c r="BB51" i="183"/>
  <c r="CR51" i="183"/>
  <c r="X51" i="183"/>
  <c r="BG86" i="183"/>
  <c r="BS86" i="183"/>
  <c r="GC86" i="183"/>
  <c r="AO86" i="183"/>
  <c r="CE86" i="183"/>
  <c r="BA86" i="183"/>
  <c r="CQ86" i="183"/>
  <c r="W86" i="183"/>
  <c r="BM86" i="183"/>
  <c r="EY86" i="183"/>
  <c r="AI86" i="183"/>
  <c r="AU86" i="183"/>
  <c r="CK86" i="183"/>
  <c r="AC86" i="183"/>
  <c r="DU86" i="183"/>
  <c r="BY86" i="183"/>
  <c r="AV68" i="183"/>
  <c r="CL68" i="183"/>
  <c r="BH68" i="183"/>
  <c r="DV68" i="183"/>
  <c r="AD68" i="183"/>
  <c r="BT68" i="183"/>
  <c r="GD68" i="183"/>
  <c r="AP68" i="183"/>
  <c r="CF68" i="183"/>
  <c r="BB68" i="183"/>
  <c r="CR68" i="183"/>
  <c r="X68" i="183"/>
  <c r="BN68" i="183"/>
  <c r="EZ68" i="183"/>
  <c r="AJ68" i="183"/>
  <c r="BZ68" i="183"/>
  <c r="BG57" i="183"/>
  <c r="DU57" i="183"/>
  <c r="AC57" i="183"/>
  <c r="BS57" i="183"/>
  <c r="GC57" i="183"/>
  <c r="AO57" i="183"/>
  <c r="CE57" i="183"/>
  <c r="BA57" i="183"/>
  <c r="CQ57" i="183"/>
  <c r="W57" i="183"/>
  <c r="BM57" i="183"/>
  <c r="EY57" i="183"/>
  <c r="AI57" i="183"/>
  <c r="BY57" i="183"/>
  <c r="AU57" i="183"/>
  <c r="CK57" i="183"/>
  <c r="BG45" i="183"/>
  <c r="DU45" i="183"/>
  <c r="AC45" i="183"/>
  <c r="BS45" i="183"/>
  <c r="GC45" i="183"/>
  <c r="AO45" i="183"/>
  <c r="CE45" i="183"/>
  <c r="BA45" i="183"/>
  <c r="CQ45" i="183"/>
  <c r="W45" i="183"/>
  <c r="BM45" i="183"/>
  <c r="EY45" i="183"/>
  <c r="AI45" i="183"/>
  <c r="BY45" i="183"/>
  <c r="AU45" i="183"/>
  <c r="CK45" i="183"/>
  <c r="BA177" i="183"/>
  <c r="DU177" i="183"/>
  <c r="AC177" i="183"/>
  <c r="BS177" i="183"/>
  <c r="GC177" i="183"/>
  <c r="AO177" i="183"/>
  <c r="BY177" i="183"/>
  <c r="AI177" i="183"/>
  <c r="CQ177" i="183"/>
  <c r="CE177" i="183"/>
  <c r="CK177" i="183"/>
  <c r="BM177" i="183"/>
  <c r="EY177" i="183"/>
  <c r="AU177" i="183"/>
  <c r="W177" i="183"/>
  <c r="BG177" i="183"/>
  <c r="BU126" i="183"/>
  <c r="GE126" i="183"/>
  <c r="AQ126" i="183"/>
  <c r="CG126" i="183"/>
  <c r="AW126" i="183"/>
  <c r="CM126" i="183"/>
  <c r="BI126" i="183"/>
  <c r="CS126" i="183"/>
  <c r="BO126" i="183"/>
  <c r="FA126" i="183"/>
  <c r="CA126" i="183"/>
  <c r="BC126" i="183"/>
  <c r="DW126" i="183"/>
  <c r="AK126" i="183"/>
  <c r="AE126" i="183"/>
  <c r="Y126" i="183"/>
  <c r="AX159" i="183"/>
  <c r="CN159" i="183"/>
  <c r="BJ159" i="183"/>
  <c r="CT159" i="183"/>
  <c r="Z159" i="183"/>
  <c r="BP159" i="183"/>
  <c r="FB159" i="183"/>
  <c r="AL159" i="183"/>
  <c r="GF159" i="183"/>
  <c r="AR159" i="183"/>
  <c r="BV159" i="183"/>
  <c r="AF159" i="183"/>
  <c r="CB159" i="183"/>
  <c r="DX159" i="183"/>
  <c r="CH159" i="183"/>
  <c r="BD159" i="183"/>
  <c r="AV161" i="183"/>
  <c r="CL161" i="183"/>
  <c r="BH161" i="183"/>
  <c r="CR161" i="183"/>
  <c r="X161" i="183"/>
  <c r="BN161" i="183"/>
  <c r="EZ161" i="183"/>
  <c r="AJ161" i="183"/>
  <c r="CF161" i="183"/>
  <c r="BB161" i="183"/>
  <c r="BZ161" i="183"/>
  <c r="AD161" i="183"/>
  <c r="DV161" i="183"/>
  <c r="AP161" i="183"/>
  <c r="GD161" i="183"/>
  <c r="BT161" i="183"/>
  <c r="BJ161" i="183"/>
  <c r="DX161" i="183"/>
  <c r="AF161" i="183"/>
  <c r="BV161" i="183"/>
  <c r="FB161" i="183"/>
  <c r="AL161" i="183"/>
  <c r="CB161" i="183"/>
  <c r="AX161" i="183"/>
  <c r="Z161" i="183"/>
  <c r="CN161" i="183"/>
  <c r="GF161" i="183"/>
  <c r="CH161" i="183"/>
  <c r="AR161" i="183"/>
  <c r="BP161" i="183"/>
  <c r="CT161" i="183"/>
  <c r="BD161" i="183"/>
  <c r="CH154" i="183"/>
  <c r="BD154" i="183"/>
  <c r="CT154" i="183"/>
  <c r="Z154" i="183"/>
  <c r="BJ154" i="183"/>
  <c r="DX154" i="183"/>
  <c r="AF154" i="183"/>
  <c r="BV154" i="183"/>
  <c r="AX154" i="183"/>
  <c r="BP154" i="183"/>
  <c r="CB154" i="183"/>
  <c r="AR154" i="183"/>
  <c r="GF154" i="183"/>
  <c r="CN154" i="183"/>
  <c r="FB154" i="183"/>
  <c r="AL154" i="183"/>
  <c r="BB143" i="183"/>
  <c r="CR143" i="183"/>
  <c r="X143" i="183"/>
  <c r="BN143" i="183"/>
  <c r="DV143" i="183"/>
  <c r="AD143" i="183"/>
  <c r="BT143" i="183"/>
  <c r="GD143" i="183"/>
  <c r="AP143" i="183"/>
  <c r="BZ143" i="183"/>
  <c r="AV143" i="183"/>
  <c r="CL143" i="183"/>
  <c r="BH143" i="183"/>
  <c r="CF143" i="183"/>
  <c r="AJ143" i="183"/>
  <c r="EZ143" i="183"/>
  <c r="GC129" i="183"/>
  <c r="AO129" i="183"/>
  <c r="CE129" i="183"/>
  <c r="BA129" i="183"/>
  <c r="CK129" i="183"/>
  <c r="BG129" i="183"/>
  <c r="DU129" i="183"/>
  <c r="AC129" i="183"/>
  <c r="CQ129" i="183"/>
  <c r="BS129" i="183"/>
  <c r="W129" i="183"/>
  <c r="AU129" i="183"/>
  <c r="BY129" i="183"/>
  <c r="EY129" i="183"/>
  <c r="AI129" i="183"/>
  <c r="BM129" i="183"/>
  <c r="EZ78" i="183"/>
  <c r="AJ78" i="183"/>
  <c r="BZ78" i="183"/>
  <c r="AV78" i="183"/>
  <c r="CL78" i="183"/>
  <c r="BH78" i="183"/>
  <c r="DV78" i="183"/>
  <c r="AD78" i="183"/>
  <c r="BT78" i="183"/>
  <c r="GD78" i="183"/>
  <c r="AP78" i="183"/>
  <c r="CF78" i="183"/>
  <c r="BB78" i="183"/>
  <c r="CR78" i="183"/>
  <c r="X78" i="183"/>
  <c r="BN78" i="183"/>
  <c r="AW160" i="183"/>
  <c r="CM160" i="183"/>
  <c r="BI160" i="183"/>
  <c r="CS160" i="183"/>
  <c r="Y160" i="183"/>
  <c r="BO160" i="183"/>
  <c r="FA160" i="183"/>
  <c r="AK160" i="183"/>
  <c r="AQ160" i="183"/>
  <c r="BC160" i="183"/>
  <c r="CA160" i="183"/>
  <c r="DW160" i="183"/>
  <c r="AE160" i="183"/>
  <c r="GE160" i="183"/>
  <c r="CG160" i="183"/>
  <c r="BU160" i="183"/>
  <c r="GE72" i="183"/>
  <c r="AQ72" i="183"/>
  <c r="CG72" i="183"/>
  <c r="BC72" i="183"/>
  <c r="CS72" i="183"/>
  <c r="Y72" i="183"/>
  <c r="BO72" i="183"/>
  <c r="FA72" i="183"/>
  <c r="AK72" i="183"/>
  <c r="CA72" i="183"/>
  <c r="AW72" i="183"/>
  <c r="CM72" i="183"/>
  <c r="BI72" i="183"/>
  <c r="DW72" i="183"/>
  <c r="AE72" i="183"/>
  <c r="BU72" i="183"/>
  <c r="BU153" i="183"/>
  <c r="GE153" i="183"/>
  <c r="AQ153" i="183"/>
  <c r="CG153" i="183"/>
  <c r="AW153" i="183"/>
  <c r="CM153" i="183"/>
  <c r="BI153" i="183"/>
  <c r="DW153" i="183"/>
  <c r="CS153" i="183"/>
  <c r="Y153" i="183"/>
  <c r="FA153" i="183"/>
  <c r="BC153" i="183"/>
  <c r="CA153" i="183"/>
  <c r="BO153" i="183"/>
  <c r="AE153" i="183"/>
  <c r="AK153" i="183"/>
  <c r="CA66" i="183"/>
  <c r="AW66" i="183"/>
  <c r="CM66" i="183"/>
  <c r="BI66" i="183"/>
  <c r="DW66" i="183"/>
  <c r="AE66" i="183"/>
  <c r="BU66" i="183"/>
  <c r="GE66" i="183"/>
  <c r="AQ66" i="183"/>
  <c r="CG66" i="183"/>
  <c r="BC66" i="183"/>
  <c r="CS66" i="183"/>
  <c r="Y66" i="183"/>
  <c r="BO66" i="183"/>
  <c r="FA66" i="183"/>
  <c r="AK66" i="183"/>
  <c r="CN147" i="183"/>
  <c r="BJ147" i="183"/>
  <c r="DX147" i="183"/>
  <c r="AF147" i="183"/>
  <c r="BP147" i="183"/>
  <c r="FB147" i="183"/>
  <c r="AL147" i="183"/>
  <c r="CB147" i="183"/>
  <c r="BV147" i="183"/>
  <c r="AR147" i="183"/>
  <c r="CH147" i="183"/>
  <c r="BD147" i="183"/>
  <c r="Z147" i="183"/>
  <c r="GF147" i="183"/>
  <c r="AX147" i="183"/>
  <c r="CT147" i="183"/>
  <c r="FA51" i="183"/>
  <c r="AK51" i="183"/>
  <c r="CA51" i="183"/>
  <c r="AW51" i="183"/>
  <c r="CM51" i="183"/>
  <c r="BI51" i="183"/>
  <c r="DW51" i="183"/>
  <c r="AE51" i="183"/>
  <c r="BU51" i="183"/>
  <c r="GE51" i="183"/>
  <c r="AQ51" i="183"/>
  <c r="CG51" i="183"/>
  <c r="BC51" i="183"/>
  <c r="CS51" i="183"/>
  <c r="Y51" i="183"/>
  <c r="BO51" i="183"/>
  <c r="CT129" i="183"/>
  <c r="Z129" i="183"/>
  <c r="BP129" i="183"/>
  <c r="FB129" i="183"/>
  <c r="AL129" i="183"/>
  <c r="BV129" i="183"/>
  <c r="GF129" i="183"/>
  <c r="AR129" i="183"/>
  <c r="CH129" i="183"/>
  <c r="BD129" i="183"/>
  <c r="DX129" i="183"/>
  <c r="AF129" i="183"/>
  <c r="CN129" i="183"/>
  <c r="BJ129" i="183"/>
  <c r="AX129" i="183"/>
  <c r="CB129" i="183"/>
  <c r="CG214" i="183"/>
  <c r="CS214" i="183"/>
  <c r="Y214" i="183"/>
  <c r="CM214" i="183"/>
  <c r="BU214" i="183"/>
  <c r="GE214" i="183"/>
  <c r="AQ214" i="183"/>
  <c r="FA214" i="183"/>
  <c r="BI214" i="183"/>
  <c r="AE214" i="183"/>
  <c r="AW214" i="183"/>
  <c r="BO214" i="183"/>
  <c r="DW214" i="183"/>
  <c r="BC214" i="183"/>
  <c r="AK214" i="183"/>
  <c r="CA214" i="183"/>
  <c r="GF116" i="183"/>
  <c r="AR116" i="183"/>
  <c r="CH116" i="183"/>
  <c r="BJ116" i="183"/>
  <c r="AF116" i="183"/>
  <c r="CN116" i="183"/>
  <c r="BP116" i="183"/>
  <c r="AX116" i="183"/>
  <c r="FB116" i="183"/>
  <c r="Z116" i="183"/>
  <c r="CT116" i="183"/>
  <c r="BD116" i="183"/>
  <c r="AL116" i="183"/>
  <c r="DX116" i="183"/>
  <c r="CB116" i="183"/>
  <c r="BV116" i="183"/>
  <c r="BA199" i="183"/>
  <c r="CQ199" i="183"/>
  <c r="W199" i="183"/>
  <c r="BM199" i="183"/>
  <c r="DU199" i="183"/>
  <c r="AC199" i="183"/>
  <c r="BS199" i="183"/>
  <c r="GC199" i="183"/>
  <c r="AO199" i="183"/>
  <c r="AI199" i="183"/>
  <c r="CK199" i="183"/>
  <c r="AU199" i="183"/>
  <c r="EY199" i="183"/>
  <c r="BG199" i="183"/>
  <c r="BY199" i="183"/>
  <c r="CE199" i="183"/>
  <c r="BS103" i="183"/>
  <c r="AU103" i="183"/>
  <c r="EY103" i="183"/>
  <c r="AC103" i="183"/>
  <c r="BG103" i="183"/>
  <c r="CK103" i="183"/>
  <c r="AO103" i="183"/>
  <c r="W103" i="183"/>
  <c r="DU103" i="183"/>
  <c r="BA103" i="183"/>
  <c r="CE103" i="183"/>
  <c r="GC103" i="183"/>
  <c r="AI103" i="183"/>
  <c r="BM103" i="183"/>
  <c r="CQ103" i="183"/>
  <c r="BY103" i="183"/>
  <c r="DW187" i="183"/>
  <c r="AE187" i="183"/>
  <c r="BU187" i="183"/>
  <c r="GE187" i="183"/>
  <c r="AQ187" i="183"/>
  <c r="AW187" i="183"/>
  <c r="CM187" i="183"/>
  <c r="CG187" i="183"/>
  <c r="BI187" i="183"/>
  <c r="AK187" i="183"/>
  <c r="CS187" i="183"/>
  <c r="Y187" i="183"/>
  <c r="BO187" i="183"/>
  <c r="FA187" i="183"/>
  <c r="CA187" i="183"/>
  <c r="BC187" i="183"/>
  <c r="CN67" i="183"/>
  <c r="BJ67" i="183"/>
  <c r="DX67" i="183"/>
  <c r="AF67" i="183"/>
  <c r="BV67" i="183"/>
  <c r="GF67" i="183"/>
  <c r="AR67" i="183"/>
  <c r="CH67" i="183"/>
  <c r="BD67" i="183"/>
  <c r="CT67" i="183"/>
  <c r="Z67" i="183"/>
  <c r="BP67" i="183"/>
  <c r="FB67" i="183"/>
  <c r="AL67" i="183"/>
  <c r="CB67" i="183"/>
  <c r="AX67" i="183"/>
  <c r="GC107" i="183"/>
  <c r="AO107" i="183"/>
  <c r="EY107" i="183"/>
  <c r="AC107" i="183"/>
  <c r="W107" i="183"/>
  <c r="DU107" i="183"/>
  <c r="CE107" i="183"/>
  <c r="BM107" i="183"/>
  <c r="BS107" i="183"/>
  <c r="AU107" i="183"/>
  <c r="CK107" i="183"/>
  <c r="BG107" i="183"/>
  <c r="AI107" i="183"/>
  <c r="BY107" i="183"/>
  <c r="BA107" i="183"/>
  <c r="CQ107" i="183"/>
  <c r="AU149" i="183"/>
  <c r="CK149" i="183"/>
  <c r="BG149" i="183"/>
  <c r="CQ149" i="183"/>
  <c r="W149" i="183"/>
  <c r="BM149" i="183"/>
  <c r="EY149" i="183"/>
  <c r="AI149" i="183"/>
  <c r="BY149" i="183"/>
  <c r="DU149" i="183"/>
  <c r="BS149" i="183"/>
  <c r="GC149" i="183"/>
  <c r="CE149" i="183"/>
  <c r="AO149" i="183"/>
  <c r="AC149" i="183"/>
  <c r="BA149" i="183"/>
  <c r="AO191" i="183"/>
  <c r="CE191" i="183"/>
  <c r="GC191" i="183"/>
  <c r="BA191" i="183"/>
  <c r="CK191" i="183"/>
  <c r="BG191" i="183"/>
  <c r="AC191" i="183"/>
  <c r="EY191" i="183"/>
  <c r="BY191" i="183"/>
  <c r="BS191" i="183"/>
  <c r="CQ191" i="183"/>
  <c r="AI191" i="183"/>
  <c r="DU191" i="183"/>
  <c r="BM191" i="183"/>
  <c r="AU191" i="183"/>
  <c r="W191" i="183"/>
  <c r="GC62" i="183"/>
  <c r="AO62" i="183"/>
  <c r="CE62" i="183"/>
  <c r="BA62" i="183"/>
  <c r="CQ62" i="183"/>
  <c r="W62" i="183"/>
  <c r="BM62" i="183"/>
  <c r="EY62" i="183"/>
  <c r="AI62" i="183"/>
  <c r="BY62" i="183"/>
  <c r="AU62" i="183"/>
  <c r="CK62" i="183"/>
  <c r="BG62" i="183"/>
  <c r="DU62" i="183"/>
  <c r="AC62" i="183"/>
  <c r="BS62" i="183"/>
  <c r="BJ100" i="183"/>
  <c r="BV100" i="183"/>
  <c r="GF100" i="183"/>
  <c r="AR100" i="183"/>
  <c r="CH100" i="183"/>
  <c r="BD100" i="183"/>
  <c r="CT100" i="183"/>
  <c r="Z100" i="183"/>
  <c r="BP100" i="183"/>
  <c r="FB100" i="183"/>
  <c r="AL100" i="183"/>
  <c r="CB100" i="183"/>
  <c r="AX100" i="183"/>
  <c r="DX100" i="183"/>
  <c r="CN100" i="183"/>
  <c r="AF100" i="183"/>
  <c r="CE143" i="183"/>
  <c r="BA143" i="183"/>
  <c r="CQ143" i="183"/>
  <c r="W143" i="183"/>
  <c r="BG143" i="183"/>
  <c r="DU143" i="183"/>
  <c r="AC143" i="183"/>
  <c r="BS143" i="183"/>
  <c r="EY143" i="183"/>
  <c r="BY143" i="183"/>
  <c r="AU143" i="183"/>
  <c r="CK143" i="183"/>
  <c r="GC143" i="183"/>
  <c r="AO143" i="183"/>
  <c r="AI143" i="183"/>
  <c r="BM143" i="183"/>
  <c r="EZ185" i="183"/>
  <c r="AJ185" i="183"/>
  <c r="BZ185" i="183"/>
  <c r="AV185" i="183"/>
  <c r="CF185" i="183"/>
  <c r="BB185" i="183"/>
  <c r="CR185" i="183"/>
  <c r="X185" i="183"/>
  <c r="DV185" i="183"/>
  <c r="AP185" i="183"/>
  <c r="AD185" i="183"/>
  <c r="GD185" i="183"/>
  <c r="BN185" i="183"/>
  <c r="BH185" i="183"/>
  <c r="CL185" i="183"/>
  <c r="BT185" i="183"/>
  <c r="DW56" i="183"/>
  <c r="AE56" i="183"/>
  <c r="BU56" i="183"/>
  <c r="GE56" i="183"/>
  <c r="AQ56" i="183"/>
  <c r="CG56" i="183"/>
  <c r="BC56" i="183"/>
  <c r="CS56" i="183"/>
  <c r="Y56" i="183"/>
  <c r="BO56" i="183"/>
  <c r="FA56" i="183"/>
  <c r="AK56" i="183"/>
  <c r="CA56" i="183"/>
  <c r="AW56" i="183"/>
  <c r="CM56" i="183"/>
  <c r="BI56" i="183"/>
  <c r="EZ95" i="183"/>
  <c r="AJ95" i="183"/>
  <c r="BZ95" i="183"/>
  <c r="AV95" i="183"/>
  <c r="CL95" i="183"/>
  <c r="BH95" i="183"/>
  <c r="DV95" i="183"/>
  <c r="AD95" i="183"/>
  <c r="BT95" i="183"/>
  <c r="GD95" i="183"/>
  <c r="AP95" i="183"/>
  <c r="CF95" i="183"/>
  <c r="CR95" i="183"/>
  <c r="X95" i="183"/>
  <c r="BN95" i="183"/>
  <c r="BB95" i="183"/>
  <c r="BZ136" i="183"/>
  <c r="AV136" i="183"/>
  <c r="CL136" i="183"/>
  <c r="BB136" i="183"/>
  <c r="CR136" i="183"/>
  <c r="X136" i="183"/>
  <c r="BN136" i="183"/>
  <c r="DV136" i="183"/>
  <c r="AD136" i="183"/>
  <c r="EZ136" i="183"/>
  <c r="BT136" i="183"/>
  <c r="AJ136" i="183"/>
  <c r="GD136" i="183"/>
  <c r="CF136" i="183"/>
  <c r="AP136" i="183"/>
  <c r="BH136" i="183"/>
  <c r="DV176" i="183"/>
  <c r="BT176" i="183"/>
  <c r="GD176" i="183"/>
  <c r="CR176" i="183"/>
  <c r="BZ176" i="183"/>
  <c r="BH176" i="183"/>
  <c r="AD176" i="183"/>
  <c r="CF176" i="183"/>
  <c r="BN176" i="183"/>
  <c r="AJ176" i="183"/>
  <c r="AV176" i="183"/>
  <c r="BB176" i="183"/>
  <c r="EZ176" i="183"/>
  <c r="AP176" i="183"/>
  <c r="CL176" i="183"/>
  <c r="X176" i="183"/>
  <c r="BD47" i="183"/>
  <c r="CT47" i="183"/>
  <c r="Z47" i="183"/>
  <c r="BP47" i="183"/>
  <c r="FB47" i="183"/>
  <c r="AL47" i="183"/>
  <c r="CB47" i="183"/>
  <c r="AX47" i="183"/>
  <c r="CN47" i="183"/>
  <c r="BJ47" i="183"/>
  <c r="DX47" i="183"/>
  <c r="AF47" i="183"/>
  <c r="BV47" i="183"/>
  <c r="GF47" i="183"/>
  <c r="AR47" i="183"/>
  <c r="CH47" i="183"/>
  <c r="CK85" i="183"/>
  <c r="DU85" i="183"/>
  <c r="AC85" i="183"/>
  <c r="BS85" i="183"/>
  <c r="GC85" i="183"/>
  <c r="AO85" i="183"/>
  <c r="CE85" i="183"/>
  <c r="BA85" i="183"/>
  <c r="CQ85" i="183"/>
  <c r="W85" i="183"/>
  <c r="BM85" i="183"/>
  <c r="BY85" i="183"/>
  <c r="AU85" i="183"/>
  <c r="BG85" i="183"/>
  <c r="AI85" i="183"/>
  <c r="EY85" i="183"/>
  <c r="BH125" i="183"/>
  <c r="DV125" i="183"/>
  <c r="AD125" i="183"/>
  <c r="BT125" i="183"/>
  <c r="EZ125" i="183"/>
  <c r="AJ125" i="183"/>
  <c r="BZ125" i="183"/>
  <c r="AV125" i="183"/>
  <c r="CR125" i="183"/>
  <c r="X125" i="183"/>
  <c r="GD125" i="183"/>
  <c r="AP125" i="183"/>
  <c r="BB125" i="183"/>
  <c r="BN125" i="183"/>
  <c r="CF125" i="183"/>
  <c r="CL125" i="183"/>
  <c r="GC167" i="183"/>
  <c r="AO167" i="183"/>
  <c r="CE167" i="183"/>
  <c r="BA167" i="183"/>
  <c r="EY167" i="183"/>
  <c r="AI167" i="183"/>
  <c r="CK167" i="183"/>
  <c r="BG167" i="183"/>
  <c r="DU167" i="183"/>
  <c r="AC167" i="183"/>
  <c r="AU167" i="183"/>
  <c r="BY167" i="183"/>
  <c r="BS167" i="183"/>
  <c r="CQ167" i="183"/>
  <c r="BM167" i="183"/>
  <c r="W167" i="183"/>
  <c r="BJ209" i="183"/>
  <c r="BV209" i="183"/>
  <c r="FB209" i="183"/>
  <c r="AL209" i="183"/>
  <c r="CB209" i="183"/>
  <c r="AX209" i="183"/>
  <c r="GF209" i="183"/>
  <c r="CN209" i="183"/>
  <c r="BD209" i="183"/>
  <c r="DX209" i="183"/>
  <c r="BP209" i="183"/>
  <c r="CT209" i="183"/>
  <c r="AF209" i="183"/>
  <c r="AR209" i="183"/>
  <c r="CH209" i="183"/>
  <c r="Z209" i="183"/>
  <c r="CR76" i="183"/>
  <c r="X76" i="183"/>
  <c r="BN76" i="183"/>
  <c r="EZ76" i="183"/>
  <c r="AJ76" i="183"/>
  <c r="BZ76" i="183"/>
  <c r="AV76" i="183"/>
  <c r="CL76" i="183"/>
  <c r="BH76" i="183"/>
  <c r="DV76" i="183"/>
  <c r="AD76" i="183"/>
  <c r="BT76" i="183"/>
  <c r="GD76" i="183"/>
  <c r="AP76" i="183"/>
  <c r="CF76" i="183"/>
  <c r="BB76" i="183"/>
  <c r="DU117" i="183"/>
  <c r="AC117" i="183"/>
  <c r="BS117" i="183"/>
  <c r="GC117" i="183"/>
  <c r="AO117" i="183"/>
  <c r="AU117" i="183"/>
  <c r="AI117" i="183"/>
  <c r="BY117" i="183"/>
  <c r="BA117" i="183"/>
  <c r="CQ117" i="183"/>
  <c r="EY117" i="183"/>
  <c r="CE117" i="183"/>
  <c r="CK117" i="183"/>
  <c r="W117" i="183"/>
  <c r="BM117" i="183"/>
  <c r="BG117" i="183"/>
  <c r="CQ158" i="183"/>
  <c r="W158" i="183"/>
  <c r="BM158" i="183"/>
  <c r="EY158" i="183"/>
  <c r="AI158" i="183"/>
  <c r="BS158" i="183"/>
  <c r="GC158" i="183"/>
  <c r="AO158" i="183"/>
  <c r="CE158" i="183"/>
  <c r="AU158" i="183"/>
  <c r="DU158" i="183"/>
  <c r="CK158" i="183"/>
  <c r="BG158" i="183"/>
  <c r="BA158" i="183"/>
  <c r="AC158" i="183"/>
  <c r="BY158" i="183"/>
  <c r="CR199" i="183"/>
  <c r="X199" i="183"/>
  <c r="BN199" i="183"/>
  <c r="EZ199" i="183"/>
  <c r="AJ199" i="183"/>
  <c r="BT199" i="183"/>
  <c r="GD199" i="183"/>
  <c r="AP199" i="183"/>
  <c r="CF199" i="183"/>
  <c r="CL199" i="183"/>
  <c r="BH199" i="183"/>
  <c r="DV199" i="183"/>
  <c r="AV199" i="183"/>
  <c r="AD199" i="183"/>
  <c r="BB199" i="183"/>
  <c r="BZ199" i="183"/>
  <c r="AW67" i="183"/>
  <c r="CM67" i="183"/>
  <c r="BI67" i="183"/>
  <c r="DW67" i="183"/>
  <c r="AE67" i="183"/>
  <c r="BU67" i="183"/>
  <c r="GE67" i="183"/>
  <c r="AQ67" i="183"/>
  <c r="CG67" i="183"/>
  <c r="BC67" i="183"/>
  <c r="CS67" i="183"/>
  <c r="Y67" i="183"/>
  <c r="BO67" i="183"/>
  <c r="FA67" i="183"/>
  <c r="AK67" i="183"/>
  <c r="CA67" i="183"/>
  <c r="BD106" i="183"/>
  <c r="CN106" i="183"/>
  <c r="BP106" i="183"/>
  <c r="AL106" i="183"/>
  <c r="GF106" i="183"/>
  <c r="CT106" i="183"/>
  <c r="CH106" i="183"/>
  <c r="AR106" i="183"/>
  <c r="Z106" i="183"/>
  <c r="BJ106" i="183"/>
  <c r="CB106" i="183"/>
  <c r="BV106" i="183"/>
  <c r="AX106" i="183"/>
  <c r="AF106" i="183"/>
  <c r="FB106" i="183"/>
  <c r="DX106" i="183"/>
  <c r="BJ148" i="183"/>
  <c r="DX148" i="183"/>
  <c r="AF148" i="183"/>
  <c r="BV148" i="183"/>
  <c r="FB148" i="183"/>
  <c r="AL148" i="183"/>
  <c r="CB148" i="183"/>
  <c r="AX148" i="183"/>
  <c r="CH148" i="183"/>
  <c r="BD148" i="183"/>
  <c r="Z148" i="183"/>
  <c r="CT148" i="183"/>
  <c r="BP148" i="183"/>
  <c r="CN148" i="183"/>
  <c r="GF148" i="183"/>
  <c r="AR148" i="183"/>
  <c r="BD190" i="183"/>
  <c r="CT190" i="183"/>
  <c r="Z190" i="183"/>
  <c r="BP190" i="183"/>
  <c r="BV190" i="183"/>
  <c r="GF190" i="183"/>
  <c r="AR190" i="183"/>
  <c r="AX190" i="183"/>
  <c r="CB190" i="183"/>
  <c r="AF190" i="183"/>
  <c r="FB190" i="183"/>
  <c r="CN190" i="183"/>
  <c r="AL190" i="183"/>
  <c r="DX190" i="183"/>
  <c r="CH190" i="183"/>
  <c r="BJ190" i="183"/>
  <c r="DW186" i="183"/>
  <c r="BU186" i="183"/>
  <c r="CA186" i="183"/>
  <c r="AW186" i="183"/>
  <c r="BC186" i="183"/>
  <c r="AK186" i="183"/>
  <c r="CS186" i="183"/>
  <c r="GE186" i="183"/>
  <c r="Y186" i="183"/>
  <c r="BI186" i="183"/>
  <c r="AE186" i="183"/>
  <c r="BO186" i="183"/>
  <c r="CG186" i="183"/>
  <c r="AQ186" i="183"/>
  <c r="FA186" i="183"/>
  <c r="CM186" i="183"/>
  <c r="BP108" i="183"/>
  <c r="CT108" i="183"/>
  <c r="DX108" i="183"/>
  <c r="AL108" i="183"/>
  <c r="GF108" i="183"/>
  <c r="AX108" i="183"/>
  <c r="BJ108" i="183"/>
  <c r="FB108" i="183"/>
  <c r="BD108" i="183"/>
  <c r="CN108" i="183"/>
  <c r="AR108" i="183"/>
  <c r="Z108" i="183"/>
  <c r="CH108" i="183"/>
  <c r="CB108" i="183"/>
  <c r="AF108" i="183"/>
  <c r="BV108" i="183"/>
  <c r="BY209" i="183"/>
  <c r="CK209" i="183"/>
  <c r="BA209" i="183"/>
  <c r="CQ209" i="183"/>
  <c r="W209" i="183"/>
  <c r="BM209" i="183"/>
  <c r="BS209" i="183"/>
  <c r="AC209" i="183"/>
  <c r="CE209" i="183"/>
  <c r="BG209" i="183"/>
  <c r="DU209" i="183"/>
  <c r="AI209" i="183"/>
  <c r="AO209" i="183"/>
  <c r="GC209" i="183"/>
  <c r="AU209" i="183"/>
  <c r="EY209" i="183"/>
  <c r="BP105" i="183"/>
  <c r="FB105" i="183"/>
  <c r="CN105" i="183"/>
  <c r="AR105" i="183"/>
  <c r="BV105" i="183"/>
  <c r="BD105" i="183"/>
  <c r="Z105" i="183"/>
  <c r="DX105" i="183"/>
  <c r="AL105" i="183"/>
  <c r="CH105" i="183"/>
  <c r="GF105" i="183"/>
  <c r="AX105" i="183"/>
  <c r="CT105" i="183"/>
  <c r="CB105" i="183"/>
  <c r="AF105" i="183"/>
  <c r="BJ105" i="183"/>
  <c r="BY100" i="183"/>
  <c r="CK100" i="183"/>
  <c r="BG100" i="183"/>
  <c r="DU100" i="183"/>
  <c r="AC100" i="183"/>
  <c r="BS100" i="183"/>
  <c r="GC100" i="183"/>
  <c r="AO100" i="183"/>
  <c r="CE100" i="183"/>
  <c r="BA100" i="183"/>
  <c r="CQ100" i="183"/>
  <c r="W100" i="183"/>
  <c r="BM100" i="183"/>
  <c r="AU100" i="183"/>
  <c r="EY100" i="183"/>
  <c r="AI100" i="183"/>
  <c r="BB75" i="183"/>
  <c r="CR75" i="183"/>
  <c r="X75" i="183"/>
  <c r="BN75" i="183"/>
  <c r="EZ75" i="183"/>
  <c r="AJ75" i="183"/>
  <c r="BZ75" i="183"/>
  <c r="AV75" i="183"/>
  <c r="CL75" i="183"/>
  <c r="BH75" i="183"/>
  <c r="DV75" i="183"/>
  <c r="AD75" i="183"/>
  <c r="BT75" i="183"/>
  <c r="GD75" i="183"/>
  <c r="AP75" i="183"/>
  <c r="CF75" i="183"/>
  <c r="EY133" i="183"/>
  <c r="AI133" i="183"/>
  <c r="BY133" i="183"/>
  <c r="AU133" i="183"/>
  <c r="CE133" i="183"/>
  <c r="BA133" i="183"/>
  <c r="CQ133" i="183"/>
  <c r="W133" i="183"/>
  <c r="BG133" i="183"/>
  <c r="CK133" i="183"/>
  <c r="BM133" i="183"/>
  <c r="DU133" i="183"/>
  <c r="AC133" i="183"/>
  <c r="GC133" i="183"/>
  <c r="AO133" i="183"/>
  <c r="BS133" i="183"/>
  <c r="CF48" i="183"/>
  <c r="BB48" i="183"/>
  <c r="CR48" i="183"/>
  <c r="X48" i="183"/>
  <c r="BN48" i="183"/>
  <c r="EZ48" i="183"/>
  <c r="AJ48" i="183"/>
  <c r="BZ48" i="183"/>
  <c r="AV48" i="183"/>
  <c r="CL48" i="183"/>
  <c r="BH48" i="183"/>
  <c r="DV48" i="183"/>
  <c r="AD48" i="183"/>
  <c r="BT48" i="183"/>
  <c r="GD48" i="183"/>
  <c r="AP48" i="183"/>
  <c r="BU210" i="183"/>
  <c r="FA210" i="183"/>
  <c r="CA210" i="183"/>
  <c r="AE210" i="183"/>
  <c r="BI210" i="183"/>
  <c r="GE210" i="183"/>
  <c r="AK210" i="183"/>
  <c r="BO210" i="183"/>
  <c r="CS210" i="183"/>
  <c r="CG210" i="183"/>
  <c r="AQ210" i="183"/>
  <c r="CM210" i="183"/>
  <c r="DW210" i="183"/>
  <c r="Y210" i="183"/>
  <c r="AW210" i="183"/>
  <c r="BC210" i="183"/>
  <c r="AX201" i="183"/>
  <c r="CN201" i="183"/>
  <c r="BJ201" i="183"/>
  <c r="CT201" i="183"/>
  <c r="Z201" i="183"/>
  <c r="BP201" i="183"/>
  <c r="FB201" i="183"/>
  <c r="AL201" i="183"/>
  <c r="GF201" i="183"/>
  <c r="CH201" i="183"/>
  <c r="BD201" i="183"/>
  <c r="CB201" i="183"/>
  <c r="AF201" i="183"/>
  <c r="DX201" i="183"/>
  <c r="BV201" i="183"/>
  <c r="AR201" i="183"/>
  <c r="BH102" i="183"/>
  <c r="BT102" i="183"/>
  <c r="GD102" i="183"/>
  <c r="AP102" i="183"/>
  <c r="CF102" i="183"/>
  <c r="BB102" i="183"/>
  <c r="CR102" i="183"/>
  <c r="X102" i="183"/>
  <c r="BN102" i="183"/>
  <c r="EZ102" i="183"/>
  <c r="AJ102" i="183"/>
  <c r="BZ102" i="183"/>
  <c r="AV102" i="183"/>
  <c r="AD102" i="183"/>
  <c r="DV102" i="183"/>
  <c r="CL102" i="183"/>
  <c r="GC89" i="183"/>
  <c r="AO89" i="183"/>
  <c r="BA89" i="183"/>
  <c r="CQ89" i="183"/>
  <c r="W89" i="183"/>
  <c r="BM89" i="183"/>
  <c r="EY89" i="183"/>
  <c r="AI89" i="183"/>
  <c r="BY89" i="183"/>
  <c r="AU89" i="183"/>
  <c r="CK89" i="183"/>
  <c r="DU89" i="183"/>
  <c r="AC89" i="183"/>
  <c r="BS89" i="183"/>
  <c r="CE89" i="183"/>
  <c r="BG89" i="183"/>
  <c r="BO76" i="183"/>
  <c r="FA76" i="183"/>
  <c r="AK76" i="183"/>
  <c r="CA76" i="183"/>
  <c r="AW76" i="183"/>
  <c r="CM76" i="183"/>
  <c r="BI76" i="183"/>
  <c r="DW76" i="183"/>
  <c r="AE76" i="183"/>
  <c r="BU76" i="183"/>
  <c r="GE76" i="183"/>
  <c r="AQ76" i="183"/>
  <c r="CG76" i="183"/>
  <c r="BC76" i="183"/>
  <c r="CS76" i="183"/>
  <c r="Y76" i="183"/>
  <c r="DX55" i="183"/>
  <c r="AF55" i="183"/>
  <c r="BV55" i="183"/>
  <c r="GF55" i="183"/>
  <c r="AR55" i="183"/>
  <c r="CH55" i="183"/>
  <c r="BD55" i="183"/>
  <c r="CT55" i="183"/>
  <c r="Z55" i="183"/>
  <c r="BP55" i="183"/>
  <c r="FB55" i="183"/>
  <c r="AL55" i="183"/>
  <c r="CB55" i="183"/>
  <c r="AX55" i="183"/>
  <c r="CN55" i="183"/>
  <c r="BJ55" i="183"/>
  <c r="FA94" i="183"/>
  <c r="AK94" i="183"/>
  <c r="CA94" i="183"/>
  <c r="AW94" i="183"/>
  <c r="CM94" i="183"/>
  <c r="BI94" i="183"/>
  <c r="DW94" i="183"/>
  <c r="AE94" i="183"/>
  <c r="BU94" i="183"/>
  <c r="GE94" i="183"/>
  <c r="AQ94" i="183"/>
  <c r="CG94" i="183"/>
  <c r="CS94" i="183"/>
  <c r="Y94" i="183"/>
  <c r="BO94" i="183"/>
  <c r="BC94" i="183"/>
  <c r="BI175" i="183"/>
  <c r="DW175" i="183"/>
  <c r="AE175" i="183"/>
  <c r="BU175" i="183"/>
  <c r="CG175" i="183"/>
  <c r="FA175" i="183"/>
  <c r="AK175" i="183"/>
  <c r="CA175" i="183"/>
  <c r="AW175" i="183"/>
  <c r="AQ175" i="183"/>
  <c r="CS175" i="183"/>
  <c r="BC175" i="183"/>
  <c r="Y175" i="183"/>
  <c r="CM175" i="183"/>
  <c r="BO175" i="183"/>
  <c r="GE175" i="183"/>
  <c r="BT87" i="183"/>
  <c r="CF87" i="183"/>
  <c r="BB87" i="183"/>
  <c r="CR87" i="183"/>
  <c r="X87" i="183"/>
  <c r="BN87" i="183"/>
  <c r="EZ87" i="183"/>
  <c r="AJ87" i="183"/>
  <c r="BZ87" i="183"/>
  <c r="AV87" i="183"/>
  <c r="BH87" i="183"/>
  <c r="DV87" i="183"/>
  <c r="AD87" i="183"/>
  <c r="CL87" i="183"/>
  <c r="AP87" i="183"/>
  <c r="GD87" i="183"/>
  <c r="BB169" i="183"/>
  <c r="CR169" i="183"/>
  <c r="X169" i="183"/>
  <c r="DV169" i="183"/>
  <c r="BT169" i="183"/>
  <c r="GD169" i="183"/>
  <c r="AP169" i="183"/>
  <c r="AD169" i="183"/>
  <c r="AV169" i="183"/>
  <c r="CF169" i="183"/>
  <c r="BH169" i="183"/>
  <c r="AJ169" i="183"/>
  <c r="EZ169" i="183"/>
  <c r="BZ169" i="183"/>
  <c r="BN169" i="183"/>
  <c r="CL169" i="183"/>
  <c r="AU81" i="183"/>
  <c r="CK81" i="183"/>
  <c r="BG81" i="183"/>
  <c r="DU81" i="183"/>
  <c r="AC81" i="183"/>
  <c r="BS81" i="183"/>
  <c r="GC81" i="183"/>
  <c r="AO81" i="183"/>
  <c r="CE81" i="183"/>
  <c r="BA81" i="183"/>
  <c r="CQ81" i="183"/>
  <c r="W81" i="183"/>
  <c r="BM81" i="183"/>
  <c r="EY81" i="183"/>
  <c r="AI81" i="183"/>
  <c r="BY81" i="183"/>
  <c r="BH163" i="183"/>
  <c r="DV163" i="183"/>
  <c r="AD163" i="183"/>
  <c r="BT163" i="183"/>
  <c r="BB163" i="183"/>
  <c r="EZ163" i="183"/>
  <c r="AJ163" i="183"/>
  <c r="BZ163" i="183"/>
  <c r="AV163" i="183"/>
  <c r="CF163" i="183"/>
  <c r="GD163" i="183"/>
  <c r="X163" i="183"/>
  <c r="CL163" i="183"/>
  <c r="AP163" i="183"/>
  <c r="CR163" i="183"/>
  <c r="BN163" i="183"/>
  <c r="DU72" i="183"/>
  <c r="AC72" i="183"/>
  <c r="BS72" i="183"/>
  <c r="GC72" i="183"/>
  <c r="AO72" i="183"/>
  <c r="CE72" i="183"/>
  <c r="BA72" i="183"/>
  <c r="CQ72" i="183"/>
  <c r="W72" i="183"/>
  <c r="BM72" i="183"/>
  <c r="EY72" i="183"/>
  <c r="AI72" i="183"/>
  <c r="BY72" i="183"/>
  <c r="AU72" i="183"/>
  <c r="CK72" i="183"/>
  <c r="BG72" i="183"/>
  <c r="BG153" i="183"/>
  <c r="DU153" i="183"/>
  <c r="AC153" i="183"/>
  <c r="BS153" i="183"/>
  <c r="EY153" i="183"/>
  <c r="AI153" i="183"/>
  <c r="BY153" i="183"/>
  <c r="AU153" i="183"/>
  <c r="AO153" i="183"/>
  <c r="CE153" i="183"/>
  <c r="BA153" i="183"/>
  <c r="W153" i="183"/>
  <c r="GC153" i="183"/>
  <c r="CQ153" i="183"/>
  <c r="CK153" i="183"/>
  <c r="BM153" i="183"/>
  <c r="BN94" i="183"/>
  <c r="EZ94" i="183"/>
  <c r="AJ94" i="183"/>
  <c r="BZ94" i="183"/>
  <c r="AV94" i="183"/>
  <c r="CL94" i="183"/>
  <c r="BH94" i="183"/>
  <c r="DV94" i="183"/>
  <c r="AD94" i="183"/>
  <c r="BT94" i="183"/>
  <c r="GD94" i="183"/>
  <c r="AP94" i="183"/>
  <c r="BB94" i="183"/>
  <c r="CR94" i="183"/>
  <c r="X94" i="183"/>
  <c r="CF94" i="183"/>
  <c r="BB120" i="183"/>
  <c r="CR120" i="183"/>
  <c r="X120" i="183"/>
  <c r="BN120" i="183"/>
  <c r="DV120" i="183"/>
  <c r="AD120" i="183"/>
  <c r="BT120" i="183"/>
  <c r="GD120" i="183"/>
  <c r="AV120" i="183"/>
  <c r="CL120" i="183"/>
  <c r="EZ120" i="183"/>
  <c r="BZ120" i="183"/>
  <c r="AP120" i="183"/>
  <c r="AJ120" i="183"/>
  <c r="BH120" i="183"/>
  <c r="CF120" i="183"/>
  <c r="DU196" i="183"/>
  <c r="AC196" i="183"/>
  <c r="BS196" i="183"/>
  <c r="GC196" i="183"/>
  <c r="AO196" i="183"/>
  <c r="CE196" i="183"/>
  <c r="AU196" i="183"/>
  <c r="CK196" i="183"/>
  <c r="CQ196" i="183"/>
  <c r="BM196" i="183"/>
  <c r="AI196" i="183"/>
  <c r="EY196" i="183"/>
  <c r="BY196" i="183"/>
  <c r="BA196" i="183"/>
  <c r="BG196" i="183"/>
  <c r="W196" i="183"/>
  <c r="CM192" i="183"/>
  <c r="DW192" i="183"/>
  <c r="AE192" i="183"/>
  <c r="FA192" i="183"/>
  <c r="AK192" i="183"/>
  <c r="AW192" i="183"/>
  <c r="BO192" i="183"/>
  <c r="CS192" i="183"/>
  <c r="BU192" i="183"/>
  <c r="BC192" i="183"/>
  <c r="GE192" i="183"/>
  <c r="CA192" i="183"/>
  <c r="CG192" i="183"/>
  <c r="Y192" i="183"/>
  <c r="AQ192" i="183"/>
  <c r="BI192" i="183"/>
  <c r="BY148" i="183"/>
  <c r="AU148" i="183"/>
  <c r="CK148" i="183"/>
  <c r="BA148" i="183"/>
  <c r="CQ148" i="183"/>
  <c r="W148" i="183"/>
  <c r="BM148" i="183"/>
  <c r="AC148" i="183"/>
  <c r="GC148" i="183"/>
  <c r="AO148" i="183"/>
  <c r="AI148" i="183"/>
  <c r="BS148" i="183"/>
  <c r="BG148" i="183"/>
  <c r="CE148" i="183"/>
  <c r="DU148" i="183"/>
  <c r="EY148" i="183"/>
  <c r="GC142" i="183"/>
  <c r="AO142" i="183"/>
  <c r="CE142" i="183"/>
  <c r="BA142" i="183"/>
  <c r="CK142" i="183"/>
  <c r="BG142" i="183"/>
  <c r="DU142" i="183"/>
  <c r="AC142" i="183"/>
  <c r="BM142" i="183"/>
  <c r="AI142" i="183"/>
  <c r="BY142" i="183"/>
  <c r="AU142" i="183"/>
  <c r="BS142" i="183"/>
  <c r="W142" i="183"/>
  <c r="EY142" i="183"/>
  <c r="CQ142" i="183"/>
  <c r="DV153" i="183"/>
  <c r="AD153" i="183"/>
  <c r="BT153" i="183"/>
  <c r="GD153" i="183"/>
  <c r="AP153" i="183"/>
  <c r="BZ153" i="183"/>
  <c r="AV153" i="183"/>
  <c r="CL153" i="183"/>
  <c r="BB153" i="183"/>
  <c r="X153" i="183"/>
  <c r="BH153" i="183"/>
  <c r="EZ153" i="183"/>
  <c r="BN153" i="183"/>
  <c r="AJ153" i="183"/>
  <c r="CR153" i="183"/>
  <c r="CF153" i="183"/>
  <c r="DU141" i="183"/>
  <c r="AC141" i="183"/>
  <c r="BS141" i="183"/>
  <c r="GC141" i="183"/>
  <c r="AO141" i="183"/>
  <c r="BY141" i="183"/>
  <c r="AU141" i="183"/>
  <c r="CK141" i="183"/>
  <c r="BM141" i="183"/>
  <c r="CQ141" i="183"/>
  <c r="W141" i="183"/>
  <c r="BG141" i="183"/>
  <c r="AI141" i="183"/>
  <c r="EY141" i="183"/>
  <c r="BA141" i="183"/>
  <c r="CE141" i="183"/>
  <c r="CB145" i="183"/>
  <c r="AX145" i="183"/>
  <c r="CN145" i="183"/>
  <c r="BD145" i="183"/>
  <c r="CT145" i="183"/>
  <c r="Z145" i="183"/>
  <c r="BP145" i="183"/>
  <c r="CH145" i="183"/>
  <c r="FB145" i="183"/>
  <c r="BJ145" i="183"/>
  <c r="AF145" i="183"/>
  <c r="AR145" i="183"/>
  <c r="GF145" i="183"/>
  <c r="DX145" i="183"/>
  <c r="BV145" i="183"/>
  <c r="AL145" i="183"/>
  <c r="CM113" i="183"/>
  <c r="BU113" i="183"/>
  <c r="AQ113" i="183"/>
  <c r="DW113" i="183"/>
  <c r="CS113" i="183"/>
  <c r="AW113" i="183"/>
  <c r="BO113" i="183"/>
  <c r="GE113" i="183"/>
  <c r="CG113" i="183"/>
  <c r="BI113" i="183"/>
  <c r="AK113" i="183"/>
  <c r="BC113" i="183"/>
  <c r="CA113" i="183"/>
  <c r="AE113" i="183"/>
  <c r="Y113" i="183"/>
  <c r="FA113" i="183"/>
  <c r="BI149" i="183"/>
  <c r="DW149" i="183"/>
  <c r="AE149" i="183"/>
  <c r="BU149" i="183"/>
  <c r="FA149" i="183"/>
  <c r="AK149" i="183"/>
  <c r="CA149" i="183"/>
  <c r="AW149" i="183"/>
  <c r="CS149" i="183"/>
  <c r="BO149" i="183"/>
  <c r="CM149" i="183"/>
  <c r="AQ149" i="183"/>
  <c r="GE149" i="183"/>
  <c r="BC149" i="183"/>
  <c r="Y149" i="183"/>
  <c r="CG149" i="183"/>
  <c r="BH139" i="183"/>
  <c r="DV139" i="183"/>
  <c r="AD139" i="183"/>
  <c r="BT139" i="183"/>
  <c r="EZ139" i="183"/>
  <c r="AJ139" i="183"/>
  <c r="BZ139" i="183"/>
  <c r="AV139" i="183"/>
  <c r="BB139" i="183"/>
  <c r="BN139" i="183"/>
  <c r="CF139" i="183"/>
  <c r="AP139" i="183"/>
  <c r="GD139" i="183"/>
  <c r="CL139" i="183"/>
  <c r="CR139" i="183"/>
  <c r="X139" i="183"/>
  <c r="DX81" i="183"/>
  <c r="AF81" i="183"/>
  <c r="BV81" i="183"/>
  <c r="GF81" i="183"/>
  <c r="AR81" i="183"/>
  <c r="CH81" i="183"/>
  <c r="BD81" i="183"/>
  <c r="CT81" i="183"/>
  <c r="Z81" i="183"/>
  <c r="BP81" i="183"/>
  <c r="FB81" i="183"/>
  <c r="AL81" i="183"/>
  <c r="CB81" i="183"/>
  <c r="AX81" i="183"/>
  <c r="CN81" i="183"/>
  <c r="BJ81" i="183"/>
  <c r="AU69" i="183"/>
  <c r="CK69" i="183"/>
  <c r="BG69" i="183"/>
  <c r="DU69" i="183"/>
  <c r="AC69" i="183"/>
  <c r="BS69" i="183"/>
  <c r="GC69" i="183"/>
  <c r="AO69" i="183"/>
  <c r="CE69" i="183"/>
  <c r="BA69" i="183"/>
  <c r="CQ69" i="183"/>
  <c r="W69" i="183"/>
  <c r="BM69" i="183"/>
  <c r="EY69" i="183"/>
  <c r="AI69" i="183"/>
  <c r="BY69" i="183"/>
  <c r="FA206" i="183"/>
  <c r="AK206" i="183"/>
  <c r="CG206" i="183"/>
  <c r="BC206" i="183"/>
  <c r="CS206" i="183"/>
  <c r="Y206" i="183"/>
  <c r="AQ206" i="183"/>
  <c r="BI206" i="183"/>
  <c r="AW206" i="183"/>
  <c r="CM206" i="183"/>
  <c r="GE206" i="183"/>
  <c r="BO206" i="183"/>
  <c r="DW206" i="183"/>
  <c r="CA206" i="183"/>
  <c r="AE206" i="183"/>
  <c r="BU206" i="183"/>
  <c r="DU154" i="183"/>
  <c r="AC154" i="183"/>
  <c r="BS154" i="183"/>
  <c r="GC154" i="183"/>
  <c r="AO154" i="183"/>
  <c r="BY154" i="183"/>
  <c r="AU154" i="183"/>
  <c r="CK154" i="183"/>
  <c r="CQ154" i="183"/>
  <c r="W154" i="183"/>
  <c r="CE154" i="183"/>
  <c r="BG154" i="183"/>
  <c r="EY154" i="183"/>
  <c r="AI154" i="183"/>
  <c r="BA154" i="183"/>
  <c r="BM154" i="183"/>
  <c r="CA172" i="183"/>
  <c r="AW172" i="183"/>
  <c r="CM172" i="183"/>
  <c r="DW172" i="183"/>
  <c r="AE172" i="183"/>
  <c r="BC172" i="183"/>
  <c r="CS172" i="183"/>
  <c r="Y172" i="183"/>
  <c r="BO172" i="183"/>
  <c r="CG172" i="183"/>
  <c r="GE172" i="183"/>
  <c r="AK172" i="183"/>
  <c r="BI172" i="183"/>
  <c r="FA172" i="183"/>
  <c r="AQ172" i="183"/>
  <c r="BU172" i="183"/>
  <c r="BY174" i="183"/>
  <c r="AU174" i="183"/>
  <c r="CK174" i="183"/>
  <c r="DU174" i="183"/>
  <c r="AC174" i="183"/>
  <c r="BA174" i="183"/>
  <c r="CQ174" i="183"/>
  <c r="W174" i="183"/>
  <c r="BM174" i="183"/>
  <c r="AO174" i="183"/>
  <c r="GC174" i="183"/>
  <c r="BG174" i="183"/>
  <c r="EY174" i="183"/>
  <c r="AI174" i="183"/>
  <c r="BS174" i="183"/>
  <c r="CE174" i="183"/>
  <c r="BJ174" i="183"/>
  <c r="DX174" i="183"/>
  <c r="AF174" i="183"/>
  <c r="BV174" i="183"/>
  <c r="CH174" i="183"/>
  <c r="FB174" i="183"/>
  <c r="AL174" i="183"/>
  <c r="CB174" i="183"/>
  <c r="AX174" i="183"/>
  <c r="BP174" i="183"/>
  <c r="CN174" i="183"/>
  <c r="GF174" i="183"/>
  <c r="AR174" i="183"/>
  <c r="CT174" i="183"/>
  <c r="Z174" i="183"/>
  <c r="BD174" i="183"/>
  <c r="GE168" i="183"/>
  <c r="CS168" i="183"/>
  <c r="Y168" i="183"/>
  <c r="BO168" i="183"/>
  <c r="FA168" i="183"/>
  <c r="AK168" i="183"/>
  <c r="CM168" i="183"/>
  <c r="BU168" i="183"/>
  <c r="AQ168" i="183"/>
  <c r="CG168" i="183"/>
  <c r="CA168" i="183"/>
  <c r="BC168" i="183"/>
  <c r="DW168" i="183"/>
  <c r="BI168" i="183"/>
  <c r="AW168" i="183"/>
  <c r="AE168" i="183"/>
  <c r="BD155" i="183"/>
  <c r="CT155" i="183"/>
  <c r="Z155" i="183"/>
  <c r="BP155" i="183"/>
  <c r="DX155" i="183"/>
  <c r="AF155" i="183"/>
  <c r="BV155" i="183"/>
  <c r="GF155" i="183"/>
  <c r="AR155" i="183"/>
  <c r="CH155" i="183"/>
  <c r="FB155" i="183"/>
  <c r="CB155" i="183"/>
  <c r="CN155" i="183"/>
  <c r="BJ155" i="183"/>
  <c r="AX155" i="183"/>
  <c r="AL155" i="183"/>
  <c r="BA144" i="183"/>
  <c r="CQ144" i="183"/>
  <c r="W144" i="183"/>
  <c r="BM144" i="183"/>
  <c r="DU144" i="183"/>
  <c r="AC144" i="183"/>
  <c r="BS144" i="183"/>
  <c r="GC144" i="183"/>
  <c r="AO144" i="183"/>
  <c r="BG144" i="183"/>
  <c r="BY144" i="183"/>
  <c r="CK144" i="183"/>
  <c r="EY144" i="183"/>
  <c r="AI144" i="183"/>
  <c r="CE144" i="183"/>
  <c r="AU144" i="183"/>
  <c r="BH85" i="183"/>
  <c r="BT85" i="183"/>
  <c r="GD85" i="183"/>
  <c r="AP85" i="183"/>
  <c r="CF85" i="183"/>
  <c r="BB85" i="183"/>
  <c r="CR85" i="183"/>
  <c r="X85" i="183"/>
  <c r="BN85" i="183"/>
  <c r="EZ85" i="183"/>
  <c r="AJ85" i="183"/>
  <c r="AV85" i="183"/>
  <c r="CL85" i="183"/>
  <c r="AD85" i="183"/>
  <c r="DV85" i="183"/>
  <c r="BZ85" i="183"/>
  <c r="CF167" i="183"/>
  <c r="BB167" i="183"/>
  <c r="CR167" i="183"/>
  <c r="X167" i="183"/>
  <c r="BZ167" i="183"/>
  <c r="BH167" i="183"/>
  <c r="DV167" i="183"/>
  <c r="AD167" i="183"/>
  <c r="BT167" i="183"/>
  <c r="GD167" i="183"/>
  <c r="AP167" i="183"/>
  <c r="EZ167" i="183"/>
  <c r="CL167" i="183"/>
  <c r="BN167" i="183"/>
  <c r="AV167" i="183"/>
  <c r="AJ167" i="183"/>
  <c r="CA78" i="183"/>
  <c r="AW78" i="183"/>
  <c r="CM78" i="183"/>
  <c r="BI78" i="183"/>
  <c r="DW78" i="183"/>
  <c r="AE78" i="183"/>
  <c r="BU78" i="183"/>
  <c r="GE78" i="183"/>
  <c r="AQ78" i="183"/>
  <c r="CG78" i="183"/>
  <c r="BC78" i="183"/>
  <c r="CS78" i="183"/>
  <c r="Y78" i="183"/>
  <c r="BO78" i="183"/>
  <c r="FA78" i="183"/>
  <c r="AK78" i="183"/>
  <c r="CN160" i="183"/>
  <c r="BJ160" i="183"/>
  <c r="DX160" i="183"/>
  <c r="AF160" i="183"/>
  <c r="BP160" i="183"/>
  <c r="FB160" i="183"/>
  <c r="AL160" i="183"/>
  <c r="CB160" i="183"/>
  <c r="CT160" i="183"/>
  <c r="Z160" i="183"/>
  <c r="AX160" i="183"/>
  <c r="BV160" i="183"/>
  <c r="AR160" i="183"/>
  <c r="GF160" i="183"/>
  <c r="CH160" i="183"/>
  <c r="BD160" i="183"/>
  <c r="CH72" i="183"/>
  <c r="BD72" i="183"/>
  <c r="CT72" i="183"/>
  <c r="Z72" i="183"/>
  <c r="BP72" i="183"/>
  <c r="FB72" i="183"/>
  <c r="AL72" i="183"/>
  <c r="CB72" i="183"/>
  <c r="AX72" i="183"/>
  <c r="CN72" i="183"/>
  <c r="BJ72" i="183"/>
  <c r="DX72" i="183"/>
  <c r="AF72" i="183"/>
  <c r="BV72" i="183"/>
  <c r="GF72" i="183"/>
  <c r="AR72" i="183"/>
  <c r="GF153" i="183"/>
  <c r="AR153" i="183"/>
  <c r="CH153" i="183"/>
  <c r="BD153" i="183"/>
  <c r="CN153" i="183"/>
  <c r="BJ153" i="183"/>
  <c r="DX153" i="183"/>
  <c r="AF153" i="183"/>
  <c r="BV153" i="183"/>
  <c r="CT153" i="183"/>
  <c r="BP153" i="183"/>
  <c r="FB153" i="183"/>
  <c r="CB153" i="183"/>
  <c r="AX153" i="183"/>
  <c r="Z153" i="183"/>
  <c r="AL153" i="183"/>
  <c r="BU57" i="183"/>
  <c r="GE57" i="183"/>
  <c r="AQ57" i="183"/>
  <c r="CG57" i="183"/>
  <c r="BC57" i="183"/>
  <c r="CS57" i="183"/>
  <c r="Y57" i="183"/>
  <c r="BO57" i="183"/>
  <c r="FA57" i="183"/>
  <c r="AK57" i="183"/>
  <c r="CA57" i="183"/>
  <c r="AW57" i="183"/>
  <c r="CM57" i="183"/>
  <c r="BI57" i="183"/>
  <c r="DW57" i="183"/>
  <c r="AE57" i="183"/>
  <c r="CM137" i="183"/>
  <c r="BI137" i="183"/>
  <c r="DW137" i="183"/>
  <c r="AE137" i="183"/>
  <c r="BO137" i="183"/>
  <c r="FA137" i="183"/>
  <c r="AK137" i="183"/>
  <c r="CA137" i="183"/>
  <c r="AQ137" i="183"/>
  <c r="BC137" i="183"/>
  <c r="Y137" i="183"/>
  <c r="AW137" i="183"/>
  <c r="CS137" i="183"/>
  <c r="GE137" i="183"/>
  <c r="CG137" i="183"/>
  <c r="BU137" i="183"/>
  <c r="GF45" i="183"/>
  <c r="AR45" i="183"/>
  <c r="CH45" i="183"/>
  <c r="BD45" i="183"/>
  <c r="CT45" i="183"/>
  <c r="Z45" i="183"/>
  <c r="BP45" i="183"/>
  <c r="FB45" i="183"/>
  <c r="AL45" i="183"/>
  <c r="CB45" i="183"/>
  <c r="AX45" i="183"/>
  <c r="CN45" i="183"/>
  <c r="BJ45" i="183"/>
  <c r="DX45" i="183"/>
  <c r="AF45" i="183"/>
  <c r="BV45" i="183"/>
  <c r="BY123" i="183"/>
  <c r="AU123" i="183"/>
  <c r="CK123" i="183"/>
  <c r="BA123" i="183"/>
  <c r="CQ123" i="183"/>
  <c r="W123" i="183"/>
  <c r="BM123" i="183"/>
  <c r="GC123" i="183"/>
  <c r="CE123" i="183"/>
  <c r="EY123" i="183"/>
  <c r="AI123" i="183"/>
  <c r="BG123" i="183"/>
  <c r="AO123" i="183"/>
  <c r="AC123" i="183"/>
  <c r="DU123" i="183"/>
  <c r="BS123" i="183"/>
  <c r="BM207" i="183"/>
  <c r="GC207" i="183"/>
  <c r="AO207" i="183"/>
  <c r="CE207" i="183"/>
  <c r="BA207" i="183"/>
  <c r="BG207" i="183"/>
  <c r="BY207" i="183"/>
  <c r="CQ207" i="183"/>
  <c r="AI207" i="183"/>
  <c r="W207" i="183"/>
  <c r="BS207" i="183"/>
  <c r="AC207" i="183"/>
  <c r="EY207" i="183"/>
  <c r="DU207" i="183"/>
  <c r="CK207" i="183"/>
  <c r="AU207" i="183"/>
  <c r="CQ110" i="183"/>
  <c r="W110" i="183"/>
  <c r="AC110" i="183"/>
  <c r="CK110" i="183"/>
  <c r="BG110" i="183"/>
  <c r="BM110" i="183"/>
  <c r="EY110" i="183"/>
  <c r="AO110" i="183"/>
  <c r="CE110" i="183"/>
  <c r="BA110" i="183"/>
  <c r="BS110" i="183"/>
  <c r="AI110" i="183"/>
  <c r="GC110" i="183"/>
  <c r="AU110" i="183"/>
  <c r="BY110" i="183"/>
  <c r="DU110" i="183"/>
  <c r="BI193" i="183"/>
  <c r="DW193" i="183"/>
  <c r="AE193" i="183"/>
  <c r="BU193" i="183"/>
  <c r="GE193" i="183"/>
  <c r="AQ193" i="183"/>
  <c r="CA193" i="183"/>
  <c r="AW193" i="183"/>
  <c r="AK193" i="183"/>
  <c r="CM193" i="183"/>
  <c r="CG193" i="183"/>
  <c r="CS193" i="183"/>
  <c r="BO193" i="183"/>
  <c r="Y193" i="183"/>
  <c r="BC193" i="183"/>
  <c r="FA193" i="183"/>
  <c r="BV70" i="183"/>
  <c r="GF70" i="183"/>
  <c r="AR70" i="183"/>
  <c r="CH70" i="183"/>
  <c r="BD70" i="183"/>
  <c r="CT70" i="183"/>
  <c r="Z70" i="183"/>
  <c r="BP70" i="183"/>
  <c r="FB70" i="183"/>
  <c r="AL70" i="183"/>
  <c r="CB70" i="183"/>
  <c r="AX70" i="183"/>
  <c r="CN70" i="183"/>
  <c r="BJ70" i="183"/>
  <c r="DX70" i="183"/>
  <c r="AF70" i="183"/>
  <c r="CB110" i="183"/>
  <c r="BV110" i="183"/>
  <c r="AR110" i="183"/>
  <c r="DX110" i="183"/>
  <c r="FB110" i="183"/>
  <c r="AF110" i="183"/>
  <c r="BJ110" i="183"/>
  <c r="BD110" i="183"/>
  <c r="GF110" i="183"/>
  <c r="CN110" i="183"/>
  <c r="AX110" i="183"/>
  <c r="Z110" i="183"/>
  <c r="CT110" i="183"/>
  <c r="AL110" i="183"/>
  <c r="BP110" i="183"/>
  <c r="CH110" i="183"/>
  <c r="CK152" i="183"/>
  <c r="BG152" i="183"/>
  <c r="DU152" i="183"/>
  <c r="AC152" i="183"/>
  <c r="BM152" i="183"/>
  <c r="EY152" i="183"/>
  <c r="AI152" i="183"/>
  <c r="BY152" i="183"/>
  <c r="CQ152" i="183"/>
  <c r="BS152" i="183"/>
  <c r="AO152" i="183"/>
  <c r="BA152" i="183"/>
  <c r="W152" i="183"/>
  <c r="GC152" i="183"/>
  <c r="AU152" i="183"/>
  <c r="CE152" i="183"/>
  <c r="CK194" i="183"/>
  <c r="BG194" i="183"/>
  <c r="DU194" i="183"/>
  <c r="AC194" i="183"/>
  <c r="BS194" i="183"/>
  <c r="EY194" i="183"/>
  <c r="AI194" i="183"/>
  <c r="BY194" i="183"/>
  <c r="AO194" i="183"/>
  <c r="BA194" i="183"/>
  <c r="W194" i="183"/>
  <c r="CE194" i="183"/>
  <c r="CQ194" i="183"/>
  <c r="BM194" i="183"/>
  <c r="AU194" i="183"/>
  <c r="GC194" i="183"/>
  <c r="CQ65" i="183"/>
  <c r="W65" i="183"/>
  <c r="BM65" i="183"/>
  <c r="EY65" i="183"/>
  <c r="AI65" i="183"/>
  <c r="BY65" i="183"/>
  <c r="AU65" i="183"/>
  <c r="CK65" i="183"/>
  <c r="BG65" i="183"/>
  <c r="DU65" i="183"/>
  <c r="AC65" i="183"/>
  <c r="BS65" i="183"/>
  <c r="GC65" i="183"/>
  <c r="AO65" i="183"/>
  <c r="CE65" i="183"/>
  <c r="BA65" i="183"/>
  <c r="BD103" i="183"/>
  <c r="BJ103" i="183"/>
  <c r="AR103" i="183"/>
  <c r="BV103" i="183"/>
  <c r="Z103" i="183"/>
  <c r="DX103" i="183"/>
  <c r="CH103" i="183"/>
  <c r="AL103" i="183"/>
  <c r="GF103" i="183"/>
  <c r="BP103" i="183"/>
  <c r="CT103" i="183"/>
  <c r="AX103" i="183"/>
  <c r="CB103" i="183"/>
  <c r="FB103" i="183"/>
  <c r="CN103" i="183"/>
  <c r="AF103" i="183"/>
  <c r="EZ146" i="183"/>
  <c r="AJ146" i="183"/>
  <c r="BZ146" i="183"/>
  <c r="AV146" i="183"/>
  <c r="CF146" i="183"/>
  <c r="BB146" i="183"/>
  <c r="CR146" i="183"/>
  <c r="X146" i="183"/>
  <c r="BN146" i="183"/>
  <c r="CL146" i="183"/>
  <c r="BH146" i="183"/>
  <c r="DV146" i="183"/>
  <c r="BT146" i="183"/>
  <c r="GD146" i="183"/>
  <c r="AP146" i="183"/>
  <c r="AD146" i="183"/>
  <c r="DV188" i="183"/>
  <c r="AD188" i="183"/>
  <c r="BT188" i="183"/>
  <c r="GD188" i="183"/>
  <c r="AP188" i="183"/>
  <c r="AV188" i="183"/>
  <c r="CL188" i="183"/>
  <c r="CF188" i="183"/>
  <c r="BH188" i="183"/>
  <c r="AJ188" i="183"/>
  <c r="EZ188" i="183"/>
  <c r="BN188" i="183"/>
  <c r="CR188" i="183"/>
  <c r="BZ188" i="183"/>
  <c r="BB188" i="183"/>
  <c r="X188" i="183"/>
  <c r="CG59" i="183"/>
  <c r="BC59" i="183"/>
  <c r="CS59" i="183"/>
  <c r="Y59" i="183"/>
  <c r="BO59" i="183"/>
  <c r="FA59" i="183"/>
  <c r="AK59" i="183"/>
  <c r="CA59" i="183"/>
  <c r="AW59" i="183"/>
  <c r="CM59" i="183"/>
  <c r="BI59" i="183"/>
  <c r="DW59" i="183"/>
  <c r="AE59" i="183"/>
  <c r="BU59" i="183"/>
  <c r="GE59" i="183"/>
  <c r="AQ59" i="183"/>
  <c r="EZ98" i="183"/>
  <c r="AJ98" i="183"/>
  <c r="AV98" i="183"/>
  <c r="CL98" i="183"/>
  <c r="BH98" i="183"/>
  <c r="DV98" i="183"/>
  <c r="AD98" i="183"/>
  <c r="BT98" i="183"/>
  <c r="GD98" i="183"/>
  <c r="AP98" i="183"/>
  <c r="CF98" i="183"/>
  <c r="BB98" i="183"/>
  <c r="CR98" i="183"/>
  <c r="X98" i="183"/>
  <c r="BN98" i="183"/>
  <c r="BZ98" i="183"/>
  <c r="BV139" i="183"/>
  <c r="GF139" i="183"/>
  <c r="AR139" i="183"/>
  <c r="CH139" i="183"/>
  <c r="AX139" i="183"/>
  <c r="CN139" i="183"/>
  <c r="BJ139" i="183"/>
  <c r="CB139" i="183"/>
  <c r="CT139" i="183"/>
  <c r="Z139" i="183"/>
  <c r="FB139" i="183"/>
  <c r="AL139" i="183"/>
  <c r="BD139" i="183"/>
  <c r="AF139" i="183"/>
  <c r="BP139" i="183"/>
  <c r="DX139" i="183"/>
  <c r="EZ179" i="183"/>
  <c r="AJ179" i="183"/>
  <c r="BZ179" i="183"/>
  <c r="AV179" i="183"/>
  <c r="CF179" i="183"/>
  <c r="BB179" i="183"/>
  <c r="CR179" i="183"/>
  <c r="X179" i="183"/>
  <c r="BT179" i="183"/>
  <c r="AP179" i="183"/>
  <c r="BN179" i="183"/>
  <c r="BH179" i="183"/>
  <c r="GD179" i="183"/>
  <c r="DV179" i="183"/>
  <c r="AD179" i="183"/>
  <c r="CL179" i="183"/>
  <c r="FB50" i="183"/>
  <c r="AL50" i="183"/>
  <c r="CB50" i="183"/>
  <c r="AX50" i="183"/>
  <c r="CN50" i="183"/>
  <c r="BJ50" i="183"/>
  <c r="DX50" i="183"/>
  <c r="AF50" i="183"/>
  <c r="BV50" i="183"/>
  <c r="GF50" i="183"/>
  <c r="AR50" i="183"/>
  <c r="CH50" i="183"/>
  <c r="BD50" i="183"/>
  <c r="CT50" i="183"/>
  <c r="Z50" i="183"/>
  <c r="BP50" i="183"/>
  <c r="BS88" i="183"/>
  <c r="CE88" i="183"/>
  <c r="BA88" i="183"/>
  <c r="CQ88" i="183"/>
  <c r="W88" i="183"/>
  <c r="BM88" i="183"/>
  <c r="EY88" i="183"/>
  <c r="AI88" i="183"/>
  <c r="BY88" i="183"/>
  <c r="AU88" i="183"/>
  <c r="BG88" i="183"/>
  <c r="DU88" i="183"/>
  <c r="AC88" i="183"/>
  <c r="AO88" i="183"/>
  <c r="GC88" i="183"/>
  <c r="CK88" i="183"/>
  <c r="BD128" i="183"/>
  <c r="CT128" i="183"/>
  <c r="Z128" i="183"/>
  <c r="BP128" i="183"/>
  <c r="DX128" i="183"/>
  <c r="AF128" i="183"/>
  <c r="BV128" i="183"/>
  <c r="GF128" i="183"/>
  <c r="AR128" i="183"/>
  <c r="AL128" i="183"/>
  <c r="FB128" i="183"/>
  <c r="CB128" i="183"/>
  <c r="AX128" i="183"/>
  <c r="CN128" i="183"/>
  <c r="BJ128" i="183"/>
  <c r="CH128" i="183"/>
  <c r="BA170" i="183"/>
  <c r="CQ170" i="183"/>
  <c r="W170" i="183"/>
  <c r="BM170" i="183"/>
  <c r="BY170" i="183"/>
  <c r="DU170" i="183"/>
  <c r="AC170" i="183"/>
  <c r="BS170" i="183"/>
  <c r="GC170" i="183"/>
  <c r="AO170" i="183"/>
  <c r="CK170" i="183"/>
  <c r="BG170" i="183"/>
  <c r="AU170" i="183"/>
  <c r="AI170" i="183"/>
  <c r="CE170" i="183"/>
  <c r="EY170" i="183"/>
  <c r="GE213" i="183"/>
  <c r="AQ213" i="183"/>
  <c r="BC213" i="183"/>
  <c r="AW213" i="183"/>
  <c r="DW213" i="183"/>
  <c r="AE213" i="183"/>
  <c r="BU213" i="183"/>
  <c r="Y213" i="183"/>
  <c r="CS213" i="183"/>
  <c r="FA213" i="183"/>
  <c r="BI213" i="183"/>
  <c r="CM213" i="183"/>
  <c r="CA213" i="183"/>
  <c r="BO213" i="183"/>
  <c r="CG213" i="183"/>
  <c r="AK213" i="183"/>
  <c r="BZ79" i="183"/>
  <c r="AV79" i="183"/>
  <c r="CL79" i="183"/>
  <c r="BH79" i="183"/>
  <c r="DV79" i="183"/>
  <c r="AD79" i="183"/>
  <c r="BT79" i="183"/>
  <c r="GD79" i="183"/>
  <c r="AP79" i="183"/>
  <c r="CF79" i="183"/>
  <c r="BB79" i="183"/>
  <c r="CR79" i="183"/>
  <c r="X79" i="183"/>
  <c r="BN79" i="183"/>
  <c r="EZ79" i="183"/>
  <c r="AJ79" i="183"/>
  <c r="CE120" i="183"/>
  <c r="BA120" i="183"/>
  <c r="CQ120" i="183"/>
  <c r="W120" i="183"/>
  <c r="BG120" i="183"/>
  <c r="DU120" i="183"/>
  <c r="AC120" i="183"/>
  <c r="BS120" i="183"/>
  <c r="GC120" i="183"/>
  <c r="AU120" i="183"/>
  <c r="CK120" i="183"/>
  <c r="BM120" i="183"/>
  <c r="BY120" i="183"/>
  <c r="AI120" i="183"/>
  <c r="AO120" i="183"/>
  <c r="EY120" i="183"/>
  <c r="CM161" i="183"/>
  <c r="BI161" i="183"/>
  <c r="DW161" i="183"/>
  <c r="AE161" i="183"/>
  <c r="BO161" i="183"/>
  <c r="FA161" i="183"/>
  <c r="AK161" i="183"/>
  <c r="CA161" i="183"/>
  <c r="BC161" i="183"/>
  <c r="Y161" i="183"/>
  <c r="AW161" i="183"/>
  <c r="GE161" i="183"/>
  <c r="AQ161" i="183"/>
  <c r="CS161" i="183"/>
  <c r="CG161" i="183"/>
  <c r="BU161" i="183"/>
  <c r="BT204" i="183"/>
  <c r="GD204" i="183"/>
  <c r="AP204" i="183"/>
  <c r="DV204" i="183"/>
  <c r="AV204" i="183"/>
  <c r="CR204" i="183"/>
  <c r="BZ204" i="183"/>
  <c r="AD204" i="183"/>
  <c r="AJ204" i="183"/>
  <c r="CF204" i="183"/>
  <c r="BN204" i="183"/>
  <c r="EZ204" i="183"/>
  <c r="BH204" i="183"/>
  <c r="BB204" i="183"/>
  <c r="CL204" i="183"/>
  <c r="X204" i="183"/>
  <c r="DW70" i="183"/>
  <c r="AE70" i="183"/>
  <c r="BU70" i="183"/>
  <c r="GE70" i="183"/>
  <c r="AQ70" i="183"/>
  <c r="CG70" i="183"/>
  <c r="BC70" i="183"/>
  <c r="CS70" i="183"/>
  <c r="Y70" i="183"/>
  <c r="BO70" i="183"/>
  <c r="FA70" i="183"/>
  <c r="AK70" i="183"/>
  <c r="CA70" i="183"/>
  <c r="AW70" i="183"/>
  <c r="CM70" i="183"/>
  <c r="BI70" i="183"/>
  <c r="FA110" i="183"/>
  <c r="AK110" i="183"/>
  <c r="BU110" i="183"/>
  <c r="AQ110" i="183"/>
  <c r="DW110" i="183"/>
  <c r="CA110" i="183"/>
  <c r="AW110" i="183"/>
  <c r="BI110" i="183"/>
  <c r="CM110" i="183"/>
  <c r="BO110" i="183"/>
  <c r="AE110" i="183"/>
  <c r="Y110" i="183"/>
  <c r="GE110" i="183"/>
  <c r="CG110" i="183"/>
  <c r="BC110" i="183"/>
  <c r="CS110" i="183"/>
  <c r="DX151" i="183"/>
  <c r="AF151" i="183"/>
  <c r="BV151" i="183"/>
  <c r="GF151" i="183"/>
  <c r="AR151" i="183"/>
  <c r="CB151" i="183"/>
  <c r="AX151" i="183"/>
  <c r="CN151" i="183"/>
  <c r="Z151" i="183"/>
  <c r="FB151" i="183"/>
  <c r="AL151" i="183"/>
  <c r="BJ151" i="183"/>
  <c r="CH151" i="183"/>
  <c r="BP151" i="183"/>
  <c r="BD151" i="183"/>
  <c r="CT151" i="183"/>
  <c r="DX193" i="183"/>
  <c r="AF193" i="183"/>
  <c r="BV193" i="183"/>
  <c r="GF193" i="183"/>
  <c r="AR193" i="183"/>
  <c r="CH193" i="183"/>
  <c r="AX193" i="183"/>
  <c r="CN193" i="183"/>
  <c r="BJ193" i="183"/>
  <c r="BD193" i="183"/>
  <c r="CT193" i="183"/>
  <c r="BP193" i="183"/>
  <c r="CB193" i="183"/>
  <c r="AL193" i="183"/>
  <c r="Z193" i="183"/>
  <c r="FB193" i="183"/>
  <c r="CK102" i="183"/>
  <c r="DU102" i="183"/>
  <c r="AC102" i="183"/>
  <c r="BS102" i="183"/>
  <c r="GC102" i="183"/>
  <c r="AO102" i="183"/>
  <c r="CE102" i="183"/>
  <c r="BA102" i="183"/>
  <c r="CQ102" i="183"/>
  <c r="W102" i="183"/>
  <c r="BM102" i="183"/>
  <c r="EY102" i="183"/>
  <c r="AI102" i="183"/>
  <c r="BY102" i="183"/>
  <c r="AU102" i="183"/>
  <c r="BG102" i="183"/>
  <c r="BC107" i="183"/>
  <c r="CM107" i="183"/>
  <c r="FA107" i="183"/>
  <c r="AW107" i="183"/>
  <c r="AE107" i="183"/>
  <c r="GE107" i="183"/>
  <c r="BO107" i="183"/>
  <c r="AQ107" i="183"/>
  <c r="CG107" i="183"/>
  <c r="BI107" i="183"/>
  <c r="AK107" i="183"/>
  <c r="DW107" i="183"/>
  <c r="CA107" i="183"/>
  <c r="CS107" i="183"/>
  <c r="BU107" i="183"/>
  <c r="Y107" i="183"/>
  <c r="CL69" i="183"/>
  <c r="BH69" i="183"/>
  <c r="DV69" i="183"/>
  <c r="AD69" i="183"/>
  <c r="BT69" i="183"/>
  <c r="GD69" i="183"/>
  <c r="AP69" i="183"/>
  <c r="CF69" i="183"/>
  <c r="BB69" i="183"/>
  <c r="CR69" i="183"/>
  <c r="X69" i="183"/>
  <c r="BN69" i="183"/>
  <c r="EZ69" i="183"/>
  <c r="AJ69" i="183"/>
  <c r="BZ69" i="183"/>
  <c r="AV69" i="183"/>
  <c r="GC104" i="183"/>
  <c r="AO104" i="183"/>
  <c r="BS104" i="183"/>
  <c r="W104" i="183"/>
  <c r="CE104" i="183"/>
  <c r="AI104" i="183"/>
  <c r="BM104" i="183"/>
  <c r="CQ104" i="183"/>
  <c r="AU104" i="183"/>
  <c r="BY104" i="183"/>
  <c r="EY104" i="183"/>
  <c r="AC104" i="183"/>
  <c r="BG104" i="183"/>
  <c r="CK104" i="183"/>
  <c r="DU104" i="183"/>
  <c r="BA104" i="183"/>
  <c r="CG106" i="183"/>
  <c r="GE106" i="183"/>
  <c r="FA106" i="183"/>
  <c r="BI106" i="183"/>
  <c r="AE106" i="183"/>
  <c r="BO106" i="183"/>
  <c r="AK106" i="183"/>
  <c r="DW106" i="183"/>
  <c r="CS106" i="183"/>
  <c r="CA106" i="183"/>
  <c r="BC106" i="183"/>
  <c r="CM106" i="183"/>
  <c r="BU106" i="183"/>
  <c r="AW106" i="183"/>
  <c r="AQ106" i="183"/>
  <c r="Y106" i="183"/>
  <c r="GE87" i="183"/>
  <c r="AQ87" i="183"/>
  <c r="BC87" i="183"/>
  <c r="CS87" i="183"/>
  <c r="Y87" i="183"/>
  <c r="BO87" i="183"/>
  <c r="FA87" i="183"/>
  <c r="AK87" i="183"/>
  <c r="CA87" i="183"/>
  <c r="AW87" i="183"/>
  <c r="CM87" i="183"/>
  <c r="DW87" i="183"/>
  <c r="AE87" i="183"/>
  <c r="BU87" i="183"/>
  <c r="CG87" i="183"/>
  <c r="BI87" i="183"/>
  <c r="BY54" i="183"/>
  <c r="AU54" i="183"/>
  <c r="CK54" i="183"/>
  <c r="BG54" i="183"/>
  <c r="DU54" i="183"/>
  <c r="AC54" i="183"/>
  <c r="BS54" i="183"/>
  <c r="GC54" i="183"/>
  <c r="AO54" i="183"/>
  <c r="CE54" i="183"/>
  <c r="BA54" i="183"/>
  <c r="CQ54" i="183"/>
  <c r="W54" i="183"/>
  <c r="BM54" i="183"/>
  <c r="EY54" i="183"/>
  <c r="AI54" i="183"/>
  <c r="BG126" i="183"/>
  <c r="DU126" i="183"/>
  <c r="AC126" i="183"/>
  <c r="BS126" i="183"/>
  <c r="EY126" i="183"/>
  <c r="AI126" i="183"/>
  <c r="BY126" i="183"/>
  <c r="AU126" i="183"/>
  <c r="AO126" i="183"/>
  <c r="BA126" i="183"/>
  <c r="W126" i="183"/>
  <c r="GC126" i="183"/>
  <c r="CQ126" i="183"/>
  <c r="CK126" i="183"/>
  <c r="CE126" i="183"/>
  <c r="BM126" i="183"/>
  <c r="BC119" i="183"/>
  <c r="CS119" i="183"/>
  <c r="Y119" i="183"/>
  <c r="BO119" i="183"/>
  <c r="DW119" i="183"/>
  <c r="AE119" i="183"/>
  <c r="BU119" i="183"/>
  <c r="CA119" i="183"/>
  <c r="GE119" i="183"/>
  <c r="CM119" i="183"/>
  <c r="AK119" i="183"/>
  <c r="FA119" i="183"/>
  <c r="BI119" i="183"/>
  <c r="AW119" i="183"/>
  <c r="CG119" i="183"/>
  <c r="AQ119" i="183"/>
  <c r="BV186" i="183"/>
  <c r="GF186" i="183"/>
  <c r="AR186" i="183"/>
  <c r="CN186" i="183"/>
  <c r="CT186" i="183"/>
  <c r="BJ186" i="183"/>
  <c r="DX186" i="183"/>
  <c r="BP186" i="183"/>
  <c r="FB186" i="183"/>
  <c r="BD186" i="183"/>
  <c r="CH186" i="183"/>
  <c r="CB186" i="183"/>
  <c r="AL186" i="183"/>
  <c r="AF186" i="183"/>
  <c r="Z186" i="183"/>
  <c r="AX186" i="183"/>
  <c r="CQ171" i="183"/>
  <c r="W171" i="183"/>
  <c r="BM171" i="183"/>
  <c r="EY171" i="183"/>
  <c r="AI171" i="183"/>
  <c r="AU171" i="183"/>
  <c r="BS171" i="183"/>
  <c r="GC171" i="183"/>
  <c r="AO171" i="183"/>
  <c r="CE171" i="183"/>
  <c r="CK171" i="183"/>
  <c r="BA171" i="183"/>
  <c r="DU171" i="183"/>
  <c r="AC171" i="183"/>
  <c r="BG171" i="183"/>
  <c r="BY171" i="183"/>
  <c r="BN158" i="183"/>
  <c r="EZ158" i="183"/>
  <c r="AJ158" i="183"/>
  <c r="BZ158" i="183"/>
  <c r="GD158" i="183"/>
  <c r="AP158" i="183"/>
  <c r="CF158" i="183"/>
  <c r="BB158" i="183"/>
  <c r="CR158" i="183"/>
  <c r="CL158" i="183"/>
  <c r="Q158" i="183"/>
  <c r="DV158" i="183"/>
  <c r="AD158" i="183"/>
  <c r="X158" i="183"/>
  <c r="BT158" i="183"/>
  <c r="BH158" i="183"/>
  <c r="AV158" i="183"/>
  <c r="EZ135" i="183"/>
  <c r="BZ135" i="183"/>
  <c r="CF135" i="183"/>
  <c r="CR135" i="183"/>
  <c r="BH135" i="183"/>
  <c r="AD135" i="183"/>
  <c r="BN135" i="183"/>
  <c r="AJ135" i="183"/>
  <c r="X135" i="183"/>
  <c r="DV135" i="183"/>
  <c r="AP135" i="183"/>
  <c r="BB135" i="183"/>
  <c r="GD135" i="183"/>
  <c r="BT135" i="183"/>
  <c r="CL135" i="183"/>
  <c r="AV135" i="183"/>
  <c r="BA50" i="183"/>
  <c r="CQ50" i="183"/>
  <c r="W50" i="183"/>
  <c r="BM50" i="183"/>
  <c r="EY50" i="183"/>
  <c r="AI50" i="183"/>
  <c r="BY50" i="183"/>
  <c r="AU50" i="183"/>
  <c r="CK50" i="183"/>
  <c r="BG50" i="183"/>
  <c r="DU50" i="183"/>
  <c r="AC50" i="183"/>
  <c r="BS50" i="183"/>
  <c r="GC50" i="183"/>
  <c r="AO50" i="183"/>
  <c r="CE50" i="183"/>
  <c r="BS128" i="183"/>
  <c r="GC128" i="183"/>
  <c r="AO128" i="183"/>
  <c r="CE128" i="183"/>
  <c r="AU128" i="183"/>
  <c r="CK128" i="183"/>
  <c r="BG128" i="183"/>
  <c r="BY128" i="183"/>
  <c r="DU128" i="183"/>
  <c r="BA128" i="183"/>
  <c r="W128" i="183"/>
  <c r="BM128" i="183"/>
  <c r="AI128" i="183"/>
  <c r="AC128" i="183"/>
  <c r="EY128" i="183"/>
  <c r="CQ128" i="183"/>
  <c r="GF212" i="183"/>
  <c r="AR212" i="183"/>
  <c r="BD212" i="183"/>
  <c r="AX212" i="183"/>
  <c r="BV212" i="183"/>
  <c r="FB212" i="183"/>
  <c r="CN212" i="183"/>
  <c r="BP212" i="183"/>
  <c r="AF212" i="183"/>
  <c r="CT212" i="183"/>
  <c r="AL212" i="183"/>
  <c r="CB212" i="183"/>
  <c r="CH212" i="183"/>
  <c r="Z212" i="183"/>
  <c r="DX212" i="183"/>
  <c r="BJ212" i="183"/>
  <c r="FB121" i="183"/>
  <c r="AL121" i="183"/>
  <c r="CB121" i="183"/>
  <c r="AX121" i="183"/>
  <c r="CH121" i="183"/>
  <c r="BD121" i="183"/>
  <c r="AF121" i="183"/>
  <c r="DX121" i="183"/>
  <c r="BP121" i="183"/>
  <c r="AR121" i="183"/>
  <c r="GF121" i="183"/>
  <c r="CT121" i="183"/>
  <c r="CN121" i="183"/>
  <c r="Z121" i="183"/>
  <c r="BV121" i="183"/>
  <c r="BJ121" i="183"/>
  <c r="FB205" i="183"/>
  <c r="AL205" i="183"/>
  <c r="BD205" i="183"/>
  <c r="CT205" i="183"/>
  <c r="Z205" i="183"/>
  <c r="GF205" i="183"/>
  <c r="CN205" i="183"/>
  <c r="BV205" i="183"/>
  <c r="CB205" i="183"/>
  <c r="BJ205" i="183"/>
  <c r="AR205" i="183"/>
  <c r="AF205" i="183"/>
  <c r="BP205" i="183"/>
  <c r="CH205" i="183"/>
  <c r="AX205" i="183"/>
  <c r="DX205" i="183"/>
  <c r="EY112" i="183"/>
  <c r="AI112" i="183"/>
  <c r="DU112" i="183"/>
  <c r="BS112" i="183"/>
  <c r="W112" i="183"/>
  <c r="CE112" i="183"/>
  <c r="BA112" i="183"/>
  <c r="GC112" i="183"/>
  <c r="AC112" i="183"/>
  <c r="CK112" i="183"/>
  <c r="BG112" i="183"/>
  <c r="CQ112" i="183"/>
  <c r="AU112" i="183"/>
  <c r="BY112" i="183"/>
  <c r="AO112" i="183"/>
  <c r="BM112" i="183"/>
  <c r="EY135" i="183"/>
  <c r="GC135" i="183"/>
  <c r="CE135" i="183"/>
  <c r="DU135" i="183"/>
  <c r="BY135" i="183"/>
  <c r="AU135" i="183"/>
  <c r="BG135" i="183"/>
  <c r="W135" i="183"/>
  <c r="BM135" i="183"/>
  <c r="AI135" i="183"/>
  <c r="BS135" i="183"/>
  <c r="AO135" i="183"/>
  <c r="AC135" i="183"/>
  <c r="BA135" i="183"/>
  <c r="CK135" i="183"/>
  <c r="CQ135" i="183"/>
  <c r="AU114" i="183"/>
  <c r="CK114" i="183"/>
  <c r="BM114" i="183"/>
  <c r="BS114" i="183"/>
  <c r="BA114" i="183"/>
  <c r="AI114" i="183"/>
  <c r="EY114" i="183"/>
  <c r="BG114" i="183"/>
  <c r="AO114" i="183"/>
  <c r="CE114" i="183"/>
  <c r="BY114" i="183"/>
  <c r="GC114" i="183"/>
  <c r="DU114" i="183"/>
  <c r="AC114" i="183"/>
  <c r="CQ114" i="183"/>
  <c r="W114" i="183"/>
  <c r="DW194" i="183"/>
  <c r="AE194" i="183"/>
  <c r="BU194" i="183"/>
  <c r="GE194" i="183"/>
  <c r="AQ194" i="183"/>
  <c r="CG194" i="183"/>
  <c r="AW194" i="183"/>
  <c r="CM194" i="183"/>
  <c r="CS194" i="183"/>
  <c r="BO194" i="183"/>
  <c r="FA194" i="183"/>
  <c r="CA194" i="183"/>
  <c r="Y194" i="183"/>
  <c r="AK194" i="183"/>
  <c r="BI194" i="183"/>
  <c r="BC194" i="183"/>
  <c r="GE191" i="183"/>
  <c r="BC191" i="183"/>
  <c r="Y191" i="183"/>
  <c r="CS191" i="183"/>
  <c r="BO191" i="183"/>
  <c r="AE191" i="183"/>
  <c r="DW191" i="183"/>
  <c r="BU191" i="183"/>
  <c r="AQ191" i="183"/>
  <c r="FA191" i="183"/>
  <c r="CA191" i="183"/>
  <c r="AW191" i="183"/>
  <c r="CM191" i="183"/>
  <c r="BI191" i="183"/>
  <c r="CG191" i="183"/>
  <c r="AK191" i="183"/>
  <c r="DW150" i="183"/>
  <c r="BO150" i="183"/>
  <c r="BI150" i="183"/>
  <c r="AE150" i="183"/>
  <c r="FA150" i="183"/>
  <c r="AQ150" i="183"/>
  <c r="AW150" i="183"/>
  <c r="GE150" i="183"/>
  <c r="CA150" i="183"/>
  <c r="BU150" i="183"/>
  <c r="BC150" i="183"/>
  <c r="Y150" i="183"/>
  <c r="CM150" i="183"/>
  <c r="CG150" i="183"/>
  <c r="CS150" i="183"/>
  <c r="AK150" i="183"/>
  <c r="CA146" i="183"/>
  <c r="AW146" i="183"/>
  <c r="CM146" i="183"/>
  <c r="BC146" i="183"/>
  <c r="CS146" i="183"/>
  <c r="Y146" i="183"/>
  <c r="BO146" i="183"/>
  <c r="AK146" i="183"/>
  <c r="BI146" i="183"/>
  <c r="AE146" i="183"/>
  <c r="DW146" i="183"/>
  <c r="BU146" i="183"/>
  <c r="AQ146" i="183"/>
  <c r="FA146" i="183"/>
  <c r="GE146" i="183"/>
  <c r="CG146" i="183"/>
  <c r="CM148" i="183"/>
  <c r="BI148" i="183"/>
  <c r="DW148" i="183"/>
  <c r="AE148" i="183"/>
  <c r="BO148" i="183"/>
  <c r="FA148" i="183"/>
  <c r="AK148" i="183"/>
  <c r="CA148" i="183"/>
  <c r="GE148" i="183"/>
  <c r="CG148" i="183"/>
  <c r="BC148" i="183"/>
  <c r="CS148" i="183"/>
  <c r="Y148" i="183"/>
  <c r="BU148" i="183"/>
  <c r="AW148" i="183"/>
  <c r="AQ148" i="183"/>
  <c r="BG116" i="183"/>
  <c r="DU116" i="183"/>
  <c r="AC116" i="183"/>
  <c r="BS116" i="183"/>
  <c r="BY116" i="183"/>
  <c r="GC116" i="183"/>
  <c r="CK116" i="183"/>
  <c r="AU116" i="183"/>
  <c r="EY116" i="183"/>
  <c r="W116" i="183"/>
  <c r="CQ116" i="183"/>
  <c r="BA116" i="183"/>
  <c r="CE116" i="183"/>
  <c r="AO116" i="183"/>
  <c r="BM116" i="183"/>
  <c r="AI116" i="183"/>
  <c r="BT72" i="183"/>
  <c r="GD72" i="183"/>
  <c r="AP72" i="183"/>
  <c r="CF72" i="183"/>
  <c r="BB72" i="183"/>
  <c r="CR72" i="183"/>
  <c r="X72" i="183"/>
  <c r="BN72" i="183"/>
  <c r="EZ72" i="183"/>
  <c r="AJ72" i="183"/>
  <c r="BZ72" i="183"/>
  <c r="AV72" i="183"/>
  <c r="CL72" i="183"/>
  <c r="BH72" i="183"/>
  <c r="DV72" i="183"/>
  <c r="AD72" i="183"/>
  <c r="EZ66" i="183"/>
  <c r="AJ66" i="183"/>
  <c r="BZ66" i="183"/>
  <c r="AV66" i="183"/>
  <c r="CL66" i="183"/>
  <c r="BH66" i="183"/>
  <c r="DV66" i="183"/>
  <c r="AD66" i="183"/>
  <c r="BT66" i="183"/>
  <c r="GD66" i="183"/>
  <c r="AP66" i="183"/>
  <c r="CF66" i="183"/>
  <c r="BB66" i="183"/>
  <c r="CR66" i="183"/>
  <c r="X66" i="183"/>
  <c r="BN66" i="183"/>
  <c r="AW147" i="183"/>
  <c r="CM147" i="183"/>
  <c r="BI147" i="183"/>
  <c r="CS147" i="183"/>
  <c r="Y147" i="183"/>
  <c r="BO147" i="183"/>
  <c r="FA147" i="183"/>
  <c r="AK147" i="183"/>
  <c r="DW147" i="183"/>
  <c r="BU147" i="183"/>
  <c r="AQ147" i="183"/>
  <c r="GE147" i="183"/>
  <c r="CG147" i="183"/>
  <c r="BC147" i="183"/>
  <c r="AE147" i="183"/>
  <c r="CA147" i="183"/>
  <c r="GE60" i="183"/>
  <c r="FA60" i="183"/>
  <c r="DW60" i="183"/>
  <c r="BC60" i="183"/>
  <c r="CS60" i="183"/>
  <c r="Y60" i="183"/>
  <c r="BO60" i="183"/>
  <c r="AK60" i="183"/>
  <c r="CA60" i="183"/>
  <c r="AW60" i="183"/>
  <c r="CM60" i="183"/>
  <c r="BI60" i="183"/>
  <c r="AE60" i="183"/>
  <c r="BU60" i="183"/>
  <c r="AQ60" i="183"/>
  <c r="CG60" i="183"/>
  <c r="BU45" i="183"/>
  <c r="GE45" i="183"/>
  <c r="AQ45" i="183"/>
  <c r="CG45" i="183"/>
  <c r="BC45" i="183"/>
  <c r="CS45" i="183"/>
  <c r="Y45" i="183"/>
  <c r="BO45" i="183"/>
  <c r="FA45" i="183"/>
  <c r="AK45" i="183"/>
  <c r="CA45" i="183"/>
  <c r="AW45" i="183"/>
  <c r="CM45" i="183"/>
  <c r="BI45" i="183"/>
  <c r="DW45" i="183"/>
  <c r="AE45" i="183"/>
  <c r="GD103" i="183"/>
  <c r="AP103" i="183"/>
  <c r="BZ103" i="183"/>
  <c r="BH103" i="183"/>
  <c r="CL103" i="183"/>
  <c r="BT103" i="183"/>
  <c r="X103" i="183"/>
  <c r="DV103" i="183"/>
  <c r="BB103" i="183"/>
  <c r="CF103" i="183"/>
  <c r="AJ103" i="183"/>
  <c r="BN103" i="183"/>
  <c r="CR103" i="183"/>
  <c r="AD103" i="183"/>
  <c r="EZ103" i="183"/>
  <c r="AV103" i="183"/>
  <c r="CA111" i="183"/>
  <c r="CS111" i="183"/>
  <c r="AW111" i="183"/>
  <c r="FA111" i="183"/>
  <c r="BC111" i="183"/>
  <c r="Y111" i="183"/>
  <c r="GE111" i="183"/>
  <c r="CG111" i="183"/>
  <c r="BU111" i="183"/>
  <c r="CM111" i="183"/>
  <c r="BO111" i="183"/>
  <c r="AK111" i="183"/>
  <c r="DW111" i="183"/>
  <c r="AE111" i="183"/>
  <c r="AQ111" i="183"/>
  <c r="BI111" i="183"/>
  <c r="CG88" i="183"/>
  <c r="CS88" i="183"/>
  <c r="Y88" i="183"/>
  <c r="BO88" i="183"/>
  <c r="FA88" i="183"/>
  <c r="AK88" i="183"/>
  <c r="CA88" i="183"/>
  <c r="AW88" i="183"/>
  <c r="CM88" i="183"/>
  <c r="BI88" i="183"/>
  <c r="BU88" i="183"/>
  <c r="GE88" i="183"/>
  <c r="AQ88" i="183"/>
  <c r="BC88" i="183"/>
  <c r="AE88" i="183"/>
  <c r="DW88" i="183"/>
  <c r="CS198" i="183"/>
  <c r="Y198" i="183"/>
  <c r="BU198" i="183"/>
  <c r="GE198" i="183"/>
  <c r="AQ198" i="183"/>
  <c r="CG198" i="183"/>
  <c r="FA198" i="183"/>
  <c r="BI198" i="183"/>
  <c r="AK198" i="183"/>
  <c r="AW198" i="183"/>
  <c r="BO198" i="183"/>
  <c r="CM198" i="183"/>
  <c r="BC198" i="183"/>
  <c r="DW198" i="183"/>
  <c r="CA198" i="183"/>
  <c r="AE198" i="183"/>
  <c r="CS108" i="183"/>
  <c r="Y108" i="183"/>
  <c r="BC108" i="183"/>
  <c r="AE108" i="183"/>
  <c r="BI108" i="183"/>
  <c r="BU108" i="183"/>
  <c r="CM108" i="183"/>
  <c r="AW108" i="183"/>
  <c r="GE108" i="183"/>
  <c r="BO108" i="183"/>
  <c r="FA108" i="183"/>
  <c r="AQ108" i="183"/>
  <c r="CG108" i="183"/>
  <c r="AK108" i="183"/>
  <c r="DW108" i="183"/>
  <c r="CA108" i="183"/>
  <c r="AX95" i="183"/>
  <c r="CN95" i="183"/>
  <c r="BJ95" i="183"/>
  <c r="DX95" i="183"/>
  <c r="AF95" i="183"/>
  <c r="BV95" i="183"/>
  <c r="GF95" i="183"/>
  <c r="AR95" i="183"/>
  <c r="CH95" i="183"/>
  <c r="BD95" i="183"/>
  <c r="CT95" i="183"/>
  <c r="Z95" i="183"/>
  <c r="FB95" i="183"/>
  <c r="AL95" i="183"/>
  <c r="CB95" i="183"/>
  <c r="BP95" i="183"/>
  <c r="GD47" i="183"/>
  <c r="AP47" i="183"/>
  <c r="CF47" i="183"/>
  <c r="BB47" i="183"/>
  <c r="CR47" i="183"/>
  <c r="X47" i="183"/>
  <c r="BN47" i="183"/>
  <c r="EZ47" i="183"/>
  <c r="AJ47" i="183"/>
  <c r="BZ47" i="183"/>
  <c r="AV47" i="183"/>
  <c r="CL47" i="183"/>
  <c r="BH47" i="183"/>
  <c r="DV47" i="183"/>
  <c r="AD47" i="183"/>
  <c r="BT47" i="183"/>
  <c r="CN180" i="183"/>
  <c r="BJ180" i="183"/>
  <c r="DX180" i="183"/>
  <c r="AF180" i="183"/>
  <c r="BP180" i="183"/>
  <c r="FB180" i="183"/>
  <c r="AL180" i="183"/>
  <c r="CB180" i="183"/>
  <c r="GF180" i="183"/>
  <c r="AR180" i="183"/>
  <c r="BD180" i="183"/>
  <c r="BV180" i="183"/>
  <c r="CH180" i="183"/>
  <c r="CT180" i="183"/>
  <c r="AX180" i="183"/>
  <c r="Z180" i="183"/>
  <c r="BU188" i="183"/>
  <c r="GE188" i="183"/>
  <c r="AQ188" i="183"/>
  <c r="CG188" i="183"/>
  <c r="CM188" i="183"/>
  <c r="BI188" i="183"/>
  <c r="AK188" i="183"/>
  <c r="FA188" i="183"/>
  <c r="BC188" i="183"/>
  <c r="BO188" i="183"/>
  <c r="AW188" i="183"/>
  <c r="AE188" i="183"/>
  <c r="Y188" i="183"/>
  <c r="DW188" i="183"/>
  <c r="CS188" i="183"/>
  <c r="CA188" i="183"/>
  <c r="BS190" i="183"/>
  <c r="GC190" i="183"/>
  <c r="AO190" i="183"/>
  <c r="CE190" i="183"/>
  <c r="CK190" i="183"/>
  <c r="BG190" i="183"/>
  <c r="DU190" i="183"/>
  <c r="BY190" i="183"/>
  <c r="W190" i="183"/>
  <c r="CQ190" i="183"/>
  <c r="AI190" i="183"/>
  <c r="EY190" i="183"/>
  <c r="BA190" i="183"/>
  <c r="AC190" i="183"/>
  <c r="BM190" i="183"/>
  <c r="AU190" i="183"/>
  <c r="CG190" i="183"/>
  <c r="BC190" i="183"/>
  <c r="CS190" i="183"/>
  <c r="Y190" i="183"/>
  <c r="DW190" i="183"/>
  <c r="AE190" i="183"/>
  <c r="BU190" i="183"/>
  <c r="AW190" i="183"/>
  <c r="BI190" i="183"/>
  <c r="CA190" i="183"/>
  <c r="BO190" i="183"/>
  <c r="AQ190" i="183"/>
  <c r="CM190" i="183"/>
  <c r="AK190" i="183"/>
  <c r="GE190" i="183"/>
  <c r="FA190" i="183"/>
  <c r="CM181" i="183"/>
  <c r="BI181" i="183"/>
  <c r="DW181" i="183"/>
  <c r="AE181" i="183"/>
  <c r="BO181" i="183"/>
  <c r="FA181" i="183"/>
  <c r="AK181" i="183"/>
  <c r="CA181" i="183"/>
  <c r="AW181" i="183"/>
  <c r="CS181" i="183"/>
  <c r="Y181" i="183"/>
  <c r="BC181" i="183"/>
  <c r="AQ181" i="183"/>
  <c r="BU181" i="183"/>
  <c r="GE181" i="183"/>
  <c r="CG181" i="183"/>
  <c r="CS169" i="183"/>
  <c r="Y169" i="183"/>
  <c r="BO169" i="183"/>
  <c r="FA169" i="183"/>
  <c r="BU169" i="183"/>
  <c r="GE169" i="183"/>
  <c r="AQ169" i="183"/>
  <c r="CG169" i="183"/>
  <c r="AE169" i="183"/>
  <c r="DW169" i="183"/>
  <c r="AW169" i="183"/>
  <c r="CM169" i="183"/>
  <c r="CA169" i="183"/>
  <c r="BC169" i="183"/>
  <c r="BI169" i="183"/>
  <c r="AK169" i="183"/>
  <c r="CT156" i="183"/>
  <c r="Z156" i="183"/>
  <c r="BP156" i="183"/>
  <c r="FB156" i="183"/>
  <c r="AL156" i="183"/>
  <c r="BV156" i="183"/>
  <c r="GF156" i="183"/>
  <c r="AR156" i="183"/>
  <c r="CH156" i="183"/>
  <c r="AX156" i="183"/>
  <c r="CB156" i="183"/>
  <c r="BD156" i="183"/>
  <c r="DX156" i="183"/>
  <c r="AF156" i="183"/>
  <c r="BJ156" i="183"/>
  <c r="CN156" i="183"/>
  <c r="BP92" i="183"/>
  <c r="CB92" i="183"/>
  <c r="AX92" i="183"/>
  <c r="CN92" i="183"/>
  <c r="BJ92" i="183"/>
  <c r="DX92" i="183"/>
  <c r="AF92" i="183"/>
  <c r="BV92" i="183"/>
  <c r="GF92" i="183"/>
  <c r="AR92" i="183"/>
  <c r="BD92" i="183"/>
  <c r="CT92" i="183"/>
  <c r="Z92" i="183"/>
  <c r="CH92" i="183"/>
  <c r="AL92" i="183"/>
  <c r="FB92" i="183"/>
  <c r="BZ173" i="183"/>
  <c r="AV173" i="183"/>
  <c r="CL173" i="183"/>
  <c r="DV173" i="183"/>
  <c r="AD173" i="183"/>
  <c r="BB173" i="183"/>
  <c r="CR173" i="183"/>
  <c r="X173" i="183"/>
  <c r="BN173" i="183"/>
  <c r="CF173" i="183"/>
  <c r="GD173" i="183"/>
  <c r="AJ173" i="183"/>
  <c r="BH173" i="183"/>
  <c r="BT173" i="183"/>
  <c r="EZ173" i="183"/>
  <c r="AP173" i="183"/>
  <c r="DW85" i="183"/>
  <c r="AE85" i="183"/>
  <c r="GE85" i="183"/>
  <c r="AQ85" i="183"/>
  <c r="CG85" i="183"/>
  <c r="BC85" i="183"/>
  <c r="CS85" i="183"/>
  <c r="Y85" i="183"/>
  <c r="BO85" i="183"/>
  <c r="FA85" i="183"/>
  <c r="AK85" i="183"/>
  <c r="CA85" i="183"/>
  <c r="CM85" i="183"/>
  <c r="BI85" i="183"/>
  <c r="BU85" i="183"/>
  <c r="AW85" i="183"/>
  <c r="BC167" i="183"/>
  <c r="CS167" i="183"/>
  <c r="Y167" i="183"/>
  <c r="BO167" i="183"/>
  <c r="AW167" i="183"/>
  <c r="DW167" i="183"/>
  <c r="AE167" i="183"/>
  <c r="BU167" i="183"/>
  <c r="GE167" i="183"/>
  <c r="AQ167" i="183"/>
  <c r="CA167" i="183"/>
  <c r="FA167" i="183"/>
  <c r="AK167" i="183"/>
  <c r="CM167" i="183"/>
  <c r="CG167" i="183"/>
  <c r="BI167" i="183"/>
  <c r="AX78" i="183"/>
  <c r="CN78" i="183"/>
  <c r="BJ78" i="183"/>
  <c r="DX78" i="183"/>
  <c r="AF78" i="183"/>
  <c r="BV78" i="183"/>
  <c r="GF78" i="183"/>
  <c r="AR78" i="183"/>
  <c r="CH78" i="183"/>
  <c r="BD78" i="183"/>
  <c r="CT78" i="183"/>
  <c r="Z78" i="183"/>
  <c r="BP78" i="183"/>
  <c r="FB78" i="183"/>
  <c r="AL78" i="183"/>
  <c r="CB78" i="183"/>
  <c r="BY161" i="183"/>
  <c r="AU161" i="183"/>
  <c r="CK161" i="183"/>
  <c r="BA161" i="183"/>
  <c r="CQ161" i="183"/>
  <c r="W161" i="183"/>
  <c r="BM161" i="183"/>
  <c r="GC161" i="183"/>
  <c r="CE161" i="183"/>
  <c r="EY161" i="183"/>
  <c r="AI161" i="183"/>
  <c r="BG161" i="183"/>
  <c r="AC161" i="183"/>
  <c r="DU161" i="183"/>
  <c r="BS161" i="183"/>
  <c r="AO161" i="183"/>
  <c r="CS63" i="183"/>
  <c r="Y63" i="183"/>
  <c r="BO63" i="183"/>
  <c r="FA63" i="183"/>
  <c r="AK63" i="183"/>
  <c r="CA63" i="183"/>
  <c r="AW63" i="183"/>
  <c r="CM63" i="183"/>
  <c r="BI63" i="183"/>
  <c r="DW63" i="183"/>
  <c r="AE63" i="183"/>
  <c r="BU63" i="183"/>
  <c r="GE63" i="183"/>
  <c r="AQ63" i="183"/>
  <c r="CG63" i="183"/>
  <c r="BC63" i="183"/>
  <c r="FB144" i="183"/>
  <c r="AL144" i="183"/>
  <c r="CB144" i="183"/>
  <c r="AX144" i="183"/>
  <c r="CH144" i="183"/>
  <c r="BD144" i="183"/>
  <c r="CT144" i="183"/>
  <c r="Z144" i="183"/>
  <c r="DX144" i="183"/>
  <c r="AF144" i="183"/>
  <c r="BJ144" i="183"/>
  <c r="BV144" i="183"/>
  <c r="BP144" i="183"/>
  <c r="GF144" i="183"/>
  <c r="CN144" i="183"/>
  <c r="AR144" i="183"/>
  <c r="CB51" i="183"/>
  <c r="AX51" i="183"/>
  <c r="CN51" i="183"/>
  <c r="BJ51" i="183"/>
  <c r="DX51" i="183"/>
  <c r="AF51" i="183"/>
  <c r="BV51" i="183"/>
  <c r="GF51" i="183"/>
  <c r="AR51" i="183"/>
  <c r="CH51" i="183"/>
  <c r="BD51" i="183"/>
  <c r="CT51" i="183"/>
  <c r="Z51" i="183"/>
  <c r="BP51" i="183"/>
  <c r="FB51" i="183"/>
  <c r="AL51" i="183"/>
  <c r="CE130" i="183"/>
  <c r="BA130" i="183"/>
  <c r="CQ130" i="183"/>
  <c r="W130" i="183"/>
  <c r="BG130" i="183"/>
  <c r="DU130" i="183"/>
  <c r="AC130" i="183"/>
  <c r="BS130" i="183"/>
  <c r="GC130" i="183"/>
  <c r="BM130" i="183"/>
  <c r="AO130" i="183"/>
  <c r="CK130" i="183"/>
  <c r="AU130" i="183"/>
  <c r="EY130" i="183"/>
  <c r="AI130" i="183"/>
  <c r="BY130" i="183"/>
  <c r="BD214" i="183"/>
  <c r="BP214" i="183"/>
  <c r="BJ214" i="183"/>
  <c r="GF214" i="183"/>
  <c r="AR214" i="183"/>
  <c r="CH214" i="183"/>
  <c r="AX214" i="183"/>
  <c r="CN214" i="183"/>
  <c r="Z214" i="183"/>
  <c r="AF214" i="183"/>
  <c r="CT214" i="183"/>
  <c r="FB214" i="183"/>
  <c r="AL214" i="183"/>
  <c r="BV214" i="183"/>
  <c r="CB214" i="183"/>
  <c r="DX214" i="183"/>
  <c r="BT117" i="183"/>
  <c r="GD117" i="183"/>
  <c r="AP117" i="183"/>
  <c r="CF117" i="183"/>
  <c r="CL117" i="183"/>
  <c r="BZ117" i="183"/>
  <c r="BB117" i="183"/>
  <c r="CR117" i="183"/>
  <c r="AD117" i="183"/>
  <c r="AJ117" i="183"/>
  <c r="BN117" i="183"/>
  <c r="EZ117" i="183"/>
  <c r="AV117" i="183"/>
  <c r="X117" i="183"/>
  <c r="DV117" i="183"/>
  <c r="BH117" i="183"/>
  <c r="BO199" i="183"/>
  <c r="FA199" i="183"/>
  <c r="AK199" i="183"/>
  <c r="CA199" i="183"/>
  <c r="GE199" i="183"/>
  <c r="AQ199" i="183"/>
  <c r="CG199" i="183"/>
  <c r="BC199" i="183"/>
  <c r="CM199" i="183"/>
  <c r="BI199" i="183"/>
  <c r="AE199" i="183"/>
  <c r="DW199" i="183"/>
  <c r="BU199" i="183"/>
  <c r="AW199" i="183"/>
  <c r="CS199" i="183"/>
  <c r="Y199" i="183"/>
  <c r="GC74" i="183"/>
  <c r="AO74" i="183"/>
  <c r="CE74" i="183"/>
  <c r="BA74" i="183"/>
  <c r="CQ74" i="183"/>
  <c r="W74" i="183"/>
  <c r="BM74" i="183"/>
  <c r="EY74" i="183"/>
  <c r="AI74" i="183"/>
  <c r="BY74" i="183"/>
  <c r="AU74" i="183"/>
  <c r="CK74" i="183"/>
  <c r="BG74" i="183"/>
  <c r="DU74" i="183"/>
  <c r="AC74" i="183"/>
  <c r="BS74" i="183"/>
  <c r="BI114" i="183"/>
  <c r="DW114" i="183"/>
  <c r="CA114" i="183"/>
  <c r="AK114" i="183"/>
  <c r="CM114" i="183"/>
  <c r="FA114" i="183"/>
  <c r="GE114" i="183"/>
  <c r="CS114" i="183"/>
  <c r="Y114" i="183"/>
  <c r="AQ114" i="183"/>
  <c r="BU114" i="183"/>
  <c r="BO114" i="183"/>
  <c r="AE114" i="183"/>
  <c r="CG114" i="183"/>
  <c r="BC114" i="183"/>
  <c r="AW114" i="183"/>
  <c r="GD155" i="183"/>
  <c r="AP155" i="183"/>
  <c r="CF155" i="183"/>
  <c r="BB155" i="183"/>
  <c r="CL155" i="183"/>
  <c r="BH155" i="183"/>
  <c r="DV155" i="183"/>
  <c r="AD155" i="183"/>
  <c r="BZ155" i="183"/>
  <c r="AV155" i="183"/>
  <c r="BT155" i="183"/>
  <c r="X155" i="183"/>
  <c r="BN155" i="183"/>
  <c r="AJ155" i="183"/>
  <c r="EZ155" i="183"/>
  <c r="CR155" i="183"/>
  <c r="CK197" i="183"/>
  <c r="DU197" i="183"/>
  <c r="BS197" i="183"/>
  <c r="AO197" i="183"/>
  <c r="CE197" i="183"/>
  <c r="BA197" i="183"/>
  <c r="BG197" i="183"/>
  <c r="GC197" i="183"/>
  <c r="BY197" i="183"/>
  <c r="AU197" i="183"/>
  <c r="AC197" i="183"/>
  <c r="W197" i="183"/>
  <c r="CQ197" i="183"/>
  <c r="AI197" i="183"/>
  <c r="BM197" i="183"/>
  <c r="EY197" i="183"/>
  <c r="BY68" i="183"/>
  <c r="AU68" i="183"/>
  <c r="CK68" i="183"/>
  <c r="BG68" i="183"/>
  <c r="DU68" i="183"/>
  <c r="AC68" i="183"/>
  <c r="BS68" i="183"/>
  <c r="GC68" i="183"/>
  <c r="AO68" i="183"/>
  <c r="CE68" i="183"/>
  <c r="BA68" i="183"/>
  <c r="CQ68" i="183"/>
  <c r="W68" i="183"/>
  <c r="BM68" i="183"/>
  <c r="EY68" i="183"/>
  <c r="AI68" i="183"/>
  <c r="CF107" i="183"/>
  <c r="BH107" i="183"/>
  <c r="BN107" i="183"/>
  <c r="AV107" i="183"/>
  <c r="X107" i="183"/>
  <c r="AP107" i="183"/>
  <c r="EZ107" i="183"/>
  <c r="AJ107" i="183"/>
  <c r="DV107" i="183"/>
  <c r="BZ107" i="183"/>
  <c r="BB107" i="183"/>
  <c r="AD107" i="183"/>
  <c r="CR107" i="183"/>
  <c r="GD107" i="183"/>
  <c r="CL107" i="183"/>
  <c r="BT107" i="183"/>
  <c r="CL149" i="183"/>
  <c r="BH149" i="183"/>
  <c r="DV149" i="183"/>
  <c r="AD149" i="183"/>
  <c r="BN149" i="183"/>
  <c r="EZ149" i="183"/>
  <c r="AJ149" i="183"/>
  <c r="BZ149" i="183"/>
  <c r="CR149" i="183"/>
  <c r="AV149" i="183"/>
  <c r="BT149" i="183"/>
  <c r="AP149" i="183"/>
  <c r="GD149" i="183"/>
  <c r="CF149" i="183"/>
  <c r="X149" i="183"/>
  <c r="BB149" i="183"/>
  <c r="CR191" i="183"/>
  <c r="CF191" i="183"/>
  <c r="GD191" i="183"/>
  <c r="BB191" i="183"/>
  <c r="X191" i="183"/>
  <c r="BH191" i="183"/>
  <c r="AD191" i="183"/>
  <c r="DV191" i="183"/>
  <c r="BT191" i="183"/>
  <c r="EZ191" i="183"/>
  <c r="BZ191" i="183"/>
  <c r="AV191" i="183"/>
  <c r="CL191" i="183"/>
  <c r="BN191" i="183"/>
  <c r="AJ191" i="183"/>
  <c r="AP191" i="183"/>
  <c r="BC62" i="183"/>
  <c r="CS62" i="183"/>
  <c r="Y62" i="183"/>
  <c r="BO62" i="183"/>
  <c r="FA62" i="183"/>
  <c r="AK62" i="183"/>
  <c r="CA62" i="183"/>
  <c r="AW62" i="183"/>
  <c r="CM62" i="183"/>
  <c r="BI62" i="183"/>
  <c r="DW62" i="183"/>
  <c r="AE62" i="183"/>
  <c r="BU62" i="183"/>
  <c r="GE62" i="183"/>
  <c r="AQ62" i="183"/>
  <c r="CG62" i="183"/>
  <c r="CL101" i="183"/>
  <c r="DV101" i="183"/>
  <c r="AD101" i="183"/>
  <c r="BT101" i="183"/>
  <c r="GD101" i="183"/>
  <c r="AP101" i="183"/>
  <c r="CF101" i="183"/>
  <c r="BB101" i="183"/>
  <c r="CR101" i="183"/>
  <c r="X101" i="183"/>
  <c r="BN101" i="183"/>
  <c r="EZ101" i="183"/>
  <c r="AJ101" i="183"/>
  <c r="BZ101" i="183"/>
  <c r="BH101" i="183"/>
  <c r="AV101" i="183"/>
  <c r="CS143" i="183"/>
  <c r="Y143" i="183"/>
  <c r="BO143" i="183"/>
  <c r="FA143" i="183"/>
  <c r="AK143" i="183"/>
  <c r="BU143" i="183"/>
  <c r="GE143" i="183"/>
  <c r="AQ143" i="183"/>
  <c r="CG143" i="183"/>
  <c r="AW143" i="183"/>
  <c r="BI143" i="183"/>
  <c r="AE143" i="183"/>
  <c r="BC143" i="183"/>
  <c r="CA143" i="183"/>
  <c r="CM143" i="183"/>
  <c r="DW143" i="183"/>
  <c r="AX185" i="183"/>
  <c r="CN185" i="183"/>
  <c r="BJ185" i="183"/>
  <c r="CT185" i="183"/>
  <c r="Z185" i="183"/>
  <c r="BP185" i="183"/>
  <c r="FB185" i="183"/>
  <c r="AL185" i="183"/>
  <c r="DX185" i="183"/>
  <c r="BV185" i="183"/>
  <c r="AR185" i="183"/>
  <c r="GF185" i="183"/>
  <c r="CH185" i="183"/>
  <c r="BD185" i="183"/>
  <c r="AF185" i="183"/>
  <c r="CB185" i="183"/>
  <c r="CN53" i="183"/>
  <c r="BJ53" i="183"/>
  <c r="DX53" i="183"/>
  <c r="AF53" i="183"/>
  <c r="BV53" i="183"/>
  <c r="GF53" i="183"/>
  <c r="AR53" i="183"/>
  <c r="CH53" i="183"/>
  <c r="BD53" i="183"/>
  <c r="CT53" i="183"/>
  <c r="Z53" i="183"/>
  <c r="BP53" i="183"/>
  <c r="FB53" i="183"/>
  <c r="AL53" i="183"/>
  <c r="CB53" i="183"/>
  <c r="AX53" i="183"/>
  <c r="CS92" i="183"/>
  <c r="Y92" i="183"/>
  <c r="FA92" i="183"/>
  <c r="AK92" i="183"/>
  <c r="CA92" i="183"/>
  <c r="AW92" i="183"/>
  <c r="CM92" i="183"/>
  <c r="BI92" i="183"/>
  <c r="DW92" i="183"/>
  <c r="AE92" i="183"/>
  <c r="BU92" i="183"/>
  <c r="CG92" i="183"/>
  <c r="BC92" i="183"/>
  <c r="AQ92" i="183"/>
  <c r="GE92" i="183"/>
  <c r="BO92" i="183"/>
  <c r="AX132" i="183"/>
  <c r="CN132" i="183"/>
  <c r="BJ132" i="183"/>
  <c r="CT132" i="183"/>
  <c r="Z132" i="183"/>
  <c r="BP132" i="183"/>
  <c r="FB132" i="183"/>
  <c r="AL132" i="183"/>
  <c r="GF132" i="183"/>
  <c r="CH132" i="183"/>
  <c r="BD132" i="183"/>
  <c r="AF132" i="183"/>
  <c r="CB132" i="183"/>
  <c r="BV132" i="183"/>
  <c r="DX132" i="183"/>
  <c r="AR132" i="183"/>
  <c r="EY173" i="183"/>
  <c r="AI173" i="183"/>
  <c r="BY173" i="183"/>
  <c r="AU173" i="183"/>
  <c r="BG173" i="183"/>
  <c r="CE173" i="183"/>
  <c r="BA173" i="183"/>
  <c r="CQ173" i="183"/>
  <c r="W173" i="183"/>
  <c r="BS173" i="183"/>
  <c r="CK173" i="183"/>
  <c r="AC173" i="183"/>
  <c r="DU173" i="183"/>
  <c r="AO173" i="183"/>
  <c r="GC173" i="183"/>
  <c r="BM173" i="183"/>
  <c r="DU46" i="183"/>
  <c r="AC46" i="183"/>
  <c r="BS46" i="183"/>
  <c r="GC46" i="183"/>
  <c r="AO46" i="183"/>
  <c r="CE46" i="183"/>
  <c r="BA46" i="183"/>
  <c r="CQ46" i="183"/>
  <c r="W46" i="183"/>
  <c r="BM46" i="183"/>
  <c r="EY46" i="183"/>
  <c r="AI46" i="183"/>
  <c r="BY46" i="183"/>
  <c r="AU46" i="183"/>
  <c r="CK46" i="183"/>
  <c r="BG46" i="183"/>
  <c r="CK83" i="183"/>
  <c r="DU83" i="183"/>
  <c r="GC83" i="183"/>
  <c r="BG83" i="183"/>
  <c r="AC83" i="183"/>
  <c r="BS83" i="183"/>
  <c r="AO83" i="183"/>
  <c r="EY83" i="183"/>
  <c r="CE83" i="183"/>
  <c r="BA83" i="183"/>
  <c r="W83" i="183"/>
  <c r="BM83" i="183"/>
  <c r="AI83" i="183"/>
  <c r="BY83" i="183"/>
  <c r="AU83" i="183"/>
  <c r="CQ83" i="183"/>
  <c r="AV123" i="183"/>
  <c r="CL123" i="183"/>
  <c r="BH123" i="183"/>
  <c r="CR123" i="183"/>
  <c r="X123" i="183"/>
  <c r="BN123" i="183"/>
  <c r="EZ123" i="183"/>
  <c r="AJ123" i="183"/>
  <c r="CF123" i="183"/>
  <c r="BB123" i="183"/>
  <c r="BZ123" i="183"/>
  <c r="AD123" i="183"/>
  <c r="GD123" i="183"/>
  <c r="DV123" i="183"/>
  <c r="AP123" i="183"/>
  <c r="BT123" i="183"/>
  <c r="DU165" i="183"/>
  <c r="AC165" i="183"/>
  <c r="BS165" i="183"/>
  <c r="GC165" i="183"/>
  <c r="AO165" i="183"/>
  <c r="CQ165" i="183"/>
  <c r="W165" i="183"/>
  <c r="BY165" i="183"/>
  <c r="AU165" i="183"/>
  <c r="CK165" i="183"/>
  <c r="BA165" i="183"/>
  <c r="CE165" i="183"/>
  <c r="BG165" i="183"/>
  <c r="EY165" i="183"/>
  <c r="BM165" i="183"/>
  <c r="AI165" i="183"/>
  <c r="CA207" i="183"/>
  <c r="BC207" i="183"/>
  <c r="CS207" i="183"/>
  <c r="Y207" i="183"/>
  <c r="BO207" i="183"/>
  <c r="AK207" i="183"/>
  <c r="GE207" i="183"/>
  <c r="DW207" i="183"/>
  <c r="CG207" i="183"/>
  <c r="BI207" i="183"/>
  <c r="AQ207" i="183"/>
  <c r="AE207" i="183"/>
  <c r="CM207" i="183"/>
  <c r="BU207" i="183"/>
  <c r="AW207" i="183"/>
  <c r="FA207" i="183"/>
  <c r="BD73" i="183"/>
  <c r="CT73" i="183"/>
  <c r="Z73" i="183"/>
  <c r="BP73" i="183"/>
  <c r="FB73" i="183"/>
  <c r="AL73" i="183"/>
  <c r="CB73" i="183"/>
  <c r="AX73" i="183"/>
  <c r="CN73" i="183"/>
  <c r="BJ73" i="183"/>
  <c r="DX73" i="183"/>
  <c r="AF73" i="183"/>
  <c r="BV73" i="183"/>
  <c r="GF73" i="183"/>
  <c r="AR73" i="183"/>
  <c r="CH73" i="183"/>
  <c r="CL114" i="183"/>
  <c r="BH114" i="183"/>
  <c r="EZ114" i="183"/>
  <c r="BT114" i="183"/>
  <c r="BB114" i="183"/>
  <c r="AJ114" i="183"/>
  <c r="AP114" i="183"/>
  <c r="BZ114" i="183"/>
  <c r="GD114" i="183"/>
  <c r="X114" i="183"/>
  <c r="CR114" i="183"/>
  <c r="CF114" i="183"/>
  <c r="BN114" i="183"/>
  <c r="AV114" i="183"/>
  <c r="DV114" i="183"/>
  <c r="AD114" i="183"/>
  <c r="BS155" i="183"/>
  <c r="GC155" i="183"/>
  <c r="AO155" i="183"/>
  <c r="CE155" i="183"/>
  <c r="AU155" i="183"/>
  <c r="CK155" i="183"/>
  <c r="BG155" i="183"/>
  <c r="EY155" i="183"/>
  <c r="BY155" i="183"/>
  <c r="DU155" i="183"/>
  <c r="AC155" i="183"/>
  <c r="BA155" i="183"/>
  <c r="W155" i="183"/>
  <c r="BM155" i="183"/>
  <c r="AI155" i="183"/>
  <c r="CQ155" i="183"/>
  <c r="CH196" i="183"/>
  <c r="BD196" i="183"/>
  <c r="CT196" i="183"/>
  <c r="Z196" i="183"/>
  <c r="BP196" i="183"/>
  <c r="DX196" i="183"/>
  <c r="AF196" i="183"/>
  <c r="BV196" i="183"/>
  <c r="CN196" i="183"/>
  <c r="AR196" i="183"/>
  <c r="FB196" i="183"/>
  <c r="AX196" i="183"/>
  <c r="CB196" i="183"/>
  <c r="GF196" i="183"/>
  <c r="BJ196" i="183"/>
  <c r="AL196" i="183"/>
  <c r="BH187" i="183"/>
  <c r="DV187" i="183"/>
  <c r="AD187" i="183"/>
  <c r="BT187" i="183"/>
  <c r="BZ187" i="183"/>
  <c r="AV187" i="183"/>
  <c r="CL187" i="183"/>
  <c r="BN187" i="183"/>
  <c r="CF187" i="183"/>
  <c r="X187" i="183"/>
  <c r="CR187" i="183"/>
  <c r="AP187" i="183"/>
  <c r="BB187" i="183"/>
  <c r="AJ187" i="183"/>
  <c r="GD187" i="183"/>
  <c r="EZ187" i="183"/>
  <c r="DW163" i="183"/>
  <c r="AE163" i="183"/>
  <c r="BU163" i="183"/>
  <c r="GE163" i="183"/>
  <c r="AQ163" i="183"/>
  <c r="CS163" i="183"/>
  <c r="Y163" i="183"/>
  <c r="CA163" i="183"/>
  <c r="AW163" i="183"/>
  <c r="CM163" i="183"/>
  <c r="FA163" i="183"/>
  <c r="AK163" i="183"/>
  <c r="CG163" i="183"/>
  <c r="BC163" i="183"/>
  <c r="BO163" i="183"/>
  <c r="BI163" i="183"/>
  <c r="BO121" i="183"/>
  <c r="FA121" i="183"/>
  <c r="AK121" i="183"/>
  <c r="CA121" i="183"/>
  <c r="GE121" i="183"/>
  <c r="AQ121" i="183"/>
  <c r="CG121" i="183"/>
  <c r="BC121" i="183"/>
  <c r="AE121" i="183"/>
  <c r="DW121" i="183"/>
  <c r="CM121" i="183"/>
  <c r="BI121" i="183"/>
  <c r="AW121" i="183"/>
  <c r="CS121" i="183"/>
  <c r="Y121" i="183"/>
  <c r="BU121" i="183"/>
  <c r="CE157" i="183"/>
  <c r="BA157" i="183"/>
  <c r="CQ157" i="183"/>
  <c r="W157" i="183"/>
  <c r="BG157" i="183"/>
  <c r="DU157" i="183"/>
  <c r="AC157" i="183"/>
  <c r="BS157" i="183"/>
  <c r="GC157" i="183"/>
  <c r="BM157" i="183"/>
  <c r="AO157" i="183"/>
  <c r="BY157" i="183"/>
  <c r="EY157" i="183"/>
  <c r="AI157" i="183"/>
  <c r="AU157" i="183"/>
  <c r="CK157" i="183"/>
  <c r="CS75" i="183"/>
  <c r="Y75" i="183"/>
  <c r="BO75" i="183"/>
  <c r="FA75" i="183"/>
  <c r="AK75" i="183"/>
  <c r="CA75" i="183"/>
  <c r="AW75" i="183"/>
  <c r="CM75" i="183"/>
  <c r="BI75" i="183"/>
  <c r="DW75" i="183"/>
  <c r="AE75" i="183"/>
  <c r="BU75" i="183"/>
  <c r="GE75" i="183"/>
  <c r="AQ75" i="183"/>
  <c r="CG75" i="183"/>
  <c r="BC75" i="183"/>
  <c r="BY137" i="183"/>
  <c r="AU137" i="183"/>
  <c r="CK137" i="183"/>
  <c r="BA137" i="183"/>
  <c r="CQ137" i="183"/>
  <c r="W137" i="183"/>
  <c r="BM137" i="183"/>
  <c r="DU137" i="183"/>
  <c r="BS137" i="183"/>
  <c r="AO137" i="183"/>
  <c r="GC137" i="183"/>
  <c r="CE137" i="183"/>
  <c r="EY137" i="183"/>
  <c r="AI137" i="183"/>
  <c r="BG137" i="183"/>
  <c r="AC137" i="183"/>
  <c r="BZ122" i="183"/>
  <c r="CL122" i="183"/>
  <c r="CR122" i="183"/>
  <c r="BB122" i="183"/>
  <c r="BT122" i="183"/>
  <c r="AJ122" i="183"/>
  <c r="CF122" i="183"/>
  <c r="AP122" i="183"/>
  <c r="EZ122" i="183"/>
  <c r="AD122" i="183"/>
  <c r="AV122" i="183"/>
  <c r="X122" i="183"/>
  <c r="BN122" i="183"/>
  <c r="GD122" i="183"/>
  <c r="BH122" i="183"/>
  <c r="DV122" i="183"/>
  <c r="BU71" i="183"/>
  <c r="GE71" i="183"/>
  <c r="AQ71" i="183"/>
  <c r="CG71" i="183"/>
  <c r="BC71" i="183"/>
  <c r="CS71" i="183"/>
  <c r="Y71" i="183"/>
  <c r="BO71" i="183"/>
  <c r="FA71" i="183"/>
  <c r="AK71" i="183"/>
  <c r="CA71" i="183"/>
  <c r="AW71" i="183"/>
  <c r="CM71" i="183"/>
  <c r="BI71" i="183"/>
  <c r="DW71" i="183"/>
  <c r="AE71" i="183"/>
  <c r="CK211" i="183"/>
  <c r="DU211" i="183"/>
  <c r="AC211" i="183"/>
  <c r="CQ211" i="183"/>
  <c r="W211" i="183"/>
  <c r="BY211" i="183"/>
  <c r="GC211" i="183"/>
  <c r="AO211" i="183"/>
  <c r="CE211" i="183"/>
  <c r="BM211" i="183"/>
  <c r="BA211" i="183"/>
  <c r="BS211" i="183"/>
  <c r="AU211" i="183"/>
  <c r="EY211" i="183"/>
  <c r="BG211" i="183"/>
  <c r="AI211" i="183"/>
  <c r="FA200" i="183"/>
  <c r="AK200" i="183"/>
  <c r="CA200" i="183"/>
  <c r="AW200" i="183"/>
  <c r="CG200" i="183"/>
  <c r="BC200" i="183"/>
  <c r="CS200" i="183"/>
  <c r="Y200" i="183"/>
  <c r="DW200" i="183"/>
  <c r="BU200" i="183"/>
  <c r="AQ200" i="183"/>
  <c r="GE200" i="183"/>
  <c r="BO200" i="183"/>
  <c r="BI200" i="183"/>
  <c r="CM200" i="183"/>
  <c r="AE200" i="183"/>
  <c r="CE204" i="183"/>
  <c r="DU204" i="183"/>
  <c r="BS204" i="183"/>
  <c r="AU204" i="183"/>
  <c r="EY204" i="183"/>
  <c r="CK204" i="183"/>
  <c r="BA204" i="183"/>
  <c r="W204" i="183"/>
  <c r="AI204" i="183"/>
  <c r="BM204" i="183"/>
  <c r="CQ204" i="183"/>
  <c r="AC204" i="183"/>
  <c r="BY204" i="183"/>
  <c r="GC204" i="183"/>
  <c r="BG204" i="183"/>
  <c r="AO204" i="183"/>
  <c r="CS204" i="183"/>
  <c r="GE204" i="183"/>
  <c r="CG204" i="183"/>
  <c r="CA204" i="183"/>
  <c r="AE204" i="183"/>
  <c r="BI204" i="183"/>
  <c r="AK204" i="183"/>
  <c r="BO204" i="183"/>
  <c r="FA204" i="183"/>
  <c r="BU204" i="183"/>
  <c r="DW204" i="183"/>
  <c r="AW204" i="183"/>
  <c r="AQ204" i="183"/>
  <c r="BC204" i="183"/>
  <c r="CM204" i="183"/>
  <c r="Y204" i="183"/>
  <c r="GE196" i="183"/>
  <c r="AQ196" i="183"/>
  <c r="CG196" i="183"/>
  <c r="BC196" i="183"/>
  <c r="CS196" i="183"/>
  <c r="Y196" i="183"/>
  <c r="BI196" i="183"/>
  <c r="DW196" i="183"/>
  <c r="AE196" i="183"/>
  <c r="AK196" i="183"/>
  <c r="AW196" i="183"/>
  <c r="BU196" i="183"/>
  <c r="CM196" i="183"/>
  <c r="FA196" i="183"/>
  <c r="CA196" i="183"/>
  <c r="BO196" i="183"/>
  <c r="CA185" i="183"/>
  <c r="AW185" i="183"/>
  <c r="CM185" i="183"/>
  <c r="BC185" i="183"/>
  <c r="CS185" i="183"/>
  <c r="Y185" i="183"/>
  <c r="BO185" i="183"/>
  <c r="DW185" i="183"/>
  <c r="BU185" i="183"/>
  <c r="GE185" i="183"/>
  <c r="CG185" i="183"/>
  <c r="BI185" i="183"/>
  <c r="FA185" i="183"/>
  <c r="AK185" i="183"/>
  <c r="AE185" i="183"/>
  <c r="AQ185" i="183"/>
  <c r="CR170" i="183"/>
  <c r="X170" i="183"/>
  <c r="BN170" i="183"/>
  <c r="EZ170" i="183"/>
  <c r="AJ170" i="183"/>
  <c r="BT170" i="183"/>
  <c r="GD170" i="183"/>
  <c r="AP170" i="183"/>
  <c r="CF170" i="183"/>
  <c r="CL170" i="183"/>
  <c r="BH170" i="183"/>
  <c r="AD170" i="183"/>
  <c r="BB170" i="183"/>
  <c r="DV170" i="183"/>
  <c r="BZ170" i="183"/>
  <c r="AV170" i="183"/>
  <c r="AX98" i="183"/>
  <c r="BJ98" i="183"/>
  <c r="DX98" i="183"/>
  <c r="AF98" i="183"/>
  <c r="BV98" i="183"/>
  <c r="GF98" i="183"/>
  <c r="AR98" i="183"/>
  <c r="CH98" i="183"/>
  <c r="BD98" i="183"/>
  <c r="CT98" i="183"/>
  <c r="Z98" i="183"/>
  <c r="BP98" i="183"/>
  <c r="FB98" i="183"/>
  <c r="AL98" i="183"/>
  <c r="CB98" i="183"/>
  <c r="CN98" i="183"/>
  <c r="AX179" i="183"/>
  <c r="CN179" i="183"/>
  <c r="BJ179" i="183"/>
  <c r="CT179" i="183"/>
  <c r="Z179" i="183"/>
  <c r="BP179" i="183"/>
  <c r="FB179" i="183"/>
  <c r="AL179" i="183"/>
  <c r="CB179" i="183"/>
  <c r="DX179" i="183"/>
  <c r="BV179" i="183"/>
  <c r="AR179" i="183"/>
  <c r="AF179" i="183"/>
  <c r="CH179" i="183"/>
  <c r="BD179" i="183"/>
  <c r="GF179" i="183"/>
  <c r="BA93" i="183"/>
  <c r="CQ93" i="183"/>
  <c r="BM93" i="183"/>
  <c r="EY93" i="183"/>
  <c r="AI93" i="183"/>
  <c r="BY93" i="183"/>
  <c r="AU93" i="183"/>
  <c r="CK93" i="183"/>
  <c r="BG93" i="183"/>
  <c r="DU93" i="183"/>
  <c r="AC93" i="183"/>
  <c r="GC93" i="183"/>
  <c r="AO93" i="183"/>
  <c r="CE93" i="183"/>
  <c r="W93" i="183"/>
  <c r="BS93" i="183"/>
  <c r="AW173" i="183"/>
  <c r="CM173" i="183"/>
  <c r="BI173" i="183"/>
  <c r="BU173" i="183"/>
  <c r="CS173" i="183"/>
  <c r="Y173" i="183"/>
  <c r="BO173" i="183"/>
  <c r="FA173" i="183"/>
  <c r="AK173" i="183"/>
  <c r="CG173" i="183"/>
  <c r="GE173" i="183"/>
  <c r="CA173" i="183"/>
  <c r="AQ173" i="183"/>
  <c r="DW173" i="183"/>
  <c r="BC173" i="183"/>
  <c r="AE173" i="183"/>
  <c r="BV85" i="183"/>
  <c r="CH85" i="183"/>
  <c r="BD85" i="183"/>
  <c r="CT85" i="183"/>
  <c r="Z85" i="183"/>
  <c r="BP85" i="183"/>
  <c r="FB85" i="183"/>
  <c r="AL85" i="183"/>
  <c r="CB85" i="183"/>
  <c r="AX85" i="183"/>
  <c r="BJ85" i="183"/>
  <c r="DX85" i="183"/>
  <c r="AF85" i="183"/>
  <c r="AR85" i="183"/>
  <c r="GF85" i="183"/>
  <c r="CN85" i="183"/>
  <c r="CT167" i="183"/>
  <c r="Z167" i="183"/>
  <c r="BP167" i="183"/>
  <c r="FB167" i="183"/>
  <c r="AL167" i="183"/>
  <c r="CN167" i="183"/>
  <c r="BV167" i="183"/>
  <c r="GF167" i="183"/>
  <c r="AR167" i="183"/>
  <c r="CH167" i="183"/>
  <c r="BD167" i="183"/>
  <c r="AX167" i="183"/>
  <c r="CB167" i="183"/>
  <c r="DX167" i="183"/>
  <c r="AF167" i="183"/>
  <c r="BJ167" i="183"/>
  <c r="BI69" i="183"/>
  <c r="DW69" i="183"/>
  <c r="AE69" i="183"/>
  <c r="BU69" i="183"/>
  <c r="GE69" i="183"/>
  <c r="AQ69" i="183"/>
  <c r="CG69" i="183"/>
  <c r="BC69" i="183"/>
  <c r="CS69" i="183"/>
  <c r="Y69" i="183"/>
  <c r="BO69" i="183"/>
  <c r="FA69" i="183"/>
  <c r="AK69" i="183"/>
  <c r="CA69" i="183"/>
  <c r="AW69" i="183"/>
  <c r="CM69" i="183"/>
  <c r="BV150" i="183"/>
  <c r="FB150" i="183"/>
  <c r="AR150" i="183"/>
  <c r="CN150" i="183"/>
  <c r="AX150" i="183"/>
  <c r="GF150" i="183"/>
  <c r="CT150" i="183"/>
  <c r="CB150" i="183"/>
  <c r="BD150" i="183"/>
  <c r="Z150" i="183"/>
  <c r="CH150" i="183"/>
  <c r="BP150" i="183"/>
  <c r="BJ150" i="183"/>
  <c r="DX150" i="183"/>
  <c r="AL150" i="183"/>
  <c r="AF150" i="183"/>
  <c r="GF57" i="183"/>
  <c r="AR57" i="183"/>
  <c r="CH57" i="183"/>
  <c r="BD57" i="183"/>
  <c r="CT57" i="183"/>
  <c r="Z57" i="183"/>
  <c r="BP57" i="183"/>
  <c r="FB57" i="183"/>
  <c r="AL57" i="183"/>
  <c r="CB57" i="183"/>
  <c r="AX57" i="183"/>
  <c r="CN57" i="183"/>
  <c r="BJ57" i="183"/>
  <c r="DX57" i="183"/>
  <c r="AF57" i="183"/>
  <c r="BV57" i="183"/>
  <c r="BJ137" i="183"/>
  <c r="DX137" i="183"/>
  <c r="AF137" i="183"/>
  <c r="BV137" i="183"/>
  <c r="FB137" i="183"/>
  <c r="AL137" i="183"/>
  <c r="CB137" i="183"/>
  <c r="AX137" i="183"/>
  <c r="CT137" i="183"/>
  <c r="Z137" i="183"/>
  <c r="AR137" i="183"/>
  <c r="CN137" i="183"/>
  <c r="GF137" i="183"/>
  <c r="CH137" i="183"/>
  <c r="BP137" i="183"/>
  <c r="BD137" i="183"/>
  <c r="BT46" i="183"/>
  <c r="GD46" i="183"/>
  <c r="AP46" i="183"/>
  <c r="CF46" i="183"/>
  <c r="BB46" i="183"/>
  <c r="CR46" i="183"/>
  <c r="X46" i="183"/>
  <c r="BN46" i="183"/>
  <c r="EZ46" i="183"/>
  <c r="AJ46" i="183"/>
  <c r="BZ46" i="183"/>
  <c r="AV46" i="183"/>
  <c r="CL46" i="183"/>
  <c r="BH46" i="183"/>
  <c r="DV46" i="183"/>
  <c r="AD46" i="183"/>
  <c r="CM123" i="183"/>
  <c r="BI123" i="183"/>
  <c r="DW123" i="183"/>
  <c r="AE123" i="183"/>
  <c r="BO123" i="183"/>
  <c r="FA123" i="183"/>
  <c r="AK123" i="183"/>
  <c r="CA123" i="183"/>
  <c r="BC123" i="183"/>
  <c r="Y123" i="183"/>
  <c r="AW123" i="183"/>
  <c r="GE123" i="183"/>
  <c r="CS123" i="183"/>
  <c r="CG123" i="183"/>
  <c r="BU123" i="183"/>
  <c r="AQ123" i="183"/>
  <c r="AX207" i="183"/>
  <c r="CT207" i="183"/>
  <c r="Z207" i="183"/>
  <c r="BP207" i="183"/>
  <c r="FB207" i="183"/>
  <c r="AL207" i="183"/>
  <c r="GF207" i="183"/>
  <c r="BD207" i="183"/>
  <c r="DX207" i="183"/>
  <c r="CH207" i="183"/>
  <c r="BJ207" i="183"/>
  <c r="AR207" i="183"/>
  <c r="CN207" i="183"/>
  <c r="BV207" i="183"/>
  <c r="CB207" i="183"/>
  <c r="AF207" i="183"/>
  <c r="CQ77" i="183"/>
  <c r="W77" i="183"/>
  <c r="BM77" i="183"/>
  <c r="EY77" i="183"/>
  <c r="AI77" i="183"/>
  <c r="BY77" i="183"/>
  <c r="AU77" i="183"/>
  <c r="CK77" i="183"/>
  <c r="BG77" i="183"/>
  <c r="DU77" i="183"/>
  <c r="AC77" i="183"/>
  <c r="BS77" i="183"/>
  <c r="GC77" i="183"/>
  <c r="AO77" i="183"/>
  <c r="CE77" i="183"/>
  <c r="BA77" i="183"/>
  <c r="CH117" i="183"/>
  <c r="BD117" i="183"/>
  <c r="CT117" i="183"/>
  <c r="Z117" i="183"/>
  <c r="DX117" i="183"/>
  <c r="AF117" i="183"/>
  <c r="BV117" i="183"/>
  <c r="GF117" i="183"/>
  <c r="AX117" i="183"/>
  <c r="BJ117" i="183"/>
  <c r="AL117" i="183"/>
  <c r="AR117" i="183"/>
  <c r="CB117" i="183"/>
  <c r="BP117" i="183"/>
  <c r="FB117" i="183"/>
  <c r="CN117" i="183"/>
  <c r="BM159" i="183"/>
  <c r="EY159" i="183"/>
  <c r="AI159" i="183"/>
  <c r="BY159" i="183"/>
  <c r="GC159" i="183"/>
  <c r="AO159" i="183"/>
  <c r="CE159" i="183"/>
  <c r="BA159" i="183"/>
  <c r="BS159" i="183"/>
  <c r="CK159" i="183"/>
  <c r="DU159" i="183"/>
  <c r="AC159" i="183"/>
  <c r="AU159" i="183"/>
  <c r="W159" i="183"/>
  <c r="BG159" i="183"/>
  <c r="CQ159" i="183"/>
  <c r="CQ200" i="183"/>
  <c r="W200" i="183"/>
  <c r="BM200" i="183"/>
  <c r="EY200" i="183"/>
  <c r="AI200" i="183"/>
  <c r="BS200" i="183"/>
  <c r="GC200" i="183"/>
  <c r="AO200" i="183"/>
  <c r="CE200" i="183"/>
  <c r="AU200" i="183"/>
  <c r="DU200" i="183"/>
  <c r="BG200" i="183"/>
  <c r="AC200" i="183"/>
  <c r="BA200" i="183"/>
  <c r="CK200" i="183"/>
  <c r="BY200" i="183"/>
  <c r="BG71" i="183"/>
  <c r="DU71" i="183"/>
  <c r="AC71" i="183"/>
  <c r="BS71" i="183"/>
  <c r="GC71" i="183"/>
  <c r="AO71" i="183"/>
  <c r="CE71" i="183"/>
  <c r="BA71" i="183"/>
  <c r="CQ71" i="183"/>
  <c r="W71" i="183"/>
  <c r="BM71" i="183"/>
  <c r="EY71" i="183"/>
  <c r="AI71" i="183"/>
  <c r="BY71" i="183"/>
  <c r="AU71" i="183"/>
  <c r="CK71" i="183"/>
  <c r="BM111" i="183"/>
  <c r="AI111" i="183"/>
  <c r="CQ111" i="183"/>
  <c r="AU111" i="183"/>
  <c r="BY111" i="183"/>
  <c r="BS111" i="183"/>
  <c r="DU111" i="183"/>
  <c r="W111" i="183"/>
  <c r="AO111" i="183"/>
  <c r="EY111" i="183"/>
  <c r="BG111" i="183"/>
  <c r="AC111" i="183"/>
  <c r="CK111" i="183"/>
  <c r="CE111" i="183"/>
  <c r="BA111" i="183"/>
  <c r="GC111" i="183"/>
  <c r="BH152" i="183"/>
  <c r="DV152" i="183"/>
  <c r="AD152" i="183"/>
  <c r="BT152" i="183"/>
  <c r="EZ152" i="183"/>
  <c r="AJ152" i="183"/>
  <c r="BZ152" i="183"/>
  <c r="AV152" i="183"/>
  <c r="BN152" i="183"/>
  <c r="CL152" i="183"/>
  <c r="GD152" i="183"/>
  <c r="AP152" i="183"/>
  <c r="BB152" i="183"/>
  <c r="CR152" i="183"/>
  <c r="X152" i="183"/>
  <c r="CF152" i="183"/>
  <c r="BH194" i="183"/>
  <c r="DV194" i="183"/>
  <c r="AD194" i="183"/>
  <c r="BT194" i="183"/>
  <c r="GD194" i="183"/>
  <c r="AP194" i="183"/>
  <c r="BZ194" i="183"/>
  <c r="AV194" i="183"/>
  <c r="CR194" i="183"/>
  <c r="X194" i="183"/>
  <c r="EZ194" i="183"/>
  <c r="BN194" i="183"/>
  <c r="AJ194" i="183"/>
  <c r="CL194" i="183"/>
  <c r="CF194" i="183"/>
  <c r="BB194" i="183"/>
  <c r="FA65" i="183"/>
  <c r="AK65" i="183"/>
  <c r="CA65" i="183"/>
  <c r="AW65" i="183"/>
  <c r="CM65" i="183"/>
  <c r="BI65" i="183"/>
  <c r="DW65" i="183"/>
  <c r="AE65" i="183"/>
  <c r="BU65" i="183"/>
  <c r="GE65" i="183"/>
  <c r="AQ65" i="183"/>
  <c r="CG65" i="183"/>
  <c r="BC65" i="183"/>
  <c r="CS65" i="183"/>
  <c r="Y65" i="183"/>
  <c r="BO65" i="183"/>
  <c r="CF104" i="183"/>
  <c r="DV104" i="183"/>
  <c r="BB104" i="183"/>
  <c r="AJ104" i="183"/>
  <c r="GD104" i="183"/>
  <c r="BN104" i="183"/>
  <c r="CR104" i="183"/>
  <c r="AV104" i="183"/>
  <c r="BZ104" i="183"/>
  <c r="EZ104" i="183"/>
  <c r="AD104" i="183"/>
  <c r="BH104" i="183"/>
  <c r="CL104" i="183"/>
  <c r="AP104" i="183"/>
  <c r="BT104" i="183"/>
  <c r="X104" i="183"/>
  <c r="AX146" i="183"/>
  <c r="CN146" i="183"/>
  <c r="BJ146" i="183"/>
  <c r="CT146" i="183"/>
  <c r="Z146" i="183"/>
  <c r="BP146" i="183"/>
  <c r="FB146" i="183"/>
  <c r="AL146" i="183"/>
  <c r="AF146" i="183"/>
  <c r="BV146" i="183"/>
  <c r="AR146" i="183"/>
  <c r="BD146" i="183"/>
  <c r="DX146" i="183"/>
  <c r="GF146" i="183"/>
  <c r="CH146" i="183"/>
  <c r="CB146" i="183"/>
  <c r="GF188" i="183"/>
  <c r="AR188" i="183"/>
  <c r="CH188" i="183"/>
  <c r="BD188" i="183"/>
  <c r="BJ188" i="183"/>
  <c r="DX188" i="183"/>
  <c r="AF188" i="183"/>
  <c r="FB188" i="183"/>
  <c r="BP188" i="183"/>
  <c r="CN188" i="183"/>
  <c r="AL188" i="183"/>
  <c r="CB188" i="183"/>
  <c r="CT188" i="183"/>
  <c r="BV188" i="183"/>
  <c r="AX188" i="183"/>
  <c r="Z188" i="183"/>
  <c r="BV56" i="183"/>
  <c r="GF56" i="183"/>
  <c r="AR56" i="183"/>
  <c r="CH56" i="183"/>
  <c r="BD56" i="183"/>
  <c r="CT56" i="183"/>
  <c r="Z56" i="183"/>
  <c r="BP56" i="183"/>
  <c r="FB56" i="183"/>
  <c r="AL56" i="183"/>
  <c r="CB56" i="183"/>
  <c r="AX56" i="183"/>
  <c r="CN56" i="183"/>
  <c r="BJ56" i="183"/>
  <c r="DX56" i="183"/>
  <c r="AF56" i="183"/>
  <c r="CA95" i="183"/>
  <c r="AW95" i="183"/>
  <c r="CM95" i="183"/>
  <c r="BI95" i="183"/>
  <c r="DW95" i="183"/>
  <c r="AE95" i="183"/>
  <c r="BU95" i="183"/>
  <c r="GE95" i="183"/>
  <c r="AQ95" i="183"/>
  <c r="CG95" i="183"/>
  <c r="BC95" i="183"/>
  <c r="BO95" i="183"/>
  <c r="FA95" i="183"/>
  <c r="AK95" i="183"/>
  <c r="Y95" i="183"/>
  <c r="CS95" i="183"/>
  <c r="CN136" i="183"/>
  <c r="BJ136" i="183"/>
  <c r="DX136" i="183"/>
  <c r="AF136" i="183"/>
  <c r="BP136" i="183"/>
  <c r="FB136" i="183"/>
  <c r="AL136" i="183"/>
  <c r="CB136" i="183"/>
  <c r="GF136" i="183"/>
  <c r="AR136" i="183"/>
  <c r="BD136" i="183"/>
  <c r="BV136" i="183"/>
  <c r="AX136" i="183"/>
  <c r="CT136" i="183"/>
  <c r="Z136" i="183"/>
  <c r="CH136" i="183"/>
  <c r="BU176" i="183"/>
  <c r="GE176" i="183"/>
  <c r="CG176" i="183"/>
  <c r="CS176" i="183"/>
  <c r="CA176" i="183"/>
  <c r="BI176" i="183"/>
  <c r="AE176" i="183"/>
  <c r="AQ176" i="183"/>
  <c r="BC176" i="183"/>
  <c r="AW176" i="183"/>
  <c r="DW176" i="183"/>
  <c r="CM176" i="183"/>
  <c r="FA176" i="183"/>
  <c r="BO176" i="183"/>
  <c r="Y176" i="183"/>
  <c r="AK176" i="183"/>
  <c r="CE49" i="183"/>
  <c r="BA49" i="183"/>
  <c r="CQ49" i="183"/>
  <c r="W49" i="183"/>
  <c r="BM49" i="183"/>
  <c r="EY49" i="183"/>
  <c r="AI49" i="183"/>
  <c r="BY49" i="183"/>
  <c r="AU49" i="183"/>
  <c r="CK49" i="183"/>
  <c r="BG49" i="183"/>
  <c r="DU49" i="183"/>
  <c r="AC49" i="183"/>
  <c r="BS49" i="183"/>
  <c r="GC49" i="183"/>
  <c r="AO49" i="183"/>
  <c r="DV86" i="183"/>
  <c r="AD86" i="183"/>
  <c r="GD86" i="183"/>
  <c r="AP86" i="183"/>
  <c r="CF86" i="183"/>
  <c r="BB86" i="183"/>
  <c r="CR86" i="183"/>
  <c r="X86" i="183"/>
  <c r="BN86" i="183"/>
  <c r="EZ86" i="183"/>
  <c r="AJ86" i="183"/>
  <c r="BZ86" i="183"/>
  <c r="CL86" i="183"/>
  <c r="BH86" i="183"/>
  <c r="BT86" i="183"/>
  <c r="AV86" i="183"/>
  <c r="GF126" i="183"/>
  <c r="AR126" i="183"/>
  <c r="CH126" i="183"/>
  <c r="BD126" i="183"/>
  <c r="CN126" i="183"/>
  <c r="BJ126" i="183"/>
  <c r="DX126" i="183"/>
  <c r="AF126" i="183"/>
  <c r="CT126" i="183"/>
  <c r="BP126" i="183"/>
  <c r="AL126" i="183"/>
  <c r="FB126" i="183"/>
  <c r="CB126" i="183"/>
  <c r="AX126" i="183"/>
  <c r="BV126" i="183"/>
  <c r="Z126" i="183"/>
  <c r="BB168" i="183"/>
  <c r="CR168" i="183"/>
  <c r="X168" i="183"/>
  <c r="BN168" i="183"/>
  <c r="AV168" i="183"/>
  <c r="DV168" i="183"/>
  <c r="AD168" i="183"/>
  <c r="BT168" i="183"/>
  <c r="GD168" i="183"/>
  <c r="AP168" i="183"/>
  <c r="BZ168" i="183"/>
  <c r="EZ168" i="183"/>
  <c r="BH168" i="183"/>
  <c r="CL168" i="183"/>
  <c r="AJ168" i="183"/>
  <c r="CF168" i="183"/>
  <c r="DW211" i="183"/>
  <c r="AE211" i="183"/>
  <c r="GE211" i="183"/>
  <c r="AQ211" i="183"/>
  <c r="FA211" i="183"/>
  <c r="AK211" i="183"/>
  <c r="CS211" i="183"/>
  <c r="Y211" i="183"/>
  <c r="BI211" i="183"/>
  <c r="BO211" i="183"/>
  <c r="AW211" i="183"/>
  <c r="CM211" i="183"/>
  <c r="BU211" i="183"/>
  <c r="CG211" i="183"/>
  <c r="CA211" i="183"/>
  <c r="BC211" i="183"/>
  <c r="FB76" i="183"/>
  <c r="AL76" i="183"/>
  <c r="CB76" i="183"/>
  <c r="AX76" i="183"/>
  <c r="CN76" i="183"/>
  <c r="BJ76" i="183"/>
  <c r="DX76" i="183"/>
  <c r="AF76" i="183"/>
  <c r="BV76" i="183"/>
  <c r="GF76" i="183"/>
  <c r="AR76" i="183"/>
  <c r="CH76" i="183"/>
  <c r="BD76" i="183"/>
  <c r="CT76" i="183"/>
  <c r="Z76" i="183"/>
  <c r="BP76" i="183"/>
  <c r="GE117" i="183"/>
  <c r="AQ117" i="183"/>
  <c r="CG117" i="183"/>
  <c r="BC117" i="183"/>
  <c r="BI117" i="183"/>
  <c r="CS117" i="183"/>
  <c r="AE117" i="183"/>
  <c r="BU117" i="183"/>
  <c r="AK117" i="183"/>
  <c r="CA117" i="183"/>
  <c r="Y117" i="183"/>
  <c r="FA117" i="183"/>
  <c r="DW117" i="183"/>
  <c r="CM117" i="183"/>
  <c r="BO117" i="183"/>
  <c r="AW117" i="183"/>
  <c r="CB158" i="183"/>
  <c r="AX158" i="183"/>
  <c r="CN158" i="183"/>
  <c r="BD158" i="183"/>
  <c r="CT158" i="183"/>
  <c r="Z158" i="183"/>
  <c r="BP158" i="183"/>
  <c r="AL158" i="183"/>
  <c r="BJ158" i="183"/>
  <c r="AF158" i="183"/>
  <c r="DX158" i="183"/>
  <c r="BV158" i="183"/>
  <c r="AR158" i="183"/>
  <c r="GF158" i="183"/>
  <c r="FB158" i="183"/>
  <c r="CH158" i="183"/>
  <c r="FB199" i="183"/>
  <c r="AL199" i="183"/>
  <c r="CB199" i="183"/>
  <c r="AX199" i="183"/>
  <c r="CH199" i="183"/>
  <c r="BD199" i="183"/>
  <c r="CT199" i="183"/>
  <c r="Z199" i="183"/>
  <c r="CN199" i="183"/>
  <c r="BJ199" i="183"/>
  <c r="AF199" i="183"/>
  <c r="DX199" i="183"/>
  <c r="BV199" i="183"/>
  <c r="AR199" i="183"/>
  <c r="BP199" i="183"/>
  <c r="GF199" i="183"/>
  <c r="BG195" i="183"/>
  <c r="DU195" i="183"/>
  <c r="AC195" i="183"/>
  <c r="BS195" i="183"/>
  <c r="GC195" i="183"/>
  <c r="AO195" i="183"/>
  <c r="BY195" i="183"/>
  <c r="AU195" i="183"/>
  <c r="CE195" i="183"/>
  <c r="BA195" i="183"/>
  <c r="W195" i="183"/>
  <c r="CQ195" i="183"/>
  <c r="BM195" i="183"/>
  <c r="AI195" i="183"/>
  <c r="CK195" i="183"/>
  <c r="EY195" i="183"/>
  <c r="BT154" i="183"/>
  <c r="GD154" i="183"/>
  <c r="AP154" i="183"/>
  <c r="CF154" i="183"/>
  <c r="AV154" i="183"/>
  <c r="CL154" i="183"/>
  <c r="BH154" i="183"/>
  <c r="BZ154" i="183"/>
  <c r="CR154" i="183"/>
  <c r="X154" i="183"/>
  <c r="EZ154" i="183"/>
  <c r="AJ154" i="183"/>
  <c r="BB154" i="183"/>
  <c r="DV154" i="183"/>
  <c r="BN154" i="183"/>
  <c r="AD154" i="183"/>
  <c r="CR144" i="183"/>
  <c r="X144" i="183"/>
  <c r="BN144" i="183"/>
  <c r="EZ144" i="183"/>
  <c r="AJ144" i="183"/>
  <c r="BT144" i="183"/>
  <c r="GD144" i="183"/>
  <c r="AP144" i="183"/>
  <c r="CF144" i="183"/>
  <c r="BZ144" i="183"/>
  <c r="BB144" i="183"/>
  <c r="AV144" i="183"/>
  <c r="AD144" i="183"/>
  <c r="BH144" i="183"/>
  <c r="DV144" i="183"/>
  <c r="CL144" i="183"/>
  <c r="BM95" i="183"/>
  <c r="EY95" i="183"/>
  <c r="AI95" i="183"/>
  <c r="BY95" i="183"/>
  <c r="AU95" i="183"/>
  <c r="CK95" i="183"/>
  <c r="BG95" i="183"/>
  <c r="DU95" i="183"/>
  <c r="AC95" i="183"/>
  <c r="BS95" i="183"/>
  <c r="GC95" i="183"/>
  <c r="AO95" i="183"/>
  <c r="BA95" i="183"/>
  <c r="CQ95" i="183"/>
  <c r="W95" i="183"/>
  <c r="CE95" i="183"/>
  <c r="BT141" i="183"/>
  <c r="GD141" i="183"/>
  <c r="AP141" i="183"/>
  <c r="CF141" i="183"/>
  <c r="AV141" i="183"/>
  <c r="CL141" i="183"/>
  <c r="BH141" i="183"/>
  <c r="BN141" i="183"/>
  <c r="BZ141" i="183"/>
  <c r="CR141" i="183"/>
  <c r="X141" i="183"/>
  <c r="DV141" i="183"/>
  <c r="BB141" i="183"/>
  <c r="AJ141" i="183"/>
  <c r="EZ141" i="183"/>
  <c r="AD141" i="183"/>
  <c r="BV163" i="183"/>
  <c r="GF163" i="183"/>
  <c r="AR163" i="183"/>
  <c r="CH163" i="183"/>
  <c r="BP163" i="183"/>
  <c r="AX163" i="183"/>
  <c r="CN163" i="183"/>
  <c r="BJ163" i="183"/>
  <c r="FB163" i="183"/>
  <c r="AL163" i="183"/>
  <c r="DX163" i="183"/>
  <c r="CB163" i="183"/>
  <c r="AF163" i="183"/>
  <c r="CT163" i="183"/>
  <c r="Z163" i="183"/>
  <c r="BD163" i="183"/>
  <c r="CR150" i="183"/>
  <c r="BZ150" i="183"/>
  <c r="BH150" i="183"/>
  <c r="AD150" i="183"/>
  <c r="CF150" i="183"/>
  <c r="BN150" i="183"/>
  <c r="AJ150" i="183"/>
  <c r="AV150" i="183"/>
  <c r="GD150" i="183"/>
  <c r="EZ150" i="183"/>
  <c r="AP150" i="183"/>
  <c r="BT150" i="183"/>
  <c r="CL150" i="183"/>
  <c r="BB150" i="183"/>
  <c r="X150" i="183"/>
  <c r="DV150" i="183"/>
  <c r="BM98" i="183"/>
  <c r="BY98" i="183"/>
  <c r="AU98" i="183"/>
  <c r="CK98" i="183"/>
  <c r="BG98" i="183"/>
  <c r="DU98" i="183"/>
  <c r="AC98" i="183"/>
  <c r="BS98" i="183"/>
  <c r="GC98" i="183"/>
  <c r="AO98" i="183"/>
  <c r="CE98" i="183"/>
  <c r="BA98" i="183"/>
  <c r="AI98" i="183"/>
  <c r="W98" i="183"/>
  <c r="EY98" i="183"/>
  <c r="CQ98" i="183"/>
  <c r="BZ53" i="183"/>
  <c r="AV53" i="183"/>
  <c r="CL53" i="183"/>
  <c r="BH53" i="183"/>
  <c r="DV53" i="183"/>
  <c r="AD53" i="183"/>
  <c r="BT53" i="183"/>
  <c r="GD53" i="183"/>
  <c r="AP53" i="183"/>
  <c r="CF53" i="183"/>
  <c r="BB53" i="183"/>
  <c r="CR53" i="183"/>
  <c r="X53" i="183"/>
  <c r="BN53" i="183"/>
  <c r="EZ53" i="183"/>
  <c r="AJ53" i="183"/>
  <c r="BJ54" i="183"/>
  <c r="DX54" i="183"/>
  <c r="AF54" i="183"/>
  <c r="BV54" i="183"/>
  <c r="GF54" i="183"/>
  <c r="AR54" i="183"/>
  <c r="CH54" i="183"/>
  <c r="BD54" i="183"/>
  <c r="CT54" i="183"/>
  <c r="Z54" i="183"/>
  <c r="BP54" i="183"/>
  <c r="FB54" i="183"/>
  <c r="AL54" i="183"/>
  <c r="CB54" i="183"/>
  <c r="AX54" i="183"/>
  <c r="CN54" i="183"/>
  <c r="CL55" i="183"/>
  <c r="BH55" i="183"/>
  <c r="DV55" i="183"/>
  <c r="AD55" i="183"/>
  <c r="BT55" i="183"/>
  <c r="GD55" i="183"/>
  <c r="AP55" i="183"/>
  <c r="CF55" i="183"/>
  <c r="BB55" i="183"/>
  <c r="CR55" i="183"/>
  <c r="X55" i="183"/>
  <c r="BN55" i="183"/>
  <c r="EZ55" i="183"/>
  <c r="AJ55" i="183"/>
  <c r="BZ55" i="183"/>
  <c r="AV55" i="183"/>
  <c r="BB49" i="183"/>
  <c r="CR49" i="183"/>
  <c r="X49" i="183"/>
  <c r="BN49" i="183"/>
  <c r="EZ49" i="183"/>
  <c r="AJ49" i="183"/>
  <c r="BZ49" i="183"/>
  <c r="AV49" i="183"/>
  <c r="CL49" i="183"/>
  <c r="BH49" i="183"/>
  <c r="DV49" i="183"/>
  <c r="AD49" i="183"/>
  <c r="BT49" i="183"/>
  <c r="GD49" i="183"/>
  <c r="AP49" i="183"/>
  <c r="CF49" i="183"/>
  <c r="BV211" i="183"/>
  <c r="CH211" i="183"/>
  <c r="CB211" i="183"/>
  <c r="GF211" i="183"/>
  <c r="BJ211" i="183"/>
  <c r="AR211" i="183"/>
  <c r="DX211" i="183"/>
  <c r="AX211" i="183"/>
  <c r="AF211" i="183"/>
  <c r="CN211" i="183"/>
  <c r="BP211" i="183"/>
  <c r="AL211" i="183"/>
  <c r="CT211" i="183"/>
  <c r="BD211" i="183"/>
  <c r="Z211" i="183"/>
  <c r="FB211" i="183"/>
  <c r="DW197" i="183"/>
  <c r="GE197" i="183"/>
  <c r="CG197" i="183"/>
  <c r="BC197" i="183"/>
  <c r="Y197" i="183"/>
  <c r="BO197" i="183"/>
  <c r="FA197" i="183"/>
  <c r="CM197" i="183"/>
  <c r="AE197" i="183"/>
  <c r="BU197" i="183"/>
  <c r="AW197" i="183"/>
  <c r="BI197" i="183"/>
  <c r="CS197" i="183"/>
  <c r="AK197" i="183"/>
  <c r="CA197" i="183"/>
  <c r="AQ197" i="183"/>
  <c r="BH186" i="183"/>
  <c r="DV186" i="183"/>
  <c r="AD186" i="183"/>
  <c r="EZ186" i="183"/>
  <c r="BZ186" i="183"/>
  <c r="BB186" i="183"/>
  <c r="AJ186" i="183"/>
  <c r="CR186" i="183"/>
  <c r="BT186" i="183"/>
  <c r="CF186" i="183"/>
  <c r="AP186" i="183"/>
  <c r="X186" i="183"/>
  <c r="GD186" i="183"/>
  <c r="CL186" i="183"/>
  <c r="BN186" i="183"/>
  <c r="AV186" i="183"/>
  <c r="CT104" i="183"/>
  <c r="Z104" i="183"/>
  <c r="CH104" i="183"/>
  <c r="AL104" i="183"/>
  <c r="AX104" i="183"/>
  <c r="CB104" i="183"/>
  <c r="FB104" i="183"/>
  <c r="AF104" i="183"/>
  <c r="BJ104" i="183"/>
  <c r="CN104" i="183"/>
  <c r="AR104" i="183"/>
  <c r="BV104" i="183"/>
  <c r="DX104" i="183"/>
  <c r="BP104" i="183"/>
  <c r="BD104" i="183"/>
  <c r="GF104" i="183"/>
  <c r="BT189" i="183"/>
  <c r="GD189" i="183"/>
  <c r="AP189" i="183"/>
  <c r="CF189" i="183"/>
  <c r="CL189" i="183"/>
  <c r="BH189" i="183"/>
  <c r="BB189" i="183"/>
  <c r="AD189" i="183"/>
  <c r="DV189" i="183"/>
  <c r="BZ189" i="183"/>
  <c r="AJ189" i="183"/>
  <c r="X189" i="183"/>
  <c r="CR189" i="183"/>
  <c r="AV189" i="183"/>
  <c r="EZ189" i="183"/>
  <c r="BN189" i="183"/>
  <c r="EY99" i="183"/>
  <c r="AI99" i="183"/>
  <c r="AU99" i="183"/>
  <c r="CK99" i="183"/>
  <c r="BG99" i="183"/>
  <c r="DU99" i="183"/>
  <c r="AC99" i="183"/>
  <c r="BS99" i="183"/>
  <c r="GC99" i="183"/>
  <c r="AO99" i="183"/>
  <c r="CE99" i="183"/>
  <c r="BA99" i="183"/>
  <c r="CQ99" i="183"/>
  <c r="W99" i="183"/>
  <c r="BY99" i="183"/>
  <c r="BM99" i="183"/>
  <c r="EY180" i="183"/>
  <c r="AI180" i="183"/>
  <c r="BY180" i="183"/>
  <c r="AU180" i="183"/>
  <c r="CE180" i="183"/>
  <c r="BA180" i="183"/>
  <c r="CQ180" i="183"/>
  <c r="W180" i="183"/>
  <c r="BS180" i="183"/>
  <c r="BM180" i="183"/>
  <c r="DU180" i="183"/>
  <c r="AC180" i="183"/>
  <c r="BG180" i="183"/>
  <c r="AO180" i="183"/>
  <c r="GC180" i="183"/>
  <c r="CK180" i="183"/>
  <c r="CR93" i="183"/>
  <c r="X93" i="183"/>
  <c r="EZ93" i="183"/>
  <c r="AJ93" i="183"/>
  <c r="BZ93" i="183"/>
  <c r="AV93" i="183"/>
  <c r="CL93" i="183"/>
  <c r="BH93" i="183"/>
  <c r="DV93" i="183"/>
  <c r="AD93" i="183"/>
  <c r="BT93" i="183"/>
  <c r="CF93" i="183"/>
  <c r="BB93" i="183"/>
  <c r="AP93" i="183"/>
  <c r="GD93" i="183"/>
  <c r="BN93" i="183"/>
  <c r="CN173" i="183"/>
  <c r="BJ173" i="183"/>
  <c r="DX173" i="183"/>
  <c r="AF173" i="183"/>
  <c r="GF173" i="183"/>
  <c r="AR173" i="183"/>
  <c r="BP173" i="183"/>
  <c r="FB173" i="183"/>
  <c r="AL173" i="183"/>
  <c r="CB173" i="183"/>
  <c r="AX173" i="183"/>
  <c r="CT173" i="183"/>
  <c r="Z173" i="183"/>
  <c r="BD173" i="183"/>
  <c r="BV173" i="183"/>
  <c r="CH173" i="183"/>
  <c r="BP75" i="183"/>
  <c r="FB75" i="183"/>
  <c r="AL75" i="183"/>
  <c r="CB75" i="183"/>
  <c r="AX75" i="183"/>
  <c r="CN75" i="183"/>
  <c r="BJ75" i="183"/>
  <c r="DX75" i="183"/>
  <c r="AF75" i="183"/>
  <c r="BV75" i="183"/>
  <c r="GF75" i="183"/>
  <c r="AR75" i="183"/>
  <c r="CH75" i="183"/>
  <c r="BD75" i="183"/>
  <c r="CT75" i="183"/>
  <c r="Z75" i="183"/>
  <c r="BB157" i="183"/>
  <c r="CR157" i="183"/>
  <c r="X157" i="183"/>
  <c r="BN157" i="183"/>
  <c r="DV157" i="183"/>
  <c r="AD157" i="183"/>
  <c r="BT157" i="183"/>
  <c r="GD157" i="183"/>
  <c r="AP157" i="183"/>
  <c r="CL157" i="183"/>
  <c r="AV157" i="183"/>
  <c r="EZ157" i="183"/>
  <c r="BZ157" i="183"/>
  <c r="AJ157" i="183"/>
  <c r="CF157" i="183"/>
  <c r="BH157" i="183"/>
  <c r="BP63" i="183"/>
  <c r="FB63" i="183"/>
  <c r="AL63" i="183"/>
  <c r="CB63" i="183"/>
  <c r="AX63" i="183"/>
  <c r="CN63" i="183"/>
  <c r="BJ63" i="183"/>
  <c r="DX63" i="183"/>
  <c r="AF63" i="183"/>
  <c r="BV63" i="183"/>
  <c r="GF63" i="183"/>
  <c r="AR63" i="183"/>
  <c r="CH63" i="183"/>
  <c r="BD63" i="183"/>
  <c r="CT63" i="183"/>
  <c r="Z63" i="183"/>
  <c r="CQ145" i="183"/>
  <c r="W145" i="183"/>
  <c r="BM145" i="183"/>
  <c r="EY145" i="183"/>
  <c r="AI145" i="183"/>
  <c r="BS145" i="183"/>
  <c r="GC145" i="183"/>
  <c r="AO145" i="183"/>
  <c r="CE145" i="183"/>
  <c r="AC145" i="183"/>
  <c r="BA145" i="183"/>
  <c r="BY145" i="183"/>
  <c r="CK145" i="183"/>
  <c r="DU145" i="183"/>
  <c r="BG145" i="183"/>
  <c r="AU145" i="183"/>
  <c r="EZ52" i="183"/>
  <c r="AJ52" i="183"/>
  <c r="BZ52" i="183"/>
  <c r="AV52" i="183"/>
  <c r="CL52" i="183"/>
  <c r="BH52" i="183"/>
  <c r="DV52" i="183"/>
  <c r="AD52" i="183"/>
  <c r="BT52" i="183"/>
  <c r="GD52" i="183"/>
  <c r="AP52" i="183"/>
  <c r="CF52" i="183"/>
  <c r="BB52" i="183"/>
  <c r="CR52" i="183"/>
  <c r="X52" i="183"/>
  <c r="BN52" i="183"/>
  <c r="BP130" i="183"/>
  <c r="FB130" i="183"/>
  <c r="AL130" i="183"/>
  <c r="CB130" i="183"/>
  <c r="GF130" i="183"/>
  <c r="AR130" i="183"/>
  <c r="CH130" i="183"/>
  <c r="BD130" i="183"/>
  <c r="CT130" i="183"/>
  <c r="Z130" i="183"/>
  <c r="BV130" i="183"/>
  <c r="CN130" i="183"/>
  <c r="AX130" i="183"/>
  <c r="BJ130" i="183"/>
  <c r="DX130" i="183"/>
  <c r="AF130" i="183"/>
  <c r="BC215" i="183"/>
  <c r="BO215" i="183"/>
  <c r="BI215" i="183"/>
  <c r="DW215" i="183"/>
  <c r="AE215" i="183"/>
  <c r="GE215" i="183"/>
  <c r="AQ215" i="183"/>
  <c r="CG215" i="183"/>
  <c r="CA215" i="183"/>
  <c r="CS215" i="183"/>
  <c r="Y215" i="183"/>
  <c r="FA215" i="183"/>
  <c r="AK215" i="183"/>
  <c r="BU215" i="183"/>
  <c r="CM215" i="183"/>
  <c r="AW215" i="183"/>
  <c r="BY80" i="183"/>
  <c r="AU80" i="183"/>
  <c r="CK80" i="183"/>
  <c r="BG80" i="183"/>
  <c r="DU80" i="183"/>
  <c r="AC80" i="183"/>
  <c r="BS80" i="183"/>
  <c r="GC80" i="183"/>
  <c r="AO80" i="183"/>
  <c r="CE80" i="183"/>
  <c r="BA80" i="183"/>
  <c r="CQ80" i="183"/>
  <c r="W80" i="183"/>
  <c r="BM80" i="183"/>
  <c r="EY80" i="183"/>
  <c r="AI80" i="183"/>
  <c r="BA121" i="183"/>
  <c r="CQ121" i="183"/>
  <c r="W121" i="183"/>
  <c r="BM121" i="183"/>
  <c r="DU121" i="183"/>
  <c r="AC121" i="183"/>
  <c r="BS121" i="183"/>
  <c r="EY121" i="183"/>
  <c r="CE121" i="183"/>
  <c r="BG121" i="183"/>
  <c r="BY121" i="183"/>
  <c r="AO121" i="183"/>
  <c r="AU121" i="183"/>
  <c r="CK121" i="183"/>
  <c r="AI121" i="183"/>
  <c r="GC121" i="183"/>
  <c r="BI162" i="183"/>
  <c r="DW162" i="183"/>
  <c r="AE162" i="183"/>
  <c r="BU162" i="183"/>
  <c r="BC162" i="183"/>
  <c r="FA162" i="183"/>
  <c r="AK162" i="183"/>
  <c r="CA162" i="183"/>
  <c r="AW162" i="183"/>
  <c r="CG162" i="183"/>
  <c r="CS162" i="183"/>
  <c r="CM162" i="183"/>
  <c r="BO162" i="183"/>
  <c r="AQ162" i="183"/>
  <c r="GE162" i="183"/>
  <c r="Y162" i="183"/>
  <c r="BA205" i="183"/>
  <c r="DU205" i="183"/>
  <c r="BS205" i="183"/>
  <c r="GC205" i="183"/>
  <c r="AO205" i="183"/>
  <c r="AI205" i="183"/>
  <c r="W205" i="183"/>
  <c r="BY205" i="183"/>
  <c r="EY205" i="183"/>
  <c r="CK205" i="183"/>
  <c r="AU205" i="183"/>
  <c r="AC205" i="183"/>
  <c r="CQ205" i="183"/>
  <c r="BG205" i="183"/>
  <c r="CE205" i="183"/>
  <c r="BM205" i="183"/>
  <c r="CF74" i="183"/>
  <c r="BB74" i="183"/>
  <c r="CR74" i="183"/>
  <c r="X74" i="183"/>
  <c r="BN74" i="183"/>
  <c r="EZ74" i="183"/>
  <c r="AJ74" i="183"/>
  <c r="BZ74" i="183"/>
  <c r="AV74" i="183"/>
  <c r="CL74" i="183"/>
  <c r="BH74" i="183"/>
  <c r="DV74" i="183"/>
  <c r="AD74" i="183"/>
  <c r="BT74" i="183"/>
  <c r="GD74" i="183"/>
  <c r="AP74" i="183"/>
  <c r="DX114" i="183"/>
  <c r="AF114" i="183"/>
  <c r="BV114" i="183"/>
  <c r="CN114" i="183"/>
  <c r="FB114" i="183"/>
  <c r="CH114" i="183"/>
  <c r="BP114" i="183"/>
  <c r="AX114" i="183"/>
  <c r="GF114" i="183"/>
  <c r="CT114" i="183"/>
  <c r="CB114" i="183"/>
  <c r="Z114" i="183"/>
  <c r="AR114" i="183"/>
  <c r="AL114" i="183"/>
  <c r="BJ114" i="183"/>
  <c r="BD114" i="183"/>
  <c r="CG155" i="183"/>
  <c r="BC155" i="183"/>
  <c r="CS155" i="183"/>
  <c r="Y155" i="183"/>
  <c r="BI155" i="183"/>
  <c r="DW155" i="183"/>
  <c r="AE155" i="183"/>
  <c r="BU155" i="183"/>
  <c r="AW155" i="183"/>
  <c r="AQ155" i="183"/>
  <c r="GE155" i="183"/>
  <c r="FA155" i="183"/>
  <c r="BO155" i="183"/>
  <c r="CM155" i="183"/>
  <c r="AK155" i="183"/>
  <c r="CA155" i="183"/>
  <c r="DV197" i="183"/>
  <c r="AP197" i="183"/>
  <c r="CF197" i="183"/>
  <c r="BB197" i="183"/>
  <c r="X197" i="183"/>
  <c r="BH197" i="183"/>
  <c r="EZ197" i="183"/>
  <c r="CL197" i="183"/>
  <c r="AD197" i="183"/>
  <c r="BZ197" i="183"/>
  <c r="AV197" i="183"/>
  <c r="CR197" i="183"/>
  <c r="AJ197" i="183"/>
  <c r="GD197" i="183"/>
  <c r="BT197" i="183"/>
  <c r="BN197" i="183"/>
  <c r="CM68" i="183"/>
  <c r="BI68" i="183"/>
  <c r="DW68" i="183"/>
  <c r="AE68" i="183"/>
  <c r="BU68" i="183"/>
  <c r="GE68" i="183"/>
  <c r="AQ68" i="183"/>
  <c r="CG68" i="183"/>
  <c r="BC68" i="183"/>
  <c r="CS68" i="183"/>
  <c r="Y68" i="183"/>
  <c r="BO68" i="183"/>
  <c r="FA68" i="183"/>
  <c r="AK68" i="183"/>
  <c r="CA68" i="183"/>
  <c r="AW68" i="183"/>
  <c r="CT107" i="183"/>
  <c r="Z107" i="183"/>
  <c r="AR107" i="183"/>
  <c r="CN107" i="183"/>
  <c r="BV107" i="183"/>
  <c r="AF107" i="183"/>
  <c r="GF107" i="183"/>
  <c r="FB107" i="183"/>
  <c r="CH107" i="183"/>
  <c r="BJ107" i="183"/>
  <c r="AL107" i="183"/>
  <c r="DX107" i="183"/>
  <c r="CB107" i="183"/>
  <c r="BD107" i="183"/>
  <c r="BP107" i="183"/>
  <c r="AX107" i="183"/>
  <c r="DX149" i="183"/>
  <c r="AF149" i="183"/>
  <c r="BV149" i="183"/>
  <c r="GF149" i="183"/>
  <c r="AR149" i="183"/>
  <c r="CB149" i="183"/>
  <c r="AX149" i="183"/>
  <c r="CN149" i="183"/>
  <c r="BP149" i="183"/>
  <c r="AL149" i="183"/>
  <c r="BJ149" i="183"/>
  <c r="BD149" i="183"/>
  <c r="Z149" i="183"/>
  <c r="CH149" i="183"/>
  <c r="FB149" i="183"/>
  <c r="CT149" i="183"/>
  <c r="FB191" i="183"/>
  <c r="Z191" i="183"/>
  <c r="CT191" i="183"/>
  <c r="BP191" i="183"/>
  <c r="AL191" i="183"/>
  <c r="DX191" i="183"/>
  <c r="BV191" i="183"/>
  <c r="AR191" i="183"/>
  <c r="CH191" i="183"/>
  <c r="AX191" i="183"/>
  <c r="BJ191" i="183"/>
  <c r="AF191" i="183"/>
  <c r="GF191" i="183"/>
  <c r="BD191" i="183"/>
  <c r="CN191" i="183"/>
  <c r="CB191" i="183"/>
  <c r="BD59" i="183"/>
  <c r="CT59" i="183"/>
  <c r="Z59" i="183"/>
  <c r="BP59" i="183"/>
  <c r="FB59" i="183"/>
  <c r="AL59" i="183"/>
  <c r="CB59" i="183"/>
  <c r="AX59" i="183"/>
  <c r="CN59" i="183"/>
  <c r="BJ59" i="183"/>
  <c r="DX59" i="183"/>
  <c r="AF59" i="183"/>
  <c r="BV59" i="183"/>
  <c r="GF59" i="183"/>
  <c r="AR59" i="183"/>
  <c r="CH59" i="183"/>
  <c r="CA98" i="183"/>
  <c r="CM98" i="183"/>
  <c r="BI98" i="183"/>
  <c r="DW98" i="183"/>
  <c r="AE98" i="183"/>
  <c r="BU98" i="183"/>
  <c r="GE98" i="183"/>
  <c r="AQ98" i="183"/>
  <c r="CG98" i="183"/>
  <c r="BC98" i="183"/>
  <c r="CS98" i="183"/>
  <c r="Y98" i="183"/>
  <c r="BO98" i="183"/>
  <c r="AW98" i="183"/>
  <c r="AK98" i="183"/>
  <c r="FA98" i="183"/>
  <c r="BG140" i="183"/>
  <c r="DU140" i="183"/>
  <c r="AC140" i="183"/>
  <c r="BS140" i="183"/>
  <c r="EY140" i="183"/>
  <c r="AI140" i="183"/>
  <c r="BY140" i="183"/>
  <c r="AU140" i="183"/>
  <c r="CQ140" i="183"/>
  <c r="W140" i="183"/>
  <c r="BA140" i="183"/>
  <c r="CK140" i="183"/>
  <c r="BM140" i="183"/>
  <c r="AO140" i="183"/>
  <c r="CE140" i="183"/>
  <c r="GC140" i="183"/>
  <c r="CA179" i="183"/>
  <c r="AW179" i="183"/>
  <c r="CM179" i="183"/>
  <c r="BC179" i="183"/>
  <c r="CS179" i="183"/>
  <c r="Y179" i="183"/>
  <c r="BO179" i="183"/>
  <c r="AQ179" i="183"/>
  <c r="AK179" i="183"/>
  <c r="AE179" i="183"/>
  <c r="FA179" i="183"/>
  <c r="DW179" i="183"/>
  <c r="GE179" i="183"/>
  <c r="BI179" i="183"/>
  <c r="CG179" i="183"/>
  <c r="BU179" i="183"/>
  <c r="BM52" i="183"/>
  <c r="EY52" i="183"/>
  <c r="AI52" i="183"/>
  <c r="BY52" i="183"/>
  <c r="AU52" i="183"/>
  <c r="CK52" i="183"/>
  <c r="BG52" i="183"/>
  <c r="DU52" i="183"/>
  <c r="AC52" i="183"/>
  <c r="BS52" i="183"/>
  <c r="GC52" i="183"/>
  <c r="AO52" i="183"/>
  <c r="CE52" i="183"/>
  <c r="BA52" i="183"/>
  <c r="CQ52" i="183"/>
  <c r="W52" i="183"/>
  <c r="CF89" i="183"/>
  <c r="CR89" i="183"/>
  <c r="X89" i="183"/>
  <c r="BN89" i="183"/>
  <c r="EZ89" i="183"/>
  <c r="AJ89" i="183"/>
  <c r="BZ89" i="183"/>
  <c r="AV89" i="183"/>
  <c r="CL89" i="183"/>
  <c r="BH89" i="183"/>
  <c r="BT89" i="183"/>
  <c r="GD89" i="183"/>
  <c r="AP89" i="183"/>
  <c r="AD89" i="183"/>
  <c r="DV89" i="183"/>
  <c r="BB89" i="183"/>
  <c r="BB130" i="183"/>
  <c r="CR130" i="183"/>
  <c r="X130" i="183"/>
  <c r="BN130" i="183"/>
  <c r="DV130" i="183"/>
  <c r="AD130" i="183"/>
  <c r="BT130" i="183"/>
  <c r="GD130" i="183"/>
  <c r="AP130" i="183"/>
  <c r="CL130" i="183"/>
  <c r="AV130" i="183"/>
  <c r="BH130" i="183"/>
  <c r="AJ130" i="183"/>
  <c r="EZ130" i="183"/>
  <c r="CF130" i="183"/>
  <c r="BZ130" i="183"/>
  <c r="BN171" i="183"/>
  <c r="EZ171" i="183"/>
  <c r="AJ171" i="183"/>
  <c r="BZ171" i="183"/>
  <c r="CL171" i="183"/>
  <c r="GD171" i="183"/>
  <c r="AP171" i="183"/>
  <c r="CF171" i="183"/>
  <c r="BB171" i="183"/>
  <c r="AV171" i="183"/>
  <c r="DV171" i="183"/>
  <c r="AD171" i="183"/>
  <c r="CR171" i="183"/>
  <c r="BH171" i="183"/>
  <c r="BT171" i="183"/>
  <c r="X171" i="183"/>
  <c r="GC215" i="183"/>
  <c r="AO215" i="183"/>
  <c r="BA215" i="183"/>
  <c r="AU215" i="183"/>
  <c r="CK215" i="183"/>
  <c r="DU215" i="183"/>
  <c r="AC215" i="183"/>
  <c r="BS215" i="183"/>
  <c r="BY215" i="183"/>
  <c r="EY215" i="183"/>
  <c r="CE215" i="183"/>
  <c r="AI215" i="183"/>
  <c r="CQ215" i="183"/>
  <c r="BM215" i="183"/>
  <c r="W215" i="183"/>
  <c r="BG215" i="183"/>
  <c r="CN79" i="183"/>
  <c r="BJ79" i="183"/>
  <c r="DX79" i="183"/>
  <c r="AF79" i="183"/>
  <c r="BV79" i="183"/>
  <c r="GF79" i="183"/>
  <c r="AR79" i="183"/>
  <c r="CH79" i="183"/>
  <c r="BD79" i="183"/>
  <c r="CT79" i="183"/>
  <c r="Z79" i="183"/>
  <c r="BP79" i="183"/>
  <c r="FB79" i="183"/>
  <c r="AL79" i="183"/>
  <c r="CB79" i="183"/>
  <c r="AX79" i="183"/>
  <c r="BP120" i="183"/>
  <c r="FB120" i="183"/>
  <c r="AL120" i="183"/>
  <c r="CB120" i="183"/>
  <c r="GF120" i="183"/>
  <c r="AR120" i="183"/>
  <c r="CH120" i="183"/>
  <c r="CN120" i="183"/>
  <c r="Z120" i="183"/>
  <c r="BD120" i="183"/>
  <c r="CT120" i="183"/>
  <c r="BV120" i="183"/>
  <c r="DX120" i="183"/>
  <c r="AF120" i="183"/>
  <c r="BJ120" i="183"/>
  <c r="AX120" i="183"/>
  <c r="AU162" i="183"/>
  <c r="CK162" i="183"/>
  <c r="BG162" i="183"/>
  <c r="GC162" i="183"/>
  <c r="AO162" i="183"/>
  <c r="CQ162" i="183"/>
  <c r="W162" i="183"/>
  <c r="BM162" i="183"/>
  <c r="EY162" i="183"/>
  <c r="AI162" i="183"/>
  <c r="AC162" i="183"/>
  <c r="BS162" i="183"/>
  <c r="CE162" i="183"/>
  <c r="DU162" i="183"/>
  <c r="BA162" i="183"/>
  <c r="BY162" i="183"/>
  <c r="CH204" i="183"/>
  <c r="BD204" i="183"/>
  <c r="CB204" i="183"/>
  <c r="AF204" i="183"/>
  <c r="CT204" i="183"/>
  <c r="BJ204" i="183"/>
  <c r="BP204" i="183"/>
  <c r="DX204" i="183"/>
  <c r="AX204" i="183"/>
  <c r="AL204" i="183"/>
  <c r="GF204" i="183"/>
  <c r="AR204" i="183"/>
  <c r="BV204" i="183"/>
  <c r="FB204" i="183"/>
  <c r="CN204" i="183"/>
  <c r="Z204" i="183"/>
  <c r="BV102" i="183"/>
  <c r="CH102" i="183"/>
  <c r="BD102" i="183"/>
  <c r="CT102" i="183"/>
  <c r="Z102" i="183"/>
  <c r="BP102" i="183"/>
  <c r="FB102" i="183"/>
  <c r="AL102" i="183"/>
  <c r="CB102" i="183"/>
  <c r="AX102" i="183"/>
  <c r="CN102" i="183"/>
  <c r="BJ102" i="183"/>
  <c r="AR102" i="183"/>
  <c r="AF102" i="183"/>
  <c r="GF102" i="183"/>
  <c r="DX102" i="183"/>
  <c r="BT196" i="183"/>
  <c r="GD196" i="183"/>
  <c r="AP196" i="183"/>
  <c r="CF196" i="183"/>
  <c r="BB196" i="183"/>
  <c r="CL196" i="183"/>
  <c r="BH196" i="183"/>
  <c r="BN196" i="183"/>
  <c r="AJ196" i="183"/>
  <c r="BZ196" i="183"/>
  <c r="AV196" i="183"/>
  <c r="DV196" i="183"/>
  <c r="AD196" i="183"/>
  <c r="X196" i="183"/>
  <c r="EZ196" i="183"/>
  <c r="CR196" i="183"/>
  <c r="CE168" i="183"/>
  <c r="BA168" i="183"/>
  <c r="CQ168" i="183"/>
  <c r="W168" i="183"/>
  <c r="BY168" i="183"/>
  <c r="BG168" i="183"/>
  <c r="DU168" i="183"/>
  <c r="AC168" i="183"/>
  <c r="BS168" i="183"/>
  <c r="AU168" i="183"/>
  <c r="GC168" i="183"/>
  <c r="AO168" i="183"/>
  <c r="CK168" i="183"/>
  <c r="EY168" i="183"/>
  <c r="AI168" i="183"/>
  <c r="BM168" i="183"/>
  <c r="CG166" i="183"/>
  <c r="BC166" i="183"/>
  <c r="CS166" i="183"/>
  <c r="Y166" i="183"/>
  <c r="CA166" i="183"/>
  <c r="BI166" i="183"/>
  <c r="DW166" i="183"/>
  <c r="AE166" i="183"/>
  <c r="BU166" i="183"/>
  <c r="AK166" i="183"/>
  <c r="GE166" i="183"/>
  <c r="CM166" i="183"/>
  <c r="AQ166" i="183"/>
  <c r="BO166" i="183"/>
  <c r="AW166" i="183"/>
  <c r="FA166" i="183"/>
  <c r="BO205" i="183"/>
  <c r="GE205" i="183"/>
  <c r="CG205" i="183"/>
  <c r="BC205" i="183"/>
  <c r="CM205" i="183"/>
  <c r="BU205" i="183"/>
  <c r="DW205" i="183"/>
  <c r="CA205" i="183"/>
  <c r="BI205" i="183"/>
  <c r="AQ205" i="183"/>
  <c r="CS205" i="183"/>
  <c r="AK205" i="183"/>
  <c r="FA205" i="183"/>
  <c r="AE205" i="183"/>
  <c r="AW205" i="183"/>
  <c r="Y205" i="183"/>
  <c r="AV192" i="183"/>
  <c r="CL192" i="183"/>
  <c r="BH192" i="183"/>
  <c r="BN192" i="183"/>
  <c r="AD192" i="183"/>
  <c r="BZ192" i="183"/>
  <c r="AJ192" i="183"/>
  <c r="CR192" i="183"/>
  <c r="BT192" i="183"/>
  <c r="BB192" i="183"/>
  <c r="AP192" i="183"/>
  <c r="DV192" i="183"/>
  <c r="X192" i="183"/>
  <c r="GD192" i="183"/>
  <c r="EZ192" i="183"/>
  <c r="CF192" i="183"/>
  <c r="GF176" i="183"/>
  <c r="CH176" i="183"/>
  <c r="BD176" i="183"/>
  <c r="AR176" i="183"/>
  <c r="FB176" i="183"/>
  <c r="CN176" i="183"/>
  <c r="BV176" i="183"/>
  <c r="Z176" i="183"/>
  <c r="AX176" i="183"/>
  <c r="DX176" i="183"/>
  <c r="CT176" i="183"/>
  <c r="CB176" i="183"/>
  <c r="BP176" i="183"/>
  <c r="AF176" i="183"/>
  <c r="BJ176" i="183"/>
  <c r="AL176" i="183"/>
  <c r="DX124" i="183"/>
  <c r="AF124" i="183"/>
  <c r="BV124" i="183"/>
  <c r="GF124" i="183"/>
  <c r="AR124" i="183"/>
  <c r="CB124" i="183"/>
  <c r="AX124" i="183"/>
  <c r="CN124" i="183"/>
  <c r="BJ124" i="183"/>
  <c r="FB124" i="183"/>
  <c r="AL124" i="183"/>
  <c r="CT124" i="183"/>
  <c r="BP124" i="183"/>
  <c r="Z124" i="183"/>
  <c r="BD124" i="183"/>
  <c r="CH124" i="183"/>
  <c r="BN65" i="183"/>
  <c r="EZ65" i="183"/>
  <c r="AJ65" i="183"/>
  <c r="BZ65" i="183"/>
  <c r="AV65" i="183"/>
  <c r="CL65" i="183"/>
  <c r="BH65" i="183"/>
  <c r="DV65" i="183"/>
  <c r="AD65" i="183"/>
  <c r="BT65" i="183"/>
  <c r="GD65" i="183"/>
  <c r="AP65" i="183"/>
  <c r="CF65" i="183"/>
  <c r="BB65" i="183"/>
  <c r="CR65" i="183"/>
  <c r="X65" i="183"/>
  <c r="AX66" i="183"/>
  <c r="CN66" i="183"/>
  <c r="BJ66" i="183"/>
  <c r="DX66" i="183"/>
  <c r="AF66" i="183"/>
  <c r="BV66" i="183"/>
  <c r="GF66" i="183"/>
  <c r="AR66" i="183"/>
  <c r="CH66" i="183"/>
  <c r="BD66" i="183"/>
  <c r="CT66" i="183"/>
  <c r="Z66" i="183"/>
  <c r="BP66" i="183"/>
  <c r="FB66" i="183"/>
  <c r="AL66" i="183"/>
  <c r="CB66" i="183"/>
  <c r="BZ67" i="183"/>
  <c r="AV67" i="183"/>
  <c r="CL67" i="183"/>
  <c r="BH67" i="183"/>
  <c r="DV67" i="183"/>
  <c r="AD67" i="183"/>
  <c r="BT67" i="183"/>
  <c r="GD67" i="183"/>
  <c r="AP67" i="183"/>
  <c r="CF67" i="183"/>
  <c r="BB67" i="183"/>
  <c r="CR67" i="183"/>
  <c r="X67" i="183"/>
  <c r="BN67" i="183"/>
  <c r="EZ67" i="183"/>
  <c r="AJ67" i="183"/>
  <c r="GD61" i="183"/>
  <c r="AP61" i="183"/>
  <c r="CF61" i="183"/>
  <c r="BB61" i="183"/>
  <c r="CR61" i="183"/>
  <c r="X61" i="183"/>
  <c r="BN61" i="183"/>
  <c r="EZ61" i="183"/>
  <c r="AJ61" i="183"/>
  <c r="BZ61" i="183"/>
  <c r="AV61" i="183"/>
  <c r="CL61" i="183"/>
  <c r="BH61" i="183"/>
  <c r="DV61" i="183"/>
  <c r="AD61" i="183"/>
  <c r="BT61" i="183"/>
  <c r="CR50" i="183"/>
  <c r="X50" i="183"/>
  <c r="BN50" i="183"/>
  <c r="EZ50" i="183"/>
  <c r="AJ50" i="183"/>
  <c r="BZ50" i="183"/>
  <c r="AV50" i="183"/>
  <c r="CL50" i="183"/>
  <c r="BH50" i="183"/>
  <c r="DV50" i="183"/>
  <c r="AD50" i="183"/>
  <c r="BT50" i="183"/>
  <c r="GD50" i="183"/>
  <c r="AP50" i="183"/>
  <c r="CF50" i="183"/>
  <c r="BB50" i="183"/>
  <c r="CH213" i="183"/>
  <c r="CT213" i="183"/>
  <c r="Z213" i="183"/>
  <c r="CN213" i="183"/>
  <c r="BV213" i="183"/>
  <c r="GF213" i="183"/>
  <c r="AR213" i="183"/>
  <c r="AX213" i="183"/>
  <c r="BD213" i="183"/>
  <c r="CB213" i="183"/>
  <c r="AF213" i="183"/>
  <c r="AL213" i="183"/>
  <c r="FB213" i="183"/>
  <c r="BJ213" i="183"/>
  <c r="DX213" i="183"/>
  <c r="BP213" i="183"/>
  <c r="BB198" i="183"/>
  <c r="CR198" i="183"/>
  <c r="DV198" i="183"/>
  <c r="AD198" i="183"/>
  <c r="BT198" i="183"/>
  <c r="GD198" i="183"/>
  <c r="AP198" i="183"/>
  <c r="CL198" i="183"/>
  <c r="EZ198" i="183"/>
  <c r="CF198" i="183"/>
  <c r="AV198" i="183"/>
  <c r="X198" i="183"/>
  <c r="BN198" i="183"/>
  <c r="BH198" i="183"/>
  <c r="BZ198" i="183"/>
  <c r="AJ198" i="183"/>
  <c r="AW112" i="183"/>
  <c r="CG112" i="183"/>
  <c r="BC112" i="183"/>
  <c r="GE112" i="183"/>
  <c r="AK112" i="183"/>
  <c r="CS112" i="183"/>
  <c r="BO112" i="183"/>
  <c r="AQ112" i="183"/>
  <c r="AE112" i="183"/>
  <c r="FA112" i="183"/>
  <c r="DW112" i="183"/>
  <c r="BI112" i="183"/>
  <c r="CM112" i="183"/>
  <c r="Y112" i="183"/>
  <c r="CA112" i="183"/>
  <c r="BU112" i="183"/>
  <c r="DV195" i="183"/>
  <c r="AD195" i="183"/>
  <c r="BT195" i="183"/>
  <c r="GD195" i="183"/>
  <c r="AP195" i="183"/>
  <c r="CF195" i="183"/>
  <c r="AV195" i="183"/>
  <c r="CL195" i="183"/>
  <c r="BB195" i="183"/>
  <c r="X195" i="183"/>
  <c r="BN195" i="183"/>
  <c r="AJ195" i="183"/>
  <c r="CR195" i="183"/>
  <c r="EZ195" i="183"/>
  <c r="BZ195" i="183"/>
  <c r="BH195" i="183"/>
  <c r="CE105" i="183"/>
  <c r="GC105" i="183"/>
  <c r="CQ105" i="183"/>
  <c r="AU105" i="183"/>
  <c r="BG105" i="183"/>
  <c r="AC105" i="183"/>
  <c r="EY105" i="183"/>
  <c r="CK105" i="183"/>
  <c r="AO105" i="183"/>
  <c r="BS105" i="183"/>
  <c r="W105" i="183"/>
  <c r="BA105" i="183"/>
  <c r="DU105" i="183"/>
  <c r="BM105" i="183"/>
  <c r="AI105" i="183"/>
  <c r="BY105" i="183"/>
  <c r="GE189" i="183"/>
  <c r="AQ189" i="183"/>
  <c r="CG189" i="183"/>
  <c r="BC189" i="183"/>
  <c r="BI189" i="183"/>
  <c r="DW189" i="183"/>
  <c r="AE189" i="183"/>
  <c r="CA189" i="183"/>
  <c r="Y189" i="183"/>
  <c r="CM189" i="183"/>
  <c r="AK189" i="183"/>
  <c r="FA189" i="183"/>
  <c r="BU189" i="183"/>
  <c r="BO189" i="183"/>
  <c r="AW189" i="183"/>
  <c r="CS189" i="183"/>
  <c r="BZ99" i="183"/>
  <c r="CL99" i="183"/>
  <c r="BH99" i="183"/>
  <c r="DV99" i="183"/>
  <c r="AD99" i="183"/>
  <c r="BT99" i="183"/>
  <c r="GD99" i="183"/>
  <c r="AP99" i="183"/>
  <c r="CF99" i="183"/>
  <c r="BB99" i="183"/>
  <c r="CR99" i="183"/>
  <c r="X99" i="183"/>
  <c r="BN99" i="183"/>
  <c r="AJ99" i="183"/>
  <c r="EZ99" i="183"/>
  <c r="AV99" i="183"/>
  <c r="AW180" i="183"/>
  <c r="CM180" i="183"/>
  <c r="BI180" i="183"/>
  <c r="CS180" i="183"/>
  <c r="Y180" i="183"/>
  <c r="BO180" i="183"/>
  <c r="FA180" i="183"/>
  <c r="AK180" i="183"/>
  <c r="CA180" i="183"/>
  <c r="BC180" i="183"/>
  <c r="CG180" i="183"/>
  <c r="AQ180" i="183"/>
  <c r="GE180" i="183"/>
  <c r="AE180" i="183"/>
  <c r="DW180" i="183"/>
  <c r="BU180" i="183"/>
  <c r="DW82" i="183"/>
  <c r="AE82" i="183"/>
  <c r="BU82" i="183"/>
  <c r="GE82" i="183"/>
  <c r="AQ82" i="183"/>
  <c r="CG82" i="183"/>
  <c r="BC82" i="183"/>
  <c r="CS82" i="183"/>
  <c r="Y82" i="183"/>
  <c r="BO82" i="183"/>
  <c r="FA82" i="183"/>
  <c r="AK82" i="183"/>
  <c r="CA82" i="183"/>
  <c r="AW82" i="183"/>
  <c r="CM82" i="183"/>
  <c r="BI82" i="183"/>
  <c r="BU164" i="183"/>
  <c r="GE164" i="183"/>
  <c r="AQ164" i="183"/>
  <c r="CG164" i="183"/>
  <c r="BO164" i="183"/>
  <c r="AW164" i="183"/>
  <c r="CM164" i="183"/>
  <c r="BI164" i="183"/>
  <c r="AE164" i="183"/>
  <c r="BC164" i="183"/>
  <c r="CS164" i="183"/>
  <c r="DW164" i="183"/>
  <c r="Y164" i="183"/>
  <c r="CA164" i="183"/>
  <c r="AK164" i="183"/>
  <c r="FA164" i="183"/>
  <c r="DX69" i="183"/>
  <c r="AF69" i="183"/>
  <c r="BV69" i="183"/>
  <c r="GF69" i="183"/>
  <c r="AR69" i="183"/>
  <c r="CH69" i="183"/>
  <c r="BD69" i="183"/>
  <c r="CT69" i="183"/>
  <c r="Z69" i="183"/>
  <c r="BP69" i="183"/>
  <c r="FB69" i="183"/>
  <c r="AL69" i="183"/>
  <c r="CB69" i="183"/>
  <c r="AX69" i="183"/>
  <c r="CN69" i="183"/>
  <c r="BJ69" i="183"/>
  <c r="AU151" i="183"/>
  <c r="CK151" i="183"/>
  <c r="BG151" i="183"/>
  <c r="CQ151" i="183"/>
  <c r="W151" i="183"/>
  <c r="BM151" i="183"/>
  <c r="EY151" i="183"/>
  <c r="AI151" i="183"/>
  <c r="GC151" i="183"/>
  <c r="CE151" i="183"/>
  <c r="BA151" i="183"/>
  <c r="DU151" i="183"/>
  <c r="BS151" i="183"/>
  <c r="AO151" i="183"/>
  <c r="BY151" i="183"/>
  <c r="AC151" i="183"/>
  <c r="BT58" i="183"/>
  <c r="GD58" i="183"/>
  <c r="AP58" i="183"/>
  <c r="CF58" i="183"/>
  <c r="BB58" i="183"/>
  <c r="CR58" i="183"/>
  <c r="X58" i="183"/>
  <c r="BN58" i="183"/>
  <c r="EZ58" i="183"/>
  <c r="AJ58" i="183"/>
  <c r="BZ58" i="183"/>
  <c r="AV58" i="183"/>
  <c r="CL58" i="183"/>
  <c r="BH58" i="183"/>
  <c r="DV58" i="183"/>
  <c r="AD58" i="183"/>
  <c r="CL138" i="183"/>
  <c r="BH138" i="183"/>
  <c r="DV138" i="183"/>
  <c r="AD138" i="183"/>
  <c r="BN138" i="183"/>
  <c r="EZ138" i="183"/>
  <c r="AJ138" i="183"/>
  <c r="BZ138" i="183"/>
  <c r="BB138" i="183"/>
  <c r="X138" i="183"/>
  <c r="AV138" i="183"/>
  <c r="GD138" i="183"/>
  <c r="AP138" i="183"/>
  <c r="CR138" i="183"/>
  <c r="CF138" i="183"/>
  <c r="BT138" i="183"/>
  <c r="CH46" i="183"/>
  <c r="BD46" i="183"/>
  <c r="CT46" i="183"/>
  <c r="Z46" i="183"/>
  <c r="BP46" i="183"/>
  <c r="FB46" i="183"/>
  <c r="AL46" i="183"/>
  <c r="CB46" i="183"/>
  <c r="AX46" i="183"/>
  <c r="CN46" i="183"/>
  <c r="BJ46" i="183"/>
  <c r="DX46" i="183"/>
  <c r="AF46" i="183"/>
  <c r="BV46" i="183"/>
  <c r="GF46" i="183"/>
  <c r="AR46" i="183"/>
  <c r="BG84" i="183"/>
  <c r="DU84" i="183"/>
  <c r="AC84" i="183"/>
  <c r="BS84" i="183"/>
  <c r="GC84" i="183"/>
  <c r="AO84" i="183"/>
  <c r="CE84" i="183"/>
  <c r="BA84" i="183"/>
  <c r="CQ84" i="183"/>
  <c r="W84" i="183"/>
  <c r="EY84" i="183"/>
  <c r="AI84" i="183"/>
  <c r="AU84" i="183"/>
  <c r="CK84" i="183"/>
  <c r="BY84" i="183"/>
  <c r="BM84" i="183"/>
  <c r="AU124" i="183"/>
  <c r="CK124" i="183"/>
  <c r="BG124" i="183"/>
  <c r="CQ124" i="183"/>
  <c r="W124" i="183"/>
  <c r="BM124" i="183"/>
  <c r="EY124" i="183"/>
  <c r="AI124" i="183"/>
  <c r="DU124" i="183"/>
  <c r="BY124" i="183"/>
  <c r="AC124" i="183"/>
  <c r="BA124" i="183"/>
  <c r="CE124" i="183"/>
  <c r="GC124" i="183"/>
  <c r="BS124" i="183"/>
  <c r="AO124" i="183"/>
  <c r="CH165" i="183"/>
  <c r="BD165" i="183"/>
  <c r="CT165" i="183"/>
  <c r="Z165" i="183"/>
  <c r="CB165" i="183"/>
  <c r="BJ165" i="183"/>
  <c r="DX165" i="183"/>
  <c r="AF165" i="183"/>
  <c r="BV165" i="183"/>
  <c r="AR165" i="183"/>
  <c r="FB165" i="183"/>
  <c r="AL165" i="183"/>
  <c r="CN165" i="183"/>
  <c r="AX165" i="183"/>
  <c r="GF165" i="183"/>
  <c r="BP165" i="183"/>
  <c r="AW208" i="183"/>
  <c r="CS208" i="183"/>
  <c r="Y208" i="183"/>
  <c r="BO208" i="183"/>
  <c r="FA208" i="183"/>
  <c r="AK208" i="183"/>
  <c r="CM208" i="183"/>
  <c r="BU208" i="183"/>
  <c r="BC208" i="183"/>
  <c r="AE208" i="183"/>
  <c r="CA208" i="183"/>
  <c r="DW208" i="183"/>
  <c r="BI208" i="183"/>
  <c r="GE208" i="183"/>
  <c r="CG208" i="183"/>
  <c r="AQ208" i="183"/>
  <c r="BN77" i="183"/>
  <c r="EZ77" i="183"/>
  <c r="AJ77" i="183"/>
  <c r="BZ77" i="183"/>
  <c r="AV77" i="183"/>
  <c r="CL77" i="183"/>
  <c r="BH77" i="183"/>
  <c r="DV77" i="183"/>
  <c r="AD77" i="183"/>
  <c r="BT77" i="183"/>
  <c r="GD77" i="183"/>
  <c r="AP77" i="183"/>
  <c r="CF77" i="183"/>
  <c r="BB77" i="183"/>
  <c r="CR77" i="183"/>
  <c r="X77" i="183"/>
  <c r="BS118" i="183"/>
  <c r="GC118" i="183"/>
  <c r="AO118" i="183"/>
  <c r="CE118" i="183"/>
  <c r="AU118" i="183"/>
  <c r="CK118" i="183"/>
  <c r="BG118" i="183"/>
  <c r="AI118" i="183"/>
  <c r="EY118" i="183"/>
  <c r="CQ118" i="183"/>
  <c r="W118" i="183"/>
  <c r="BM118" i="183"/>
  <c r="BA118" i="183"/>
  <c r="AC118" i="183"/>
  <c r="DU118" i="183"/>
  <c r="BY118" i="183"/>
  <c r="EZ159" i="183"/>
  <c r="AJ159" i="183"/>
  <c r="BZ159" i="183"/>
  <c r="AV159" i="183"/>
  <c r="CF159" i="183"/>
  <c r="BB159" i="183"/>
  <c r="CR159" i="183"/>
  <c r="X159" i="183"/>
  <c r="CL159" i="183"/>
  <c r="BN159" i="183"/>
  <c r="DV159" i="183"/>
  <c r="BH159" i="183"/>
  <c r="AD159" i="183"/>
  <c r="GD159" i="183"/>
  <c r="AP159" i="183"/>
  <c r="BT159" i="183"/>
  <c r="BN200" i="183"/>
  <c r="EZ200" i="183"/>
  <c r="AJ200" i="183"/>
  <c r="BZ200" i="183"/>
  <c r="GD200" i="183"/>
  <c r="AP200" i="183"/>
  <c r="CF200" i="183"/>
  <c r="BB200" i="183"/>
  <c r="DV200" i="183"/>
  <c r="BT200" i="183"/>
  <c r="AD200" i="183"/>
  <c r="X200" i="183"/>
  <c r="CL200" i="183"/>
  <c r="BH200" i="183"/>
  <c r="AV200" i="183"/>
  <c r="CR200" i="183"/>
  <c r="GF71" i="183"/>
  <c r="AR71" i="183"/>
  <c r="CH71" i="183"/>
  <c r="BD71" i="183"/>
  <c r="CT71" i="183"/>
  <c r="Z71" i="183"/>
  <c r="BP71" i="183"/>
  <c r="FB71" i="183"/>
  <c r="AL71" i="183"/>
  <c r="CB71" i="183"/>
  <c r="AX71" i="183"/>
  <c r="CN71" i="183"/>
  <c r="BJ71" i="183"/>
  <c r="DX71" i="183"/>
  <c r="AF71" i="183"/>
  <c r="BV71" i="183"/>
  <c r="AX111" i="183"/>
  <c r="FB111" i="183"/>
  <c r="CB111" i="183"/>
  <c r="BJ111" i="183"/>
  <c r="AF111" i="183"/>
  <c r="CN111" i="183"/>
  <c r="GF111" i="183"/>
  <c r="CH111" i="183"/>
  <c r="AL111" i="183"/>
  <c r="CT111" i="183"/>
  <c r="Z111" i="183"/>
  <c r="AR111" i="183"/>
  <c r="BD111" i="183"/>
  <c r="BV111" i="183"/>
  <c r="DX111" i="183"/>
  <c r="BP111" i="183"/>
  <c r="BV152" i="183"/>
  <c r="GF152" i="183"/>
  <c r="AR152" i="183"/>
  <c r="CH152" i="183"/>
  <c r="AX152" i="183"/>
  <c r="CN152" i="183"/>
  <c r="BJ152" i="183"/>
  <c r="AF152" i="183"/>
  <c r="BD152" i="183"/>
  <c r="CT152" i="183"/>
  <c r="BP152" i="183"/>
  <c r="FB152" i="183"/>
  <c r="CB152" i="183"/>
  <c r="DX152" i="183"/>
  <c r="AL152" i="183"/>
  <c r="Z152" i="183"/>
  <c r="BV194" i="183"/>
  <c r="GF194" i="183"/>
  <c r="AR194" i="183"/>
  <c r="CH194" i="183"/>
  <c r="BD194" i="183"/>
  <c r="CN194" i="183"/>
  <c r="BJ194" i="183"/>
  <c r="CT194" i="183"/>
  <c r="BP194" i="183"/>
  <c r="AL194" i="183"/>
  <c r="FB194" i="183"/>
  <c r="CB194" i="183"/>
  <c r="AX194" i="183"/>
  <c r="AF194" i="183"/>
  <c r="DX194" i="183"/>
  <c r="Z194" i="183"/>
  <c r="CT62" i="183"/>
  <c r="Z62" i="183"/>
  <c r="BP62" i="183"/>
  <c r="FB62" i="183"/>
  <c r="AL62" i="183"/>
  <c r="CB62" i="183"/>
  <c r="AX62" i="183"/>
  <c r="CN62" i="183"/>
  <c r="BJ62" i="183"/>
  <c r="DX62" i="183"/>
  <c r="AF62" i="183"/>
  <c r="BV62" i="183"/>
  <c r="GF62" i="183"/>
  <c r="AR62" i="183"/>
  <c r="CH62" i="183"/>
  <c r="BD62" i="183"/>
  <c r="BI101" i="183"/>
  <c r="BU101" i="183"/>
  <c r="GE101" i="183"/>
  <c r="AQ101" i="183"/>
  <c r="CG101" i="183"/>
  <c r="BC101" i="183"/>
  <c r="CS101" i="183"/>
  <c r="Y101" i="183"/>
  <c r="BO101" i="183"/>
  <c r="FA101" i="183"/>
  <c r="AK101" i="183"/>
  <c r="CA101" i="183"/>
  <c r="AW101" i="183"/>
  <c r="AE101" i="183"/>
  <c r="CM101" i="183"/>
  <c r="DW101" i="183"/>
  <c r="BP143" i="183"/>
  <c r="FB143" i="183"/>
  <c r="AL143" i="183"/>
  <c r="CB143" i="183"/>
  <c r="GF143" i="183"/>
  <c r="AR143" i="183"/>
  <c r="CH143" i="183"/>
  <c r="BD143" i="183"/>
  <c r="DX143" i="183"/>
  <c r="AF143" i="183"/>
  <c r="Z143" i="183"/>
  <c r="CT143" i="183"/>
  <c r="CN143" i="183"/>
  <c r="BJ143" i="183"/>
  <c r="AX143" i="183"/>
  <c r="BV143" i="183"/>
  <c r="CK186" i="183"/>
  <c r="BG186" i="183"/>
  <c r="BM186" i="183"/>
  <c r="EY186" i="183"/>
  <c r="AI186" i="183"/>
  <c r="BY186" i="183"/>
  <c r="BA186" i="183"/>
  <c r="CE186" i="183"/>
  <c r="AO186" i="183"/>
  <c r="DU186" i="183"/>
  <c r="W186" i="183"/>
  <c r="GC186" i="183"/>
  <c r="AC186" i="183"/>
  <c r="AU186" i="183"/>
  <c r="CQ186" i="183"/>
  <c r="BS186" i="183"/>
  <c r="AU55" i="183"/>
  <c r="CK55" i="183"/>
  <c r="BG55" i="183"/>
  <c r="DU55" i="183"/>
  <c r="AC55" i="183"/>
  <c r="BS55" i="183"/>
  <c r="GC55" i="183"/>
  <c r="AO55" i="183"/>
  <c r="CE55" i="183"/>
  <c r="BA55" i="183"/>
  <c r="CQ55" i="183"/>
  <c r="W55" i="183"/>
  <c r="BM55" i="183"/>
  <c r="EY55" i="183"/>
  <c r="AI55" i="183"/>
  <c r="BY55" i="183"/>
  <c r="FB93" i="183"/>
  <c r="AL93" i="183"/>
  <c r="AX93" i="183"/>
  <c r="CN93" i="183"/>
  <c r="BJ93" i="183"/>
  <c r="DX93" i="183"/>
  <c r="AF93" i="183"/>
  <c r="BV93" i="183"/>
  <c r="GF93" i="183"/>
  <c r="AR93" i="183"/>
  <c r="CH93" i="183"/>
  <c r="CT93" i="183"/>
  <c r="Z93" i="183"/>
  <c r="BP93" i="183"/>
  <c r="CB93" i="183"/>
  <c r="BD93" i="183"/>
  <c r="AV134" i="183"/>
  <c r="CL134" i="183"/>
  <c r="BH134" i="183"/>
  <c r="CR134" i="183"/>
  <c r="X134" i="183"/>
  <c r="BN134" i="183"/>
  <c r="EZ134" i="183"/>
  <c r="AJ134" i="183"/>
  <c r="DV134" i="183"/>
  <c r="AD134" i="183"/>
  <c r="BZ134" i="183"/>
  <c r="BB134" i="183"/>
  <c r="CF134" i="183"/>
  <c r="AP134" i="183"/>
  <c r="BT134" i="183"/>
  <c r="GD134" i="183"/>
  <c r="CM174" i="183"/>
  <c r="BI174" i="183"/>
  <c r="DW174" i="183"/>
  <c r="AE174" i="183"/>
  <c r="GE174" i="183"/>
  <c r="AQ174" i="183"/>
  <c r="BO174" i="183"/>
  <c r="FA174" i="183"/>
  <c r="AK174" i="183"/>
  <c r="CA174" i="183"/>
  <c r="CS174" i="183"/>
  <c r="CG174" i="183"/>
  <c r="Y174" i="183"/>
  <c r="BU174" i="183"/>
  <c r="AW174" i="183"/>
  <c r="BC174" i="183"/>
  <c r="GE46" i="183"/>
  <c r="AQ46" i="183"/>
  <c r="CG46" i="183"/>
  <c r="BC46" i="183"/>
  <c r="CS46" i="183"/>
  <c r="Y46" i="183"/>
  <c r="BO46" i="183"/>
  <c r="FA46" i="183"/>
  <c r="AK46" i="183"/>
  <c r="CA46" i="183"/>
  <c r="AW46" i="183"/>
  <c r="CM46" i="183"/>
  <c r="BI46" i="183"/>
  <c r="DW46" i="183"/>
  <c r="AE46" i="183"/>
  <c r="BU46" i="183"/>
  <c r="GF83" i="183"/>
  <c r="CH83" i="183"/>
  <c r="CT83" i="183"/>
  <c r="FB83" i="183"/>
  <c r="AR83" i="183"/>
  <c r="CN83" i="183"/>
  <c r="BD83" i="183"/>
  <c r="Z83" i="183"/>
  <c r="BP83" i="183"/>
  <c r="AL83" i="183"/>
  <c r="CB83" i="183"/>
  <c r="DX83" i="183"/>
  <c r="AX83" i="183"/>
  <c r="BJ83" i="183"/>
  <c r="AF83" i="183"/>
  <c r="BV83" i="183"/>
  <c r="BJ123" i="183"/>
  <c r="DX123" i="183"/>
  <c r="AF123" i="183"/>
  <c r="BV123" i="183"/>
  <c r="FB123" i="183"/>
  <c r="AL123" i="183"/>
  <c r="CB123" i="183"/>
  <c r="AX123" i="183"/>
  <c r="Z123" i="183"/>
  <c r="CN123" i="183"/>
  <c r="GF123" i="183"/>
  <c r="CH123" i="183"/>
  <c r="CT123" i="183"/>
  <c r="BD123" i="183"/>
  <c r="AR123" i="183"/>
  <c r="BP123" i="183"/>
  <c r="GE165" i="183"/>
  <c r="AQ165" i="183"/>
  <c r="CG165" i="183"/>
  <c r="BC165" i="183"/>
  <c r="FA165" i="183"/>
  <c r="AK165" i="183"/>
  <c r="CM165" i="183"/>
  <c r="BI165" i="183"/>
  <c r="DW165" i="183"/>
  <c r="AE165" i="183"/>
  <c r="CA165" i="183"/>
  <c r="BU165" i="183"/>
  <c r="AW165" i="183"/>
  <c r="BO165" i="183"/>
  <c r="CS165" i="183"/>
  <c r="Y165" i="183"/>
  <c r="EY208" i="183"/>
  <c r="AI208" i="183"/>
  <c r="CE208" i="183"/>
  <c r="BA208" i="183"/>
  <c r="CQ208" i="183"/>
  <c r="W208" i="183"/>
  <c r="GC208" i="183"/>
  <c r="CK208" i="183"/>
  <c r="BS208" i="183"/>
  <c r="BY208" i="183"/>
  <c r="BG208" i="183"/>
  <c r="AO208" i="183"/>
  <c r="AU208" i="183"/>
  <c r="AC208" i="183"/>
  <c r="DU208" i="183"/>
  <c r="BM208" i="183"/>
  <c r="BA64" i="183"/>
  <c r="CQ64" i="183"/>
  <c r="W64" i="183"/>
  <c r="BM64" i="183"/>
  <c r="EY64" i="183"/>
  <c r="AI64" i="183"/>
  <c r="BY64" i="183"/>
  <c r="AU64" i="183"/>
  <c r="CK64" i="183"/>
  <c r="BG64" i="183"/>
  <c r="DU64" i="183"/>
  <c r="AC64" i="183"/>
  <c r="BS64" i="183"/>
  <c r="GC64" i="183"/>
  <c r="AO64" i="183"/>
  <c r="CE64" i="183"/>
  <c r="BJ113" i="183"/>
  <c r="CN113" i="183"/>
  <c r="BV113" i="183"/>
  <c r="AR113" i="183"/>
  <c r="DX113" i="183"/>
  <c r="BD113" i="183"/>
  <c r="Z113" i="183"/>
  <c r="AX113" i="183"/>
  <c r="CB113" i="183"/>
  <c r="BP113" i="183"/>
  <c r="GF113" i="183"/>
  <c r="CH113" i="183"/>
  <c r="AL113" i="183"/>
  <c r="FB113" i="183"/>
  <c r="AF113" i="183"/>
  <c r="CT113" i="183"/>
  <c r="CT60" i="183"/>
  <c r="FB60" i="183"/>
  <c r="GF60" i="183"/>
  <c r="Z60" i="183"/>
  <c r="BP60" i="183"/>
  <c r="AL60" i="183"/>
  <c r="CB60" i="183"/>
  <c r="AX60" i="183"/>
  <c r="CN60" i="183"/>
  <c r="BJ60" i="183"/>
  <c r="AF60" i="183"/>
  <c r="BV60" i="183"/>
  <c r="AR60" i="183"/>
  <c r="DX60" i="183"/>
  <c r="CH60" i="183"/>
  <c r="BD60" i="183"/>
  <c r="GD59" i="183"/>
  <c r="AP59" i="183"/>
  <c r="CF59" i="183"/>
  <c r="BB59" i="183"/>
  <c r="CR59" i="183"/>
  <c r="X59" i="183"/>
  <c r="BN59" i="183"/>
  <c r="EZ59" i="183"/>
  <c r="AJ59" i="183"/>
  <c r="BZ59" i="183"/>
  <c r="AV59" i="183"/>
  <c r="CL59" i="183"/>
  <c r="BH59" i="183"/>
  <c r="DV59" i="183"/>
  <c r="AD59" i="183"/>
  <c r="BT59" i="183"/>
  <c r="BH56" i="183"/>
  <c r="DV56" i="183"/>
  <c r="AD56" i="183"/>
  <c r="BT56" i="183"/>
  <c r="GD56" i="183"/>
  <c r="AP56" i="183"/>
  <c r="CF56" i="183"/>
  <c r="BB56" i="183"/>
  <c r="CR56" i="183"/>
  <c r="X56" i="183"/>
  <c r="BN56" i="183"/>
  <c r="EZ56" i="183"/>
  <c r="AJ56" i="183"/>
  <c r="BZ56" i="183"/>
  <c r="AV56" i="183"/>
  <c r="CL56" i="183"/>
  <c r="DV57" i="183"/>
  <c r="AD57" i="183"/>
  <c r="BT57" i="183"/>
  <c r="GD57" i="183"/>
  <c r="AP57" i="183"/>
  <c r="CF57" i="183"/>
  <c r="BB57" i="183"/>
  <c r="CR57" i="183"/>
  <c r="X57" i="183"/>
  <c r="BN57" i="183"/>
  <c r="EZ57" i="183"/>
  <c r="AJ57" i="183"/>
  <c r="BZ57" i="183"/>
  <c r="AV57" i="183"/>
  <c r="CL57" i="183"/>
  <c r="BH57" i="183"/>
  <c r="BN206" i="183"/>
  <c r="GD206" i="183"/>
  <c r="AP206" i="183"/>
  <c r="CF206" i="183"/>
  <c r="BB206" i="183"/>
  <c r="DV206" i="183"/>
  <c r="BZ206" i="183"/>
  <c r="CR206" i="183"/>
  <c r="AV206" i="183"/>
  <c r="CL206" i="183"/>
  <c r="BT206" i="183"/>
  <c r="X206" i="183"/>
  <c r="EZ206" i="183"/>
  <c r="AJ206" i="183"/>
  <c r="BH206" i="183"/>
  <c r="AD206" i="183"/>
  <c r="DW152" i="183"/>
  <c r="AE152" i="183"/>
  <c r="BU152" i="183"/>
  <c r="GE152" i="183"/>
  <c r="AQ152" i="183"/>
  <c r="CA152" i="183"/>
  <c r="AW152" i="183"/>
  <c r="CM152" i="183"/>
  <c r="AK152" i="183"/>
  <c r="BI152" i="183"/>
  <c r="CG152" i="183"/>
  <c r="CS152" i="183"/>
  <c r="FA152" i="183"/>
  <c r="BO152" i="183"/>
  <c r="Y152" i="183"/>
  <c r="BC152" i="183"/>
  <c r="FA77" i="183"/>
  <c r="AK77" i="183"/>
  <c r="CA77" i="183"/>
  <c r="AW77" i="183"/>
  <c r="CM77" i="183"/>
  <c r="BI77" i="183"/>
  <c r="DW77" i="183"/>
  <c r="AE77" i="183"/>
  <c r="BU77" i="183"/>
  <c r="GE77" i="183"/>
  <c r="AQ77" i="183"/>
  <c r="CG77" i="183"/>
  <c r="BC77" i="183"/>
  <c r="CS77" i="183"/>
  <c r="Y77" i="183"/>
  <c r="BO77" i="183"/>
  <c r="EY79" i="183"/>
  <c r="AI79" i="183"/>
  <c r="BY79" i="183"/>
  <c r="AU79" i="183"/>
  <c r="CK79" i="183"/>
  <c r="BG79" i="183"/>
  <c r="DU79" i="183"/>
  <c r="AC79" i="183"/>
  <c r="BS79" i="183"/>
  <c r="GC79" i="183"/>
  <c r="AO79" i="183"/>
  <c r="CE79" i="183"/>
  <c r="BA79" i="183"/>
  <c r="CQ79" i="183"/>
  <c r="W79" i="183"/>
  <c r="BM79" i="183"/>
  <c r="AW79" i="183"/>
  <c r="CM79" i="183"/>
  <c r="BI79" i="183"/>
  <c r="DW79" i="183"/>
  <c r="AE79" i="183"/>
  <c r="BU79" i="183"/>
  <c r="GE79" i="183"/>
  <c r="AQ79" i="183"/>
  <c r="CG79" i="183"/>
  <c r="BC79" i="183"/>
  <c r="CS79" i="183"/>
  <c r="Y79" i="183"/>
  <c r="BO79" i="183"/>
  <c r="FA79" i="183"/>
  <c r="AK79" i="183"/>
  <c r="CA79" i="183"/>
  <c r="CG73" i="183"/>
  <c r="BC73" i="183"/>
  <c r="CS73" i="183"/>
  <c r="Y73" i="183"/>
  <c r="BO73" i="183"/>
  <c r="FA73" i="183"/>
  <c r="AK73" i="183"/>
  <c r="CA73" i="183"/>
  <c r="AW73" i="183"/>
  <c r="CM73" i="183"/>
  <c r="BI73" i="183"/>
  <c r="DW73" i="183"/>
  <c r="AE73" i="183"/>
  <c r="BU73" i="183"/>
  <c r="GE73" i="183"/>
  <c r="AQ73" i="183"/>
  <c r="CF62" i="183"/>
  <c r="BB62" i="183"/>
  <c r="CR62" i="183"/>
  <c r="X62" i="183"/>
  <c r="BN62" i="183"/>
  <c r="EZ62" i="183"/>
  <c r="AJ62" i="183"/>
  <c r="BZ62" i="183"/>
  <c r="AV62" i="183"/>
  <c r="CL62" i="183"/>
  <c r="BH62" i="183"/>
  <c r="DV62" i="183"/>
  <c r="AD62" i="183"/>
  <c r="BT62" i="183"/>
  <c r="GD62" i="183"/>
  <c r="AP62" i="183"/>
  <c r="CQ51" i="183"/>
  <c r="W51" i="183"/>
  <c r="BM51" i="183"/>
  <c r="EY51" i="183"/>
  <c r="AI51" i="183"/>
  <c r="BY51" i="183"/>
  <c r="AU51" i="183"/>
  <c r="CK51" i="183"/>
  <c r="BG51" i="183"/>
  <c r="DU51" i="183"/>
  <c r="AC51" i="183"/>
  <c r="BS51" i="183"/>
  <c r="GC51" i="183"/>
  <c r="AO51" i="183"/>
  <c r="CE51" i="183"/>
  <c r="BA51" i="183"/>
  <c r="BS214" i="183"/>
  <c r="CE214" i="183"/>
  <c r="BY214" i="183"/>
  <c r="BG214" i="183"/>
  <c r="DU214" i="183"/>
  <c r="AC214" i="183"/>
  <c r="CK214" i="183"/>
  <c r="BM214" i="183"/>
  <c r="W214" i="183"/>
  <c r="EY214" i="183"/>
  <c r="AO214" i="183"/>
  <c r="CQ214" i="183"/>
  <c r="GC214" i="183"/>
  <c r="AI214" i="183"/>
  <c r="AU214" i="183"/>
  <c r="BA214" i="183"/>
  <c r="GC119" i="183"/>
  <c r="AO119" i="183"/>
  <c r="CE119" i="183"/>
  <c r="BA119" i="183"/>
  <c r="CK119" i="183"/>
  <c r="BG119" i="183"/>
  <c r="EY119" i="183"/>
  <c r="AC119" i="183"/>
  <c r="DU119" i="183"/>
  <c r="BY119" i="183"/>
  <c r="BM119" i="183"/>
  <c r="CQ119" i="183"/>
  <c r="AU119" i="183"/>
  <c r="AI119" i="183"/>
  <c r="W119" i="183"/>
  <c r="BS119" i="183"/>
  <c r="EZ201" i="183"/>
  <c r="AJ201" i="183"/>
  <c r="BZ201" i="183"/>
  <c r="AV201" i="183"/>
  <c r="CF201" i="183"/>
  <c r="BB201" i="183"/>
  <c r="CR201" i="183"/>
  <c r="X201" i="183"/>
  <c r="AD201" i="183"/>
  <c r="GD201" i="183"/>
  <c r="AP201" i="183"/>
  <c r="BN201" i="183"/>
  <c r="CL201" i="183"/>
  <c r="DV201" i="183"/>
  <c r="BH201" i="183"/>
  <c r="BT201" i="183"/>
  <c r="CN112" i="183"/>
  <c r="GF112" i="183"/>
  <c r="AL112" i="183"/>
  <c r="CT112" i="183"/>
  <c r="BP112" i="183"/>
  <c r="AR112" i="183"/>
  <c r="DX112" i="183"/>
  <c r="BV112" i="183"/>
  <c r="BJ112" i="183"/>
  <c r="FB112" i="183"/>
  <c r="CB112" i="183"/>
  <c r="BD112" i="183"/>
  <c r="AF112" i="183"/>
  <c r="Z112" i="183"/>
  <c r="CH112" i="183"/>
  <c r="AX112" i="183"/>
  <c r="BU195" i="183"/>
  <c r="GE195" i="183"/>
  <c r="AQ195" i="183"/>
  <c r="CG195" i="183"/>
  <c r="BC195" i="183"/>
  <c r="CM195" i="183"/>
  <c r="BI195" i="183"/>
  <c r="Y195" i="183"/>
  <c r="FA195" i="183"/>
  <c r="AK195" i="183"/>
  <c r="AE195" i="183"/>
  <c r="CA195" i="183"/>
  <c r="AW195" i="183"/>
  <c r="DW195" i="183"/>
  <c r="CS195" i="183"/>
  <c r="BO195" i="183"/>
  <c r="CS105" i="183"/>
  <c r="Y105" i="183"/>
  <c r="BO105" i="183"/>
  <c r="BI105" i="183"/>
  <c r="AE105" i="183"/>
  <c r="CM105" i="183"/>
  <c r="AQ105" i="183"/>
  <c r="BU105" i="183"/>
  <c r="BC105" i="183"/>
  <c r="DW105" i="183"/>
  <c r="AK105" i="183"/>
  <c r="CG105" i="183"/>
  <c r="GE105" i="183"/>
  <c r="AW105" i="183"/>
  <c r="CA105" i="183"/>
  <c r="FA105" i="183"/>
  <c r="CH189" i="183"/>
  <c r="BD189" i="183"/>
  <c r="CT189" i="183"/>
  <c r="Z189" i="183"/>
  <c r="DX189" i="183"/>
  <c r="AF189" i="183"/>
  <c r="BV189" i="183"/>
  <c r="CB189" i="183"/>
  <c r="AL189" i="183"/>
  <c r="FB189" i="183"/>
  <c r="BJ189" i="183"/>
  <c r="AR189" i="183"/>
  <c r="GF189" i="183"/>
  <c r="CN189" i="183"/>
  <c r="BP189" i="183"/>
  <c r="AX189" i="183"/>
  <c r="BD88" i="183"/>
  <c r="BP88" i="183"/>
  <c r="FB88" i="183"/>
  <c r="AL88" i="183"/>
  <c r="CB88" i="183"/>
  <c r="AX88" i="183"/>
  <c r="CN88" i="183"/>
  <c r="BJ88" i="183"/>
  <c r="DX88" i="183"/>
  <c r="AF88" i="183"/>
  <c r="GF88" i="183"/>
  <c r="AR88" i="183"/>
  <c r="CH88" i="183"/>
  <c r="BV88" i="183"/>
  <c r="Z88" i="183"/>
  <c r="CT88" i="183"/>
  <c r="FB170" i="183"/>
  <c r="AL170" i="183"/>
  <c r="CB170" i="183"/>
  <c r="AX170" i="183"/>
  <c r="CH170" i="183"/>
  <c r="BD170" i="183"/>
  <c r="CT170" i="183"/>
  <c r="Z170" i="183"/>
  <c r="BP170" i="183"/>
  <c r="BJ170" i="183"/>
  <c r="CN170" i="183"/>
  <c r="GF170" i="183"/>
  <c r="AR170" i="183"/>
  <c r="AF170" i="183"/>
  <c r="DX170" i="183"/>
  <c r="BV170" i="183"/>
  <c r="BA76" i="183"/>
  <c r="CQ76" i="183"/>
  <c r="W76" i="183"/>
  <c r="BM76" i="183"/>
  <c r="EY76" i="183"/>
  <c r="AI76" i="183"/>
  <c r="BY76" i="183"/>
  <c r="AU76" i="183"/>
  <c r="CK76" i="183"/>
  <c r="BG76" i="183"/>
  <c r="DU76" i="183"/>
  <c r="AC76" i="183"/>
  <c r="BS76" i="183"/>
  <c r="GC76" i="183"/>
  <c r="AO76" i="183"/>
  <c r="CE76" i="183"/>
  <c r="BP157" i="183"/>
  <c r="FB157" i="183"/>
  <c r="AL157" i="183"/>
  <c r="CB157" i="183"/>
  <c r="GF157" i="183"/>
  <c r="AR157" i="183"/>
  <c r="CH157" i="183"/>
  <c r="BD157" i="183"/>
  <c r="CN157" i="183"/>
  <c r="AX157" i="183"/>
  <c r="CT157" i="183"/>
  <c r="Z157" i="183"/>
  <c r="BV157" i="183"/>
  <c r="DX157" i="183"/>
  <c r="AF157" i="183"/>
  <c r="BJ157" i="183"/>
  <c r="CR64" i="183"/>
  <c r="X64" i="183"/>
  <c r="BN64" i="183"/>
  <c r="EZ64" i="183"/>
  <c r="AJ64" i="183"/>
  <c r="BZ64" i="183"/>
  <c r="AV64" i="183"/>
  <c r="CL64" i="183"/>
  <c r="BH64" i="183"/>
  <c r="DV64" i="183"/>
  <c r="AD64" i="183"/>
  <c r="BT64" i="183"/>
  <c r="GD64" i="183"/>
  <c r="AP64" i="183"/>
  <c r="CF64" i="183"/>
  <c r="BB64" i="183"/>
  <c r="FA145" i="183"/>
  <c r="AK145" i="183"/>
  <c r="CA145" i="183"/>
  <c r="AW145" i="183"/>
  <c r="CG145" i="183"/>
  <c r="BC145" i="183"/>
  <c r="CS145" i="183"/>
  <c r="Y145" i="183"/>
  <c r="GE145" i="183"/>
  <c r="CM145" i="183"/>
  <c r="BI145" i="183"/>
  <c r="AE145" i="183"/>
  <c r="DW145" i="183"/>
  <c r="AQ145" i="183"/>
  <c r="BO145" i="183"/>
  <c r="BU145" i="183"/>
  <c r="BP49" i="183"/>
  <c r="FB49" i="183"/>
  <c r="AL49" i="183"/>
  <c r="CB49" i="183"/>
  <c r="AX49" i="183"/>
  <c r="CN49" i="183"/>
  <c r="BJ49" i="183"/>
  <c r="DX49" i="183"/>
  <c r="AF49" i="183"/>
  <c r="BV49" i="183"/>
  <c r="GF49" i="183"/>
  <c r="AR49" i="183"/>
  <c r="CH49" i="183"/>
  <c r="BD49" i="183"/>
  <c r="CT49" i="183"/>
  <c r="Z49" i="183"/>
  <c r="DU87" i="183"/>
  <c r="AC87" i="183"/>
  <c r="GC87" i="183"/>
  <c r="AO87" i="183"/>
  <c r="CE87" i="183"/>
  <c r="BA87" i="183"/>
  <c r="CQ87" i="183"/>
  <c r="W87" i="183"/>
  <c r="BM87" i="183"/>
  <c r="EY87" i="183"/>
  <c r="AI87" i="183"/>
  <c r="BY87" i="183"/>
  <c r="CK87" i="183"/>
  <c r="BG87" i="183"/>
  <c r="BS87" i="183"/>
  <c r="AU87" i="183"/>
  <c r="CH127" i="183"/>
  <c r="BD127" i="183"/>
  <c r="CT127" i="183"/>
  <c r="Z127" i="183"/>
  <c r="BJ127" i="183"/>
  <c r="DX127" i="183"/>
  <c r="AF127" i="183"/>
  <c r="BV127" i="183"/>
  <c r="AX127" i="183"/>
  <c r="BP127" i="183"/>
  <c r="GF127" i="183"/>
  <c r="AR127" i="183"/>
  <c r="CB127" i="183"/>
  <c r="CN127" i="183"/>
  <c r="AL127" i="183"/>
  <c r="FB127" i="183"/>
  <c r="CE169" i="183"/>
  <c r="BA169" i="183"/>
  <c r="CQ169" i="183"/>
  <c r="DU169" i="183"/>
  <c r="AC169" i="183"/>
  <c r="BS169" i="183"/>
  <c r="GC169" i="183"/>
  <c r="BG169" i="183"/>
  <c r="AI169" i="183"/>
  <c r="EY169" i="183"/>
  <c r="AU169" i="183"/>
  <c r="BY169" i="183"/>
  <c r="BM169" i="183"/>
  <c r="CK169" i="183"/>
  <c r="W169" i="183"/>
  <c r="AO169" i="183"/>
  <c r="BU212" i="183"/>
  <c r="CG212" i="183"/>
  <c r="CA212" i="183"/>
  <c r="DW212" i="183"/>
  <c r="AE212" i="183"/>
  <c r="FA212" i="183"/>
  <c r="CM212" i="183"/>
  <c r="AW212" i="183"/>
  <c r="BO212" i="183"/>
  <c r="GE212" i="183"/>
  <c r="CS212" i="183"/>
  <c r="BC212" i="183"/>
  <c r="AK212" i="183"/>
  <c r="AQ212" i="183"/>
  <c r="Y212" i="183"/>
  <c r="BI212" i="183"/>
  <c r="CM80" i="183"/>
  <c r="BI80" i="183"/>
  <c r="DW80" i="183"/>
  <c r="AE80" i="183"/>
  <c r="BU80" i="183"/>
  <c r="GE80" i="183"/>
  <c r="AQ80" i="183"/>
  <c r="CG80" i="183"/>
  <c r="BC80" i="183"/>
  <c r="CS80" i="183"/>
  <c r="Y80" i="183"/>
  <c r="BO80" i="183"/>
  <c r="FA80" i="183"/>
  <c r="AK80" i="183"/>
  <c r="CA80" i="183"/>
  <c r="AW80" i="183"/>
  <c r="CR121" i="183"/>
  <c r="X121" i="183"/>
  <c r="BN121" i="183"/>
  <c r="EZ121" i="183"/>
  <c r="AJ121" i="183"/>
  <c r="BT121" i="183"/>
  <c r="GD121" i="183"/>
  <c r="AP121" i="183"/>
  <c r="CF121" i="183"/>
  <c r="BH121" i="183"/>
  <c r="BZ121" i="183"/>
  <c r="BB121" i="183"/>
  <c r="AD121" i="183"/>
  <c r="CL121" i="183"/>
  <c r="DV121" i="183"/>
  <c r="AV121" i="183"/>
  <c r="DX162" i="183"/>
  <c r="AF162" i="183"/>
  <c r="BV162" i="183"/>
  <c r="GF162" i="183"/>
  <c r="AR162" i="183"/>
  <c r="CT162" i="183"/>
  <c r="Z162" i="183"/>
  <c r="CB162" i="183"/>
  <c r="AX162" i="183"/>
  <c r="CN162" i="183"/>
  <c r="CH162" i="183"/>
  <c r="BJ162" i="183"/>
  <c r="FB162" i="183"/>
  <c r="BP162" i="183"/>
  <c r="AL162" i="183"/>
  <c r="BD162" i="183"/>
  <c r="CR205" i="183"/>
  <c r="X205" i="183"/>
  <c r="GD205" i="183"/>
  <c r="AP205" i="183"/>
  <c r="CF205" i="183"/>
  <c r="AJ205" i="183"/>
  <c r="BB205" i="183"/>
  <c r="DV205" i="183"/>
  <c r="BZ205" i="183"/>
  <c r="BH205" i="183"/>
  <c r="BT205" i="183"/>
  <c r="EZ205" i="183"/>
  <c r="BN205" i="183"/>
  <c r="AD205" i="183"/>
  <c r="AV205" i="183"/>
  <c r="CL205" i="183"/>
  <c r="CT74" i="183"/>
  <c r="Z74" i="183"/>
  <c r="BP74" i="183"/>
  <c r="FB74" i="183"/>
  <c r="AL74" i="183"/>
  <c r="CB74" i="183"/>
  <c r="AX74" i="183"/>
  <c r="CN74" i="183"/>
  <c r="BJ74" i="183"/>
  <c r="DX74" i="183"/>
  <c r="AF74" i="183"/>
  <c r="BV74" i="183"/>
  <c r="GF74" i="183"/>
  <c r="AR74" i="183"/>
  <c r="CH74" i="183"/>
  <c r="BD74" i="183"/>
  <c r="BH115" i="183"/>
  <c r="DV115" i="183"/>
  <c r="AD115" i="183"/>
  <c r="BZ115" i="183"/>
  <c r="GD115" i="183"/>
  <c r="AP115" i="183"/>
  <c r="CR115" i="183"/>
  <c r="X115" i="183"/>
  <c r="CF115" i="183"/>
  <c r="BN115" i="183"/>
  <c r="AV115" i="183"/>
  <c r="CL115" i="183"/>
  <c r="AJ115" i="183"/>
  <c r="EZ115" i="183"/>
  <c r="BB115" i="183"/>
  <c r="BT115" i="183"/>
  <c r="GC156" i="183"/>
  <c r="AO156" i="183"/>
  <c r="CE156" i="183"/>
  <c r="BA156" i="183"/>
  <c r="CK156" i="183"/>
  <c r="BG156" i="183"/>
  <c r="DU156" i="183"/>
  <c r="AC156" i="183"/>
  <c r="CQ156" i="183"/>
  <c r="BS156" i="183"/>
  <c r="W156" i="183"/>
  <c r="EY156" i="183"/>
  <c r="AI156" i="183"/>
  <c r="BM156" i="183"/>
  <c r="BY156" i="183"/>
  <c r="AU156" i="183"/>
  <c r="GF197" i="183"/>
  <c r="BD197" i="183"/>
  <c r="DX197" i="183"/>
  <c r="Z197" i="183"/>
  <c r="BP197" i="183"/>
  <c r="CT197" i="183"/>
  <c r="AL197" i="183"/>
  <c r="BV197" i="183"/>
  <c r="AR197" i="183"/>
  <c r="FB197" i="183"/>
  <c r="CN197" i="183"/>
  <c r="AF197" i="183"/>
  <c r="CH197" i="183"/>
  <c r="CB197" i="183"/>
  <c r="BJ197" i="183"/>
  <c r="AX197" i="183"/>
  <c r="CB65" i="183"/>
  <c r="AX65" i="183"/>
  <c r="CN65" i="183"/>
  <c r="BJ65" i="183"/>
  <c r="DX65" i="183"/>
  <c r="AF65" i="183"/>
  <c r="BV65" i="183"/>
  <c r="GF65" i="183"/>
  <c r="AR65" i="183"/>
  <c r="CH65" i="183"/>
  <c r="BD65" i="183"/>
  <c r="CT65" i="183"/>
  <c r="Z65" i="183"/>
  <c r="BP65" i="183"/>
  <c r="FB65" i="183"/>
  <c r="AL65" i="183"/>
  <c r="BC104" i="183"/>
  <c r="GE104" i="183"/>
  <c r="BO104" i="183"/>
  <c r="CS104" i="183"/>
  <c r="AW104" i="183"/>
  <c r="CA104" i="183"/>
  <c r="FA104" i="183"/>
  <c r="AE104" i="183"/>
  <c r="BI104" i="183"/>
  <c r="CM104" i="183"/>
  <c r="AQ104" i="183"/>
  <c r="BU104" i="183"/>
  <c r="Y104" i="183"/>
  <c r="CG104" i="183"/>
  <c r="AK104" i="183"/>
  <c r="DW104" i="183"/>
  <c r="EY147" i="183"/>
  <c r="AI147" i="183"/>
  <c r="BY147" i="183"/>
  <c r="AU147" i="183"/>
  <c r="CE147" i="183"/>
  <c r="BA147" i="183"/>
  <c r="CQ147" i="183"/>
  <c r="W147" i="183"/>
  <c r="DU147" i="183"/>
  <c r="AC147" i="183"/>
  <c r="GC147" i="183"/>
  <c r="BG147" i="183"/>
  <c r="BS147" i="183"/>
  <c r="BM147" i="183"/>
  <c r="CK147" i="183"/>
  <c r="AO147" i="183"/>
  <c r="DU189" i="183"/>
  <c r="AC189" i="183"/>
  <c r="BS189" i="183"/>
  <c r="GC189" i="183"/>
  <c r="AO189" i="183"/>
  <c r="AU189" i="183"/>
  <c r="CK189" i="183"/>
  <c r="EY189" i="183"/>
  <c r="BA189" i="183"/>
  <c r="BM189" i="183"/>
  <c r="CE189" i="183"/>
  <c r="AI189" i="183"/>
  <c r="BY189" i="183"/>
  <c r="W189" i="183"/>
  <c r="CQ189" i="183"/>
  <c r="BG189" i="183"/>
  <c r="DU58" i="183"/>
  <c r="AC58" i="183"/>
  <c r="BS58" i="183"/>
  <c r="GC58" i="183"/>
  <c r="AO58" i="183"/>
  <c r="CE58" i="183"/>
  <c r="BA58" i="183"/>
  <c r="CQ58" i="183"/>
  <c r="W58" i="183"/>
  <c r="BM58" i="183"/>
  <c r="EY58" i="183"/>
  <c r="AI58" i="183"/>
  <c r="BY58" i="183"/>
  <c r="AU58" i="183"/>
  <c r="CK58" i="183"/>
  <c r="BG58" i="183"/>
  <c r="FB96" i="183"/>
  <c r="DX96" i="183"/>
  <c r="GF96" i="183"/>
  <c r="CN96" i="183"/>
  <c r="BJ96" i="183"/>
  <c r="AF96" i="183"/>
  <c r="BV96" i="183"/>
  <c r="AR96" i="183"/>
  <c r="CH96" i="183"/>
  <c r="BD96" i="183"/>
  <c r="CT96" i="183"/>
  <c r="Z96" i="183"/>
  <c r="BP96" i="183"/>
  <c r="CB96" i="183"/>
  <c r="AX96" i="183"/>
  <c r="AL96" i="183"/>
  <c r="AU138" i="183"/>
  <c r="CK138" i="183"/>
  <c r="BG138" i="183"/>
  <c r="CQ138" i="183"/>
  <c r="W138" i="183"/>
  <c r="BM138" i="183"/>
  <c r="EY138" i="183"/>
  <c r="AI138" i="183"/>
  <c r="CE138" i="183"/>
  <c r="BA138" i="183"/>
  <c r="BY138" i="183"/>
  <c r="AC138" i="183"/>
  <c r="DU138" i="183"/>
  <c r="AO138" i="183"/>
  <c r="BS138" i="183"/>
  <c r="GC138" i="183"/>
  <c r="FB177" i="183"/>
  <c r="CH177" i="183"/>
  <c r="BD177" i="183"/>
  <c r="CT177" i="183"/>
  <c r="Z177" i="183"/>
  <c r="BV177" i="183"/>
  <c r="AX177" i="183"/>
  <c r="AF177" i="183"/>
  <c r="BP177" i="183"/>
  <c r="BJ177" i="183"/>
  <c r="DX177" i="183"/>
  <c r="CB177" i="183"/>
  <c r="AL177" i="183"/>
  <c r="GF177" i="183"/>
  <c r="CN177" i="183"/>
  <c r="AR177" i="183"/>
  <c r="CS49" i="183"/>
  <c r="Y49" i="183"/>
  <c r="BO49" i="183"/>
  <c r="FA49" i="183"/>
  <c r="AK49" i="183"/>
  <c r="CA49" i="183"/>
  <c r="AW49" i="183"/>
  <c r="CM49" i="183"/>
  <c r="BI49" i="183"/>
  <c r="DW49" i="183"/>
  <c r="AE49" i="183"/>
  <c r="BU49" i="183"/>
  <c r="GE49" i="183"/>
  <c r="AQ49" i="183"/>
  <c r="CG49" i="183"/>
  <c r="BC49" i="183"/>
  <c r="GF86" i="183"/>
  <c r="AR86" i="183"/>
  <c r="BD86" i="183"/>
  <c r="CT86" i="183"/>
  <c r="Z86" i="183"/>
  <c r="BP86" i="183"/>
  <c r="FB86" i="183"/>
  <c r="AL86" i="183"/>
  <c r="CB86" i="183"/>
  <c r="AX86" i="183"/>
  <c r="CN86" i="183"/>
  <c r="DX86" i="183"/>
  <c r="AF86" i="183"/>
  <c r="BV86" i="183"/>
  <c r="CH86" i="183"/>
  <c r="BJ86" i="183"/>
  <c r="BT127" i="183"/>
  <c r="GD127" i="183"/>
  <c r="AP127" i="183"/>
  <c r="CF127" i="183"/>
  <c r="AV127" i="183"/>
  <c r="CL127" i="183"/>
  <c r="BH127" i="183"/>
  <c r="CR127" i="183"/>
  <c r="X127" i="183"/>
  <c r="BB127" i="183"/>
  <c r="DV127" i="183"/>
  <c r="AD127" i="183"/>
  <c r="BZ127" i="183"/>
  <c r="AJ127" i="183"/>
  <c r="BN127" i="183"/>
  <c r="EZ127" i="183"/>
  <c r="GF168" i="183"/>
  <c r="BP168" i="183"/>
  <c r="FB168" i="183"/>
  <c r="AL168" i="183"/>
  <c r="CB168" i="183"/>
  <c r="BJ168" i="183"/>
  <c r="AR168" i="183"/>
  <c r="CH168" i="183"/>
  <c r="BD168" i="183"/>
  <c r="CN168" i="183"/>
  <c r="AX168" i="183"/>
  <c r="DX168" i="183"/>
  <c r="AF168" i="183"/>
  <c r="CT168" i="183"/>
  <c r="Z168" i="183"/>
  <c r="BV168" i="183"/>
  <c r="BG212" i="183"/>
  <c r="BS212" i="183"/>
  <c r="BM212" i="183"/>
  <c r="CK212" i="183"/>
  <c r="BY212" i="183"/>
  <c r="GC212" i="183"/>
  <c r="AU212" i="183"/>
  <c r="W212" i="183"/>
  <c r="EY212" i="183"/>
  <c r="AC212" i="183"/>
  <c r="BA212" i="183"/>
  <c r="AO212" i="183"/>
  <c r="CE212" i="183"/>
  <c r="DU212" i="183"/>
  <c r="AI212" i="183"/>
  <c r="CQ212" i="183"/>
  <c r="BN145" i="183"/>
  <c r="EZ145" i="183"/>
  <c r="AJ145" i="183"/>
  <c r="BZ145" i="183"/>
  <c r="GD145" i="183"/>
  <c r="AP145" i="183"/>
  <c r="CF145" i="183"/>
  <c r="BB145" i="183"/>
  <c r="X145" i="183"/>
  <c r="AV145" i="183"/>
  <c r="CL145" i="183"/>
  <c r="BH145" i="183"/>
  <c r="DV145" i="183"/>
  <c r="BT145" i="183"/>
  <c r="CR145" i="183"/>
  <c r="AD145" i="183"/>
  <c r="BI81" i="183"/>
  <c r="DW81" i="183"/>
  <c r="AE81" i="183"/>
  <c r="BU81" i="183"/>
  <c r="GE81" i="183"/>
  <c r="AQ81" i="183"/>
  <c r="CG81" i="183"/>
  <c r="BC81" i="183"/>
  <c r="CS81" i="183"/>
  <c r="Y81" i="183"/>
  <c r="BO81" i="183"/>
  <c r="FA81" i="183"/>
  <c r="AK81" i="183"/>
  <c r="CA81" i="183"/>
  <c r="AW81" i="183"/>
  <c r="CM81" i="183"/>
  <c r="BU84" i="183"/>
  <c r="GE84" i="183"/>
  <c r="AQ84" i="183"/>
  <c r="CG84" i="183"/>
  <c r="BC84" i="183"/>
  <c r="CS84" i="183"/>
  <c r="Y84" i="183"/>
  <c r="BO84" i="183"/>
  <c r="FA84" i="183"/>
  <c r="AK84" i="183"/>
  <c r="AW84" i="183"/>
  <c r="DW84" i="183"/>
  <c r="CM84" i="183"/>
  <c r="CA84" i="183"/>
  <c r="AE84" i="183"/>
  <c r="BI84" i="183"/>
  <c r="DV116" i="183"/>
  <c r="AD116" i="183"/>
  <c r="BT116" i="183"/>
  <c r="GD116" i="183"/>
  <c r="AV116" i="183"/>
  <c r="CL116" i="183"/>
  <c r="BN116" i="183"/>
  <c r="BZ116" i="183"/>
  <c r="X116" i="183"/>
  <c r="BH116" i="183"/>
  <c r="CR116" i="183"/>
  <c r="BB116" i="183"/>
  <c r="AP116" i="183"/>
  <c r="AJ116" i="183"/>
  <c r="EZ116" i="183"/>
  <c r="CF116" i="183"/>
  <c r="BJ80" i="183"/>
  <c r="DX80" i="183"/>
  <c r="AF80" i="183"/>
  <c r="BV80" i="183"/>
  <c r="GF80" i="183"/>
  <c r="AR80" i="183"/>
  <c r="CH80" i="183"/>
  <c r="BD80" i="183"/>
  <c r="CT80" i="183"/>
  <c r="Z80" i="183"/>
  <c r="BP80" i="183"/>
  <c r="FB80" i="183"/>
  <c r="AL80" i="183"/>
  <c r="CB80" i="183"/>
  <c r="AX80" i="183"/>
  <c r="CN80" i="183"/>
  <c r="CK82" i="183"/>
  <c r="BG82" i="183"/>
  <c r="DU82" i="183"/>
  <c r="AC82" i="183"/>
  <c r="BS82" i="183"/>
  <c r="GC82" i="183"/>
  <c r="AO82" i="183"/>
  <c r="CE82" i="183"/>
  <c r="BA82" i="183"/>
  <c r="CQ82" i="183"/>
  <c r="W82" i="183"/>
  <c r="BM82" i="183"/>
  <c r="EY82" i="183"/>
  <c r="AI82" i="183"/>
  <c r="BY82" i="183"/>
  <c r="AU82" i="183"/>
  <c r="DV45" i="183"/>
  <c r="AD45" i="183"/>
  <c r="BT45" i="183"/>
  <c r="GD45" i="183"/>
  <c r="AP45" i="183"/>
  <c r="CF45" i="183"/>
  <c r="BB45" i="183"/>
  <c r="CR45" i="183"/>
  <c r="X45" i="183"/>
  <c r="BN45" i="183"/>
  <c r="EZ45" i="183"/>
  <c r="AJ45" i="183"/>
  <c r="BZ45" i="183"/>
  <c r="AV45" i="183"/>
  <c r="CL45" i="183"/>
  <c r="BH45" i="183"/>
  <c r="BM179" i="183"/>
  <c r="EY179" i="183"/>
  <c r="AI179" i="183"/>
  <c r="BY179" i="183"/>
  <c r="GC179" i="183"/>
  <c r="AO179" i="183"/>
  <c r="CE179" i="183"/>
  <c r="BA179" i="183"/>
  <c r="DU179" i="183"/>
  <c r="BS179" i="183"/>
  <c r="CQ179" i="183"/>
  <c r="CK179" i="183"/>
  <c r="W179" i="183"/>
  <c r="AU179" i="183"/>
  <c r="BG179" i="183"/>
  <c r="AC179" i="183"/>
  <c r="CT91" i="183"/>
  <c r="Z91" i="183"/>
  <c r="FB91" i="183"/>
  <c r="AL91" i="183"/>
  <c r="CB91" i="183"/>
  <c r="AX91" i="183"/>
  <c r="CN91" i="183"/>
  <c r="BJ91" i="183"/>
  <c r="DX91" i="183"/>
  <c r="AF91" i="183"/>
  <c r="BV91" i="183"/>
  <c r="CH91" i="183"/>
  <c r="BD91" i="183"/>
  <c r="BP91" i="183"/>
  <c r="AR91" i="183"/>
  <c r="GF91" i="183"/>
  <c r="BO93" i="183"/>
  <c r="FA93" i="183"/>
  <c r="CA93" i="183"/>
  <c r="AW93" i="183"/>
  <c r="CM93" i="183"/>
  <c r="BI93" i="183"/>
  <c r="DW93" i="183"/>
  <c r="AE93" i="183"/>
  <c r="BU93" i="183"/>
  <c r="GE93" i="183"/>
  <c r="AQ93" i="183"/>
  <c r="BC93" i="183"/>
  <c r="CS93" i="183"/>
  <c r="Y93" i="183"/>
  <c r="AK93" i="183"/>
  <c r="CG93" i="183"/>
  <c r="CQ94" i="183"/>
  <c r="W94" i="183"/>
  <c r="BM94" i="183"/>
  <c r="EY94" i="183"/>
  <c r="AI94" i="183"/>
  <c r="BY94" i="183"/>
  <c r="AU94" i="183"/>
  <c r="CK94" i="183"/>
  <c r="BG94" i="183"/>
  <c r="DU94" i="183"/>
  <c r="AC94" i="183"/>
  <c r="BS94" i="183"/>
  <c r="CE94" i="183"/>
  <c r="BA94" i="183"/>
  <c r="AO94" i="183"/>
  <c r="GC94" i="183"/>
  <c r="BU86" i="183"/>
  <c r="CG86" i="183"/>
  <c r="BC86" i="183"/>
  <c r="CS86" i="183"/>
  <c r="Y86" i="183"/>
  <c r="BO86" i="183"/>
  <c r="FA86" i="183"/>
  <c r="AK86" i="183"/>
  <c r="CA86" i="183"/>
  <c r="AW86" i="183"/>
  <c r="BI86" i="183"/>
  <c r="DW86" i="183"/>
  <c r="AE86" i="183"/>
  <c r="AQ86" i="183"/>
  <c r="GE86" i="183"/>
  <c r="CM86" i="183"/>
  <c r="BC74" i="183"/>
  <c r="CS74" i="183"/>
  <c r="Y74" i="183"/>
  <c r="BO74" i="183"/>
  <c r="FA74" i="183"/>
  <c r="AK74" i="183"/>
  <c r="CA74" i="183"/>
  <c r="AW74" i="183"/>
  <c r="CM74" i="183"/>
  <c r="BI74" i="183"/>
  <c r="DW74" i="183"/>
  <c r="AE74" i="183"/>
  <c r="BU74" i="183"/>
  <c r="GE74" i="183"/>
  <c r="AQ74" i="183"/>
  <c r="CG74" i="183"/>
  <c r="CE63" i="183"/>
  <c r="BA63" i="183"/>
  <c r="CQ63" i="183"/>
  <c r="W63" i="183"/>
  <c r="BM63" i="183"/>
  <c r="EY63" i="183"/>
  <c r="AI63" i="183"/>
  <c r="BY63" i="183"/>
  <c r="AU63" i="183"/>
  <c r="CK63" i="183"/>
  <c r="BG63" i="183"/>
  <c r="DU63" i="183"/>
  <c r="AC63" i="183"/>
  <c r="BS63" i="183"/>
  <c r="GC63" i="183"/>
  <c r="AO63" i="183"/>
  <c r="GC48" i="183"/>
  <c r="AO48" i="183"/>
  <c r="CE48" i="183"/>
  <c r="BA48" i="183"/>
  <c r="CQ48" i="183"/>
  <c r="W48" i="183"/>
  <c r="BM48" i="183"/>
  <c r="EY48" i="183"/>
  <c r="AI48" i="183"/>
  <c r="BY48" i="183"/>
  <c r="AU48" i="183"/>
  <c r="CK48" i="183"/>
  <c r="BG48" i="183"/>
  <c r="DU48" i="183"/>
  <c r="AC48" i="183"/>
  <c r="BS48" i="183"/>
  <c r="BV125" i="183"/>
  <c r="GF125" i="183"/>
  <c r="AR125" i="183"/>
  <c r="CH125" i="183"/>
  <c r="AX125" i="183"/>
  <c r="CN125" i="183"/>
  <c r="BJ125" i="183"/>
  <c r="BP125" i="183"/>
  <c r="CB125" i="183"/>
  <c r="CT125" i="183"/>
  <c r="Z125" i="183"/>
  <c r="FB125" i="183"/>
  <c r="AF125" i="183"/>
  <c r="DX125" i="183"/>
  <c r="BD125" i="183"/>
  <c r="AL125" i="183"/>
  <c r="BG210" i="183"/>
  <c r="CQ210" i="183"/>
  <c r="AU210" i="183"/>
  <c r="EY210" i="183"/>
  <c r="BY210" i="183"/>
  <c r="BA210" i="183"/>
  <c r="W210" i="183"/>
  <c r="CE210" i="183"/>
  <c r="GC210" i="183"/>
  <c r="AI210" i="183"/>
  <c r="CK210" i="183"/>
  <c r="BM210" i="183"/>
  <c r="DU210" i="183"/>
  <c r="BS210" i="183"/>
  <c r="AO210" i="183"/>
  <c r="AC210" i="183"/>
  <c r="CF119" i="183"/>
  <c r="BB119" i="183"/>
  <c r="CR119" i="183"/>
  <c r="X119" i="183"/>
  <c r="BH119" i="183"/>
  <c r="DV119" i="183"/>
  <c r="AD119" i="183"/>
  <c r="BZ119" i="183"/>
  <c r="AP119" i="183"/>
  <c r="GD119" i="183"/>
  <c r="CL119" i="183"/>
  <c r="EZ119" i="183"/>
  <c r="AV119" i="183"/>
  <c r="AJ119" i="183"/>
  <c r="BT119" i="183"/>
  <c r="BN119" i="183"/>
  <c r="CA201" i="183"/>
  <c r="AW201" i="183"/>
  <c r="CM201" i="183"/>
  <c r="BC201" i="183"/>
  <c r="CS201" i="183"/>
  <c r="Y201" i="183"/>
  <c r="BO201" i="183"/>
  <c r="GE201" i="183"/>
  <c r="CG201" i="183"/>
  <c r="FA201" i="183"/>
  <c r="AK201" i="183"/>
  <c r="BI201" i="183"/>
  <c r="DW201" i="183"/>
  <c r="AQ201" i="183"/>
  <c r="AE201" i="183"/>
  <c r="BU201" i="183"/>
  <c r="BY113" i="183"/>
  <c r="EY113" i="183"/>
  <c r="BG113" i="183"/>
  <c r="AC113" i="183"/>
  <c r="CK113" i="183"/>
  <c r="GC113" i="183"/>
  <c r="BM113" i="183"/>
  <c r="AI113" i="183"/>
  <c r="CQ113" i="183"/>
  <c r="AO113" i="183"/>
  <c r="CE113" i="183"/>
  <c r="AU113" i="183"/>
  <c r="BS113" i="183"/>
  <c r="W113" i="183"/>
  <c r="DU113" i="183"/>
  <c r="BA113" i="183"/>
  <c r="GF195" i="183"/>
  <c r="AR195" i="183"/>
  <c r="CH195" i="183"/>
  <c r="BD195" i="183"/>
  <c r="CT195" i="183"/>
  <c r="Z195" i="183"/>
  <c r="BJ195" i="183"/>
  <c r="DX195" i="183"/>
  <c r="AF195" i="183"/>
  <c r="FB195" i="183"/>
  <c r="CB195" i="183"/>
  <c r="CN195" i="183"/>
  <c r="AL195" i="183"/>
  <c r="AX195" i="183"/>
  <c r="BV195" i="183"/>
  <c r="BP195" i="183"/>
  <c r="GD96" i="183"/>
  <c r="BZ96" i="183"/>
  <c r="AV96" i="183"/>
  <c r="CL96" i="183"/>
  <c r="EZ96" i="183"/>
  <c r="BH96" i="183"/>
  <c r="AD96" i="183"/>
  <c r="DV96" i="183"/>
  <c r="BT96" i="183"/>
  <c r="AP96" i="183"/>
  <c r="CF96" i="183"/>
  <c r="BB96" i="183"/>
  <c r="BN96" i="183"/>
  <c r="AJ96" i="183"/>
  <c r="CR96" i="183"/>
  <c r="X96" i="183"/>
  <c r="CR177" i="183"/>
  <c r="BT177" i="183"/>
  <c r="GD177" i="183"/>
  <c r="AP177" i="183"/>
  <c r="CF177" i="183"/>
  <c r="BB177" i="183"/>
  <c r="AV177" i="183"/>
  <c r="AD177" i="183"/>
  <c r="BH177" i="183"/>
  <c r="AJ177" i="183"/>
  <c r="BZ177" i="183"/>
  <c r="DV177" i="183"/>
  <c r="X177" i="183"/>
  <c r="BN177" i="183"/>
  <c r="EZ177" i="183"/>
  <c r="CL177" i="183"/>
  <c r="BV82" i="183"/>
  <c r="GF82" i="183"/>
  <c r="AR82" i="183"/>
  <c r="CH82" i="183"/>
  <c r="BD82" i="183"/>
  <c r="CT82" i="183"/>
  <c r="Z82" i="183"/>
  <c r="BP82" i="183"/>
  <c r="FB82" i="183"/>
  <c r="AL82" i="183"/>
  <c r="CB82" i="183"/>
  <c r="AX82" i="183"/>
  <c r="CN82" i="183"/>
  <c r="BJ82" i="183"/>
  <c r="DX82" i="183"/>
  <c r="AF82" i="183"/>
  <c r="GF164" i="183"/>
  <c r="AR164" i="183"/>
  <c r="CH164" i="183"/>
  <c r="BD164" i="183"/>
  <c r="FB164" i="183"/>
  <c r="AL164" i="183"/>
  <c r="CN164" i="183"/>
  <c r="BJ164" i="183"/>
  <c r="DX164" i="183"/>
  <c r="AF164" i="183"/>
  <c r="BP164" i="183"/>
  <c r="BV164" i="183"/>
  <c r="Z164" i="183"/>
  <c r="CB164" i="183"/>
  <c r="CT164" i="183"/>
  <c r="AX164" i="183"/>
  <c r="BH70" i="183"/>
  <c r="DV70" i="183"/>
  <c r="AD70" i="183"/>
  <c r="BT70" i="183"/>
  <c r="GD70" i="183"/>
  <c r="AP70" i="183"/>
  <c r="CF70" i="183"/>
  <c r="BB70" i="183"/>
  <c r="CR70" i="183"/>
  <c r="X70" i="183"/>
  <c r="BN70" i="183"/>
  <c r="EZ70" i="183"/>
  <c r="AJ70" i="183"/>
  <c r="BZ70" i="183"/>
  <c r="AV70" i="183"/>
  <c r="CL70" i="183"/>
  <c r="BI151" i="183"/>
  <c r="DW151" i="183"/>
  <c r="AE151" i="183"/>
  <c r="BU151" i="183"/>
  <c r="FA151" i="183"/>
  <c r="AK151" i="183"/>
  <c r="CA151" i="183"/>
  <c r="AW151" i="183"/>
  <c r="BC151" i="183"/>
  <c r="Y151" i="183"/>
  <c r="BO151" i="183"/>
  <c r="CM151" i="183"/>
  <c r="GE151" i="183"/>
  <c r="AQ151" i="183"/>
  <c r="CS151" i="183"/>
  <c r="CG151" i="183"/>
  <c r="AX52" i="183"/>
  <c r="CN52" i="183"/>
  <c r="BJ52" i="183"/>
  <c r="DX52" i="183"/>
  <c r="AF52" i="183"/>
  <c r="BV52" i="183"/>
  <c r="GF52" i="183"/>
  <c r="AR52" i="183"/>
  <c r="CH52" i="183"/>
  <c r="BD52" i="183"/>
  <c r="CT52" i="183"/>
  <c r="Z52" i="183"/>
  <c r="BP52" i="183"/>
  <c r="FB52" i="183"/>
  <c r="AL52" i="183"/>
  <c r="CB52" i="183"/>
  <c r="GC91" i="183"/>
  <c r="AO91" i="183"/>
  <c r="BA91" i="183"/>
  <c r="CQ91" i="183"/>
  <c r="W91" i="183"/>
  <c r="BM91" i="183"/>
  <c r="EY91" i="183"/>
  <c r="AI91" i="183"/>
  <c r="BY91" i="183"/>
  <c r="AU91" i="183"/>
  <c r="CK91" i="183"/>
  <c r="DU91" i="183"/>
  <c r="AC91" i="183"/>
  <c r="BS91" i="183"/>
  <c r="BG91" i="183"/>
  <c r="CE91" i="183"/>
  <c r="CR131" i="183"/>
  <c r="X131" i="183"/>
  <c r="BN131" i="183"/>
  <c r="EZ131" i="183"/>
  <c r="AJ131" i="183"/>
  <c r="BT131" i="183"/>
  <c r="GD131" i="183"/>
  <c r="AP131" i="183"/>
  <c r="CF131" i="183"/>
  <c r="BH131" i="183"/>
  <c r="CL131" i="183"/>
  <c r="AD131" i="183"/>
  <c r="BB131" i="183"/>
  <c r="DV131" i="183"/>
  <c r="AV131" i="183"/>
  <c r="BZ131" i="183"/>
  <c r="BM172" i="183"/>
  <c r="EY172" i="183"/>
  <c r="AI172" i="183"/>
  <c r="BY172" i="183"/>
  <c r="CK172" i="183"/>
  <c r="GC172" i="183"/>
  <c r="AO172" i="183"/>
  <c r="CE172" i="183"/>
  <c r="BA172" i="183"/>
  <c r="AU172" i="183"/>
  <c r="AC172" i="183"/>
  <c r="CQ172" i="183"/>
  <c r="BG172" i="183"/>
  <c r="W172" i="183"/>
  <c r="DU172" i="183"/>
  <c r="BS172" i="183"/>
  <c r="BS47" i="183"/>
  <c r="GC47" i="183"/>
  <c r="AO47" i="183"/>
  <c r="CE47" i="183"/>
  <c r="BA47" i="183"/>
  <c r="CQ47" i="183"/>
  <c r="W47" i="183"/>
  <c r="BM47" i="183"/>
  <c r="EY47" i="183"/>
  <c r="AI47" i="183"/>
  <c r="BY47" i="183"/>
  <c r="AU47" i="183"/>
  <c r="CK47" i="183"/>
  <c r="BG47" i="183"/>
  <c r="DU47" i="183"/>
  <c r="AC47" i="183"/>
  <c r="CL84" i="183"/>
  <c r="DV84" i="183"/>
  <c r="AD84" i="183"/>
  <c r="BT84" i="183"/>
  <c r="GD84" i="183"/>
  <c r="AP84" i="183"/>
  <c r="CF84" i="183"/>
  <c r="BB84" i="183"/>
  <c r="CR84" i="183"/>
  <c r="X84" i="183"/>
  <c r="BN84" i="183"/>
  <c r="BZ84" i="183"/>
  <c r="BH84" i="183"/>
  <c r="AV84" i="183"/>
  <c r="AJ84" i="183"/>
  <c r="EZ84" i="183"/>
  <c r="CL124" i="183"/>
  <c r="BH124" i="183"/>
  <c r="DV124" i="183"/>
  <c r="AD124" i="183"/>
  <c r="BN124" i="183"/>
  <c r="EZ124" i="183"/>
  <c r="AJ124" i="183"/>
  <c r="BZ124" i="183"/>
  <c r="BB124" i="183"/>
  <c r="CF124" i="183"/>
  <c r="CR124" i="183"/>
  <c r="GD124" i="183"/>
  <c r="AP124" i="183"/>
  <c r="BT124" i="183"/>
  <c r="X124" i="183"/>
  <c r="AV124" i="183"/>
  <c r="BS166" i="183"/>
  <c r="GC166" i="183"/>
  <c r="AO166" i="183"/>
  <c r="CE166" i="183"/>
  <c r="BM166" i="183"/>
  <c r="AU166" i="183"/>
  <c r="CK166" i="183"/>
  <c r="BG166" i="183"/>
  <c r="AI166" i="183"/>
  <c r="BY166" i="183"/>
  <c r="DU166" i="183"/>
  <c r="AC166" i="183"/>
  <c r="W166" i="183"/>
  <c r="EY166" i="183"/>
  <c r="BA166" i="183"/>
  <c r="CQ166" i="183"/>
  <c r="CN208" i="183"/>
  <c r="BP208" i="183"/>
  <c r="FB208" i="183"/>
  <c r="AL208" i="183"/>
  <c r="CB208" i="183"/>
  <c r="AF208" i="183"/>
  <c r="AX208" i="183"/>
  <c r="CT208" i="183"/>
  <c r="GF208" i="183"/>
  <c r="Z208" i="183"/>
  <c r="DX208" i="183"/>
  <c r="BV208" i="183"/>
  <c r="BJ208" i="183"/>
  <c r="CH208" i="183"/>
  <c r="AR208" i="183"/>
  <c r="BD208" i="183"/>
  <c r="CB77" i="183"/>
  <c r="AX77" i="183"/>
  <c r="CN77" i="183"/>
  <c r="BJ77" i="183"/>
  <c r="DX77" i="183"/>
  <c r="AF77" i="183"/>
  <c r="BV77" i="183"/>
  <c r="GF77" i="183"/>
  <c r="AR77" i="183"/>
  <c r="CH77" i="183"/>
  <c r="BD77" i="183"/>
  <c r="CT77" i="183"/>
  <c r="Z77" i="183"/>
  <c r="BP77" i="183"/>
  <c r="FB77" i="183"/>
  <c r="AL77" i="183"/>
  <c r="CG118" i="183"/>
  <c r="BC118" i="183"/>
  <c r="CS118" i="183"/>
  <c r="Y118" i="183"/>
  <c r="BI118" i="183"/>
  <c r="DW118" i="183"/>
  <c r="AE118" i="183"/>
  <c r="AK118" i="183"/>
  <c r="FA118" i="183"/>
  <c r="BO118" i="183"/>
  <c r="BU118" i="183"/>
  <c r="GE118" i="183"/>
  <c r="AW118" i="183"/>
  <c r="AQ118" i="183"/>
  <c r="CM118" i="183"/>
  <c r="CA118" i="183"/>
  <c r="EY160" i="183"/>
  <c r="AI160" i="183"/>
  <c r="BY160" i="183"/>
  <c r="AU160" i="183"/>
  <c r="CE160" i="183"/>
  <c r="BA160" i="183"/>
  <c r="CQ160" i="183"/>
  <c r="W160" i="183"/>
  <c r="DU160" i="183"/>
  <c r="BS160" i="183"/>
  <c r="AO160" i="183"/>
  <c r="GC160" i="183"/>
  <c r="CK160" i="183"/>
  <c r="BG160" i="183"/>
  <c r="AC160" i="183"/>
  <c r="BM160" i="183"/>
  <c r="CB200" i="183"/>
  <c r="AX200" i="183"/>
  <c r="CN200" i="183"/>
  <c r="BD200" i="183"/>
  <c r="CT200" i="183"/>
  <c r="Z200" i="183"/>
  <c r="BP200" i="183"/>
  <c r="DX200" i="183"/>
  <c r="BV200" i="183"/>
  <c r="AR200" i="183"/>
  <c r="GF200" i="183"/>
  <c r="CH200" i="183"/>
  <c r="FB200" i="183"/>
  <c r="BJ200" i="183"/>
  <c r="AL200" i="183"/>
  <c r="AF200" i="183"/>
  <c r="BJ68" i="183"/>
  <c r="DX68" i="183"/>
  <c r="AF68" i="183"/>
  <c r="BV68" i="183"/>
  <c r="GF68" i="183"/>
  <c r="AR68" i="183"/>
  <c r="CH68" i="183"/>
  <c r="BD68" i="183"/>
  <c r="CT68" i="183"/>
  <c r="Z68" i="183"/>
  <c r="BP68" i="183"/>
  <c r="FB68" i="183"/>
  <c r="AL68" i="183"/>
  <c r="CB68" i="183"/>
  <c r="AX68" i="183"/>
  <c r="CN68" i="183"/>
  <c r="CE108" i="183"/>
  <c r="BS108" i="183"/>
  <c r="W108" i="183"/>
  <c r="DU108" i="183"/>
  <c r="GC108" i="183"/>
  <c r="CQ108" i="183"/>
  <c r="AU108" i="183"/>
  <c r="BY108" i="183"/>
  <c r="BA108" i="183"/>
  <c r="AC108" i="183"/>
  <c r="CK108" i="183"/>
  <c r="BM108" i="183"/>
  <c r="EY108" i="183"/>
  <c r="AO108" i="183"/>
  <c r="BG108" i="183"/>
  <c r="AI108" i="183"/>
  <c r="CK150" i="183"/>
  <c r="BA150" i="183"/>
  <c r="GC150" i="183"/>
  <c r="CQ150" i="183"/>
  <c r="BY150" i="183"/>
  <c r="BG150" i="183"/>
  <c r="AC150" i="183"/>
  <c r="DU150" i="183"/>
  <c r="CE150" i="183"/>
  <c r="BM150" i="183"/>
  <c r="AI150" i="183"/>
  <c r="AU150" i="183"/>
  <c r="EY150" i="183"/>
  <c r="AO150" i="183"/>
  <c r="W150" i="183"/>
  <c r="BS150" i="183"/>
  <c r="BY192" i="183"/>
  <c r="CK192" i="183"/>
  <c r="CQ192" i="183"/>
  <c r="W192" i="183"/>
  <c r="GC192" i="183"/>
  <c r="AC192" i="183"/>
  <c r="AU192" i="183"/>
  <c r="AI192" i="183"/>
  <c r="CE192" i="183"/>
  <c r="AO192" i="183"/>
  <c r="BA192" i="183"/>
  <c r="EY192" i="183"/>
  <c r="DU192" i="183"/>
  <c r="BS192" i="183"/>
  <c r="BG192" i="183"/>
  <c r="BM192" i="183"/>
  <c r="BS61" i="183"/>
  <c r="GC61" i="183"/>
  <c r="AO61" i="183"/>
  <c r="CE61" i="183"/>
  <c r="BA61" i="183"/>
  <c r="CQ61" i="183"/>
  <c r="W61" i="183"/>
  <c r="BM61" i="183"/>
  <c r="EY61" i="183"/>
  <c r="AI61" i="183"/>
  <c r="BY61" i="183"/>
  <c r="AU61" i="183"/>
  <c r="CK61" i="183"/>
  <c r="BG61" i="183"/>
  <c r="DU61" i="183"/>
  <c r="AC61" i="183"/>
  <c r="CN99" i="183"/>
  <c r="DX99" i="183"/>
  <c r="AF99" i="183"/>
  <c r="BV99" i="183"/>
  <c r="GF99" i="183"/>
  <c r="AR99" i="183"/>
  <c r="CH99" i="183"/>
  <c r="BD99" i="183"/>
  <c r="CT99" i="183"/>
  <c r="Z99" i="183"/>
  <c r="BP99" i="183"/>
  <c r="FB99" i="183"/>
  <c r="AL99" i="183"/>
  <c r="CB99" i="183"/>
  <c r="AX99" i="183"/>
  <c r="BJ99" i="183"/>
  <c r="CH141" i="183"/>
  <c r="BD141" i="183"/>
  <c r="CT141" i="183"/>
  <c r="Z141" i="183"/>
  <c r="BJ141" i="183"/>
  <c r="DX141" i="183"/>
  <c r="AF141" i="183"/>
  <c r="BV141" i="183"/>
  <c r="CN141" i="183"/>
  <c r="FB141" i="183"/>
  <c r="AL141" i="183"/>
  <c r="AX141" i="183"/>
  <c r="BP141" i="183"/>
  <c r="CB141" i="183"/>
  <c r="AR141" i="183"/>
  <c r="GF141" i="183"/>
  <c r="BY181" i="183"/>
  <c r="AU181" i="183"/>
  <c r="CK181" i="183"/>
  <c r="BA181" i="183"/>
  <c r="CQ181" i="183"/>
  <c r="W181" i="183"/>
  <c r="BM181" i="183"/>
  <c r="GC181" i="183"/>
  <c r="AO181" i="183"/>
  <c r="EY181" i="183"/>
  <c r="AI181" i="183"/>
  <c r="BS181" i="183"/>
  <c r="BG181" i="183"/>
  <c r="CE181" i="183"/>
  <c r="AC181" i="183"/>
  <c r="DU181" i="183"/>
  <c r="CA52" i="183"/>
  <c r="AW52" i="183"/>
  <c r="CM52" i="183"/>
  <c r="BI52" i="183"/>
  <c r="DW52" i="183"/>
  <c r="AE52" i="183"/>
  <c r="BU52" i="183"/>
  <c r="GE52" i="183"/>
  <c r="AQ52" i="183"/>
  <c r="CG52" i="183"/>
  <c r="BC52" i="183"/>
  <c r="CS52" i="183"/>
  <c r="Y52" i="183"/>
  <c r="BO52" i="183"/>
  <c r="FA52" i="183"/>
  <c r="AK52" i="183"/>
  <c r="CT89" i="183"/>
  <c r="Z89" i="183"/>
  <c r="FB89" i="183"/>
  <c r="AL89" i="183"/>
  <c r="CB89" i="183"/>
  <c r="AX89" i="183"/>
  <c r="CN89" i="183"/>
  <c r="BJ89" i="183"/>
  <c r="DX89" i="183"/>
  <c r="AF89" i="183"/>
  <c r="BV89" i="183"/>
  <c r="CH89" i="183"/>
  <c r="BD89" i="183"/>
  <c r="AR89" i="183"/>
  <c r="GF89" i="183"/>
  <c r="BP89" i="183"/>
  <c r="BA131" i="183"/>
  <c r="CQ131" i="183"/>
  <c r="W131" i="183"/>
  <c r="BM131" i="183"/>
  <c r="DU131" i="183"/>
  <c r="AC131" i="183"/>
  <c r="BS131" i="183"/>
  <c r="GC131" i="183"/>
  <c r="AO131" i="183"/>
  <c r="EY131" i="183"/>
  <c r="CE131" i="183"/>
  <c r="AI131" i="183"/>
  <c r="BG131" i="183"/>
  <c r="CK131" i="183"/>
  <c r="AU131" i="183"/>
  <c r="BY131" i="183"/>
  <c r="CB171" i="183"/>
  <c r="AX171" i="183"/>
  <c r="CN171" i="183"/>
  <c r="DX171" i="183"/>
  <c r="AF171" i="183"/>
  <c r="BD171" i="183"/>
  <c r="CT171" i="183"/>
  <c r="Z171" i="183"/>
  <c r="BP171" i="183"/>
  <c r="CH171" i="183"/>
  <c r="FB171" i="183"/>
  <c r="BV171" i="183"/>
  <c r="BJ171" i="183"/>
  <c r="AR171" i="183"/>
  <c r="AL171" i="183"/>
  <c r="GF171" i="183"/>
  <c r="CT215" i="183"/>
  <c r="Z215" i="183"/>
  <c r="FB215" i="183"/>
  <c r="AL215" i="183"/>
  <c r="DX215" i="183"/>
  <c r="AF215" i="183"/>
  <c r="BV215" i="183"/>
  <c r="CH215" i="183"/>
  <c r="BD215" i="183"/>
  <c r="AX215" i="183"/>
  <c r="BJ215" i="183"/>
  <c r="BP215" i="183"/>
  <c r="CB215" i="183"/>
  <c r="AR215" i="183"/>
  <c r="CN215" i="183"/>
  <c r="GF215" i="183"/>
  <c r="GD119" i="182"/>
  <c r="AP119" i="182"/>
  <c r="CR119" i="182"/>
  <c r="X119" i="182"/>
  <c r="BZ119" i="182"/>
  <c r="AV119" i="182"/>
  <c r="DV119" i="182"/>
  <c r="AD119" i="182"/>
  <c r="CL119" i="182"/>
  <c r="BN119" i="182"/>
  <c r="CF119" i="182"/>
  <c r="BH119" i="182"/>
  <c r="AJ119" i="182"/>
  <c r="EZ119" i="182"/>
  <c r="BB119" i="182"/>
  <c r="BT119" i="182"/>
  <c r="CH46" i="182"/>
  <c r="BD46" i="182"/>
  <c r="CT46" i="182"/>
  <c r="Z46" i="182"/>
  <c r="BP46" i="182"/>
  <c r="FB46" i="182"/>
  <c r="AL46" i="182"/>
  <c r="BJ46" i="182"/>
  <c r="CB46" i="182"/>
  <c r="AX46" i="182"/>
  <c r="CN46" i="182"/>
  <c r="DX46" i="182"/>
  <c r="AF46" i="182"/>
  <c r="AR46" i="182"/>
  <c r="BV46" i="182"/>
  <c r="GF46" i="182"/>
  <c r="CK206" i="182"/>
  <c r="BA206" i="182"/>
  <c r="CQ206" i="182"/>
  <c r="W206" i="182"/>
  <c r="BY206" i="182"/>
  <c r="EY206" i="182"/>
  <c r="AC206" i="182"/>
  <c r="DU206" i="182"/>
  <c r="CE206" i="182"/>
  <c r="GC206" i="182"/>
  <c r="AU206" i="182"/>
  <c r="BM206" i="182"/>
  <c r="BG206" i="182"/>
  <c r="AO206" i="182"/>
  <c r="AI206" i="182"/>
  <c r="BS206" i="182"/>
  <c r="BY99" i="182"/>
  <c r="AU99" i="182"/>
  <c r="CK99" i="182"/>
  <c r="BG99" i="182"/>
  <c r="AO99" i="182"/>
  <c r="W99" i="182"/>
  <c r="CQ99" i="182"/>
  <c r="GC99" i="182"/>
  <c r="BS99" i="182"/>
  <c r="BA99" i="182"/>
  <c r="AI99" i="182"/>
  <c r="AC99" i="182"/>
  <c r="EY99" i="182"/>
  <c r="DU99" i="182"/>
  <c r="CE99" i="182"/>
  <c r="BM99" i="182"/>
  <c r="AW176" i="182"/>
  <c r="FA176" i="182"/>
  <c r="BI176" i="182"/>
  <c r="CM176" i="182"/>
  <c r="BU176" i="182"/>
  <c r="DW176" i="182"/>
  <c r="Y176" i="182"/>
  <c r="BC176" i="182"/>
  <c r="CG176" i="182"/>
  <c r="BO176" i="182"/>
  <c r="GE176" i="182"/>
  <c r="AQ176" i="182"/>
  <c r="AE176" i="182"/>
  <c r="CS176" i="182"/>
  <c r="CA176" i="182"/>
  <c r="AK176" i="182"/>
  <c r="BS51" i="182"/>
  <c r="GC51" i="182"/>
  <c r="AO51" i="182"/>
  <c r="CE51" i="182"/>
  <c r="BA51" i="182"/>
  <c r="CQ51" i="182"/>
  <c r="W51" i="182"/>
  <c r="BM51" i="182"/>
  <c r="EY51" i="182"/>
  <c r="AC51" i="182"/>
  <c r="BY51" i="182"/>
  <c r="AU51" i="182"/>
  <c r="DU51" i="182"/>
  <c r="AI51" i="182"/>
  <c r="CK51" i="182"/>
  <c r="BG51" i="182"/>
  <c r="BA191" i="182"/>
  <c r="CQ191" i="182"/>
  <c r="W191" i="182"/>
  <c r="BY191" i="182"/>
  <c r="AU191" i="182"/>
  <c r="BG191" i="182"/>
  <c r="DU191" i="182"/>
  <c r="AC191" i="182"/>
  <c r="BS191" i="182"/>
  <c r="AO191" i="182"/>
  <c r="BM191" i="182"/>
  <c r="AI191" i="182"/>
  <c r="CK191" i="182"/>
  <c r="GC191" i="182"/>
  <c r="CE191" i="182"/>
  <c r="EY191" i="182"/>
  <c r="BG69" i="182"/>
  <c r="DU69" i="182"/>
  <c r="AC69" i="182"/>
  <c r="BS69" i="182"/>
  <c r="GC69" i="182"/>
  <c r="CE69" i="182"/>
  <c r="BA69" i="182"/>
  <c r="CQ69" i="182"/>
  <c r="W69" i="182"/>
  <c r="CK69" i="182"/>
  <c r="AU69" i="182"/>
  <c r="BM69" i="182"/>
  <c r="AO69" i="182"/>
  <c r="AI69" i="182"/>
  <c r="EY69" i="182"/>
  <c r="BY69" i="182"/>
  <c r="CH93" i="182"/>
  <c r="BD93" i="182"/>
  <c r="CT93" i="182"/>
  <c r="Z93" i="182"/>
  <c r="BP93" i="182"/>
  <c r="FB93" i="182"/>
  <c r="AL93" i="182"/>
  <c r="CB93" i="182"/>
  <c r="AX93" i="182"/>
  <c r="CN93" i="182"/>
  <c r="BJ93" i="182"/>
  <c r="GF93" i="182"/>
  <c r="AR93" i="182"/>
  <c r="DX93" i="182"/>
  <c r="BV93" i="182"/>
  <c r="AF93" i="182"/>
  <c r="BP118" i="182"/>
  <c r="AX118" i="182"/>
  <c r="CN118" i="182"/>
  <c r="BV118" i="182"/>
  <c r="CT118" i="182"/>
  <c r="AF118" i="182"/>
  <c r="GF118" i="182"/>
  <c r="Z118" i="182"/>
  <c r="AR118" i="182"/>
  <c r="FB118" i="182"/>
  <c r="CH118" i="182"/>
  <c r="BJ118" i="182"/>
  <c r="DX118" i="182"/>
  <c r="AL118" i="182"/>
  <c r="CB118" i="182"/>
  <c r="BD118" i="182"/>
  <c r="BH84" i="182"/>
  <c r="DV84" i="182"/>
  <c r="X84" i="182"/>
  <c r="BB84" i="182"/>
  <c r="CF84" i="182"/>
  <c r="GD84" i="182"/>
  <c r="AJ84" i="182"/>
  <c r="BN84" i="182"/>
  <c r="CR84" i="182"/>
  <c r="AV84" i="182"/>
  <c r="BZ84" i="182"/>
  <c r="AD84" i="182"/>
  <c r="EZ84" i="182"/>
  <c r="AP84" i="182"/>
  <c r="CL84" i="182"/>
  <c r="BT84" i="182"/>
  <c r="BS166" i="182"/>
  <c r="GC166" i="182"/>
  <c r="AO166" i="182"/>
  <c r="BA166" i="182"/>
  <c r="EY166" i="182"/>
  <c r="AI166" i="182"/>
  <c r="BY166" i="182"/>
  <c r="AU166" i="182"/>
  <c r="CK166" i="182"/>
  <c r="BM166" i="182"/>
  <c r="CE166" i="182"/>
  <c r="DU166" i="182"/>
  <c r="BG166" i="182"/>
  <c r="CQ166" i="182"/>
  <c r="AC166" i="182"/>
  <c r="W166" i="182"/>
  <c r="CS77" i="182"/>
  <c r="Y77" i="182"/>
  <c r="DW77" i="182"/>
  <c r="BC77" i="182"/>
  <c r="CG77" i="182"/>
  <c r="AK77" i="182"/>
  <c r="GE77" i="182"/>
  <c r="BO77" i="182"/>
  <c r="AW77" i="182"/>
  <c r="CA77" i="182"/>
  <c r="FA77" i="182"/>
  <c r="AE77" i="182"/>
  <c r="CM77" i="182"/>
  <c r="BU77" i="182"/>
  <c r="BI77" i="182"/>
  <c r="AQ77" i="182"/>
  <c r="CN159" i="182"/>
  <c r="FB159" i="182"/>
  <c r="BJ159" i="182"/>
  <c r="AF159" i="182"/>
  <c r="BV159" i="182"/>
  <c r="AR159" i="182"/>
  <c r="BD159" i="182"/>
  <c r="Z159" i="182"/>
  <c r="CH159" i="182"/>
  <c r="GF159" i="182"/>
  <c r="CT159" i="182"/>
  <c r="AX159" i="182"/>
  <c r="CB159" i="182"/>
  <c r="DX159" i="182"/>
  <c r="AL159" i="182"/>
  <c r="BP159" i="182"/>
  <c r="BD71" i="182"/>
  <c r="CT71" i="182"/>
  <c r="Z71" i="182"/>
  <c r="BP71" i="182"/>
  <c r="FB71" i="182"/>
  <c r="AL71" i="182"/>
  <c r="CB71" i="182"/>
  <c r="AX71" i="182"/>
  <c r="CN71" i="182"/>
  <c r="BJ71" i="182"/>
  <c r="DX71" i="182"/>
  <c r="BV71" i="182"/>
  <c r="AR71" i="182"/>
  <c r="AF71" i="182"/>
  <c r="CH71" i="182"/>
  <c r="GF71" i="182"/>
  <c r="BD152" i="182"/>
  <c r="CT152" i="182"/>
  <c r="Z152" i="182"/>
  <c r="FB152" i="182"/>
  <c r="AL152" i="182"/>
  <c r="AX152" i="182"/>
  <c r="CN152" i="182"/>
  <c r="BJ152" i="182"/>
  <c r="BV152" i="182"/>
  <c r="BP152" i="182"/>
  <c r="AF152" i="182"/>
  <c r="CH152" i="182"/>
  <c r="GF152" i="182"/>
  <c r="CB152" i="182"/>
  <c r="AR152" i="182"/>
  <c r="DX152" i="182"/>
  <c r="BT93" i="182"/>
  <c r="GD93" i="182"/>
  <c r="AP93" i="182"/>
  <c r="CF93" i="182"/>
  <c r="BB93" i="182"/>
  <c r="CR93" i="182"/>
  <c r="X93" i="182"/>
  <c r="BN93" i="182"/>
  <c r="EZ93" i="182"/>
  <c r="AJ93" i="182"/>
  <c r="BZ93" i="182"/>
  <c r="AV93" i="182"/>
  <c r="DV93" i="182"/>
  <c r="AD93" i="182"/>
  <c r="CL93" i="182"/>
  <c r="BH93" i="182"/>
  <c r="FB173" i="182"/>
  <c r="AL173" i="182"/>
  <c r="BV173" i="182"/>
  <c r="DX173" i="182"/>
  <c r="Z173" i="182"/>
  <c r="CH173" i="182"/>
  <c r="BP173" i="182"/>
  <c r="AF173" i="182"/>
  <c r="AR173" i="182"/>
  <c r="CN173" i="182"/>
  <c r="GF173" i="182"/>
  <c r="BJ173" i="182"/>
  <c r="BD173" i="182"/>
  <c r="AX173" i="182"/>
  <c r="CT173" i="182"/>
  <c r="CB173" i="182"/>
  <c r="BY123" i="182"/>
  <c r="AU123" i="182"/>
  <c r="CE123" i="182"/>
  <c r="CQ123" i="182"/>
  <c r="BG123" i="182"/>
  <c r="DU123" i="182"/>
  <c r="AI123" i="182"/>
  <c r="BA123" i="182"/>
  <c r="GC123" i="182"/>
  <c r="BS123" i="182"/>
  <c r="AC123" i="182"/>
  <c r="CK123" i="182"/>
  <c r="AO123" i="182"/>
  <c r="BM123" i="182"/>
  <c r="EY123" i="182"/>
  <c r="W123" i="182"/>
  <c r="CK207" i="182"/>
  <c r="BG207" i="182"/>
  <c r="CQ207" i="182"/>
  <c r="W207" i="182"/>
  <c r="BM207" i="182"/>
  <c r="BA207" i="182"/>
  <c r="CE207" i="182"/>
  <c r="DU207" i="182"/>
  <c r="AO207" i="182"/>
  <c r="BY207" i="182"/>
  <c r="AI207" i="182"/>
  <c r="GC207" i="182"/>
  <c r="AU207" i="182"/>
  <c r="EY207" i="182"/>
  <c r="AC207" i="182"/>
  <c r="BS207" i="182"/>
  <c r="BM103" i="182"/>
  <c r="EY103" i="182"/>
  <c r="AI103" i="182"/>
  <c r="BY103" i="182"/>
  <c r="AU103" i="182"/>
  <c r="CK103" i="182"/>
  <c r="BG103" i="182"/>
  <c r="DU103" i="182"/>
  <c r="AC103" i="182"/>
  <c r="BS103" i="182"/>
  <c r="GC103" i="182"/>
  <c r="AO103" i="182"/>
  <c r="BA103" i="182"/>
  <c r="CQ103" i="182"/>
  <c r="CE103" i="182"/>
  <c r="W103" i="182"/>
  <c r="GC135" i="182"/>
  <c r="AO135" i="182"/>
  <c r="CE135" i="182"/>
  <c r="BA135" i="182"/>
  <c r="BY135" i="182"/>
  <c r="AU135" i="182"/>
  <c r="CK135" i="182"/>
  <c r="BG135" i="182"/>
  <c r="EY135" i="182"/>
  <c r="W135" i="182"/>
  <c r="BS135" i="182"/>
  <c r="BM135" i="182"/>
  <c r="AI135" i="182"/>
  <c r="CQ135" i="182"/>
  <c r="AC135" i="182"/>
  <c r="DU135" i="182"/>
  <c r="BB168" i="182"/>
  <c r="CR168" i="182"/>
  <c r="X168" i="182"/>
  <c r="EZ168" i="182"/>
  <c r="AJ168" i="182"/>
  <c r="CL168" i="182"/>
  <c r="BH168" i="182"/>
  <c r="DV168" i="182"/>
  <c r="AD168" i="182"/>
  <c r="GD168" i="182"/>
  <c r="AV168" i="182"/>
  <c r="BT168" i="182"/>
  <c r="AP168" i="182"/>
  <c r="BN168" i="182"/>
  <c r="CF168" i="182"/>
  <c r="BZ168" i="182"/>
  <c r="BH148" i="182"/>
  <c r="CF148" i="182"/>
  <c r="BB148" i="182"/>
  <c r="CR148" i="182"/>
  <c r="X148" i="182"/>
  <c r="GD148" i="182"/>
  <c r="AV148" i="182"/>
  <c r="CL148" i="182"/>
  <c r="BN148" i="182"/>
  <c r="EZ148" i="182"/>
  <c r="AP148" i="182"/>
  <c r="DV148" i="182"/>
  <c r="AJ148" i="182"/>
  <c r="BZ148" i="182"/>
  <c r="AD148" i="182"/>
  <c r="BT148" i="182"/>
  <c r="AW98" i="182"/>
  <c r="CM98" i="182"/>
  <c r="BI98" i="182"/>
  <c r="DW98" i="182"/>
  <c r="CG98" i="182"/>
  <c r="BO98" i="182"/>
  <c r="AQ98" i="182"/>
  <c r="Y98" i="182"/>
  <c r="GE98" i="182"/>
  <c r="CS98" i="182"/>
  <c r="CA98" i="182"/>
  <c r="BU98" i="182"/>
  <c r="BC98" i="182"/>
  <c r="AK98" i="182"/>
  <c r="FA98" i="182"/>
  <c r="AE98" i="182"/>
  <c r="BS152" i="182"/>
  <c r="GC152" i="182"/>
  <c r="AO152" i="182"/>
  <c r="BA152" i="182"/>
  <c r="BM152" i="182"/>
  <c r="EY152" i="182"/>
  <c r="AI152" i="182"/>
  <c r="BY152" i="182"/>
  <c r="CK152" i="182"/>
  <c r="DU152" i="182"/>
  <c r="AC152" i="182"/>
  <c r="W152" i="182"/>
  <c r="CE152" i="182"/>
  <c r="AU152" i="182"/>
  <c r="CQ152" i="182"/>
  <c r="BG152" i="182"/>
  <c r="DW186" i="182"/>
  <c r="AE186" i="182"/>
  <c r="BU186" i="182"/>
  <c r="CG186" i="182"/>
  <c r="BC186" i="182"/>
  <c r="CS186" i="182"/>
  <c r="Y186" i="182"/>
  <c r="FA186" i="182"/>
  <c r="AK186" i="182"/>
  <c r="CA186" i="182"/>
  <c r="BI186" i="182"/>
  <c r="CM186" i="182"/>
  <c r="AW186" i="182"/>
  <c r="BO186" i="182"/>
  <c r="AQ186" i="182"/>
  <c r="GE186" i="182"/>
  <c r="BY58" i="182"/>
  <c r="AU58" i="182"/>
  <c r="CK58" i="182"/>
  <c r="BG58" i="182"/>
  <c r="DU58" i="182"/>
  <c r="AC58" i="182"/>
  <c r="BS58" i="182"/>
  <c r="GC58" i="182"/>
  <c r="AO58" i="182"/>
  <c r="EY58" i="182"/>
  <c r="CQ58" i="182"/>
  <c r="AI58" i="182"/>
  <c r="BM58" i="182"/>
  <c r="W58" i="182"/>
  <c r="CE58" i="182"/>
  <c r="BA58" i="182"/>
  <c r="BN198" i="182"/>
  <c r="BH198" i="182"/>
  <c r="DV198" i="182"/>
  <c r="AD198" i="182"/>
  <c r="AP198" i="182"/>
  <c r="X198" i="182"/>
  <c r="BZ198" i="182"/>
  <c r="BT198" i="182"/>
  <c r="BB198" i="182"/>
  <c r="EZ198" i="182"/>
  <c r="CR198" i="182"/>
  <c r="CL198" i="182"/>
  <c r="CF198" i="182"/>
  <c r="AJ198" i="182"/>
  <c r="GD198" i="182"/>
  <c r="AV198" i="182"/>
  <c r="CF76" i="182"/>
  <c r="AJ76" i="182"/>
  <c r="BZ76" i="182"/>
  <c r="EZ76" i="182"/>
  <c r="AV76" i="182"/>
  <c r="CL76" i="182"/>
  <c r="BH76" i="182"/>
  <c r="AD76" i="182"/>
  <c r="BT76" i="182"/>
  <c r="DV76" i="182"/>
  <c r="AP76" i="182"/>
  <c r="BB76" i="182"/>
  <c r="BN76" i="182"/>
  <c r="GD76" i="182"/>
  <c r="CR76" i="182"/>
  <c r="X76" i="182"/>
  <c r="BO101" i="182"/>
  <c r="FA101" i="182"/>
  <c r="AK101" i="182"/>
  <c r="AW101" i="182"/>
  <c r="DW101" i="182"/>
  <c r="AE101" i="182"/>
  <c r="BU101" i="182"/>
  <c r="GE101" i="182"/>
  <c r="AQ101" i="182"/>
  <c r="CS101" i="182"/>
  <c r="CM101" i="182"/>
  <c r="BI101" i="182"/>
  <c r="CG101" i="182"/>
  <c r="BC101" i="182"/>
  <c r="CA101" i="182"/>
  <c r="Y101" i="182"/>
  <c r="EY200" i="182"/>
  <c r="AI200" i="182"/>
  <c r="DU200" i="182"/>
  <c r="AC200" i="182"/>
  <c r="BS200" i="182"/>
  <c r="CK200" i="182"/>
  <c r="CE200" i="182"/>
  <c r="BM200" i="182"/>
  <c r="AO200" i="182"/>
  <c r="W200" i="182"/>
  <c r="BY200" i="182"/>
  <c r="GC200" i="182"/>
  <c r="CQ200" i="182"/>
  <c r="AU200" i="182"/>
  <c r="BA200" i="182"/>
  <c r="BG200" i="182"/>
  <c r="BS50" i="182"/>
  <c r="GC50" i="182"/>
  <c r="AO50" i="182"/>
  <c r="BA50" i="182"/>
  <c r="CQ50" i="182"/>
  <c r="W50" i="182"/>
  <c r="EY50" i="182"/>
  <c r="CE50" i="182"/>
  <c r="BG50" i="182"/>
  <c r="AI50" i="182"/>
  <c r="DU50" i="182"/>
  <c r="BY50" i="182"/>
  <c r="AC50" i="182"/>
  <c r="BM50" i="182"/>
  <c r="AU50" i="182"/>
  <c r="CK50" i="182"/>
  <c r="DU128" i="182"/>
  <c r="AC128" i="182"/>
  <c r="BS128" i="182"/>
  <c r="GC128" i="182"/>
  <c r="AO128" i="182"/>
  <c r="EY128" i="182"/>
  <c r="CK128" i="182"/>
  <c r="W128" i="182"/>
  <c r="CE128" i="182"/>
  <c r="BG128" i="182"/>
  <c r="AI128" i="182"/>
  <c r="BA128" i="182"/>
  <c r="BY128" i="182"/>
  <c r="CQ128" i="182"/>
  <c r="AU128" i="182"/>
  <c r="BM128" i="182"/>
  <c r="GF212" i="182"/>
  <c r="AR212" i="182"/>
  <c r="CH212" i="182"/>
  <c r="CT212" i="182"/>
  <c r="Z212" i="182"/>
  <c r="BP212" i="182"/>
  <c r="DX212" i="182"/>
  <c r="AL212" i="182"/>
  <c r="BJ212" i="182"/>
  <c r="CN212" i="182"/>
  <c r="AX212" i="182"/>
  <c r="FB212" i="182"/>
  <c r="CB212" i="182"/>
  <c r="AF212" i="182"/>
  <c r="BD212" i="182"/>
  <c r="BV212" i="182"/>
  <c r="CA121" i="182"/>
  <c r="AW121" i="182"/>
  <c r="CS121" i="182"/>
  <c r="BI121" i="182"/>
  <c r="AQ121" i="182"/>
  <c r="FA121" i="182"/>
  <c r="BU121" i="182"/>
  <c r="AK121" i="182"/>
  <c r="DW121" i="182"/>
  <c r="CG121" i="182"/>
  <c r="GE121" i="182"/>
  <c r="AE121" i="182"/>
  <c r="BO121" i="182"/>
  <c r="Y121" i="182"/>
  <c r="BC121" i="182"/>
  <c r="CM121" i="182"/>
  <c r="CS205" i="182"/>
  <c r="Y205" i="182"/>
  <c r="BO205" i="182"/>
  <c r="GE205" i="182"/>
  <c r="CA205" i="182"/>
  <c r="BI205" i="182"/>
  <c r="FA205" i="182"/>
  <c r="CM205" i="182"/>
  <c r="CG205" i="182"/>
  <c r="AE205" i="182"/>
  <c r="DW205" i="182"/>
  <c r="BU205" i="182"/>
  <c r="AQ205" i="182"/>
  <c r="AK205" i="182"/>
  <c r="AW205" i="182"/>
  <c r="BC205" i="182"/>
  <c r="BB115" i="182"/>
  <c r="BZ115" i="182"/>
  <c r="DV115" i="182"/>
  <c r="AJ115" i="182"/>
  <c r="CF115" i="182"/>
  <c r="BN115" i="182"/>
  <c r="AV115" i="182"/>
  <c r="GD115" i="182"/>
  <c r="CR115" i="182"/>
  <c r="AD115" i="182"/>
  <c r="BH115" i="182"/>
  <c r="EZ115" i="182"/>
  <c r="AP115" i="182"/>
  <c r="BT115" i="182"/>
  <c r="X115" i="182"/>
  <c r="CL115" i="182"/>
  <c r="FB197" i="182"/>
  <c r="CN197" i="182"/>
  <c r="BJ197" i="182"/>
  <c r="BV197" i="182"/>
  <c r="BD197" i="182"/>
  <c r="CB197" i="182"/>
  <c r="GF197" i="182"/>
  <c r="AX197" i="182"/>
  <c r="Z197" i="182"/>
  <c r="AR197" i="182"/>
  <c r="CH197" i="182"/>
  <c r="DX197" i="182"/>
  <c r="AL197" i="182"/>
  <c r="AF197" i="182"/>
  <c r="BP197" i="182"/>
  <c r="CT197" i="182"/>
  <c r="EZ96" i="182"/>
  <c r="BZ96" i="182"/>
  <c r="BT96" i="182"/>
  <c r="X96" i="182"/>
  <c r="BB96" i="182"/>
  <c r="DV96" i="182"/>
  <c r="CF96" i="182"/>
  <c r="AJ96" i="182"/>
  <c r="BN96" i="182"/>
  <c r="AV96" i="182"/>
  <c r="GD96" i="182"/>
  <c r="CR96" i="182"/>
  <c r="AD96" i="182"/>
  <c r="CL96" i="182"/>
  <c r="AP96" i="182"/>
  <c r="BH96" i="182"/>
  <c r="AV177" i="182"/>
  <c r="BB177" i="182"/>
  <c r="CF177" i="182"/>
  <c r="BN177" i="182"/>
  <c r="CR177" i="182"/>
  <c r="BZ177" i="182"/>
  <c r="AD177" i="182"/>
  <c r="CL177" i="182"/>
  <c r="AP177" i="182"/>
  <c r="GD177" i="182"/>
  <c r="EZ177" i="182"/>
  <c r="BT177" i="182"/>
  <c r="AJ177" i="182"/>
  <c r="DV177" i="182"/>
  <c r="BH177" i="182"/>
  <c r="X177" i="182"/>
  <c r="DU86" i="182"/>
  <c r="AC86" i="182"/>
  <c r="BM86" i="182"/>
  <c r="CQ86" i="182"/>
  <c r="BY86" i="182"/>
  <c r="GC86" i="182"/>
  <c r="BG86" i="182"/>
  <c r="AO86" i="182"/>
  <c r="W86" i="182"/>
  <c r="CK86" i="182"/>
  <c r="BS86" i="182"/>
  <c r="EY86" i="182"/>
  <c r="BA86" i="182"/>
  <c r="AI86" i="182"/>
  <c r="CE86" i="182"/>
  <c r="AU86" i="182"/>
  <c r="CE168" i="182"/>
  <c r="BA168" i="182"/>
  <c r="BM168" i="182"/>
  <c r="AU168" i="182"/>
  <c r="CK168" i="182"/>
  <c r="BG168" i="182"/>
  <c r="AC168" i="182"/>
  <c r="W168" i="182"/>
  <c r="BY168" i="182"/>
  <c r="DU168" i="182"/>
  <c r="BS168" i="182"/>
  <c r="CQ168" i="182"/>
  <c r="AI168" i="182"/>
  <c r="GC168" i="182"/>
  <c r="EY168" i="182"/>
  <c r="AO168" i="182"/>
  <c r="EZ97" i="182"/>
  <c r="BZ97" i="182"/>
  <c r="AV97" i="182"/>
  <c r="GD97" i="182"/>
  <c r="CR97" i="182"/>
  <c r="CL97" i="182"/>
  <c r="BT97" i="182"/>
  <c r="BB97" i="182"/>
  <c r="AJ97" i="182"/>
  <c r="AD97" i="182"/>
  <c r="DV97" i="182"/>
  <c r="CF97" i="182"/>
  <c r="BN97" i="182"/>
  <c r="BH97" i="182"/>
  <c r="AP97" i="182"/>
  <c r="X97" i="182"/>
  <c r="GC52" i="182"/>
  <c r="AO52" i="182"/>
  <c r="CE52" i="182"/>
  <c r="BA52" i="182"/>
  <c r="CQ52" i="182"/>
  <c r="W52" i="182"/>
  <c r="BM52" i="182"/>
  <c r="EY52" i="182"/>
  <c r="AI52" i="182"/>
  <c r="CK52" i="182"/>
  <c r="BG52" i="182"/>
  <c r="AC52" i="182"/>
  <c r="BY52" i="182"/>
  <c r="AU52" i="182"/>
  <c r="DU52" i="182"/>
  <c r="BS52" i="182"/>
  <c r="DV45" i="182"/>
  <c r="AD45" i="182"/>
  <c r="BT45" i="182"/>
  <c r="GD45" i="182"/>
  <c r="AP45" i="182"/>
  <c r="CF45" i="182"/>
  <c r="BB45" i="182"/>
  <c r="CR45" i="182"/>
  <c r="X45" i="182"/>
  <c r="BN45" i="182"/>
  <c r="BZ45" i="182"/>
  <c r="EZ45" i="182"/>
  <c r="AJ45" i="182"/>
  <c r="AV45" i="182"/>
  <c r="BH45" i="182"/>
  <c r="CL45" i="182"/>
  <c r="BY105" i="182"/>
  <c r="AU105" i="182"/>
  <c r="CK105" i="182"/>
  <c r="BG105" i="182"/>
  <c r="DU105" i="182"/>
  <c r="AC105" i="182"/>
  <c r="BS105" i="182"/>
  <c r="GC105" i="182"/>
  <c r="AO105" i="182"/>
  <c r="CE105" i="182"/>
  <c r="BA105" i="182"/>
  <c r="CQ105" i="182"/>
  <c r="EY105" i="182"/>
  <c r="AI105" i="182"/>
  <c r="BM105" i="182"/>
  <c r="W105" i="182"/>
  <c r="CK197" i="182"/>
  <c r="AI197" i="182"/>
  <c r="BY197" i="182"/>
  <c r="DU197" i="182"/>
  <c r="BS197" i="182"/>
  <c r="AC197" i="182"/>
  <c r="CQ197" i="182"/>
  <c r="GC197" i="182"/>
  <c r="W197" i="182"/>
  <c r="BG197" i="182"/>
  <c r="AO197" i="182"/>
  <c r="BM197" i="182"/>
  <c r="BA197" i="182"/>
  <c r="EY197" i="182"/>
  <c r="AU197" i="182"/>
  <c r="CE197" i="182"/>
  <c r="BY66" i="182"/>
  <c r="CK66" i="182"/>
  <c r="BS66" i="182"/>
  <c r="GC66" i="182"/>
  <c r="AO66" i="182"/>
  <c r="AU66" i="182"/>
  <c r="AC66" i="182"/>
  <c r="EY66" i="182"/>
  <c r="CE66" i="182"/>
  <c r="BM66" i="182"/>
  <c r="W66" i="182"/>
  <c r="DU66" i="182"/>
  <c r="AI66" i="182"/>
  <c r="BA66" i="182"/>
  <c r="BG66" i="182"/>
  <c r="CQ66" i="182"/>
  <c r="BC114" i="182"/>
  <c r="FA114" i="182"/>
  <c r="AE114" i="182"/>
  <c r="BI114" i="182"/>
  <c r="CM114" i="182"/>
  <c r="AQ114" i="182"/>
  <c r="BU114" i="182"/>
  <c r="Y114" i="182"/>
  <c r="DW114" i="182"/>
  <c r="CG114" i="182"/>
  <c r="AK114" i="182"/>
  <c r="GE114" i="182"/>
  <c r="BO114" i="182"/>
  <c r="CS114" i="182"/>
  <c r="AW114" i="182"/>
  <c r="CA114" i="182"/>
  <c r="GF132" i="182"/>
  <c r="AR132" i="182"/>
  <c r="CH132" i="182"/>
  <c r="BD132" i="182"/>
  <c r="CB132" i="182"/>
  <c r="AX132" i="182"/>
  <c r="CN132" i="182"/>
  <c r="FB132" i="182"/>
  <c r="BV132" i="182"/>
  <c r="AL132" i="182"/>
  <c r="BJ132" i="182"/>
  <c r="Z132" i="182"/>
  <c r="CT132" i="182"/>
  <c r="AF132" i="182"/>
  <c r="BP132" i="182"/>
  <c r="DX132" i="182"/>
  <c r="CM170" i="182"/>
  <c r="CG170" i="182"/>
  <c r="BO170" i="182"/>
  <c r="CS170" i="182"/>
  <c r="GE170" i="182"/>
  <c r="Y170" i="182"/>
  <c r="BU170" i="182"/>
  <c r="AW170" i="182"/>
  <c r="DW170" i="182"/>
  <c r="AE170" i="182"/>
  <c r="FA170" i="182"/>
  <c r="BI170" i="182"/>
  <c r="AQ170" i="182"/>
  <c r="CA170" i="182"/>
  <c r="BC170" i="182"/>
  <c r="AK170" i="182"/>
  <c r="GD51" i="182"/>
  <c r="CF51" i="182"/>
  <c r="BB51" i="182"/>
  <c r="CR51" i="182"/>
  <c r="BN51" i="182"/>
  <c r="EZ51" i="182"/>
  <c r="AJ51" i="182"/>
  <c r="BZ51" i="182"/>
  <c r="AV51" i="182"/>
  <c r="X51" i="182"/>
  <c r="DV51" i="182"/>
  <c r="BT51" i="182"/>
  <c r="CL51" i="182"/>
  <c r="AP51" i="182"/>
  <c r="BH51" i="182"/>
  <c r="AD51" i="182"/>
  <c r="BA194" i="182"/>
  <c r="CQ194" i="182"/>
  <c r="W194" i="182"/>
  <c r="CK194" i="182"/>
  <c r="GC194" i="182"/>
  <c r="AI194" i="182"/>
  <c r="AC194" i="182"/>
  <c r="BM194" i="182"/>
  <c r="AU194" i="182"/>
  <c r="DU194" i="182"/>
  <c r="CE194" i="182"/>
  <c r="AO194" i="182"/>
  <c r="BY194" i="182"/>
  <c r="BS194" i="182"/>
  <c r="EY194" i="182"/>
  <c r="BG194" i="182"/>
  <c r="CH128" i="182"/>
  <c r="BD128" i="182"/>
  <c r="CT128" i="182"/>
  <c r="Z128" i="182"/>
  <c r="FB128" i="182"/>
  <c r="CB128" i="182"/>
  <c r="BJ128" i="182"/>
  <c r="AR128" i="182"/>
  <c r="BP128" i="182"/>
  <c r="CN128" i="182"/>
  <c r="AF128" i="182"/>
  <c r="DX128" i="182"/>
  <c r="BV128" i="182"/>
  <c r="AX128" i="182"/>
  <c r="AL128" i="182"/>
  <c r="GF128" i="182"/>
  <c r="CN65" i="182"/>
  <c r="CH65" i="182"/>
  <c r="BD65" i="182"/>
  <c r="GF65" i="182"/>
  <c r="AL65" i="182"/>
  <c r="BV65" i="182"/>
  <c r="FB65" i="182"/>
  <c r="AF65" i="182"/>
  <c r="BP65" i="182"/>
  <c r="AX65" i="182"/>
  <c r="DX65" i="182"/>
  <c r="Z65" i="182"/>
  <c r="BJ65" i="182"/>
  <c r="AR65" i="182"/>
  <c r="CT65" i="182"/>
  <c r="CB65" i="182"/>
  <c r="BI162" i="182"/>
  <c r="DW162" i="182"/>
  <c r="AE162" i="182"/>
  <c r="CS162" i="182"/>
  <c r="Y162" i="182"/>
  <c r="BO162" i="182"/>
  <c r="CG162" i="182"/>
  <c r="AQ162" i="182"/>
  <c r="CA162" i="182"/>
  <c r="BU162" i="182"/>
  <c r="BC162" i="182"/>
  <c r="AK162" i="182"/>
  <c r="CM162" i="182"/>
  <c r="GE162" i="182"/>
  <c r="AW162" i="182"/>
  <c r="FA162" i="182"/>
  <c r="DW208" i="182"/>
  <c r="AE208" i="182"/>
  <c r="BU208" i="182"/>
  <c r="GE208" i="182"/>
  <c r="AQ208" i="182"/>
  <c r="CA208" i="182"/>
  <c r="AW208" i="182"/>
  <c r="CM208" i="182"/>
  <c r="BI208" i="182"/>
  <c r="AK208" i="182"/>
  <c r="BC208" i="182"/>
  <c r="CS208" i="182"/>
  <c r="Y208" i="182"/>
  <c r="CG208" i="182"/>
  <c r="FA208" i="182"/>
  <c r="BO208" i="182"/>
  <c r="BM157" i="182"/>
  <c r="EY157" i="182"/>
  <c r="AI157" i="182"/>
  <c r="AU157" i="182"/>
  <c r="BG157" i="182"/>
  <c r="DU157" i="182"/>
  <c r="AC157" i="182"/>
  <c r="BS157" i="182"/>
  <c r="CE157" i="182"/>
  <c r="BA157" i="182"/>
  <c r="BY157" i="182"/>
  <c r="CK157" i="182"/>
  <c r="W157" i="182"/>
  <c r="AO157" i="182"/>
  <c r="GC157" i="182"/>
  <c r="CQ157" i="182"/>
  <c r="BG85" i="182"/>
  <c r="CQ85" i="182"/>
  <c r="AU85" i="182"/>
  <c r="BY85" i="182"/>
  <c r="AC85" i="182"/>
  <c r="EY85" i="182"/>
  <c r="CK85" i="182"/>
  <c r="AO85" i="182"/>
  <c r="BS85" i="182"/>
  <c r="DU85" i="182"/>
  <c r="W85" i="182"/>
  <c r="CE85" i="182"/>
  <c r="BM85" i="182"/>
  <c r="BA85" i="182"/>
  <c r="GC85" i="182"/>
  <c r="AI85" i="182"/>
  <c r="AU185" i="182"/>
  <c r="CK185" i="182"/>
  <c r="DU185" i="182"/>
  <c r="AC185" i="182"/>
  <c r="BS185" i="182"/>
  <c r="GC185" i="182"/>
  <c r="AO185" i="182"/>
  <c r="BA185" i="182"/>
  <c r="CQ185" i="182"/>
  <c r="W185" i="182"/>
  <c r="BY185" i="182"/>
  <c r="EY185" i="182"/>
  <c r="BM185" i="182"/>
  <c r="BG185" i="182"/>
  <c r="AI185" i="182"/>
  <c r="CE185" i="182"/>
  <c r="GF108" i="182"/>
  <c r="AR108" i="182"/>
  <c r="CH108" i="182"/>
  <c r="BD108" i="182"/>
  <c r="CT108" i="182"/>
  <c r="Z108" i="182"/>
  <c r="BP108" i="182"/>
  <c r="FB108" i="182"/>
  <c r="AL108" i="182"/>
  <c r="CB108" i="182"/>
  <c r="AX108" i="182"/>
  <c r="CN108" i="182"/>
  <c r="BJ108" i="182"/>
  <c r="AF108" i="182"/>
  <c r="BV108" i="182"/>
  <c r="DX108" i="182"/>
  <c r="BU212" i="182"/>
  <c r="GE212" i="182"/>
  <c r="AQ212" i="182"/>
  <c r="BC212" i="182"/>
  <c r="CS212" i="182"/>
  <c r="Y212" i="182"/>
  <c r="BI212" i="182"/>
  <c r="CG212" i="182"/>
  <c r="DW212" i="182"/>
  <c r="AK212" i="182"/>
  <c r="CM212" i="182"/>
  <c r="AW212" i="182"/>
  <c r="CA212" i="182"/>
  <c r="BO212" i="182"/>
  <c r="FA212" i="182"/>
  <c r="AE212" i="182"/>
  <c r="CF135" i="182"/>
  <c r="BB135" i="182"/>
  <c r="CR135" i="182"/>
  <c r="X135" i="182"/>
  <c r="AV135" i="182"/>
  <c r="CL135" i="182"/>
  <c r="BH135" i="182"/>
  <c r="DV135" i="182"/>
  <c r="AD135" i="182"/>
  <c r="BZ135" i="182"/>
  <c r="BN135" i="182"/>
  <c r="AJ135" i="182"/>
  <c r="EZ135" i="182"/>
  <c r="GD135" i="182"/>
  <c r="BT135" i="182"/>
  <c r="AP135" i="182"/>
  <c r="CE53" i="182"/>
  <c r="BA53" i="182"/>
  <c r="CQ53" i="182"/>
  <c r="W53" i="182"/>
  <c r="BM53" i="182"/>
  <c r="EY53" i="182"/>
  <c r="AI53" i="182"/>
  <c r="BY53" i="182"/>
  <c r="DU53" i="182"/>
  <c r="BS53" i="182"/>
  <c r="AO53" i="182"/>
  <c r="CK53" i="182"/>
  <c r="BG53" i="182"/>
  <c r="AC53" i="182"/>
  <c r="GC53" i="182"/>
  <c r="AU53" i="182"/>
  <c r="DW91" i="182"/>
  <c r="AE91" i="182"/>
  <c r="BU91" i="182"/>
  <c r="GE91" i="182"/>
  <c r="AQ91" i="182"/>
  <c r="CG91" i="182"/>
  <c r="BC91" i="182"/>
  <c r="CS91" i="182"/>
  <c r="Y91" i="182"/>
  <c r="BO91" i="182"/>
  <c r="FA91" i="182"/>
  <c r="CA91" i="182"/>
  <c r="BI91" i="182"/>
  <c r="CM91" i="182"/>
  <c r="AW91" i="182"/>
  <c r="AK91" i="182"/>
  <c r="BV131" i="182"/>
  <c r="GF131" i="182"/>
  <c r="BP131" i="182"/>
  <c r="FB131" i="182"/>
  <c r="AL131" i="182"/>
  <c r="CB131" i="182"/>
  <c r="CH131" i="182"/>
  <c r="AR131" i="182"/>
  <c r="BD131" i="182"/>
  <c r="AX131" i="182"/>
  <c r="CT131" i="182"/>
  <c r="AF131" i="182"/>
  <c r="CN131" i="182"/>
  <c r="BJ131" i="182"/>
  <c r="Z131" i="182"/>
  <c r="DX131" i="182"/>
  <c r="BB172" i="182"/>
  <c r="GD172" i="182"/>
  <c r="BN172" i="182"/>
  <c r="CR172" i="182"/>
  <c r="BZ172" i="182"/>
  <c r="BH172" i="182"/>
  <c r="BT172" i="182"/>
  <c r="X172" i="182"/>
  <c r="DV172" i="182"/>
  <c r="AV172" i="182"/>
  <c r="AP172" i="182"/>
  <c r="CL172" i="182"/>
  <c r="AJ172" i="182"/>
  <c r="AD172" i="182"/>
  <c r="CF172" i="182"/>
  <c r="EZ172" i="182"/>
  <c r="GD47" i="182"/>
  <c r="AP47" i="182"/>
  <c r="CF47" i="182"/>
  <c r="BB47" i="182"/>
  <c r="CR47" i="182"/>
  <c r="X47" i="182"/>
  <c r="BN47" i="182"/>
  <c r="CL47" i="182"/>
  <c r="EZ47" i="182"/>
  <c r="AJ47" i="182"/>
  <c r="BZ47" i="182"/>
  <c r="AV47" i="182"/>
  <c r="BH47" i="182"/>
  <c r="DV47" i="182"/>
  <c r="AD47" i="182"/>
  <c r="BT47" i="182"/>
  <c r="DW84" i="182"/>
  <c r="AE84" i="182"/>
  <c r="BC84" i="182"/>
  <c r="CG84" i="182"/>
  <c r="GE84" i="182"/>
  <c r="AK84" i="182"/>
  <c r="BO84" i="182"/>
  <c r="CS84" i="182"/>
  <c r="AW84" i="182"/>
  <c r="CA84" i="182"/>
  <c r="FA84" i="182"/>
  <c r="CM84" i="182"/>
  <c r="AQ84" i="182"/>
  <c r="Y84" i="182"/>
  <c r="BU84" i="182"/>
  <c r="BI84" i="182"/>
  <c r="DX124" i="182"/>
  <c r="AF124" i="182"/>
  <c r="BV124" i="182"/>
  <c r="CB124" i="182"/>
  <c r="CN124" i="182"/>
  <c r="BD124" i="182"/>
  <c r="CH124" i="182"/>
  <c r="BP124" i="182"/>
  <c r="AX124" i="182"/>
  <c r="AR124" i="182"/>
  <c r="Z124" i="182"/>
  <c r="AL124" i="182"/>
  <c r="CT124" i="182"/>
  <c r="GF124" i="182"/>
  <c r="FB124" i="182"/>
  <c r="BJ124" i="182"/>
  <c r="CG166" i="182"/>
  <c r="BC166" i="182"/>
  <c r="BO166" i="182"/>
  <c r="AW166" i="182"/>
  <c r="CM166" i="182"/>
  <c r="BI166" i="182"/>
  <c r="CS166" i="182"/>
  <c r="Y166" i="182"/>
  <c r="FA166" i="182"/>
  <c r="AK166" i="182"/>
  <c r="DW166" i="182"/>
  <c r="AE166" i="182"/>
  <c r="BU166" i="182"/>
  <c r="GE166" i="182"/>
  <c r="CA166" i="182"/>
  <c r="AQ166" i="182"/>
  <c r="BG209" i="182"/>
  <c r="DU209" i="182"/>
  <c r="AC209" i="182"/>
  <c r="BS209" i="182"/>
  <c r="EY209" i="182"/>
  <c r="AI209" i="182"/>
  <c r="BY209" i="182"/>
  <c r="W209" i="182"/>
  <c r="CE209" i="182"/>
  <c r="BM209" i="182"/>
  <c r="AO209" i="182"/>
  <c r="CQ209" i="182"/>
  <c r="GC209" i="182"/>
  <c r="AU209" i="182"/>
  <c r="BA209" i="182"/>
  <c r="CK209" i="182"/>
  <c r="BP77" i="182"/>
  <c r="BD77" i="182"/>
  <c r="CH77" i="182"/>
  <c r="AL77" i="182"/>
  <c r="GF77" i="182"/>
  <c r="CT77" i="182"/>
  <c r="AX77" i="182"/>
  <c r="CB77" i="182"/>
  <c r="FB77" i="182"/>
  <c r="AF77" i="182"/>
  <c r="BJ77" i="182"/>
  <c r="AR77" i="182"/>
  <c r="BV77" i="182"/>
  <c r="DX77" i="182"/>
  <c r="CN77" i="182"/>
  <c r="Z77" i="182"/>
  <c r="GE118" i="182"/>
  <c r="CS118" i="182"/>
  <c r="Y118" i="182"/>
  <c r="CA118" i="182"/>
  <c r="AW118" i="182"/>
  <c r="DW118" i="182"/>
  <c r="AE118" i="182"/>
  <c r="BC118" i="182"/>
  <c r="BU118" i="182"/>
  <c r="CM118" i="182"/>
  <c r="BO118" i="182"/>
  <c r="AQ118" i="182"/>
  <c r="FA118" i="182"/>
  <c r="CG118" i="182"/>
  <c r="BI118" i="182"/>
  <c r="AK118" i="182"/>
  <c r="EY160" i="182"/>
  <c r="AI160" i="182"/>
  <c r="BY160" i="182"/>
  <c r="AO160" i="182"/>
  <c r="W160" i="182"/>
  <c r="BS160" i="182"/>
  <c r="DU160" i="182"/>
  <c r="CE160" i="182"/>
  <c r="AU160" i="182"/>
  <c r="GC160" i="182"/>
  <c r="BA160" i="182"/>
  <c r="CK160" i="182"/>
  <c r="AC160" i="182"/>
  <c r="CQ160" i="182"/>
  <c r="BM160" i="182"/>
  <c r="BG160" i="182"/>
  <c r="CN200" i="182"/>
  <c r="CH200" i="182"/>
  <c r="BD200" i="182"/>
  <c r="BP200" i="182"/>
  <c r="AX200" i="182"/>
  <c r="CT200" i="182"/>
  <c r="CB200" i="182"/>
  <c r="GF200" i="182"/>
  <c r="BV200" i="182"/>
  <c r="FB200" i="182"/>
  <c r="Z200" i="182"/>
  <c r="BJ200" i="182"/>
  <c r="AR200" i="182"/>
  <c r="AF200" i="182"/>
  <c r="DX200" i="182"/>
  <c r="AL200" i="182"/>
  <c r="DW60" i="182"/>
  <c r="AE60" i="182"/>
  <c r="BU60" i="182"/>
  <c r="GE60" i="182"/>
  <c r="AQ60" i="182"/>
  <c r="CG60" i="182"/>
  <c r="BC60" i="182"/>
  <c r="CS60" i="182"/>
  <c r="Y60" i="182"/>
  <c r="BO60" i="182"/>
  <c r="CA60" i="182"/>
  <c r="FA60" i="182"/>
  <c r="BI60" i="182"/>
  <c r="AK60" i="182"/>
  <c r="CM60" i="182"/>
  <c r="AW60" i="182"/>
  <c r="AV99" i="182"/>
  <c r="CL99" i="182"/>
  <c r="BH99" i="182"/>
  <c r="CR99" i="182"/>
  <c r="BZ99" i="182"/>
  <c r="GD99" i="182"/>
  <c r="BT99" i="182"/>
  <c r="BB99" i="182"/>
  <c r="AJ99" i="182"/>
  <c r="AD99" i="182"/>
  <c r="EZ99" i="182"/>
  <c r="AP99" i="182"/>
  <c r="X99" i="182"/>
  <c r="CF99" i="182"/>
  <c r="BN99" i="182"/>
  <c r="DV99" i="182"/>
  <c r="EY141" i="182"/>
  <c r="AI141" i="182"/>
  <c r="BY141" i="182"/>
  <c r="GC141" i="182"/>
  <c r="CK141" i="182"/>
  <c r="W141" i="182"/>
  <c r="BS141" i="182"/>
  <c r="BA141" i="182"/>
  <c r="BM141" i="182"/>
  <c r="AU141" i="182"/>
  <c r="AC141" i="182"/>
  <c r="CQ141" i="182"/>
  <c r="BG141" i="182"/>
  <c r="CE141" i="182"/>
  <c r="DU141" i="182"/>
  <c r="AO141" i="182"/>
  <c r="DW180" i="182"/>
  <c r="AE180" i="182"/>
  <c r="BU180" i="182"/>
  <c r="BC180" i="182"/>
  <c r="CS180" i="182"/>
  <c r="Y180" i="182"/>
  <c r="FA180" i="182"/>
  <c r="AK180" i="182"/>
  <c r="CA180" i="182"/>
  <c r="GE180" i="182"/>
  <c r="CM180" i="182"/>
  <c r="BO180" i="182"/>
  <c r="AW180" i="182"/>
  <c r="CG180" i="182"/>
  <c r="AQ180" i="182"/>
  <c r="BI180" i="182"/>
  <c r="BD51" i="182"/>
  <c r="CT51" i="182"/>
  <c r="Z51" i="182"/>
  <c r="BP51" i="182"/>
  <c r="FB51" i="182"/>
  <c r="AL51" i="182"/>
  <c r="CB51" i="182"/>
  <c r="AX51" i="182"/>
  <c r="DX51" i="182"/>
  <c r="BV51" i="182"/>
  <c r="AR51" i="182"/>
  <c r="CN51" i="182"/>
  <c r="BJ51" i="182"/>
  <c r="AF51" i="182"/>
  <c r="GF51" i="182"/>
  <c r="CH51" i="182"/>
  <c r="CK89" i="182"/>
  <c r="BG89" i="182"/>
  <c r="DU89" i="182"/>
  <c r="AC89" i="182"/>
  <c r="BS89" i="182"/>
  <c r="GC89" i="182"/>
  <c r="AO89" i="182"/>
  <c r="CE89" i="182"/>
  <c r="BA89" i="182"/>
  <c r="AU89" i="182"/>
  <c r="AI89" i="182"/>
  <c r="BY89" i="182"/>
  <c r="W89" i="182"/>
  <c r="BM89" i="182"/>
  <c r="EY89" i="182"/>
  <c r="CQ89" i="182"/>
  <c r="GC130" i="182"/>
  <c r="AO130" i="182"/>
  <c r="CE130" i="182"/>
  <c r="BA130" i="182"/>
  <c r="BG130" i="182"/>
  <c r="CK130" i="182"/>
  <c r="BS130" i="182"/>
  <c r="BM130" i="182"/>
  <c r="DU130" i="182"/>
  <c r="AU130" i="182"/>
  <c r="AC130" i="182"/>
  <c r="CQ130" i="182"/>
  <c r="BY130" i="182"/>
  <c r="W130" i="182"/>
  <c r="EY130" i="182"/>
  <c r="AI130" i="182"/>
  <c r="GC171" i="182"/>
  <c r="AU171" i="182"/>
  <c r="CK171" i="182"/>
  <c r="AO171" i="182"/>
  <c r="CQ171" i="182"/>
  <c r="W171" i="182"/>
  <c r="BY171" i="182"/>
  <c r="BA171" i="182"/>
  <c r="BS171" i="182"/>
  <c r="AC171" i="182"/>
  <c r="BM171" i="182"/>
  <c r="EY171" i="182"/>
  <c r="CE171" i="182"/>
  <c r="DU171" i="182"/>
  <c r="BG171" i="182"/>
  <c r="AI171" i="182"/>
  <c r="BD214" i="182"/>
  <c r="CT214" i="182"/>
  <c r="Z214" i="182"/>
  <c r="FB214" i="182"/>
  <c r="AL214" i="182"/>
  <c r="CB214" i="182"/>
  <c r="DX214" i="182"/>
  <c r="BV214" i="182"/>
  <c r="GF214" i="182"/>
  <c r="AR214" i="182"/>
  <c r="BP214" i="182"/>
  <c r="BJ214" i="182"/>
  <c r="CN214" i="182"/>
  <c r="CH214" i="182"/>
  <c r="AX214" i="182"/>
  <c r="AF214" i="182"/>
  <c r="BT70" i="182"/>
  <c r="GD70" i="182"/>
  <c r="AP70" i="182"/>
  <c r="CF70" i="182"/>
  <c r="BB70" i="182"/>
  <c r="CR70" i="182"/>
  <c r="X70" i="182"/>
  <c r="BN70" i="182"/>
  <c r="EZ70" i="182"/>
  <c r="AJ70" i="182"/>
  <c r="BZ70" i="182"/>
  <c r="AD70" i="182"/>
  <c r="BH70" i="182"/>
  <c r="DV70" i="182"/>
  <c r="AV70" i="182"/>
  <c r="CL70" i="182"/>
  <c r="BS110" i="182"/>
  <c r="GC110" i="182"/>
  <c r="AO110" i="182"/>
  <c r="CE110" i="182"/>
  <c r="BA110" i="182"/>
  <c r="CQ110" i="182"/>
  <c r="W110" i="182"/>
  <c r="BM110" i="182"/>
  <c r="EY110" i="182"/>
  <c r="AI110" i="182"/>
  <c r="BY110" i="182"/>
  <c r="AU110" i="182"/>
  <c r="CK110" i="182"/>
  <c r="BG110" i="182"/>
  <c r="DU110" i="182"/>
  <c r="AC110" i="182"/>
  <c r="GE151" i="182"/>
  <c r="AQ151" i="182"/>
  <c r="CG151" i="182"/>
  <c r="CS151" i="182"/>
  <c r="Y151" i="182"/>
  <c r="FA151" i="182"/>
  <c r="AK151" i="182"/>
  <c r="CA151" i="182"/>
  <c r="AW151" i="182"/>
  <c r="BI151" i="182"/>
  <c r="BU151" i="182"/>
  <c r="DW151" i="182"/>
  <c r="BO151" i="182"/>
  <c r="AE151" i="182"/>
  <c r="BC151" i="182"/>
  <c r="CM151" i="182"/>
  <c r="CS193" i="182"/>
  <c r="Y193" i="182"/>
  <c r="BO193" i="182"/>
  <c r="BI193" i="182"/>
  <c r="AQ193" i="182"/>
  <c r="CA193" i="182"/>
  <c r="BU193" i="182"/>
  <c r="BC193" i="182"/>
  <c r="AW193" i="182"/>
  <c r="AE193" i="182"/>
  <c r="CG193" i="182"/>
  <c r="GE193" i="182"/>
  <c r="AK193" i="182"/>
  <c r="FA193" i="182"/>
  <c r="DW193" i="182"/>
  <c r="CM193" i="182"/>
  <c r="BU61" i="182"/>
  <c r="GE61" i="182"/>
  <c r="AQ61" i="182"/>
  <c r="CG61" i="182"/>
  <c r="BC61" i="182"/>
  <c r="CS61" i="182"/>
  <c r="Y61" i="182"/>
  <c r="BO61" i="182"/>
  <c r="FA61" i="182"/>
  <c r="AK61" i="182"/>
  <c r="CA61" i="182"/>
  <c r="BI61" i="182"/>
  <c r="DW61" i="182"/>
  <c r="AE61" i="182"/>
  <c r="CM61" i="182"/>
  <c r="AW61" i="182"/>
  <c r="BB100" i="182"/>
  <c r="CR100" i="182"/>
  <c r="EZ100" i="182"/>
  <c r="AJ100" i="182"/>
  <c r="CL100" i="182"/>
  <c r="BH100" i="182"/>
  <c r="DV100" i="182"/>
  <c r="AD100" i="182"/>
  <c r="BN100" i="182"/>
  <c r="GD100" i="182"/>
  <c r="CF100" i="182"/>
  <c r="BZ100" i="182"/>
  <c r="AV100" i="182"/>
  <c r="X100" i="182"/>
  <c r="BT100" i="182"/>
  <c r="AP100" i="182"/>
  <c r="CL142" i="182"/>
  <c r="BH142" i="182"/>
  <c r="DV142" i="182"/>
  <c r="GD142" i="182"/>
  <c r="CR142" i="182"/>
  <c r="X142" i="182"/>
  <c r="BZ142" i="182"/>
  <c r="Q142" i="182"/>
  <c r="AD142" i="182"/>
  <c r="BN142" i="182"/>
  <c r="AV142" i="182"/>
  <c r="EZ142" i="182"/>
  <c r="AP142" i="182"/>
  <c r="BB142" i="182"/>
  <c r="BT142" i="182"/>
  <c r="CF142" i="182"/>
  <c r="AJ142" i="182"/>
  <c r="GF181" i="182"/>
  <c r="AR181" i="182"/>
  <c r="CH181" i="182"/>
  <c r="BP181" i="182"/>
  <c r="FB181" i="182"/>
  <c r="AL181" i="182"/>
  <c r="AX181" i="182"/>
  <c r="BJ181" i="182"/>
  <c r="CB181" i="182"/>
  <c r="BD181" i="182"/>
  <c r="CT181" i="182"/>
  <c r="AF181" i="182"/>
  <c r="CN181" i="182"/>
  <c r="BV181" i="182"/>
  <c r="DX181" i="182"/>
  <c r="Z181" i="182"/>
  <c r="GE187" i="182"/>
  <c r="BO187" i="182"/>
  <c r="CS187" i="182"/>
  <c r="CA187" i="182"/>
  <c r="BI187" i="182"/>
  <c r="FA187" i="182"/>
  <c r="CM187" i="182"/>
  <c r="Y187" i="182"/>
  <c r="BU187" i="182"/>
  <c r="BC187" i="182"/>
  <c r="DW187" i="182"/>
  <c r="CG187" i="182"/>
  <c r="AE187" i="182"/>
  <c r="AQ187" i="182"/>
  <c r="AK187" i="182"/>
  <c r="AW187" i="182"/>
  <c r="BI106" i="182"/>
  <c r="DW106" i="182"/>
  <c r="AE106" i="182"/>
  <c r="BU106" i="182"/>
  <c r="GE106" i="182"/>
  <c r="AQ106" i="182"/>
  <c r="CG106" i="182"/>
  <c r="BC106" i="182"/>
  <c r="CS106" i="182"/>
  <c r="Y106" i="182"/>
  <c r="BO106" i="182"/>
  <c r="FA106" i="182"/>
  <c r="AK106" i="182"/>
  <c r="CA106" i="182"/>
  <c r="CM106" i="182"/>
  <c r="AW106" i="182"/>
  <c r="BT145" i="182"/>
  <c r="GD145" i="182"/>
  <c r="AP145" i="182"/>
  <c r="CF145" i="182"/>
  <c r="CR145" i="182"/>
  <c r="X145" i="182"/>
  <c r="EZ145" i="182"/>
  <c r="AJ145" i="182"/>
  <c r="BZ145" i="182"/>
  <c r="CL145" i="182"/>
  <c r="BB145" i="182"/>
  <c r="AV145" i="182"/>
  <c r="DV145" i="182"/>
  <c r="BN145" i="182"/>
  <c r="AD145" i="182"/>
  <c r="BH145" i="182"/>
  <c r="GC72" i="182"/>
  <c r="AO72" i="182"/>
  <c r="CE72" i="182"/>
  <c r="BA72" i="182"/>
  <c r="CQ72" i="182"/>
  <c r="W72" i="182"/>
  <c r="BM72" i="182"/>
  <c r="EY72" i="182"/>
  <c r="AI72" i="182"/>
  <c r="BY72" i="182"/>
  <c r="AU72" i="182"/>
  <c r="AC72" i="182"/>
  <c r="BS72" i="182"/>
  <c r="BG72" i="182"/>
  <c r="CK72" i="182"/>
  <c r="DU72" i="182"/>
  <c r="EY140" i="182"/>
  <c r="AI140" i="182"/>
  <c r="BY140" i="182"/>
  <c r="AU140" i="182"/>
  <c r="DU140" i="182"/>
  <c r="BS140" i="182"/>
  <c r="AO140" i="182"/>
  <c r="CE140" i="182"/>
  <c r="GC140" i="182"/>
  <c r="BA140" i="182"/>
  <c r="BM140" i="182"/>
  <c r="CK140" i="182"/>
  <c r="AC140" i="182"/>
  <c r="W140" i="182"/>
  <c r="CQ140" i="182"/>
  <c r="BG140" i="182"/>
  <c r="DX59" i="182"/>
  <c r="AF59" i="182"/>
  <c r="BV59" i="182"/>
  <c r="GF59" i="182"/>
  <c r="AR59" i="182"/>
  <c r="CH59" i="182"/>
  <c r="BD59" i="182"/>
  <c r="CT59" i="182"/>
  <c r="Z59" i="182"/>
  <c r="BP59" i="182"/>
  <c r="CB59" i="182"/>
  <c r="FB59" i="182"/>
  <c r="AL59" i="182"/>
  <c r="BJ59" i="182"/>
  <c r="CN59" i="182"/>
  <c r="AX59" i="182"/>
  <c r="AW81" i="182"/>
  <c r="AK81" i="182"/>
  <c r="CS81" i="182"/>
  <c r="BO81" i="182"/>
  <c r="CA81" i="182"/>
  <c r="FA81" i="182"/>
  <c r="AE81" i="182"/>
  <c r="CM81" i="182"/>
  <c r="BI81" i="182"/>
  <c r="AQ81" i="182"/>
  <c r="Y81" i="182"/>
  <c r="BC81" i="182"/>
  <c r="CG81" i="182"/>
  <c r="GE81" i="182"/>
  <c r="BU81" i="182"/>
  <c r="DW81" i="182"/>
  <c r="CF130" i="182"/>
  <c r="BB130" i="182"/>
  <c r="CR130" i="182"/>
  <c r="X130" i="182"/>
  <c r="GD130" i="182"/>
  <c r="AP130" i="182"/>
  <c r="DV130" i="182"/>
  <c r="AV130" i="182"/>
  <c r="AD130" i="182"/>
  <c r="BH130" i="182"/>
  <c r="CL130" i="182"/>
  <c r="EZ130" i="182"/>
  <c r="BZ130" i="182"/>
  <c r="BT130" i="182"/>
  <c r="AJ130" i="182"/>
  <c r="BN130" i="182"/>
  <c r="CK149" i="182"/>
  <c r="BG149" i="182"/>
  <c r="BS149" i="182"/>
  <c r="CE149" i="182"/>
  <c r="BA149" i="182"/>
  <c r="CQ149" i="182"/>
  <c r="W149" i="182"/>
  <c r="BM149" i="182"/>
  <c r="AI149" i="182"/>
  <c r="AC149" i="182"/>
  <c r="EY149" i="182"/>
  <c r="BY149" i="182"/>
  <c r="AU149" i="182"/>
  <c r="GC149" i="182"/>
  <c r="DU149" i="182"/>
  <c r="AO149" i="182"/>
  <c r="EZ196" i="182"/>
  <c r="AJ196" i="182"/>
  <c r="BZ196" i="182"/>
  <c r="BT196" i="182"/>
  <c r="BH196" i="182"/>
  <c r="BB196" i="182"/>
  <c r="CL196" i="182"/>
  <c r="AV196" i="182"/>
  <c r="AD196" i="182"/>
  <c r="AP196" i="182"/>
  <c r="X196" i="182"/>
  <c r="CR196" i="182"/>
  <c r="CF196" i="182"/>
  <c r="GD196" i="182"/>
  <c r="BN196" i="182"/>
  <c r="DV196" i="182"/>
  <c r="DV63" i="182"/>
  <c r="AP63" i="182"/>
  <c r="CF63" i="182"/>
  <c r="BB63" i="182"/>
  <c r="X63" i="182"/>
  <c r="GD63" i="182"/>
  <c r="BN63" i="182"/>
  <c r="CR63" i="182"/>
  <c r="AJ63" i="182"/>
  <c r="BZ63" i="182"/>
  <c r="AV63" i="182"/>
  <c r="AD63" i="182"/>
  <c r="BT63" i="182"/>
  <c r="EZ63" i="182"/>
  <c r="BH63" i="182"/>
  <c r="CL63" i="182"/>
  <c r="DV201" i="182"/>
  <c r="AV201" i="182"/>
  <c r="BT201" i="182"/>
  <c r="AP201" i="182"/>
  <c r="EZ201" i="182"/>
  <c r="CF201" i="182"/>
  <c r="X201" i="182"/>
  <c r="BH201" i="182"/>
  <c r="BB201" i="182"/>
  <c r="AJ201" i="182"/>
  <c r="CR201" i="182"/>
  <c r="GD201" i="182"/>
  <c r="BN201" i="182"/>
  <c r="CL201" i="182"/>
  <c r="AD201" i="182"/>
  <c r="BZ201" i="182"/>
  <c r="CR137" i="182"/>
  <c r="X137" i="182"/>
  <c r="BN137" i="182"/>
  <c r="EZ137" i="182"/>
  <c r="AJ137" i="182"/>
  <c r="BH137" i="182"/>
  <c r="DV137" i="182"/>
  <c r="AD137" i="182"/>
  <c r="BT137" i="182"/>
  <c r="GD137" i="182"/>
  <c r="AP137" i="182"/>
  <c r="CL137" i="182"/>
  <c r="BB137" i="182"/>
  <c r="CF137" i="182"/>
  <c r="AV137" i="182"/>
  <c r="BZ137" i="182"/>
  <c r="BC72" i="182"/>
  <c r="CS72" i="182"/>
  <c r="Y72" i="182"/>
  <c r="BO72" i="182"/>
  <c r="FA72" i="182"/>
  <c r="AK72" i="182"/>
  <c r="CA72" i="182"/>
  <c r="AW72" i="182"/>
  <c r="CM72" i="182"/>
  <c r="BI72" i="182"/>
  <c r="AQ72" i="182"/>
  <c r="CG72" i="182"/>
  <c r="AE72" i="182"/>
  <c r="BU72" i="182"/>
  <c r="GE72" i="182"/>
  <c r="DW72" i="182"/>
  <c r="AV170" i="182"/>
  <c r="GD170" i="182"/>
  <c r="CR170" i="182"/>
  <c r="BZ170" i="182"/>
  <c r="AP170" i="182"/>
  <c r="BB170" i="182"/>
  <c r="EZ170" i="182"/>
  <c r="AJ170" i="182"/>
  <c r="BN170" i="182"/>
  <c r="CF170" i="182"/>
  <c r="X170" i="182"/>
  <c r="DV170" i="182"/>
  <c r="BH170" i="182"/>
  <c r="CL170" i="182"/>
  <c r="AD170" i="182"/>
  <c r="BT170" i="182"/>
  <c r="BV68" i="182"/>
  <c r="GF68" i="182"/>
  <c r="AR68" i="182"/>
  <c r="CH68" i="182"/>
  <c r="CT68" i="182"/>
  <c r="Z68" i="182"/>
  <c r="BP68" i="182"/>
  <c r="FB68" i="182"/>
  <c r="AL68" i="182"/>
  <c r="DX68" i="182"/>
  <c r="CN68" i="182"/>
  <c r="BJ68" i="182"/>
  <c r="CB68" i="182"/>
  <c r="BD68" i="182"/>
  <c r="AX68" i="182"/>
  <c r="AF68" i="182"/>
  <c r="CH165" i="182"/>
  <c r="BD165" i="182"/>
  <c r="BP165" i="182"/>
  <c r="AX165" i="182"/>
  <c r="CN165" i="182"/>
  <c r="BJ165" i="182"/>
  <c r="BV165" i="182"/>
  <c r="GF165" i="182"/>
  <c r="AF165" i="182"/>
  <c r="FB165" i="182"/>
  <c r="CB165" i="182"/>
  <c r="Z165" i="182"/>
  <c r="AR165" i="182"/>
  <c r="AL165" i="182"/>
  <c r="CT165" i="182"/>
  <c r="DX165" i="182"/>
  <c r="DU93" i="182"/>
  <c r="AC93" i="182"/>
  <c r="BS93" i="182"/>
  <c r="GC93" i="182"/>
  <c r="AO93" i="182"/>
  <c r="CE93" i="182"/>
  <c r="BA93" i="182"/>
  <c r="CQ93" i="182"/>
  <c r="W93" i="182"/>
  <c r="BM93" i="182"/>
  <c r="EY93" i="182"/>
  <c r="AI93" i="182"/>
  <c r="BY93" i="182"/>
  <c r="BG93" i="182"/>
  <c r="CK93" i="182"/>
  <c r="AU93" i="182"/>
  <c r="BN192" i="182"/>
  <c r="EZ192" i="182"/>
  <c r="AJ192" i="182"/>
  <c r="CL192" i="182"/>
  <c r="BH192" i="182"/>
  <c r="BT192" i="182"/>
  <c r="AP192" i="182"/>
  <c r="GD192" i="182"/>
  <c r="BB192" i="182"/>
  <c r="X192" i="182"/>
  <c r="AV192" i="182"/>
  <c r="DV192" i="182"/>
  <c r="CR192" i="182"/>
  <c r="CF192" i="182"/>
  <c r="AD192" i="182"/>
  <c r="BZ192" i="182"/>
  <c r="CT117" i="182"/>
  <c r="Z117" i="182"/>
  <c r="CB117" i="182"/>
  <c r="DX117" i="182"/>
  <c r="AF117" i="182"/>
  <c r="GF117" i="182"/>
  <c r="AL117" i="182"/>
  <c r="BV117" i="182"/>
  <c r="BD117" i="182"/>
  <c r="CN117" i="182"/>
  <c r="FB117" i="182"/>
  <c r="AX117" i="182"/>
  <c r="BP117" i="182"/>
  <c r="CH117" i="182"/>
  <c r="AR117" i="182"/>
  <c r="BJ117" i="182"/>
  <c r="DV48" i="182"/>
  <c r="CF48" i="182"/>
  <c r="BB48" i="182"/>
  <c r="BT48" i="182"/>
  <c r="EZ48" i="182"/>
  <c r="CL48" i="182"/>
  <c r="X48" i="182"/>
  <c r="BN48" i="182"/>
  <c r="AJ48" i="182"/>
  <c r="AV48" i="182"/>
  <c r="CR48" i="182"/>
  <c r="BZ48" i="182"/>
  <c r="BH48" i="182"/>
  <c r="AD48" i="182"/>
  <c r="GD48" i="182"/>
  <c r="AP48" i="182"/>
  <c r="BG144" i="182"/>
  <c r="DU144" i="182"/>
  <c r="AC144" i="182"/>
  <c r="BS144" i="182"/>
  <c r="CE144" i="182"/>
  <c r="CQ144" i="182"/>
  <c r="W144" i="182"/>
  <c r="BM144" i="182"/>
  <c r="BA144" i="182"/>
  <c r="BY144" i="182"/>
  <c r="GC144" i="182"/>
  <c r="AO144" i="182"/>
  <c r="CK144" i="182"/>
  <c r="EY144" i="182"/>
  <c r="AI144" i="182"/>
  <c r="AU144" i="182"/>
  <c r="BM56" i="182"/>
  <c r="EY56" i="182"/>
  <c r="AI56" i="182"/>
  <c r="BY56" i="182"/>
  <c r="AU56" i="182"/>
  <c r="CK56" i="182"/>
  <c r="BG56" i="182"/>
  <c r="DU56" i="182"/>
  <c r="AC56" i="182"/>
  <c r="W56" i="182"/>
  <c r="BA56" i="182"/>
  <c r="CE56" i="182"/>
  <c r="GC56" i="182"/>
  <c r="AO56" i="182"/>
  <c r="BS56" i="182"/>
  <c r="CQ56" i="182"/>
  <c r="BD94" i="182"/>
  <c r="CT94" i="182"/>
  <c r="Z94" i="182"/>
  <c r="BP94" i="182"/>
  <c r="FB94" i="182"/>
  <c r="AL94" i="182"/>
  <c r="CB94" i="182"/>
  <c r="AX94" i="182"/>
  <c r="CN94" i="182"/>
  <c r="BJ94" i="182"/>
  <c r="DX94" i="182"/>
  <c r="AF94" i="182"/>
  <c r="CH94" i="182"/>
  <c r="BV94" i="182"/>
  <c r="AR94" i="182"/>
  <c r="GF94" i="182"/>
  <c r="CT135" i="182"/>
  <c r="Z135" i="182"/>
  <c r="BP135" i="182"/>
  <c r="FB135" i="182"/>
  <c r="AL135" i="182"/>
  <c r="BJ135" i="182"/>
  <c r="DX135" i="182"/>
  <c r="AF135" i="182"/>
  <c r="BV135" i="182"/>
  <c r="GF135" i="182"/>
  <c r="AR135" i="182"/>
  <c r="CN135" i="182"/>
  <c r="CB135" i="182"/>
  <c r="BD135" i="182"/>
  <c r="AX135" i="182"/>
  <c r="CH135" i="182"/>
  <c r="AX175" i="182"/>
  <c r="BD175" i="182"/>
  <c r="Z175" i="182"/>
  <c r="GF175" i="182"/>
  <c r="CH175" i="182"/>
  <c r="BP175" i="182"/>
  <c r="CT175" i="182"/>
  <c r="FB175" i="182"/>
  <c r="CB175" i="182"/>
  <c r="CN175" i="182"/>
  <c r="DX175" i="182"/>
  <c r="BV175" i="182"/>
  <c r="AR175" i="182"/>
  <c r="AL175" i="182"/>
  <c r="AF175" i="182"/>
  <c r="BJ175" i="182"/>
  <c r="GD50" i="182"/>
  <c r="AP50" i="182"/>
  <c r="CF50" i="182"/>
  <c r="CR50" i="182"/>
  <c r="X50" i="182"/>
  <c r="BN50" i="182"/>
  <c r="BH50" i="182"/>
  <c r="AJ50" i="182"/>
  <c r="AD50" i="182"/>
  <c r="DV50" i="182"/>
  <c r="BZ50" i="182"/>
  <c r="BB50" i="182"/>
  <c r="BT50" i="182"/>
  <c r="AV50" i="182"/>
  <c r="CL50" i="182"/>
  <c r="EZ50" i="182"/>
  <c r="BI87" i="182"/>
  <c r="BU87" i="182"/>
  <c r="GE87" i="182"/>
  <c r="AQ87" i="182"/>
  <c r="CG87" i="182"/>
  <c r="AW87" i="182"/>
  <c r="AK87" i="182"/>
  <c r="FA87" i="182"/>
  <c r="BC87" i="182"/>
  <c r="AE87" i="182"/>
  <c r="CA87" i="182"/>
  <c r="DW87" i="182"/>
  <c r="Y87" i="182"/>
  <c r="CS87" i="182"/>
  <c r="BO87" i="182"/>
  <c r="CM87" i="182"/>
  <c r="BT128" i="182"/>
  <c r="GD128" i="182"/>
  <c r="AP128" i="182"/>
  <c r="CF128" i="182"/>
  <c r="CR128" i="182"/>
  <c r="BZ128" i="182"/>
  <c r="BH128" i="182"/>
  <c r="DV128" i="182"/>
  <c r="BN128" i="182"/>
  <c r="AJ128" i="182"/>
  <c r="EZ128" i="182"/>
  <c r="BB128" i="182"/>
  <c r="AD128" i="182"/>
  <c r="CL128" i="182"/>
  <c r="AV128" i="182"/>
  <c r="X128" i="182"/>
  <c r="CS169" i="182"/>
  <c r="BO169" i="182"/>
  <c r="AK169" i="182"/>
  <c r="FA169" i="182"/>
  <c r="AW169" i="182"/>
  <c r="AE169" i="182"/>
  <c r="DW169" i="182"/>
  <c r="BU169" i="182"/>
  <c r="AQ169" i="182"/>
  <c r="BI169" i="182"/>
  <c r="GE169" i="182"/>
  <c r="BC169" i="182"/>
  <c r="Y169" i="182"/>
  <c r="CA169" i="182"/>
  <c r="CM169" i="182"/>
  <c r="CG169" i="182"/>
  <c r="DU213" i="182"/>
  <c r="AC213" i="182"/>
  <c r="BS213" i="182"/>
  <c r="CE213" i="182"/>
  <c r="BA213" i="182"/>
  <c r="CK213" i="182"/>
  <c r="BY213" i="182"/>
  <c r="W213" i="182"/>
  <c r="CQ213" i="182"/>
  <c r="AI213" i="182"/>
  <c r="EY213" i="182"/>
  <c r="BG213" i="182"/>
  <c r="AU213" i="182"/>
  <c r="GC213" i="182"/>
  <c r="AO213" i="182"/>
  <c r="BM213" i="182"/>
  <c r="EY81" i="182"/>
  <c r="AI81" i="182"/>
  <c r="CE81" i="182"/>
  <c r="BA81" i="182"/>
  <c r="GC81" i="182"/>
  <c r="CQ81" i="182"/>
  <c r="BM81" i="182"/>
  <c r="AU81" i="182"/>
  <c r="BY81" i="182"/>
  <c r="AC81" i="182"/>
  <c r="CK81" i="182"/>
  <c r="BG81" i="182"/>
  <c r="AO81" i="182"/>
  <c r="BS81" i="182"/>
  <c r="DU81" i="182"/>
  <c r="W81" i="182"/>
  <c r="AX121" i="182"/>
  <c r="CN121" i="182"/>
  <c r="CB121" i="182"/>
  <c r="AR121" i="182"/>
  <c r="Z121" i="182"/>
  <c r="BD121" i="182"/>
  <c r="DX121" i="182"/>
  <c r="CH121" i="182"/>
  <c r="BP121" i="182"/>
  <c r="AF121" i="182"/>
  <c r="CT121" i="182"/>
  <c r="BJ121" i="182"/>
  <c r="AL121" i="182"/>
  <c r="BV121" i="182"/>
  <c r="GF121" i="182"/>
  <c r="FB121" i="182"/>
  <c r="BH163" i="182"/>
  <c r="DV163" i="182"/>
  <c r="AD163" i="182"/>
  <c r="GD163" i="182"/>
  <c r="CR163" i="182"/>
  <c r="X163" i="182"/>
  <c r="BN163" i="182"/>
  <c r="AV163" i="182"/>
  <c r="CL163" i="182"/>
  <c r="AP163" i="182"/>
  <c r="EZ163" i="182"/>
  <c r="CF163" i="182"/>
  <c r="AJ163" i="182"/>
  <c r="BB163" i="182"/>
  <c r="BZ163" i="182"/>
  <c r="BT163" i="182"/>
  <c r="BP205" i="182"/>
  <c r="FB205" i="182"/>
  <c r="AL205" i="182"/>
  <c r="DX205" i="182"/>
  <c r="CT205" i="182"/>
  <c r="BJ205" i="182"/>
  <c r="AR205" i="182"/>
  <c r="CN205" i="182"/>
  <c r="BV205" i="182"/>
  <c r="CH205" i="182"/>
  <c r="AF205" i="182"/>
  <c r="GF205" i="182"/>
  <c r="BD205" i="182"/>
  <c r="CB205" i="182"/>
  <c r="AX205" i="182"/>
  <c r="Z205" i="182"/>
  <c r="DW63" i="182"/>
  <c r="CG63" i="182"/>
  <c r="BC63" i="182"/>
  <c r="Y63" i="182"/>
  <c r="GE63" i="182"/>
  <c r="BO63" i="182"/>
  <c r="CS63" i="182"/>
  <c r="AK63" i="182"/>
  <c r="CA63" i="182"/>
  <c r="AW63" i="182"/>
  <c r="AE63" i="182"/>
  <c r="BU63" i="182"/>
  <c r="FA63" i="182"/>
  <c r="BI63" i="182"/>
  <c r="CM63" i="182"/>
  <c r="AQ63" i="182"/>
  <c r="BN102" i="182"/>
  <c r="EZ102" i="182"/>
  <c r="AJ102" i="182"/>
  <c r="BZ102" i="182"/>
  <c r="AV102" i="182"/>
  <c r="BH102" i="182"/>
  <c r="DV102" i="182"/>
  <c r="AD102" i="182"/>
  <c r="BT102" i="182"/>
  <c r="GD102" i="182"/>
  <c r="AP102" i="182"/>
  <c r="X102" i="182"/>
  <c r="BB102" i="182"/>
  <c r="CR102" i="182"/>
  <c r="CL102" i="182"/>
  <c r="CF102" i="182"/>
  <c r="GF144" i="182"/>
  <c r="AR144" i="182"/>
  <c r="CH144" i="182"/>
  <c r="BD144" i="182"/>
  <c r="BP144" i="182"/>
  <c r="CB144" i="182"/>
  <c r="AX144" i="182"/>
  <c r="CT144" i="182"/>
  <c r="Z144" i="182"/>
  <c r="FB144" i="182"/>
  <c r="AL144" i="182"/>
  <c r="BJ144" i="182"/>
  <c r="BV144" i="182"/>
  <c r="DX144" i="182"/>
  <c r="CN144" i="182"/>
  <c r="AF144" i="182"/>
  <c r="BV186" i="182"/>
  <c r="GF186" i="182"/>
  <c r="AR186" i="182"/>
  <c r="BD186" i="182"/>
  <c r="CT186" i="182"/>
  <c r="Z186" i="182"/>
  <c r="BP186" i="182"/>
  <c r="CB186" i="182"/>
  <c r="AX186" i="182"/>
  <c r="AL186" i="182"/>
  <c r="AF186" i="182"/>
  <c r="BJ186" i="182"/>
  <c r="CN186" i="182"/>
  <c r="CH186" i="182"/>
  <c r="DX186" i="182"/>
  <c r="FB186" i="182"/>
  <c r="FB54" i="182"/>
  <c r="AL54" i="182"/>
  <c r="CB54" i="182"/>
  <c r="AX54" i="182"/>
  <c r="CN54" i="182"/>
  <c r="BJ54" i="182"/>
  <c r="DX54" i="182"/>
  <c r="AF54" i="182"/>
  <c r="BV54" i="182"/>
  <c r="CT54" i="182"/>
  <c r="Z54" i="182"/>
  <c r="BD54" i="182"/>
  <c r="CH54" i="182"/>
  <c r="GF54" i="182"/>
  <c r="AR54" i="182"/>
  <c r="BP54" i="182"/>
  <c r="GE93" i="182"/>
  <c r="AQ93" i="182"/>
  <c r="CG93" i="182"/>
  <c r="BC93" i="182"/>
  <c r="CS93" i="182"/>
  <c r="Y93" i="182"/>
  <c r="BO93" i="182"/>
  <c r="FA93" i="182"/>
  <c r="AK93" i="182"/>
  <c r="CA93" i="182"/>
  <c r="AW93" i="182"/>
  <c r="CM93" i="182"/>
  <c r="BU93" i="182"/>
  <c r="DW93" i="182"/>
  <c r="BI93" i="182"/>
  <c r="AE93" i="182"/>
  <c r="BS134" i="182"/>
  <c r="GC134" i="182"/>
  <c r="AO134" i="182"/>
  <c r="CE134" i="182"/>
  <c r="EY134" i="182"/>
  <c r="AI134" i="182"/>
  <c r="BY134" i="182"/>
  <c r="AU134" i="182"/>
  <c r="DU134" i="182"/>
  <c r="BA134" i="182"/>
  <c r="AC134" i="182"/>
  <c r="CK134" i="182"/>
  <c r="BM134" i="182"/>
  <c r="CQ134" i="182"/>
  <c r="W134" i="182"/>
  <c r="BG134" i="182"/>
  <c r="CQ174" i="182"/>
  <c r="W174" i="182"/>
  <c r="GC174" i="182"/>
  <c r="AI174" i="182"/>
  <c r="BM174" i="182"/>
  <c r="BY174" i="182"/>
  <c r="AU174" i="182"/>
  <c r="AC174" i="182"/>
  <c r="CK174" i="182"/>
  <c r="BG174" i="182"/>
  <c r="BS174" i="182"/>
  <c r="AO174" i="182"/>
  <c r="CE174" i="182"/>
  <c r="EY174" i="182"/>
  <c r="DU174" i="182"/>
  <c r="BA174" i="182"/>
  <c r="DW207" i="182"/>
  <c r="AE207" i="182"/>
  <c r="BU207" i="182"/>
  <c r="FA207" i="182"/>
  <c r="AK207" i="182"/>
  <c r="CA207" i="182"/>
  <c r="CM207" i="182"/>
  <c r="Y207" i="182"/>
  <c r="BI207" i="182"/>
  <c r="GE207" i="182"/>
  <c r="CS207" i="182"/>
  <c r="BO207" i="182"/>
  <c r="CG207" i="182"/>
  <c r="AW207" i="182"/>
  <c r="AQ207" i="182"/>
  <c r="BC207" i="182"/>
  <c r="CS73" i="182"/>
  <c r="Y73" i="182"/>
  <c r="BO73" i="182"/>
  <c r="FA73" i="182"/>
  <c r="AK73" i="182"/>
  <c r="CA73" i="182"/>
  <c r="AW73" i="182"/>
  <c r="CM73" i="182"/>
  <c r="BI73" i="182"/>
  <c r="DW73" i="182"/>
  <c r="AE73" i="182"/>
  <c r="BC73" i="182"/>
  <c r="AQ73" i="182"/>
  <c r="CG73" i="182"/>
  <c r="GE73" i="182"/>
  <c r="BU73" i="182"/>
  <c r="GC114" i="182"/>
  <c r="AO114" i="182"/>
  <c r="AU114" i="182"/>
  <c r="BY114" i="182"/>
  <c r="EY114" i="182"/>
  <c r="AC114" i="182"/>
  <c r="BG114" i="182"/>
  <c r="CK114" i="182"/>
  <c r="BS114" i="182"/>
  <c r="W114" i="182"/>
  <c r="DU114" i="182"/>
  <c r="BA114" i="182"/>
  <c r="CE114" i="182"/>
  <c r="AI114" i="182"/>
  <c r="CQ114" i="182"/>
  <c r="BM114" i="182"/>
  <c r="BP154" i="182"/>
  <c r="FB154" i="182"/>
  <c r="AL154" i="182"/>
  <c r="AX154" i="182"/>
  <c r="BJ154" i="182"/>
  <c r="DX154" i="182"/>
  <c r="AF154" i="182"/>
  <c r="BV154" i="182"/>
  <c r="CH154" i="182"/>
  <c r="BD154" i="182"/>
  <c r="GF154" i="182"/>
  <c r="Z154" i="182"/>
  <c r="AR154" i="182"/>
  <c r="CT154" i="182"/>
  <c r="CN154" i="182"/>
  <c r="CB154" i="182"/>
  <c r="CA196" i="182"/>
  <c r="AW196" i="182"/>
  <c r="GE196" i="182"/>
  <c r="AQ196" i="182"/>
  <c r="CS196" i="182"/>
  <c r="CM196" i="182"/>
  <c r="BU196" i="182"/>
  <c r="FA196" i="182"/>
  <c r="CG196" i="182"/>
  <c r="BO196" i="182"/>
  <c r="BI196" i="182"/>
  <c r="AK196" i="182"/>
  <c r="AE196" i="182"/>
  <c r="Y196" i="182"/>
  <c r="BC196" i="182"/>
  <c r="DW196" i="182"/>
  <c r="BU64" i="182"/>
  <c r="GE64" i="182"/>
  <c r="AQ64" i="182"/>
  <c r="CG64" i="182"/>
  <c r="DW64" i="182"/>
  <c r="BO64" i="182"/>
  <c r="AW64" i="182"/>
  <c r="AE64" i="182"/>
  <c r="CS64" i="182"/>
  <c r="CA64" i="182"/>
  <c r="BI64" i="182"/>
  <c r="Y64" i="182"/>
  <c r="FA64" i="182"/>
  <c r="BC64" i="182"/>
  <c r="CM64" i="182"/>
  <c r="AK64" i="182"/>
  <c r="EZ103" i="182"/>
  <c r="AJ103" i="182"/>
  <c r="BZ103" i="182"/>
  <c r="AV103" i="182"/>
  <c r="CL103" i="182"/>
  <c r="BH103" i="182"/>
  <c r="DV103" i="182"/>
  <c r="AD103" i="182"/>
  <c r="BT103" i="182"/>
  <c r="GD103" i="182"/>
  <c r="AP103" i="182"/>
  <c r="CF103" i="182"/>
  <c r="BN103" i="182"/>
  <c r="BB103" i="182"/>
  <c r="CR103" i="182"/>
  <c r="X103" i="182"/>
  <c r="CH145" i="182"/>
  <c r="BD145" i="182"/>
  <c r="CT145" i="182"/>
  <c r="Z145" i="182"/>
  <c r="FB145" i="182"/>
  <c r="AL145" i="182"/>
  <c r="AX145" i="182"/>
  <c r="CN145" i="182"/>
  <c r="DX145" i="182"/>
  <c r="AF145" i="182"/>
  <c r="BP145" i="182"/>
  <c r="BJ145" i="182"/>
  <c r="BV145" i="182"/>
  <c r="GF145" i="182"/>
  <c r="CB145" i="182"/>
  <c r="AR145" i="182"/>
  <c r="CH187" i="182"/>
  <c r="FB187" i="182"/>
  <c r="AL187" i="182"/>
  <c r="GF187" i="182"/>
  <c r="BJ187" i="182"/>
  <c r="AR187" i="182"/>
  <c r="CN187" i="182"/>
  <c r="Z187" i="182"/>
  <c r="BV187" i="182"/>
  <c r="BD187" i="182"/>
  <c r="DX187" i="182"/>
  <c r="BP187" i="182"/>
  <c r="AX187" i="182"/>
  <c r="CT187" i="182"/>
  <c r="CB187" i="182"/>
  <c r="AF187" i="182"/>
  <c r="GE145" i="182"/>
  <c r="AQ145" i="182"/>
  <c r="CG145" i="182"/>
  <c r="BC145" i="182"/>
  <c r="BO145" i="182"/>
  <c r="CA145" i="182"/>
  <c r="AW145" i="182"/>
  <c r="BI145" i="182"/>
  <c r="BU145" i="182"/>
  <c r="AK145" i="182"/>
  <c r="DW145" i="182"/>
  <c r="AE145" i="182"/>
  <c r="CS145" i="182"/>
  <c r="Y145" i="182"/>
  <c r="FA145" i="182"/>
  <c r="CM145" i="182"/>
  <c r="DW148" i="182"/>
  <c r="AE148" i="182"/>
  <c r="GE148" i="182"/>
  <c r="BC148" i="182"/>
  <c r="CS148" i="182"/>
  <c r="Y148" i="182"/>
  <c r="BO148" i="182"/>
  <c r="CM148" i="182"/>
  <c r="FA148" i="182"/>
  <c r="CG148" i="182"/>
  <c r="CA148" i="182"/>
  <c r="BI148" i="182"/>
  <c r="AW148" i="182"/>
  <c r="AQ148" i="182"/>
  <c r="AK148" i="182"/>
  <c r="BU148" i="182"/>
  <c r="GF127" i="182"/>
  <c r="AR127" i="182"/>
  <c r="CH127" i="182"/>
  <c r="BD127" i="182"/>
  <c r="CB127" i="182"/>
  <c r="BJ127" i="182"/>
  <c r="CT127" i="182"/>
  <c r="AL127" i="182"/>
  <c r="BV127" i="182"/>
  <c r="CN127" i="182"/>
  <c r="AF127" i="182"/>
  <c r="AX127" i="182"/>
  <c r="FB127" i="182"/>
  <c r="BP127" i="182"/>
  <c r="Z127" i="182"/>
  <c r="DX127" i="182"/>
  <c r="BJ58" i="182"/>
  <c r="DX58" i="182"/>
  <c r="AF58" i="182"/>
  <c r="BV58" i="182"/>
  <c r="GF58" i="182"/>
  <c r="AR58" i="182"/>
  <c r="CH58" i="182"/>
  <c r="BD58" i="182"/>
  <c r="CT58" i="182"/>
  <c r="Z58" i="182"/>
  <c r="AX58" i="182"/>
  <c r="CB58" i="182"/>
  <c r="FB58" i="182"/>
  <c r="AL58" i="182"/>
  <c r="BP58" i="182"/>
  <c r="CN58" i="182"/>
  <c r="CB102" i="182"/>
  <c r="AX102" i="182"/>
  <c r="CN102" i="182"/>
  <c r="BJ102" i="182"/>
  <c r="BV102" i="182"/>
  <c r="GF102" i="182"/>
  <c r="AR102" i="182"/>
  <c r="CH102" i="182"/>
  <c r="BD102" i="182"/>
  <c r="AF102" i="182"/>
  <c r="Z102" i="182"/>
  <c r="BP102" i="182"/>
  <c r="FB102" i="182"/>
  <c r="DX102" i="182"/>
  <c r="CT102" i="182"/>
  <c r="AL102" i="182"/>
  <c r="CN176" i="182"/>
  <c r="AR176" i="182"/>
  <c r="DX176" i="182"/>
  <c r="Z176" i="182"/>
  <c r="BD176" i="182"/>
  <c r="CH176" i="182"/>
  <c r="GF176" i="182"/>
  <c r="AL176" i="182"/>
  <c r="CT176" i="182"/>
  <c r="CB176" i="182"/>
  <c r="BV176" i="182"/>
  <c r="BJ176" i="182"/>
  <c r="AF176" i="182"/>
  <c r="BP176" i="182"/>
  <c r="AX176" i="182"/>
  <c r="FB176" i="182"/>
  <c r="DW88" i="182"/>
  <c r="AE88" i="182"/>
  <c r="BU88" i="182"/>
  <c r="GE88" i="182"/>
  <c r="AQ88" i="182"/>
  <c r="CG88" i="182"/>
  <c r="BC88" i="182"/>
  <c r="CS88" i="182"/>
  <c r="Y88" i="182"/>
  <c r="CM88" i="182"/>
  <c r="BO88" i="182"/>
  <c r="AK88" i="182"/>
  <c r="BI88" i="182"/>
  <c r="AW88" i="182"/>
  <c r="CA88" i="182"/>
  <c r="FA88" i="182"/>
  <c r="CA97" i="182"/>
  <c r="AW97" i="182"/>
  <c r="CM97" i="182"/>
  <c r="BU97" i="182"/>
  <c r="BC97" i="182"/>
  <c r="AK97" i="182"/>
  <c r="FA97" i="182"/>
  <c r="AE97" i="182"/>
  <c r="DW97" i="182"/>
  <c r="CG97" i="182"/>
  <c r="BO97" i="182"/>
  <c r="BI97" i="182"/>
  <c r="AQ97" i="182"/>
  <c r="GE97" i="182"/>
  <c r="CS97" i="182"/>
  <c r="Y97" i="182"/>
  <c r="CG147" i="182"/>
  <c r="BC147" i="182"/>
  <c r="CS147" i="182"/>
  <c r="Y147" i="182"/>
  <c r="BO147" i="182"/>
  <c r="AW147" i="182"/>
  <c r="AE147" i="182"/>
  <c r="DW147" i="182"/>
  <c r="CA147" i="182"/>
  <c r="BI147" i="182"/>
  <c r="AQ147" i="182"/>
  <c r="AK147" i="182"/>
  <c r="GE147" i="182"/>
  <c r="BU147" i="182"/>
  <c r="FA147" i="182"/>
  <c r="CM147" i="182"/>
  <c r="EY169" i="182"/>
  <c r="GC169" i="182"/>
  <c r="BA169" i="182"/>
  <c r="W169" i="182"/>
  <c r="AI169" i="182"/>
  <c r="CK169" i="182"/>
  <c r="BG169" i="182"/>
  <c r="AC169" i="182"/>
  <c r="CQ169" i="182"/>
  <c r="BM169" i="182"/>
  <c r="CE169" i="182"/>
  <c r="AU169" i="182"/>
  <c r="DU169" i="182"/>
  <c r="BS169" i="182"/>
  <c r="BY169" i="182"/>
  <c r="AO169" i="182"/>
  <c r="CH49" i="182"/>
  <c r="BP49" i="182"/>
  <c r="FB49" i="182"/>
  <c r="AL49" i="182"/>
  <c r="DX49" i="182"/>
  <c r="Z49" i="182"/>
  <c r="CB49" i="182"/>
  <c r="BJ49" i="182"/>
  <c r="AR49" i="182"/>
  <c r="CN49" i="182"/>
  <c r="CT49" i="182"/>
  <c r="BV49" i="182"/>
  <c r="GF49" i="182"/>
  <c r="BD49" i="182"/>
  <c r="AX49" i="182"/>
  <c r="AF49" i="182"/>
  <c r="CR78" i="182"/>
  <c r="X78" i="182"/>
  <c r="AV78" i="182"/>
  <c r="BZ78" i="182"/>
  <c r="EZ78" i="182"/>
  <c r="AD78" i="182"/>
  <c r="BH78" i="182"/>
  <c r="CL78" i="182"/>
  <c r="AP78" i="182"/>
  <c r="BT78" i="182"/>
  <c r="DV78" i="182"/>
  <c r="CF78" i="182"/>
  <c r="AJ78" i="182"/>
  <c r="BN78" i="182"/>
  <c r="BB78" i="182"/>
  <c r="GD78" i="182"/>
  <c r="BD50" i="182"/>
  <c r="CT50" i="182"/>
  <c r="FB50" i="182"/>
  <c r="AL50" i="182"/>
  <c r="CB50" i="182"/>
  <c r="AR50" i="182"/>
  <c r="CH50" i="182"/>
  <c r="BJ50" i="182"/>
  <c r="DX50" i="182"/>
  <c r="GF50" i="182"/>
  <c r="AF50" i="182"/>
  <c r="CN50" i="182"/>
  <c r="BV50" i="182"/>
  <c r="AX50" i="182"/>
  <c r="BP50" i="182"/>
  <c r="Z50" i="182"/>
  <c r="GC146" i="182"/>
  <c r="BS146" i="182"/>
  <c r="AO146" i="182"/>
  <c r="CE146" i="182"/>
  <c r="CQ146" i="182"/>
  <c r="W146" i="182"/>
  <c r="EY146" i="182"/>
  <c r="AI146" i="182"/>
  <c r="BY146" i="182"/>
  <c r="CK146" i="182"/>
  <c r="AU146" i="182"/>
  <c r="DU146" i="182"/>
  <c r="BM146" i="182"/>
  <c r="AC146" i="182"/>
  <c r="BG146" i="182"/>
  <c r="BA146" i="182"/>
  <c r="BM80" i="182"/>
  <c r="CQ80" i="182"/>
  <c r="AU80" i="182"/>
  <c r="BY80" i="182"/>
  <c r="EY80" i="182"/>
  <c r="BG80" i="182"/>
  <c r="AC80" i="182"/>
  <c r="CK80" i="182"/>
  <c r="AO80" i="182"/>
  <c r="BS80" i="182"/>
  <c r="DU80" i="182"/>
  <c r="GC80" i="182"/>
  <c r="CE80" i="182"/>
  <c r="AI80" i="182"/>
  <c r="W80" i="182"/>
  <c r="BA80" i="182"/>
  <c r="BJ177" i="182"/>
  <c r="GF177" i="182"/>
  <c r="AL177" i="182"/>
  <c r="BP177" i="182"/>
  <c r="AX177" i="182"/>
  <c r="CB177" i="182"/>
  <c r="AF177" i="182"/>
  <c r="FB177" i="182"/>
  <c r="BV177" i="182"/>
  <c r="DX177" i="182"/>
  <c r="Z177" i="182"/>
  <c r="CN177" i="182"/>
  <c r="BD177" i="182"/>
  <c r="CH177" i="182"/>
  <c r="AR177" i="182"/>
  <c r="CT177" i="182"/>
  <c r="FA75" i="182"/>
  <c r="AK75" i="182"/>
  <c r="CA75" i="182"/>
  <c r="AW75" i="182"/>
  <c r="CM75" i="182"/>
  <c r="BI75" i="182"/>
  <c r="DW75" i="182"/>
  <c r="AE75" i="182"/>
  <c r="BU75" i="182"/>
  <c r="GE75" i="182"/>
  <c r="AQ75" i="182"/>
  <c r="BC75" i="182"/>
  <c r="BO75" i="182"/>
  <c r="CS75" i="182"/>
  <c r="CG75" i="182"/>
  <c r="Y75" i="182"/>
  <c r="CR173" i="182"/>
  <c r="X173" i="182"/>
  <c r="CL173" i="182"/>
  <c r="AP173" i="182"/>
  <c r="DV173" i="182"/>
  <c r="CF173" i="182"/>
  <c r="AJ173" i="182"/>
  <c r="AV173" i="182"/>
  <c r="GD173" i="182"/>
  <c r="BH173" i="182"/>
  <c r="BZ173" i="182"/>
  <c r="BT173" i="182"/>
  <c r="EZ173" i="182"/>
  <c r="BB173" i="182"/>
  <c r="AD173" i="182"/>
  <c r="BN173" i="182"/>
  <c r="CS100" i="182"/>
  <c r="BO100" i="182"/>
  <c r="CA100" i="182"/>
  <c r="BI100" i="182"/>
  <c r="DW100" i="182"/>
  <c r="AE100" i="182"/>
  <c r="BU100" i="182"/>
  <c r="AK100" i="182"/>
  <c r="CM100" i="182"/>
  <c r="GE100" i="182"/>
  <c r="CG100" i="182"/>
  <c r="BC100" i="182"/>
  <c r="FA100" i="182"/>
  <c r="AW100" i="182"/>
  <c r="Y100" i="182"/>
  <c r="AQ100" i="182"/>
  <c r="EZ199" i="182"/>
  <c r="AJ199" i="182"/>
  <c r="DV199" i="182"/>
  <c r="AD199" i="182"/>
  <c r="BT199" i="182"/>
  <c r="GD199" i="182"/>
  <c r="CR199" i="182"/>
  <c r="AV199" i="182"/>
  <c r="BZ199" i="182"/>
  <c r="X199" i="182"/>
  <c r="BB199" i="182"/>
  <c r="CL199" i="182"/>
  <c r="BN199" i="182"/>
  <c r="AP199" i="182"/>
  <c r="CF199" i="182"/>
  <c r="BH199" i="182"/>
  <c r="DX125" i="182"/>
  <c r="BV125" i="182"/>
  <c r="GF125" i="182"/>
  <c r="AR125" i="182"/>
  <c r="Z125" i="182"/>
  <c r="CH125" i="182"/>
  <c r="BJ125" i="182"/>
  <c r="CB125" i="182"/>
  <c r="CT125" i="182"/>
  <c r="AL125" i="182"/>
  <c r="BD125" i="182"/>
  <c r="FB125" i="182"/>
  <c r="BP125" i="182"/>
  <c r="AX125" i="182"/>
  <c r="AF125" i="182"/>
  <c r="CN125" i="182"/>
  <c r="CB55" i="182"/>
  <c r="AX55" i="182"/>
  <c r="CN55" i="182"/>
  <c r="BJ55" i="182"/>
  <c r="DX55" i="182"/>
  <c r="AF55" i="182"/>
  <c r="BV55" i="182"/>
  <c r="GF55" i="182"/>
  <c r="AR55" i="182"/>
  <c r="BD55" i="182"/>
  <c r="CH55" i="182"/>
  <c r="AL55" i="182"/>
  <c r="FB55" i="182"/>
  <c r="BP55" i="182"/>
  <c r="Z55" i="182"/>
  <c r="CT55" i="182"/>
  <c r="BT151" i="182"/>
  <c r="GD151" i="182"/>
  <c r="AP151" i="182"/>
  <c r="BB151" i="182"/>
  <c r="BN151" i="182"/>
  <c r="EZ151" i="182"/>
  <c r="AJ151" i="182"/>
  <c r="BZ151" i="182"/>
  <c r="CL151" i="182"/>
  <c r="DV151" i="182"/>
  <c r="CR151" i="182"/>
  <c r="BH151" i="182"/>
  <c r="CF151" i="182"/>
  <c r="AV151" i="182"/>
  <c r="AD151" i="182"/>
  <c r="X151" i="182"/>
  <c r="AU59" i="182"/>
  <c r="CK59" i="182"/>
  <c r="BG59" i="182"/>
  <c r="DU59" i="182"/>
  <c r="AC59" i="182"/>
  <c r="BS59" i="182"/>
  <c r="GC59" i="182"/>
  <c r="AO59" i="182"/>
  <c r="CE59" i="182"/>
  <c r="BY59" i="182"/>
  <c r="EY59" i="182"/>
  <c r="AI59" i="182"/>
  <c r="BM59" i="182"/>
  <c r="W59" i="182"/>
  <c r="CQ59" i="182"/>
  <c r="BA59" i="182"/>
  <c r="AX97" i="182"/>
  <c r="CN97" i="182"/>
  <c r="BJ97" i="182"/>
  <c r="BV97" i="182"/>
  <c r="BD97" i="182"/>
  <c r="AL97" i="182"/>
  <c r="FB97" i="182"/>
  <c r="AF97" i="182"/>
  <c r="DX97" i="182"/>
  <c r="CH97" i="182"/>
  <c r="BP97" i="182"/>
  <c r="AR97" i="182"/>
  <c r="Z97" i="182"/>
  <c r="GF97" i="182"/>
  <c r="CT97" i="182"/>
  <c r="CB97" i="182"/>
  <c r="BM139" i="182"/>
  <c r="EY139" i="182"/>
  <c r="AI139" i="182"/>
  <c r="BY139" i="182"/>
  <c r="DU139" i="182"/>
  <c r="AC139" i="182"/>
  <c r="BS139" i="182"/>
  <c r="GC139" i="182"/>
  <c r="AO139" i="182"/>
  <c r="CE139" i="182"/>
  <c r="BG139" i="182"/>
  <c r="W139" i="182"/>
  <c r="CQ139" i="182"/>
  <c r="CK139" i="182"/>
  <c r="BA139" i="182"/>
  <c r="AU139" i="182"/>
  <c r="DX178" i="182"/>
  <c r="AF178" i="182"/>
  <c r="BD178" i="182"/>
  <c r="BP178" i="182"/>
  <c r="AX178" i="182"/>
  <c r="CH178" i="182"/>
  <c r="Z178" i="182"/>
  <c r="AR178" i="182"/>
  <c r="CB178" i="182"/>
  <c r="BJ178" i="182"/>
  <c r="GF178" i="182"/>
  <c r="AL178" i="182"/>
  <c r="CN178" i="182"/>
  <c r="BV178" i="182"/>
  <c r="FB178" i="182"/>
  <c r="CT178" i="182"/>
  <c r="BB53" i="182"/>
  <c r="CR53" i="182"/>
  <c r="X53" i="182"/>
  <c r="BN53" i="182"/>
  <c r="EZ53" i="182"/>
  <c r="AJ53" i="182"/>
  <c r="BZ53" i="182"/>
  <c r="AV53" i="182"/>
  <c r="DV53" i="182"/>
  <c r="BT53" i="182"/>
  <c r="AP53" i="182"/>
  <c r="GD53" i="182"/>
  <c r="CL53" i="182"/>
  <c r="BH53" i="182"/>
  <c r="AD53" i="182"/>
  <c r="CF53" i="182"/>
  <c r="BV91" i="182"/>
  <c r="GF91" i="182"/>
  <c r="AR91" i="182"/>
  <c r="CH91" i="182"/>
  <c r="BD91" i="182"/>
  <c r="CT91" i="182"/>
  <c r="Z91" i="182"/>
  <c r="BP91" i="182"/>
  <c r="FB91" i="182"/>
  <c r="AL91" i="182"/>
  <c r="CB91" i="182"/>
  <c r="AX91" i="182"/>
  <c r="DX91" i="182"/>
  <c r="AF91" i="182"/>
  <c r="BJ91" i="182"/>
  <c r="CN91" i="182"/>
  <c r="BG132" i="182"/>
  <c r="DU132" i="182"/>
  <c r="AC132" i="182"/>
  <c r="BS132" i="182"/>
  <c r="CQ132" i="182"/>
  <c r="W132" i="182"/>
  <c r="BM132" i="182"/>
  <c r="EY132" i="182"/>
  <c r="AI132" i="182"/>
  <c r="CE132" i="182"/>
  <c r="BA132" i="182"/>
  <c r="GC132" i="182"/>
  <c r="AO132" i="182"/>
  <c r="CK132" i="182"/>
  <c r="BY132" i="182"/>
  <c r="AU132" i="182"/>
  <c r="CS172" i="182"/>
  <c r="Y172" i="182"/>
  <c r="AW172" i="182"/>
  <c r="FA172" i="182"/>
  <c r="AE172" i="182"/>
  <c r="CM172" i="182"/>
  <c r="DW172" i="182"/>
  <c r="BU172" i="182"/>
  <c r="AK172" i="182"/>
  <c r="BI172" i="182"/>
  <c r="GE172" i="182"/>
  <c r="CG172" i="182"/>
  <c r="BC172" i="182"/>
  <c r="AQ172" i="182"/>
  <c r="CA172" i="182"/>
  <c r="BO172" i="182"/>
  <c r="CG47" i="182"/>
  <c r="BC47" i="182"/>
  <c r="CS47" i="182"/>
  <c r="Y47" i="182"/>
  <c r="BO47" i="182"/>
  <c r="FA47" i="182"/>
  <c r="AK47" i="182"/>
  <c r="BI47" i="182"/>
  <c r="CA47" i="182"/>
  <c r="AW47" i="182"/>
  <c r="CM47" i="182"/>
  <c r="DW47" i="182"/>
  <c r="AE47" i="182"/>
  <c r="GE47" i="182"/>
  <c r="BU47" i="182"/>
  <c r="AQ47" i="182"/>
  <c r="BV84" i="182"/>
  <c r="CH84" i="182"/>
  <c r="GF84" i="182"/>
  <c r="AL84" i="182"/>
  <c r="BP84" i="182"/>
  <c r="CT84" i="182"/>
  <c r="AX84" i="182"/>
  <c r="CB84" i="182"/>
  <c r="FB84" i="182"/>
  <c r="AF84" i="182"/>
  <c r="BJ84" i="182"/>
  <c r="BD84" i="182"/>
  <c r="AR84" i="182"/>
  <c r="DX84" i="182"/>
  <c r="CN84" i="182"/>
  <c r="Z84" i="182"/>
  <c r="CK125" i="182"/>
  <c r="BG125" i="182"/>
  <c r="GC125" i="182"/>
  <c r="BS125" i="182"/>
  <c r="EY125" i="182"/>
  <c r="AC125" i="182"/>
  <c r="DU125" i="182"/>
  <c r="AO125" i="182"/>
  <c r="W125" i="182"/>
  <c r="BY125" i="182"/>
  <c r="CQ125" i="182"/>
  <c r="BM125" i="182"/>
  <c r="BA125" i="182"/>
  <c r="CE125" i="182"/>
  <c r="AU125" i="182"/>
  <c r="AI125" i="182"/>
  <c r="BD166" i="182"/>
  <c r="CT166" i="182"/>
  <c r="Z166" i="182"/>
  <c r="FB166" i="182"/>
  <c r="AL166" i="182"/>
  <c r="CN166" i="182"/>
  <c r="BJ166" i="182"/>
  <c r="DX166" i="182"/>
  <c r="AF166" i="182"/>
  <c r="AX166" i="182"/>
  <c r="BV166" i="182"/>
  <c r="GF166" i="182"/>
  <c r="AR166" i="182"/>
  <c r="CH166" i="182"/>
  <c r="CB166" i="182"/>
  <c r="BP166" i="182"/>
  <c r="BU209" i="182"/>
  <c r="GE209" i="182"/>
  <c r="AQ209" i="182"/>
  <c r="CG209" i="182"/>
  <c r="AW209" i="182"/>
  <c r="CM209" i="182"/>
  <c r="AE209" i="182"/>
  <c r="FA209" i="182"/>
  <c r="DW209" i="182"/>
  <c r="CA209" i="182"/>
  <c r="BC209" i="182"/>
  <c r="AK209" i="182"/>
  <c r="CS209" i="182"/>
  <c r="BO209" i="182"/>
  <c r="BI209" i="182"/>
  <c r="Y209" i="182"/>
  <c r="CM66" i="182"/>
  <c r="DW66" i="182"/>
  <c r="CG66" i="182"/>
  <c r="BC66" i="182"/>
  <c r="AE66" i="182"/>
  <c r="FA66" i="182"/>
  <c r="BO66" i="182"/>
  <c r="AW66" i="182"/>
  <c r="Y66" i="182"/>
  <c r="BI66" i="182"/>
  <c r="AQ66" i="182"/>
  <c r="CA66" i="182"/>
  <c r="BU66" i="182"/>
  <c r="GE66" i="182"/>
  <c r="CS66" i="182"/>
  <c r="AK66" i="182"/>
  <c r="CM105" i="182"/>
  <c r="BI105" i="182"/>
  <c r="DW105" i="182"/>
  <c r="AE105" i="182"/>
  <c r="BU105" i="182"/>
  <c r="GE105" i="182"/>
  <c r="AQ105" i="182"/>
  <c r="CG105" i="182"/>
  <c r="BC105" i="182"/>
  <c r="CS105" i="182"/>
  <c r="Y105" i="182"/>
  <c r="BO105" i="182"/>
  <c r="FA105" i="182"/>
  <c r="AK105" i="182"/>
  <c r="AW105" i="182"/>
  <c r="CA105" i="182"/>
  <c r="BD147" i="182"/>
  <c r="CT147" i="182"/>
  <c r="Z147" i="182"/>
  <c r="BP147" i="182"/>
  <c r="AX147" i="182"/>
  <c r="AF147" i="182"/>
  <c r="AL147" i="182"/>
  <c r="GF147" i="182"/>
  <c r="CB147" i="182"/>
  <c r="BV147" i="182"/>
  <c r="DX147" i="182"/>
  <c r="AR147" i="182"/>
  <c r="CN147" i="182"/>
  <c r="FB147" i="182"/>
  <c r="BJ147" i="182"/>
  <c r="CH147" i="182"/>
  <c r="CT189" i="182"/>
  <c r="Z189" i="182"/>
  <c r="BP189" i="182"/>
  <c r="AX189" i="182"/>
  <c r="DX189" i="182"/>
  <c r="AF189" i="182"/>
  <c r="BV189" i="182"/>
  <c r="GF189" i="182"/>
  <c r="CN189" i="182"/>
  <c r="FB189" i="182"/>
  <c r="CH189" i="182"/>
  <c r="BJ189" i="182"/>
  <c r="AR189" i="182"/>
  <c r="AL189" i="182"/>
  <c r="CB189" i="182"/>
  <c r="BD189" i="182"/>
  <c r="CN57" i="182"/>
  <c r="BJ57" i="182"/>
  <c r="DX57" i="182"/>
  <c r="AF57" i="182"/>
  <c r="BV57" i="182"/>
  <c r="GF57" i="182"/>
  <c r="AR57" i="182"/>
  <c r="CH57" i="182"/>
  <c r="BD57" i="182"/>
  <c r="AX57" i="182"/>
  <c r="CB57" i="182"/>
  <c r="FB57" i="182"/>
  <c r="AL57" i="182"/>
  <c r="BP57" i="182"/>
  <c r="CT57" i="182"/>
  <c r="Z57" i="182"/>
  <c r="CA96" i="182"/>
  <c r="AW96" i="182"/>
  <c r="Y96" i="182"/>
  <c r="BC96" i="182"/>
  <c r="DW96" i="182"/>
  <c r="CG96" i="182"/>
  <c r="AK96" i="182"/>
  <c r="BO96" i="182"/>
  <c r="GE96" i="182"/>
  <c r="CS96" i="182"/>
  <c r="AE96" i="182"/>
  <c r="BI96" i="182"/>
  <c r="FA96" i="182"/>
  <c r="BU96" i="182"/>
  <c r="CM96" i="182"/>
  <c r="AQ96" i="182"/>
  <c r="FB137" i="182"/>
  <c r="AL137" i="182"/>
  <c r="CB137" i="182"/>
  <c r="AX137" i="182"/>
  <c r="BV137" i="182"/>
  <c r="GF137" i="182"/>
  <c r="AR137" i="182"/>
  <c r="CH137" i="182"/>
  <c r="BD137" i="182"/>
  <c r="DX137" i="182"/>
  <c r="BP137" i="182"/>
  <c r="CN137" i="182"/>
  <c r="BJ137" i="182"/>
  <c r="AF137" i="182"/>
  <c r="Z137" i="182"/>
  <c r="CT137" i="182"/>
  <c r="CM177" i="182"/>
  <c r="CG177" i="182"/>
  <c r="GE177" i="182"/>
  <c r="AK177" i="182"/>
  <c r="CS177" i="182"/>
  <c r="AW177" i="182"/>
  <c r="CA177" i="182"/>
  <c r="AE177" i="182"/>
  <c r="FA177" i="182"/>
  <c r="BI177" i="182"/>
  <c r="AQ177" i="182"/>
  <c r="BC177" i="182"/>
  <c r="BU177" i="182"/>
  <c r="DW177" i="182"/>
  <c r="BO177" i="182"/>
  <c r="Y177" i="182"/>
  <c r="DW211" i="182"/>
  <c r="AE211" i="182"/>
  <c r="BU211" i="182"/>
  <c r="CG211" i="182"/>
  <c r="BC211" i="182"/>
  <c r="Y211" i="182"/>
  <c r="AQ211" i="182"/>
  <c r="FA211" i="182"/>
  <c r="CM211" i="182"/>
  <c r="BI211" i="182"/>
  <c r="CA211" i="182"/>
  <c r="AW211" i="182"/>
  <c r="CS211" i="182"/>
  <c r="AK211" i="182"/>
  <c r="BO211" i="182"/>
  <c r="GE211" i="182"/>
  <c r="CA76" i="182"/>
  <c r="FA76" i="182"/>
  <c r="AW76" i="182"/>
  <c r="CM76" i="182"/>
  <c r="BI76" i="182"/>
  <c r="AE76" i="182"/>
  <c r="BU76" i="182"/>
  <c r="DW76" i="182"/>
  <c r="AQ76" i="182"/>
  <c r="GE76" i="182"/>
  <c r="Y76" i="182"/>
  <c r="BO76" i="182"/>
  <c r="BC76" i="182"/>
  <c r="CS76" i="182"/>
  <c r="AK76" i="182"/>
  <c r="CG76" i="182"/>
  <c r="CF117" i="182"/>
  <c r="BN117" i="182"/>
  <c r="CL117" i="182"/>
  <c r="BZ117" i="182"/>
  <c r="CR117" i="182"/>
  <c r="GD117" i="182"/>
  <c r="AJ117" i="182"/>
  <c r="BB117" i="182"/>
  <c r="BT117" i="182"/>
  <c r="EZ117" i="182"/>
  <c r="AD117" i="182"/>
  <c r="AV117" i="182"/>
  <c r="DV117" i="182"/>
  <c r="BH117" i="182"/>
  <c r="AP117" i="182"/>
  <c r="X117" i="182"/>
  <c r="AV158" i="182"/>
  <c r="Q158" i="182"/>
  <c r="CL158" i="182"/>
  <c r="DV158" i="182"/>
  <c r="AD158" i="182"/>
  <c r="GD158" i="182"/>
  <c r="AP158" i="182"/>
  <c r="CF158" i="182"/>
  <c r="BB158" i="182"/>
  <c r="BN158" i="182"/>
  <c r="EZ158" i="182"/>
  <c r="AJ158" i="182"/>
  <c r="BZ158" i="182"/>
  <c r="BT158" i="182"/>
  <c r="BH158" i="182"/>
  <c r="CR158" i="182"/>
  <c r="X158" i="182"/>
  <c r="CA199" i="182"/>
  <c r="BU199" i="182"/>
  <c r="GE199" i="182"/>
  <c r="AQ199" i="182"/>
  <c r="BC199" i="182"/>
  <c r="AK199" i="182"/>
  <c r="CM199" i="182"/>
  <c r="AW199" i="182"/>
  <c r="AE199" i="182"/>
  <c r="CG199" i="182"/>
  <c r="BO199" i="182"/>
  <c r="DW199" i="182"/>
  <c r="Y199" i="182"/>
  <c r="BI199" i="182"/>
  <c r="FA199" i="182"/>
  <c r="CS199" i="182"/>
  <c r="BI67" i="182"/>
  <c r="DW67" i="182"/>
  <c r="BU67" i="182"/>
  <c r="BC67" i="182"/>
  <c r="CS67" i="182"/>
  <c r="Y67" i="182"/>
  <c r="AE67" i="182"/>
  <c r="AW67" i="182"/>
  <c r="GE67" i="182"/>
  <c r="CM67" i="182"/>
  <c r="BO67" i="182"/>
  <c r="FA67" i="182"/>
  <c r="AQ67" i="182"/>
  <c r="CG67" i="182"/>
  <c r="AK67" i="182"/>
  <c r="CA67" i="182"/>
  <c r="DX106" i="182"/>
  <c r="AF106" i="182"/>
  <c r="BV106" i="182"/>
  <c r="GF106" i="182"/>
  <c r="AR106" i="182"/>
  <c r="CH106" i="182"/>
  <c r="BD106" i="182"/>
  <c r="CT106" i="182"/>
  <c r="Z106" i="182"/>
  <c r="BP106" i="182"/>
  <c r="FB106" i="182"/>
  <c r="AL106" i="182"/>
  <c r="CB106" i="182"/>
  <c r="AX106" i="182"/>
  <c r="BJ106" i="182"/>
  <c r="CN106" i="182"/>
  <c r="BV148" i="182"/>
  <c r="CT148" i="182"/>
  <c r="Z148" i="182"/>
  <c r="BP148" i="182"/>
  <c r="FB148" i="182"/>
  <c r="AL148" i="182"/>
  <c r="AR148" i="182"/>
  <c r="BJ148" i="182"/>
  <c r="BD148" i="182"/>
  <c r="AF148" i="182"/>
  <c r="CN148" i="182"/>
  <c r="CH148" i="182"/>
  <c r="AX148" i="182"/>
  <c r="GF148" i="182"/>
  <c r="DX148" i="182"/>
  <c r="CB148" i="182"/>
  <c r="BP190" i="182"/>
  <c r="FB190" i="182"/>
  <c r="AL190" i="182"/>
  <c r="CN190" i="182"/>
  <c r="BV190" i="182"/>
  <c r="GF190" i="182"/>
  <c r="AR190" i="182"/>
  <c r="CH190" i="182"/>
  <c r="CB190" i="182"/>
  <c r="DX190" i="182"/>
  <c r="AX190" i="182"/>
  <c r="Z190" i="182"/>
  <c r="CT190" i="182"/>
  <c r="BJ190" i="182"/>
  <c r="BD190" i="182"/>
  <c r="AF190" i="182"/>
  <c r="GC153" i="182"/>
  <c r="AO153" i="182"/>
  <c r="CE153" i="182"/>
  <c r="CQ153" i="182"/>
  <c r="W153" i="182"/>
  <c r="EY153" i="182"/>
  <c r="AI153" i="182"/>
  <c r="BY153" i="182"/>
  <c r="AU153" i="182"/>
  <c r="BG153" i="182"/>
  <c r="DU153" i="182"/>
  <c r="BM153" i="182"/>
  <c r="AC153" i="182"/>
  <c r="CK153" i="182"/>
  <c r="BS153" i="182"/>
  <c r="BA153" i="182"/>
  <c r="BA137" i="182"/>
  <c r="CQ137" i="182"/>
  <c r="W137" i="182"/>
  <c r="BM137" i="182"/>
  <c r="CK137" i="182"/>
  <c r="BG137" i="182"/>
  <c r="DU137" i="182"/>
  <c r="AC137" i="182"/>
  <c r="BS137" i="182"/>
  <c r="AI137" i="182"/>
  <c r="CE137" i="182"/>
  <c r="EY137" i="182"/>
  <c r="AO137" i="182"/>
  <c r="GC137" i="182"/>
  <c r="BY137" i="182"/>
  <c r="AU137" i="182"/>
  <c r="DU49" i="182"/>
  <c r="AC49" i="182"/>
  <c r="CE49" i="182"/>
  <c r="BA49" i="182"/>
  <c r="BM49" i="182"/>
  <c r="AU49" i="182"/>
  <c r="W49" i="182"/>
  <c r="AO49" i="182"/>
  <c r="AI49" i="182"/>
  <c r="CQ49" i="182"/>
  <c r="BY49" i="182"/>
  <c r="BG49" i="182"/>
  <c r="GC49" i="182"/>
  <c r="EY49" i="182"/>
  <c r="BS49" i="182"/>
  <c r="CK49" i="182"/>
  <c r="EY122" i="182"/>
  <c r="AI122" i="182"/>
  <c r="BY122" i="182"/>
  <c r="DU122" i="182"/>
  <c r="CQ122" i="182"/>
  <c r="W122" i="182"/>
  <c r="GC122" i="182"/>
  <c r="CK122" i="182"/>
  <c r="BS122" i="182"/>
  <c r="BA122" i="182"/>
  <c r="CE122" i="182"/>
  <c r="BM122" i="182"/>
  <c r="AC122" i="182"/>
  <c r="BG122" i="182"/>
  <c r="AU122" i="182"/>
  <c r="AO122" i="182"/>
  <c r="BD113" i="182"/>
  <c r="GF113" i="182"/>
  <c r="CH113" i="182"/>
  <c r="BP113" i="182"/>
  <c r="AL113" i="182"/>
  <c r="CT113" i="182"/>
  <c r="AX113" i="182"/>
  <c r="CB113" i="182"/>
  <c r="FB113" i="182"/>
  <c r="BJ113" i="182"/>
  <c r="AF113" i="182"/>
  <c r="CN113" i="182"/>
  <c r="AR113" i="182"/>
  <c r="BV113" i="182"/>
  <c r="Z113" i="182"/>
  <c r="DX113" i="182"/>
  <c r="BG164" i="182"/>
  <c r="DU164" i="182"/>
  <c r="AC164" i="182"/>
  <c r="GC164" i="182"/>
  <c r="AO164" i="182"/>
  <c r="CQ164" i="182"/>
  <c r="W164" i="182"/>
  <c r="BM164" i="182"/>
  <c r="CE164" i="182"/>
  <c r="BY164" i="182"/>
  <c r="BA164" i="182"/>
  <c r="BS164" i="182"/>
  <c r="CK164" i="182"/>
  <c r="EY164" i="182"/>
  <c r="AU164" i="182"/>
  <c r="AI164" i="182"/>
  <c r="CQ195" i="182"/>
  <c r="W195" i="182"/>
  <c r="BM195" i="182"/>
  <c r="BG195" i="182"/>
  <c r="AC195" i="182"/>
  <c r="AU195" i="182"/>
  <c r="AO195" i="182"/>
  <c r="GC195" i="182"/>
  <c r="AI195" i="182"/>
  <c r="EY195" i="182"/>
  <c r="CK195" i="182"/>
  <c r="BS195" i="182"/>
  <c r="DU195" i="182"/>
  <c r="BA195" i="182"/>
  <c r="CE195" i="182"/>
  <c r="BY195" i="182"/>
  <c r="BG61" i="182"/>
  <c r="DU61" i="182"/>
  <c r="AC61" i="182"/>
  <c r="BS61" i="182"/>
  <c r="GC61" i="182"/>
  <c r="AO61" i="182"/>
  <c r="CE61" i="182"/>
  <c r="BA61" i="182"/>
  <c r="CQ61" i="182"/>
  <c r="W61" i="182"/>
  <c r="AU61" i="182"/>
  <c r="BY61" i="182"/>
  <c r="EY61" i="182"/>
  <c r="AI61" i="182"/>
  <c r="BM61" i="182"/>
  <c r="CK61" i="182"/>
  <c r="BC95" i="182"/>
  <c r="CS95" i="182"/>
  <c r="Y95" i="182"/>
  <c r="BO95" i="182"/>
  <c r="FA95" i="182"/>
  <c r="AK95" i="182"/>
  <c r="CA95" i="182"/>
  <c r="AW95" i="182"/>
  <c r="CM95" i="182"/>
  <c r="BI95" i="182"/>
  <c r="DW95" i="182"/>
  <c r="AE95" i="182"/>
  <c r="CG95" i="182"/>
  <c r="AQ95" i="182"/>
  <c r="GE95" i="182"/>
  <c r="BU95" i="182"/>
  <c r="BZ57" i="182"/>
  <c r="AV57" i="182"/>
  <c r="CL57" i="182"/>
  <c r="BH57" i="182"/>
  <c r="DV57" i="182"/>
  <c r="AD57" i="182"/>
  <c r="BT57" i="182"/>
  <c r="GD57" i="182"/>
  <c r="AP57" i="182"/>
  <c r="EZ57" i="182"/>
  <c r="AJ57" i="182"/>
  <c r="BN57" i="182"/>
  <c r="CR57" i="182"/>
  <c r="X57" i="182"/>
  <c r="BB57" i="182"/>
  <c r="CF57" i="182"/>
  <c r="CF153" i="182"/>
  <c r="BB153" i="182"/>
  <c r="BN153" i="182"/>
  <c r="BZ153" i="182"/>
  <c r="AV153" i="182"/>
  <c r="CL153" i="182"/>
  <c r="DV153" i="182"/>
  <c r="AD153" i="182"/>
  <c r="CR153" i="182"/>
  <c r="BH153" i="182"/>
  <c r="GD153" i="182"/>
  <c r="AP153" i="182"/>
  <c r="BT153" i="182"/>
  <c r="AJ153" i="182"/>
  <c r="X153" i="182"/>
  <c r="EZ153" i="182"/>
  <c r="BH88" i="182"/>
  <c r="DV88" i="182"/>
  <c r="BT88" i="182"/>
  <c r="GD88" i="182"/>
  <c r="AP88" i="182"/>
  <c r="CF88" i="182"/>
  <c r="BB88" i="182"/>
  <c r="AV88" i="182"/>
  <c r="EZ88" i="182"/>
  <c r="BN88" i="182"/>
  <c r="AJ88" i="182"/>
  <c r="CR88" i="182"/>
  <c r="AD88" i="182"/>
  <c r="X88" i="182"/>
  <c r="CL88" i="182"/>
  <c r="BZ88" i="182"/>
  <c r="GC189" i="182"/>
  <c r="AO189" i="182"/>
  <c r="CE189" i="182"/>
  <c r="BM189" i="182"/>
  <c r="AU189" i="182"/>
  <c r="CK189" i="182"/>
  <c r="BG189" i="182"/>
  <c r="AI189" i="182"/>
  <c r="EY189" i="182"/>
  <c r="BA189" i="182"/>
  <c r="AC189" i="182"/>
  <c r="DU189" i="182"/>
  <c r="BY189" i="182"/>
  <c r="CQ189" i="182"/>
  <c r="BS189" i="182"/>
  <c r="W189" i="182"/>
  <c r="CK84" i="182"/>
  <c r="BS84" i="182"/>
  <c r="DU84" i="182"/>
  <c r="W84" i="182"/>
  <c r="BA84" i="182"/>
  <c r="CE84" i="182"/>
  <c r="GC84" i="182"/>
  <c r="AI84" i="182"/>
  <c r="BM84" i="182"/>
  <c r="CQ84" i="182"/>
  <c r="AU84" i="182"/>
  <c r="EY84" i="182"/>
  <c r="BG84" i="182"/>
  <c r="AO84" i="182"/>
  <c r="AC84" i="182"/>
  <c r="BY84" i="182"/>
  <c r="BG181" i="182"/>
  <c r="DU181" i="182"/>
  <c r="AC181" i="182"/>
  <c r="CE181" i="182"/>
  <c r="BA181" i="182"/>
  <c r="BM181" i="182"/>
  <c r="EY181" i="182"/>
  <c r="CK181" i="182"/>
  <c r="W181" i="182"/>
  <c r="AO181" i="182"/>
  <c r="AI181" i="182"/>
  <c r="BY181" i="182"/>
  <c r="CQ181" i="182"/>
  <c r="BS181" i="182"/>
  <c r="AU181" i="182"/>
  <c r="GC181" i="182"/>
  <c r="BU108" i="182"/>
  <c r="GE108" i="182"/>
  <c r="AQ108" i="182"/>
  <c r="CG108" i="182"/>
  <c r="BC108" i="182"/>
  <c r="CS108" i="182"/>
  <c r="Y108" i="182"/>
  <c r="BO108" i="182"/>
  <c r="FA108" i="182"/>
  <c r="AK108" i="182"/>
  <c r="CA108" i="182"/>
  <c r="AW108" i="182"/>
  <c r="CM108" i="182"/>
  <c r="AE108" i="182"/>
  <c r="DW108" i="182"/>
  <c r="BI108" i="182"/>
  <c r="CK210" i="182"/>
  <c r="DU210" i="182"/>
  <c r="BS210" i="182"/>
  <c r="AC210" i="182"/>
  <c r="AO210" i="182"/>
  <c r="AU210" i="182"/>
  <c r="CE210" i="182"/>
  <c r="W210" i="182"/>
  <c r="EY210" i="182"/>
  <c r="BY210" i="182"/>
  <c r="AI210" i="182"/>
  <c r="BM210" i="182"/>
  <c r="CQ210" i="182"/>
  <c r="BG210" i="182"/>
  <c r="BA210" i="182"/>
  <c r="GC210" i="182"/>
  <c r="GD134" i="182"/>
  <c r="AP134" i="182"/>
  <c r="CF134" i="182"/>
  <c r="BB134" i="182"/>
  <c r="BZ134" i="182"/>
  <c r="AV134" i="182"/>
  <c r="CL134" i="182"/>
  <c r="BH134" i="182"/>
  <c r="DV134" i="182"/>
  <c r="AD134" i="182"/>
  <c r="EZ134" i="182"/>
  <c r="BN134" i="182"/>
  <c r="CR134" i="182"/>
  <c r="BT134" i="182"/>
  <c r="AJ134" i="182"/>
  <c r="X134" i="182"/>
  <c r="CK63" i="182"/>
  <c r="BS63" i="182"/>
  <c r="DU63" i="182"/>
  <c r="AO63" i="182"/>
  <c r="CE63" i="182"/>
  <c r="BA63" i="182"/>
  <c r="W63" i="182"/>
  <c r="GC63" i="182"/>
  <c r="BM63" i="182"/>
  <c r="CQ63" i="182"/>
  <c r="AI63" i="182"/>
  <c r="BY63" i="182"/>
  <c r="AC63" i="182"/>
  <c r="AU63" i="182"/>
  <c r="EY63" i="182"/>
  <c r="BG63" i="182"/>
  <c r="BZ160" i="182"/>
  <c r="AV160" i="182"/>
  <c r="X160" i="182"/>
  <c r="CL160" i="182"/>
  <c r="BB160" i="182"/>
  <c r="DV160" i="182"/>
  <c r="CF160" i="182"/>
  <c r="BN160" i="182"/>
  <c r="AD160" i="182"/>
  <c r="GD160" i="182"/>
  <c r="CR160" i="182"/>
  <c r="BH160" i="182"/>
  <c r="EZ160" i="182"/>
  <c r="BT160" i="182"/>
  <c r="AP160" i="182"/>
  <c r="AJ160" i="182"/>
  <c r="DU62" i="182"/>
  <c r="AC62" i="182"/>
  <c r="BS62" i="182"/>
  <c r="GC62" i="182"/>
  <c r="AO62" i="182"/>
  <c r="CE62" i="182"/>
  <c r="BA62" i="182"/>
  <c r="CQ62" i="182"/>
  <c r="W62" i="182"/>
  <c r="BM62" i="182"/>
  <c r="EY62" i="182"/>
  <c r="AI62" i="182"/>
  <c r="BG62" i="182"/>
  <c r="AU62" i="182"/>
  <c r="CK62" i="182"/>
  <c r="BY62" i="182"/>
  <c r="BP100" i="182"/>
  <c r="FB100" i="182"/>
  <c r="AL100" i="182"/>
  <c r="AX100" i="182"/>
  <c r="DX100" i="182"/>
  <c r="AF100" i="182"/>
  <c r="BV100" i="182"/>
  <c r="GF100" i="182"/>
  <c r="AR100" i="182"/>
  <c r="CN100" i="182"/>
  <c r="BJ100" i="182"/>
  <c r="CH100" i="182"/>
  <c r="BD100" i="182"/>
  <c r="CB100" i="182"/>
  <c r="Z100" i="182"/>
  <c r="CT100" i="182"/>
  <c r="CK143" i="182"/>
  <c r="BG143" i="182"/>
  <c r="DU143" i="182"/>
  <c r="AC143" i="182"/>
  <c r="GC143" i="182"/>
  <c r="AO143" i="182"/>
  <c r="BA143" i="182"/>
  <c r="CQ143" i="182"/>
  <c r="W143" i="182"/>
  <c r="BY143" i="182"/>
  <c r="AU143" i="182"/>
  <c r="BS143" i="182"/>
  <c r="AI143" i="182"/>
  <c r="CE143" i="182"/>
  <c r="EY143" i="182"/>
  <c r="BM143" i="182"/>
  <c r="CL185" i="182"/>
  <c r="BH185" i="182"/>
  <c r="BT185" i="182"/>
  <c r="GD185" i="182"/>
  <c r="AP185" i="182"/>
  <c r="CF185" i="182"/>
  <c r="CR185" i="182"/>
  <c r="X185" i="182"/>
  <c r="BN185" i="182"/>
  <c r="EZ185" i="182"/>
  <c r="AJ185" i="182"/>
  <c r="DV185" i="182"/>
  <c r="AD185" i="182"/>
  <c r="BZ185" i="182"/>
  <c r="BB185" i="182"/>
  <c r="AV185" i="182"/>
  <c r="EZ56" i="182"/>
  <c r="AJ56" i="182"/>
  <c r="BZ56" i="182"/>
  <c r="AV56" i="182"/>
  <c r="CL56" i="182"/>
  <c r="BH56" i="182"/>
  <c r="DV56" i="182"/>
  <c r="AD56" i="182"/>
  <c r="BT56" i="182"/>
  <c r="BB56" i="182"/>
  <c r="CF56" i="182"/>
  <c r="GD56" i="182"/>
  <c r="AP56" i="182"/>
  <c r="BN56" i="182"/>
  <c r="CR56" i="182"/>
  <c r="X56" i="182"/>
  <c r="GC95" i="182"/>
  <c r="AO95" i="182"/>
  <c r="CE95" i="182"/>
  <c r="BA95" i="182"/>
  <c r="CQ95" i="182"/>
  <c r="W95" i="182"/>
  <c r="BM95" i="182"/>
  <c r="EY95" i="182"/>
  <c r="AI95" i="182"/>
  <c r="BY95" i="182"/>
  <c r="AU95" i="182"/>
  <c r="CK95" i="182"/>
  <c r="BS95" i="182"/>
  <c r="AC95" i="182"/>
  <c r="DU95" i="182"/>
  <c r="BG95" i="182"/>
  <c r="CE136" i="182"/>
  <c r="BA136" i="182"/>
  <c r="CQ136" i="182"/>
  <c r="W136" i="182"/>
  <c r="AU136" i="182"/>
  <c r="CK136" i="182"/>
  <c r="BG136" i="182"/>
  <c r="DU136" i="182"/>
  <c r="AC136" i="182"/>
  <c r="AO136" i="182"/>
  <c r="BM136" i="182"/>
  <c r="GC136" i="182"/>
  <c r="EY136" i="182"/>
  <c r="BS136" i="182"/>
  <c r="AI136" i="182"/>
  <c r="BY136" i="182"/>
  <c r="EY176" i="182"/>
  <c r="AI176" i="182"/>
  <c r="BY176" i="182"/>
  <c r="AC176" i="182"/>
  <c r="CK176" i="182"/>
  <c r="AO176" i="182"/>
  <c r="BS176" i="182"/>
  <c r="DU176" i="182"/>
  <c r="W176" i="182"/>
  <c r="CE176" i="182"/>
  <c r="AU176" i="182"/>
  <c r="BM176" i="182"/>
  <c r="BG176" i="182"/>
  <c r="GC176" i="182"/>
  <c r="CQ176" i="182"/>
  <c r="BA176" i="182"/>
  <c r="CG50" i="182"/>
  <c r="BC50" i="182"/>
  <c r="BO50" i="182"/>
  <c r="FA50" i="182"/>
  <c r="AK50" i="182"/>
  <c r="AQ50" i="182"/>
  <c r="BI50" i="182"/>
  <c r="DW50" i="182"/>
  <c r="CA50" i="182"/>
  <c r="BU50" i="182"/>
  <c r="AW50" i="182"/>
  <c r="CS50" i="182"/>
  <c r="AE50" i="182"/>
  <c r="GE50" i="182"/>
  <c r="CM50" i="182"/>
  <c r="Y50" i="182"/>
  <c r="DX87" i="182"/>
  <c r="AF87" i="182"/>
  <c r="GF87" i="182"/>
  <c r="AR87" i="182"/>
  <c r="CH87" i="182"/>
  <c r="BD87" i="182"/>
  <c r="CT87" i="182"/>
  <c r="CN87" i="182"/>
  <c r="AL87" i="182"/>
  <c r="BJ87" i="182"/>
  <c r="FB87" i="182"/>
  <c r="CB87" i="182"/>
  <c r="Z87" i="182"/>
  <c r="BV87" i="182"/>
  <c r="AX87" i="182"/>
  <c r="BP87" i="182"/>
  <c r="GE128" i="182"/>
  <c r="AQ128" i="182"/>
  <c r="CG128" i="182"/>
  <c r="BC128" i="182"/>
  <c r="BO128" i="182"/>
  <c r="AW128" i="182"/>
  <c r="AE128" i="182"/>
  <c r="BI128" i="182"/>
  <c r="FA128" i="182"/>
  <c r="CA128" i="182"/>
  <c r="BU128" i="182"/>
  <c r="AK128" i="182"/>
  <c r="DW128" i="182"/>
  <c r="Y128" i="182"/>
  <c r="CM128" i="182"/>
  <c r="CS128" i="182"/>
  <c r="CN169" i="182"/>
  <c r="AL169" i="182"/>
  <c r="CB169" i="182"/>
  <c r="DX169" i="182"/>
  <c r="BV169" i="182"/>
  <c r="AR169" i="182"/>
  <c r="CH169" i="182"/>
  <c r="CT169" i="182"/>
  <c r="BP169" i="182"/>
  <c r="AF169" i="182"/>
  <c r="Z169" i="182"/>
  <c r="FB169" i="182"/>
  <c r="AX169" i="182"/>
  <c r="BJ169" i="182"/>
  <c r="GF169" i="182"/>
  <c r="BD169" i="182"/>
  <c r="BT213" i="182"/>
  <c r="GD213" i="182"/>
  <c r="AP213" i="182"/>
  <c r="BB213" i="182"/>
  <c r="CR213" i="182"/>
  <c r="X213" i="182"/>
  <c r="BH213" i="182"/>
  <c r="DV213" i="182"/>
  <c r="AV213" i="182"/>
  <c r="EZ213" i="182"/>
  <c r="CF213" i="182"/>
  <c r="BN213" i="182"/>
  <c r="AD213" i="182"/>
  <c r="CL213" i="182"/>
  <c r="BZ213" i="182"/>
  <c r="AJ213" i="182"/>
  <c r="BU69" i="182"/>
  <c r="GE69" i="182"/>
  <c r="AQ69" i="182"/>
  <c r="CG69" i="182"/>
  <c r="BC69" i="182"/>
  <c r="CS69" i="182"/>
  <c r="Y69" i="182"/>
  <c r="BO69" i="182"/>
  <c r="FA69" i="182"/>
  <c r="AK69" i="182"/>
  <c r="DW69" i="182"/>
  <c r="BI69" i="182"/>
  <c r="AE69" i="182"/>
  <c r="CM69" i="182"/>
  <c r="AW69" i="182"/>
  <c r="CA69" i="182"/>
  <c r="DU109" i="182"/>
  <c r="AC109" i="182"/>
  <c r="BS109" i="182"/>
  <c r="GC109" i="182"/>
  <c r="AO109" i="182"/>
  <c r="CE109" i="182"/>
  <c r="BA109" i="182"/>
  <c r="CQ109" i="182"/>
  <c r="W109" i="182"/>
  <c r="BM109" i="182"/>
  <c r="EY109" i="182"/>
  <c r="AI109" i="182"/>
  <c r="BY109" i="182"/>
  <c r="AU109" i="182"/>
  <c r="BG109" i="182"/>
  <c r="CK109" i="182"/>
  <c r="GF150" i="182"/>
  <c r="AR150" i="182"/>
  <c r="CH150" i="182"/>
  <c r="CT150" i="182"/>
  <c r="Z150" i="182"/>
  <c r="FB150" i="182"/>
  <c r="AL150" i="182"/>
  <c r="CB150" i="182"/>
  <c r="AX150" i="182"/>
  <c r="DX150" i="182"/>
  <c r="CN150" i="182"/>
  <c r="BJ150" i="182"/>
  <c r="AF150" i="182"/>
  <c r="BV150" i="182"/>
  <c r="BP150" i="182"/>
  <c r="BD150" i="182"/>
  <c r="CB192" i="182"/>
  <c r="AX192" i="182"/>
  <c r="DX192" i="182"/>
  <c r="AF192" i="182"/>
  <c r="BV192" i="182"/>
  <c r="CH192" i="182"/>
  <c r="GF192" i="182"/>
  <c r="BD192" i="182"/>
  <c r="FB192" i="182"/>
  <c r="AR192" i="182"/>
  <c r="CT192" i="182"/>
  <c r="AL192" i="182"/>
  <c r="CN192" i="182"/>
  <c r="Z192" i="182"/>
  <c r="BP192" i="182"/>
  <c r="BJ192" i="182"/>
  <c r="BV60" i="182"/>
  <c r="GF60" i="182"/>
  <c r="AR60" i="182"/>
  <c r="CH60" i="182"/>
  <c r="BD60" i="182"/>
  <c r="CT60" i="182"/>
  <c r="Z60" i="182"/>
  <c r="BP60" i="182"/>
  <c r="FB60" i="182"/>
  <c r="AL60" i="182"/>
  <c r="CN60" i="182"/>
  <c r="DX60" i="182"/>
  <c r="AF60" i="182"/>
  <c r="BJ60" i="182"/>
  <c r="AX60" i="182"/>
  <c r="CB60" i="182"/>
  <c r="FA99" i="182"/>
  <c r="CM99" i="182"/>
  <c r="BI99" i="182"/>
  <c r="DW99" i="182"/>
  <c r="AE99" i="182"/>
  <c r="CS99" i="182"/>
  <c r="CA99" i="182"/>
  <c r="GE99" i="182"/>
  <c r="BU99" i="182"/>
  <c r="BC99" i="182"/>
  <c r="AK99" i="182"/>
  <c r="CG99" i="182"/>
  <c r="BO99" i="182"/>
  <c r="AW99" i="182"/>
  <c r="AQ99" i="182"/>
  <c r="Y99" i="182"/>
  <c r="BZ141" i="182"/>
  <c r="AV141" i="182"/>
  <c r="BT141" i="182"/>
  <c r="BB141" i="182"/>
  <c r="DV141" i="182"/>
  <c r="AD141" i="182"/>
  <c r="GD141" i="182"/>
  <c r="CR141" i="182"/>
  <c r="BH141" i="182"/>
  <c r="EZ141" i="182"/>
  <c r="CL141" i="182"/>
  <c r="AP141" i="182"/>
  <c r="CF141" i="182"/>
  <c r="AJ141" i="182"/>
  <c r="X141" i="182"/>
  <c r="BN141" i="182"/>
  <c r="BV180" i="182"/>
  <c r="GF180" i="182"/>
  <c r="AR180" i="182"/>
  <c r="CT180" i="182"/>
  <c r="BP180" i="182"/>
  <c r="CB180" i="182"/>
  <c r="AL180" i="182"/>
  <c r="AF180" i="182"/>
  <c r="CN180" i="182"/>
  <c r="AX180" i="182"/>
  <c r="CH180" i="182"/>
  <c r="Z180" i="182"/>
  <c r="BJ180" i="182"/>
  <c r="BD180" i="182"/>
  <c r="FB180" i="182"/>
  <c r="DX180" i="182"/>
  <c r="GC215" i="182"/>
  <c r="AO215" i="182"/>
  <c r="CE215" i="182"/>
  <c r="CQ215" i="182"/>
  <c r="W215" i="182"/>
  <c r="BM215" i="182"/>
  <c r="CK215" i="182"/>
  <c r="BG215" i="182"/>
  <c r="DU215" i="182"/>
  <c r="AC215" i="182"/>
  <c r="BY215" i="182"/>
  <c r="BA215" i="182"/>
  <c r="AU215" i="182"/>
  <c r="BS215" i="182"/>
  <c r="EY215" i="182"/>
  <c r="AI215" i="182"/>
  <c r="FA79" i="182"/>
  <c r="AK79" i="182"/>
  <c r="DW79" i="182"/>
  <c r="Y79" i="182"/>
  <c r="BC79" i="182"/>
  <c r="CG79" i="182"/>
  <c r="GE79" i="182"/>
  <c r="BO79" i="182"/>
  <c r="CS79" i="182"/>
  <c r="AW79" i="182"/>
  <c r="CA79" i="182"/>
  <c r="AE79" i="182"/>
  <c r="CM79" i="182"/>
  <c r="AQ79" i="182"/>
  <c r="BU79" i="182"/>
  <c r="BI79" i="182"/>
  <c r="CF120" i="182"/>
  <c r="BN120" i="182"/>
  <c r="BZ120" i="182"/>
  <c r="AV120" i="182"/>
  <c r="CL120" i="182"/>
  <c r="BT120" i="182"/>
  <c r="BH120" i="182"/>
  <c r="EZ120" i="182"/>
  <c r="AJ120" i="182"/>
  <c r="BB120" i="182"/>
  <c r="DV120" i="182"/>
  <c r="AD120" i="182"/>
  <c r="CR120" i="182"/>
  <c r="X120" i="182"/>
  <c r="GD120" i="182"/>
  <c r="AP120" i="182"/>
  <c r="BJ161" i="182"/>
  <c r="DX161" i="182"/>
  <c r="AF161" i="182"/>
  <c r="CT161" i="182"/>
  <c r="GF161" i="182"/>
  <c r="AL161" i="182"/>
  <c r="BP161" i="182"/>
  <c r="CH161" i="182"/>
  <c r="AX161" i="182"/>
  <c r="AR161" i="182"/>
  <c r="FB161" i="182"/>
  <c r="CN161" i="182"/>
  <c r="CB161" i="182"/>
  <c r="Z161" i="182"/>
  <c r="BV161" i="182"/>
  <c r="BD161" i="182"/>
  <c r="BC204" i="182"/>
  <c r="CS204" i="182"/>
  <c r="Y204" i="182"/>
  <c r="DW204" i="182"/>
  <c r="BO204" i="182"/>
  <c r="BI204" i="182"/>
  <c r="AQ204" i="182"/>
  <c r="CM204" i="182"/>
  <c r="AE204" i="182"/>
  <c r="AW204" i="182"/>
  <c r="AK204" i="182"/>
  <c r="CG204" i="182"/>
  <c r="CA204" i="182"/>
  <c r="BU204" i="182"/>
  <c r="FA204" i="182"/>
  <c r="GE204" i="182"/>
  <c r="GE70" i="182"/>
  <c r="AQ70" i="182"/>
  <c r="CG70" i="182"/>
  <c r="BC70" i="182"/>
  <c r="CS70" i="182"/>
  <c r="Y70" i="182"/>
  <c r="BO70" i="182"/>
  <c r="FA70" i="182"/>
  <c r="AK70" i="182"/>
  <c r="CA70" i="182"/>
  <c r="AW70" i="182"/>
  <c r="AE70" i="182"/>
  <c r="BU70" i="182"/>
  <c r="BI70" i="182"/>
  <c r="DW70" i="182"/>
  <c r="CM70" i="182"/>
  <c r="CG110" i="182"/>
  <c r="BC110" i="182"/>
  <c r="CS110" i="182"/>
  <c r="Y110" i="182"/>
  <c r="BO110" i="182"/>
  <c r="FA110" i="182"/>
  <c r="AK110" i="182"/>
  <c r="CA110" i="182"/>
  <c r="AW110" i="182"/>
  <c r="CM110" i="182"/>
  <c r="BI110" i="182"/>
  <c r="DW110" i="182"/>
  <c r="AE110" i="182"/>
  <c r="AQ110" i="182"/>
  <c r="BU110" i="182"/>
  <c r="GE110" i="182"/>
  <c r="CH151" i="182"/>
  <c r="BD151" i="182"/>
  <c r="BP151" i="182"/>
  <c r="CB151" i="182"/>
  <c r="AX151" i="182"/>
  <c r="CN151" i="182"/>
  <c r="DX151" i="182"/>
  <c r="AF151" i="182"/>
  <c r="AL151" i="182"/>
  <c r="Z151" i="182"/>
  <c r="GF151" i="182"/>
  <c r="FB151" i="182"/>
  <c r="CT151" i="182"/>
  <c r="BJ151" i="182"/>
  <c r="AR151" i="182"/>
  <c r="BV151" i="182"/>
  <c r="BP193" i="182"/>
  <c r="FB193" i="182"/>
  <c r="AL193" i="182"/>
  <c r="DX193" i="182"/>
  <c r="CB193" i="182"/>
  <c r="BJ193" i="182"/>
  <c r="Z193" i="182"/>
  <c r="BV193" i="182"/>
  <c r="BD193" i="182"/>
  <c r="CN193" i="182"/>
  <c r="AX193" i="182"/>
  <c r="AF193" i="182"/>
  <c r="AR193" i="182"/>
  <c r="CT193" i="182"/>
  <c r="CH193" i="182"/>
  <c r="GF193" i="182"/>
  <c r="BH131" i="182"/>
  <c r="DV131" i="182"/>
  <c r="BB131" i="182"/>
  <c r="CR131" i="182"/>
  <c r="X131" i="182"/>
  <c r="BN131" i="182"/>
  <c r="GD131" i="182"/>
  <c r="EZ131" i="182"/>
  <c r="CL131" i="182"/>
  <c r="AV131" i="182"/>
  <c r="AD131" i="182"/>
  <c r="BZ131" i="182"/>
  <c r="BT131" i="182"/>
  <c r="AP131" i="182"/>
  <c r="AJ131" i="182"/>
  <c r="CF131" i="182"/>
  <c r="BP115" i="182"/>
  <c r="CN115" i="182"/>
  <c r="CH115" i="182"/>
  <c r="AX115" i="182"/>
  <c r="GF115" i="182"/>
  <c r="CT115" i="182"/>
  <c r="AF115" i="182"/>
  <c r="CB115" i="182"/>
  <c r="BJ115" i="182"/>
  <c r="FB115" i="182"/>
  <c r="AR115" i="182"/>
  <c r="BV115" i="182"/>
  <c r="Z115" i="182"/>
  <c r="DX115" i="182"/>
  <c r="BD115" i="182"/>
  <c r="AL115" i="182"/>
  <c r="CN81" i="182"/>
  <c r="CT81" i="182"/>
  <c r="BP81" i="182"/>
  <c r="CB81" i="182"/>
  <c r="AX81" i="182"/>
  <c r="FB81" i="182"/>
  <c r="AF81" i="182"/>
  <c r="BJ81" i="182"/>
  <c r="AR81" i="182"/>
  <c r="DX81" i="182"/>
  <c r="BV81" i="182"/>
  <c r="CH81" i="182"/>
  <c r="BD81" i="182"/>
  <c r="GF81" i="182"/>
  <c r="AL81" i="182"/>
  <c r="Z81" i="182"/>
  <c r="DW179" i="182"/>
  <c r="AE179" i="182"/>
  <c r="BC179" i="182"/>
  <c r="BO179" i="182"/>
  <c r="Y179" i="182"/>
  <c r="AQ179" i="182"/>
  <c r="CS179" i="182"/>
  <c r="GE179" i="182"/>
  <c r="AK179" i="182"/>
  <c r="BU179" i="182"/>
  <c r="AW179" i="182"/>
  <c r="CM179" i="182"/>
  <c r="CA179" i="182"/>
  <c r="FA179" i="182"/>
  <c r="CG179" i="182"/>
  <c r="BI179" i="182"/>
  <c r="GE112" i="182"/>
  <c r="CS112" i="182"/>
  <c r="Y112" i="182"/>
  <c r="BO112" i="182"/>
  <c r="FA112" i="182"/>
  <c r="AK112" i="182"/>
  <c r="CA112" i="182"/>
  <c r="AW112" i="182"/>
  <c r="CM112" i="182"/>
  <c r="BI112" i="182"/>
  <c r="DW112" i="182"/>
  <c r="AE112" i="182"/>
  <c r="BU112" i="182"/>
  <c r="AQ112" i="182"/>
  <c r="BC112" i="182"/>
  <c r="CG112" i="182"/>
  <c r="BS147" i="182"/>
  <c r="GC147" i="182"/>
  <c r="AO147" i="182"/>
  <c r="CE147" i="182"/>
  <c r="EY147" i="182"/>
  <c r="CK147" i="182"/>
  <c r="DU147" i="182"/>
  <c r="CQ147" i="182"/>
  <c r="BY147" i="182"/>
  <c r="BG147" i="182"/>
  <c r="W147" i="182"/>
  <c r="AU147" i="182"/>
  <c r="AI147" i="182"/>
  <c r="BA147" i="182"/>
  <c r="AC147" i="182"/>
  <c r="BM147" i="182"/>
  <c r="CN141" i="182"/>
  <c r="BJ141" i="182"/>
  <c r="DX141" i="182"/>
  <c r="AL141" i="182"/>
  <c r="CH141" i="182"/>
  <c r="CB141" i="182"/>
  <c r="AR141" i="182"/>
  <c r="FB141" i="182"/>
  <c r="Z141" i="182"/>
  <c r="BV141" i="182"/>
  <c r="AF141" i="182"/>
  <c r="BD141" i="182"/>
  <c r="AX141" i="182"/>
  <c r="CT141" i="182"/>
  <c r="GF141" i="182"/>
  <c r="BP141" i="182"/>
  <c r="GC167" i="182"/>
  <c r="AO167" i="182"/>
  <c r="CE167" i="182"/>
  <c r="CQ167" i="182"/>
  <c r="W167" i="182"/>
  <c r="BY167" i="182"/>
  <c r="AU167" i="182"/>
  <c r="CK167" i="182"/>
  <c r="EY167" i="182"/>
  <c r="BS167" i="182"/>
  <c r="BM167" i="182"/>
  <c r="AI167" i="182"/>
  <c r="BG167" i="182"/>
  <c r="BA167" i="182"/>
  <c r="DU167" i="182"/>
  <c r="AC167" i="182"/>
  <c r="FA192" i="182"/>
  <c r="AK192" i="182"/>
  <c r="CA192" i="182"/>
  <c r="BI192" i="182"/>
  <c r="DW192" i="182"/>
  <c r="AE192" i="182"/>
  <c r="AQ192" i="182"/>
  <c r="CG192" i="182"/>
  <c r="Y192" i="182"/>
  <c r="BU192" i="182"/>
  <c r="BO192" i="182"/>
  <c r="GE192" i="182"/>
  <c r="BC192" i="182"/>
  <c r="AW192" i="182"/>
  <c r="CS192" i="182"/>
  <c r="CM192" i="182"/>
  <c r="BS47" i="182"/>
  <c r="GC47" i="182"/>
  <c r="AO47" i="182"/>
  <c r="CE47" i="182"/>
  <c r="BA47" i="182"/>
  <c r="CQ47" i="182"/>
  <c r="W47" i="182"/>
  <c r="AU47" i="182"/>
  <c r="BM47" i="182"/>
  <c r="EY47" i="182"/>
  <c r="AI47" i="182"/>
  <c r="BY47" i="182"/>
  <c r="CK47" i="182"/>
  <c r="AC47" i="182"/>
  <c r="BG47" i="182"/>
  <c r="DU47" i="182"/>
  <c r="CL124" i="182"/>
  <c r="BH124" i="182"/>
  <c r="AV124" i="182"/>
  <c r="AD124" i="182"/>
  <c r="EZ124" i="182"/>
  <c r="GD124" i="182"/>
  <c r="CR124" i="182"/>
  <c r="AJ124" i="182"/>
  <c r="DV124" i="182"/>
  <c r="CF124" i="182"/>
  <c r="BN124" i="182"/>
  <c r="BZ124" i="182"/>
  <c r="X124" i="182"/>
  <c r="BB124" i="182"/>
  <c r="AP124" i="182"/>
  <c r="BT124" i="182"/>
  <c r="BV208" i="182"/>
  <c r="GF208" i="182"/>
  <c r="AR208" i="182"/>
  <c r="CH208" i="182"/>
  <c r="AX208" i="182"/>
  <c r="CN208" i="182"/>
  <c r="Z208" i="182"/>
  <c r="DX208" i="182"/>
  <c r="AL208" i="182"/>
  <c r="CB208" i="182"/>
  <c r="CT208" i="182"/>
  <c r="AF208" i="182"/>
  <c r="BD208" i="182"/>
  <c r="BP208" i="182"/>
  <c r="FB208" i="182"/>
  <c r="BJ208" i="182"/>
  <c r="BB118" i="182"/>
  <c r="EZ118" i="182"/>
  <c r="AJ118" i="182"/>
  <c r="BZ118" i="182"/>
  <c r="BH118" i="182"/>
  <c r="CR118" i="182"/>
  <c r="AD118" i="182"/>
  <c r="BT118" i="182"/>
  <c r="AV118" i="182"/>
  <c r="GD118" i="182"/>
  <c r="CL118" i="182"/>
  <c r="X118" i="182"/>
  <c r="BN118" i="182"/>
  <c r="AP118" i="182"/>
  <c r="CF118" i="182"/>
  <c r="DV118" i="182"/>
  <c r="AW200" i="182"/>
  <c r="GE200" i="182"/>
  <c r="AQ200" i="182"/>
  <c r="CG200" i="182"/>
  <c r="AE200" i="182"/>
  <c r="BO200" i="182"/>
  <c r="DW200" i="182"/>
  <c r="Y200" i="182"/>
  <c r="BI200" i="182"/>
  <c r="CS200" i="182"/>
  <c r="CA200" i="182"/>
  <c r="BC200" i="182"/>
  <c r="AK200" i="182"/>
  <c r="CM200" i="182"/>
  <c r="BU200" i="182"/>
  <c r="FA200" i="182"/>
  <c r="CT111" i="182"/>
  <c r="Z111" i="182"/>
  <c r="BP111" i="182"/>
  <c r="FB111" i="182"/>
  <c r="AL111" i="182"/>
  <c r="CB111" i="182"/>
  <c r="AX111" i="182"/>
  <c r="CN111" i="182"/>
  <c r="BJ111" i="182"/>
  <c r="DX111" i="182"/>
  <c r="AF111" i="182"/>
  <c r="BV111" i="182"/>
  <c r="GF111" i="182"/>
  <c r="AR111" i="182"/>
  <c r="CH111" i="182"/>
  <c r="BD111" i="182"/>
  <c r="FB194" i="182"/>
  <c r="AL194" i="182"/>
  <c r="CB194" i="182"/>
  <c r="BV194" i="182"/>
  <c r="CN194" i="182"/>
  <c r="CH194" i="182"/>
  <c r="BP194" i="182"/>
  <c r="DX194" i="182"/>
  <c r="BJ194" i="182"/>
  <c r="BD194" i="182"/>
  <c r="AX194" i="182"/>
  <c r="AR194" i="182"/>
  <c r="GF194" i="182"/>
  <c r="AF194" i="182"/>
  <c r="CT194" i="182"/>
  <c r="Z194" i="182"/>
  <c r="CH133" i="182"/>
  <c r="BD133" i="182"/>
  <c r="CT133" i="182"/>
  <c r="Z133" i="182"/>
  <c r="AX133" i="182"/>
  <c r="CN133" i="182"/>
  <c r="BJ133" i="182"/>
  <c r="DX133" i="182"/>
  <c r="AF133" i="182"/>
  <c r="BP133" i="182"/>
  <c r="GF133" i="182"/>
  <c r="AR133" i="182"/>
  <c r="FB133" i="182"/>
  <c r="AL133" i="182"/>
  <c r="CB133" i="182"/>
  <c r="BV133" i="182"/>
  <c r="BJ82" i="182"/>
  <c r="DX82" i="182"/>
  <c r="BD82" i="182"/>
  <c r="Z82" i="182"/>
  <c r="CH82" i="182"/>
  <c r="GF82" i="182"/>
  <c r="BP82" i="182"/>
  <c r="AL82" i="182"/>
  <c r="CT82" i="182"/>
  <c r="AX82" i="182"/>
  <c r="CB82" i="182"/>
  <c r="CN82" i="182"/>
  <c r="AR82" i="182"/>
  <c r="AF82" i="182"/>
  <c r="BV82" i="182"/>
  <c r="FB82" i="182"/>
  <c r="GF164" i="182"/>
  <c r="AR164" i="182"/>
  <c r="CH164" i="182"/>
  <c r="CT164" i="182"/>
  <c r="Z164" i="182"/>
  <c r="CB164" i="182"/>
  <c r="AX164" i="182"/>
  <c r="DX164" i="182"/>
  <c r="BJ164" i="182"/>
  <c r="AL164" i="182"/>
  <c r="BD164" i="182"/>
  <c r="BV164" i="182"/>
  <c r="CN164" i="182"/>
  <c r="AF164" i="182"/>
  <c r="BP164" i="182"/>
  <c r="FB164" i="182"/>
  <c r="DV64" i="182"/>
  <c r="AD64" i="182"/>
  <c r="BT64" i="182"/>
  <c r="AJ64" i="182"/>
  <c r="CF64" i="182"/>
  <c r="BN64" i="182"/>
  <c r="AV64" i="182"/>
  <c r="GD64" i="182"/>
  <c r="CR64" i="182"/>
  <c r="BZ64" i="182"/>
  <c r="AP64" i="182"/>
  <c r="BH64" i="182"/>
  <c r="EZ64" i="182"/>
  <c r="BB64" i="182"/>
  <c r="CL64" i="182"/>
  <c r="X64" i="182"/>
  <c r="BM175" i="182"/>
  <c r="AO175" i="182"/>
  <c r="BS175" i="182"/>
  <c r="BA175" i="182"/>
  <c r="W175" i="182"/>
  <c r="GC175" i="182"/>
  <c r="CE175" i="182"/>
  <c r="AI175" i="182"/>
  <c r="BY175" i="182"/>
  <c r="CK175" i="182"/>
  <c r="BG175" i="182"/>
  <c r="AC175" i="182"/>
  <c r="AU175" i="182"/>
  <c r="DU175" i="182"/>
  <c r="EY175" i="182"/>
  <c r="CQ175" i="182"/>
  <c r="AW122" i="182"/>
  <c r="CM122" i="182"/>
  <c r="GE122" i="182"/>
  <c r="BI122" i="182"/>
  <c r="CA122" i="182"/>
  <c r="AQ122" i="182"/>
  <c r="BU122" i="182"/>
  <c r="BC122" i="182"/>
  <c r="AK122" i="182"/>
  <c r="FA122" i="182"/>
  <c r="BO122" i="182"/>
  <c r="DW122" i="182"/>
  <c r="CS122" i="182"/>
  <c r="CG122" i="182"/>
  <c r="AE122" i="182"/>
  <c r="Y122" i="182"/>
  <c r="BA74" i="182"/>
  <c r="CQ74" i="182"/>
  <c r="W74" i="182"/>
  <c r="BM74" i="182"/>
  <c r="EY74" i="182"/>
  <c r="AI74" i="182"/>
  <c r="BY74" i="182"/>
  <c r="AU74" i="182"/>
  <c r="CK74" i="182"/>
  <c r="BG74" i="182"/>
  <c r="AO74" i="182"/>
  <c r="CE74" i="182"/>
  <c r="AC74" i="182"/>
  <c r="BS74" i="182"/>
  <c r="GC74" i="182"/>
  <c r="DU74" i="182"/>
  <c r="CT52" i="182"/>
  <c r="Z52" i="182"/>
  <c r="BP52" i="182"/>
  <c r="FB52" i="182"/>
  <c r="AL52" i="182"/>
  <c r="CB52" i="182"/>
  <c r="AX52" i="182"/>
  <c r="CN52" i="182"/>
  <c r="AF52" i="182"/>
  <c r="GF52" i="182"/>
  <c r="CH52" i="182"/>
  <c r="BD52" i="182"/>
  <c r="AR52" i="182"/>
  <c r="DX52" i="182"/>
  <c r="BV52" i="182"/>
  <c r="BJ52" i="182"/>
  <c r="BA116" i="182"/>
  <c r="BY116" i="182"/>
  <c r="BS116" i="182"/>
  <c r="AI116" i="182"/>
  <c r="DU116" i="182"/>
  <c r="CE116" i="182"/>
  <c r="BM116" i="182"/>
  <c r="AU116" i="182"/>
  <c r="AC116" i="182"/>
  <c r="GC116" i="182"/>
  <c r="CQ116" i="182"/>
  <c r="BG116" i="182"/>
  <c r="AO116" i="182"/>
  <c r="W116" i="182"/>
  <c r="EY116" i="182"/>
  <c r="CK116" i="182"/>
  <c r="BH206" i="182"/>
  <c r="CR206" i="182"/>
  <c r="X206" i="182"/>
  <c r="BN206" i="182"/>
  <c r="AD206" i="182"/>
  <c r="AV206" i="182"/>
  <c r="DV206" i="182"/>
  <c r="CF206" i="182"/>
  <c r="BZ206" i="182"/>
  <c r="AP206" i="182"/>
  <c r="BT206" i="182"/>
  <c r="AJ206" i="182"/>
  <c r="CL206" i="182"/>
  <c r="GD206" i="182"/>
  <c r="EZ206" i="182"/>
  <c r="BB206" i="182"/>
  <c r="GC120" i="182"/>
  <c r="AO120" i="182"/>
  <c r="CQ120" i="182"/>
  <c r="W120" i="182"/>
  <c r="EY120" i="182"/>
  <c r="AI120" i="182"/>
  <c r="BY120" i="182"/>
  <c r="AU120" i="182"/>
  <c r="DU120" i="182"/>
  <c r="AC120" i="182"/>
  <c r="BG120" i="182"/>
  <c r="CE120" i="182"/>
  <c r="BA120" i="182"/>
  <c r="BS120" i="182"/>
  <c r="BM120" i="182"/>
  <c r="CK120" i="182"/>
  <c r="BC153" i="182"/>
  <c r="CS153" i="182"/>
  <c r="Y153" i="182"/>
  <c r="FA153" i="182"/>
  <c r="AK153" i="182"/>
  <c r="AW153" i="182"/>
  <c r="CM153" i="182"/>
  <c r="BI153" i="182"/>
  <c r="BU153" i="182"/>
  <c r="BO153" i="182"/>
  <c r="AE153" i="182"/>
  <c r="CG153" i="182"/>
  <c r="GE153" i="182"/>
  <c r="CA153" i="182"/>
  <c r="AQ153" i="182"/>
  <c r="DW153" i="182"/>
  <c r="BG150" i="182"/>
  <c r="DU150" i="182"/>
  <c r="AC150" i="182"/>
  <c r="GC150" i="182"/>
  <c r="AO150" i="182"/>
  <c r="BA150" i="182"/>
  <c r="CQ150" i="182"/>
  <c r="W150" i="182"/>
  <c r="BM150" i="182"/>
  <c r="EY150" i="182"/>
  <c r="BY150" i="182"/>
  <c r="AU150" i="182"/>
  <c r="BS150" i="182"/>
  <c r="AI150" i="182"/>
  <c r="CK150" i="182"/>
  <c r="CE150" i="182"/>
  <c r="BO173" i="182"/>
  <c r="AQ173" i="182"/>
  <c r="BU173" i="182"/>
  <c r="BC173" i="182"/>
  <c r="GE173" i="182"/>
  <c r="CA173" i="182"/>
  <c r="DW173" i="182"/>
  <c r="AW173" i="182"/>
  <c r="CS173" i="182"/>
  <c r="AK173" i="182"/>
  <c r="CM173" i="182"/>
  <c r="BI173" i="182"/>
  <c r="CG173" i="182"/>
  <c r="AE173" i="182"/>
  <c r="FA173" i="182"/>
  <c r="Y173" i="182"/>
  <c r="CK126" i="182"/>
  <c r="BG126" i="182"/>
  <c r="DU126" i="182"/>
  <c r="AC126" i="182"/>
  <c r="EY126" i="182"/>
  <c r="AO126" i="182"/>
  <c r="W126" i="182"/>
  <c r="CQ126" i="182"/>
  <c r="BS126" i="182"/>
  <c r="BM126" i="182"/>
  <c r="CE126" i="182"/>
  <c r="BY126" i="182"/>
  <c r="BA126" i="182"/>
  <c r="GC126" i="182"/>
  <c r="AU126" i="182"/>
  <c r="AI126" i="182"/>
  <c r="CL87" i="182"/>
  <c r="DV87" i="182"/>
  <c r="AD87" i="182"/>
  <c r="BT87" i="182"/>
  <c r="GD87" i="182"/>
  <c r="AP87" i="182"/>
  <c r="BZ87" i="182"/>
  <c r="CF87" i="182"/>
  <c r="BH87" i="182"/>
  <c r="AJ87" i="182"/>
  <c r="EZ87" i="182"/>
  <c r="BB87" i="182"/>
  <c r="X87" i="182"/>
  <c r="BN87" i="182"/>
  <c r="AV87" i="182"/>
  <c r="CR87" i="182"/>
  <c r="X169" i="182"/>
  <c r="CR169" i="182"/>
  <c r="BN169" i="182"/>
  <c r="BZ169" i="182"/>
  <c r="BH169" i="182"/>
  <c r="AD169" i="182"/>
  <c r="DV169" i="182"/>
  <c r="BT169" i="182"/>
  <c r="AJ169" i="182"/>
  <c r="CL169" i="182"/>
  <c r="CF169" i="182"/>
  <c r="GD169" i="182"/>
  <c r="BB169" i="182"/>
  <c r="AP169" i="182"/>
  <c r="AV169" i="182"/>
  <c r="EZ169" i="182"/>
  <c r="AX80" i="182"/>
  <c r="BJ80" i="182"/>
  <c r="AF80" i="182"/>
  <c r="CN80" i="182"/>
  <c r="AR80" i="182"/>
  <c r="BV80" i="182"/>
  <c r="DX80" i="182"/>
  <c r="BD80" i="182"/>
  <c r="Z80" i="182"/>
  <c r="GF80" i="182"/>
  <c r="CH80" i="182"/>
  <c r="AL80" i="182"/>
  <c r="CT80" i="182"/>
  <c r="CB80" i="182"/>
  <c r="FB80" i="182"/>
  <c r="BP80" i="182"/>
  <c r="CK163" i="182"/>
  <c r="BG163" i="182"/>
  <c r="BS163" i="182"/>
  <c r="BA163" i="182"/>
  <c r="CQ163" i="182"/>
  <c r="W163" i="182"/>
  <c r="AU163" i="182"/>
  <c r="GC163" i="182"/>
  <c r="EY163" i="182"/>
  <c r="CE163" i="182"/>
  <c r="AI163" i="182"/>
  <c r="DU163" i="182"/>
  <c r="BY163" i="182"/>
  <c r="AC163" i="182"/>
  <c r="AO163" i="182"/>
  <c r="BM163" i="182"/>
  <c r="FB74" i="182"/>
  <c r="AL74" i="182"/>
  <c r="CB74" i="182"/>
  <c r="AX74" i="182"/>
  <c r="CN74" i="182"/>
  <c r="BJ74" i="182"/>
  <c r="DX74" i="182"/>
  <c r="AF74" i="182"/>
  <c r="BV74" i="182"/>
  <c r="GF74" i="182"/>
  <c r="AR74" i="182"/>
  <c r="Z74" i="182"/>
  <c r="BP74" i="182"/>
  <c r="BD74" i="182"/>
  <c r="CH74" i="182"/>
  <c r="CT74" i="182"/>
  <c r="CQ156" i="182"/>
  <c r="W156" i="182"/>
  <c r="BM156" i="182"/>
  <c r="BY156" i="182"/>
  <c r="CK156" i="182"/>
  <c r="BG156" i="182"/>
  <c r="DU156" i="182"/>
  <c r="AC156" i="182"/>
  <c r="GC156" i="182"/>
  <c r="AO156" i="182"/>
  <c r="CE156" i="182"/>
  <c r="BA156" i="182"/>
  <c r="AU156" i="182"/>
  <c r="BS156" i="182"/>
  <c r="AI156" i="182"/>
  <c r="EY156" i="182"/>
  <c r="AW57" i="182"/>
  <c r="CM57" i="182"/>
  <c r="BI57" i="182"/>
  <c r="DW57" i="182"/>
  <c r="AE57" i="182"/>
  <c r="BU57" i="182"/>
  <c r="GE57" i="182"/>
  <c r="AQ57" i="182"/>
  <c r="CG57" i="182"/>
  <c r="CA57" i="182"/>
  <c r="FA57" i="182"/>
  <c r="AK57" i="182"/>
  <c r="Y57" i="182"/>
  <c r="BO57" i="182"/>
  <c r="CS57" i="182"/>
  <c r="BC57" i="182"/>
  <c r="BO137" i="182"/>
  <c r="FA137" i="182"/>
  <c r="AK137" i="182"/>
  <c r="CA137" i="182"/>
  <c r="DW137" i="182"/>
  <c r="AE137" i="182"/>
  <c r="BU137" i="182"/>
  <c r="GE137" i="182"/>
  <c r="AQ137" i="182"/>
  <c r="CG137" i="182"/>
  <c r="BI137" i="182"/>
  <c r="Y137" i="182"/>
  <c r="AW137" i="182"/>
  <c r="CS137" i="182"/>
  <c r="CM137" i="182"/>
  <c r="BC137" i="182"/>
  <c r="GF48" i="182"/>
  <c r="CT48" i="182"/>
  <c r="BP48" i="182"/>
  <c r="FB48" i="182"/>
  <c r="CN48" i="182"/>
  <c r="BV48" i="182"/>
  <c r="BD48" i="182"/>
  <c r="Z48" i="182"/>
  <c r="AL48" i="182"/>
  <c r="CH48" i="182"/>
  <c r="AX48" i="182"/>
  <c r="DX48" i="182"/>
  <c r="CB48" i="182"/>
  <c r="BJ48" i="182"/>
  <c r="AF48" i="182"/>
  <c r="AR48" i="182"/>
  <c r="DW126" i="182"/>
  <c r="AE126" i="182"/>
  <c r="BU126" i="182"/>
  <c r="GE126" i="182"/>
  <c r="AQ126" i="182"/>
  <c r="CG126" i="182"/>
  <c r="BO126" i="182"/>
  <c r="AW126" i="182"/>
  <c r="Y126" i="182"/>
  <c r="CM126" i="182"/>
  <c r="FA126" i="182"/>
  <c r="BI126" i="182"/>
  <c r="AK126" i="182"/>
  <c r="CS126" i="182"/>
  <c r="CA126" i="182"/>
  <c r="BC126" i="182"/>
  <c r="FA138" i="182"/>
  <c r="AK138" i="182"/>
  <c r="CA138" i="182"/>
  <c r="AW138" i="182"/>
  <c r="BU138" i="182"/>
  <c r="GE138" i="182"/>
  <c r="AQ138" i="182"/>
  <c r="CG138" i="182"/>
  <c r="BC138" i="182"/>
  <c r="DW138" i="182"/>
  <c r="BO138" i="182"/>
  <c r="CM138" i="182"/>
  <c r="AE138" i="182"/>
  <c r="Y138" i="182"/>
  <c r="CS138" i="182"/>
  <c r="BI138" i="182"/>
  <c r="BH60" i="182"/>
  <c r="DV60" i="182"/>
  <c r="AD60" i="182"/>
  <c r="BT60" i="182"/>
  <c r="GD60" i="182"/>
  <c r="AP60" i="182"/>
  <c r="CF60" i="182"/>
  <c r="BB60" i="182"/>
  <c r="CR60" i="182"/>
  <c r="X60" i="182"/>
  <c r="AV60" i="182"/>
  <c r="BZ60" i="182"/>
  <c r="EZ60" i="182"/>
  <c r="AJ60" i="182"/>
  <c r="BN60" i="182"/>
  <c r="CL60" i="182"/>
  <c r="BG64" i="182"/>
  <c r="DU64" i="182"/>
  <c r="AC64" i="182"/>
  <c r="CK64" i="182"/>
  <c r="BA64" i="182"/>
  <c r="AI64" i="182"/>
  <c r="CE64" i="182"/>
  <c r="BM64" i="182"/>
  <c r="AU64" i="182"/>
  <c r="GC64" i="182"/>
  <c r="CQ64" i="182"/>
  <c r="W64" i="182"/>
  <c r="BS64" i="182"/>
  <c r="EY64" i="182"/>
  <c r="AO64" i="182"/>
  <c r="BY64" i="182"/>
  <c r="BO78" i="182"/>
  <c r="CA78" i="182"/>
  <c r="FA78" i="182"/>
  <c r="AE78" i="182"/>
  <c r="BI78" i="182"/>
  <c r="CM78" i="182"/>
  <c r="AQ78" i="182"/>
  <c r="BU78" i="182"/>
  <c r="DW78" i="182"/>
  <c r="Y78" i="182"/>
  <c r="BC78" i="182"/>
  <c r="GE78" i="182"/>
  <c r="CS78" i="182"/>
  <c r="CG78" i="182"/>
  <c r="AW78" i="182"/>
  <c r="AK78" i="182"/>
  <c r="CL171" i="182"/>
  <c r="BH171" i="182"/>
  <c r="CF171" i="182"/>
  <c r="BN171" i="182"/>
  <c r="BB171" i="182"/>
  <c r="CR171" i="182"/>
  <c r="X171" i="182"/>
  <c r="EZ171" i="182"/>
  <c r="AP171" i="182"/>
  <c r="DV171" i="182"/>
  <c r="AV171" i="182"/>
  <c r="AJ171" i="182"/>
  <c r="AD171" i="182"/>
  <c r="BZ171" i="182"/>
  <c r="BT171" i="182"/>
  <c r="GD171" i="182"/>
  <c r="CQ75" i="182"/>
  <c r="W75" i="182"/>
  <c r="BM75" i="182"/>
  <c r="EY75" i="182"/>
  <c r="AI75" i="182"/>
  <c r="BY75" i="182"/>
  <c r="AU75" i="182"/>
  <c r="CK75" i="182"/>
  <c r="BG75" i="182"/>
  <c r="DU75" i="182"/>
  <c r="AC75" i="182"/>
  <c r="GC75" i="182"/>
  <c r="BA75" i="182"/>
  <c r="AO75" i="182"/>
  <c r="CE75" i="182"/>
  <c r="BS75" i="182"/>
  <c r="BB154" i="182"/>
  <c r="CR154" i="182"/>
  <c r="X154" i="182"/>
  <c r="EZ154" i="182"/>
  <c r="AJ154" i="182"/>
  <c r="AV154" i="182"/>
  <c r="CL154" i="182"/>
  <c r="BH154" i="182"/>
  <c r="BT154" i="182"/>
  <c r="GD154" i="182"/>
  <c r="CF154" i="182"/>
  <c r="DV154" i="182"/>
  <c r="AP154" i="182"/>
  <c r="BN154" i="182"/>
  <c r="BZ154" i="182"/>
  <c r="AD154" i="182"/>
  <c r="GD129" i="182"/>
  <c r="AP129" i="182"/>
  <c r="CF129" i="182"/>
  <c r="BB129" i="182"/>
  <c r="BT129" i="182"/>
  <c r="BZ129" i="182"/>
  <c r="BH129" i="182"/>
  <c r="CL129" i="182"/>
  <c r="DV129" i="182"/>
  <c r="AJ129" i="182"/>
  <c r="AD129" i="182"/>
  <c r="EZ129" i="182"/>
  <c r="AV129" i="182"/>
  <c r="X129" i="182"/>
  <c r="BN129" i="182"/>
  <c r="CR129" i="182"/>
  <c r="BC189" i="182"/>
  <c r="CS189" i="182"/>
  <c r="Y189" i="182"/>
  <c r="CA189" i="182"/>
  <c r="BI189" i="182"/>
  <c r="DW189" i="182"/>
  <c r="AE189" i="182"/>
  <c r="BO189" i="182"/>
  <c r="AQ189" i="182"/>
  <c r="GE189" i="182"/>
  <c r="CM189" i="182"/>
  <c r="AK189" i="182"/>
  <c r="FA189" i="182"/>
  <c r="CG189" i="182"/>
  <c r="AW189" i="182"/>
  <c r="BU189" i="182"/>
  <c r="BG45" i="182"/>
  <c r="DU45" i="182"/>
  <c r="AC45" i="182"/>
  <c r="BS45" i="182"/>
  <c r="EY45" i="182"/>
  <c r="GC45" i="182"/>
  <c r="AO45" i="182"/>
  <c r="AI45" i="182"/>
  <c r="CE45" i="182"/>
  <c r="BA45" i="182"/>
  <c r="CQ45" i="182"/>
  <c r="W45" i="182"/>
  <c r="BM45" i="182"/>
  <c r="BY45" i="182"/>
  <c r="CK45" i="182"/>
  <c r="AU45" i="182"/>
  <c r="BN75" i="182"/>
  <c r="EZ75" i="182"/>
  <c r="AJ75" i="182"/>
  <c r="BZ75" i="182"/>
  <c r="AV75" i="182"/>
  <c r="CL75" i="182"/>
  <c r="BH75" i="182"/>
  <c r="DV75" i="182"/>
  <c r="AD75" i="182"/>
  <c r="BT75" i="182"/>
  <c r="CF75" i="182"/>
  <c r="GD75" i="182"/>
  <c r="BB75" i="182"/>
  <c r="AP75" i="182"/>
  <c r="CR75" i="182"/>
  <c r="X75" i="182"/>
  <c r="BD110" i="182"/>
  <c r="CT110" i="182"/>
  <c r="Z110" i="182"/>
  <c r="BP110" i="182"/>
  <c r="FB110" i="182"/>
  <c r="AL110" i="182"/>
  <c r="CB110" i="182"/>
  <c r="AX110" i="182"/>
  <c r="CN110" i="182"/>
  <c r="BJ110" i="182"/>
  <c r="DX110" i="182"/>
  <c r="AF110" i="182"/>
  <c r="BV110" i="182"/>
  <c r="AR110" i="182"/>
  <c r="CH110" i="182"/>
  <c r="GF110" i="182"/>
  <c r="GF64" i="182"/>
  <c r="AR64" i="182"/>
  <c r="CH64" i="182"/>
  <c r="DX64" i="182"/>
  <c r="BP64" i="182"/>
  <c r="AX64" i="182"/>
  <c r="AF64" i="182"/>
  <c r="CT64" i="182"/>
  <c r="CB64" i="182"/>
  <c r="BJ64" i="182"/>
  <c r="Z64" i="182"/>
  <c r="BV64" i="182"/>
  <c r="FB64" i="182"/>
  <c r="BD64" i="182"/>
  <c r="CN64" i="182"/>
  <c r="AL64" i="182"/>
  <c r="CM161" i="182"/>
  <c r="BI161" i="182"/>
  <c r="CS161" i="182"/>
  <c r="CA161" i="182"/>
  <c r="Y161" i="182"/>
  <c r="GE161" i="182"/>
  <c r="BU161" i="182"/>
  <c r="BC161" i="182"/>
  <c r="FA161" i="182"/>
  <c r="BO161" i="182"/>
  <c r="AE161" i="182"/>
  <c r="DW161" i="182"/>
  <c r="AW161" i="182"/>
  <c r="AQ161" i="182"/>
  <c r="AK161" i="182"/>
  <c r="CG161" i="182"/>
  <c r="CN96" i="182"/>
  <c r="BD96" i="182"/>
  <c r="DX96" i="182"/>
  <c r="CH96" i="182"/>
  <c r="AL96" i="182"/>
  <c r="BP96" i="182"/>
  <c r="GF96" i="182"/>
  <c r="AX96" i="182"/>
  <c r="CT96" i="182"/>
  <c r="AF96" i="182"/>
  <c r="CB96" i="182"/>
  <c r="BJ96" i="182"/>
  <c r="Z96" i="182"/>
  <c r="FB96" i="182"/>
  <c r="BV96" i="182"/>
  <c r="AR96" i="182"/>
  <c r="FA195" i="182"/>
  <c r="AK195" i="182"/>
  <c r="CA195" i="182"/>
  <c r="BU195" i="182"/>
  <c r="CG195" i="182"/>
  <c r="BO195" i="182"/>
  <c r="BI195" i="182"/>
  <c r="BC195" i="182"/>
  <c r="AW195" i="182"/>
  <c r="AE195" i="182"/>
  <c r="GE195" i="182"/>
  <c r="Y195" i="182"/>
  <c r="DW195" i="182"/>
  <c r="CS195" i="182"/>
  <c r="AQ195" i="182"/>
  <c r="CM195" i="182"/>
  <c r="GF92" i="182"/>
  <c r="AR92" i="182"/>
  <c r="CH92" i="182"/>
  <c r="BD92" i="182"/>
  <c r="CT92" i="182"/>
  <c r="Z92" i="182"/>
  <c r="BP92" i="182"/>
  <c r="FB92" i="182"/>
  <c r="AL92" i="182"/>
  <c r="CB92" i="182"/>
  <c r="AX92" i="182"/>
  <c r="CN92" i="182"/>
  <c r="BV92" i="182"/>
  <c r="AF92" i="182"/>
  <c r="BJ92" i="182"/>
  <c r="DX92" i="182"/>
  <c r="GC192" i="182"/>
  <c r="CQ192" i="182"/>
  <c r="W192" i="182"/>
  <c r="BM192" i="182"/>
  <c r="AU192" i="182"/>
  <c r="CK192" i="182"/>
  <c r="DU192" i="182"/>
  <c r="AC192" i="182"/>
  <c r="BS192" i="182"/>
  <c r="CE192" i="182"/>
  <c r="BA192" i="182"/>
  <c r="BY192" i="182"/>
  <c r="AO192" i="182"/>
  <c r="AI192" i="182"/>
  <c r="BG192" i="182"/>
  <c r="EY192" i="182"/>
  <c r="GC117" i="182"/>
  <c r="AO117" i="182"/>
  <c r="CQ117" i="182"/>
  <c r="W117" i="182"/>
  <c r="AU117" i="182"/>
  <c r="BG117" i="182"/>
  <c r="BY117" i="182"/>
  <c r="AI117" i="182"/>
  <c r="BA117" i="182"/>
  <c r="CK117" i="182"/>
  <c r="BS117" i="182"/>
  <c r="EY117" i="182"/>
  <c r="AC117" i="182"/>
  <c r="BM117" i="182"/>
  <c r="CE117" i="182"/>
  <c r="DU117" i="182"/>
  <c r="GC48" i="182"/>
  <c r="CE48" i="182"/>
  <c r="AO48" i="182"/>
  <c r="BS48" i="182"/>
  <c r="BA48" i="182"/>
  <c r="EY48" i="182"/>
  <c r="CK48" i="182"/>
  <c r="W48" i="182"/>
  <c r="BM48" i="182"/>
  <c r="AI48" i="182"/>
  <c r="DU48" i="182"/>
  <c r="AU48" i="182"/>
  <c r="CQ48" i="182"/>
  <c r="BY48" i="182"/>
  <c r="BG48" i="182"/>
  <c r="AC48" i="182"/>
  <c r="BV143" i="182"/>
  <c r="GF143" i="182"/>
  <c r="AR143" i="182"/>
  <c r="CH143" i="182"/>
  <c r="CT143" i="182"/>
  <c r="Z143" i="182"/>
  <c r="FB143" i="182"/>
  <c r="CB143" i="182"/>
  <c r="DX143" i="182"/>
  <c r="BJ143" i="182"/>
  <c r="BD143" i="182"/>
  <c r="AF143" i="182"/>
  <c r="AL143" i="182"/>
  <c r="CN143" i="182"/>
  <c r="BP143" i="182"/>
  <c r="AX143" i="182"/>
  <c r="DU70" i="182"/>
  <c r="AC70" i="182"/>
  <c r="BS70" i="182"/>
  <c r="GC70" i="182"/>
  <c r="AO70" i="182"/>
  <c r="CE70" i="182"/>
  <c r="BA70" i="182"/>
  <c r="CQ70" i="182"/>
  <c r="W70" i="182"/>
  <c r="BM70" i="182"/>
  <c r="EY70" i="182"/>
  <c r="AI70" i="182"/>
  <c r="BG70" i="182"/>
  <c r="CK70" i="182"/>
  <c r="BY70" i="182"/>
  <c r="AU70" i="182"/>
  <c r="BC167" i="182"/>
  <c r="CS167" i="182"/>
  <c r="Y167" i="182"/>
  <c r="FA167" i="182"/>
  <c r="AK167" i="182"/>
  <c r="CM167" i="182"/>
  <c r="BI167" i="182"/>
  <c r="DW167" i="182"/>
  <c r="AE167" i="182"/>
  <c r="AW167" i="182"/>
  <c r="BU167" i="182"/>
  <c r="CG167" i="182"/>
  <c r="AQ167" i="182"/>
  <c r="CA167" i="182"/>
  <c r="BO167" i="182"/>
  <c r="GE167" i="182"/>
  <c r="EY65" i="182"/>
  <c r="AI65" i="182"/>
  <c r="DU65" i="182"/>
  <c r="AC65" i="182"/>
  <c r="BS65" i="182"/>
  <c r="BY65" i="182"/>
  <c r="BG65" i="182"/>
  <c r="GC65" i="182"/>
  <c r="CQ65" i="182"/>
  <c r="BA65" i="182"/>
  <c r="CK65" i="182"/>
  <c r="AU65" i="182"/>
  <c r="BM65" i="182"/>
  <c r="AO65" i="182"/>
  <c r="CE65" i="182"/>
  <c r="W65" i="182"/>
  <c r="AX103" i="182"/>
  <c r="CN103" i="182"/>
  <c r="BJ103" i="182"/>
  <c r="DX103" i="182"/>
  <c r="AF103" i="182"/>
  <c r="BV103" i="182"/>
  <c r="GF103" i="182"/>
  <c r="AR103" i="182"/>
  <c r="CH103" i="182"/>
  <c r="BD103" i="182"/>
  <c r="CT103" i="182"/>
  <c r="Z103" i="182"/>
  <c r="FB103" i="182"/>
  <c r="AL103" i="182"/>
  <c r="BP103" i="182"/>
  <c r="CB103" i="182"/>
  <c r="AP146" i="182"/>
  <c r="GD146" i="182"/>
  <c r="CF146" i="182"/>
  <c r="BB146" i="182"/>
  <c r="BN146" i="182"/>
  <c r="BZ146" i="182"/>
  <c r="AV146" i="182"/>
  <c r="BH146" i="182"/>
  <c r="DV146" i="182"/>
  <c r="AD146" i="182"/>
  <c r="CR146" i="182"/>
  <c r="X146" i="182"/>
  <c r="CL146" i="182"/>
  <c r="EZ146" i="182"/>
  <c r="BT146" i="182"/>
  <c r="AJ146" i="182"/>
  <c r="GD188" i="182"/>
  <c r="AP188" i="182"/>
  <c r="CF188" i="182"/>
  <c r="BN188" i="182"/>
  <c r="AV188" i="182"/>
  <c r="BZ188" i="182"/>
  <c r="BB188" i="182"/>
  <c r="AD188" i="182"/>
  <c r="BT188" i="182"/>
  <c r="CL188" i="182"/>
  <c r="EZ188" i="182"/>
  <c r="DV188" i="182"/>
  <c r="AJ188" i="182"/>
  <c r="CR188" i="182"/>
  <c r="X188" i="182"/>
  <c r="BH188" i="182"/>
  <c r="CL59" i="182"/>
  <c r="BH59" i="182"/>
  <c r="DV59" i="182"/>
  <c r="AD59" i="182"/>
  <c r="BT59" i="182"/>
  <c r="GD59" i="182"/>
  <c r="AP59" i="182"/>
  <c r="CF59" i="182"/>
  <c r="BB59" i="182"/>
  <c r="AV59" i="182"/>
  <c r="BZ59" i="182"/>
  <c r="EZ59" i="182"/>
  <c r="AJ59" i="182"/>
  <c r="BN59" i="182"/>
  <c r="CR59" i="182"/>
  <c r="X59" i="182"/>
  <c r="EY98" i="182"/>
  <c r="AI98" i="182"/>
  <c r="BY98" i="182"/>
  <c r="AU98" i="182"/>
  <c r="AC98" i="182"/>
  <c r="DU98" i="182"/>
  <c r="CE98" i="182"/>
  <c r="BM98" i="182"/>
  <c r="BG98" i="182"/>
  <c r="AO98" i="182"/>
  <c r="W98" i="182"/>
  <c r="GC98" i="182"/>
  <c r="CQ98" i="182"/>
  <c r="CK98" i="182"/>
  <c r="BS98" i="182"/>
  <c r="BA98" i="182"/>
  <c r="EZ139" i="182"/>
  <c r="AJ139" i="182"/>
  <c r="BZ139" i="182"/>
  <c r="AV139" i="182"/>
  <c r="BT139" i="182"/>
  <c r="GD139" i="182"/>
  <c r="AP139" i="182"/>
  <c r="CF139" i="182"/>
  <c r="BB139" i="182"/>
  <c r="AD139" i="182"/>
  <c r="CR139" i="182"/>
  <c r="BH139" i="182"/>
  <c r="DV139" i="182"/>
  <c r="CL139" i="182"/>
  <c r="X139" i="182"/>
  <c r="BN139" i="182"/>
  <c r="CK179" i="182"/>
  <c r="GC179" i="182"/>
  <c r="AO179" i="182"/>
  <c r="BA179" i="182"/>
  <c r="CE179" i="182"/>
  <c r="DU179" i="182"/>
  <c r="W179" i="182"/>
  <c r="BG179" i="182"/>
  <c r="CQ179" i="182"/>
  <c r="BY179" i="182"/>
  <c r="AI179" i="182"/>
  <c r="BS179" i="182"/>
  <c r="AC179" i="182"/>
  <c r="EY179" i="182"/>
  <c r="BM179" i="182"/>
  <c r="AU179" i="182"/>
  <c r="CS53" i="182"/>
  <c r="Y53" i="182"/>
  <c r="BO53" i="182"/>
  <c r="FA53" i="182"/>
  <c r="AK53" i="182"/>
  <c r="CA53" i="182"/>
  <c r="AW53" i="182"/>
  <c r="CM53" i="182"/>
  <c r="BU53" i="182"/>
  <c r="AQ53" i="182"/>
  <c r="BI53" i="182"/>
  <c r="AE53" i="182"/>
  <c r="CG53" i="182"/>
  <c r="GE53" i="182"/>
  <c r="BC53" i="182"/>
  <c r="DW53" i="182"/>
  <c r="BG92" i="182"/>
  <c r="DU92" i="182"/>
  <c r="AC92" i="182"/>
  <c r="BS92" i="182"/>
  <c r="GC92" i="182"/>
  <c r="AO92" i="182"/>
  <c r="CE92" i="182"/>
  <c r="BA92" i="182"/>
  <c r="CQ92" i="182"/>
  <c r="W92" i="182"/>
  <c r="BM92" i="182"/>
  <c r="EY92" i="182"/>
  <c r="AI92" i="182"/>
  <c r="CK92" i="182"/>
  <c r="BY92" i="182"/>
  <c r="AU92" i="182"/>
  <c r="DV132" i="182"/>
  <c r="AD132" i="182"/>
  <c r="BT132" i="182"/>
  <c r="GD132" i="182"/>
  <c r="AP132" i="182"/>
  <c r="BN132" i="182"/>
  <c r="EZ132" i="182"/>
  <c r="AJ132" i="182"/>
  <c r="BZ132" i="182"/>
  <c r="BB132" i="182"/>
  <c r="X132" i="182"/>
  <c r="CR132" i="182"/>
  <c r="CF132" i="182"/>
  <c r="BH132" i="182"/>
  <c r="CL132" i="182"/>
  <c r="AV132" i="182"/>
  <c r="Q132" i="182"/>
  <c r="BP172" i="182"/>
  <c r="CT172" i="182"/>
  <c r="AX172" i="182"/>
  <c r="CB172" i="182"/>
  <c r="BJ172" i="182"/>
  <c r="AR172" i="182"/>
  <c r="BD172" i="182"/>
  <c r="BV172" i="182"/>
  <c r="GF172" i="182"/>
  <c r="CH172" i="182"/>
  <c r="AF172" i="182"/>
  <c r="FB172" i="182"/>
  <c r="CN172" i="182"/>
  <c r="Z172" i="182"/>
  <c r="AL172" i="182"/>
  <c r="DX172" i="182"/>
  <c r="CH213" i="182"/>
  <c r="BD213" i="182"/>
  <c r="BP213" i="182"/>
  <c r="FB213" i="182"/>
  <c r="AL213" i="182"/>
  <c r="BV213" i="182"/>
  <c r="AX213" i="182"/>
  <c r="Z213" i="182"/>
  <c r="CT213" i="182"/>
  <c r="CB213" i="182"/>
  <c r="CN213" i="182"/>
  <c r="GF213" i="182"/>
  <c r="AF213" i="182"/>
  <c r="DX213" i="182"/>
  <c r="BJ213" i="182"/>
  <c r="AR213" i="182"/>
  <c r="CT72" i="182"/>
  <c r="Z72" i="182"/>
  <c r="BP72" i="182"/>
  <c r="FB72" i="182"/>
  <c r="AL72" i="182"/>
  <c r="CB72" i="182"/>
  <c r="AX72" i="182"/>
  <c r="CN72" i="182"/>
  <c r="BJ72" i="182"/>
  <c r="DX72" i="182"/>
  <c r="AF72" i="182"/>
  <c r="CH72" i="182"/>
  <c r="BV72" i="182"/>
  <c r="GF72" i="182"/>
  <c r="AR72" i="182"/>
  <c r="BD72" i="182"/>
  <c r="BS113" i="182"/>
  <c r="AO113" i="182"/>
  <c r="DU113" i="182"/>
  <c r="BA113" i="182"/>
  <c r="W113" i="182"/>
  <c r="CE113" i="182"/>
  <c r="GC113" i="182"/>
  <c r="BM113" i="182"/>
  <c r="AI113" i="182"/>
  <c r="CQ113" i="182"/>
  <c r="AU113" i="182"/>
  <c r="BY113" i="182"/>
  <c r="EY113" i="182"/>
  <c r="CK113" i="182"/>
  <c r="AC113" i="182"/>
  <c r="BG113" i="182"/>
  <c r="CT153" i="182"/>
  <c r="Z153" i="182"/>
  <c r="BP153" i="182"/>
  <c r="CB153" i="182"/>
  <c r="CN153" i="182"/>
  <c r="BJ153" i="182"/>
  <c r="DX153" i="182"/>
  <c r="AF153" i="182"/>
  <c r="GF153" i="182"/>
  <c r="AR153" i="182"/>
  <c r="BD153" i="182"/>
  <c r="AX153" i="182"/>
  <c r="FB153" i="182"/>
  <c r="BV153" i="182"/>
  <c r="CH153" i="182"/>
  <c r="AL153" i="182"/>
  <c r="CB195" i="182"/>
  <c r="AX195" i="182"/>
  <c r="GF195" i="182"/>
  <c r="AR195" i="182"/>
  <c r="CH195" i="182"/>
  <c r="BP195" i="182"/>
  <c r="DX195" i="182"/>
  <c r="CT195" i="182"/>
  <c r="BD195" i="182"/>
  <c r="AL195" i="182"/>
  <c r="CN195" i="182"/>
  <c r="BV195" i="182"/>
  <c r="Z195" i="182"/>
  <c r="AF195" i="182"/>
  <c r="FB195" i="182"/>
  <c r="BJ195" i="182"/>
  <c r="GF63" i="182"/>
  <c r="DX63" i="182"/>
  <c r="BD63" i="182"/>
  <c r="Z63" i="182"/>
  <c r="BP63" i="182"/>
  <c r="CT63" i="182"/>
  <c r="AL63" i="182"/>
  <c r="CB63" i="182"/>
  <c r="AX63" i="182"/>
  <c r="FB63" i="182"/>
  <c r="BJ63" i="182"/>
  <c r="AF63" i="182"/>
  <c r="BV63" i="182"/>
  <c r="CN63" i="182"/>
  <c r="CH63" i="182"/>
  <c r="AR63" i="182"/>
  <c r="FA102" i="182"/>
  <c r="AK102" i="182"/>
  <c r="CA102" i="182"/>
  <c r="AW102" i="182"/>
  <c r="CM102" i="182"/>
  <c r="DW102" i="182"/>
  <c r="AE102" i="182"/>
  <c r="BU102" i="182"/>
  <c r="GE102" i="182"/>
  <c r="AQ102" i="182"/>
  <c r="CG102" i="182"/>
  <c r="Y102" i="182"/>
  <c r="BO102" i="182"/>
  <c r="BI102" i="182"/>
  <c r="BC102" i="182"/>
  <c r="CS102" i="182"/>
  <c r="DU145" i="182"/>
  <c r="AC145" i="182"/>
  <c r="BS145" i="182"/>
  <c r="GC145" i="182"/>
  <c r="AO145" i="182"/>
  <c r="BA145" i="182"/>
  <c r="BM145" i="182"/>
  <c r="EY145" i="182"/>
  <c r="AI145" i="182"/>
  <c r="AU145" i="182"/>
  <c r="CK145" i="182"/>
  <c r="CE145" i="182"/>
  <c r="CQ145" i="182"/>
  <c r="BG145" i="182"/>
  <c r="W145" i="182"/>
  <c r="BY145" i="182"/>
  <c r="DU187" i="182"/>
  <c r="BA187" i="182"/>
  <c r="EY187" i="182"/>
  <c r="CQ187" i="182"/>
  <c r="AC187" i="182"/>
  <c r="BG187" i="182"/>
  <c r="AO187" i="182"/>
  <c r="AI187" i="182"/>
  <c r="AU187" i="182"/>
  <c r="CK187" i="182"/>
  <c r="CE187" i="182"/>
  <c r="BY187" i="182"/>
  <c r="BS187" i="182"/>
  <c r="W187" i="182"/>
  <c r="GC187" i="182"/>
  <c r="BM187" i="182"/>
  <c r="BT46" i="182"/>
  <c r="GD46" i="182"/>
  <c r="AP46" i="182"/>
  <c r="CF46" i="182"/>
  <c r="BB46" i="182"/>
  <c r="CR46" i="182"/>
  <c r="X46" i="182"/>
  <c r="AV46" i="182"/>
  <c r="BN46" i="182"/>
  <c r="EZ46" i="182"/>
  <c r="AJ46" i="182"/>
  <c r="BZ46" i="182"/>
  <c r="CL46" i="182"/>
  <c r="DV46" i="182"/>
  <c r="BH46" i="182"/>
  <c r="AD46" i="182"/>
  <c r="BI83" i="182"/>
  <c r="AW83" i="182"/>
  <c r="FA83" i="182"/>
  <c r="CA83" i="182"/>
  <c r="AE83" i="182"/>
  <c r="CM83" i="182"/>
  <c r="AQ83" i="182"/>
  <c r="DW83" i="182"/>
  <c r="BU83" i="182"/>
  <c r="Y83" i="182"/>
  <c r="GE83" i="182"/>
  <c r="CG83" i="182"/>
  <c r="AK83" i="182"/>
  <c r="BO83" i="182"/>
  <c r="CS83" i="182"/>
  <c r="BC83" i="182"/>
  <c r="CM123" i="182"/>
  <c r="BI123" i="182"/>
  <c r="AW123" i="182"/>
  <c r="Y123" i="182"/>
  <c r="GE123" i="182"/>
  <c r="BU123" i="182"/>
  <c r="AE123" i="182"/>
  <c r="FA123" i="182"/>
  <c r="DW123" i="182"/>
  <c r="CA123" i="182"/>
  <c r="BO123" i="182"/>
  <c r="BC123" i="182"/>
  <c r="AQ123" i="182"/>
  <c r="AK123" i="182"/>
  <c r="CS123" i="182"/>
  <c r="CG123" i="182"/>
  <c r="BT165" i="182"/>
  <c r="GD165" i="182"/>
  <c r="AP165" i="182"/>
  <c r="BB165" i="182"/>
  <c r="EZ165" i="182"/>
  <c r="AJ165" i="182"/>
  <c r="BZ165" i="182"/>
  <c r="DV165" i="182"/>
  <c r="CR165" i="182"/>
  <c r="CL165" i="182"/>
  <c r="BH165" i="182"/>
  <c r="AD165" i="182"/>
  <c r="CF165" i="182"/>
  <c r="BN165" i="182"/>
  <c r="AV165" i="182"/>
  <c r="X165" i="182"/>
  <c r="BV207" i="182"/>
  <c r="GF207" i="182"/>
  <c r="AR207" i="182"/>
  <c r="CB207" i="182"/>
  <c r="AX207" i="182"/>
  <c r="FB207" i="182"/>
  <c r="AF207" i="182"/>
  <c r="BJ207" i="182"/>
  <c r="CT207" i="182"/>
  <c r="AL207" i="182"/>
  <c r="BD207" i="182"/>
  <c r="CN207" i="182"/>
  <c r="CH207" i="182"/>
  <c r="Z207" i="182"/>
  <c r="DX207" i="182"/>
  <c r="BP207" i="182"/>
  <c r="BP73" i="182"/>
  <c r="FB73" i="182"/>
  <c r="AL73" i="182"/>
  <c r="CB73" i="182"/>
  <c r="AX73" i="182"/>
  <c r="CN73" i="182"/>
  <c r="BJ73" i="182"/>
  <c r="DX73" i="182"/>
  <c r="AF73" i="182"/>
  <c r="BV73" i="182"/>
  <c r="BD73" i="182"/>
  <c r="CT73" i="182"/>
  <c r="AR73" i="182"/>
  <c r="CH73" i="182"/>
  <c r="Z73" i="182"/>
  <c r="GF73" i="182"/>
  <c r="CF114" i="182"/>
  <c r="BZ114" i="182"/>
  <c r="EZ114" i="182"/>
  <c r="AD114" i="182"/>
  <c r="BH114" i="182"/>
  <c r="CL114" i="182"/>
  <c r="AP114" i="182"/>
  <c r="BT114" i="182"/>
  <c r="X114" i="182"/>
  <c r="DV114" i="182"/>
  <c r="BB114" i="182"/>
  <c r="AJ114" i="182"/>
  <c r="GD114" i="182"/>
  <c r="BN114" i="182"/>
  <c r="AV114" i="182"/>
  <c r="CR114" i="182"/>
  <c r="BA155" i="182"/>
  <c r="CQ155" i="182"/>
  <c r="W155" i="182"/>
  <c r="EY155" i="182"/>
  <c r="AI155" i="182"/>
  <c r="AU155" i="182"/>
  <c r="CK155" i="182"/>
  <c r="BG155" i="182"/>
  <c r="BS155" i="182"/>
  <c r="GC155" i="182"/>
  <c r="AO155" i="182"/>
  <c r="AC155" i="182"/>
  <c r="BM155" i="182"/>
  <c r="CE155" i="182"/>
  <c r="BY155" i="182"/>
  <c r="DU155" i="182"/>
  <c r="AX196" i="182"/>
  <c r="CN196" i="182"/>
  <c r="DX196" i="182"/>
  <c r="CH196" i="182"/>
  <c r="CT196" i="182"/>
  <c r="CB196" i="182"/>
  <c r="AF196" i="182"/>
  <c r="BP196" i="182"/>
  <c r="AL196" i="182"/>
  <c r="GF196" i="182"/>
  <c r="AR196" i="182"/>
  <c r="Z196" i="182"/>
  <c r="FB196" i="182"/>
  <c r="BV196" i="182"/>
  <c r="BJ196" i="182"/>
  <c r="BD196" i="182"/>
  <c r="GD94" i="182"/>
  <c r="AP94" i="182"/>
  <c r="CF94" i="182"/>
  <c r="BB94" i="182"/>
  <c r="CR94" i="182"/>
  <c r="X94" i="182"/>
  <c r="BN94" i="182"/>
  <c r="EZ94" i="182"/>
  <c r="AJ94" i="182"/>
  <c r="BZ94" i="182"/>
  <c r="AV94" i="182"/>
  <c r="CL94" i="182"/>
  <c r="BT94" i="182"/>
  <c r="BH94" i="182"/>
  <c r="DV94" i="182"/>
  <c r="AD94" i="182"/>
  <c r="CS190" i="182"/>
  <c r="Y190" i="182"/>
  <c r="BO190" i="182"/>
  <c r="AW190" i="182"/>
  <c r="CM190" i="182"/>
  <c r="DW190" i="182"/>
  <c r="AE190" i="182"/>
  <c r="BU190" i="182"/>
  <c r="GE190" i="182"/>
  <c r="BI190" i="182"/>
  <c r="CG190" i="182"/>
  <c r="FA190" i="182"/>
  <c r="BC190" i="182"/>
  <c r="CA190" i="182"/>
  <c r="AQ190" i="182"/>
  <c r="AK190" i="182"/>
  <c r="CT95" i="182"/>
  <c r="Z95" i="182"/>
  <c r="BP95" i="182"/>
  <c r="FB95" i="182"/>
  <c r="AL95" i="182"/>
  <c r="CB95" i="182"/>
  <c r="AX95" i="182"/>
  <c r="CN95" i="182"/>
  <c r="BJ95" i="182"/>
  <c r="DX95" i="182"/>
  <c r="AF95" i="182"/>
  <c r="BV95" i="182"/>
  <c r="BD95" i="182"/>
  <c r="AR95" i="182"/>
  <c r="GF95" i="182"/>
  <c r="CH95" i="182"/>
  <c r="BT187" i="182"/>
  <c r="CR187" i="182"/>
  <c r="AD187" i="182"/>
  <c r="GD187" i="182"/>
  <c r="BZ187" i="182"/>
  <c r="AP187" i="182"/>
  <c r="EZ187" i="182"/>
  <c r="CL187" i="182"/>
  <c r="X187" i="182"/>
  <c r="AJ187" i="182"/>
  <c r="BN187" i="182"/>
  <c r="BH187" i="182"/>
  <c r="BB187" i="182"/>
  <c r="AV187" i="182"/>
  <c r="CF187" i="182"/>
  <c r="DV187" i="182"/>
  <c r="DU46" i="182"/>
  <c r="AC46" i="182"/>
  <c r="BS46" i="182"/>
  <c r="GC46" i="182"/>
  <c r="AO46" i="182"/>
  <c r="CE46" i="182"/>
  <c r="BY46" i="182"/>
  <c r="BA46" i="182"/>
  <c r="CQ46" i="182"/>
  <c r="W46" i="182"/>
  <c r="BM46" i="182"/>
  <c r="EY46" i="182"/>
  <c r="AI46" i="182"/>
  <c r="AU46" i="182"/>
  <c r="CK46" i="182"/>
  <c r="BG46" i="182"/>
  <c r="AU106" i="182"/>
  <c r="CK106" i="182"/>
  <c r="BG106" i="182"/>
  <c r="DU106" i="182"/>
  <c r="AC106" i="182"/>
  <c r="BS106" i="182"/>
  <c r="GC106" i="182"/>
  <c r="AO106" i="182"/>
  <c r="CE106" i="182"/>
  <c r="BA106" i="182"/>
  <c r="CQ106" i="182"/>
  <c r="W106" i="182"/>
  <c r="BM106" i="182"/>
  <c r="AI106" i="182"/>
  <c r="BY106" i="182"/>
  <c r="EY106" i="182"/>
  <c r="BU201" i="182"/>
  <c r="GE201" i="182"/>
  <c r="CA201" i="182"/>
  <c r="BC201" i="182"/>
  <c r="AQ201" i="182"/>
  <c r="CS201" i="182"/>
  <c r="AE201" i="182"/>
  <c r="CM201" i="182"/>
  <c r="AW201" i="182"/>
  <c r="CG201" i="182"/>
  <c r="Y201" i="182"/>
  <c r="BI201" i="182"/>
  <c r="FA201" i="182"/>
  <c r="AK201" i="182"/>
  <c r="DW201" i="182"/>
  <c r="BO201" i="182"/>
  <c r="GD147" i="182"/>
  <c r="AP147" i="182"/>
  <c r="CF147" i="182"/>
  <c r="BB147" i="182"/>
  <c r="EZ147" i="182"/>
  <c r="CL147" i="182"/>
  <c r="BT147" i="182"/>
  <c r="BN147" i="182"/>
  <c r="AV147" i="182"/>
  <c r="AD147" i="182"/>
  <c r="X147" i="182"/>
  <c r="CR147" i="182"/>
  <c r="BZ147" i="182"/>
  <c r="BH147" i="182"/>
  <c r="AJ147" i="182"/>
  <c r="DV147" i="182"/>
  <c r="BB190" i="182"/>
  <c r="CR190" i="182"/>
  <c r="X190" i="182"/>
  <c r="BZ190" i="182"/>
  <c r="BH190" i="182"/>
  <c r="DV190" i="182"/>
  <c r="AD190" i="182"/>
  <c r="AJ190" i="182"/>
  <c r="GD190" i="182"/>
  <c r="EZ190" i="182"/>
  <c r="CL190" i="182"/>
  <c r="CF190" i="182"/>
  <c r="BT190" i="182"/>
  <c r="BN190" i="182"/>
  <c r="AV190" i="182"/>
  <c r="AP190" i="182"/>
  <c r="EY57" i="182"/>
  <c r="AI57" i="182"/>
  <c r="BY57" i="182"/>
  <c r="AU57" i="182"/>
  <c r="CK57" i="182"/>
  <c r="BG57" i="182"/>
  <c r="DU57" i="182"/>
  <c r="AC57" i="182"/>
  <c r="BS57" i="182"/>
  <c r="CE57" i="182"/>
  <c r="GC57" i="182"/>
  <c r="AO57" i="182"/>
  <c r="BM57" i="182"/>
  <c r="CQ57" i="182"/>
  <c r="W57" i="182"/>
  <c r="BA57" i="182"/>
  <c r="BU92" i="182"/>
  <c r="GE92" i="182"/>
  <c r="AQ92" i="182"/>
  <c r="CG92" i="182"/>
  <c r="BC92" i="182"/>
  <c r="CS92" i="182"/>
  <c r="Y92" i="182"/>
  <c r="BO92" i="182"/>
  <c r="FA92" i="182"/>
  <c r="AK92" i="182"/>
  <c r="CA92" i="182"/>
  <c r="AW92" i="182"/>
  <c r="DW92" i="182"/>
  <c r="AE92" i="182"/>
  <c r="BI92" i="182"/>
  <c r="CM92" i="182"/>
  <c r="BV126" i="182"/>
  <c r="GF126" i="182"/>
  <c r="AR126" i="182"/>
  <c r="CH126" i="182"/>
  <c r="CT126" i="182"/>
  <c r="CB126" i="182"/>
  <c r="BJ126" i="182"/>
  <c r="Z126" i="182"/>
  <c r="AX126" i="182"/>
  <c r="FB126" i="182"/>
  <c r="AL126" i="182"/>
  <c r="BD126" i="182"/>
  <c r="AF126" i="182"/>
  <c r="DX126" i="182"/>
  <c r="CN126" i="182"/>
  <c r="BP126" i="182"/>
  <c r="CF72" i="182"/>
  <c r="BB72" i="182"/>
  <c r="CR72" i="182"/>
  <c r="X72" i="182"/>
  <c r="BN72" i="182"/>
  <c r="EZ72" i="182"/>
  <c r="AJ72" i="182"/>
  <c r="BZ72" i="182"/>
  <c r="AV72" i="182"/>
  <c r="CL72" i="182"/>
  <c r="AP72" i="182"/>
  <c r="AD72" i="182"/>
  <c r="BT72" i="182"/>
  <c r="GD72" i="182"/>
  <c r="BH72" i="182"/>
  <c r="DV72" i="182"/>
  <c r="BY170" i="182"/>
  <c r="BS170" i="182"/>
  <c r="BG170" i="182"/>
  <c r="CQ170" i="182"/>
  <c r="AO170" i="182"/>
  <c r="W170" i="182"/>
  <c r="CK170" i="182"/>
  <c r="EY170" i="182"/>
  <c r="AI170" i="182"/>
  <c r="BM170" i="182"/>
  <c r="AU170" i="182"/>
  <c r="BA170" i="182"/>
  <c r="CE170" i="182"/>
  <c r="AC170" i="182"/>
  <c r="DU170" i="182"/>
  <c r="GC170" i="182"/>
  <c r="AW104" i="182"/>
  <c r="CM104" i="182"/>
  <c r="BI104" i="182"/>
  <c r="DW104" i="182"/>
  <c r="AE104" i="182"/>
  <c r="BU104" i="182"/>
  <c r="GE104" i="182"/>
  <c r="AQ104" i="182"/>
  <c r="CG104" i="182"/>
  <c r="BC104" i="182"/>
  <c r="CS104" i="182"/>
  <c r="Y104" i="182"/>
  <c r="BO104" i="182"/>
  <c r="FA104" i="182"/>
  <c r="AK104" i="182"/>
  <c r="CA104" i="182"/>
  <c r="CE205" i="182"/>
  <c r="BA205" i="182"/>
  <c r="BS205" i="182"/>
  <c r="AI205" i="182"/>
  <c r="AC205" i="182"/>
  <c r="CQ205" i="182"/>
  <c r="BG205" i="182"/>
  <c r="W205" i="182"/>
  <c r="EY205" i="182"/>
  <c r="AU205" i="182"/>
  <c r="DU205" i="182"/>
  <c r="AO205" i="182"/>
  <c r="BM205" i="182"/>
  <c r="CK205" i="182"/>
  <c r="BY205" i="182"/>
  <c r="GC205" i="182"/>
  <c r="BJ99" i="182"/>
  <c r="DX99" i="182"/>
  <c r="AF99" i="182"/>
  <c r="BV99" i="182"/>
  <c r="CT99" i="182"/>
  <c r="CB99" i="182"/>
  <c r="GF99" i="182"/>
  <c r="BD99" i="182"/>
  <c r="AL99" i="182"/>
  <c r="CN99" i="182"/>
  <c r="FB99" i="182"/>
  <c r="CH99" i="182"/>
  <c r="BP99" i="182"/>
  <c r="AX99" i="182"/>
  <c r="AR99" i="182"/>
  <c r="Z99" i="182"/>
  <c r="FA198" i="182"/>
  <c r="AK198" i="182"/>
  <c r="DW198" i="182"/>
  <c r="AE198" i="182"/>
  <c r="BU198" i="182"/>
  <c r="AQ198" i="182"/>
  <c r="Y198" i="182"/>
  <c r="GE198" i="182"/>
  <c r="CS198" i="182"/>
  <c r="CA198" i="182"/>
  <c r="AW198" i="182"/>
  <c r="CM198" i="182"/>
  <c r="BI198" i="182"/>
  <c r="CG198" i="182"/>
  <c r="BO198" i="182"/>
  <c r="BC198" i="182"/>
  <c r="CL125" i="182"/>
  <c r="BH125" i="182"/>
  <c r="DV125" i="182"/>
  <c r="AD125" i="182"/>
  <c r="CR125" i="182"/>
  <c r="BZ125" i="182"/>
  <c r="AP125" i="182"/>
  <c r="EZ125" i="182"/>
  <c r="BB125" i="182"/>
  <c r="BN125" i="182"/>
  <c r="AV125" i="182"/>
  <c r="X125" i="182"/>
  <c r="AJ125" i="182"/>
  <c r="CF125" i="182"/>
  <c r="GD125" i="182"/>
  <c r="BT125" i="182"/>
  <c r="CQ55" i="182"/>
  <c r="W55" i="182"/>
  <c r="BM55" i="182"/>
  <c r="EY55" i="182"/>
  <c r="AI55" i="182"/>
  <c r="BY55" i="182"/>
  <c r="AU55" i="182"/>
  <c r="CK55" i="182"/>
  <c r="BG55" i="182"/>
  <c r="DU55" i="182"/>
  <c r="BA55" i="182"/>
  <c r="CE55" i="182"/>
  <c r="GC55" i="182"/>
  <c r="AO55" i="182"/>
  <c r="BS55" i="182"/>
  <c r="AC55" i="182"/>
  <c r="BU150" i="182"/>
  <c r="GE150" i="182"/>
  <c r="AQ150" i="182"/>
  <c r="BC150" i="182"/>
  <c r="BO150" i="182"/>
  <c r="FA150" i="182"/>
  <c r="AK150" i="182"/>
  <c r="CA150" i="182"/>
  <c r="AW150" i="182"/>
  <c r="CM150" i="182"/>
  <c r="BI150" i="182"/>
  <c r="AE150" i="182"/>
  <c r="CG150" i="182"/>
  <c r="DW150" i="182"/>
  <c r="CS150" i="182"/>
  <c r="Y150" i="182"/>
  <c r="BA78" i="182"/>
  <c r="CQ78" i="182"/>
  <c r="AU78" i="182"/>
  <c r="BY78" i="182"/>
  <c r="EY78" i="182"/>
  <c r="AC78" i="182"/>
  <c r="BG78" i="182"/>
  <c r="CK78" i="182"/>
  <c r="AO78" i="182"/>
  <c r="BS78" i="182"/>
  <c r="W78" i="182"/>
  <c r="CE78" i="182"/>
  <c r="BM78" i="182"/>
  <c r="GC78" i="182"/>
  <c r="DU78" i="182"/>
  <c r="AI78" i="182"/>
  <c r="CA175" i="182"/>
  <c r="DW175" i="182"/>
  <c r="BC175" i="182"/>
  <c r="Y175" i="182"/>
  <c r="AK175" i="182"/>
  <c r="BO175" i="182"/>
  <c r="CS175" i="182"/>
  <c r="AW175" i="182"/>
  <c r="BI175" i="182"/>
  <c r="AE175" i="182"/>
  <c r="GE175" i="182"/>
  <c r="BU175" i="182"/>
  <c r="AQ175" i="182"/>
  <c r="CM175" i="182"/>
  <c r="FA175" i="182"/>
  <c r="CG175" i="182"/>
  <c r="CK68" i="182"/>
  <c r="BG68" i="182"/>
  <c r="DU68" i="182"/>
  <c r="AC68" i="182"/>
  <c r="GC68" i="182"/>
  <c r="AO68" i="182"/>
  <c r="CE68" i="182"/>
  <c r="BA68" i="182"/>
  <c r="EY68" i="182"/>
  <c r="BY68" i="182"/>
  <c r="AU68" i="182"/>
  <c r="BS68" i="182"/>
  <c r="CQ68" i="182"/>
  <c r="BM68" i="182"/>
  <c r="AI68" i="182"/>
  <c r="W68" i="182"/>
  <c r="BH107" i="182"/>
  <c r="DV107" i="182"/>
  <c r="AD107" i="182"/>
  <c r="BT107" i="182"/>
  <c r="GD107" i="182"/>
  <c r="AP107" i="182"/>
  <c r="CF107" i="182"/>
  <c r="BB107" i="182"/>
  <c r="CR107" i="182"/>
  <c r="X107" i="182"/>
  <c r="BN107" i="182"/>
  <c r="EZ107" i="182"/>
  <c r="AJ107" i="182"/>
  <c r="BZ107" i="182"/>
  <c r="CL107" i="182"/>
  <c r="AV107" i="182"/>
  <c r="BH149" i="182"/>
  <c r="DV149" i="182"/>
  <c r="AD149" i="182"/>
  <c r="GD149" i="182"/>
  <c r="AP149" i="182"/>
  <c r="BB149" i="182"/>
  <c r="CR149" i="182"/>
  <c r="X149" i="182"/>
  <c r="BN149" i="182"/>
  <c r="AJ149" i="182"/>
  <c r="EZ149" i="182"/>
  <c r="BZ149" i="182"/>
  <c r="AV149" i="182"/>
  <c r="CL149" i="182"/>
  <c r="CF149" i="182"/>
  <c r="BT149" i="182"/>
  <c r="CR191" i="182"/>
  <c r="X191" i="182"/>
  <c r="BN191" i="182"/>
  <c r="AV191" i="182"/>
  <c r="CL191" i="182"/>
  <c r="DV191" i="182"/>
  <c r="AD191" i="182"/>
  <c r="BT191" i="182"/>
  <c r="AP191" i="182"/>
  <c r="AJ191" i="182"/>
  <c r="BH191" i="182"/>
  <c r="CF191" i="182"/>
  <c r="BB191" i="182"/>
  <c r="BZ191" i="182"/>
  <c r="EZ191" i="182"/>
  <c r="GD191" i="182"/>
  <c r="BT62" i="182"/>
  <c r="GD62" i="182"/>
  <c r="AP62" i="182"/>
  <c r="CF62" i="182"/>
  <c r="BB62" i="182"/>
  <c r="CR62" i="182"/>
  <c r="X62" i="182"/>
  <c r="BN62" i="182"/>
  <c r="EZ62" i="182"/>
  <c r="AJ62" i="182"/>
  <c r="BZ62" i="182"/>
  <c r="DV62" i="182"/>
  <c r="AV62" i="182"/>
  <c r="CL62" i="182"/>
  <c r="AD62" i="182"/>
  <c r="BH62" i="182"/>
  <c r="BA101" i="182"/>
  <c r="CQ101" i="182"/>
  <c r="W101" i="182"/>
  <c r="EY101" i="182"/>
  <c r="AI101" i="182"/>
  <c r="CK101" i="182"/>
  <c r="BG101" i="182"/>
  <c r="DU101" i="182"/>
  <c r="AC101" i="182"/>
  <c r="AU101" i="182"/>
  <c r="BS101" i="182"/>
  <c r="AO101" i="182"/>
  <c r="BM101" i="182"/>
  <c r="GC101" i="182"/>
  <c r="BY101" i="182"/>
  <c r="CE101" i="182"/>
  <c r="BH143" i="182"/>
  <c r="DV143" i="182"/>
  <c r="AD143" i="182"/>
  <c r="BT143" i="182"/>
  <c r="CF143" i="182"/>
  <c r="CR143" i="182"/>
  <c r="BN143" i="182"/>
  <c r="AV143" i="182"/>
  <c r="AP143" i="182"/>
  <c r="CL143" i="182"/>
  <c r="GD143" i="182"/>
  <c r="BB143" i="182"/>
  <c r="EZ143" i="182"/>
  <c r="X143" i="182"/>
  <c r="BZ143" i="182"/>
  <c r="AJ143" i="182"/>
  <c r="BI185" i="182"/>
  <c r="DW185" i="182"/>
  <c r="AE185" i="182"/>
  <c r="GE185" i="182"/>
  <c r="AQ185" i="182"/>
  <c r="CG185" i="182"/>
  <c r="BC185" i="182"/>
  <c r="BO185" i="182"/>
  <c r="FA185" i="182"/>
  <c r="AK185" i="182"/>
  <c r="BU185" i="182"/>
  <c r="CS185" i="182"/>
  <c r="Y185" i="182"/>
  <c r="CM185" i="182"/>
  <c r="CA185" i="182"/>
  <c r="AW185" i="182"/>
  <c r="CA56" i="182"/>
  <c r="AW56" i="182"/>
  <c r="CM56" i="182"/>
  <c r="BI56" i="182"/>
  <c r="DW56" i="182"/>
  <c r="AE56" i="182"/>
  <c r="BU56" i="182"/>
  <c r="GE56" i="182"/>
  <c r="AQ56" i="182"/>
  <c r="CG56" i="182"/>
  <c r="BO56" i="182"/>
  <c r="FA56" i="182"/>
  <c r="AK56" i="182"/>
  <c r="CS56" i="182"/>
  <c r="Y56" i="182"/>
  <c r="BC56" i="182"/>
  <c r="CF95" i="182"/>
  <c r="BB95" i="182"/>
  <c r="CR95" i="182"/>
  <c r="X95" i="182"/>
  <c r="BN95" i="182"/>
  <c r="EZ95" i="182"/>
  <c r="AJ95" i="182"/>
  <c r="BZ95" i="182"/>
  <c r="AV95" i="182"/>
  <c r="CL95" i="182"/>
  <c r="BH95" i="182"/>
  <c r="GD95" i="182"/>
  <c r="AP95" i="182"/>
  <c r="AD95" i="182"/>
  <c r="DV95" i="182"/>
  <c r="BT95" i="182"/>
  <c r="BB136" i="182"/>
  <c r="CR136" i="182"/>
  <c r="X136" i="182"/>
  <c r="BN136" i="182"/>
  <c r="CL136" i="182"/>
  <c r="BH136" i="182"/>
  <c r="DV136" i="182"/>
  <c r="AD136" i="182"/>
  <c r="BT136" i="182"/>
  <c r="CF136" i="182"/>
  <c r="EZ136" i="182"/>
  <c r="AV136" i="182"/>
  <c r="AP136" i="182"/>
  <c r="AJ136" i="182"/>
  <c r="BZ136" i="182"/>
  <c r="GD136" i="182"/>
  <c r="BZ176" i="182"/>
  <c r="AD176" i="182"/>
  <c r="EZ176" i="182"/>
  <c r="BH176" i="182"/>
  <c r="AP176" i="182"/>
  <c r="BT176" i="182"/>
  <c r="DV176" i="182"/>
  <c r="X176" i="182"/>
  <c r="BB176" i="182"/>
  <c r="GD176" i="182"/>
  <c r="AJ176" i="182"/>
  <c r="BN176" i="182"/>
  <c r="CR176" i="182"/>
  <c r="CF176" i="182"/>
  <c r="AV176" i="182"/>
  <c r="CL176" i="182"/>
  <c r="DW210" i="182"/>
  <c r="GE210" i="182"/>
  <c r="CG210" i="182"/>
  <c r="BU210" i="182"/>
  <c r="AQ210" i="182"/>
  <c r="FA210" i="182"/>
  <c r="CM210" i="182"/>
  <c r="BC210" i="182"/>
  <c r="CS210" i="182"/>
  <c r="CA210" i="182"/>
  <c r="BI210" i="182"/>
  <c r="AW210" i="182"/>
  <c r="Y210" i="182"/>
  <c r="BO210" i="182"/>
  <c r="AK210" i="182"/>
  <c r="AE210" i="182"/>
  <c r="CB75" i="182"/>
  <c r="AX75" i="182"/>
  <c r="CN75" i="182"/>
  <c r="BJ75" i="182"/>
  <c r="DX75" i="182"/>
  <c r="AF75" i="182"/>
  <c r="BV75" i="182"/>
  <c r="GF75" i="182"/>
  <c r="AR75" i="182"/>
  <c r="CH75" i="182"/>
  <c r="CT75" i="182"/>
  <c r="BD75" i="182"/>
  <c r="FB75" i="182"/>
  <c r="AL75" i="182"/>
  <c r="Z75" i="182"/>
  <c r="BP75" i="182"/>
  <c r="BO116" i="182"/>
  <c r="CM116" i="182"/>
  <c r="DW116" i="182"/>
  <c r="CG116" i="182"/>
  <c r="AW116" i="182"/>
  <c r="AE116" i="182"/>
  <c r="GE116" i="182"/>
  <c r="CS116" i="182"/>
  <c r="CA116" i="182"/>
  <c r="BI116" i="182"/>
  <c r="AQ116" i="182"/>
  <c r="Y116" i="182"/>
  <c r="FA116" i="182"/>
  <c r="BU116" i="182"/>
  <c r="BC116" i="182"/>
  <c r="AK116" i="182"/>
  <c r="EZ157" i="182"/>
  <c r="AJ157" i="182"/>
  <c r="BZ157" i="182"/>
  <c r="CL157" i="182"/>
  <c r="DV157" i="182"/>
  <c r="AD157" i="182"/>
  <c r="BT157" i="182"/>
  <c r="GD157" i="182"/>
  <c r="AP157" i="182"/>
  <c r="BB157" i="182"/>
  <c r="CR157" i="182"/>
  <c r="X157" i="182"/>
  <c r="AV157" i="182"/>
  <c r="BH157" i="182"/>
  <c r="CF157" i="182"/>
  <c r="BN157" i="182"/>
  <c r="CB198" i="182"/>
  <c r="BV198" i="182"/>
  <c r="GF198" i="182"/>
  <c r="AR198" i="182"/>
  <c r="BJ198" i="182"/>
  <c r="CN198" i="182"/>
  <c r="AX198" i="182"/>
  <c r="CT198" i="182"/>
  <c r="BP198" i="182"/>
  <c r="AL198" i="182"/>
  <c r="AF198" i="182"/>
  <c r="FB198" i="182"/>
  <c r="Z198" i="182"/>
  <c r="DX198" i="182"/>
  <c r="CH198" i="182"/>
  <c r="BD198" i="182"/>
  <c r="BJ66" i="182"/>
  <c r="BD66" i="182"/>
  <c r="CT66" i="182"/>
  <c r="Z66" i="182"/>
  <c r="CN66" i="182"/>
  <c r="AF66" i="182"/>
  <c r="FB66" i="182"/>
  <c r="BP66" i="182"/>
  <c r="AX66" i="182"/>
  <c r="CH66" i="182"/>
  <c r="DX66" i="182"/>
  <c r="AR66" i="182"/>
  <c r="CB66" i="182"/>
  <c r="BV66" i="182"/>
  <c r="GF66" i="182"/>
  <c r="AL66" i="182"/>
  <c r="BJ105" i="182"/>
  <c r="DX105" i="182"/>
  <c r="AF105" i="182"/>
  <c r="BV105" i="182"/>
  <c r="GF105" i="182"/>
  <c r="AR105" i="182"/>
  <c r="CH105" i="182"/>
  <c r="BD105" i="182"/>
  <c r="CT105" i="182"/>
  <c r="Z105" i="182"/>
  <c r="BP105" i="182"/>
  <c r="FB105" i="182"/>
  <c r="AL105" i="182"/>
  <c r="CB105" i="182"/>
  <c r="AX105" i="182"/>
  <c r="CN105" i="182"/>
  <c r="CK148" i="182"/>
  <c r="GC148" i="182"/>
  <c r="AO148" i="182"/>
  <c r="CE148" i="182"/>
  <c r="BA148" i="182"/>
  <c r="BS148" i="182"/>
  <c r="AU148" i="182"/>
  <c r="W148" i="182"/>
  <c r="BM148" i="182"/>
  <c r="BG148" i="182"/>
  <c r="DU148" i="182"/>
  <c r="AI148" i="182"/>
  <c r="BY148" i="182"/>
  <c r="CQ148" i="182"/>
  <c r="AC148" i="182"/>
  <c r="EY148" i="182"/>
  <c r="CE190" i="182"/>
  <c r="BA190" i="182"/>
  <c r="EY190" i="182"/>
  <c r="AI190" i="182"/>
  <c r="BY190" i="182"/>
  <c r="CK190" i="182"/>
  <c r="BG190" i="182"/>
  <c r="AC190" i="182"/>
  <c r="BS190" i="182"/>
  <c r="AU190" i="182"/>
  <c r="DU190" i="182"/>
  <c r="W190" i="182"/>
  <c r="CQ190" i="182"/>
  <c r="BM190" i="182"/>
  <c r="GC190" i="182"/>
  <c r="AO190" i="182"/>
  <c r="BT49" i="182"/>
  <c r="BB49" i="182"/>
  <c r="CR49" i="182"/>
  <c r="X49" i="182"/>
  <c r="BN49" i="182"/>
  <c r="AV49" i="182"/>
  <c r="AD49" i="182"/>
  <c r="CF49" i="182"/>
  <c r="DV49" i="182"/>
  <c r="AP49" i="182"/>
  <c r="BZ49" i="182"/>
  <c r="BH49" i="182"/>
  <c r="GD49" i="182"/>
  <c r="AJ49" i="182"/>
  <c r="EZ49" i="182"/>
  <c r="CL49" i="182"/>
  <c r="DW86" i="182"/>
  <c r="GE86" i="182"/>
  <c r="AQ86" i="182"/>
  <c r="CA86" i="182"/>
  <c r="BI86" i="182"/>
  <c r="Y86" i="182"/>
  <c r="CM86" i="182"/>
  <c r="BU86" i="182"/>
  <c r="BC86" i="182"/>
  <c r="FA86" i="182"/>
  <c r="AK86" i="182"/>
  <c r="CG86" i="182"/>
  <c r="AE86" i="182"/>
  <c r="CS86" i="182"/>
  <c r="BO86" i="182"/>
  <c r="AW86" i="182"/>
  <c r="BG127" i="182"/>
  <c r="DU127" i="182"/>
  <c r="AC127" i="182"/>
  <c r="BS127" i="182"/>
  <c r="GC127" i="182"/>
  <c r="CQ127" i="182"/>
  <c r="AO127" i="182"/>
  <c r="W127" i="182"/>
  <c r="BA127" i="182"/>
  <c r="CK127" i="182"/>
  <c r="CE127" i="182"/>
  <c r="AU127" i="182"/>
  <c r="BY127" i="182"/>
  <c r="EY127" i="182"/>
  <c r="AI127" i="182"/>
  <c r="BM127" i="182"/>
  <c r="CS168" i="182"/>
  <c r="Y168" i="182"/>
  <c r="BO168" i="182"/>
  <c r="CA168" i="182"/>
  <c r="BI168" i="182"/>
  <c r="DW168" i="182"/>
  <c r="AE168" i="182"/>
  <c r="BU168" i="182"/>
  <c r="GE168" i="182"/>
  <c r="CG168" i="182"/>
  <c r="FA168" i="182"/>
  <c r="AQ168" i="182"/>
  <c r="AK168" i="182"/>
  <c r="BC168" i="182"/>
  <c r="AW168" i="182"/>
  <c r="CM168" i="182"/>
  <c r="BV211" i="182"/>
  <c r="GF211" i="182"/>
  <c r="AR211" i="182"/>
  <c r="BD211" i="182"/>
  <c r="CT211" i="182"/>
  <c r="Z211" i="182"/>
  <c r="DX211" i="182"/>
  <c r="BJ211" i="182"/>
  <c r="FB211" i="182"/>
  <c r="CN211" i="182"/>
  <c r="BP211" i="182"/>
  <c r="AX211" i="182"/>
  <c r="AF211" i="182"/>
  <c r="AL211" i="182"/>
  <c r="CB211" i="182"/>
  <c r="CH211" i="182"/>
  <c r="CT76" i="182"/>
  <c r="FB76" i="182"/>
  <c r="AX76" i="182"/>
  <c r="CN76" i="182"/>
  <c r="BJ76" i="182"/>
  <c r="AF76" i="182"/>
  <c r="BV76" i="182"/>
  <c r="DX76" i="182"/>
  <c r="AR76" i="182"/>
  <c r="CH76" i="182"/>
  <c r="BD76" i="182"/>
  <c r="BP76" i="182"/>
  <c r="GF76" i="182"/>
  <c r="AL76" i="182"/>
  <c r="CB76" i="182"/>
  <c r="Z76" i="182"/>
  <c r="BC117" i="182"/>
  <c r="FA117" i="182"/>
  <c r="AK117" i="182"/>
  <c r="BI117" i="182"/>
  <c r="CS117" i="182"/>
  <c r="GE117" i="182"/>
  <c r="BU117" i="182"/>
  <c r="CM117" i="182"/>
  <c r="AE117" i="182"/>
  <c r="AW117" i="182"/>
  <c r="BO117" i="182"/>
  <c r="DW117" i="182"/>
  <c r="CG117" i="182"/>
  <c r="Y117" i="182"/>
  <c r="CA117" i="182"/>
  <c r="AQ117" i="182"/>
  <c r="BJ158" i="182"/>
  <c r="DX158" i="182"/>
  <c r="AF158" i="182"/>
  <c r="GF158" i="182"/>
  <c r="AR158" i="182"/>
  <c r="BD158" i="182"/>
  <c r="CT158" i="182"/>
  <c r="Z158" i="182"/>
  <c r="BP158" i="182"/>
  <c r="CB158" i="182"/>
  <c r="AX158" i="182"/>
  <c r="CH158" i="182"/>
  <c r="AL158" i="182"/>
  <c r="FB158" i="182"/>
  <c r="CN158" i="182"/>
  <c r="BV158" i="182"/>
  <c r="AX199" i="182"/>
  <c r="GF199" i="182"/>
  <c r="AR199" i="182"/>
  <c r="CH199" i="182"/>
  <c r="BD199" i="182"/>
  <c r="AL199" i="182"/>
  <c r="FB199" i="182"/>
  <c r="BP199" i="182"/>
  <c r="BV199" i="182"/>
  <c r="BJ199" i="182"/>
  <c r="CT199" i="182"/>
  <c r="CN199" i="182"/>
  <c r="CB199" i="182"/>
  <c r="AF199" i="182"/>
  <c r="DX199" i="182"/>
  <c r="Z199" i="182"/>
  <c r="FA55" i="182"/>
  <c r="AK55" i="182"/>
  <c r="CA55" i="182"/>
  <c r="AW55" i="182"/>
  <c r="CM55" i="182"/>
  <c r="BI55" i="182"/>
  <c r="DW55" i="182"/>
  <c r="AE55" i="182"/>
  <c r="BU55" i="182"/>
  <c r="Y55" i="182"/>
  <c r="BC55" i="182"/>
  <c r="CG55" i="182"/>
  <c r="GE55" i="182"/>
  <c r="AQ55" i="182"/>
  <c r="BO55" i="182"/>
  <c r="CS55" i="182"/>
  <c r="CM58" i="182"/>
  <c r="BI58" i="182"/>
  <c r="DW58" i="182"/>
  <c r="AE58" i="182"/>
  <c r="BU58" i="182"/>
  <c r="GE58" i="182"/>
  <c r="AQ58" i="182"/>
  <c r="CG58" i="182"/>
  <c r="BC58" i="182"/>
  <c r="AW58" i="182"/>
  <c r="CA58" i="182"/>
  <c r="FA58" i="182"/>
  <c r="AK58" i="182"/>
  <c r="BO58" i="182"/>
  <c r="CS58" i="182"/>
  <c r="Y58" i="182"/>
  <c r="CE112" i="182"/>
  <c r="BA112" i="182"/>
  <c r="CQ112" i="182"/>
  <c r="W112" i="182"/>
  <c r="BM112" i="182"/>
  <c r="EY112" i="182"/>
  <c r="AI112" i="182"/>
  <c r="BY112" i="182"/>
  <c r="AU112" i="182"/>
  <c r="CK112" i="182"/>
  <c r="BG112" i="182"/>
  <c r="DU112" i="182"/>
  <c r="AC112" i="182"/>
  <c r="GC112" i="182"/>
  <c r="AO112" i="182"/>
  <c r="BS112" i="182"/>
  <c r="AU87" i="182"/>
  <c r="BG87" i="182"/>
  <c r="DU87" i="182"/>
  <c r="AC87" i="182"/>
  <c r="BS87" i="182"/>
  <c r="GC87" i="182"/>
  <c r="EY87" i="182"/>
  <c r="AI87" i="182"/>
  <c r="CK87" i="182"/>
  <c r="BM87" i="182"/>
  <c r="CE87" i="182"/>
  <c r="BA87" i="182"/>
  <c r="BY87" i="182"/>
  <c r="CQ87" i="182"/>
  <c r="AO87" i="182"/>
  <c r="W87" i="182"/>
  <c r="BB73" i="182"/>
  <c r="CR73" i="182"/>
  <c r="X73" i="182"/>
  <c r="BN73" i="182"/>
  <c r="EZ73" i="182"/>
  <c r="AJ73" i="182"/>
  <c r="BZ73" i="182"/>
  <c r="AV73" i="182"/>
  <c r="CL73" i="182"/>
  <c r="BH73" i="182"/>
  <c r="DV73" i="182"/>
  <c r="AP73" i="182"/>
  <c r="CF73" i="182"/>
  <c r="AD73" i="182"/>
  <c r="GD73" i="182"/>
  <c r="BT73" i="182"/>
  <c r="BZ140" i="182"/>
  <c r="EZ140" i="182"/>
  <c r="AV140" i="182"/>
  <c r="CL140" i="182"/>
  <c r="AP140" i="182"/>
  <c r="CF140" i="182"/>
  <c r="GD140" i="182"/>
  <c r="BB140" i="182"/>
  <c r="X140" i="182"/>
  <c r="AJ140" i="182"/>
  <c r="DV140" i="182"/>
  <c r="BN140" i="182"/>
  <c r="BH140" i="182"/>
  <c r="CR140" i="182"/>
  <c r="AD140" i="182"/>
  <c r="BT140" i="182"/>
  <c r="CK60" i="182"/>
  <c r="BG60" i="182"/>
  <c r="DU60" i="182"/>
  <c r="AC60" i="182"/>
  <c r="BS60" i="182"/>
  <c r="GC60" i="182"/>
  <c r="AO60" i="182"/>
  <c r="CE60" i="182"/>
  <c r="BA60" i="182"/>
  <c r="AU60" i="182"/>
  <c r="BY60" i="182"/>
  <c r="EY60" i="182"/>
  <c r="AI60" i="182"/>
  <c r="BM60" i="182"/>
  <c r="CQ60" i="182"/>
  <c r="W60" i="182"/>
  <c r="BV163" i="182"/>
  <c r="GF163" i="182"/>
  <c r="AR163" i="182"/>
  <c r="FB163" i="182"/>
  <c r="AL163" i="182"/>
  <c r="CB163" i="182"/>
  <c r="Z163" i="182"/>
  <c r="CN163" i="182"/>
  <c r="BP163" i="182"/>
  <c r="BD163" i="182"/>
  <c r="AF163" i="182"/>
  <c r="CT163" i="182"/>
  <c r="AX163" i="182"/>
  <c r="CH163" i="182"/>
  <c r="BJ163" i="182"/>
  <c r="DX163" i="182"/>
  <c r="BS44" i="182"/>
  <c r="GC44" i="182"/>
  <c r="DU44" i="182"/>
  <c r="CE44" i="182"/>
  <c r="BG44" i="182"/>
  <c r="AI44" i="182"/>
  <c r="EY44" i="182"/>
  <c r="W44" i="182"/>
  <c r="AU44" i="182"/>
  <c r="FW44" i="182"/>
  <c r="DO44" i="182"/>
  <c r="BY44" i="182"/>
  <c r="BA44" i="182"/>
  <c r="AC44" i="182"/>
  <c r="CQ44" i="182"/>
  <c r="ES44" i="182"/>
  <c r="CK44" i="182"/>
  <c r="BM44" i="182"/>
  <c r="AO44" i="182"/>
  <c r="CH70" i="182"/>
  <c r="BD70" i="182"/>
  <c r="CT70" i="182"/>
  <c r="Z70" i="182"/>
  <c r="BP70" i="182"/>
  <c r="FB70" i="182"/>
  <c r="AL70" i="182"/>
  <c r="CB70" i="182"/>
  <c r="AX70" i="182"/>
  <c r="CN70" i="182"/>
  <c r="AF70" i="182"/>
  <c r="BV70" i="182"/>
  <c r="GF70" i="182"/>
  <c r="BJ70" i="182"/>
  <c r="DX70" i="182"/>
  <c r="AR70" i="182"/>
  <c r="CK107" i="182"/>
  <c r="BG107" i="182"/>
  <c r="DU107" i="182"/>
  <c r="AC107" i="182"/>
  <c r="BS107" i="182"/>
  <c r="GC107" i="182"/>
  <c r="AO107" i="182"/>
  <c r="CE107" i="182"/>
  <c r="BA107" i="182"/>
  <c r="CQ107" i="182"/>
  <c r="W107" i="182"/>
  <c r="BM107" i="182"/>
  <c r="EY107" i="182"/>
  <c r="AI107" i="182"/>
  <c r="BY107" i="182"/>
  <c r="AU107" i="182"/>
  <c r="DV144" i="182"/>
  <c r="AD144" i="182"/>
  <c r="BT144" i="182"/>
  <c r="GD144" i="182"/>
  <c r="AP144" i="182"/>
  <c r="BB144" i="182"/>
  <c r="BN144" i="182"/>
  <c r="EZ144" i="182"/>
  <c r="AJ144" i="182"/>
  <c r="BZ144" i="182"/>
  <c r="AV144" i="182"/>
  <c r="CL144" i="182"/>
  <c r="CF144" i="182"/>
  <c r="BH144" i="182"/>
  <c r="CR144" i="182"/>
  <c r="X144" i="182"/>
  <c r="BN79" i="182"/>
  <c r="BT79" i="182"/>
  <c r="DV79" i="182"/>
  <c r="X79" i="182"/>
  <c r="BB79" i="182"/>
  <c r="CF79" i="182"/>
  <c r="AJ79" i="182"/>
  <c r="GD79" i="182"/>
  <c r="CR79" i="182"/>
  <c r="AV79" i="182"/>
  <c r="BZ79" i="182"/>
  <c r="BH79" i="182"/>
  <c r="AP79" i="182"/>
  <c r="AD79" i="182"/>
  <c r="CL79" i="182"/>
  <c r="EZ79" i="182"/>
  <c r="BY177" i="182"/>
  <c r="DU177" i="182"/>
  <c r="W177" i="182"/>
  <c r="BA177" i="182"/>
  <c r="GC177" i="182"/>
  <c r="AI177" i="182"/>
  <c r="BM177" i="182"/>
  <c r="CQ177" i="182"/>
  <c r="AU177" i="182"/>
  <c r="EY177" i="182"/>
  <c r="BG177" i="182"/>
  <c r="CK177" i="182"/>
  <c r="CE177" i="182"/>
  <c r="BS177" i="182"/>
  <c r="AC177" i="182"/>
  <c r="AO177" i="182"/>
  <c r="BP112" i="182"/>
  <c r="FB112" i="182"/>
  <c r="AL112" i="182"/>
  <c r="CB112" i="182"/>
  <c r="AX112" i="182"/>
  <c r="CN112" i="182"/>
  <c r="BJ112" i="182"/>
  <c r="DX112" i="182"/>
  <c r="AF112" i="182"/>
  <c r="BV112" i="182"/>
  <c r="AR112" i="182"/>
  <c r="GF112" i="182"/>
  <c r="CH112" i="182"/>
  <c r="Z112" i="182"/>
  <c r="BD112" i="182"/>
  <c r="CT112" i="182"/>
  <c r="CB156" i="182"/>
  <c r="AX156" i="182"/>
  <c r="BJ156" i="182"/>
  <c r="BV156" i="182"/>
  <c r="GF156" i="182"/>
  <c r="AR156" i="182"/>
  <c r="CH156" i="182"/>
  <c r="CT156" i="182"/>
  <c r="Z156" i="182"/>
  <c r="BP156" i="182"/>
  <c r="BD156" i="182"/>
  <c r="DX156" i="182"/>
  <c r="AL156" i="182"/>
  <c r="AF156" i="182"/>
  <c r="FB156" i="182"/>
  <c r="CN156" i="182"/>
  <c r="BG108" i="182"/>
  <c r="DU108" i="182"/>
  <c r="AC108" i="182"/>
  <c r="BS108" i="182"/>
  <c r="GC108" i="182"/>
  <c r="AO108" i="182"/>
  <c r="CE108" i="182"/>
  <c r="BA108" i="182"/>
  <c r="CQ108" i="182"/>
  <c r="W108" i="182"/>
  <c r="BM108" i="182"/>
  <c r="EY108" i="182"/>
  <c r="AI108" i="182"/>
  <c r="BY108" i="182"/>
  <c r="AU108" i="182"/>
  <c r="CK108" i="182"/>
  <c r="GF209" i="182"/>
  <c r="AR209" i="182"/>
  <c r="CH209" i="182"/>
  <c r="BD209" i="182"/>
  <c r="CN209" i="182"/>
  <c r="BJ209" i="182"/>
  <c r="BV209" i="182"/>
  <c r="CB209" i="182"/>
  <c r="AL209" i="182"/>
  <c r="FB209" i="182"/>
  <c r="AX209" i="182"/>
  <c r="BP209" i="182"/>
  <c r="AF209" i="182"/>
  <c r="Z209" i="182"/>
  <c r="DX209" i="182"/>
  <c r="CT209" i="182"/>
  <c r="BT133" i="182"/>
  <c r="GD133" i="182"/>
  <c r="AP133" i="182"/>
  <c r="CF133" i="182"/>
  <c r="EZ133" i="182"/>
  <c r="AJ133" i="182"/>
  <c r="BZ133" i="182"/>
  <c r="AV133" i="182"/>
  <c r="CL133" i="182"/>
  <c r="BH133" i="182"/>
  <c r="CR133" i="182"/>
  <c r="BB133" i="182"/>
  <c r="AD133" i="182"/>
  <c r="X133" i="182"/>
  <c r="BN133" i="182"/>
  <c r="DV133" i="182"/>
  <c r="CH62" i="182"/>
  <c r="BD62" i="182"/>
  <c r="CT62" i="182"/>
  <c r="Z62" i="182"/>
  <c r="BP62" i="182"/>
  <c r="FB62" i="182"/>
  <c r="AL62" i="182"/>
  <c r="CB62" i="182"/>
  <c r="AX62" i="182"/>
  <c r="CN62" i="182"/>
  <c r="AR62" i="182"/>
  <c r="GF62" i="182"/>
  <c r="AF62" i="182"/>
  <c r="BV62" i="182"/>
  <c r="BJ62" i="182"/>
  <c r="DX62" i="182"/>
  <c r="EY159" i="182"/>
  <c r="AI159" i="182"/>
  <c r="CQ159" i="182"/>
  <c r="BY159" i="182"/>
  <c r="AU159" i="182"/>
  <c r="BG159" i="182"/>
  <c r="AC159" i="182"/>
  <c r="BS159" i="182"/>
  <c r="AO159" i="182"/>
  <c r="DU159" i="182"/>
  <c r="CE159" i="182"/>
  <c r="GC159" i="182"/>
  <c r="BA159" i="182"/>
  <c r="BM159" i="182"/>
  <c r="W159" i="182"/>
  <c r="CK159" i="182"/>
  <c r="BU85" i="182"/>
  <c r="FA85" i="182"/>
  <c r="CA85" i="182"/>
  <c r="AE85" i="182"/>
  <c r="BI85" i="182"/>
  <c r="CM85" i="182"/>
  <c r="AQ85" i="182"/>
  <c r="Y85" i="182"/>
  <c r="DW85" i="182"/>
  <c r="BC85" i="182"/>
  <c r="CG85" i="182"/>
  <c r="GE85" i="182"/>
  <c r="BO85" i="182"/>
  <c r="AW85" i="182"/>
  <c r="AK85" i="182"/>
  <c r="CS85" i="182"/>
  <c r="BH186" i="182"/>
  <c r="DV186" i="182"/>
  <c r="AD186" i="182"/>
  <c r="GD186" i="182"/>
  <c r="AP186" i="182"/>
  <c r="CF186" i="182"/>
  <c r="BB186" i="182"/>
  <c r="BN186" i="182"/>
  <c r="EZ186" i="182"/>
  <c r="AJ186" i="182"/>
  <c r="BT186" i="182"/>
  <c r="CR186" i="182"/>
  <c r="X186" i="182"/>
  <c r="BZ186" i="182"/>
  <c r="AV186" i="182"/>
  <c r="CL186" i="182"/>
  <c r="BS71" i="182"/>
  <c r="GC71" i="182"/>
  <c r="AO71" i="182"/>
  <c r="CE71" i="182"/>
  <c r="BA71" i="182"/>
  <c r="CQ71" i="182"/>
  <c r="W71" i="182"/>
  <c r="BM71" i="182"/>
  <c r="EY71" i="182"/>
  <c r="AI71" i="182"/>
  <c r="BY71" i="182"/>
  <c r="DU71" i="182"/>
  <c r="CK71" i="182"/>
  <c r="BG71" i="182"/>
  <c r="AC71" i="182"/>
  <c r="AU71" i="182"/>
  <c r="GC111" i="182"/>
  <c r="AO111" i="182"/>
  <c r="CE111" i="182"/>
  <c r="BA111" i="182"/>
  <c r="CQ111" i="182"/>
  <c r="W111" i="182"/>
  <c r="BM111" i="182"/>
  <c r="EY111" i="182"/>
  <c r="AI111" i="182"/>
  <c r="BY111" i="182"/>
  <c r="AU111" i="182"/>
  <c r="CK111" i="182"/>
  <c r="BG111" i="182"/>
  <c r="AC111" i="182"/>
  <c r="BS111" i="182"/>
  <c r="DU111" i="182"/>
  <c r="GD152" i="182"/>
  <c r="AP152" i="182"/>
  <c r="CF152" i="182"/>
  <c r="CR152" i="182"/>
  <c r="X152" i="182"/>
  <c r="EZ152" i="182"/>
  <c r="AJ152" i="182"/>
  <c r="BZ152" i="182"/>
  <c r="AV152" i="182"/>
  <c r="BH152" i="182"/>
  <c r="DV152" i="182"/>
  <c r="BN152" i="182"/>
  <c r="AD152" i="182"/>
  <c r="CL152" i="182"/>
  <c r="BB152" i="182"/>
  <c r="BT152" i="182"/>
  <c r="CR194" i="182"/>
  <c r="X194" i="182"/>
  <c r="BN194" i="182"/>
  <c r="BH194" i="182"/>
  <c r="BT194" i="182"/>
  <c r="BB194" i="182"/>
  <c r="AV194" i="182"/>
  <c r="AP194" i="182"/>
  <c r="CL194" i="182"/>
  <c r="CF194" i="182"/>
  <c r="BZ194" i="182"/>
  <c r="EZ194" i="182"/>
  <c r="AD194" i="182"/>
  <c r="AJ194" i="182"/>
  <c r="GD194" i="182"/>
  <c r="DV194" i="182"/>
  <c r="BZ65" i="182"/>
  <c r="BT65" i="182"/>
  <c r="GD65" i="182"/>
  <c r="AP65" i="182"/>
  <c r="CR65" i="182"/>
  <c r="BB65" i="182"/>
  <c r="AJ65" i="182"/>
  <c r="CL65" i="182"/>
  <c r="EZ65" i="182"/>
  <c r="AV65" i="182"/>
  <c r="AD65" i="182"/>
  <c r="CF65" i="182"/>
  <c r="BN65" i="182"/>
  <c r="BH65" i="182"/>
  <c r="DV65" i="182"/>
  <c r="X65" i="182"/>
  <c r="EY104" i="182"/>
  <c r="AI104" i="182"/>
  <c r="BY104" i="182"/>
  <c r="AU104" i="182"/>
  <c r="CK104" i="182"/>
  <c r="BG104" i="182"/>
  <c r="DU104" i="182"/>
  <c r="AC104" i="182"/>
  <c r="BS104" i="182"/>
  <c r="GC104" i="182"/>
  <c r="AO104" i="182"/>
  <c r="CE104" i="182"/>
  <c r="BM104" i="182"/>
  <c r="BA104" i="182"/>
  <c r="CQ104" i="182"/>
  <c r="W104" i="182"/>
  <c r="GE146" i="182"/>
  <c r="CG146" i="182"/>
  <c r="BC146" i="182"/>
  <c r="CS146" i="182"/>
  <c r="Y146" i="182"/>
  <c r="FA146" i="182"/>
  <c r="AK146" i="182"/>
  <c r="AW146" i="182"/>
  <c r="CM146" i="182"/>
  <c r="DW146" i="182"/>
  <c r="AE146" i="182"/>
  <c r="CA146" i="182"/>
  <c r="BO146" i="182"/>
  <c r="BI146" i="182"/>
  <c r="AQ146" i="182"/>
  <c r="BU146" i="182"/>
  <c r="CG188" i="182"/>
  <c r="BC188" i="182"/>
  <c r="FA188" i="182"/>
  <c r="AK188" i="182"/>
  <c r="CM188" i="182"/>
  <c r="CS188" i="182"/>
  <c r="BU188" i="182"/>
  <c r="GE188" i="182"/>
  <c r="AW188" i="182"/>
  <c r="Y188" i="182"/>
  <c r="AQ188" i="182"/>
  <c r="CA188" i="182"/>
  <c r="AE188" i="182"/>
  <c r="BO188" i="182"/>
  <c r="DW188" i="182"/>
  <c r="BI188" i="182"/>
  <c r="BI59" i="182"/>
  <c r="DW59" i="182"/>
  <c r="AE59" i="182"/>
  <c r="BU59" i="182"/>
  <c r="GE59" i="182"/>
  <c r="AQ59" i="182"/>
  <c r="CG59" i="182"/>
  <c r="BC59" i="182"/>
  <c r="CS59" i="182"/>
  <c r="Y59" i="182"/>
  <c r="AW59" i="182"/>
  <c r="CA59" i="182"/>
  <c r="FA59" i="182"/>
  <c r="AK59" i="182"/>
  <c r="BO59" i="182"/>
  <c r="CM59" i="182"/>
  <c r="BZ98" i="182"/>
  <c r="AV98" i="182"/>
  <c r="CL98" i="182"/>
  <c r="EZ98" i="182"/>
  <c r="DV98" i="182"/>
  <c r="CF98" i="182"/>
  <c r="BN98" i="182"/>
  <c r="BH98" i="182"/>
  <c r="AP98" i="182"/>
  <c r="X98" i="182"/>
  <c r="GD98" i="182"/>
  <c r="CR98" i="182"/>
  <c r="AD98" i="182"/>
  <c r="BT98" i="182"/>
  <c r="BB98" i="182"/>
  <c r="AJ98" i="182"/>
  <c r="AX139" i="182"/>
  <c r="CN139" i="182"/>
  <c r="BJ139" i="182"/>
  <c r="CH139" i="182"/>
  <c r="BD139" i="182"/>
  <c r="CT139" i="182"/>
  <c r="Z139" i="182"/>
  <c r="BP139" i="182"/>
  <c r="FB139" i="182"/>
  <c r="BV139" i="182"/>
  <c r="AR139" i="182"/>
  <c r="GF139" i="182"/>
  <c r="AF139" i="182"/>
  <c r="CB139" i="182"/>
  <c r="AL139" i="182"/>
  <c r="DX139" i="182"/>
  <c r="BH179" i="182"/>
  <c r="CF179" i="182"/>
  <c r="CR179" i="182"/>
  <c r="X179" i="182"/>
  <c r="DV179" i="182"/>
  <c r="BZ179" i="182"/>
  <c r="GD179" i="182"/>
  <c r="AJ179" i="182"/>
  <c r="BB179" i="182"/>
  <c r="EZ179" i="182"/>
  <c r="CL179" i="182"/>
  <c r="AV179" i="182"/>
  <c r="AP179" i="182"/>
  <c r="AD179" i="182"/>
  <c r="BT179" i="182"/>
  <c r="BN179" i="182"/>
  <c r="BS214" i="182"/>
  <c r="GC214" i="182"/>
  <c r="AO214" i="182"/>
  <c r="BA214" i="182"/>
  <c r="CQ214" i="182"/>
  <c r="W214" i="182"/>
  <c r="AU214" i="182"/>
  <c r="CK214" i="182"/>
  <c r="BG214" i="182"/>
  <c r="DU214" i="182"/>
  <c r="BY214" i="182"/>
  <c r="EY214" i="182"/>
  <c r="CE214" i="182"/>
  <c r="AC214" i="182"/>
  <c r="AI214" i="182"/>
  <c r="BM214" i="182"/>
  <c r="FB78" i="182"/>
  <c r="AL78" i="182"/>
  <c r="AF78" i="182"/>
  <c r="BJ78" i="182"/>
  <c r="CN78" i="182"/>
  <c r="AR78" i="182"/>
  <c r="BV78" i="182"/>
  <c r="DX78" i="182"/>
  <c r="Z78" i="182"/>
  <c r="BD78" i="182"/>
  <c r="CH78" i="182"/>
  <c r="BP78" i="182"/>
  <c r="CB78" i="182"/>
  <c r="GF78" i="182"/>
  <c r="CT78" i="182"/>
  <c r="AX78" i="182"/>
  <c r="CG119" i="182"/>
  <c r="BO119" i="182"/>
  <c r="AW119" i="182"/>
  <c r="CM119" i="182"/>
  <c r="BU119" i="182"/>
  <c r="AQ119" i="182"/>
  <c r="GE119" i="182"/>
  <c r="BI119" i="182"/>
  <c r="AK119" i="182"/>
  <c r="FA119" i="182"/>
  <c r="BC119" i="182"/>
  <c r="AE119" i="182"/>
  <c r="DW119" i="182"/>
  <c r="CA119" i="182"/>
  <c r="Y119" i="182"/>
  <c r="CS119" i="182"/>
  <c r="BY161" i="182"/>
  <c r="AU161" i="182"/>
  <c r="GC161" i="182"/>
  <c r="BG161" i="182"/>
  <c r="AO161" i="182"/>
  <c r="CK161" i="182"/>
  <c r="BS161" i="182"/>
  <c r="BA161" i="182"/>
  <c r="AI161" i="182"/>
  <c r="EY161" i="182"/>
  <c r="CE161" i="182"/>
  <c r="BM161" i="182"/>
  <c r="AC161" i="182"/>
  <c r="DU161" i="182"/>
  <c r="W161" i="182"/>
  <c r="CQ161" i="182"/>
  <c r="GF201" i="182"/>
  <c r="BD201" i="182"/>
  <c r="DX201" i="182"/>
  <c r="CH201" i="182"/>
  <c r="Z201" i="182"/>
  <c r="AR201" i="182"/>
  <c r="BJ201" i="182"/>
  <c r="CB201" i="182"/>
  <c r="AL201" i="182"/>
  <c r="BV201" i="182"/>
  <c r="AF201" i="182"/>
  <c r="CN201" i="182"/>
  <c r="AX201" i="182"/>
  <c r="BP201" i="182"/>
  <c r="FB201" i="182"/>
  <c r="CT201" i="182"/>
  <c r="GF69" i="182"/>
  <c r="AR69" i="182"/>
  <c r="CH69" i="182"/>
  <c r="BD69" i="182"/>
  <c r="CT69" i="182"/>
  <c r="BP69" i="182"/>
  <c r="FB69" i="182"/>
  <c r="AL69" i="182"/>
  <c r="CB69" i="182"/>
  <c r="BJ69" i="182"/>
  <c r="AF69" i="182"/>
  <c r="CN69" i="182"/>
  <c r="Z69" i="182"/>
  <c r="AX69" i="182"/>
  <c r="DX69" i="182"/>
  <c r="BV69" i="182"/>
  <c r="GE109" i="182"/>
  <c r="AQ109" i="182"/>
  <c r="CG109" i="182"/>
  <c r="BC109" i="182"/>
  <c r="CS109" i="182"/>
  <c r="Y109" i="182"/>
  <c r="BO109" i="182"/>
  <c r="FA109" i="182"/>
  <c r="AK109" i="182"/>
  <c r="CA109" i="182"/>
  <c r="AW109" i="182"/>
  <c r="CM109" i="182"/>
  <c r="BI109" i="182"/>
  <c r="AE109" i="182"/>
  <c r="BU109" i="182"/>
  <c r="DW109" i="182"/>
  <c r="DU151" i="182"/>
  <c r="AC151" i="182"/>
  <c r="BS151" i="182"/>
  <c r="CE151" i="182"/>
  <c r="CQ151" i="182"/>
  <c r="W151" i="182"/>
  <c r="BM151" i="182"/>
  <c r="EY151" i="182"/>
  <c r="AI151" i="182"/>
  <c r="AU151" i="182"/>
  <c r="CK151" i="182"/>
  <c r="BA151" i="182"/>
  <c r="GC151" i="182"/>
  <c r="BG151" i="182"/>
  <c r="AO151" i="182"/>
  <c r="BY151" i="182"/>
  <c r="CE193" i="182"/>
  <c r="BA193" i="182"/>
  <c r="AU193" i="182"/>
  <c r="DU193" i="182"/>
  <c r="W193" i="182"/>
  <c r="GC193" i="182"/>
  <c r="AI193" i="182"/>
  <c r="CK193" i="182"/>
  <c r="BS193" i="182"/>
  <c r="EY193" i="182"/>
  <c r="BY193" i="182"/>
  <c r="BG193" i="182"/>
  <c r="AO193" i="182"/>
  <c r="AC193" i="182"/>
  <c r="CQ193" i="182"/>
  <c r="BM193" i="182"/>
  <c r="CF52" i="182"/>
  <c r="BB52" i="182"/>
  <c r="CR52" i="182"/>
  <c r="X52" i="182"/>
  <c r="BN52" i="182"/>
  <c r="EZ52" i="182"/>
  <c r="AJ52" i="182"/>
  <c r="BZ52" i="182"/>
  <c r="CL52" i="182"/>
  <c r="BH52" i="182"/>
  <c r="AD52" i="182"/>
  <c r="GD52" i="182"/>
  <c r="AV52" i="182"/>
  <c r="DV52" i="182"/>
  <c r="BT52" i="182"/>
  <c r="AP52" i="182"/>
  <c r="DW89" i="182"/>
  <c r="AE89" i="182"/>
  <c r="BU89" i="182"/>
  <c r="GE89" i="182"/>
  <c r="AQ89" i="182"/>
  <c r="CG89" i="182"/>
  <c r="BC89" i="182"/>
  <c r="CS89" i="182"/>
  <c r="Y89" i="182"/>
  <c r="BO89" i="182"/>
  <c r="BI89" i="182"/>
  <c r="CM89" i="182"/>
  <c r="AK89" i="182"/>
  <c r="CA89" i="182"/>
  <c r="FA89" i="182"/>
  <c r="AW89" i="182"/>
  <c r="CT130" i="182"/>
  <c r="Z130" i="182"/>
  <c r="BP130" i="182"/>
  <c r="FB130" i="182"/>
  <c r="AL130" i="182"/>
  <c r="CN130" i="182"/>
  <c r="BV130" i="182"/>
  <c r="CB130" i="182"/>
  <c r="BD130" i="182"/>
  <c r="AR130" i="182"/>
  <c r="DX130" i="182"/>
  <c r="BJ130" i="182"/>
  <c r="AF130" i="182"/>
  <c r="CH130" i="182"/>
  <c r="GF130" i="182"/>
  <c r="AX130" i="182"/>
  <c r="BI171" i="182"/>
  <c r="GE171" i="182"/>
  <c r="BC171" i="182"/>
  <c r="AK171" i="182"/>
  <c r="CS171" i="182"/>
  <c r="BU171" i="182"/>
  <c r="AE171" i="182"/>
  <c r="AW171" i="182"/>
  <c r="BO171" i="182"/>
  <c r="Y171" i="182"/>
  <c r="FA171" i="182"/>
  <c r="AQ171" i="182"/>
  <c r="CG171" i="182"/>
  <c r="CM171" i="182"/>
  <c r="CA171" i="182"/>
  <c r="DW171" i="182"/>
  <c r="BC215" i="182"/>
  <c r="CS215" i="182"/>
  <c r="Y215" i="182"/>
  <c r="FA215" i="182"/>
  <c r="AK215" i="182"/>
  <c r="CA215" i="182"/>
  <c r="DW215" i="182"/>
  <c r="AE215" i="182"/>
  <c r="BU215" i="182"/>
  <c r="GE215" i="182"/>
  <c r="AQ215" i="182"/>
  <c r="AW215" i="182"/>
  <c r="CG215" i="182"/>
  <c r="BI215" i="182"/>
  <c r="BO215" i="182"/>
  <c r="CM215" i="182"/>
  <c r="CB79" i="182"/>
  <c r="BD79" i="182"/>
  <c r="CH79" i="182"/>
  <c r="GF79" i="182"/>
  <c r="AL79" i="182"/>
  <c r="BP79" i="182"/>
  <c r="CT79" i="182"/>
  <c r="AX79" i="182"/>
  <c r="AF79" i="182"/>
  <c r="FB79" i="182"/>
  <c r="BJ79" i="182"/>
  <c r="AR79" i="182"/>
  <c r="DX79" i="182"/>
  <c r="CN79" i="182"/>
  <c r="Z79" i="182"/>
  <c r="BV79" i="182"/>
  <c r="CT120" i="182"/>
  <c r="Z120" i="182"/>
  <c r="CB120" i="182"/>
  <c r="CN120" i="182"/>
  <c r="BJ120" i="182"/>
  <c r="DX120" i="182"/>
  <c r="AF120" i="182"/>
  <c r="CH120" i="182"/>
  <c r="FB120" i="182"/>
  <c r="AL120" i="182"/>
  <c r="BD120" i="182"/>
  <c r="BV120" i="182"/>
  <c r="AX120" i="182"/>
  <c r="BP120" i="182"/>
  <c r="GF120" i="182"/>
  <c r="AR120" i="182"/>
  <c r="AU162" i="182"/>
  <c r="CK162" i="182"/>
  <c r="CE162" i="182"/>
  <c r="EY162" i="182"/>
  <c r="BG162" i="182"/>
  <c r="W162" i="182"/>
  <c r="AO162" i="182"/>
  <c r="GC162" i="182"/>
  <c r="BS162" i="182"/>
  <c r="BA162" i="182"/>
  <c r="CQ162" i="182"/>
  <c r="AI162" i="182"/>
  <c r="BM162" i="182"/>
  <c r="DU162" i="182"/>
  <c r="BY162" i="182"/>
  <c r="AC162" i="182"/>
  <c r="CT204" i="182"/>
  <c r="Z204" i="182"/>
  <c r="BP204" i="182"/>
  <c r="CH204" i="182"/>
  <c r="AX204" i="182"/>
  <c r="AR204" i="182"/>
  <c r="FB204" i="182"/>
  <c r="BV204" i="182"/>
  <c r="AL204" i="182"/>
  <c r="BD204" i="182"/>
  <c r="CB204" i="182"/>
  <c r="CN204" i="182"/>
  <c r="GF204" i="182"/>
  <c r="DX204" i="182"/>
  <c r="AF204" i="182"/>
  <c r="BJ204" i="182"/>
  <c r="GF45" i="182"/>
  <c r="AR45" i="182"/>
  <c r="CH45" i="182"/>
  <c r="BD45" i="182"/>
  <c r="CT45" i="182"/>
  <c r="Z45" i="182"/>
  <c r="BP45" i="182"/>
  <c r="CN45" i="182"/>
  <c r="FB45" i="182"/>
  <c r="AL45" i="182"/>
  <c r="CB45" i="182"/>
  <c r="AX45" i="182"/>
  <c r="BJ45" i="182"/>
  <c r="DX45" i="182"/>
  <c r="AF45" i="182"/>
  <c r="BV45" i="182"/>
  <c r="CL67" i="182"/>
  <c r="DV67" i="182"/>
  <c r="AD67" i="182"/>
  <c r="GD67" i="182"/>
  <c r="CF67" i="182"/>
  <c r="BB67" i="182"/>
  <c r="CR67" i="182"/>
  <c r="BT67" i="182"/>
  <c r="AV67" i="182"/>
  <c r="X67" i="182"/>
  <c r="BN67" i="182"/>
  <c r="EZ67" i="182"/>
  <c r="AP67" i="182"/>
  <c r="AJ67" i="182"/>
  <c r="BZ67" i="182"/>
  <c r="BH67" i="182"/>
  <c r="BN156" i="182"/>
  <c r="EZ156" i="182"/>
  <c r="AJ156" i="182"/>
  <c r="AV156" i="182"/>
  <c r="BH156" i="182"/>
  <c r="DV156" i="182"/>
  <c r="AD156" i="182"/>
  <c r="BT156" i="182"/>
  <c r="CF156" i="182"/>
  <c r="BB156" i="182"/>
  <c r="CL156" i="182"/>
  <c r="GD156" i="182"/>
  <c r="X156" i="182"/>
  <c r="AP156" i="182"/>
  <c r="BZ156" i="182"/>
  <c r="CR156" i="182"/>
  <c r="CQ198" i="182"/>
  <c r="W198" i="182"/>
  <c r="CK198" i="182"/>
  <c r="BG198" i="182"/>
  <c r="DU198" i="182"/>
  <c r="CE198" i="182"/>
  <c r="AI198" i="182"/>
  <c r="EY198" i="182"/>
  <c r="BY198" i="182"/>
  <c r="AO198" i="182"/>
  <c r="BM198" i="182"/>
  <c r="BA198" i="182"/>
  <c r="AC198" i="182"/>
  <c r="GC198" i="182"/>
  <c r="AU198" i="182"/>
  <c r="BS198" i="182"/>
  <c r="CN104" i="182"/>
  <c r="BJ104" i="182"/>
  <c r="DX104" i="182"/>
  <c r="AF104" i="182"/>
  <c r="BV104" i="182"/>
  <c r="GF104" i="182"/>
  <c r="AR104" i="182"/>
  <c r="CH104" i="182"/>
  <c r="BD104" i="182"/>
  <c r="CT104" i="182"/>
  <c r="Z104" i="182"/>
  <c r="BP104" i="182"/>
  <c r="FB104" i="182"/>
  <c r="AX104" i="182"/>
  <c r="AL104" i="182"/>
  <c r="CB104" i="182"/>
  <c r="BI178" i="182"/>
  <c r="CG178" i="182"/>
  <c r="CS178" i="182"/>
  <c r="Y178" i="182"/>
  <c r="FA178" i="182"/>
  <c r="CM178" i="182"/>
  <c r="AE178" i="182"/>
  <c r="DW178" i="182"/>
  <c r="AQ178" i="182"/>
  <c r="GE178" i="182"/>
  <c r="BU178" i="182"/>
  <c r="BO178" i="182"/>
  <c r="AW178" i="182"/>
  <c r="AK178" i="182"/>
  <c r="CA178" i="182"/>
  <c r="BC178" i="182"/>
  <c r="BH89" i="182"/>
  <c r="DV89" i="182"/>
  <c r="AD89" i="182"/>
  <c r="BT89" i="182"/>
  <c r="GD89" i="182"/>
  <c r="AP89" i="182"/>
  <c r="CF89" i="182"/>
  <c r="BB89" i="182"/>
  <c r="CR89" i="182"/>
  <c r="X89" i="182"/>
  <c r="CL89" i="182"/>
  <c r="AV89" i="182"/>
  <c r="AJ89" i="182"/>
  <c r="BZ89" i="182"/>
  <c r="BN89" i="182"/>
  <c r="EZ89" i="182"/>
  <c r="CF189" i="182"/>
  <c r="BB189" i="182"/>
  <c r="EZ189" i="182"/>
  <c r="AJ189" i="182"/>
  <c r="CL189" i="182"/>
  <c r="BH189" i="182"/>
  <c r="BN189" i="182"/>
  <c r="AP189" i="182"/>
  <c r="DV189" i="182"/>
  <c r="BZ189" i="182"/>
  <c r="BT189" i="182"/>
  <c r="AV189" i="182"/>
  <c r="GD189" i="182"/>
  <c r="AD189" i="182"/>
  <c r="CR189" i="182"/>
  <c r="X189" i="182"/>
  <c r="AX56" i="182"/>
  <c r="CN56" i="182"/>
  <c r="BJ56" i="182"/>
  <c r="DX56" i="182"/>
  <c r="AF56" i="182"/>
  <c r="BV56" i="182"/>
  <c r="GF56" i="182"/>
  <c r="AR56" i="182"/>
  <c r="CH56" i="182"/>
  <c r="CT56" i="182"/>
  <c r="CB56" i="182"/>
  <c r="FB56" i="182"/>
  <c r="AL56" i="182"/>
  <c r="BP56" i="182"/>
  <c r="Z56" i="182"/>
  <c r="BD56" i="182"/>
  <c r="DV86" i="182"/>
  <c r="BT86" i="182"/>
  <c r="EZ86" i="182"/>
  <c r="AJ86" i="182"/>
  <c r="CR86" i="182"/>
  <c r="BZ86" i="182"/>
  <c r="GD86" i="182"/>
  <c r="BH86" i="182"/>
  <c r="AP86" i="182"/>
  <c r="X86" i="182"/>
  <c r="CL86" i="182"/>
  <c r="BB86" i="182"/>
  <c r="BN86" i="182"/>
  <c r="AV86" i="182"/>
  <c r="CF86" i="182"/>
  <c r="AD86" i="182"/>
  <c r="AV123" i="182"/>
  <c r="CL123" i="182"/>
  <c r="BN123" i="182"/>
  <c r="AD123" i="182"/>
  <c r="BZ123" i="182"/>
  <c r="AP123" i="182"/>
  <c r="DV123" i="182"/>
  <c r="BH123" i="182"/>
  <c r="CR123" i="182"/>
  <c r="BB123" i="182"/>
  <c r="GD123" i="182"/>
  <c r="BT123" i="182"/>
  <c r="CF123" i="182"/>
  <c r="EZ123" i="182"/>
  <c r="AJ123" i="182"/>
  <c r="X123" i="182"/>
  <c r="CN160" i="182"/>
  <c r="BJ160" i="182"/>
  <c r="FB160" i="182"/>
  <c r="BV160" i="182"/>
  <c r="BD160" i="182"/>
  <c r="DX160" i="182"/>
  <c r="BP160" i="182"/>
  <c r="AF160" i="182"/>
  <c r="AX160" i="182"/>
  <c r="GF160" i="182"/>
  <c r="CB160" i="182"/>
  <c r="AR160" i="182"/>
  <c r="Z160" i="182"/>
  <c r="CT160" i="182"/>
  <c r="AL160" i="182"/>
  <c r="CH160" i="182"/>
  <c r="CK88" i="182"/>
  <c r="BG88" i="182"/>
  <c r="DU88" i="182"/>
  <c r="AC88" i="182"/>
  <c r="BS88" i="182"/>
  <c r="GC88" i="182"/>
  <c r="AO88" i="182"/>
  <c r="CE88" i="182"/>
  <c r="BY88" i="182"/>
  <c r="EY88" i="182"/>
  <c r="BM88" i="182"/>
  <c r="AI88" i="182"/>
  <c r="CQ88" i="182"/>
  <c r="BA88" i="182"/>
  <c r="W88" i="182"/>
  <c r="AU88" i="182"/>
  <c r="BS188" i="182"/>
  <c r="GC188" i="182"/>
  <c r="AO188" i="182"/>
  <c r="CQ188" i="182"/>
  <c r="W188" i="182"/>
  <c r="BY188" i="182"/>
  <c r="DU188" i="182"/>
  <c r="AI188" i="182"/>
  <c r="AC188" i="182"/>
  <c r="AU188" i="182"/>
  <c r="BM188" i="182"/>
  <c r="EY188" i="182"/>
  <c r="BG188" i="182"/>
  <c r="CK188" i="182"/>
  <c r="CE188" i="182"/>
  <c r="BA188" i="182"/>
  <c r="BM121" i="182"/>
  <c r="EY121" i="182"/>
  <c r="AI121" i="182"/>
  <c r="GC121" i="182"/>
  <c r="BY121" i="182"/>
  <c r="W121" i="182"/>
  <c r="BS121" i="182"/>
  <c r="BA121" i="182"/>
  <c r="AC121" i="182"/>
  <c r="CE121" i="182"/>
  <c r="AO121" i="182"/>
  <c r="DU121" i="182"/>
  <c r="BG121" i="182"/>
  <c r="CQ121" i="182"/>
  <c r="AU121" i="182"/>
  <c r="CK121" i="182"/>
  <c r="DU165" i="182"/>
  <c r="AC165" i="182"/>
  <c r="BS165" i="182"/>
  <c r="CE165" i="182"/>
  <c r="BM165" i="182"/>
  <c r="EY165" i="182"/>
  <c r="AI165" i="182"/>
  <c r="BY165" i="182"/>
  <c r="AU165" i="182"/>
  <c r="W165" i="182"/>
  <c r="AO165" i="182"/>
  <c r="CK165" i="182"/>
  <c r="BG165" i="182"/>
  <c r="BA165" i="182"/>
  <c r="GC165" i="182"/>
  <c r="CQ165" i="182"/>
  <c r="CR116" i="182"/>
  <c r="X116" i="182"/>
  <c r="AV116" i="182"/>
  <c r="BB116" i="182"/>
  <c r="AJ116" i="182"/>
  <c r="DV116" i="182"/>
  <c r="CF116" i="182"/>
  <c r="BN116" i="182"/>
  <c r="AD116" i="182"/>
  <c r="GD116" i="182"/>
  <c r="BZ116" i="182"/>
  <c r="BH116" i="182"/>
  <c r="AP116" i="182"/>
  <c r="EZ116" i="182"/>
  <c r="CL116" i="182"/>
  <c r="BT116" i="182"/>
  <c r="BD47" i="182"/>
  <c r="CT47" i="182"/>
  <c r="Z47" i="182"/>
  <c r="BP47" i="182"/>
  <c r="FB47" i="182"/>
  <c r="AL47" i="182"/>
  <c r="CB47" i="182"/>
  <c r="DX47" i="182"/>
  <c r="AF47" i="182"/>
  <c r="AX47" i="182"/>
  <c r="CN47" i="182"/>
  <c r="BJ47" i="182"/>
  <c r="BV47" i="182"/>
  <c r="CH47" i="182"/>
  <c r="GF47" i="182"/>
  <c r="AR47" i="182"/>
  <c r="DX142" i="182"/>
  <c r="AF142" i="182"/>
  <c r="BV142" i="182"/>
  <c r="GF142" i="182"/>
  <c r="FB142" i="182"/>
  <c r="AL142" i="182"/>
  <c r="CB142" i="182"/>
  <c r="CT142" i="182"/>
  <c r="BD142" i="182"/>
  <c r="CN142" i="182"/>
  <c r="AX142" i="182"/>
  <c r="BP142" i="182"/>
  <c r="CH142" i="182"/>
  <c r="AR142" i="182"/>
  <c r="Z142" i="182"/>
  <c r="BJ142" i="182"/>
  <c r="DV69" i="182"/>
  <c r="AD69" i="182"/>
  <c r="BT69" i="182"/>
  <c r="GD69" i="182"/>
  <c r="AP69" i="182"/>
  <c r="CF69" i="182"/>
  <c r="BB69" i="182"/>
  <c r="CR69" i="182"/>
  <c r="X69" i="182"/>
  <c r="BN69" i="182"/>
  <c r="BH69" i="182"/>
  <c r="CL69" i="182"/>
  <c r="AV69" i="182"/>
  <c r="BZ69" i="182"/>
  <c r="AJ69" i="182"/>
  <c r="EZ69" i="182"/>
  <c r="CF167" i="182"/>
  <c r="BB167" i="182"/>
  <c r="BN167" i="182"/>
  <c r="AV167" i="182"/>
  <c r="CL167" i="182"/>
  <c r="BH167" i="182"/>
  <c r="BZ167" i="182"/>
  <c r="DV167" i="182"/>
  <c r="AP167" i="182"/>
  <c r="AJ167" i="182"/>
  <c r="AD167" i="182"/>
  <c r="GD167" i="182"/>
  <c r="X167" i="182"/>
  <c r="EZ167" i="182"/>
  <c r="CR167" i="182"/>
  <c r="BT167" i="182"/>
  <c r="CG94" i="182"/>
  <c r="BC94" i="182"/>
  <c r="CS94" i="182"/>
  <c r="Y94" i="182"/>
  <c r="BO94" i="182"/>
  <c r="FA94" i="182"/>
  <c r="AK94" i="182"/>
  <c r="CA94" i="182"/>
  <c r="AW94" i="182"/>
  <c r="CM94" i="182"/>
  <c r="BI94" i="182"/>
  <c r="GE94" i="182"/>
  <c r="AQ94" i="182"/>
  <c r="BU94" i="182"/>
  <c r="AE94" i="182"/>
  <c r="DW94" i="182"/>
  <c r="BB193" i="182"/>
  <c r="CR193" i="182"/>
  <c r="X193" i="182"/>
  <c r="CL193" i="182"/>
  <c r="BH193" i="182"/>
  <c r="AP193" i="182"/>
  <c r="GD193" i="182"/>
  <c r="AJ193" i="182"/>
  <c r="EZ193" i="182"/>
  <c r="CF193" i="182"/>
  <c r="BT193" i="182"/>
  <c r="BN193" i="182"/>
  <c r="AD193" i="182"/>
  <c r="DV193" i="182"/>
  <c r="AV193" i="182"/>
  <c r="BZ193" i="182"/>
  <c r="CR74" i="182"/>
  <c r="X74" i="182"/>
  <c r="BN74" i="182"/>
  <c r="EZ74" i="182"/>
  <c r="AJ74" i="182"/>
  <c r="BZ74" i="182"/>
  <c r="AV74" i="182"/>
  <c r="CL74" i="182"/>
  <c r="BH74" i="182"/>
  <c r="DV74" i="182"/>
  <c r="AD74" i="182"/>
  <c r="CF74" i="182"/>
  <c r="BT74" i="182"/>
  <c r="GD74" i="182"/>
  <c r="AP74" i="182"/>
  <c r="BB74" i="182"/>
  <c r="CT114" i="182"/>
  <c r="Z114" i="182"/>
  <c r="BJ114" i="182"/>
  <c r="CN114" i="182"/>
  <c r="AR114" i="182"/>
  <c r="BV114" i="182"/>
  <c r="DX114" i="182"/>
  <c r="BD114" i="182"/>
  <c r="CH114" i="182"/>
  <c r="AL114" i="182"/>
  <c r="GF114" i="182"/>
  <c r="BP114" i="182"/>
  <c r="AX114" i="182"/>
  <c r="AF114" i="182"/>
  <c r="FB114" i="182"/>
  <c r="CB114" i="182"/>
  <c r="BO155" i="182"/>
  <c r="FA155" i="182"/>
  <c r="AK155" i="182"/>
  <c r="AW155" i="182"/>
  <c r="BI155" i="182"/>
  <c r="DW155" i="182"/>
  <c r="AE155" i="182"/>
  <c r="BU155" i="182"/>
  <c r="CG155" i="182"/>
  <c r="BC155" i="182"/>
  <c r="CM155" i="182"/>
  <c r="AQ155" i="182"/>
  <c r="CA155" i="182"/>
  <c r="GE155" i="182"/>
  <c r="Y155" i="182"/>
  <c r="CS155" i="182"/>
  <c r="BZ197" i="182"/>
  <c r="EZ197" i="182"/>
  <c r="AV197" i="182"/>
  <c r="CL197" i="182"/>
  <c r="BH197" i="182"/>
  <c r="AP197" i="182"/>
  <c r="DV197" i="182"/>
  <c r="AJ197" i="182"/>
  <c r="CR197" i="182"/>
  <c r="BT197" i="182"/>
  <c r="GD197" i="182"/>
  <c r="X197" i="182"/>
  <c r="BN197" i="182"/>
  <c r="CF197" i="182"/>
  <c r="BB197" i="182"/>
  <c r="AD197" i="182"/>
  <c r="BH68" i="182"/>
  <c r="DV68" i="182"/>
  <c r="AD68" i="182"/>
  <c r="BT68" i="182"/>
  <c r="CF68" i="182"/>
  <c r="BB68" i="182"/>
  <c r="CR68" i="182"/>
  <c r="X68" i="182"/>
  <c r="BZ68" i="182"/>
  <c r="AV68" i="182"/>
  <c r="AP68" i="182"/>
  <c r="BN68" i="182"/>
  <c r="AJ68" i="182"/>
  <c r="GD68" i="182"/>
  <c r="EZ68" i="182"/>
  <c r="CL68" i="182"/>
  <c r="DW107" i="182"/>
  <c r="AE107" i="182"/>
  <c r="BU107" i="182"/>
  <c r="GE107" i="182"/>
  <c r="AQ107" i="182"/>
  <c r="CG107" i="182"/>
  <c r="BC107" i="182"/>
  <c r="CS107" i="182"/>
  <c r="Y107" i="182"/>
  <c r="BO107" i="182"/>
  <c r="FA107" i="182"/>
  <c r="AK107" i="182"/>
  <c r="CA107" i="182"/>
  <c r="AW107" i="182"/>
  <c r="CM107" i="182"/>
  <c r="BI107" i="182"/>
  <c r="DW149" i="182"/>
  <c r="AE149" i="182"/>
  <c r="BU149" i="182"/>
  <c r="CG149" i="182"/>
  <c r="CS149" i="182"/>
  <c r="Y149" i="182"/>
  <c r="BO149" i="182"/>
  <c r="FA149" i="182"/>
  <c r="AK149" i="182"/>
  <c r="CM149" i="182"/>
  <c r="GE149" i="182"/>
  <c r="CA149" i="182"/>
  <c r="AW149" i="182"/>
  <c r="BI149" i="182"/>
  <c r="BC149" i="182"/>
  <c r="AQ149" i="182"/>
  <c r="BO191" i="182"/>
  <c r="FA191" i="182"/>
  <c r="AK191" i="182"/>
  <c r="CM191" i="182"/>
  <c r="BI191" i="182"/>
  <c r="BU191" i="182"/>
  <c r="GE191" i="182"/>
  <c r="AQ191" i="182"/>
  <c r="AE191" i="182"/>
  <c r="BC191" i="182"/>
  <c r="Y191" i="182"/>
  <c r="DW191" i="182"/>
  <c r="CA191" i="182"/>
  <c r="AW191" i="182"/>
  <c r="CS191" i="182"/>
  <c r="CG191" i="182"/>
  <c r="GE62" i="182"/>
  <c r="AQ62" i="182"/>
  <c r="CG62" i="182"/>
  <c r="BC62" i="182"/>
  <c r="CS62" i="182"/>
  <c r="Y62" i="182"/>
  <c r="BO62" i="182"/>
  <c r="FA62" i="182"/>
  <c r="AK62" i="182"/>
  <c r="CA62" i="182"/>
  <c r="AW62" i="182"/>
  <c r="CM62" i="182"/>
  <c r="AE62" i="182"/>
  <c r="BU62" i="182"/>
  <c r="DW62" i="182"/>
  <c r="BI62" i="182"/>
  <c r="CR101" i="182"/>
  <c r="X101" i="182"/>
  <c r="BN101" i="182"/>
  <c r="BZ101" i="182"/>
  <c r="BH101" i="182"/>
  <c r="DV101" i="182"/>
  <c r="AD101" i="182"/>
  <c r="BT101" i="182"/>
  <c r="AP101" i="182"/>
  <c r="AJ101" i="182"/>
  <c r="CL101" i="182"/>
  <c r="GD101" i="182"/>
  <c r="CF101" i="182"/>
  <c r="AV101" i="182"/>
  <c r="EZ101" i="182"/>
  <c r="BB101" i="182"/>
  <c r="DW143" i="182"/>
  <c r="AE143" i="182"/>
  <c r="BU143" i="182"/>
  <c r="GE143" i="182"/>
  <c r="AQ143" i="182"/>
  <c r="BC143" i="182"/>
  <c r="BO143" i="182"/>
  <c r="FA143" i="182"/>
  <c r="AK143" i="182"/>
  <c r="CM143" i="182"/>
  <c r="BI143" i="182"/>
  <c r="CG143" i="182"/>
  <c r="AW143" i="182"/>
  <c r="CA143" i="182"/>
  <c r="Y143" i="182"/>
  <c r="CS143" i="182"/>
  <c r="DX185" i="182"/>
  <c r="AF185" i="182"/>
  <c r="BV185" i="182"/>
  <c r="CH185" i="182"/>
  <c r="BD185" i="182"/>
  <c r="CT185" i="182"/>
  <c r="Z185" i="182"/>
  <c r="FB185" i="182"/>
  <c r="AL185" i="182"/>
  <c r="CB185" i="182"/>
  <c r="BJ185" i="182"/>
  <c r="CN185" i="182"/>
  <c r="AX185" i="182"/>
  <c r="GF185" i="182"/>
  <c r="BP185" i="182"/>
  <c r="AR185" i="182"/>
  <c r="BU45" i="182"/>
  <c r="GE45" i="182"/>
  <c r="AQ45" i="182"/>
  <c r="AW45" i="182"/>
  <c r="CG45" i="182"/>
  <c r="BC45" i="182"/>
  <c r="CS45" i="182"/>
  <c r="Y45" i="182"/>
  <c r="BO45" i="182"/>
  <c r="FA45" i="182"/>
  <c r="AK45" i="182"/>
  <c r="CA45" i="182"/>
  <c r="CM45" i="182"/>
  <c r="AE45" i="182"/>
  <c r="BI45" i="182"/>
  <c r="DW45" i="182"/>
  <c r="CM82" i="182"/>
  <c r="BU82" i="182"/>
  <c r="AQ82" i="182"/>
  <c r="DW82" i="182"/>
  <c r="BC82" i="182"/>
  <c r="Y82" i="182"/>
  <c r="CG82" i="182"/>
  <c r="GE82" i="182"/>
  <c r="BO82" i="182"/>
  <c r="AK82" i="182"/>
  <c r="CS82" i="182"/>
  <c r="AW82" i="182"/>
  <c r="FA82" i="182"/>
  <c r="BI82" i="182"/>
  <c r="AE82" i="182"/>
  <c r="CA82" i="182"/>
  <c r="CN122" i="182"/>
  <c r="BJ122" i="182"/>
  <c r="CT122" i="182"/>
  <c r="FB122" i="182"/>
  <c r="CB122" i="182"/>
  <c r="AR122" i="182"/>
  <c r="Z122" i="182"/>
  <c r="BD122" i="182"/>
  <c r="AL122" i="182"/>
  <c r="CH122" i="182"/>
  <c r="BP122" i="182"/>
  <c r="AF122" i="182"/>
  <c r="GF122" i="182"/>
  <c r="DX122" i="182"/>
  <c r="AX122" i="182"/>
  <c r="BV122" i="182"/>
  <c r="BU164" i="182"/>
  <c r="GE164" i="182"/>
  <c r="AQ164" i="182"/>
  <c r="BC164" i="182"/>
  <c r="FA164" i="182"/>
  <c r="AK164" i="182"/>
  <c r="CA164" i="182"/>
  <c r="DW164" i="182"/>
  <c r="BI164" i="182"/>
  <c r="AE164" i="182"/>
  <c r="AW164" i="182"/>
  <c r="CM164" i="182"/>
  <c r="BO164" i="182"/>
  <c r="CG164" i="182"/>
  <c r="CS164" i="182"/>
  <c r="Y164" i="182"/>
  <c r="BV206" i="182"/>
  <c r="FB206" i="182"/>
  <c r="AL206" i="182"/>
  <c r="CB206" i="182"/>
  <c r="CH206" i="182"/>
  <c r="BP206" i="182"/>
  <c r="AR206" i="182"/>
  <c r="Z206" i="182"/>
  <c r="BJ206" i="182"/>
  <c r="DX206" i="182"/>
  <c r="CT206" i="182"/>
  <c r="AF206" i="182"/>
  <c r="CN206" i="182"/>
  <c r="BD206" i="182"/>
  <c r="AX206" i="182"/>
  <c r="GF206" i="182"/>
  <c r="CE73" i="182"/>
  <c r="BA73" i="182"/>
  <c r="CQ73" i="182"/>
  <c r="W73" i="182"/>
  <c r="BM73" i="182"/>
  <c r="EY73" i="182"/>
  <c r="AI73" i="182"/>
  <c r="BY73" i="182"/>
  <c r="AU73" i="182"/>
  <c r="CK73" i="182"/>
  <c r="BG73" i="182"/>
  <c r="DU73" i="182"/>
  <c r="AO73" i="182"/>
  <c r="AC73" i="182"/>
  <c r="GC73" i="182"/>
  <c r="BS73" i="182"/>
  <c r="CG113" i="182"/>
  <c r="DW113" i="182"/>
  <c r="BC113" i="182"/>
  <c r="Y113" i="182"/>
  <c r="GE113" i="182"/>
  <c r="BO113" i="182"/>
  <c r="AK113" i="182"/>
  <c r="CS113" i="182"/>
  <c r="AW113" i="182"/>
  <c r="CA113" i="182"/>
  <c r="FA113" i="182"/>
  <c r="BI113" i="182"/>
  <c r="AE113" i="182"/>
  <c r="CM113" i="182"/>
  <c r="AQ113" i="182"/>
  <c r="BU113" i="182"/>
  <c r="CE154" i="182"/>
  <c r="BA154" i="182"/>
  <c r="BM154" i="182"/>
  <c r="BY154" i="182"/>
  <c r="AU154" i="182"/>
  <c r="CK154" i="182"/>
  <c r="DU154" i="182"/>
  <c r="AC154" i="182"/>
  <c r="BS154" i="182"/>
  <c r="BG154" i="182"/>
  <c r="GC154" i="182"/>
  <c r="EY154" i="182"/>
  <c r="AO154" i="182"/>
  <c r="CQ154" i="182"/>
  <c r="AI154" i="182"/>
  <c r="W154" i="182"/>
  <c r="BM196" i="182"/>
  <c r="EY196" i="182"/>
  <c r="AI196" i="182"/>
  <c r="DU196" i="182"/>
  <c r="AC196" i="182"/>
  <c r="AO196" i="182"/>
  <c r="W196" i="182"/>
  <c r="BY196" i="182"/>
  <c r="BG196" i="182"/>
  <c r="GC196" i="182"/>
  <c r="BS196" i="182"/>
  <c r="BA196" i="182"/>
  <c r="AU196" i="182"/>
  <c r="CQ196" i="182"/>
  <c r="CE196" i="182"/>
  <c r="CK196" i="182"/>
  <c r="BN55" i="182"/>
  <c r="EZ55" i="182"/>
  <c r="AJ55" i="182"/>
  <c r="BZ55" i="182"/>
  <c r="AV55" i="182"/>
  <c r="CL55" i="182"/>
  <c r="BH55" i="182"/>
  <c r="DV55" i="182"/>
  <c r="AD55" i="182"/>
  <c r="CR55" i="182"/>
  <c r="X55" i="182"/>
  <c r="BB55" i="182"/>
  <c r="CF55" i="182"/>
  <c r="GD55" i="182"/>
  <c r="AP55" i="182"/>
  <c r="BT55" i="182"/>
  <c r="BS94" i="182"/>
  <c r="GC94" i="182"/>
  <c r="AO94" i="182"/>
  <c r="CE94" i="182"/>
  <c r="BA94" i="182"/>
  <c r="CQ94" i="182"/>
  <c r="W94" i="182"/>
  <c r="BM94" i="182"/>
  <c r="EY94" i="182"/>
  <c r="AI94" i="182"/>
  <c r="BY94" i="182"/>
  <c r="AU94" i="182"/>
  <c r="DU94" i="182"/>
  <c r="AC94" i="182"/>
  <c r="BG94" i="182"/>
  <c r="CK94" i="182"/>
  <c r="BD134" i="182"/>
  <c r="CT134" i="182"/>
  <c r="Z134" i="182"/>
  <c r="BP134" i="182"/>
  <c r="CN134" i="182"/>
  <c r="BJ134" i="182"/>
  <c r="DX134" i="182"/>
  <c r="AF134" i="182"/>
  <c r="BV134" i="182"/>
  <c r="FB134" i="182"/>
  <c r="AL134" i="182"/>
  <c r="CH134" i="182"/>
  <c r="CB134" i="182"/>
  <c r="AX134" i="182"/>
  <c r="AR134" i="182"/>
  <c r="GF134" i="182"/>
  <c r="CB174" i="182"/>
  <c r="AX174" i="182"/>
  <c r="CN174" i="182"/>
  <c r="BJ174" i="182"/>
  <c r="BV174" i="182"/>
  <c r="AR174" i="182"/>
  <c r="DX174" i="182"/>
  <c r="CH174" i="182"/>
  <c r="BD174" i="182"/>
  <c r="Z174" i="182"/>
  <c r="BP174" i="182"/>
  <c r="GF174" i="182"/>
  <c r="AL174" i="182"/>
  <c r="AF174" i="182"/>
  <c r="FB174" i="182"/>
  <c r="CT174" i="182"/>
  <c r="GE46" i="182"/>
  <c r="AQ46" i="182"/>
  <c r="CG46" i="182"/>
  <c r="CM46" i="182"/>
  <c r="BC46" i="182"/>
  <c r="CS46" i="182"/>
  <c r="Y46" i="182"/>
  <c r="BO46" i="182"/>
  <c r="FA46" i="182"/>
  <c r="AK46" i="182"/>
  <c r="CA46" i="182"/>
  <c r="AW46" i="182"/>
  <c r="BI46" i="182"/>
  <c r="BU46" i="182"/>
  <c r="DW46" i="182"/>
  <c r="AE46" i="182"/>
  <c r="DX83" i="182"/>
  <c r="AF83" i="182"/>
  <c r="AX83" i="182"/>
  <c r="FB83" i="182"/>
  <c r="CB83" i="182"/>
  <c r="CN83" i="182"/>
  <c r="BJ83" i="182"/>
  <c r="AR83" i="182"/>
  <c r="BV83" i="182"/>
  <c r="Z83" i="182"/>
  <c r="BD83" i="182"/>
  <c r="AL83" i="182"/>
  <c r="BP83" i="182"/>
  <c r="CT83" i="182"/>
  <c r="CH83" i="182"/>
  <c r="GF83" i="182"/>
  <c r="BJ123" i="182"/>
  <c r="DX123" i="182"/>
  <c r="AF123" i="182"/>
  <c r="GF123" i="182"/>
  <c r="CB123" i="182"/>
  <c r="AL123" i="182"/>
  <c r="CN123" i="182"/>
  <c r="FB123" i="182"/>
  <c r="AX123" i="182"/>
  <c r="BP123" i="182"/>
  <c r="Z123" i="182"/>
  <c r="BV123" i="182"/>
  <c r="BD123" i="182"/>
  <c r="AR123" i="182"/>
  <c r="CT123" i="182"/>
  <c r="CH123" i="182"/>
  <c r="GE165" i="182"/>
  <c r="AQ165" i="182"/>
  <c r="CG165" i="182"/>
  <c r="CS165" i="182"/>
  <c r="Y165" i="182"/>
  <c r="CA165" i="182"/>
  <c r="AW165" i="182"/>
  <c r="CM165" i="182"/>
  <c r="DW165" i="182"/>
  <c r="BU165" i="182"/>
  <c r="BO165" i="182"/>
  <c r="BI165" i="182"/>
  <c r="AK165" i="182"/>
  <c r="FA165" i="182"/>
  <c r="AE165" i="182"/>
  <c r="BC165" i="182"/>
  <c r="CK208" i="182"/>
  <c r="BG208" i="182"/>
  <c r="DU208" i="182"/>
  <c r="AC208" i="182"/>
  <c r="BM208" i="182"/>
  <c r="EY208" i="182"/>
  <c r="AI208" i="182"/>
  <c r="BY208" i="182"/>
  <c r="GC208" i="182"/>
  <c r="CE208" i="182"/>
  <c r="AU208" i="182"/>
  <c r="BS208" i="182"/>
  <c r="AO208" i="182"/>
  <c r="W208" i="182"/>
  <c r="BA208" i="182"/>
  <c r="CQ208" i="182"/>
  <c r="BO54" i="182"/>
  <c r="FA54" i="182"/>
  <c r="AK54" i="182"/>
  <c r="CA54" i="182"/>
  <c r="AW54" i="182"/>
  <c r="CM54" i="182"/>
  <c r="BI54" i="182"/>
  <c r="DW54" i="182"/>
  <c r="AE54" i="182"/>
  <c r="CS54" i="182"/>
  <c r="Y54" i="182"/>
  <c r="BC54" i="182"/>
  <c r="CG54" i="182"/>
  <c r="GE54" i="182"/>
  <c r="AQ54" i="182"/>
  <c r="BU54" i="182"/>
  <c r="CK211" i="182"/>
  <c r="BG211" i="182"/>
  <c r="BS211" i="182"/>
  <c r="GC211" i="182"/>
  <c r="AO211" i="182"/>
  <c r="BM211" i="182"/>
  <c r="AU211" i="182"/>
  <c r="CE211" i="182"/>
  <c r="W211" i="182"/>
  <c r="CQ211" i="182"/>
  <c r="AI211" i="182"/>
  <c r="EY211" i="182"/>
  <c r="DU211" i="182"/>
  <c r="BY211" i="182"/>
  <c r="AC211" i="182"/>
  <c r="BA211" i="182"/>
  <c r="DW163" i="182"/>
  <c r="AE163" i="182"/>
  <c r="BU163" i="182"/>
  <c r="CG163" i="182"/>
  <c r="BO163" i="182"/>
  <c r="FA163" i="182"/>
  <c r="AK163" i="182"/>
  <c r="Y163" i="182"/>
  <c r="BI163" i="182"/>
  <c r="CA163" i="182"/>
  <c r="AW163" i="182"/>
  <c r="GE163" i="182"/>
  <c r="AQ163" i="182"/>
  <c r="CS163" i="182"/>
  <c r="BC163" i="182"/>
  <c r="CM163" i="182"/>
  <c r="AU67" i="182"/>
  <c r="BG67" i="182"/>
  <c r="GC67" i="182"/>
  <c r="AO67" i="182"/>
  <c r="CE67" i="182"/>
  <c r="BY67" i="182"/>
  <c r="BA67" i="182"/>
  <c r="CQ67" i="182"/>
  <c r="AC67" i="182"/>
  <c r="BS67" i="182"/>
  <c r="CK67" i="182"/>
  <c r="W67" i="182"/>
  <c r="BM67" i="182"/>
  <c r="EY67" i="182"/>
  <c r="DU67" i="182"/>
  <c r="AI67" i="182"/>
  <c r="CB138" i="182"/>
  <c r="AX138" i="182"/>
  <c r="CN138" i="182"/>
  <c r="GF138" i="182"/>
  <c r="AR138" i="182"/>
  <c r="CH138" i="182"/>
  <c r="BD138" i="182"/>
  <c r="CT138" i="182"/>
  <c r="Z138" i="182"/>
  <c r="DX138" i="182"/>
  <c r="BP138" i="182"/>
  <c r="AF138" i="182"/>
  <c r="BV138" i="182"/>
  <c r="AL138" i="182"/>
  <c r="BJ138" i="182"/>
  <c r="FB138" i="182"/>
  <c r="BA54" i="182"/>
  <c r="CQ54" i="182"/>
  <c r="W54" i="182"/>
  <c r="BM54" i="182"/>
  <c r="EY54" i="182"/>
  <c r="AI54" i="182"/>
  <c r="BY54" i="182"/>
  <c r="AU54" i="182"/>
  <c r="CK54" i="182"/>
  <c r="BG54" i="182"/>
  <c r="AO54" i="182"/>
  <c r="CE54" i="182"/>
  <c r="GC54" i="182"/>
  <c r="BS54" i="182"/>
  <c r="DU54" i="182"/>
  <c r="AC54" i="182"/>
  <c r="BZ122" i="182"/>
  <c r="AV122" i="182"/>
  <c r="BH122" i="182"/>
  <c r="GD122" i="182"/>
  <c r="CL122" i="182"/>
  <c r="BT122" i="182"/>
  <c r="BB122" i="182"/>
  <c r="AJ122" i="182"/>
  <c r="EZ122" i="182"/>
  <c r="DV122" i="182"/>
  <c r="BN122" i="182"/>
  <c r="AP122" i="182"/>
  <c r="CR122" i="182"/>
  <c r="CF122" i="182"/>
  <c r="AD122" i="182"/>
  <c r="X122" i="182"/>
  <c r="BP53" i="182"/>
  <c r="FB53" i="182"/>
  <c r="AL53" i="182"/>
  <c r="CB53" i="182"/>
  <c r="AX53" i="182"/>
  <c r="CN53" i="182"/>
  <c r="BJ53" i="182"/>
  <c r="AR53" i="182"/>
  <c r="CT53" i="182"/>
  <c r="AF53" i="182"/>
  <c r="GF53" i="182"/>
  <c r="CH53" i="182"/>
  <c r="BD53" i="182"/>
  <c r="Z53" i="182"/>
  <c r="DX53" i="182"/>
  <c r="BV53" i="182"/>
  <c r="DX67" i="182"/>
  <c r="AF67" i="182"/>
  <c r="GF67" i="182"/>
  <c r="AR67" i="182"/>
  <c r="CT67" i="182"/>
  <c r="Z67" i="182"/>
  <c r="BP67" i="182"/>
  <c r="BV67" i="182"/>
  <c r="AX67" i="182"/>
  <c r="CN67" i="182"/>
  <c r="FB67" i="182"/>
  <c r="CH67" i="182"/>
  <c r="AL67" i="182"/>
  <c r="CB67" i="182"/>
  <c r="BJ67" i="182"/>
  <c r="BD67" i="182"/>
  <c r="CQ102" i="182"/>
  <c r="W102" i="182"/>
  <c r="BM102" i="182"/>
  <c r="EY102" i="182"/>
  <c r="AI102" i="182"/>
  <c r="BY102" i="182"/>
  <c r="CK102" i="182"/>
  <c r="BG102" i="182"/>
  <c r="DU102" i="182"/>
  <c r="AC102" i="182"/>
  <c r="BS102" i="182"/>
  <c r="GC102" i="182"/>
  <c r="BA102" i="182"/>
  <c r="AU102" i="182"/>
  <c r="AO102" i="182"/>
  <c r="CE102" i="182"/>
  <c r="CN140" i="182"/>
  <c r="BJ140" i="182"/>
  <c r="AF140" i="182"/>
  <c r="GF140" i="182"/>
  <c r="BD140" i="182"/>
  <c r="Z140" i="182"/>
  <c r="CT140" i="182"/>
  <c r="BP140" i="182"/>
  <c r="AL140" i="182"/>
  <c r="FB140" i="182"/>
  <c r="DX140" i="182"/>
  <c r="BV140" i="182"/>
  <c r="AX140" i="182"/>
  <c r="CB140" i="182"/>
  <c r="AR140" i="182"/>
  <c r="CH140" i="182"/>
  <c r="BV179" i="182"/>
  <c r="CT179" i="182"/>
  <c r="Z179" i="182"/>
  <c r="FB179" i="182"/>
  <c r="AL179" i="182"/>
  <c r="AR179" i="182"/>
  <c r="CB179" i="182"/>
  <c r="BJ179" i="182"/>
  <c r="GF179" i="182"/>
  <c r="BD179" i="182"/>
  <c r="CN179" i="182"/>
  <c r="AX179" i="182"/>
  <c r="AF179" i="182"/>
  <c r="CH179" i="182"/>
  <c r="BP179" i="182"/>
  <c r="DX179" i="182"/>
  <c r="EY96" i="182"/>
  <c r="AI96" i="182"/>
  <c r="CK96" i="182"/>
  <c r="AO96" i="182"/>
  <c r="BS96" i="182"/>
  <c r="W96" i="182"/>
  <c r="BA96" i="182"/>
  <c r="DU96" i="182"/>
  <c r="CE96" i="182"/>
  <c r="BM96" i="182"/>
  <c r="AU96" i="182"/>
  <c r="GC96" i="182"/>
  <c r="BY96" i="182"/>
  <c r="CQ96" i="182"/>
  <c r="AC96" i="182"/>
  <c r="BG96" i="182"/>
  <c r="BN195" i="182"/>
  <c r="EZ195" i="182"/>
  <c r="AJ195" i="182"/>
  <c r="DV195" i="182"/>
  <c r="AD195" i="182"/>
  <c r="AV195" i="182"/>
  <c r="AP195" i="182"/>
  <c r="X195" i="182"/>
  <c r="BZ195" i="182"/>
  <c r="BH195" i="182"/>
  <c r="GD195" i="182"/>
  <c r="CR195" i="182"/>
  <c r="BB195" i="182"/>
  <c r="CL195" i="182"/>
  <c r="CF195" i="182"/>
  <c r="BT195" i="182"/>
  <c r="BS129" i="182"/>
  <c r="GC129" i="182"/>
  <c r="AO129" i="182"/>
  <c r="CE129" i="182"/>
  <c r="CK129" i="182"/>
  <c r="DU129" i="182"/>
  <c r="AU129" i="182"/>
  <c r="AC129" i="182"/>
  <c r="CQ129" i="182"/>
  <c r="W129" i="182"/>
  <c r="BY129" i="182"/>
  <c r="EY129" i="182"/>
  <c r="BA129" i="182"/>
  <c r="AI129" i="182"/>
  <c r="BG129" i="182"/>
  <c r="BM129" i="182"/>
  <c r="BA173" i="182"/>
  <c r="BG173" i="182"/>
  <c r="CK173" i="182"/>
  <c r="BS173" i="182"/>
  <c r="W173" i="182"/>
  <c r="CQ173" i="182"/>
  <c r="BY173" i="182"/>
  <c r="DU173" i="182"/>
  <c r="AU173" i="182"/>
  <c r="BM173" i="182"/>
  <c r="AI173" i="182"/>
  <c r="GC173" i="182"/>
  <c r="EY173" i="182"/>
  <c r="AO173" i="182"/>
  <c r="AC173" i="182"/>
  <c r="CE173" i="182"/>
  <c r="AU124" i="182"/>
  <c r="CK124" i="182"/>
  <c r="GC124" i="182"/>
  <c r="AO124" i="182"/>
  <c r="BY124" i="182"/>
  <c r="CQ124" i="182"/>
  <c r="EY124" i="182"/>
  <c r="AC124" i="182"/>
  <c r="DU124" i="182"/>
  <c r="CE124" i="182"/>
  <c r="BM124" i="182"/>
  <c r="BG124" i="182"/>
  <c r="W124" i="182"/>
  <c r="BA124" i="182"/>
  <c r="BS124" i="182"/>
  <c r="AI124" i="182"/>
  <c r="CR54" i="182"/>
  <c r="X54" i="182"/>
  <c r="BN54" i="182"/>
  <c r="EZ54" i="182"/>
  <c r="AJ54" i="182"/>
  <c r="BZ54" i="182"/>
  <c r="AV54" i="182"/>
  <c r="CL54" i="182"/>
  <c r="BH54" i="182"/>
  <c r="BB54" i="182"/>
  <c r="CF54" i="182"/>
  <c r="GD54" i="182"/>
  <c r="BT54" i="182"/>
  <c r="AP54" i="182"/>
  <c r="DV54" i="182"/>
  <c r="AD54" i="182"/>
  <c r="DV150" i="182"/>
  <c r="AD150" i="182"/>
  <c r="BT150" i="182"/>
  <c r="CF150" i="182"/>
  <c r="CR150" i="182"/>
  <c r="X150" i="182"/>
  <c r="BN150" i="182"/>
  <c r="EZ150" i="182"/>
  <c r="AJ150" i="182"/>
  <c r="BZ150" i="182"/>
  <c r="AV150" i="182"/>
  <c r="AP150" i="182"/>
  <c r="CL150" i="182"/>
  <c r="BH150" i="182"/>
  <c r="GD150" i="182"/>
  <c r="BB150" i="182"/>
  <c r="CE77" i="182"/>
  <c r="AO77" i="182"/>
  <c r="BS77" i="182"/>
  <c r="W77" i="182"/>
  <c r="DU77" i="182"/>
  <c r="BA77" i="182"/>
  <c r="AI77" i="182"/>
  <c r="GC77" i="182"/>
  <c r="BM77" i="182"/>
  <c r="CQ77" i="182"/>
  <c r="AU77" i="182"/>
  <c r="EY77" i="182"/>
  <c r="AC77" i="182"/>
  <c r="BY77" i="182"/>
  <c r="BG77" i="182"/>
  <c r="CK77" i="182"/>
  <c r="FA174" i="182"/>
  <c r="AK174" i="182"/>
  <c r="CS174" i="182"/>
  <c r="CA174" i="182"/>
  <c r="AW174" i="182"/>
  <c r="AE174" i="182"/>
  <c r="BU174" i="182"/>
  <c r="Y174" i="182"/>
  <c r="DW174" i="182"/>
  <c r="BC174" i="182"/>
  <c r="AQ174" i="182"/>
  <c r="BO174" i="182"/>
  <c r="GE174" i="182"/>
  <c r="CM174" i="182"/>
  <c r="BI174" i="182"/>
  <c r="CG174" i="182"/>
  <c r="FB101" i="182"/>
  <c r="AL101" i="182"/>
  <c r="CB101" i="182"/>
  <c r="CN101" i="182"/>
  <c r="BV101" i="182"/>
  <c r="GF101" i="182"/>
  <c r="AR101" i="182"/>
  <c r="CH101" i="182"/>
  <c r="DX101" i="182"/>
  <c r="CT101" i="182"/>
  <c r="BP101" i="182"/>
  <c r="BJ101" i="182"/>
  <c r="AF101" i="182"/>
  <c r="BD101" i="182"/>
  <c r="Z101" i="182"/>
  <c r="AX101" i="182"/>
  <c r="BG201" i="182"/>
  <c r="DU201" i="182"/>
  <c r="CQ201" i="182"/>
  <c r="CK201" i="182"/>
  <c r="BS201" i="182"/>
  <c r="AO201" i="182"/>
  <c r="BM201" i="182"/>
  <c r="EY201" i="182"/>
  <c r="CE201" i="182"/>
  <c r="W201" i="182"/>
  <c r="BY201" i="182"/>
  <c r="BA201" i="182"/>
  <c r="AI201" i="182"/>
  <c r="GC201" i="182"/>
  <c r="AC201" i="182"/>
  <c r="AU201" i="182"/>
  <c r="BB77" i="182"/>
  <c r="BT77" i="182"/>
  <c r="X77" i="182"/>
  <c r="DV77" i="182"/>
  <c r="CF77" i="182"/>
  <c r="AJ77" i="182"/>
  <c r="GD77" i="182"/>
  <c r="BN77" i="182"/>
  <c r="CR77" i="182"/>
  <c r="AV77" i="182"/>
  <c r="BZ77" i="182"/>
  <c r="BH77" i="182"/>
  <c r="EZ77" i="182"/>
  <c r="CL77" i="182"/>
  <c r="AP77" i="182"/>
  <c r="AD77" i="182"/>
  <c r="DU118" i="182"/>
  <c r="CE118" i="182"/>
  <c r="BM118" i="182"/>
  <c r="EY118" i="182"/>
  <c r="AI118" i="182"/>
  <c r="CK118" i="182"/>
  <c r="BA118" i="182"/>
  <c r="CQ118" i="182"/>
  <c r="AC118" i="182"/>
  <c r="BS118" i="182"/>
  <c r="AU118" i="182"/>
  <c r="GC118" i="182"/>
  <c r="W118" i="182"/>
  <c r="AO118" i="182"/>
  <c r="BG118" i="182"/>
  <c r="BY118" i="182"/>
  <c r="BZ159" i="182"/>
  <c r="AV159" i="182"/>
  <c r="CL159" i="182"/>
  <c r="BT159" i="182"/>
  <c r="AP159" i="182"/>
  <c r="DV159" i="182"/>
  <c r="BB159" i="182"/>
  <c r="X159" i="182"/>
  <c r="GD159" i="182"/>
  <c r="BN159" i="182"/>
  <c r="AJ159" i="182"/>
  <c r="CF159" i="182"/>
  <c r="CR159" i="182"/>
  <c r="AD159" i="182"/>
  <c r="BH159" i="182"/>
  <c r="EZ159" i="182"/>
  <c r="BZ200" i="182"/>
  <c r="BT200" i="182"/>
  <c r="GD200" i="182"/>
  <c r="AP200" i="182"/>
  <c r="EZ200" i="182"/>
  <c r="AV200" i="182"/>
  <c r="AD200" i="182"/>
  <c r="BH200" i="182"/>
  <c r="CR200" i="182"/>
  <c r="CL200" i="182"/>
  <c r="AJ200" i="182"/>
  <c r="BN200" i="182"/>
  <c r="X200" i="182"/>
  <c r="BB200" i="182"/>
  <c r="DV200" i="182"/>
  <c r="CF200" i="182"/>
  <c r="CG71" i="182"/>
  <c r="BC71" i="182"/>
  <c r="CS71" i="182"/>
  <c r="Y71" i="182"/>
  <c r="BO71" i="182"/>
  <c r="FA71" i="182"/>
  <c r="AK71" i="182"/>
  <c r="CA71" i="182"/>
  <c r="AW71" i="182"/>
  <c r="CM71" i="182"/>
  <c r="DW71" i="182"/>
  <c r="BU71" i="182"/>
  <c r="AQ71" i="182"/>
  <c r="BI71" i="182"/>
  <c r="AE71" i="182"/>
  <c r="GE71" i="182"/>
  <c r="BC111" i="182"/>
  <c r="CS111" i="182"/>
  <c r="Y111" i="182"/>
  <c r="BO111" i="182"/>
  <c r="FA111" i="182"/>
  <c r="AK111" i="182"/>
  <c r="CA111" i="182"/>
  <c r="AW111" i="182"/>
  <c r="CM111" i="182"/>
  <c r="BI111" i="182"/>
  <c r="DW111" i="182"/>
  <c r="AE111" i="182"/>
  <c r="BU111" i="182"/>
  <c r="AQ111" i="182"/>
  <c r="CG111" i="182"/>
  <c r="GE111" i="182"/>
  <c r="CG152" i="182"/>
  <c r="BC152" i="182"/>
  <c r="BO152" i="182"/>
  <c r="CA152" i="182"/>
  <c r="AW152" i="182"/>
  <c r="CM152" i="182"/>
  <c r="DW152" i="182"/>
  <c r="AE152" i="182"/>
  <c r="CS152" i="182"/>
  <c r="BI152" i="182"/>
  <c r="GE152" i="182"/>
  <c r="AQ152" i="182"/>
  <c r="AK152" i="182"/>
  <c r="Y152" i="182"/>
  <c r="BU152" i="182"/>
  <c r="FA152" i="182"/>
  <c r="BO194" i="182"/>
  <c r="FA194" i="182"/>
  <c r="AK194" i="182"/>
  <c r="DW194" i="182"/>
  <c r="AE194" i="182"/>
  <c r="BU194" i="182"/>
  <c r="BC194" i="182"/>
  <c r="CM194" i="182"/>
  <c r="CG194" i="182"/>
  <c r="AQ194" i="182"/>
  <c r="Y194" i="182"/>
  <c r="CA194" i="182"/>
  <c r="BI194" i="182"/>
  <c r="GE194" i="182"/>
  <c r="CS194" i="182"/>
  <c r="AW194" i="182"/>
  <c r="AW65" i="182"/>
  <c r="GE65" i="182"/>
  <c r="AQ65" i="182"/>
  <c r="CG65" i="182"/>
  <c r="BC65" i="182"/>
  <c r="AK65" i="182"/>
  <c r="CM65" i="182"/>
  <c r="BU65" i="182"/>
  <c r="FA65" i="182"/>
  <c r="AE65" i="182"/>
  <c r="BO65" i="182"/>
  <c r="CA65" i="182"/>
  <c r="BI65" i="182"/>
  <c r="DW65" i="182"/>
  <c r="CS65" i="182"/>
  <c r="Y65" i="182"/>
  <c r="BZ104" i="182"/>
  <c r="AV104" i="182"/>
  <c r="CL104" i="182"/>
  <c r="BH104" i="182"/>
  <c r="DV104" i="182"/>
  <c r="AD104" i="182"/>
  <c r="BT104" i="182"/>
  <c r="GD104" i="182"/>
  <c r="AP104" i="182"/>
  <c r="CF104" i="182"/>
  <c r="BB104" i="182"/>
  <c r="BN104" i="182"/>
  <c r="EZ104" i="182"/>
  <c r="CR104" i="182"/>
  <c r="AJ104" i="182"/>
  <c r="X104" i="182"/>
  <c r="GF146" i="182"/>
  <c r="BD146" i="182"/>
  <c r="CT146" i="182"/>
  <c r="Z146" i="182"/>
  <c r="BP146" i="182"/>
  <c r="CB146" i="182"/>
  <c r="CN146" i="182"/>
  <c r="BJ146" i="182"/>
  <c r="DX146" i="182"/>
  <c r="BV146" i="182"/>
  <c r="CH146" i="182"/>
  <c r="AX146" i="182"/>
  <c r="AR146" i="182"/>
  <c r="AF146" i="182"/>
  <c r="AL146" i="182"/>
  <c r="FB146" i="182"/>
  <c r="BD188" i="182"/>
  <c r="CT188" i="182"/>
  <c r="Z188" i="182"/>
  <c r="CB188" i="182"/>
  <c r="BJ188" i="182"/>
  <c r="AF188" i="182"/>
  <c r="GF188" i="182"/>
  <c r="AX188" i="182"/>
  <c r="CN188" i="182"/>
  <c r="BP188" i="182"/>
  <c r="AR188" i="182"/>
  <c r="CH188" i="182"/>
  <c r="FB188" i="182"/>
  <c r="DX188" i="182"/>
  <c r="BV188" i="182"/>
  <c r="AL188" i="182"/>
  <c r="BU48" i="182"/>
  <c r="CS48" i="182"/>
  <c r="FA48" i="182"/>
  <c r="CM48" i="182"/>
  <c r="BC48" i="182"/>
  <c r="Y48" i="182"/>
  <c r="CA48" i="182"/>
  <c r="BO48" i="182"/>
  <c r="AK48" i="182"/>
  <c r="AE48" i="182"/>
  <c r="CG48" i="182"/>
  <c r="AW48" i="182"/>
  <c r="DW48" i="182"/>
  <c r="BI48" i="182"/>
  <c r="GE48" i="182"/>
  <c r="AQ48" i="182"/>
  <c r="GF85" i="182"/>
  <c r="AR85" i="182"/>
  <c r="AF85" i="182"/>
  <c r="FB85" i="182"/>
  <c r="BJ85" i="182"/>
  <c r="CN85" i="182"/>
  <c r="BV85" i="182"/>
  <c r="Z85" i="182"/>
  <c r="DX85" i="182"/>
  <c r="BD85" i="182"/>
  <c r="CH85" i="182"/>
  <c r="AL85" i="182"/>
  <c r="CT85" i="182"/>
  <c r="BP85" i="182"/>
  <c r="AX85" i="182"/>
  <c r="CB85" i="182"/>
  <c r="BH126" i="182"/>
  <c r="DV126" i="182"/>
  <c r="AD126" i="182"/>
  <c r="BT126" i="182"/>
  <c r="CR126" i="182"/>
  <c r="BN126" i="182"/>
  <c r="AP126" i="182"/>
  <c r="CL126" i="182"/>
  <c r="CF126" i="182"/>
  <c r="EZ126" i="182"/>
  <c r="AJ126" i="182"/>
  <c r="X126" i="182"/>
  <c r="BZ126" i="182"/>
  <c r="BB126" i="182"/>
  <c r="AV126" i="182"/>
  <c r="GD126" i="182"/>
  <c r="CT167" i="182"/>
  <c r="Z167" i="182"/>
  <c r="BP167" i="182"/>
  <c r="CB167" i="182"/>
  <c r="BJ167" i="182"/>
  <c r="DX167" i="182"/>
  <c r="AF167" i="182"/>
  <c r="BV167" i="182"/>
  <c r="AR167" i="182"/>
  <c r="CN167" i="182"/>
  <c r="GF167" i="182"/>
  <c r="BD167" i="182"/>
  <c r="FB167" i="182"/>
  <c r="AX167" i="182"/>
  <c r="AL167" i="182"/>
  <c r="CH167" i="182"/>
  <c r="BV210" i="182"/>
  <c r="CH210" i="182"/>
  <c r="FB210" i="182"/>
  <c r="CN210" i="182"/>
  <c r="BD210" i="182"/>
  <c r="Z210" i="182"/>
  <c r="GF210" i="182"/>
  <c r="BJ210" i="182"/>
  <c r="AF210" i="182"/>
  <c r="AL210" i="182"/>
  <c r="CT210" i="182"/>
  <c r="AX210" i="182"/>
  <c r="AR210" i="182"/>
  <c r="DX210" i="182"/>
  <c r="BP210" i="182"/>
  <c r="CB210" i="182"/>
  <c r="GC76" i="182"/>
  <c r="CQ76" i="182"/>
  <c r="BM76" i="182"/>
  <c r="AI76" i="182"/>
  <c r="BY76" i="182"/>
  <c r="EY76" i="182"/>
  <c r="AU76" i="182"/>
  <c r="CK76" i="182"/>
  <c r="BG76" i="182"/>
  <c r="AC76" i="182"/>
  <c r="BS76" i="182"/>
  <c r="CE76" i="182"/>
  <c r="BA76" i="182"/>
  <c r="DU76" i="182"/>
  <c r="AO76" i="182"/>
  <c r="W76" i="182"/>
  <c r="FB116" i="182"/>
  <c r="AL116" i="182"/>
  <c r="BJ116" i="182"/>
  <c r="DX116" i="182"/>
  <c r="CH116" i="182"/>
  <c r="BP116" i="182"/>
  <c r="AX116" i="182"/>
  <c r="AF116" i="182"/>
  <c r="GF116" i="182"/>
  <c r="CT116" i="182"/>
  <c r="CB116" i="182"/>
  <c r="AR116" i="182"/>
  <c r="Z116" i="182"/>
  <c r="CN116" i="182"/>
  <c r="BV116" i="182"/>
  <c r="BD116" i="182"/>
  <c r="AX157" i="182"/>
  <c r="CN157" i="182"/>
  <c r="DX157" i="182"/>
  <c r="AF157" i="182"/>
  <c r="GF157" i="182"/>
  <c r="AR157" i="182"/>
  <c r="CH157" i="182"/>
  <c r="BD157" i="182"/>
  <c r="BP157" i="182"/>
  <c r="FB157" i="182"/>
  <c r="AL157" i="182"/>
  <c r="BV157" i="182"/>
  <c r="BJ157" i="182"/>
  <c r="Z157" i="182"/>
  <c r="CB157" i="182"/>
  <c r="CT157" i="182"/>
  <c r="BM199" i="182"/>
  <c r="BG199" i="182"/>
  <c r="DU199" i="182"/>
  <c r="AC199" i="182"/>
  <c r="BY199" i="182"/>
  <c r="GC199" i="182"/>
  <c r="CQ199" i="182"/>
  <c r="BS199" i="182"/>
  <c r="BA199" i="182"/>
  <c r="EY199" i="182"/>
  <c r="CK199" i="182"/>
  <c r="CE199" i="182"/>
  <c r="AI199" i="182"/>
  <c r="AO199" i="182"/>
  <c r="AU199" i="182"/>
  <c r="W199" i="182"/>
  <c r="AV58" i="182"/>
  <c r="CL58" i="182"/>
  <c r="BH58" i="182"/>
  <c r="DV58" i="182"/>
  <c r="AD58" i="182"/>
  <c r="BT58" i="182"/>
  <c r="GD58" i="182"/>
  <c r="AP58" i="182"/>
  <c r="CF58" i="182"/>
  <c r="BZ58" i="182"/>
  <c r="EZ58" i="182"/>
  <c r="AJ58" i="182"/>
  <c r="X58" i="182"/>
  <c r="BN58" i="182"/>
  <c r="CR58" i="182"/>
  <c r="BB58" i="182"/>
  <c r="BM97" i="182"/>
  <c r="EY97" i="182"/>
  <c r="AI97" i="182"/>
  <c r="BY97" i="182"/>
  <c r="GC97" i="182"/>
  <c r="CQ97" i="182"/>
  <c r="CK97" i="182"/>
  <c r="BS97" i="182"/>
  <c r="BA97" i="182"/>
  <c r="AU97" i="182"/>
  <c r="AC97" i="182"/>
  <c r="DU97" i="182"/>
  <c r="CE97" i="182"/>
  <c r="W97" i="182"/>
  <c r="BG97" i="182"/>
  <c r="AO97" i="182"/>
  <c r="BN138" i="182"/>
  <c r="EZ138" i="182"/>
  <c r="AJ138" i="182"/>
  <c r="BZ138" i="182"/>
  <c r="DV138" i="182"/>
  <c r="AD138" i="182"/>
  <c r="BT138" i="182"/>
  <c r="GD138" i="182"/>
  <c r="AP138" i="182"/>
  <c r="CF138" i="182"/>
  <c r="BH138" i="182"/>
  <c r="X138" i="182"/>
  <c r="AV138" i="182"/>
  <c r="CR138" i="182"/>
  <c r="CL138" i="182"/>
  <c r="BB138" i="182"/>
  <c r="AU178" i="182"/>
  <c r="BS178" i="182"/>
  <c r="CE178" i="182"/>
  <c r="CK178" i="182"/>
  <c r="AC178" i="182"/>
  <c r="BM178" i="182"/>
  <c r="DU178" i="182"/>
  <c r="W178" i="182"/>
  <c r="BG178" i="182"/>
  <c r="GC178" i="182"/>
  <c r="EY178" i="182"/>
  <c r="CQ178" i="182"/>
  <c r="BA178" i="182"/>
  <c r="AO178" i="182"/>
  <c r="BY178" i="182"/>
  <c r="AI178" i="182"/>
  <c r="GE49" i="182"/>
  <c r="AQ49" i="182"/>
  <c r="CS49" i="182"/>
  <c r="Y49" i="182"/>
  <c r="BO49" i="182"/>
  <c r="CG49" i="182"/>
  <c r="DW49" i="182"/>
  <c r="BC49" i="182"/>
  <c r="CA49" i="182"/>
  <c r="BI49" i="182"/>
  <c r="AK49" i="182"/>
  <c r="FA49" i="182"/>
  <c r="CM49" i="182"/>
  <c r="BU49" i="182"/>
  <c r="AW49" i="182"/>
  <c r="AE49" i="182"/>
  <c r="GF86" i="182"/>
  <c r="CH86" i="182"/>
  <c r="AX86" i="182"/>
  <c r="AR86" i="182"/>
  <c r="Z86" i="182"/>
  <c r="CN86" i="182"/>
  <c r="BV86" i="182"/>
  <c r="BD86" i="182"/>
  <c r="FB86" i="182"/>
  <c r="AL86" i="182"/>
  <c r="BP86" i="182"/>
  <c r="CB86" i="182"/>
  <c r="BJ86" i="182"/>
  <c r="CT86" i="182"/>
  <c r="AF86" i="182"/>
  <c r="DX86" i="182"/>
  <c r="DV127" i="182"/>
  <c r="AD127" i="182"/>
  <c r="BT127" i="182"/>
  <c r="GD127" i="182"/>
  <c r="AP127" i="182"/>
  <c r="BZ127" i="182"/>
  <c r="EZ127" i="182"/>
  <c r="CL127" i="182"/>
  <c r="AJ127" i="182"/>
  <c r="BB127" i="182"/>
  <c r="AV127" i="182"/>
  <c r="BN127" i="182"/>
  <c r="X127" i="182"/>
  <c r="CR127" i="182"/>
  <c r="BH127" i="182"/>
  <c r="CF127" i="182"/>
  <c r="BP168" i="182"/>
  <c r="FB168" i="182"/>
  <c r="AL168" i="182"/>
  <c r="AX168" i="182"/>
  <c r="DX168" i="182"/>
  <c r="AF168" i="182"/>
  <c r="BV168" i="182"/>
  <c r="GF168" i="182"/>
  <c r="AR168" i="182"/>
  <c r="CH168" i="182"/>
  <c r="BD168" i="182"/>
  <c r="CB168" i="182"/>
  <c r="CN168" i="182"/>
  <c r="Z168" i="182"/>
  <c r="CT168" i="182"/>
  <c r="BJ168" i="182"/>
  <c r="BG212" i="182"/>
  <c r="DU212" i="182"/>
  <c r="AC212" i="182"/>
  <c r="GC212" i="182"/>
  <c r="AO212" i="182"/>
  <c r="CE212" i="182"/>
  <c r="AU212" i="182"/>
  <c r="EY212" i="182"/>
  <c r="BM212" i="182"/>
  <c r="BS212" i="182"/>
  <c r="CQ212" i="182"/>
  <c r="CK212" i="182"/>
  <c r="W212" i="182"/>
  <c r="AI212" i="182"/>
  <c r="BA212" i="182"/>
  <c r="BY212" i="182"/>
  <c r="BP136" i="182"/>
  <c r="FB136" i="182"/>
  <c r="AL136" i="182"/>
  <c r="CB136" i="182"/>
  <c r="DX136" i="182"/>
  <c r="AF136" i="182"/>
  <c r="BV136" i="182"/>
  <c r="GF136" i="182"/>
  <c r="AR136" i="182"/>
  <c r="CH136" i="182"/>
  <c r="BD136" i="182"/>
  <c r="CT136" i="182"/>
  <c r="Z136" i="182"/>
  <c r="CN136" i="182"/>
  <c r="AX136" i="182"/>
  <c r="BJ136" i="182"/>
  <c r="CL178" i="182"/>
  <c r="GD178" i="182"/>
  <c r="AP178" i="182"/>
  <c r="BB178" i="182"/>
  <c r="BT178" i="182"/>
  <c r="EZ178" i="182"/>
  <c r="BN178" i="182"/>
  <c r="AV178" i="182"/>
  <c r="CF178" i="182"/>
  <c r="DV178" i="182"/>
  <c r="X178" i="182"/>
  <c r="CR178" i="182"/>
  <c r="BZ178" i="182"/>
  <c r="AD178" i="182"/>
  <c r="BH178" i="182"/>
  <c r="AJ178" i="182"/>
  <c r="CK91" i="182"/>
  <c r="BG91" i="182"/>
  <c r="DU91" i="182"/>
  <c r="AC91" i="182"/>
  <c r="BS91" i="182"/>
  <c r="GC91" i="182"/>
  <c r="AO91" i="182"/>
  <c r="CE91" i="182"/>
  <c r="BA91" i="182"/>
  <c r="CQ91" i="182"/>
  <c r="BM91" i="182"/>
  <c r="AU91" i="182"/>
  <c r="W91" i="182"/>
  <c r="AI91" i="182"/>
  <c r="EY91" i="182"/>
  <c r="BY91" i="182"/>
  <c r="CN98" i="182"/>
  <c r="BJ98" i="182"/>
  <c r="DX98" i="182"/>
  <c r="AF98" i="182"/>
  <c r="CH98" i="182"/>
  <c r="BP98" i="182"/>
  <c r="AX98" i="182"/>
  <c r="AR98" i="182"/>
  <c r="Z98" i="182"/>
  <c r="GF98" i="182"/>
  <c r="CT98" i="182"/>
  <c r="CB98" i="182"/>
  <c r="BV98" i="182"/>
  <c r="BD98" i="182"/>
  <c r="AL98" i="182"/>
  <c r="FB98" i="182"/>
  <c r="CE172" i="182"/>
  <c r="AI172" i="182"/>
  <c r="GC172" i="182"/>
  <c r="BM172" i="182"/>
  <c r="AU172" i="182"/>
  <c r="EY172" i="182"/>
  <c r="AC172" i="182"/>
  <c r="AO172" i="182"/>
  <c r="DU172" i="182"/>
  <c r="CQ172" i="182"/>
  <c r="CK172" i="182"/>
  <c r="BG172" i="182"/>
  <c r="BA172" i="182"/>
  <c r="W172" i="182"/>
  <c r="BY172" i="182"/>
  <c r="BS172" i="182"/>
  <c r="BY82" i="182"/>
  <c r="CK82" i="182"/>
  <c r="BS82" i="182"/>
  <c r="AO82" i="182"/>
  <c r="DU82" i="182"/>
  <c r="BA82" i="182"/>
  <c r="W82" i="182"/>
  <c r="CE82" i="182"/>
  <c r="GC82" i="182"/>
  <c r="BM82" i="182"/>
  <c r="AI82" i="182"/>
  <c r="AU82" i="182"/>
  <c r="CQ82" i="182"/>
  <c r="BG82" i="182"/>
  <c r="EY82" i="182"/>
  <c r="AC82" i="182"/>
  <c r="CR155" i="182"/>
  <c r="X155" i="182"/>
  <c r="BN155" i="182"/>
  <c r="BZ155" i="182"/>
  <c r="CL155" i="182"/>
  <c r="BH155" i="182"/>
  <c r="DV155" i="182"/>
  <c r="AD155" i="182"/>
  <c r="GD155" i="182"/>
  <c r="AP155" i="182"/>
  <c r="CF155" i="182"/>
  <c r="AV155" i="182"/>
  <c r="AJ155" i="182"/>
  <c r="BT155" i="182"/>
  <c r="EZ155" i="182"/>
  <c r="BB155" i="182"/>
  <c r="AV66" i="182"/>
  <c r="GD66" i="182"/>
  <c r="AP66" i="182"/>
  <c r="CF66" i="182"/>
  <c r="BT66" i="182"/>
  <c r="CL66" i="182"/>
  <c r="AD66" i="182"/>
  <c r="EZ66" i="182"/>
  <c r="BN66" i="182"/>
  <c r="X66" i="182"/>
  <c r="DV66" i="182"/>
  <c r="BH66" i="182"/>
  <c r="BZ66" i="182"/>
  <c r="BB66" i="182"/>
  <c r="CR66" i="182"/>
  <c r="AJ66" i="182"/>
  <c r="AU83" i="182"/>
  <c r="AI83" i="182"/>
  <c r="CQ83" i="182"/>
  <c r="BM83" i="182"/>
  <c r="EY83" i="182"/>
  <c r="BY83" i="182"/>
  <c r="AC83" i="182"/>
  <c r="BG83" i="182"/>
  <c r="CK83" i="182"/>
  <c r="AO83" i="182"/>
  <c r="W83" i="182"/>
  <c r="GC83" i="182"/>
  <c r="BS83" i="182"/>
  <c r="DU83" i="182"/>
  <c r="BA83" i="182"/>
  <c r="CE83" i="182"/>
  <c r="BS119" i="182"/>
  <c r="BA119" i="182"/>
  <c r="EY119" i="182"/>
  <c r="AI119" i="182"/>
  <c r="BY119" i="182"/>
  <c r="BG119" i="182"/>
  <c r="AO119" i="182"/>
  <c r="GC119" i="182"/>
  <c r="CK119" i="182"/>
  <c r="BM119" i="182"/>
  <c r="CE119" i="182"/>
  <c r="AC119" i="182"/>
  <c r="DU119" i="182"/>
  <c r="CQ119" i="182"/>
  <c r="AU119" i="182"/>
  <c r="W119" i="182"/>
  <c r="AW160" i="182"/>
  <c r="CM160" i="182"/>
  <c r="FA160" i="182"/>
  <c r="BU160" i="182"/>
  <c r="AK160" i="182"/>
  <c r="CG160" i="182"/>
  <c r="BO160" i="182"/>
  <c r="AE160" i="182"/>
  <c r="CS160" i="182"/>
  <c r="BI160" i="182"/>
  <c r="CA160" i="182"/>
  <c r="AQ160" i="182"/>
  <c r="BC160" i="182"/>
  <c r="DW160" i="182"/>
  <c r="Y160" i="182"/>
  <c r="GE160" i="182"/>
  <c r="DW206" i="182"/>
  <c r="AE206" i="182"/>
  <c r="BO206" i="182"/>
  <c r="FA206" i="182"/>
  <c r="AK206" i="182"/>
  <c r="GE206" i="182"/>
  <c r="CS206" i="182"/>
  <c r="AW206" i="182"/>
  <c r="AQ206" i="182"/>
  <c r="Y206" i="182"/>
  <c r="BI206" i="182"/>
  <c r="CM206" i="182"/>
  <c r="BC206" i="182"/>
  <c r="CA206" i="182"/>
  <c r="BU206" i="182"/>
  <c r="CG206" i="182"/>
  <c r="CA103" i="182"/>
  <c r="AW103" i="182"/>
  <c r="CM103" i="182"/>
  <c r="BI103" i="182"/>
  <c r="DW103" i="182"/>
  <c r="AE103" i="182"/>
  <c r="BU103" i="182"/>
  <c r="GE103" i="182"/>
  <c r="AQ103" i="182"/>
  <c r="CG103" i="182"/>
  <c r="BC103" i="182"/>
  <c r="BO103" i="182"/>
  <c r="FA103" i="182"/>
  <c r="CS103" i="182"/>
  <c r="AK103" i="182"/>
  <c r="Y103" i="182"/>
  <c r="CF204" i="182"/>
  <c r="BB204" i="182"/>
  <c r="GD204" i="182"/>
  <c r="BZ204" i="182"/>
  <c r="BH204" i="182"/>
  <c r="X204" i="182"/>
  <c r="EZ204" i="182"/>
  <c r="AD204" i="182"/>
  <c r="DV204" i="182"/>
  <c r="BT204" i="182"/>
  <c r="CR204" i="182"/>
  <c r="BN204" i="182"/>
  <c r="AP204" i="182"/>
  <c r="CL204" i="182"/>
  <c r="AJ204" i="182"/>
  <c r="AV204" i="182"/>
  <c r="CQ138" i="182"/>
  <c r="W138" i="182"/>
  <c r="BM138" i="182"/>
  <c r="EY138" i="182"/>
  <c r="AI138" i="182"/>
  <c r="BG138" i="182"/>
  <c r="DU138" i="182"/>
  <c r="AC138" i="182"/>
  <c r="BS138" i="182"/>
  <c r="GC138" i="182"/>
  <c r="AO138" i="182"/>
  <c r="CK138" i="182"/>
  <c r="BA138" i="182"/>
  <c r="CE138" i="182"/>
  <c r="AU138" i="182"/>
  <c r="BY138" i="182"/>
  <c r="CK180" i="182"/>
  <c r="BG180" i="182"/>
  <c r="GC180" i="182"/>
  <c r="CE180" i="182"/>
  <c r="CQ180" i="182"/>
  <c r="W180" i="182"/>
  <c r="DU180" i="182"/>
  <c r="BA180" i="182"/>
  <c r="BS180" i="182"/>
  <c r="AC180" i="182"/>
  <c r="BM180" i="182"/>
  <c r="AU180" i="182"/>
  <c r="EY180" i="182"/>
  <c r="AI180" i="182"/>
  <c r="BY180" i="182"/>
  <c r="AO180" i="182"/>
  <c r="DU133" i="182"/>
  <c r="AC133" i="182"/>
  <c r="BS133" i="182"/>
  <c r="GC133" i="182"/>
  <c r="AO133" i="182"/>
  <c r="BM133" i="182"/>
  <c r="EY133" i="182"/>
  <c r="AI133" i="182"/>
  <c r="BY133" i="182"/>
  <c r="CE133" i="182"/>
  <c r="BG133" i="182"/>
  <c r="CQ133" i="182"/>
  <c r="AU133" i="182"/>
  <c r="W133" i="182"/>
  <c r="CK133" i="182"/>
  <c r="BA133" i="182"/>
  <c r="GF61" i="182"/>
  <c r="AR61" i="182"/>
  <c r="CH61" i="182"/>
  <c r="BD61" i="182"/>
  <c r="CT61" i="182"/>
  <c r="Z61" i="182"/>
  <c r="BP61" i="182"/>
  <c r="FB61" i="182"/>
  <c r="AL61" i="182"/>
  <c r="CB61" i="182"/>
  <c r="BV61" i="182"/>
  <c r="CN61" i="182"/>
  <c r="DX61" i="182"/>
  <c r="AF61" i="182"/>
  <c r="BJ61" i="182"/>
  <c r="AX61" i="182"/>
  <c r="BY158" i="182"/>
  <c r="AU158" i="182"/>
  <c r="BG158" i="182"/>
  <c r="BS158" i="182"/>
  <c r="GC158" i="182"/>
  <c r="AO158" i="182"/>
  <c r="CE158" i="182"/>
  <c r="CQ158" i="182"/>
  <c r="W158" i="182"/>
  <c r="BM158" i="182"/>
  <c r="AI158" i="182"/>
  <c r="AC158" i="182"/>
  <c r="EY158" i="182"/>
  <c r="DU158" i="182"/>
  <c r="BA158" i="182"/>
  <c r="CK158" i="182"/>
  <c r="DV85" i="182"/>
  <c r="AD85" i="182"/>
  <c r="AV85" i="182"/>
  <c r="BZ85" i="182"/>
  <c r="EZ85" i="182"/>
  <c r="BH85" i="182"/>
  <c r="CL85" i="182"/>
  <c r="AP85" i="182"/>
  <c r="BT85" i="182"/>
  <c r="X85" i="182"/>
  <c r="BB85" i="182"/>
  <c r="AJ85" i="182"/>
  <c r="BN85" i="182"/>
  <c r="GD85" i="182"/>
  <c r="CF85" i="182"/>
  <c r="CR85" i="182"/>
  <c r="CK186" i="182"/>
  <c r="BG186" i="182"/>
  <c r="BS186" i="182"/>
  <c r="GC186" i="182"/>
  <c r="AO186" i="182"/>
  <c r="CE186" i="182"/>
  <c r="CQ186" i="182"/>
  <c r="W186" i="182"/>
  <c r="BM186" i="182"/>
  <c r="EY186" i="182"/>
  <c r="AI186" i="182"/>
  <c r="DU186" i="182"/>
  <c r="AC186" i="182"/>
  <c r="AU186" i="182"/>
  <c r="BY186" i="182"/>
  <c r="BA186" i="182"/>
  <c r="CH109" i="182"/>
  <c r="BD109" i="182"/>
  <c r="CT109" i="182"/>
  <c r="Z109" i="182"/>
  <c r="BP109" i="182"/>
  <c r="FB109" i="182"/>
  <c r="AL109" i="182"/>
  <c r="CB109" i="182"/>
  <c r="AX109" i="182"/>
  <c r="CN109" i="182"/>
  <c r="BJ109" i="182"/>
  <c r="DX109" i="182"/>
  <c r="AF109" i="182"/>
  <c r="BV109" i="182"/>
  <c r="GF109" i="182"/>
  <c r="AR109" i="182"/>
  <c r="GE213" i="182"/>
  <c r="AQ213" i="182"/>
  <c r="CG213" i="182"/>
  <c r="CS213" i="182"/>
  <c r="Y213" i="182"/>
  <c r="BO213" i="182"/>
  <c r="DW213" i="182"/>
  <c r="AE213" i="182"/>
  <c r="AW213" i="182"/>
  <c r="BU213" i="182"/>
  <c r="BI213" i="182"/>
  <c r="CM213" i="182"/>
  <c r="BC213" i="182"/>
  <c r="AK213" i="182"/>
  <c r="CA213" i="182"/>
  <c r="FA213" i="182"/>
  <c r="CA80" i="182"/>
  <c r="FA80" i="182"/>
  <c r="BI80" i="182"/>
  <c r="AE80" i="182"/>
  <c r="CM80" i="182"/>
  <c r="AQ80" i="182"/>
  <c r="BU80" i="182"/>
  <c r="DW80" i="182"/>
  <c r="BC80" i="182"/>
  <c r="Y80" i="182"/>
  <c r="GE80" i="182"/>
  <c r="CG80" i="182"/>
  <c r="BO80" i="182"/>
  <c r="AK80" i="182"/>
  <c r="CS80" i="182"/>
  <c r="AW80" i="182"/>
  <c r="EZ121" i="182"/>
  <c r="AJ121" i="182"/>
  <c r="BZ121" i="182"/>
  <c r="GD121" i="182"/>
  <c r="CR121" i="182"/>
  <c r="BH121" i="182"/>
  <c r="CL121" i="182"/>
  <c r="BB121" i="182"/>
  <c r="DV121" i="182"/>
  <c r="BT121" i="182"/>
  <c r="AD121" i="182"/>
  <c r="BN121" i="182"/>
  <c r="X121" i="182"/>
  <c r="AV121" i="182"/>
  <c r="CF121" i="182"/>
  <c r="AP121" i="182"/>
  <c r="DX162" i="182"/>
  <c r="AF162" i="182"/>
  <c r="BV162" i="182"/>
  <c r="BP162" i="182"/>
  <c r="FB162" i="182"/>
  <c r="AX162" i="182"/>
  <c r="CB162" i="182"/>
  <c r="CT162" i="182"/>
  <c r="GF162" i="182"/>
  <c r="CN162" i="182"/>
  <c r="AL162" i="182"/>
  <c r="BJ162" i="182"/>
  <c r="BD162" i="182"/>
  <c r="Z162" i="182"/>
  <c r="CH162" i="182"/>
  <c r="AR162" i="182"/>
  <c r="BB205" i="182"/>
  <c r="CR205" i="182"/>
  <c r="X205" i="182"/>
  <c r="GD205" i="182"/>
  <c r="BZ205" i="182"/>
  <c r="AP205" i="182"/>
  <c r="EZ205" i="182"/>
  <c r="AV205" i="182"/>
  <c r="DV205" i="182"/>
  <c r="BT205" i="182"/>
  <c r="BN205" i="182"/>
  <c r="CL205" i="182"/>
  <c r="BH205" i="182"/>
  <c r="AJ205" i="182"/>
  <c r="CF205" i="182"/>
  <c r="AD205" i="182"/>
  <c r="BO74" i="182"/>
  <c r="FA74" i="182"/>
  <c r="AK74" i="182"/>
  <c r="CA74" i="182"/>
  <c r="AW74" i="182"/>
  <c r="CM74" i="182"/>
  <c r="BI74" i="182"/>
  <c r="DW74" i="182"/>
  <c r="AE74" i="182"/>
  <c r="BU74" i="182"/>
  <c r="GE74" i="182"/>
  <c r="Y74" i="182"/>
  <c r="AQ74" i="182"/>
  <c r="CS74" i="182"/>
  <c r="CG74" i="182"/>
  <c r="BC74" i="182"/>
  <c r="CE115" i="182"/>
  <c r="EY115" i="182"/>
  <c r="BS115" i="182"/>
  <c r="BA115" i="182"/>
  <c r="W115" i="182"/>
  <c r="DU115" i="182"/>
  <c r="AI115" i="182"/>
  <c r="BM115" i="182"/>
  <c r="AU115" i="182"/>
  <c r="GC115" i="182"/>
  <c r="CQ115" i="182"/>
  <c r="BY115" i="182"/>
  <c r="AC115" i="182"/>
  <c r="BG115" i="182"/>
  <c r="AO115" i="182"/>
  <c r="CK115" i="182"/>
  <c r="FB155" i="182"/>
  <c r="AL155" i="182"/>
  <c r="CB155" i="182"/>
  <c r="CN155" i="182"/>
  <c r="DX155" i="182"/>
  <c r="AF155" i="182"/>
  <c r="BV155" i="182"/>
  <c r="GF155" i="182"/>
  <c r="AR155" i="182"/>
  <c r="BD155" i="182"/>
  <c r="CT155" i="182"/>
  <c r="Z155" i="182"/>
  <c r="AX155" i="182"/>
  <c r="CH155" i="182"/>
  <c r="BP155" i="182"/>
  <c r="BJ155" i="182"/>
  <c r="DW197" i="182"/>
  <c r="FA197" i="182"/>
  <c r="AW197" i="182"/>
  <c r="AE197" i="182"/>
  <c r="CG197" i="182"/>
  <c r="AK197" i="182"/>
  <c r="CA197" i="182"/>
  <c r="BC197" i="182"/>
  <c r="BO197" i="182"/>
  <c r="AQ197" i="182"/>
  <c r="CM197" i="182"/>
  <c r="Y197" i="182"/>
  <c r="BU197" i="182"/>
  <c r="GE197" i="182"/>
  <c r="BI197" i="182"/>
  <c r="CS197" i="182"/>
  <c r="DW68" i="182"/>
  <c r="AE68" i="182"/>
  <c r="BU68" i="182"/>
  <c r="GE68" i="182"/>
  <c r="AQ68" i="182"/>
  <c r="BC68" i="182"/>
  <c r="CS68" i="182"/>
  <c r="Y68" i="182"/>
  <c r="BO68" i="182"/>
  <c r="AW68" i="182"/>
  <c r="AK68" i="182"/>
  <c r="CM68" i="182"/>
  <c r="CA68" i="182"/>
  <c r="BI68" i="182"/>
  <c r="FA68" i="182"/>
  <c r="CG68" i="182"/>
  <c r="BV107" i="182"/>
  <c r="GF107" i="182"/>
  <c r="AR107" i="182"/>
  <c r="CH107" i="182"/>
  <c r="BD107" i="182"/>
  <c r="CT107" i="182"/>
  <c r="Z107" i="182"/>
  <c r="BP107" i="182"/>
  <c r="FB107" i="182"/>
  <c r="AL107" i="182"/>
  <c r="CB107" i="182"/>
  <c r="AX107" i="182"/>
  <c r="CN107" i="182"/>
  <c r="AF107" i="182"/>
  <c r="DX107" i="182"/>
  <c r="BJ107" i="182"/>
  <c r="BV149" i="182"/>
  <c r="GF149" i="182"/>
  <c r="AR149" i="182"/>
  <c r="BD149" i="182"/>
  <c r="BP149" i="182"/>
  <c r="FB149" i="182"/>
  <c r="AL149" i="182"/>
  <c r="CB149" i="182"/>
  <c r="CN149" i="182"/>
  <c r="BJ149" i="182"/>
  <c r="CH149" i="182"/>
  <c r="AX149" i="182"/>
  <c r="DX149" i="182"/>
  <c r="Z149" i="182"/>
  <c r="CT149" i="182"/>
  <c r="AF149" i="182"/>
  <c r="FB191" i="182"/>
  <c r="AL191" i="182"/>
  <c r="CB191" i="182"/>
  <c r="BJ191" i="182"/>
  <c r="DX191" i="182"/>
  <c r="AF191" i="182"/>
  <c r="GF191" i="182"/>
  <c r="AR191" i="182"/>
  <c r="CH191" i="182"/>
  <c r="CT191" i="182"/>
  <c r="CN191" i="182"/>
  <c r="Z191" i="182"/>
  <c r="BV191" i="182"/>
  <c r="BD191" i="182"/>
  <c r="AX191" i="182"/>
  <c r="BP191" i="182"/>
  <c r="CG51" i="182"/>
  <c r="BC51" i="182"/>
  <c r="CS51" i="182"/>
  <c r="Y51" i="182"/>
  <c r="BO51" i="182"/>
  <c r="FA51" i="182"/>
  <c r="AK51" i="182"/>
  <c r="CA51" i="182"/>
  <c r="AW51" i="182"/>
  <c r="BI51" i="182"/>
  <c r="DW51" i="182"/>
  <c r="BU51" i="182"/>
  <c r="AQ51" i="182"/>
  <c r="CM51" i="182"/>
  <c r="GE51" i="182"/>
  <c r="AE51" i="182"/>
  <c r="BV88" i="182"/>
  <c r="GF88" i="182"/>
  <c r="CH88" i="182"/>
  <c r="BD88" i="182"/>
  <c r="CT88" i="182"/>
  <c r="Z88" i="182"/>
  <c r="BP88" i="182"/>
  <c r="BJ88" i="182"/>
  <c r="AL88" i="182"/>
  <c r="DX88" i="182"/>
  <c r="AF88" i="182"/>
  <c r="CN88" i="182"/>
  <c r="CB88" i="182"/>
  <c r="AX88" i="182"/>
  <c r="AR88" i="182"/>
  <c r="FB88" i="182"/>
  <c r="BD129" i="182"/>
  <c r="CT129" i="182"/>
  <c r="Z129" i="182"/>
  <c r="BP129" i="182"/>
  <c r="DX129" i="182"/>
  <c r="AX129" i="182"/>
  <c r="AF129" i="182"/>
  <c r="FB129" i="182"/>
  <c r="AR129" i="182"/>
  <c r="CN129" i="182"/>
  <c r="BJ129" i="182"/>
  <c r="CH129" i="182"/>
  <c r="GF129" i="182"/>
  <c r="CB129" i="182"/>
  <c r="BV129" i="182"/>
  <c r="AL129" i="182"/>
  <c r="BJ170" i="182"/>
  <c r="BD170" i="182"/>
  <c r="FB170" i="182"/>
  <c r="GF170" i="182"/>
  <c r="Z170" i="182"/>
  <c r="CN170" i="182"/>
  <c r="AL170" i="182"/>
  <c r="BP170" i="182"/>
  <c r="AX170" i="182"/>
  <c r="DX170" i="182"/>
  <c r="CH170" i="182"/>
  <c r="AF170" i="182"/>
  <c r="CT170" i="182"/>
  <c r="AR170" i="182"/>
  <c r="CB170" i="182"/>
  <c r="BV170" i="182"/>
  <c r="CG214" i="182"/>
  <c r="BC214" i="182"/>
  <c r="BO214" i="182"/>
  <c r="FA214" i="182"/>
  <c r="AK214" i="182"/>
  <c r="BI214" i="182"/>
  <c r="DW214" i="182"/>
  <c r="AE214" i="182"/>
  <c r="BU214" i="182"/>
  <c r="CS214" i="182"/>
  <c r="AQ214" i="182"/>
  <c r="Y214" i="182"/>
  <c r="CA214" i="182"/>
  <c r="AW214" i="182"/>
  <c r="CM214" i="182"/>
  <c r="GE214" i="182"/>
  <c r="CQ79" i="182"/>
  <c r="W79" i="182"/>
  <c r="AO79" i="182"/>
  <c r="BS79" i="182"/>
  <c r="DU79" i="182"/>
  <c r="BA79" i="182"/>
  <c r="CE79" i="182"/>
  <c r="AI79" i="182"/>
  <c r="GC79" i="182"/>
  <c r="BM79" i="182"/>
  <c r="AU79" i="182"/>
  <c r="EY79" i="182"/>
  <c r="AC79" i="182"/>
  <c r="CK79" i="182"/>
  <c r="BY79" i="182"/>
  <c r="BG79" i="182"/>
  <c r="BD119" i="182"/>
  <c r="FB119" i="182"/>
  <c r="AL119" i="182"/>
  <c r="CN119" i="182"/>
  <c r="BJ119" i="182"/>
  <c r="GF119" i="182"/>
  <c r="AR119" i="182"/>
  <c r="BP119" i="182"/>
  <c r="CH119" i="182"/>
  <c r="AF119" i="182"/>
  <c r="DX119" i="182"/>
  <c r="CB119" i="182"/>
  <c r="Z119" i="182"/>
  <c r="CT119" i="182"/>
  <c r="BV119" i="182"/>
  <c r="AX119" i="182"/>
  <c r="AV161" i="182"/>
  <c r="CL161" i="182"/>
  <c r="CF161" i="182"/>
  <c r="AP161" i="182"/>
  <c r="CR161" i="182"/>
  <c r="BZ161" i="182"/>
  <c r="X161" i="182"/>
  <c r="AJ161" i="182"/>
  <c r="EZ161" i="182"/>
  <c r="DV161" i="182"/>
  <c r="BB161" i="182"/>
  <c r="BT161" i="182"/>
  <c r="BN161" i="182"/>
  <c r="BH161" i="182"/>
  <c r="GD161" i="182"/>
  <c r="AD161" i="182"/>
  <c r="GC204" i="182"/>
  <c r="AO204" i="182"/>
  <c r="CE204" i="182"/>
  <c r="CQ204" i="182"/>
  <c r="BY204" i="182"/>
  <c r="EY204" i="182"/>
  <c r="BA204" i="182"/>
  <c r="W204" i="182"/>
  <c r="AU204" i="182"/>
  <c r="BS204" i="182"/>
  <c r="BM204" i="182"/>
  <c r="CK204" i="182"/>
  <c r="AC204" i="182"/>
  <c r="DU204" i="182"/>
  <c r="BG204" i="182"/>
  <c r="AI204" i="182"/>
  <c r="DV61" i="182"/>
  <c r="AD61" i="182"/>
  <c r="BT61" i="182"/>
  <c r="GD61" i="182"/>
  <c r="AP61" i="182"/>
  <c r="CF61" i="182"/>
  <c r="BB61" i="182"/>
  <c r="CR61" i="182"/>
  <c r="X61" i="182"/>
  <c r="BN61" i="182"/>
  <c r="AV61" i="182"/>
  <c r="BZ61" i="182"/>
  <c r="EZ61" i="182"/>
  <c r="AJ61" i="182"/>
  <c r="BH61" i="182"/>
  <c r="CL61" i="182"/>
  <c r="CE100" i="182"/>
  <c r="BA100" i="182"/>
  <c r="BM100" i="182"/>
  <c r="AU100" i="182"/>
  <c r="CK100" i="182"/>
  <c r="BG100" i="182"/>
  <c r="CQ100" i="182"/>
  <c r="AI100" i="182"/>
  <c r="AC100" i="182"/>
  <c r="GC100" i="182"/>
  <c r="EY100" i="182"/>
  <c r="BY100" i="182"/>
  <c r="AO100" i="182"/>
  <c r="DU100" i="182"/>
  <c r="BS100" i="182"/>
  <c r="W100" i="182"/>
  <c r="AU142" i="182"/>
  <c r="CK142" i="182"/>
  <c r="BA142" i="182"/>
  <c r="DU142" i="182"/>
  <c r="BG142" i="182"/>
  <c r="AO142" i="182"/>
  <c r="GC142" i="182"/>
  <c r="AC142" i="182"/>
  <c r="BM142" i="182"/>
  <c r="CQ142" i="182"/>
  <c r="BY142" i="182"/>
  <c r="BS142" i="182"/>
  <c r="W142" i="182"/>
  <c r="EY142" i="182"/>
  <c r="CE142" i="182"/>
  <c r="AI142" i="182"/>
  <c r="BU181" i="182"/>
  <c r="GE181" i="182"/>
  <c r="AQ181" i="182"/>
  <c r="CS181" i="182"/>
  <c r="Y181" i="182"/>
  <c r="BO181" i="182"/>
  <c r="CA181" i="182"/>
  <c r="CG181" i="182"/>
  <c r="DW181" i="182"/>
  <c r="BC181" i="182"/>
  <c r="AW181" i="182"/>
  <c r="FA181" i="182"/>
  <c r="AE181" i="182"/>
  <c r="BI181" i="182"/>
  <c r="CM181" i="182"/>
  <c r="AK181" i="182"/>
  <c r="BC52" i="182"/>
  <c r="CS52" i="182"/>
  <c r="Y52" i="182"/>
  <c r="BO52" i="182"/>
  <c r="FA52" i="182"/>
  <c r="AK52" i="182"/>
  <c r="CA52" i="182"/>
  <c r="AW52" i="182"/>
  <c r="BI52" i="182"/>
  <c r="AE52" i="182"/>
  <c r="BU52" i="182"/>
  <c r="GE52" i="182"/>
  <c r="CG52" i="182"/>
  <c r="DW52" i="182"/>
  <c r="AQ52" i="182"/>
  <c r="CM52" i="182"/>
  <c r="BV89" i="182"/>
  <c r="GF89" i="182"/>
  <c r="AR89" i="182"/>
  <c r="CH89" i="182"/>
  <c r="BD89" i="182"/>
  <c r="CT89" i="182"/>
  <c r="Z89" i="182"/>
  <c r="BP89" i="182"/>
  <c r="FB89" i="182"/>
  <c r="AL89" i="182"/>
  <c r="DX89" i="182"/>
  <c r="AF89" i="182"/>
  <c r="CB89" i="182"/>
  <c r="CN89" i="182"/>
  <c r="BJ89" i="182"/>
  <c r="AX89" i="182"/>
  <c r="CK131" i="182"/>
  <c r="CE131" i="182"/>
  <c r="BA131" i="182"/>
  <c r="CQ131" i="182"/>
  <c r="W131" i="182"/>
  <c r="EY131" i="182"/>
  <c r="AU131" i="182"/>
  <c r="AC131" i="182"/>
  <c r="BM131" i="182"/>
  <c r="DU131" i="182"/>
  <c r="AO131" i="182"/>
  <c r="AI131" i="182"/>
  <c r="GC131" i="182"/>
  <c r="BS131" i="182"/>
  <c r="BY131" i="182"/>
  <c r="BG131" i="182"/>
  <c r="CT171" i="182"/>
  <c r="AF171" i="182"/>
  <c r="DX171" i="182"/>
  <c r="BV171" i="182"/>
  <c r="Z171" i="182"/>
  <c r="FB171" i="182"/>
  <c r="CB171" i="182"/>
  <c r="GF171" i="182"/>
  <c r="CN171" i="182"/>
  <c r="AR171" i="182"/>
  <c r="CH171" i="182"/>
  <c r="BJ171" i="182"/>
  <c r="AX171" i="182"/>
  <c r="BD171" i="182"/>
  <c r="BP171" i="182"/>
  <c r="AL171" i="182"/>
  <c r="CT215" i="182"/>
  <c r="Z215" i="182"/>
  <c r="BP215" i="182"/>
  <c r="CB215" i="182"/>
  <c r="AX215" i="182"/>
  <c r="BV215" i="182"/>
  <c r="GF215" i="182"/>
  <c r="AR215" i="182"/>
  <c r="CH215" i="182"/>
  <c r="DX215" i="182"/>
  <c r="FB215" i="182"/>
  <c r="AF215" i="182"/>
  <c r="BJ215" i="182"/>
  <c r="CN215" i="182"/>
  <c r="AL215" i="182"/>
  <c r="BD215" i="182"/>
  <c r="AU152" i="181"/>
  <c r="CK152" i="181"/>
  <c r="DU152" i="181"/>
  <c r="AC152" i="181"/>
  <c r="GC152" i="181"/>
  <c r="CE152" i="181"/>
  <c r="BM152" i="181"/>
  <c r="EY152" i="181"/>
  <c r="AI152" i="181"/>
  <c r="CQ152" i="181"/>
  <c r="BA152" i="181"/>
  <c r="W152" i="181"/>
  <c r="BY152" i="181"/>
  <c r="BS152" i="181"/>
  <c r="AO152" i="181"/>
  <c r="BG152" i="181"/>
  <c r="CL87" i="181"/>
  <c r="BH87" i="181"/>
  <c r="DV87" i="181"/>
  <c r="AD87" i="181"/>
  <c r="BT87" i="181"/>
  <c r="GD87" i="181"/>
  <c r="AP87" i="181"/>
  <c r="CF87" i="181"/>
  <c r="BB87" i="181"/>
  <c r="CR87" i="181"/>
  <c r="X87" i="181"/>
  <c r="BN87" i="181"/>
  <c r="EZ87" i="181"/>
  <c r="AJ87" i="181"/>
  <c r="BZ87" i="181"/>
  <c r="AV87" i="181"/>
  <c r="BT169" i="181"/>
  <c r="AV169" i="181"/>
  <c r="BH169" i="181"/>
  <c r="AP169" i="181"/>
  <c r="X169" i="181"/>
  <c r="GD169" i="181"/>
  <c r="CR169" i="181"/>
  <c r="BZ169" i="181"/>
  <c r="BB169" i="181"/>
  <c r="AJ169" i="181"/>
  <c r="CL169" i="181"/>
  <c r="CF169" i="181"/>
  <c r="BN169" i="181"/>
  <c r="EZ169" i="181"/>
  <c r="DV169" i="181"/>
  <c r="AD169" i="181"/>
  <c r="AW121" i="181"/>
  <c r="CM121" i="181"/>
  <c r="BI121" i="181"/>
  <c r="DW121" i="181"/>
  <c r="AE121" i="181"/>
  <c r="GE121" i="181"/>
  <c r="AQ121" i="181"/>
  <c r="CG121" i="181"/>
  <c r="BC121" i="181"/>
  <c r="BO121" i="181"/>
  <c r="FA121" i="181"/>
  <c r="AK121" i="181"/>
  <c r="CS121" i="181"/>
  <c r="CA121" i="181"/>
  <c r="BU121" i="181"/>
  <c r="Y121" i="181"/>
  <c r="BO205" i="181"/>
  <c r="FA205" i="181"/>
  <c r="DW205" i="181"/>
  <c r="AE205" i="181"/>
  <c r="GE205" i="181"/>
  <c r="AQ205" i="181"/>
  <c r="BI205" i="181"/>
  <c r="AK205" i="181"/>
  <c r="BC205" i="181"/>
  <c r="CS205" i="181"/>
  <c r="BU205" i="181"/>
  <c r="AW205" i="181"/>
  <c r="CG205" i="181"/>
  <c r="Y205" i="181"/>
  <c r="CM205" i="181"/>
  <c r="CA205" i="181"/>
  <c r="GD115" i="181"/>
  <c r="AP115" i="181"/>
  <c r="CF115" i="181"/>
  <c r="BB115" i="181"/>
  <c r="CR115" i="181"/>
  <c r="X115" i="181"/>
  <c r="EZ115" i="181"/>
  <c r="AJ115" i="181"/>
  <c r="BZ115" i="181"/>
  <c r="AV115" i="181"/>
  <c r="BH115" i="181"/>
  <c r="DV115" i="181"/>
  <c r="AD115" i="181"/>
  <c r="CL115" i="181"/>
  <c r="BN115" i="181"/>
  <c r="BT115" i="181"/>
  <c r="BJ197" i="181"/>
  <c r="DX197" i="181"/>
  <c r="AF197" i="181"/>
  <c r="GF197" i="181"/>
  <c r="AR197" i="181"/>
  <c r="BD197" i="181"/>
  <c r="CT197" i="181"/>
  <c r="Z197" i="181"/>
  <c r="FB197" i="181"/>
  <c r="CB197" i="181"/>
  <c r="AX197" i="181"/>
  <c r="BP197" i="181"/>
  <c r="CH197" i="181"/>
  <c r="BV197" i="181"/>
  <c r="CN197" i="181"/>
  <c r="AL197" i="181"/>
  <c r="CQ147" i="181"/>
  <c r="W147" i="181"/>
  <c r="BS147" i="181"/>
  <c r="CK147" i="181"/>
  <c r="BA147" i="181"/>
  <c r="AI147" i="181"/>
  <c r="AU147" i="181"/>
  <c r="AC147" i="181"/>
  <c r="GC147" i="181"/>
  <c r="BG147" i="181"/>
  <c r="AO147" i="181"/>
  <c r="EY147" i="181"/>
  <c r="DU147" i="181"/>
  <c r="CE147" i="181"/>
  <c r="BY147" i="181"/>
  <c r="BM147" i="181"/>
  <c r="BA57" i="181"/>
  <c r="CQ57" i="181"/>
  <c r="AC57" i="181"/>
  <c r="BY57" i="181"/>
  <c r="GC57" i="181"/>
  <c r="BG57" i="181"/>
  <c r="AO57" i="181"/>
  <c r="W57" i="181"/>
  <c r="EY57" i="181"/>
  <c r="CK57" i="181"/>
  <c r="BS57" i="181"/>
  <c r="AI57" i="181"/>
  <c r="CE57" i="181"/>
  <c r="AU57" i="181"/>
  <c r="DU57" i="181"/>
  <c r="BM57" i="181"/>
  <c r="BA137" i="181"/>
  <c r="DU137" i="181"/>
  <c r="AC137" i="181"/>
  <c r="AU137" i="181"/>
  <c r="GC137" i="181"/>
  <c r="CQ137" i="181"/>
  <c r="BY137" i="181"/>
  <c r="EY137" i="181"/>
  <c r="CK137" i="181"/>
  <c r="BS137" i="181"/>
  <c r="AI137" i="181"/>
  <c r="W137" i="181"/>
  <c r="BM137" i="181"/>
  <c r="CE137" i="181"/>
  <c r="AO137" i="181"/>
  <c r="BG137" i="181"/>
  <c r="BB48" i="181"/>
  <c r="CF48" i="181"/>
  <c r="CR48" i="181"/>
  <c r="X48" i="181"/>
  <c r="BN48" i="181"/>
  <c r="EZ48" i="181"/>
  <c r="AJ48" i="181"/>
  <c r="BZ48" i="181"/>
  <c r="AV48" i="181"/>
  <c r="CL48" i="181"/>
  <c r="BH48" i="181"/>
  <c r="DV48" i="181"/>
  <c r="AD48" i="181"/>
  <c r="BT48" i="181"/>
  <c r="GD48" i="181"/>
  <c r="AP48" i="181"/>
  <c r="AW85" i="181"/>
  <c r="CM85" i="181"/>
  <c r="BI85" i="181"/>
  <c r="DW85" i="181"/>
  <c r="AE85" i="181"/>
  <c r="BU85" i="181"/>
  <c r="GE85" i="181"/>
  <c r="AQ85" i="181"/>
  <c r="CG85" i="181"/>
  <c r="BC85" i="181"/>
  <c r="CS85" i="181"/>
  <c r="Y85" i="181"/>
  <c r="BO85" i="181"/>
  <c r="FA85" i="181"/>
  <c r="AK85" i="181"/>
  <c r="CA85" i="181"/>
  <c r="DW167" i="181"/>
  <c r="AE167" i="181"/>
  <c r="CM167" i="181"/>
  <c r="GE167" i="181"/>
  <c r="CS167" i="181"/>
  <c r="Y167" i="181"/>
  <c r="FA167" i="181"/>
  <c r="BU167" i="181"/>
  <c r="BC167" i="181"/>
  <c r="AK167" i="181"/>
  <c r="CG167" i="181"/>
  <c r="BO167" i="181"/>
  <c r="BI167" i="181"/>
  <c r="AW167" i="181"/>
  <c r="AQ167" i="181"/>
  <c r="CA167" i="181"/>
  <c r="CN75" i="181"/>
  <c r="FB75" i="181"/>
  <c r="BV75" i="181"/>
  <c r="Z75" i="181"/>
  <c r="BD75" i="181"/>
  <c r="DX75" i="181"/>
  <c r="CH75" i="181"/>
  <c r="AL75" i="181"/>
  <c r="BP75" i="181"/>
  <c r="GF75" i="181"/>
  <c r="AX75" i="181"/>
  <c r="CT75" i="181"/>
  <c r="AF75" i="181"/>
  <c r="CB75" i="181"/>
  <c r="BJ75" i="181"/>
  <c r="AR75" i="181"/>
  <c r="CF157" i="181"/>
  <c r="BB157" i="181"/>
  <c r="BN157" i="181"/>
  <c r="BZ157" i="181"/>
  <c r="AV157" i="181"/>
  <c r="CL157" i="181"/>
  <c r="DV157" i="181"/>
  <c r="AD157" i="181"/>
  <c r="BT157" i="181"/>
  <c r="EZ157" i="181"/>
  <c r="AP157" i="181"/>
  <c r="BH157" i="181"/>
  <c r="GD157" i="181"/>
  <c r="CR157" i="181"/>
  <c r="X157" i="181"/>
  <c r="AJ157" i="181"/>
  <c r="FB66" i="181"/>
  <c r="AL66" i="181"/>
  <c r="CB66" i="181"/>
  <c r="AX66" i="181"/>
  <c r="CN66" i="181"/>
  <c r="BJ66" i="181"/>
  <c r="DX66" i="181"/>
  <c r="AF66" i="181"/>
  <c r="BV66" i="181"/>
  <c r="GF66" i="181"/>
  <c r="AR66" i="181"/>
  <c r="CH66" i="181"/>
  <c r="BD66" i="181"/>
  <c r="CT66" i="181"/>
  <c r="Z66" i="181"/>
  <c r="BP66" i="181"/>
  <c r="GF105" i="181"/>
  <c r="CH105" i="181"/>
  <c r="BD105" i="181"/>
  <c r="CT105" i="181"/>
  <c r="Z105" i="181"/>
  <c r="BP105" i="181"/>
  <c r="CB105" i="181"/>
  <c r="AX105" i="181"/>
  <c r="CN105" i="181"/>
  <c r="DX105" i="181"/>
  <c r="AF105" i="181"/>
  <c r="BV105" i="181"/>
  <c r="AR105" i="181"/>
  <c r="FB105" i="181"/>
  <c r="AL105" i="181"/>
  <c r="BJ105" i="181"/>
  <c r="BA175" i="181"/>
  <c r="GC175" i="181"/>
  <c r="CE175" i="181"/>
  <c r="AI175" i="181"/>
  <c r="CQ175" i="181"/>
  <c r="EY175" i="181"/>
  <c r="BY175" i="181"/>
  <c r="AC175" i="181"/>
  <c r="CK175" i="181"/>
  <c r="AO175" i="181"/>
  <c r="DU175" i="181"/>
  <c r="BS175" i="181"/>
  <c r="BG175" i="181"/>
  <c r="W175" i="181"/>
  <c r="BM175" i="181"/>
  <c r="AU175" i="181"/>
  <c r="DW103" i="181"/>
  <c r="AE103" i="181"/>
  <c r="BU103" i="181"/>
  <c r="GE103" i="181"/>
  <c r="AQ103" i="181"/>
  <c r="CG103" i="181"/>
  <c r="CS103" i="181"/>
  <c r="Y103" i="181"/>
  <c r="BO103" i="181"/>
  <c r="FA103" i="181"/>
  <c r="AK103" i="181"/>
  <c r="AW103" i="181"/>
  <c r="CM103" i="181"/>
  <c r="CA103" i="181"/>
  <c r="BI103" i="181"/>
  <c r="BC103" i="181"/>
  <c r="AU87" i="181"/>
  <c r="CK87" i="181"/>
  <c r="BG87" i="181"/>
  <c r="DU87" i="181"/>
  <c r="AC87" i="181"/>
  <c r="BS87" i="181"/>
  <c r="GC87" i="181"/>
  <c r="AO87" i="181"/>
  <c r="CE87" i="181"/>
  <c r="BA87" i="181"/>
  <c r="CQ87" i="181"/>
  <c r="W87" i="181"/>
  <c r="BM87" i="181"/>
  <c r="EY87" i="181"/>
  <c r="AI87" i="181"/>
  <c r="BY87" i="181"/>
  <c r="CQ67" i="181"/>
  <c r="W67" i="181"/>
  <c r="BM67" i="181"/>
  <c r="EY67" i="181"/>
  <c r="AI67" i="181"/>
  <c r="BY67" i="181"/>
  <c r="AU67" i="181"/>
  <c r="CK67" i="181"/>
  <c r="BG67" i="181"/>
  <c r="DU67" i="181"/>
  <c r="AC67" i="181"/>
  <c r="BS67" i="181"/>
  <c r="GC67" i="181"/>
  <c r="AO67" i="181"/>
  <c r="CE67" i="181"/>
  <c r="BA67" i="181"/>
  <c r="AU58" i="181"/>
  <c r="CQ58" i="181"/>
  <c r="W58" i="181"/>
  <c r="BM58" i="181"/>
  <c r="CK58" i="181"/>
  <c r="BS58" i="181"/>
  <c r="BA58" i="181"/>
  <c r="EY58" i="181"/>
  <c r="AC58" i="181"/>
  <c r="DU58" i="181"/>
  <c r="CE58" i="181"/>
  <c r="BG58" i="181"/>
  <c r="AO58" i="181"/>
  <c r="BY58" i="181"/>
  <c r="GC58" i="181"/>
  <c r="AI58" i="181"/>
  <c r="CQ194" i="181"/>
  <c r="W194" i="181"/>
  <c r="GC194" i="181"/>
  <c r="AO194" i="181"/>
  <c r="AC194" i="181"/>
  <c r="BG194" i="181"/>
  <c r="EY194" i="181"/>
  <c r="CK194" i="181"/>
  <c r="DU194" i="181"/>
  <c r="CE194" i="181"/>
  <c r="BM194" i="181"/>
  <c r="AU194" i="181"/>
  <c r="AI194" i="181"/>
  <c r="BY194" i="181"/>
  <c r="BS194" i="181"/>
  <c r="BA194" i="181"/>
  <c r="CK124" i="181"/>
  <c r="BG124" i="181"/>
  <c r="DU124" i="181"/>
  <c r="AC124" i="181"/>
  <c r="BS124" i="181"/>
  <c r="CE124" i="181"/>
  <c r="BA124" i="181"/>
  <c r="CQ124" i="181"/>
  <c r="W124" i="181"/>
  <c r="EY124" i="181"/>
  <c r="AI124" i="181"/>
  <c r="BY124" i="181"/>
  <c r="AU124" i="181"/>
  <c r="GC124" i="181"/>
  <c r="AO124" i="181"/>
  <c r="BM124" i="181"/>
  <c r="BY53" i="181"/>
  <c r="AU53" i="181"/>
  <c r="CK53" i="181"/>
  <c r="BG53" i="181"/>
  <c r="DU53" i="181"/>
  <c r="AC53" i="181"/>
  <c r="BS53" i="181"/>
  <c r="GC53" i="181"/>
  <c r="AO53" i="181"/>
  <c r="CE53" i="181"/>
  <c r="BA53" i="181"/>
  <c r="CQ53" i="181"/>
  <c r="W53" i="181"/>
  <c r="EY53" i="181"/>
  <c r="BM53" i="181"/>
  <c r="AI53" i="181"/>
  <c r="BU91" i="181"/>
  <c r="AW91" i="181"/>
  <c r="CM91" i="181"/>
  <c r="DW91" i="181"/>
  <c r="CG91" i="181"/>
  <c r="AE91" i="181"/>
  <c r="BO91" i="181"/>
  <c r="BI91" i="181"/>
  <c r="AQ91" i="181"/>
  <c r="GE91" i="181"/>
  <c r="CS91" i="181"/>
  <c r="CA91" i="181"/>
  <c r="Y91" i="181"/>
  <c r="BC91" i="181"/>
  <c r="FA91" i="181"/>
  <c r="AK91" i="181"/>
  <c r="BJ131" i="181"/>
  <c r="DX131" i="181"/>
  <c r="AF131" i="181"/>
  <c r="BV131" i="181"/>
  <c r="GF131" i="181"/>
  <c r="AR131" i="181"/>
  <c r="BD131" i="181"/>
  <c r="CT131" i="181"/>
  <c r="Z131" i="181"/>
  <c r="BP131" i="181"/>
  <c r="CB131" i="181"/>
  <c r="AX131" i="181"/>
  <c r="CN131" i="181"/>
  <c r="CH131" i="181"/>
  <c r="FB131" i="181"/>
  <c r="AL131" i="181"/>
  <c r="BB172" i="181"/>
  <c r="CR172" i="181"/>
  <c r="X172" i="181"/>
  <c r="EZ172" i="181"/>
  <c r="AJ172" i="181"/>
  <c r="CL172" i="181"/>
  <c r="DV172" i="181"/>
  <c r="AD172" i="181"/>
  <c r="BT172" i="181"/>
  <c r="GD172" i="181"/>
  <c r="AP172" i="181"/>
  <c r="CF172" i="181"/>
  <c r="AV172" i="181"/>
  <c r="BN172" i="181"/>
  <c r="BH172" i="181"/>
  <c r="BZ172" i="181"/>
  <c r="CF47" i="181"/>
  <c r="BB47" i="181"/>
  <c r="AP47" i="181"/>
  <c r="CR47" i="181"/>
  <c r="X47" i="181"/>
  <c r="BN47" i="181"/>
  <c r="EZ47" i="181"/>
  <c r="AJ47" i="181"/>
  <c r="BZ47" i="181"/>
  <c r="GD47" i="181"/>
  <c r="AV47" i="181"/>
  <c r="CL47" i="181"/>
  <c r="BH47" i="181"/>
  <c r="DV47" i="181"/>
  <c r="AD47" i="181"/>
  <c r="BT47" i="181"/>
  <c r="CA84" i="181"/>
  <c r="AW84" i="181"/>
  <c r="CM84" i="181"/>
  <c r="BI84" i="181"/>
  <c r="DW84" i="181"/>
  <c r="BU84" i="181"/>
  <c r="GE84" i="181"/>
  <c r="AQ84" i="181"/>
  <c r="CG84" i="181"/>
  <c r="BC84" i="181"/>
  <c r="CS84" i="181"/>
  <c r="Y84" i="181"/>
  <c r="BO84" i="181"/>
  <c r="AK84" i="181"/>
  <c r="AE84" i="181"/>
  <c r="FA84" i="181"/>
  <c r="BV124" i="181"/>
  <c r="GF124" i="181"/>
  <c r="AR124" i="181"/>
  <c r="CH124" i="181"/>
  <c r="BD124" i="181"/>
  <c r="BP124" i="181"/>
  <c r="FB124" i="181"/>
  <c r="AL124" i="181"/>
  <c r="CB124" i="181"/>
  <c r="CN124" i="181"/>
  <c r="BJ124" i="181"/>
  <c r="AX124" i="181"/>
  <c r="CT124" i="181"/>
  <c r="Z124" i="181"/>
  <c r="DX124" i="181"/>
  <c r="AF124" i="181"/>
  <c r="BI166" i="181"/>
  <c r="AW166" i="181"/>
  <c r="GE166" i="181"/>
  <c r="BO166" i="181"/>
  <c r="AE166" i="181"/>
  <c r="CS166" i="181"/>
  <c r="CA166" i="181"/>
  <c r="FA166" i="181"/>
  <c r="CM166" i="181"/>
  <c r="Y166" i="181"/>
  <c r="BU166" i="181"/>
  <c r="AK166" i="181"/>
  <c r="CG166" i="181"/>
  <c r="BC166" i="181"/>
  <c r="AQ166" i="181"/>
  <c r="DW166" i="181"/>
  <c r="BY209" i="181"/>
  <c r="AU209" i="181"/>
  <c r="BG209" i="181"/>
  <c r="BS209" i="181"/>
  <c r="GC209" i="181"/>
  <c r="AO209" i="181"/>
  <c r="BA209" i="181"/>
  <c r="CQ209" i="181"/>
  <c r="W209" i="181"/>
  <c r="BM209" i="181"/>
  <c r="DU209" i="181"/>
  <c r="AI209" i="181"/>
  <c r="CK209" i="181"/>
  <c r="CE209" i="181"/>
  <c r="EY209" i="181"/>
  <c r="AC209" i="181"/>
  <c r="BJ77" i="181"/>
  <c r="DX77" i="181"/>
  <c r="AF77" i="181"/>
  <c r="FB77" i="181"/>
  <c r="BV77" i="181"/>
  <c r="CN77" i="181"/>
  <c r="BD77" i="181"/>
  <c r="AL77" i="181"/>
  <c r="CH77" i="181"/>
  <c r="BP77" i="181"/>
  <c r="AX77" i="181"/>
  <c r="GF77" i="181"/>
  <c r="CT77" i="181"/>
  <c r="CB77" i="181"/>
  <c r="AR77" i="181"/>
  <c r="Z77" i="181"/>
  <c r="BO118" i="181"/>
  <c r="FA118" i="181"/>
  <c r="AK118" i="181"/>
  <c r="CA118" i="181"/>
  <c r="AW118" i="181"/>
  <c r="BI118" i="181"/>
  <c r="DW118" i="181"/>
  <c r="AE118" i="181"/>
  <c r="BU118" i="181"/>
  <c r="CG118" i="181"/>
  <c r="BC118" i="181"/>
  <c r="AQ118" i="181"/>
  <c r="CS118" i="181"/>
  <c r="CM118" i="181"/>
  <c r="GE118" i="181"/>
  <c r="Y118" i="181"/>
  <c r="BM160" i="181"/>
  <c r="GC160" i="181"/>
  <c r="AO160" i="181"/>
  <c r="DU160" i="181"/>
  <c r="CE160" i="181"/>
  <c r="AU160" i="181"/>
  <c r="BG160" i="181"/>
  <c r="W160" i="181"/>
  <c r="EY160" i="181"/>
  <c r="BS160" i="181"/>
  <c r="BA160" i="181"/>
  <c r="AI160" i="181"/>
  <c r="CQ160" i="181"/>
  <c r="BY160" i="181"/>
  <c r="AC160" i="181"/>
  <c r="CK160" i="181"/>
  <c r="GF200" i="181"/>
  <c r="AR200" i="181"/>
  <c r="CB200" i="181"/>
  <c r="FB200" i="181"/>
  <c r="AF200" i="181"/>
  <c r="CN200" i="181"/>
  <c r="BV200" i="181"/>
  <c r="Z200" i="181"/>
  <c r="DX200" i="181"/>
  <c r="BD200" i="181"/>
  <c r="AL200" i="181"/>
  <c r="BP200" i="181"/>
  <c r="CT200" i="181"/>
  <c r="CH200" i="181"/>
  <c r="BJ200" i="181"/>
  <c r="AX200" i="181"/>
  <c r="AX68" i="181"/>
  <c r="CN68" i="181"/>
  <c r="BJ68" i="181"/>
  <c r="DX68" i="181"/>
  <c r="AF68" i="181"/>
  <c r="BV68" i="181"/>
  <c r="GF68" i="181"/>
  <c r="AR68" i="181"/>
  <c r="CH68" i="181"/>
  <c r="BD68" i="181"/>
  <c r="CT68" i="181"/>
  <c r="Z68" i="181"/>
  <c r="BP68" i="181"/>
  <c r="FB68" i="181"/>
  <c r="AL68" i="181"/>
  <c r="CB68" i="181"/>
  <c r="EY108" i="181"/>
  <c r="AI108" i="181"/>
  <c r="CE108" i="181"/>
  <c r="BA108" i="181"/>
  <c r="CQ108" i="181"/>
  <c r="BY108" i="181"/>
  <c r="BG108" i="181"/>
  <c r="W108" i="181"/>
  <c r="GC108" i="181"/>
  <c r="AO108" i="181"/>
  <c r="BS108" i="181"/>
  <c r="DU108" i="181"/>
  <c r="AU108" i="181"/>
  <c r="CK108" i="181"/>
  <c r="AC108" i="181"/>
  <c r="BM108" i="181"/>
  <c r="EY150" i="181"/>
  <c r="AI150" i="181"/>
  <c r="BY150" i="181"/>
  <c r="BA150" i="181"/>
  <c r="CQ150" i="181"/>
  <c r="W150" i="181"/>
  <c r="BM150" i="181"/>
  <c r="AO150" i="181"/>
  <c r="DU150" i="181"/>
  <c r="AC150" i="181"/>
  <c r="BS150" i="181"/>
  <c r="AU150" i="181"/>
  <c r="BG150" i="181"/>
  <c r="CE150" i="181"/>
  <c r="CK150" i="181"/>
  <c r="GC150" i="181"/>
  <c r="CE192" i="181"/>
  <c r="AO192" i="181"/>
  <c r="BS192" i="181"/>
  <c r="W192" i="181"/>
  <c r="GC192" i="181"/>
  <c r="BM192" i="181"/>
  <c r="CQ192" i="181"/>
  <c r="BY192" i="181"/>
  <c r="BG192" i="181"/>
  <c r="AI192" i="181"/>
  <c r="AC192" i="181"/>
  <c r="DU192" i="181"/>
  <c r="BA192" i="181"/>
  <c r="CK192" i="181"/>
  <c r="AU192" i="181"/>
  <c r="EY192" i="181"/>
  <c r="CK60" i="181"/>
  <c r="BG60" i="181"/>
  <c r="DU60" i="181"/>
  <c r="AC60" i="181"/>
  <c r="EY60" i="181"/>
  <c r="AI60" i="181"/>
  <c r="BY60" i="181"/>
  <c r="BA60" i="181"/>
  <c r="BS60" i="181"/>
  <c r="CQ60" i="181"/>
  <c r="AU60" i="181"/>
  <c r="GC60" i="181"/>
  <c r="W60" i="181"/>
  <c r="CE60" i="181"/>
  <c r="BM60" i="181"/>
  <c r="AO60" i="181"/>
  <c r="CB98" i="181"/>
  <c r="AX98" i="181"/>
  <c r="CN98" i="181"/>
  <c r="BJ98" i="181"/>
  <c r="BV98" i="181"/>
  <c r="GF98" i="181"/>
  <c r="AR98" i="181"/>
  <c r="CH98" i="181"/>
  <c r="CT98" i="181"/>
  <c r="Z98" i="181"/>
  <c r="BP98" i="181"/>
  <c r="BD98" i="181"/>
  <c r="FB98" i="181"/>
  <c r="DX98" i="181"/>
  <c r="AL98" i="181"/>
  <c r="AF98" i="181"/>
  <c r="EZ140" i="181"/>
  <c r="BZ140" i="181"/>
  <c r="CL140" i="181"/>
  <c r="DV140" i="181"/>
  <c r="BB140" i="181"/>
  <c r="GD140" i="181"/>
  <c r="AJ140" i="181"/>
  <c r="BN140" i="181"/>
  <c r="AD140" i="181"/>
  <c r="BH140" i="181"/>
  <c r="CR140" i="181"/>
  <c r="AV140" i="181"/>
  <c r="CF140" i="181"/>
  <c r="AP140" i="181"/>
  <c r="BT140" i="181"/>
  <c r="X140" i="181"/>
  <c r="BJ179" i="181"/>
  <c r="FB179" i="181"/>
  <c r="AL179" i="181"/>
  <c r="CH179" i="181"/>
  <c r="BP179" i="181"/>
  <c r="AX179" i="181"/>
  <c r="AF179" i="181"/>
  <c r="GF179" i="181"/>
  <c r="AR179" i="181"/>
  <c r="Z179" i="181"/>
  <c r="CN179" i="181"/>
  <c r="BV179" i="181"/>
  <c r="BD179" i="181"/>
  <c r="CT179" i="181"/>
  <c r="CB179" i="181"/>
  <c r="DX179" i="181"/>
  <c r="EZ51" i="181"/>
  <c r="AJ51" i="181"/>
  <c r="BZ51" i="181"/>
  <c r="AV51" i="181"/>
  <c r="CL51" i="181"/>
  <c r="BH51" i="181"/>
  <c r="DV51" i="181"/>
  <c r="AD51" i="181"/>
  <c r="BT51" i="181"/>
  <c r="GD51" i="181"/>
  <c r="AP51" i="181"/>
  <c r="CF51" i="181"/>
  <c r="BB51" i="181"/>
  <c r="CR51" i="181"/>
  <c r="X51" i="181"/>
  <c r="BN51" i="181"/>
  <c r="DW88" i="181"/>
  <c r="CM88" i="181"/>
  <c r="AE88" i="181"/>
  <c r="BU88" i="181"/>
  <c r="AQ88" i="181"/>
  <c r="CG88" i="181"/>
  <c r="BC88" i="181"/>
  <c r="GE88" i="181"/>
  <c r="Y88" i="181"/>
  <c r="BO88" i="181"/>
  <c r="CS88" i="181"/>
  <c r="AK88" i="181"/>
  <c r="CA88" i="181"/>
  <c r="AW88" i="181"/>
  <c r="FA88" i="181"/>
  <c r="BI88" i="181"/>
  <c r="BZ129" i="181"/>
  <c r="BB129" i="181"/>
  <c r="CR129" i="181"/>
  <c r="X129" i="181"/>
  <c r="DV129" i="181"/>
  <c r="BN129" i="181"/>
  <c r="AV129" i="181"/>
  <c r="AD129" i="181"/>
  <c r="CF129" i="181"/>
  <c r="GD129" i="181"/>
  <c r="AP129" i="181"/>
  <c r="EZ129" i="181"/>
  <c r="BH129" i="181"/>
  <c r="AJ129" i="181"/>
  <c r="BT129" i="181"/>
  <c r="CL129" i="181"/>
  <c r="CG170" i="181"/>
  <c r="BO170" i="181"/>
  <c r="BI170" i="181"/>
  <c r="DW170" i="181"/>
  <c r="BU170" i="181"/>
  <c r="AK170" i="181"/>
  <c r="GE170" i="181"/>
  <c r="FA170" i="181"/>
  <c r="CA170" i="181"/>
  <c r="AW170" i="181"/>
  <c r="CS170" i="181"/>
  <c r="Y170" i="181"/>
  <c r="CM170" i="181"/>
  <c r="AE170" i="181"/>
  <c r="BC170" i="181"/>
  <c r="AQ170" i="181"/>
  <c r="BS214" i="181"/>
  <c r="BA214" i="181"/>
  <c r="CQ214" i="181"/>
  <c r="W214" i="181"/>
  <c r="BM214" i="181"/>
  <c r="EY214" i="181"/>
  <c r="AI214" i="181"/>
  <c r="BY214" i="181"/>
  <c r="CK214" i="181"/>
  <c r="BG214" i="181"/>
  <c r="DU214" i="181"/>
  <c r="AU214" i="181"/>
  <c r="GC214" i="181"/>
  <c r="AO214" i="181"/>
  <c r="AC214" i="181"/>
  <c r="CE214" i="181"/>
  <c r="DX78" i="181"/>
  <c r="AF78" i="181"/>
  <c r="BV78" i="181"/>
  <c r="FB78" i="181"/>
  <c r="CN78" i="181"/>
  <c r="BD78" i="181"/>
  <c r="AL78" i="181"/>
  <c r="CH78" i="181"/>
  <c r="BP78" i="181"/>
  <c r="AX78" i="181"/>
  <c r="GF78" i="181"/>
  <c r="CT78" i="181"/>
  <c r="CB78" i="181"/>
  <c r="AR78" i="181"/>
  <c r="Z78" i="181"/>
  <c r="BJ78" i="181"/>
  <c r="FA119" i="181"/>
  <c r="AK119" i="181"/>
  <c r="CA119" i="181"/>
  <c r="AW119" i="181"/>
  <c r="CM119" i="181"/>
  <c r="DW119" i="181"/>
  <c r="AE119" i="181"/>
  <c r="BU119" i="181"/>
  <c r="GE119" i="181"/>
  <c r="AQ119" i="181"/>
  <c r="BC119" i="181"/>
  <c r="CS119" i="181"/>
  <c r="Y119" i="181"/>
  <c r="BI119" i="181"/>
  <c r="CG119" i="181"/>
  <c r="BO119" i="181"/>
  <c r="EY161" i="181"/>
  <c r="AI161" i="181"/>
  <c r="CE161" i="181"/>
  <c r="BM161" i="181"/>
  <c r="AU161" i="181"/>
  <c r="BY161" i="181"/>
  <c r="BG161" i="181"/>
  <c r="CQ161" i="181"/>
  <c r="AO161" i="181"/>
  <c r="W161" i="181"/>
  <c r="GC161" i="181"/>
  <c r="BS161" i="181"/>
  <c r="BA161" i="181"/>
  <c r="CK161" i="181"/>
  <c r="DU161" i="181"/>
  <c r="AC161" i="181"/>
  <c r="CH201" i="181"/>
  <c r="DX201" i="181"/>
  <c r="BD201" i="181"/>
  <c r="GF201" i="181"/>
  <c r="BP201" i="181"/>
  <c r="AX201" i="181"/>
  <c r="CB201" i="181"/>
  <c r="BJ201" i="181"/>
  <c r="CN201" i="181"/>
  <c r="AR201" i="181"/>
  <c r="AF201" i="181"/>
  <c r="BV201" i="181"/>
  <c r="Z201" i="181"/>
  <c r="AL201" i="181"/>
  <c r="FB201" i="181"/>
  <c r="CT201" i="181"/>
  <c r="CN69" i="181"/>
  <c r="BJ69" i="181"/>
  <c r="DX69" i="181"/>
  <c r="AF69" i="181"/>
  <c r="BV69" i="181"/>
  <c r="GF69" i="181"/>
  <c r="AR69" i="181"/>
  <c r="CH69" i="181"/>
  <c r="BD69" i="181"/>
  <c r="CT69" i="181"/>
  <c r="Z69" i="181"/>
  <c r="BP69" i="181"/>
  <c r="FB69" i="181"/>
  <c r="AL69" i="181"/>
  <c r="CB69" i="181"/>
  <c r="AX69" i="181"/>
  <c r="CM109" i="181"/>
  <c r="BO109" i="181"/>
  <c r="FA109" i="181"/>
  <c r="AK109" i="181"/>
  <c r="CA109" i="181"/>
  <c r="BI109" i="181"/>
  <c r="CS109" i="181"/>
  <c r="AQ109" i="181"/>
  <c r="Y109" i="181"/>
  <c r="BU109" i="181"/>
  <c r="BC109" i="181"/>
  <c r="DW109" i="181"/>
  <c r="AW109" i="181"/>
  <c r="AE109" i="181"/>
  <c r="CG109" i="181"/>
  <c r="GE109" i="181"/>
  <c r="BY151" i="181"/>
  <c r="AU151" i="181"/>
  <c r="BG151" i="181"/>
  <c r="GC151" i="181"/>
  <c r="AO151" i="181"/>
  <c r="CQ151" i="181"/>
  <c r="W151" i="181"/>
  <c r="BM151" i="181"/>
  <c r="AC151" i="181"/>
  <c r="CE151" i="181"/>
  <c r="EY151" i="181"/>
  <c r="DU151" i="181"/>
  <c r="BS151" i="181"/>
  <c r="AI151" i="181"/>
  <c r="CK151" i="181"/>
  <c r="BA151" i="181"/>
  <c r="BA193" i="181"/>
  <c r="GC193" i="181"/>
  <c r="CQ193" i="181"/>
  <c r="AU193" i="181"/>
  <c r="AC193" i="181"/>
  <c r="CK193" i="181"/>
  <c r="AO193" i="181"/>
  <c r="DU193" i="181"/>
  <c r="CE193" i="181"/>
  <c r="AI193" i="181"/>
  <c r="EY193" i="181"/>
  <c r="BG193" i="181"/>
  <c r="BS193" i="181"/>
  <c r="W193" i="181"/>
  <c r="BM193" i="181"/>
  <c r="BY193" i="181"/>
  <c r="BM120" i="181"/>
  <c r="EY120" i="181"/>
  <c r="AI120" i="181"/>
  <c r="BY120" i="181"/>
  <c r="AU120" i="181"/>
  <c r="BG120" i="181"/>
  <c r="DU120" i="181"/>
  <c r="AC120" i="181"/>
  <c r="BS120" i="181"/>
  <c r="CE120" i="181"/>
  <c r="BA120" i="181"/>
  <c r="GC120" i="181"/>
  <c r="AO120" i="181"/>
  <c r="CQ120" i="181"/>
  <c r="W120" i="181"/>
  <c r="CK120" i="181"/>
  <c r="AW161" i="181"/>
  <c r="BU161" i="181"/>
  <c r="CS161" i="181"/>
  <c r="Y161" i="181"/>
  <c r="CG161" i="181"/>
  <c r="AE161" i="181"/>
  <c r="DW161" i="181"/>
  <c r="BI161" i="181"/>
  <c r="GE161" i="181"/>
  <c r="FA161" i="181"/>
  <c r="AQ161" i="181"/>
  <c r="CA161" i="181"/>
  <c r="BO161" i="181"/>
  <c r="BC161" i="181"/>
  <c r="CM161" i="181"/>
  <c r="AK161" i="181"/>
  <c r="BB204" i="181"/>
  <c r="GD204" i="181"/>
  <c r="BN204" i="181"/>
  <c r="CR204" i="181"/>
  <c r="BZ204" i="181"/>
  <c r="BH204" i="181"/>
  <c r="CL204" i="181"/>
  <c r="BT204" i="181"/>
  <c r="X204" i="181"/>
  <c r="DV204" i="181"/>
  <c r="AV204" i="181"/>
  <c r="AP204" i="181"/>
  <c r="AD204" i="181"/>
  <c r="EZ204" i="181"/>
  <c r="AJ204" i="181"/>
  <c r="CF204" i="181"/>
  <c r="FA106" i="181"/>
  <c r="CG106" i="181"/>
  <c r="BC106" i="181"/>
  <c r="GE106" i="181"/>
  <c r="CA106" i="181"/>
  <c r="BI106" i="181"/>
  <c r="AQ106" i="181"/>
  <c r="CM106" i="181"/>
  <c r="Y106" i="181"/>
  <c r="BU106" i="181"/>
  <c r="AK106" i="181"/>
  <c r="AW106" i="181"/>
  <c r="BO106" i="181"/>
  <c r="AE106" i="181"/>
  <c r="DW106" i="181"/>
  <c r="CS106" i="181"/>
  <c r="CA148" i="181"/>
  <c r="BC148" i="181"/>
  <c r="CS148" i="181"/>
  <c r="GE148" i="181"/>
  <c r="AK148" i="181"/>
  <c r="FA148" i="181"/>
  <c r="BO148" i="181"/>
  <c r="AE148" i="181"/>
  <c r="DW148" i="181"/>
  <c r="CG148" i="181"/>
  <c r="BI148" i="181"/>
  <c r="AQ148" i="181"/>
  <c r="Y148" i="181"/>
  <c r="AW148" i="181"/>
  <c r="CM148" i="181"/>
  <c r="BU148" i="181"/>
  <c r="CM190" i="181"/>
  <c r="BI190" i="181"/>
  <c r="BU190" i="181"/>
  <c r="CA190" i="181"/>
  <c r="AK190" i="181"/>
  <c r="BC190" i="181"/>
  <c r="GE190" i="181"/>
  <c r="AW190" i="181"/>
  <c r="Y190" i="181"/>
  <c r="CG190" i="181"/>
  <c r="FA190" i="181"/>
  <c r="DW190" i="181"/>
  <c r="CS190" i="181"/>
  <c r="AE190" i="181"/>
  <c r="AQ190" i="181"/>
  <c r="BO190" i="181"/>
  <c r="BI58" i="181"/>
  <c r="FA58" i="181"/>
  <c r="AK58" i="181"/>
  <c r="CA58" i="181"/>
  <c r="CM58" i="181"/>
  <c r="AE58" i="181"/>
  <c r="AW58" i="181"/>
  <c r="DW58" i="181"/>
  <c r="CG58" i="181"/>
  <c r="BO58" i="181"/>
  <c r="AQ58" i="181"/>
  <c r="Y58" i="181"/>
  <c r="GE58" i="181"/>
  <c r="CS58" i="181"/>
  <c r="BC58" i="181"/>
  <c r="BU58" i="181"/>
  <c r="CR97" i="181"/>
  <c r="X97" i="181"/>
  <c r="BN97" i="181"/>
  <c r="EZ97" i="181"/>
  <c r="AJ97" i="181"/>
  <c r="BZ97" i="181"/>
  <c r="CL97" i="181"/>
  <c r="BH97" i="181"/>
  <c r="DV97" i="181"/>
  <c r="AD97" i="181"/>
  <c r="GD97" i="181"/>
  <c r="AP97" i="181"/>
  <c r="CF97" i="181"/>
  <c r="BT97" i="181"/>
  <c r="BB97" i="181"/>
  <c r="AV97" i="181"/>
  <c r="FA138" i="181"/>
  <c r="AK138" i="181"/>
  <c r="CG138" i="181"/>
  <c r="AE138" i="181"/>
  <c r="GE138" i="181"/>
  <c r="CS138" i="181"/>
  <c r="CA138" i="181"/>
  <c r="BI138" i="181"/>
  <c r="CM138" i="181"/>
  <c r="BU138" i="181"/>
  <c r="BC138" i="181"/>
  <c r="DW138" i="181"/>
  <c r="AW138" i="181"/>
  <c r="AQ138" i="181"/>
  <c r="Y138" i="181"/>
  <c r="BO138" i="181"/>
  <c r="BZ178" i="181"/>
  <c r="BB178" i="181"/>
  <c r="DV178" i="181"/>
  <c r="CF178" i="181"/>
  <c r="BN178" i="181"/>
  <c r="AV178" i="181"/>
  <c r="BH178" i="181"/>
  <c r="AP178" i="181"/>
  <c r="X178" i="181"/>
  <c r="EZ178" i="181"/>
  <c r="CL178" i="181"/>
  <c r="BT178" i="181"/>
  <c r="AJ178" i="181"/>
  <c r="GD178" i="181"/>
  <c r="AD178" i="181"/>
  <c r="CR178" i="181"/>
  <c r="CH93" i="181"/>
  <c r="BD93" i="181"/>
  <c r="BP93" i="181"/>
  <c r="CB93" i="181"/>
  <c r="DX93" i="181"/>
  <c r="AF93" i="181"/>
  <c r="BV93" i="181"/>
  <c r="CN93" i="181"/>
  <c r="BJ93" i="181"/>
  <c r="GF93" i="181"/>
  <c r="Z93" i="181"/>
  <c r="FB93" i="181"/>
  <c r="AX93" i="181"/>
  <c r="AR93" i="181"/>
  <c r="CT93" i="181"/>
  <c r="AL93" i="181"/>
  <c r="BM128" i="181"/>
  <c r="GC128" i="181"/>
  <c r="AO128" i="181"/>
  <c r="CE128" i="181"/>
  <c r="BY128" i="181"/>
  <c r="BG128" i="181"/>
  <c r="CQ128" i="181"/>
  <c r="AI128" i="181"/>
  <c r="BA128" i="181"/>
  <c r="EY128" i="181"/>
  <c r="CK128" i="181"/>
  <c r="BS128" i="181"/>
  <c r="AU128" i="181"/>
  <c r="AC128" i="181"/>
  <c r="DU128" i="181"/>
  <c r="W128" i="181"/>
  <c r="GF212" i="181"/>
  <c r="AR212" i="181"/>
  <c r="CT212" i="181"/>
  <c r="Z212" i="181"/>
  <c r="BP212" i="181"/>
  <c r="FB212" i="181"/>
  <c r="AL212" i="181"/>
  <c r="CB212" i="181"/>
  <c r="AX212" i="181"/>
  <c r="CN212" i="181"/>
  <c r="BJ212" i="181"/>
  <c r="DX212" i="181"/>
  <c r="AF212" i="181"/>
  <c r="BV212" i="181"/>
  <c r="BD212" i="181"/>
  <c r="CH212" i="181"/>
  <c r="AU163" i="181"/>
  <c r="BG163" i="181"/>
  <c r="BS163" i="181"/>
  <c r="GC163" i="181"/>
  <c r="AO163" i="181"/>
  <c r="CE163" i="181"/>
  <c r="CQ163" i="181"/>
  <c r="W163" i="181"/>
  <c r="BM163" i="181"/>
  <c r="AI163" i="181"/>
  <c r="AC163" i="181"/>
  <c r="CK163" i="181"/>
  <c r="BY163" i="181"/>
  <c r="EY163" i="181"/>
  <c r="DU163" i="181"/>
  <c r="BA163" i="181"/>
  <c r="CH74" i="181"/>
  <c r="BD74" i="181"/>
  <c r="CT74" i="181"/>
  <c r="Z74" i="181"/>
  <c r="BP74" i="181"/>
  <c r="FB74" i="181"/>
  <c r="AL74" i="181"/>
  <c r="CB74" i="181"/>
  <c r="AX74" i="181"/>
  <c r="CN74" i="181"/>
  <c r="BJ74" i="181"/>
  <c r="DX74" i="181"/>
  <c r="AF74" i="181"/>
  <c r="BV74" i="181"/>
  <c r="GF74" i="181"/>
  <c r="AR74" i="181"/>
  <c r="BS156" i="181"/>
  <c r="GC156" i="181"/>
  <c r="AO156" i="181"/>
  <c r="BA156" i="181"/>
  <c r="BM156" i="181"/>
  <c r="EY156" i="181"/>
  <c r="AI156" i="181"/>
  <c r="BY156" i="181"/>
  <c r="CK156" i="181"/>
  <c r="BG156" i="181"/>
  <c r="CE156" i="181"/>
  <c r="AU156" i="181"/>
  <c r="DU156" i="181"/>
  <c r="CQ156" i="181"/>
  <c r="AC156" i="181"/>
  <c r="W156" i="181"/>
  <c r="BP65" i="181"/>
  <c r="FB65" i="181"/>
  <c r="AL65" i="181"/>
  <c r="CB65" i="181"/>
  <c r="AX65" i="181"/>
  <c r="CN65" i="181"/>
  <c r="BJ65" i="181"/>
  <c r="DX65" i="181"/>
  <c r="AF65" i="181"/>
  <c r="BV65" i="181"/>
  <c r="GF65" i="181"/>
  <c r="AR65" i="181"/>
  <c r="CH65" i="181"/>
  <c r="BD65" i="181"/>
  <c r="CT65" i="181"/>
  <c r="Z65" i="181"/>
  <c r="EY189" i="181"/>
  <c r="AI189" i="181"/>
  <c r="BY189" i="181"/>
  <c r="CK189" i="181"/>
  <c r="CQ189" i="181"/>
  <c r="W189" i="181"/>
  <c r="BA189" i="181"/>
  <c r="BM189" i="181"/>
  <c r="AU189" i="181"/>
  <c r="DU189" i="181"/>
  <c r="BG189" i="181"/>
  <c r="CE189" i="181"/>
  <c r="AC189" i="181"/>
  <c r="BS189" i="181"/>
  <c r="AO189" i="181"/>
  <c r="GC189" i="181"/>
  <c r="CT95" i="181"/>
  <c r="Z95" i="181"/>
  <c r="BP95" i="181"/>
  <c r="FB95" i="181"/>
  <c r="AL95" i="181"/>
  <c r="CB95" i="181"/>
  <c r="CN95" i="181"/>
  <c r="BJ95" i="181"/>
  <c r="GF95" i="181"/>
  <c r="AR95" i="181"/>
  <c r="CH95" i="181"/>
  <c r="BV95" i="181"/>
  <c r="DX95" i="181"/>
  <c r="BD95" i="181"/>
  <c r="AX95" i="181"/>
  <c r="AF95" i="181"/>
  <c r="CB176" i="181"/>
  <c r="BV176" i="181"/>
  <c r="DX176" i="181"/>
  <c r="Z176" i="181"/>
  <c r="CH176" i="181"/>
  <c r="BP176" i="181"/>
  <c r="CT176" i="181"/>
  <c r="AX176" i="181"/>
  <c r="AF176" i="181"/>
  <c r="FB176" i="181"/>
  <c r="BJ176" i="181"/>
  <c r="CN176" i="181"/>
  <c r="AR176" i="181"/>
  <c r="GF176" i="181"/>
  <c r="BD176" i="181"/>
  <c r="AL176" i="181"/>
  <c r="AC126" i="181"/>
  <c r="BS126" i="181"/>
  <c r="AO126" i="181"/>
  <c r="DU126" i="181"/>
  <c r="W126" i="181"/>
  <c r="GC126" i="181"/>
  <c r="CQ126" i="181"/>
  <c r="BM126" i="181"/>
  <c r="AI126" i="181"/>
  <c r="AU126" i="181"/>
  <c r="EY126" i="181"/>
  <c r="CK126" i="181"/>
  <c r="CE126" i="181"/>
  <c r="BA126" i="181"/>
  <c r="BY126" i="181"/>
  <c r="BG126" i="181"/>
  <c r="GE210" i="181"/>
  <c r="AQ210" i="181"/>
  <c r="CG210" i="181"/>
  <c r="CS210" i="181"/>
  <c r="CA210" i="181"/>
  <c r="AE210" i="181"/>
  <c r="FA210" i="181"/>
  <c r="CM210" i="181"/>
  <c r="BU210" i="181"/>
  <c r="BC210" i="181"/>
  <c r="Y210" i="181"/>
  <c r="AK210" i="181"/>
  <c r="BO210" i="181"/>
  <c r="DW210" i="181"/>
  <c r="AW210" i="181"/>
  <c r="BI210" i="181"/>
  <c r="BC116" i="181"/>
  <c r="CS116" i="181"/>
  <c r="Y116" i="181"/>
  <c r="BO116" i="181"/>
  <c r="FA116" i="181"/>
  <c r="AK116" i="181"/>
  <c r="AW116" i="181"/>
  <c r="CM116" i="181"/>
  <c r="BI116" i="181"/>
  <c r="BU116" i="181"/>
  <c r="GE116" i="181"/>
  <c r="AQ116" i="181"/>
  <c r="AE116" i="181"/>
  <c r="CG116" i="181"/>
  <c r="CA116" i="181"/>
  <c r="DW116" i="181"/>
  <c r="DX198" i="181"/>
  <c r="AF198" i="181"/>
  <c r="BV198" i="181"/>
  <c r="CH198" i="181"/>
  <c r="CT198" i="181"/>
  <c r="Z198" i="181"/>
  <c r="BP198" i="181"/>
  <c r="CB198" i="181"/>
  <c r="AX198" i="181"/>
  <c r="CN198" i="181"/>
  <c r="AL198" i="181"/>
  <c r="BJ198" i="181"/>
  <c r="AR198" i="181"/>
  <c r="FB198" i="181"/>
  <c r="BD198" i="181"/>
  <c r="GF198" i="181"/>
  <c r="BM148" i="181"/>
  <c r="GC148" i="181"/>
  <c r="AO148" i="181"/>
  <c r="CE148" i="181"/>
  <c r="CQ148" i="181"/>
  <c r="AU148" i="181"/>
  <c r="AC148" i="181"/>
  <c r="DU148" i="181"/>
  <c r="EY148" i="181"/>
  <c r="AI148" i="181"/>
  <c r="BY148" i="181"/>
  <c r="W148" i="181"/>
  <c r="BG148" i="181"/>
  <c r="CK148" i="181"/>
  <c r="BA148" i="181"/>
  <c r="BS148" i="181"/>
  <c r="GC135" i="181"/>
  <c r="AO135" i="181"/>
  <c r="DU135" i="181"/>
  <c r="W135" i="181"/>
  <c r="CE135" i="181"/>
  <c r="BA135" i="181"/>
  <c r="BM135" i="181"/>
  <c r="AI135" i="181"/>
  <c r="BY135" i="181"/>
  <c r="AU135" i="181"/>
  <c r="EY135" i="181"/>
  <c r="CK135" i="181"/>
  <c r="AC135" i="181"/>
  <c r="BG135" i="181"/>
  <c r="BS135" i="181"/>
  <c r="CQ135" i="181"/>
  <c r="DX58" i="181"/>
  <c r="AF58" i="181"/>
  <c r="CB58" i="181"/>
  <c r="AX58" i="181"/>
  <c r="FB58" i="181"/>
  <c r="CH58" i="181"/>
  <c r="BP58" i="181"/>
  <c r="AR58" i="181"/>
  <c r="Z58" i="181"/>
  <c r="BJ58" i="181"/>
  <c r="GF58" i="181"/>
  <c r="CT58" i="181"/>
  <c r="CN58" i="181"/>
  <c r="BV58" i="181"/>
  <c r="BD58" i="181"/>
  <c r="AL58" i="181"/>
  <c r="BY197" i="181"/>
  <c r="AU197" i="181"/>
  <c r="BG197" i="181"/>
  <c r="BS197" i="181"/>
  <c r="GC197" i="181"/>
  <c r="AO197" i="181"/>
  <c r="CQ197" i="181"/>
  <c r="W197" i="181"/>
  <c r="BM197" i="181"/>
  <c r="AI197" i="181"/>
  <c r="DU197" i="181"/>
  <c r="CK197" i="181"/>
  <c r="BA197" i="181"/>
  <c r="AC197" i="181"/>
  <c r="EY197" i="181"/>
  <c r="CE197" i="181"/>
  <c r="BH79" i="181"/>
  <c r="DV79" i="181"/>
  <c r="AD79" i="181"/>
  <c r="BZ79" i="181"/>
  <c r="AP79" i="181"/>
  <c r="X79" i="181"/>
  <c r="EZ79" i="181"/>
  <c r="BT79" i="181"/>
  <c r="CL79" i="181"/>
  <c r="BB79" i="181"/>
  <c r="AJ79" i="181"/>
  <c r="CF79" i="181"/>
  <c r="BN79" i="181"/>
  <c r="AV79" i="181"/>
  <c r="GD79" i="181"/>
  <c r="CR79" i="181"/>
  <c r="BY70" i="181"/>
  <c r="AU70" i="181"/>
  <c r="CK70" i="181"/>
  <c r="BG70" i="181"/>
  <c r="DU70" i="181"/>
  <c r="AC70" i="181"/>
  <c r="BS70" i="181"/>
  <c r="GC70" i="181"/>
  <c r="AO70" i="181"/>
  <c r="CE70" i="181"/>
  <c r="BA70" i="181"/>
  <c r="CQ70" i="181"/>
  <c r="W70" i="181"/>
  <c r="BM70" i="181"/>
  <c r="AI70" i="181"/>
  <c r="EY70" i="181"/>
  <c r="BA49" i="181"/>
  <c r="CQ49" i="181"/>
  <c r="W49" i="181"/>
  <c r="BM49" i="181"/>
  <c r="EY49" i="181"/>
  <c r="AI49" i="181"/>
  <c r="BY49" i="181"/>
  <c r="AU49" i="181"/>
  <c r="CK49" i="181"/>
  <c r="BG49" i="181"/>
  <c r="DU49" i="181"/>
  <c r="AC49" i="181"/>
  <c r="BS49" i="181"/>
  <c r="CE49" i="181"/>
  <c r="GC49" i="181"/>
  <c r="AO49" i="181"/>
  <c r="BJ165" i="181"/>
  <c r="CH165" i="181"/>
  <c r="GF165" i="181"/>
  <c r="AL165" i="181"/>
  <c r="CT165" i="181"/>
  <c r="CB165" i="181"/>
  <c r="AF165" i="181"/>
  <c r="FB165" i="181"/>
  <c r="BV165" i="181"/>
  <c r="DX165" i="181"/>
  <c r="Z165" i="181"/>
  <c r="BP165" i="181"/>
  <c r="AX165" i="181"/>
  <c r="CN165" i="181"/>
  <c r="BD165" i="181"/>
  <c r="AR165" i="181"/>
  <c r="BG56" i="181"/>
  <c r="DU56" i="181"/>
  <c r="AC56" i="181"/>
  <c r="BS56" i="181"/>
  <c r="GC56" i="181"/>
  <c r="AO56" i="181"/>
  <c r="CE56" i="181"/>
  <c r="BA56" i="181"/>
  <c r="CQ56" i="181"/>
  <c r="W56" i="181"/>
  <c r="BM56" i="181"/>
  <c r="EY56" i="181"/>
  <c r="AI56" i="181"/>
  <c r="BY56" i="181"/>
  <c r="CK56" i="181"/>
  <c r="AU56" i="181"/>
  <c r="BD94" i="181"/>
  <c r="CT94" i="181"/>
  <c r="Z94" i="181"/>
  <c r="BP94" i="181"/>
  <c r="FB94" i="181"/>
  <c r="AL94" i="181"/>
  <c r="AX94" i="181"/>
  <c r="CN94" i="181"/>
  <c r="BV94" i="181"/>
  <c r="GF94" i="181"/>
  <c r="AR94" i="181"/>
  <c r="CH94" i="181"/>
  <c r="CB94" i="181"/>
  <c r="AF94" i="181"/>
  <c r="BJ94" i="181"/>
  <c r="DX94" i="181"/>
  <c r="CT135" i="181"/>
  <c r="Z135" i="181"/>
  <c r="GF135" i="181"/>
  <c r="BP135" i="181"/>
  <c r="AL135" i="181"/>
  <c r="CB135" i="181"/>
  <c r="AX135" i="181"/>
  <c r="BJ135" i="181"/>
  <c r="AF135" i="181"/>
  <c r="CN135" i="181"/>
  <c r="DX135" i="181"/>
  <c r="BD135" i="181"/>
  <c r="FB135" i="181"/>
  <c r="BV135" i="181"/>
  <c r="CH135" i="181"/>
  <c r="AR135" i="181"/>
  <c r="FB175" i="181"/>
  <c r="AL175" i="181"/>
  <c r="CT175" i="181"/>
  <c r="BP175" i="181"/>
  <c r="AX175" i="181"/>
  <c r="AF175" i="181"/>
  <c r="CN175" i="181"/>
  <c r="AR175" i="181"/>
  <c r="Z175" i="181"/>
  <c r="BD175" i="181"/>
  <c r="GF175" i="181"/>
  <c r="CH175" i="181"/>
  <c r="BV175" i="181"/>
  <c r="BJ175" i="181"/>
  <c r="CB175" i="181"/>
  <c r="DX175" i="181"/>
  <c r="BN50" i="181"/>
  <c r="EZ50" i="181"/>
  <c r="AJ50" i="181"/>
  <c r="BZ50" i="181"/>
  <c r="AV50" i="181"/>
  <c r="CL50" i="181"/>
  <c r="BH50" i="181"/>
  <c r="DV50" i="181"/>
  <c r="AD50" i="181"/>
  <c r="BT50" i="181"/>
  <c r="GD50" i="181"/>
  <c r="AP50" i="181"/>
  <c r="CF50" i="181"/>
  <c r="X50" i="181"/>
  <c r="BB50" i="181"/>
  <c r="CR50" i="181"/>
  <c r="BI87" i="181"/>
  <c r="DW87" i="181"/>
  <c r="AE87" i="181"/>
  <c r="BU87" i="181"/>
  <c r="GE87" i="181"/>
  <c r="AQ87" i="181"/>
  <c r="CG87" i="181"/>
  <c r="BC87" i="181"/>
  <c r="CS87" i="181"/>
  <c r="Y87" i="181"/>
  <c r="BO87" i="181"/>
  <c r="FA87" i="181"/>
  <c r="AK87" i="181"/>
  <c r="CA87" i="181"/>
  <c r="AW87" i="181"/>
  <c r="CM87" i="181"/>
  <c r="EZ128" i="181"/>
  <c r="AJ128" i="181"/>
  <c r="CF128" i="181"/>
  <c r="BB128" i="181"/>
  <c r="CR128" i="181"/>
  <c r="GD128" i="181"/>
  <c r="AV128" i="181"/>
  <c r="AD128" i="181"/>
  <c r="BN128" i="181"/>
  <c r="DV128" i="181"/>
  <c r="X128" i="181"/>
  <c r="AP128" i="181"/>
  <c r="BZ128" i="181"/>
  <c r="BT128" i="181"/>
  <c r="BH128" i="181"/>
  <c r="CL128" i="181"/>
  <c r="GE169" i="181"/>
  <c r="AQ169" i="181"/>
  <c r="CM169" i="181"/>
  <c r="DW169" i="181"/>
  <c r="AE169" i="181"/>
  <c r="BI169" i="181"/>
  <c r="BU169" i="181"/>
  <c r="FA169" i="181"/>
  <c r="CG169" i="181"/>
  <c r="BO169" i="181"/>
  <c r="AW169" i="181"/>
  <c r="CA169" i="181"/>
  <c r="BC169" i="181"/>
  <c r="AK169" i="181"/>
  <c r="CS169" i="181"/>
  <c r="Y169" i="181"/>
  <c r="DU213" i="181"/>
  <c r="AC213" i="181"/>
  <c r="CE213" i="181"/>
  <c r="BA213" i="181"/>
  <c r="CQ213" i="181"/>
  <c r="W213" i="181"/>
  <c r="BM213" i="181"/>
  <c r="EY213" i="181"/>
  <c r="AI213" i="181"/>
  <c r="CK213" i="181"/>
  <c r="BY213" i="181"/>
  <c r="GC213" i="181"/>
  <c r="BS213" i="181"/>
  <c r="BG213" i="181"/>
  <c r="AU213" i="181"/>
  <c r="AO213" i="181"/>
  <c r="BA81" i="181"/>
  <c r="DU81" i="181"/>
  <c r="AC81" i="181"/>
  <c r="BS81" i="181"/>
  <c r="EY81" i="181"/>
  <c r="AI81" i="181"/>
  <c r="CK81" i="181"/>
  <c r="CE81" i="181"/>
  <c r="BM81" i="181"/>
  <c r="AU81" i="181"/>
  <c r="GC81" i="181"/>
  <c r="CQ81" i="181"/>
  <c r="BY81" i="181"/>
  <c r="AO81" i="181"/>
  <c r="W81" i="181"/>
  <c r="BG81" i="181"/>
  <c r="CN121" i="181"/>
  <c r="BJ121" i="181"/>
  <c r="DX121" i="181"/>
  <c r="AF121" i="181"/>
  <c r="BV121" i="181"/>
  <c r="CH121" i="181"/>
  <c r="BD121" i="181"/>
  <c r="CT121" i="181"/>
  <c r="Z121" i="181"/>
  <c r="FB121" i="181"/>
  <c r="AL121" i="181"/>
  <c r="CB121" i="181"/>
  <c r="GF121" i="181"/>
  <c r="AX121" i="181"/>
  <c r="BP121" i="181"/>
  <c r="AR121" i="181"/>
  <c r="CL163" i="181"/>
  <c r="DV163" i="181"/>
  <c r="AD163" i="181"/>
  <c r="GD163" i="181"/>
  <c r="AP163" i="181"/>
  <c r="CF163" i="181"/>
  <c r="BN163" i="181"/>
  <c r="EZ163" i="181"/>
  <c r="AJ163" i="181"/>
  <c r="BT163" i="181"/>
  <c r="CR163" i="181"/>
  <c r="BH163" i="181"/>
  <c r="BB163" i="181"/>
  <c r="BZ163" i="181"/>
  <c r="AV163" i="181"/>
  <c r="X163" i="181"/>
  <c r="FB205" i="181"/>
  <c r="AL205" i="181"/>
  <c r="CB205" i="181"/>
  <c r="BV205" i="181"/>
  <c r="CH205" i="181"/>
  <c r="CT205" i="181"/>
  <c r="AR205" i="181"/>
  <c r="Z205" i="181"/>
  <c r="DX205" i="181"/>
  <c r="BD205" i="181"/>
  <c r="AX205" i="181"/>
  <c r="AF205" i="181"/>
  <c r="CN205" i="181"/>
  <c r="BP205" i="181"/>
  <c r="GF205" i="181"/>
  <c r="BJ205" i="181"/>
  <c r="CK72" i="181"/>
  <c r="BG72" i="181"/>
  <c r="DU72" i="181"/>
  <c r="AC72" i="181"/>
  <c r="BS72" i="181"/>
  <c r="GC72" i="181"/>
  <c r="AO72" i="181"/>
  <c r="CE72" i="181"/>
  <c r="BA72" i="181"/>
  <c r="CQ72" i="181"/>
  <c r="W72" i="181"/>
  <c r="BM72" i="181"/>
  <c r="EY72" i="181"/>
  <c r="AI72" i="181"/>
  <c r="BY72" i="181"/>
  <c r="AU72" i="181"/>
  <c r="CK112" i="181"/>
  <c r="BG112" i="181"/>
  <c r="DU112" i="181"/>
  <c r="AC112" i="181"/>
  <c r="BS112" i="181"/>
  <c r="CE112" i="181"/>
  <c r="BA112" i="181"/>
  <c r="EY112" i="181"/>
  <c r="AI112" i="181"/>
  <c r="BY112" i="181"/>
  <c r="W112" i="181"/>
  <c r="GC112" i="181"/>
  <c r="AO112" i="181"/>
  <c r="CQ112" i="181"/>
  <c r="AU112" i="181"/>
  <c r="BM112" i="181"/>
  <c r="CK153" i="181"/>
  <c r="BG153" i="181"/>
  <c r="BS153" i="181"/>
  <c r="CE153" i="181"/>
  <c r="BA153" i="181"/>
  <c r="EY153" i="181"/>
  <c r="AI153" i="181"/>
  <c r="BY153" i="181"/>
  <c r="W153" i="181"/>
  <c r="GC153" i="181"/>
  <c r="AO153" i="181"/>
  <c r="DU153" i="181"/>
  <c r="BM153" i="181"/>
  <c r="AC153" i="181"/>
  <c r="AU153" i="181"/>
  <c r="CQ153" i="181"/>
  <c r="BM195" i="181"/>
  <c r="CE195" i="181"/>
  <c r="AU195" i="181"/>
  <c r="AC195" i="181"/>
  <c r="CQ195" i="181"/>
  <c r="BY195" i="181"/>
  <c r="AO195" i="181"/>
  <c r="W195" i="181"/>
  <c r="EY195" i="181"/>
  <c r="BS195" i="181"/>
  <c r="BA195" i="181"/>
  <c r="AI195" i="181"/>
  <c r="CK195" i="181"/>
  <c r="GC195" i="181"/>
  <c r="BG195" i="181"/>
  <c r="DU195" i="181"/>
  <c r="BS63" i="181"/>
  <c r="GC63" i="181"/>
  <c r="AO63" i="181"/>
  <c r="CE63" i="181"/>
  <c r="BA63" i="181"/>
  <c r="CQ63" i="181"/>
  <c r="W63" i="181"/>
  <c r="BM63" i="181"/>
  <c r="EY63" i="181"/>
  <c r="AI63" i="181"/>
  <c r="BY63" i="181"/>
  <c r="CK63" i="181"/>
  <c r="BG63" i="181"/>
  <c r="AU63" i="181"/>
  <c r="AC63" i="181"/>
  <c r="DU63" i="181"/>
  <c r="BJ101" i="181"/>
  <c r="DX101" i="181"/>
  <c r="AF101" i="181"/>
  <c r="BV101" i="181"/>
  <c r="GF101" i="181"/>
  <c r="AR101" i="181"/>
  <c r="BD101" i="181"/>
  <c r="CT101" i="181"/>
  <c r="Z101" i="181"/>
  <c r="BP101" i="181"/>
  <c r="CB101" i="181"/>
  <c r="AX101" i="181"/>
  <c r="AL101" i="181"/>
  <c r="CN101" i="181"/>
  <c r="CH101" i="181"/>
  <c r="FB101" i="181"/>
  <c r="BG144" i="181"/>
  <c r="DU144" i="181"/>
  <c r="AC144" i="181"/>
  <c r="GC144" i="181"/>
  <c r="AO144" i="181"/>
  <c r="BA144" i="181"/>
  <c r="CQ144" i="181"/>
  <c r="W144" i="181"/>
  <c r="BM144" i="181"/>
  <c r="BY144" i="181"/>
  <c r="AU144" i="181"/>
  <c r="EY144" i="181"/>
  <c r="BS144" i="181"/>
  <c r="AI144" i="181"/>
  <c r="CK144" i="181"/>
  <c r="CE144" i="181"/>
  <c r="CR186" i="181"/>
  <c r="X186" i="181"/>
  <c r="CL186" i="181"/>
  <c r="AP186" i="181"/>
  <c r="DV186" i="181"/>
  <c r="CF186" i="181"/>
  <c r="AJ186" i="181"/>
  <c r="GD186" i="181"/>
  <c r="BN186" i="181"/>
  <c r="AV186" i="181"/>
  <c r="BZ186" i="181"/>
  <c r="EZ186" i="181"/>
  <c r="AD186" i="181"/>
  <c r="BT186" i="181"/>
  <c r="BH186" i="181"/>
  <c r="BB186" i="181"/>
  <c r="CL54" i="181"/>
  <c r="BH54" i="181"/>
  <c r="DV54" i="181"/>
  <c r="AD54" i="181"/>
  <c r="BT54" i="181"/>
  <c r="GD54" i="181"/>
  <c r="AP54" i="181"/>
  <c r="CF54" i="181"/>
  <c r="BB54" i="181"/>
  <c r="CR54" i="181"/>
  <c r="X54" i="181"/>
  <c r="BN54" i="181"/>
  <c r="EZ54" i="181"/>
  <c r="AJ54" i="181"/>
  <c r="BZ54" i="181"/>
  <c r="AV54" i="181"/>
  <c r="DU93" i="181"/>
  <c r="AC93" i="181"/>
  <c r="BS93" i="181"/>
  <c r="CE93" i="181"/>
  <c r="CQ93" i="181"/>
  <c r="W93" i="181"/>
  <c r="AU93" i="181"/>
  <c r="CK93" i="181"/>
  <c r="AI93" i="181"/>
  <c r="BG93" i="181"/>
  <c r="GC93" i="181"/>
  <c r="BA93" i="181"/>
  <c r="EY93" i="181"/>
  <c r="BY93" i="181"/>
  <c r="AO93" i="181"/>
  <c r="BM93" i="181"/>
  <c r="AD133" i="181"/>
  <c r="BT133" i="181"/>
  <c r="DV133" i="181"/>
  <c r="AP133" i="181"/>
  <c r="CF133" i="181"/>
  <c r="X133" i="181"/>
  <c r="CR133" i="181"/>
  <c r="BN133" i="181"/>
  <c r="AJ133" i="181"/>
  <c r="EZ133" i="181"/>
  <c r="AV133" i="181"/>
  <c r="BH133" i="181"/>
  <c r="CL133" i="181"/>
  <c r="BB133" i="181"/>
  <c r="GD133" i="181"/>
  <c r="BZ133" i="181"/>
  <c r="BO173" i="181"/>
  <c r="FA173" i="181"/>
  <c r="AK173" i="181"/>
  <c r="AW173" i="181"/>
  <c r="BI173" i="181"/>
  <c r="DW173" i="181"/>
  <c r="AE173" i="181"/>
  <c r="GE173" i="181"/>
  <c r="AQ173" i="181"/>
  <c r="CG173" i="181"/>
  <c r="BC173" i="181"/>
  <c r="CM173" i="181"/>
  <c r="CA173" i="181"/>
  <c r="BU173" i="181"/>
  <c r="Y173" i="181"/>
  <c r="CS173" i="181"/>
  <c r="GE45" i="181"/>
  <c r="AQ45" i="181"/>
  <c r="CG45" i="181"/>
  <c r="BC45" i="181"/>
  <c r="CS45" i="181"/>
  <c r="Y45" i="181"/>
  <c r="BO45" i="181"/>
  <c r="FA45" i="181"/>
  <c r="AK45" i="181"/>
  <c r="CA45" i="181"/>
  <c r="AW45" i="181"/>
  <c r="CM45" i="181"/>
  <c r="BI45" i="181"/>
  <c r="DW45" i="181"/>
  <c r="AE45" i="181"/>
  <c r="BU45" i="181"/>
  <c r="FA82" i="181"/>
  <c r="AK82" i="181"/>
  <c r="BI82" i="181"/>
  <c r="DW82" i="181"/>
  <c r="AE82" i="181"/>
  <c r="CG82" i="181"/>
  <c r="BC82" i="181"/>
  <c r="AQ82" i="181"/>
  <c r="CA82" i="181"/>
  <c r="CS82" i="181"/>
  <c r="BU82" i="181"/>
  <c r="CM82" i="181"/>
  <c r="AW82" i="181"/>
  <c r="Y82" i="181"/>
  <c r="BO82" i="181"/>
  <c r="GE82" i="181"/>
  <c r="BJ122" i="181"/>
  <c r="DX122" i="181"/>
  <c r="AF122" i="181"/>
  <c r="BV122" i="181"/>
  <c r="GF122" i="181"/>
  <c r="AR122" i="181"/>
  <c r="BD122" i="181"/>
  <c r="CT122" i="181"/>
  <c r="Z122" i="181"/>
  <c r="BP122" i="181"/>
  <c r="CB122" i="181"/>
  <c r="AX122" i="181"/>
  <c r="AL122" i="181"/>
  <c r="CH122" i="181"/>
  <c r="FB122" i="181"/>
  <c r="CN122" i="181"/>
  <c r="AW164" i="181"/>
  <c r="CA164" i="181"/>
  <c r="FA164" i="181"/>
  <c r="AE164" i="181"/>
  <c r="DW164" i="181"/>
  <c r="BU164" i="181"/>
  <c r="Y164" i="181"/>
  <c r="CG164" i="181"/>
  <c r="BC164" i="181"/>
  <c r="AK164" i="181"/>
  <c r="CS164" i="181"/>
  <c r="BO164" i="181"/>
  <c r="CM164" i="181"/>
  <c r="GE164" i="181"/>
  <c r="BI164" i="181"/>
  <c r="AQ164" i="181"/>
  <c r="CB206" i="181"/>
  <c r="AX206" i="181"/>
  <c r="BV206" i="181"/>
  <c r="GF206" i="181"/>
  <c r="AR206" i="181"/>
  <c r="BD206" i="181"/>
  <c r="CT206" i="181"/>
  <c r="BP206" i="181"/>
  <c r="AL206" i="181"/>
  <c r="CN206" i="181"/>
  <c r="AF206" i="181"/>
  <c r="Z206" i="181"/>
  <c r="DX206" i="181"/>
  <c r="FB206" i="181"/>
  <c r="BJ206" i="181"/>
  <c r="CH206" i="181"/>
  <c r="BG73" i="181"/>
  <c r="DU73" i="181"/>
  <c r="AC73" i="181"/>
  <c r="BS73" i="181"/>
  <c r="GC73" i="181"/>
  <c r="AO73" i="181"/>
  <c r="CE73" i="181"/>
  <c r="BA73" i="181"/>
  <c r="CQ73" i="181"/>
  <c r="W73" i="181"/>
  <c r="BM73" i="181"/>
  <c r="EY73" i="181"/>
  <c r="AI73" i="181"/>
  <c r="BY73" i="181"/>
  <c r="AU73" i="181"/>
  <c r="CK73" i="181"/>
  <c r="BU113" i="181"/>
  <c r="GE113" i="181"/>
  <c r="AQ113" i="181"/>
  <c r="CG113" i="181"/>
  <c r="BC113" i="181"/>
  <c r="BO113" i="181"/>
  <c r="FA113" i="181"/>
  <c r="AK113" i="181"/>
  <c r="CA113" i="181"/>
  <c r="CM113" i="181"/>
  <c r="BI113" i="181"/>
  <c r="AW113" i="181"/>
  <c r="DW113" i="181"/>
  <c r="AE113" i="181"/>
  <c r="CS113" i="181"/>
  <c r="Y113" i="181"/>
  <c r="BG154" i="181"/>
  <c r="DU154" i="181"/>
  <c r="AC154" i="181"/>
  <c r="GC154" i="181"/>
  <c r="AO154" i="181"/>
  <c r="BA154" i="181"/>
  <c r="CQ154" i="181"/>
  <c r="W154" i="181"/>
  <c r="BY154" i="181"/>
  <c r="AU154" i="181"/>
  <c r="BS154" i="181"/>
  <c r="BM154" i="181"/>
  <c r="AI154" i="181"/>
  <c r="CE154" i="181"/>
  <c r="CK154" i="181"/>
  <c r="EY154" i="181"/>
  <c r="EY196" i="181"/>
  <c r="AI196" i="181"/>
  <c r="CK196" i="181"/>
  <c r="BS196" i="181"/>
  <c r="BA196" i="181"/>
  <c r="CQ196" i="181"/>
  <c r="W196" i="181"/>
  <c r="BY196" i="181"/>
  <c r="AC196" i="181"/>
  <c r="AU196" i="181"/>
  <c r="GC196" i="181"/>
  <c r="AO196" i="181"/>
  <c r="BG196" i="181"/>
  <c r="CE196" i="181"/>
  <c r="BM196" i="181"/>
  <c r="DU196" i="181"/>
  <c r="CL123" i="181"/>
  <c r="BH123" i="181"/>
  <c r="DV123" i="181"/>
  <c r="AD123" i="181"/>
  <c r="BT123" i="181"/>
  <c r="CF123" i="181"/>
  <c r="BB123" i="181"/>
  <c r="CR123" i="181"/>
  <c r="X123" i="181"/>
  <c r="EZ123" i="181"/>
  <c r="AJ123" i="181"/>
  <c r="BZ123" i="181"/>
  <c r="BN123" i="181"/>
  <c r="AV123" i="181"/>
  <c r="AP123" i="181"/>
  <c r="GD123" i="181"/>
  <c r="BY165" i="181"/>
  <c r="BS165" i="181"/>
  <c r="DU165" i="181"/>
  <c r="W165" i="181"/>
  <c r="CE165" i="181"/>
  <c r="BM165" i="181"/>
  <c r="CQ165" i="181"/>
  <c r="AU165" i="181"/>
  <c r="EY165" i="181"/>
  <c r="BG165" i="181"/>
  <c r="CK165" i="181"/>
  <c r="AO165" i="181"/>
  <c r="AC165" i="181"/>
  <c r="GC165" i="181"/>
  <c r="BA165" i="181"/>
  <c r="AI165" i="181"/>
  <c r="CA207" i="181"/>
  <c r="AW207" i="181"/>
  <c r="BI207" i="181"/>
  <c r="BU207" i="181"/>
  <c r="GE207" i="181"/>
  <c r="AQ207" i="181"/>
  <c r="BC207" i="181"/>
  <c r="CS207" i="181"/>
  <c r="Y207" i="181"/>
  <c r="BO207" i="181"/>
  <c r="FA207" i="181"/>
  <c r="DW207" i="181"/>
  <c r="AE207" i="181"/>
  <c r="CG207" i="181"/>
  <c r="AK207" i="181"/>
  <c r="CM207" i="181"/>
  <c r="BY110" i="181"/>
  <c r="AU110" i="181"/>
  <c r="GC110" i="181"/>
  <c r="AO110" i="181"/>
  <c r="CQ110" i="181"/>
  <c r="W110" i="181"/>
  <c r="BM110" i="181"/>
  <c r="EY110" i="181"/>
  <c r="BG110" i="181"/>
  <c r="CE110" i="181"/>
  <c r="DU110" i="181"/>
  <c r="BA110" i="181"/>
  <c r="AC110" i="181"/>
  <c r="AI110" i="181"/>
  <c r="BS110" i="181"/>
  <c r="CK110" i="181"/>
  <c r="CM151" i="181"/>
  <c r="BI151" i="181"/>
  <c r="BU151" i="181"/>
  <c r="BC151" i="181"/>
  <c r="FA151" i="181"/>
  <c r="AK151" i="181"/>
  <c r="CA151" i="181"/>
  <c r="CG151" i="181"/>
  <c r="AW151" i="181"/>
  <c r="Y151" i="181"/>
  <c r="AQ151" i="181"/>
  <c r="CS151" i="181"/>
  <c r="AE151" i="181"/>
  <c r="DW151" i="181"/>
  <c r="BO151" i="181"/>
  <c r="GE151" i="181"/>
  <c r="BO193" i="181"/>
  <c r="CA193" i="181"/>
  <c r="AE193" i="181"/>
  <c r="CM193" i="181"/>
  <c r="BU193" i="181"/>
  <c r="Y193" i="181"/>
  <c r="CG193" i="181"/>
  <c r="AK193" i="181"/>
  <c r="DW193" i="181"/>
  <c r="BC193" i="181"/>
  <c r="GE193" i="181"/>
  <c r="AQ193" i="181"/>
  <c r="FA193" i="181"/>
  <c r="BI193" i="181"/>
  <c r="AW193" i="181"/>
  <c r="CS193" i="181"/>
  <c r="BU61" i="181"/>
  <c r="GE61" i="181"/>
  <c r="AQ61" i="181"/>
  <c r="CG61" i="181"/>
  <c r="BC61" i="181"/>
  <c r="CM61" i="181"/>
  <c r="BI61" i="181"/>
  <c r="Y61" i="181"/>
  <c r="FA61" i="181"/>
  <c r="CA61" i="181"/>
  <c r="AW61" i="181"/>
  <c r="DW61" i="181"/>
  <c r="CS61" i="181"/>
  <c r="BO61" i="181"/>
  <c r="AK61" i="181"/>
  <c r="AE61" i="181"/>
  <c r="BZ100" i="181"/>
  <c r="AV100" i="181"/>
  <c r="CL100" i="181"/>
  <c r="BH100" i="181"/>
  <c r="BT100" i="181"/>
  <c r="GD100" i="181"/>
  <c r="AP100" i="181"/>
  <c r="CF100" i="181"/>
  <c r="CR100" i="181"/>
  <c r="X100" i="181"/>
  <c r="BN100" i="181"/>
  <c r="AD100" i="181"/>
  <c r="BB100" i="181"/>
  <c r="EZ100" i="181"/>
  <c r="DV100" i="181"/>
  <c r="AJ100" i="181"/>
  <c r="CL142" i="181"/>
  <c r="BH142" i="181"/>
  <c r="BT142" i="181"/>
  <c r="CF142" i="181"/>
  <c r="BB142" i="181"/>
  <c r="CR142" i="181"/>
  <c r="EZ142" i="181"/>
  <c r="AJ142" i="181"/>
  <c r="BZ142" i="181"/>
  <c r="Q142" i="181"/>
  <c r="AV142" i="181"/>
  <c r="GD142" i="181"/>
  <c r="DV142" i="181"/>
  <c r="X142" i="181"/>
  <c r="AP142" i="181"/>
  <c r="BN142" i="181"/>
  <c r="AD142" i="181"/>
  <c r="BV181" i="181"/>
  <c r="GF181" i="181"/>
  <c r="AR181" i="181"/>
  <c r="BP181" i="181"/>
  <c r="AX181" i="181"/>
  <c r="BJ181" i="181"/>
  <c r="FB181" i="181"/>
  <c r="CH181" i="181"/>
  <c r="CB181" i="181"/>
  <c r="BD181" i="181"/>
  <c r="CN181" i="181"/>
  <c r="AL181" i="181"/>
  <c r="AF181" i="181"/>
  <c r="Z181" i="181"/>
  <c r="DX181" i="181"/>
  <c r="CT181" i="181"/>
  <c r="BS46" i="181"/>
  <c r="GC46" i="181"/>
  <c r="AO46" i="181"/>
  <c r="CE46" i="181"/>
  <c r="BA46" i="181"/>
  <c r="CQ46" i="181"/>
  <c r="W46" i="181"/>
  <c r="BM46" i="181"/>
  <c r="EY46" i="181"/>
  <c r="AI46" i="181"/>
  <c r="BY46" i="181"/>
  <c r="AU46" i="181"/>
  <c r="CK46" i="181"/>
  <c r="BG46" i="181"/>
  <c r="DU46" i="181"/>
  <c r="AC46" i="181"/>
  <c r="BH199" i="181"/>
  <c r="DV199" i="181"/>
  <c r="AD199" i="181"/>
  <c r="AP199" i="181"/>
  <c r="BB199" i="181"/>
  <c r="CR199" i="181"/>
  <c r="X199" i="181"/>
  <c r="AJ199" i="181"/>
  <c r="EZ199" i="181"/>
  <c r="BZ199" i="181"/>
  <c r="AV199" i="181"/>
  <c r="CL199" i="181"/>
  <c r="CF199" i="181"/>
  <c r="BT199" i="181"/>
  <c r="GD199" i="181"/>
  <c r="BN199" i="181"/>
  <c r="GE114" i="181"/>
  <c r="AQ114" i="181"/>
  <c r="CG114" i="181"/>
  <c r="BC114" i="181"/>
  <c r="CS114" i="181"/>
  <c r="Y114" i="181"/>
  <c r="FA114" i="181"/>
  <c r="AK114" i="181"/>
  <c r="CA114" i="181"/>
  <c r="AW114" i="181"/>
  <c r="BI114" i="181"/>
  <c r="DW114" i="181"/>
  <c r="AE114" i="181"/>
  <c r="BU114" i="181"/>
  <c r="BO114" i="181"/>
  <c r="CM114" i="181"/>
  <c r="CR49" i="181"/>
  <c r="X49" i="181"/>
  <c r="BN49" i="181"/>
  <c r="EZ49" i="181"/>
  <c r="AJ49" i="181"/>
  <c r="BZ49" i="181"/>
  <c r="AV49" i="181"/>
  <c r="CL49" i="181"/>
  <c r="BH49" i="181"/>
  <c r="DV49" i="181"/>
  <c r="AD49" i="181"/>
  <c r="BT49" i="181"/>
  <c r="GD49" i="181"/>
  <c r="AP49" i="181"/>
  <c r="CF49" i="181"/>
  <c r="BB49" i="181"/>
  <c r="AX99" i="181"/>
  <c r="CN99" i="181"/>
  <c r="BJ99" i="181"/>
  <c r="DX99" i="181"/>
  <c r="AF99" i="181"/>
  <c r="GF99" i="181"/>
  <c r="AR99" i="181"/>
  <c r="CH99" i="181"/>
  <c r="BD99" i="181"/>
  <c r="BP99" i="181"/>
  <c r="FB99" i="181"/>
  <c r="AL99" i="181"/>
  <c r="Z99" i="181"/>
  <c r="CB99" i="181"/>
  <c r="BV99" i="181"/>
  <c r="CT99" i="181"/>
  <c r="BM84" i="181"/>
  <c r="EY84" i="181"/>
  <c r="AI84" i="181"/>
  <c r="BY84" i="181"/>
  <c r="AU84" i="181"/>
  <c r="CK84" i="181"/>
  <c r="BG84" i="181"/>
  <c r="DU84" i="181"/>
  <c r="AC84" i="181"/>
  <c r="BS84" i="181"/>
  <c r="GC84" i="181"/>
  <c r="AO84" i="181"/>
  <c r="CE84" i="181"/>
  <c r="BA84" i="181"/>
  <c r="W84" i="181"/>
  <c r="CQ84" i="181"/>
  <c r="BG61" i="181"/>
  <c r="DU61" i="181"/>
  <c r="AC61" i="181"/>
  <c r="BS61" i="181"/>
  <c r="GC61" i="181"/>
  <c r="AO61" i="181"/>
  <c r="BY61" i="181"/>
  <c r="AU61" i="181"/>
  <c r="CE61" i="181"/>
  <c r="BA61" i="181"/>
  <c r="W61" i="181"/>
  <c r="EY61" i="181"/>
  <c r="CK61" i="181"/>
  <c r="CQ61" i="181"/>
  <c r="BM61" i="181"/>
  <c r="AI61" i="181"/>
  <c r="AW208" i="181"/>
  <c r="CM208" i="181"/>
  <c r="DW208" i="181"/>
  <c r="AE208" i="181"/>
  <c r="GE208" i="181"/>
  <c r="AQ208" i="181"/>
  <c r="CG208" i="181"/>
  <c r="CS208" i="181"/>
  <c r="Y208" i="181"/>
  <c r="BO208" i="181"/>
  <c r="FA208" i="181"/>
  <c r="AK208" i="181"/>
  <c r="BU208" i="181"/>
  <c r="BI208" i="181"/>
  <c r="BC208" i="181"/>
  <c r="CA208" i="181"/>
  <c r="CK59" i="181"/>
  <c r="BM59" i="181"/>
  <c r="EY59" i="181"/>
  <c r="AI59" i="181"/>
  <c r="DU59" i="181"/>
  <c r="CE59" i="181"/>
  <c r="BG59" i="181"/>
  <c r="AO59" i="181"/>
  <c r="W59" i="181"/>
  <c r="BY59" i="181"/>
  <c r="GC59" i="181"/>
  <c r="CQ59" i="181"/>
  <c r="BS59" i="181"/>
  <c r="BA59" i="181"/>
  <c r="AC59" i="181"/>
  <c r="AU59" i="181"/>
  <c r="FB97" i="181"/>
  <c r="AL97" i="181"/>
  <c r="CB97" i="181"/>
  <c r="AX97" i="181"/>
  <c r="CN97" i="181"/>
  <c r="DX97" i="181"/>
  <c r="AF97" i="181"/>
  <c r="BV97" i="181"/>
  <c r="GF97" i="181"/>
  <c r="AR97" i="181"/>
  <c r="BD97" i="181"/>
  <c r="CT97" i="181"/>
  <c r="Z97" i="181"/>
  <c r="BP97" i="181"/>
  <c r="BJ97" i="181"/>
  <c r="CH97" i="181"/>
  <c r="BM139" i="181"/>
  <c r="BY139" i="181"/>
  <c r="GC139" i="181"/>
  <c r="AO139" i="181"/>
  <c r="DU139" i="181"/>
  <c r="CE139" i="181"/>
  <c r="AU139" i="181"/>
  <c r="AC139" i="181"/>
  <c r="CQ139" i="181"/>
  <c r="BG139" i="181"/>
  <c r="W139" i="181"/>
  <c r="EY139" i="181"/>
  <c r="CK139" i="181"/>
  <c r="BS139" i="181"/>
  <c r="BA139" i="181"/>
  <c r="AI139" i="181"/>
  <c r="CN178" i="181"/>
  <c r="BP178" i="181"/>
  <c r="AX178" i="181"/>
  <c r="AF178" i="181"/>
  <c r="CT178" i="181"/>
  <c r="CB178" i="181"/>
  <c r="BJ178" i="181"/>
  <c r="Z178" i="181"/>
  <c r="FB178" i="181"/>
  <c r="BD178" i="181"/>
  <c r="AL178" i="181"/>
  <c r="DX178" i="181"/>
  <c r="BV178" i="181"/>
  <c r="GF178" i="181"/>
  <c r="CH178" i="181"/>
  <c r="AR178" i="181"/>
  <c r="AV53" i="181"/>
  <c r="CL53" i="181"/>
  <c r="BH53" i="181"/>
  <c r="DV53" i="181"/>
  <c r="AD53" i="181"/>
  <c r="BT53" i="181"/>
  <c r="GD53" i="181"/>
  <c r="AP53" i="181"/>
  <c r="CF53" i="181"/>
  <c r="BB53" i="181"/>
  <c r="CR53" i="181"/>
  <c r="X53" i="181"/>
  <c r="BN53" i="181"/>
  <c r="BZ53" i="181"/>
  <c r="EZ53" i="181"/>
  <c r="AJ53" i="181"/>
  <c r="GF91" i="181"/>
  <c r="AR91" i="181"/>
  <c r="CN91" i="181"/>
  <c r="BJ91" i="181"/>
  <c r="DX91" i="181"/>
  <c r="CH91" i="181"/>
  <c r="AF91" i="181"/>
  <c r="BP91" i="181"/>
  <c r="AX91" i="181"/>
  <c r="CT91" i="181"/>
  <c r="CB91" i="181"/>
  <c r="Z91" i="181"/>
  <c r="BD91" i="181"/>
  <c r="FB91" i="181"/>
  <c r="BV91" i="181"/>
  <c r="AL91" i="181"/>
  <c r="CK132" i="181"/>
  <c r="BG132" i="181"/>
  <c r="DU132" i="181"/>
  <c r="AC132" i="181"/>
  <c r="BS132" i="181"/>
  <c r="CE132" i="181"/>
  <c r="BA132" i="181"/>
  <c r="CQ132" i="181"/>
  <c r="W132" i="181"/>
  <c r="EY132" i="181"/>
  <c r="AI132" i="181"/>
  <c r="BY132" i="181"/>
  <c r="GC132" i="181"/>
  <c r="AO132" i="181"/>
  <c r="AU132" i="181"/>
  <c r="BM132" i="181"/>
  <c r="CS172" i="181"/>
  <c r="Y172" i="181"/>
  <c r="BO172" i="181"/>
  <c r="CA172" i="181"/>
  <c r="BI172" i="181"/>
  <c r="BU172" i="181"/>
  <c r="GE172" i="181"/>
  <c r="AQ172" i="181"/>
  <c r="CG172" i="181"/>
  <c r="AW172" i="181"/>
  <c r="FA172" i="181"/>
  <c r="DW172" i="181"/>
  <c r="AE172" i="181"/>
  <c r="CM172" i="181"/>
  <c r="BC172" i="181"/>
  <c r="AK172" i="181"/>
  <c r="BC47" i="181"/>
  <c r="CS47" i="181"/>
  <c r="Y47" i="181"/>
  <c r="BO47" i="181"/>
  <c r="FA47" i="181"/>
  <c r="AK47" i="181"/>
  <c r="CA47" i="181"/>
  <c r="AW47" i="181"/>
  <c r="CM47" i="181"/>
  <c r="BI47" i="181"/>
  <c r="DW47" i="181"/>
  <c r="AE47" i="181"/>
  <c r="BU47" i="181"/>
  <c r="GE47" i="181"/>
  <c r="AQ47" i="181"/>
  <c r="CG47" i="181"/>
  <c r="AX84" i="181"/>
  <c r="CN84" i="181"/>
  <c r="BJ84" i="181"/>
  <c r="DX84" i="181"/>
  <c r="AF84" i="181"/>
  <c r="BV84" i="181"/>
  <c r="GF84" i="181"/>
  <c r="AR84" i="181"/>
  <c r="CH84" i="181"/>
  <c r="BD84" i="181"/>
  <c r="CT84" i="181"/>
  <c r="Z84" i="181"/>
  <c r="BP84" i="181"/>
  <c r="FB84" i="181"/>
  <c r="AL84" i="181"/>
  <c r="CB84" i="181"/>
  <c r="BG125" i="181"/>
  <c r="DU125" i="181"/>
  <c r="AC125" i="181"/>
  <c r="BS125" i="181"/>
  <c r="GC125" i="181"/>
  <c r="AO125" i="181"/>
  <c r="BA125" i="181"/>
  <c r="CQ125" i="181"/>
  <c r="W125" i="181"/>
  <c r="BM125" i="181"/>
  <c r="BY125" i="181"/>
  <c r="AU125" i="181"/>
  <c r="CE125" i="181"/>
  <c r="EY125" i="181"/>
  <c r="CK125" i="181"/>
  <c r="AI125" i="181"/>
  <c r="DX166" i="181"/>
  <c r="AF166" i="181"/>
  <c r="CN166" i="181"/>
  <c r="CT166" i="181"/>
  <c r="AX166" i="181"/>
  <c r="BJ166" i="181"/>
  <c r="AR166" i="181"/>
  <c r="BV166" i="181"/>
  <c r="BD166" i="181"/>
  <c r="CH166" i="181"/>
  <c r="Z166" i="181"/>
  <c r="CB166" i="181"/>
  <c r="FB166" i="181"/>
  <c r="AL166" i="181"/>
  <c r="GF166" i="181"/>
  <c r="BP166" i="181"/>
  <c r="CM209" i="181"/>
  <c r="BI209" i="181"/>
  <c r="BU209" i="181"/>
  <c r="CG209" i="181"/>
  <c r="BC209" i="181"/>
  <c r="BO209" i="181"/>
  <c r="FA209" i="181"/>
  <c r="AK209" i="181"/>
  <c r="CA209" i="181"/>
  <c r="CS209" i="181"/>
  <c r="GE209" i="181"/>
  <c r="Y209" i="181"/>
  <c r="AW209" i="181"/>
  <c r="AQ209" i="181"/>
  <c r="DW209" i="181"/>
  <c r="AE209" i="181"/>
  <c r="EY75" i="181"/>
  <c r="AI75" i="181"/>
  <c r="BG75" i="181"/>
  <c r="CK75" i="181"/>
  <c r="AO75" i="181"/>
  <c r="BS75" i="181"/>
  <c r="W75" i="181"/>
  <c r="BA75" i="181"/>
  <c r="DU75" i="181"/>
  <c r="CE75" i="181"/>
  <c r="BM75" i="181"/>
  <c r="AU75" i="181"/>
  <c r="GC75" i="181"/>
  <c r="BY75" i="181"/>
  <c r="AC75" i="181"/>
  <c r="CQ75" i="181"/>
  <c r="BD115" i="181"/>
  <c r="CT115" i="181"/>
  <c r="Z115" i="181"/>
  <c r="BP115" i="181"/>
  <c r="FB115" i="181"/>
  <c r="AL115" i="181"/>
  <c r="AX115" i="181"/>
  <c r="CN115" i="181"/>
  <c r="BJ115" i="181"/>
  <c r="BV115" i="181"/>
  <c r="GF115" i="181"/>
  <c r="AR115" i="181"/>
  <c r="CH115" i="181"/>
  <c r="DX115" i="181"/>
  <c r="AF115" i="181"/>
  <c r="CB115" i="181"/>
  <c r="GD156" i="181"/>
  <c r="AP156" i="181"/>
  <c r="CF156" i="181"/>
  <c r="CR156" i="181"/>
  <c r="X156" i="181"/>
  <c r="EZ156" i="181"/>
  <c r="AJ156" i="181"/>
  <c r="BZ156" i="181"/>
  <c r="AV156" i="181"/>
  <c r="BH156" i="181"/>
  <c r="DV156" i="181"/>
  <c r="AD156" i="181"/>
  <c r="BB156" i="181"/>
  <c r="BT156" i="181"/>
  <c r="CL156" i="181"/>
  <c r="BN156" i="181"/>
  <c r="AU198" i="181"/>
  <c r="CK198" i="181"/>
  <c r="DU198" i="181"/>
  <c r="AC198" i="181"/>
  <c r="GC198" i="181"/>
  <c r="AO198" i="181"/>
  <c r="CE198" i="181"/>
  <c r="CQ198" i="181"/>
  <c r="W198" i="181"/>
  <c r="BM198" i="181"/>
  <c r="EY198" i="181"/>
  <c r="AI198" i="181"/>
  <c r="BY198" i="181"/>
  <c r="BS198" i="181"/>
  <c r="BG198" i="181"/>
  <c r="BA198" i="181"/>
  <c r="BA66" i="181"/>
  <c r="CQ66" i="181"/>
  <c r="W66" i="181"/>
  <c r="BM66" i="181"/>
  <c r="EY66" i="181"/>
  <c r="AI66" i="181"/>
  <c r="BY66" i="181"/>
  <c r="AU66" i="181"/>
  <c r="CK66" i="181"/>
  <c r="BG66" i="181"/>
  <c r="DU66" i="181"/>
  <c r="AC66" i="181"/>
  <c r="BS66" i="181"/>
  <c r="GC66" i="181"/>
  <c r="AO66" i="181"/>
  <c r="CE66" i="181"/>
  <c r="GF104" i="181"/>
  <c r="AR104" i="181"/>
  <c r="CH104" i="181"/>
  <c r="BD104" i="181"/>
  <c r="CT104" i="181"/>
  <c r="Z104" i="181"/>
  <c r="FB104" i="181"/>
  <c r="AL104" i="181"/>
  <c r="CB104" i="181"/>
  <c r="AX104" i="181"/>
  <c r="BJ104" i="181"/>
  <c r="DX104" i="181"/>
  <c r="AF104" i="181"/>
  <c r="CN104" i="181"/>
  <c r="BV104" i="181"/>
  <c r="BP104" i="181"/>
  <c r="BN147" i="181"/>
  <c r="GD147" i="181"/>
  <c r="AP147" i="181"/>
  <c r="BT147" i="181"/>
  <c r="BB147" i="181"/>
  <c r="AJ147" i="181"/>
  <c r="DV147" i="181"/>
  <c r="CF147" i="181"/>
  <c r="AD147" i="181"/>
  <c r="CR147" i="181"/>
  <c r="BZ147" i="181"/>
  <c r="X147" i="181"/>
  <c r="EZ147" i="181"/>
  <c r="AV147" i="181"/>
  <c r="BH147" i="181"/>
  <c r="CL147" i="181"/>
  <c r="BZ189" i="181"/>
  <c r="BN189" i="181"/>
  <c r="CR189" i="181"/>
  <c r="GD189" i="181"/>
  <c r="BT189" i="181"/>
  <c r="EZ189" i="181"/>
  <c r="AV189" i="181"/>
  <c r="CF189" i="181"/>
  <c r="AD189" i="181"/>
  <c r="BH189" i="181"/>
  <c r="AP189" i="181"/>
  <c r="DV189" i="181"/>
  <c r="CL189" i="181"/>
  <c r="AJ189" i="181"/>
  <c r="BB189" i="181"/>
  <c r="X189" i="181"/>
  <c r="CR57" i="181"/>
  <c r="BN57" i="181"/>
  <c r="BZ57" i="181"/>
  <c r="GD57" i="181"/>
  <c r="BH57" i="181"/>
  <c r="AP57" i="181"/>
  <c r="X57" i="181"/>
  <c r="EZ57" i="181"/>
  <c r="CL57" i="181"/>
  <c r="BT57" i="181"/>
  <c r="AJ57" i="181"/>
  <c r="BB57" i="181"/>
  <c r="DV57" i="181"/>
  <c r="CF57" i="181"/>
  <c r="AV57" i="181"/>
  <c r="AD57" i="181"/>
  <c r="CE96" i="181"/>
  <c r="BA96" i="181"/>
  <c r="CQ96" i="181"/>
  <c r="W96" i="181"/>
  <c r="BM96" i="181"/>
  <c r="BY96" i="181"/>
  <c r="AU96" i="181"/>
  <c r="CK96" i="181"/>
  <c r="DU96" i="181"/>
  <c r="AC96" i="181"/>
  <c r="BS96" i="181"/>
  <c r="BG96" i="181"/>
  <c r="GC96" i="181"/>
  <c r="EY96" i="181"/>
  <c r="AO96" i="181"/>
  <c r="AI96" i="181"/>
  <c r="CR137" i="181"/>
  <c r="X137" i="181"/>
  <c r="BT137" i="181"/>
  <c r="AD137" i="181"/>
  <c r="GD137" i="181"/>
  <c r="BZ137" i="181"/>
  <c r="BH137" i="181"/>
  <c r="AP137" i="181"/>
  <c r="EZ137" i="181"/>
  <c r="CL137" i="181"/>
  <c r="BB137" i="181"/>
  <c r="AJ137" i="181"/>
  <c r="DV137" i="181"/>
  <c r="CF137" i="181"/>
  <c r="BN137" i="181"/>
  <c r="AV137" i="181"/>
  <c r="BM177" i="181"/>
  <c r="GC177" i="181"/>
  <c r="AI177" i="181"/>
  <c r="DU177" i="181"/>
  <c r="CE177" i="181"/>
  <c r="AU177" i="181"/>
  <c r="CQ177" i="181"/>
  <c r="BY177" i="181"/>
  <c r="AC177" i="181"/>
  <c r="BG177" i="181"/>
  <c r="EY177" i="181"/>
  <c r="AO177" i="181"/>
  <c r="CK177" i="181"/>
  <c r="BS177" i="181"/>
  <c r="W177" i="181"/>
  <c r="BA177" i="181"/>
  <c r="CS48" i="181"/>
  <c r="Y48" i="181"/>
  <c r="BO48" i="181"/>
  <c r="FA48" i="181"/>
  <c r="AK48" i="181"/>
  <c r="CA48" i="181"/>
  <c r="AW48" i="181"/>
  <c r="CM48" i="181"/>
  <c r="BI48" i="181"/>
  <c r="DW48" i="181"/>
  <c r="AE48" i="181"/>
  <c r="BU48" i="181"/>
  <c r="BC48" i="181"/>
  <c r="GE48" i="181"/>
  <c r="AQ48" i="181"/>
  <c r="CG48" i="181"/>
  <c r="CN85" i="181"/>
  <c r="BJ85" i="181"/>
  <c r="DX85" i="181"/>
  <c r="AF85" i="181"/>
  <c r="BV85" i="181"/>
  <c r="GF85" i="181"/>
  <c r="AR85" i="181"/>
  <c r="CH85" i="181"/>
  <c r="BD85" i="181"/>
  <c r="CT85" i="181"/>
  <c r="Z85" i="181"/>
  <c r="BP85" i="181"/>
  <c r="FB85" i="181"/>
  <c r="AL85" i="181"/>
  <c r="CB85" i="181"/>
  <c r="AX85" i="181"/>
  <c r="CR126" i="181"/>
  <c r="GD126" i="181"/>
  <c r="BT126" i="181"/>
  <c r="AP126" i="181"/>
  <c r="DV126" i="181"/>
  <c r="CF126" i="181"/>
  <c r="BB126" i="181"/>
  <c r="BN126" i="181"/>
  <c r="AJ126" i="181"/>
  <c r="BZ126" i="181"/>
  <c r="EZ126" i="181"/>
  <c r="CL126" i="181"/>
  <c r="BH126" i="181"/>
  <c r="AD126" i="181"/>
  <c r="X126" i="181"/>
  <c r="AV126" i="181"/>
  <c r="BV167" i="181"/>
  <c r="BJ167" i="181"/>
  <c r="CT167" i="181"/>
  <c r="CB167" i="181"/>
  <c r="AR167" i="181"/>
  <c r="CN167" i="181"/>
  <c r="BD167" i="181"/>
  <c r="AL167" i="181"/>
  <c r="BP167" i="181"/>
  <c r="AX167" i="181"/>
  <c r="AF167" i="181"/>
  <c r="DX167" i="181"/>
  <c r="CH167" i="181"/>
  <c r="FB167" i="181"/>
  <c r="Z167" i="181"/>
  <c r="GF167" i="181"/>
  <c r="CH210" i="181"/>
  <c r="BP210" i="181"/>
  <c r="CT210" i="181"/>
  <c r="AF210" i="181"/>
  <c r="GF210" i="181"/>
  <c r="BJ210" i="181"/>
  <c r="AR210" i="181"/>
  <c r="BD210" i="181"/>
  <c r="Z210" i="181"/>
  <c r="DX210" i="181"/>
  <c r="AX210" i="181"/>
  <c r="CB210" i="181"/>
  <c r="FB210" i="181"/>
  <c r="BV210" i="181"/>
  <c r="CN210" i="181"/>
  <c r="AL210" i="181"/>
  <c r="EY76" i="181"/>
  <c r="AI76" i="181"/>
  <c r="BY76" i="181"/>
  <c r="AO76" i="181"/>
  <c r="W76" i="181"/>
  <c r="CK76" i="181"/>
  <c r="BS76" i="181"/>
  <c r="BA76" i="181"/>
  <c r="DU76" i="181"/>
  <c r="CE76" i="181"/>
  <c r="AU76" i="181"/>
  <c r="BM76" i="181"/>
  <c r="AC76" i="181"/>
  <c r="GC76" i="181"/>
  <c r="CQ76" i="181"/>
  <c r="BG76" i="181"/>
  <c r="CT116" i="181"/>
  <c r="Z116" i="181"/>
  <c r="BP116" i="181"/>
  <c r="FB116" i="181"/>
  <c r="AL116" i="181"/>
  <c r="CB116" i="181"/>
  <c r="CN116" i="181"/>
  <c r="BJ116" i="181"/>
  <c r="DX116" i="181"/>
  <c r="AF116" i="181"/>
  <c r="GF116" i="181"/>
  <c r="AR116" i="181"/>
  <c r="CH116" i="181"/>
  <c r="BV116" i="181"/>
  <c r="BD116" i="181"/>
  <c r="AX116" i="181"/>
  <c r="CT157" i="181"/>
  <c r="Z157" i="181"/>
  <c r="BP157" i="181"/>
  <c r="CB157" i="181"/>
  <c r="CN157" i="181"/>
  <c r="BJ157" i="181"/>
  <c r="DX157" i="181"/>
  <c r="AF157" i="181"/>
  <c r="GF157" i="181"/>
  <c r="AR157" i="181"/>
  <c r="CH157" i="181"/>
  <c r="BD157" i="181"/>
  <c r="AX157" i="181"/>
  <c r="FB157" i="181"/>
  <c r="AL157" i="181"/>
  <c r="BV157" i="181"/>
  <c r="CK199" i="181"/>
  <c r="BG199" i="181"/>
  <c r="BS199" i="181"/>
  <c r="GC199" i="181"/>
  <c r="CE199" i="181"/>
  <c r="BA199" i="181"/>
  <c r="BM199" i="181"/>
  <c r="AI199" i="181"/>
  <c r="EY199" i="181"/>
  <c r="BY199" i="181"/>
  <c r="DU199" i="181"/>
  <c r="AU199" i="181"/>
  <c r="AO199" i="181"/>
  <c r="AC199" i="181"/>
  <c r="W199" i="181"/>
  <c r="CQ199" i="181"/>
  <c r="FB126" i="181"/>
  <c r="DX126" i="181"/>
  <c r="CH126" i="181"/>
  <c r="BD126" i="181"/>
  <c r="Z126" i="181"/>
  <c r="BP126" i="181"/>
  <c r="CB126" i="181"/>
  <c r="AX126" i="181"/>
  <c r="AF126" i="181"/>
  <c r="BV126" i="181"/>
  <c r="CT126" i="181"/>
  <c r="AL126" i="181"/>
  <c r="CN126" i="181"/>
  <c r="BJ126" i="181"/>
  <c r="GF126" i="181"/>
  <c r="AR126" i="181"/>
  <c r="DV168" i="181"/>
  <c r="AD168" i="181"/>
  <c r="BZ168" i="181"/>
  <c r="CL168" i="181"/>
  <c r="EZ168" i="181"/>
  <c r="CF168" i="181"/>
  <c r="BN168" i="181"/>
  <c r="AP168" i="181"/>
  <c r="X168" i="181"/>
  <c r="BH168" i="181"/>
  <c r="BT168" i="181"/>
  <c r="BB168" i="181"/>
  <c r="AJ168" i="181"/>
  <c r="AV168" i="181"/>
  <c r="CR168" i="181"/>
  <c r="GD168" i="181"/>
  <c r="DW211" i="181"/>
  <c r="AE211" i="181"/>
  <c r="CG211" i="181"/>
  <c r="BC211" i="181"/>
  <c r="CS211" i="181"/>
  <c r="Y211" i="181"/>
  <c r="BO211" i="181"/>
  <c r="FA211" i="181"/>
  <c r="BU211" i="181"/>
  <c r="GE211" i="181"/>
  <c r="CM211" i="181"/>
  <c r="AQ211" i="181"/>
  <c r="BI211" i="181"/>
  <c r="AK211" i="181"/>
  <c r="CA211" i="181"/>
  <c r="AW211" i="181"/>
  <c r="DU114" i="181"/>
  <c r="AC114" i="181"/>
  <c r="BS114" i="181"/>
  <c r="GC114" i="181"/>
  <c r="AO114" i="181"/>
  <c r="CE114" i="181"/>
  <c r="CQ114" i="181"/>
  <c r="W114" i="181"/>
  <c r="BM114" i="181"/>
  <c r="EY114" i="181"/>
  <c r="AI114" i="181"/>
  <c r="AU114" i="181"/>
  <c r="CK114" i="181"/>
  <c r="BG114" i="181"/>
  <c r="BY114" i="181"/>
  <c r="BA114" i="181"/>
  <c r="GF154" i="181"/>
  <c r="AR154" i="181"/>
  <c r="CH154" i="181"/>
  <c r="CT154" i="181"/>
  <c r="Z154" i="181"/>
  <c r="FB154" i="181"/>
  <c r="AL154" i="181"/>
  <c r="CB154" i="181"/>
  <c r="BJ154" i="181"/>
  <c r="DX154" i="181"/>
  <c r="AF154" i="181"/>
  <c r="BV154" i="181"/>
  <c r="AX154" i="181"/>
  <c r="CN154" i="181"/>
  <c r="BD154" i="181"/>
  <c r="BP154" i="181"/>
  <c r="AW196" i="181"/>
  <c r="DW196" i="181"/>
  <c r="AE196" i="181"/>
  <c r="CG196" i="181"/>
  <c r="BO196" i="181"/>
  <c r="FA196" i="181"/>
  <c r="AK196" i="181"/>
  <c r="CA196" i="181"/>
  <c r="BC196" i="181"/>
  <c r="BU196" i="181"/>
  <c r="CM196" i="181"/>
  <c r="Y196" i="181"/>
  <c r="GE196" i="181"/>
  <c r="BI196" i="181"/>
  <c r="AQ196" i="181"/>
  <c r="CS196" i="181"/>
  <c r="BC64" i="181"/>
  <c r="CS64" i="181"/>
  <c r="Y64" i="181"/>
  <c r="BO64" i="181"/>
  <c r="FA64" i="181"/>
  <c r="AK64" i="181"/>
  <c r="CA64" i="181"/>
  <c r="AW64" i="181"/>
  <c r="CM64" i="181"/>
  <c r="BI64" i="181"/>
  <c r="DW64" i="181"/>
  <c r="AE64" i="181"/>
  <c r="BU64" i="181"/>
  <c r="GE64" i="181"/>
  <c r="AQ64" i="181"/>
  <c r="CG64" i="181"/>
  <c r="BH103" i="181"/>
  <c r="DV103" i="181"/>
  <c r="AD103" i="181"/>
  <c r="BT103" i="181"/>
  <c r="GD103" i="181"/>
  <c r="AP103" i="181"/>
  <c r="BB103" i="181"/>
  <c r="CR103" i="181"/>
  <c r="X103" i="181"/>
  <c r="BN103" i="181"/>
  <c r="BZ103" i="181"/>
  <c r="AV103" i="181"/>
  <c r="AJ103" i="181"/>
  <c r="CL103" i="181"/>
  <c r="CF103" i="181"/>
  <c r="EZ103" i="181"/>
  <c r="CH145" i="181"/>
  <c r="BD145" i="181"/>
  <c r="BP145" i="181"/>
  <c r="CB145" i="181"/>
  <c r="AX145" i="181"/>
  <c r="CN145" i="181"/>
  <c r="DX145" i="181"/>
  <c r="AF145" i="181"/>
  <c r="BV145" i="181"/>
  <c r="AL145" i="181"/>
  <c r="GF145" i="181"/>
  <c r="Z145" i="181"/>
  <c r="BJ145" i="181"/>
  <c r="CT145" i="181"/>
  <c r="AR145" i="181"/>
  <c r="FB145" i="181"/>
  <c r="CB187" i="181"/>
  <c r="BP187" i="181"/>
  <c r="DX187" i="181"/>
  <c r="AF187" i="181"/>
  <c r="GF187" i="181"/>
  <c r="CT187" i="181"/>
  <c r="BJ187" i="181"/>
  <c r="Z187" i="181"/>
  <c r="FB187" i="181"/>
  <c r="CN187" i="181"/>
  <c r="BV187" i="181"/>
  <c r="AR187" i="181"/>
  <c r="AL187" i="181"/>
  <c r="BD187" i="181"/>
  <c r="AX187" i="181"/>
  <c r="CH187" i="181"/>
  <c r="CK103" i="181"/>
  <c r="BG103" i="181"/>
  <c r="DU103" i="181"/>
  <c r="AC103" i="181"/>
  <c r="BS103" i="181"/>
  <c r="CE103" i="181"/>
  <c r="BA103" i="181"/>
  <c r="CQ103" i="181"/>
  <c r="W103" i="181"/>
  <c r="EY103" i="181"/>
  <c r="AI103" i="181"/>
  <c r="BY103" i="181"/>
  <c r="AU103" i="181"/>
  <c r="AO103" i="181"/>
  <c r="BM103" i="181"/>
  <c r="GC103" i="181"/>
  <c r="BZ52" i="181"/>
  <c r="AV52" i="181"/>
  <c r="CL52" i="181"/>
  <c r="BH52" i="181"/>
  <c r="DV52" i="181"/>
  <c r="AD52" i="181"/>
  <c r="BT52" i="181"/>
  <c r="GD52" i="181"/>
  <c r="AP52" i="181"/>
  <c r="CF52" i="181"/>
  <c r="BB52" i="181"/>
  <c r="CR52" i="181"/>
  <c r="X52" i="181"/>
  <c r="BN52" i="181"/>
  <c r="EZ52" i="181"/>
  <c r="AJ52" i="181"/>
  <c r="DV61" i="181"/>
  <c r="AD61" i="181"/>
  <c r="BT61" i="181"/>
  <c r="GD61" i="181"/>
  <c r="AP61" i="181"/>
  <c r="CF61" i="181"/>
  <c r="AV61" i="181"/>
  <c r="CL61" i="181"/>
  <c r="BB61" i="181"/>
  <c r="X61" i="181"/>
  <c r="EZ61" i="181"/>
  <c r="BZ61" i="181"/>
  <c r="CR61" i="181"/>
  <c r="BN61" i="181"/>
  <c r="AJ61" i="181"/>
  <c r="BH61" i="181"/>
  <c r="BG91" i="181"/>
  <c r="EY91" i="181"/>
  <c r="AI91" i="181"/>
  <c r="BY91" i="181"/>
  <c r="DU91" i="181"/>
  <c r="CE91" i="181"/>
  <c r="AU91" i="181"/>
  <c r="AC91" i="181"/>
  <c r="BM91" i="181"/>
  <c r="AO91" i="181"/>
  <c r="GC91" i="181"/>
  <c r="CQ91" i="181"/>
  <c r="W91" i="181"/>
  <c r="CK91" i="181"/>
  <c r="BS91" i="181"/>
  <c r="BA91" i="181"/>
  <c r="CB138" i="181"/>
  <c r="BD138" i="181"/>
  <c r="GF138" i="181"/>
  <c r="CT138" i="181"/>
  <c r="BJ138" i="181"/>
  <c r="AR138" i="181"/>
  <c r="Z138" i="181"/>
  <c r="FB138" i="181"/>
  <c r="CN138" i="181"/>
  <c r="BV138" i="181"/>
  <c r="AL138" i="181"/>
  <c r="DX138" i="181"/>
  <c r="CH138" i="181"/>
  <c r="BP138" i="181"/>
  <c r="AX138" i="181"/>
  <c r="AF138" i="181"/>
  <c r="BM107" i="181"/>
  <c r="GC107" i="181"/>
  <c r="AO107" i="181"/>
  <c r="CE107" i="181"/>
  <c r="EY107" i="181"/>
  <c r="CK107" i="181"/>
  <c r="BS107" i="181"/>
  <c r="AU107" i="181"/>
  <c r="AC107" i="181"/>
  <c r="DU107" i="181"/>
  <c r="W107" i="181"/>
  <c r="BY107" i="181"/>
  <c r="BG107" i="181"/>
  <c r="AI107" i="181"/>
  <c r="BA107" i="181"/>
  <c r="CQ107" i="181"/>
  <c r="DV73" i="181"/>
  <c r="AD73" i="181"/>
  <c r="BT73" i="181"/>
  <c r="GD73" i="181"/>
  <c r="AP73" i="181"/>
  <c r="CF73" i="181"/>
  <c r="BB73" i="181"/>
  <c r="CR73" i="181"/>
  <c r="X73" i="181"/>
  <c r="BN73" i="181"/>
  <c r="EZ73" i="181"/>
  <c r="AJ73" i="181"/>
  <c r="BZ73" i="181"/>
  <c r="AV73" i="181"/>
  <c r="CL73" i="181"/>
  <c r="BH73" i="181"/>
  <c r="EY52" i="181"/>
  <c r="AI52" i="181"/>
  <c r="BY52" i="181"/>
  <c r="AU52" i="181"/>
  <c r="CK52" i="181"/>
  <c r="BG52" i="181"/>
  <c r="DU52" i="181"/>
  <c r="AC52" i="181"/>
  <c r="BS52" i="181"/>
  <c r="GC52" i="181"/>
  <c r="AO52" i="181"/>
  <c r="CE52" i="181"/>
  <c r="BA52" i="181"/>
  <c r="CQ52" i="181"/>
  <c r="W52" i="181"/>
  <c r="BM52" i="181"/>
  <c r="DU62" i="181"/>
  <c r="AC62" i="181"/>
  <c r="BS62" i="181"/>
  <c r="GC62" i="181"/>
  <c r="AO62" i="181"/>
  <c r="CE62" i="181"/>
  <c r="CQ62" i="181"/>
  <c r="W62" i="181"/>
  <c r="BM62" i="181"/>
  <c r="EY62" i="181"/>
  <c r="AI62" i="181"/>
  <c r="AU62" i="181"/>
  <c r="CK62" i="181"/>
  <c r="BG62" i="181"/>
  <c r="BA62" i="181"/>
  <c r="BY62" i="181"/>
  <c r="CN100" i="181"/>
  <c r="BJ100" i="181"/>
  <c r="DX100" i="181"/>
  <c r="AF100" i="181"/>
  <c r="BV100" i="181"/>
  <c r="CH100" i="181"/>
  <c r="BD100" i="181"/>
  <c r="CT100" i="181"/>
  <c r="Z100" i="181"/>
  <c r="FB100" i="181"/>
  <c r="AL100" i="181"/>
  <c r="CB100" i="181"/>
  <c r="BP100" i="181"/>
  <c r="GF100" i="181"/>
  <c r="AX100" i="181"/>
  <c r="AR100" i="181"/>
  <c r="CK143" i="181"/>
  <c r="BG143" i="181"/>
  <c r="BS143" i="181"/>
  <c r="CE143" i="181"/>
  <c r="BA143" i="181"/>
  <c r="CQ143" i="181"/>
  <c r="W143" i="181"/>
  <c r="EY143" i="181"/>
  <c r="AI143" i="181"/>
  <c r="BY143" i="181"/>
  <c r="GC143" i="181"/>
  <c r="BM143" i="181"/>
  <c r="DU143" i="181"/>
  <c r="AU143" i="181"/>
  <c r="AO143" i="181"/>
  <c r="AC143" i="181"/>
  <c r="BB185" i="181"/>
  <c r="GD185" i="181"/>
  <c r="BN185" i="181"/>
  <c r="CR185" i="181"/>
  <c r="BZ185" i="181"/>
  <c r="BH185" i="181"/>
  <c r="CL185" i="181"/>
  <c r="BT185" i="181"/>
  <c r="X185" i="181"/>
  <c r="DV185" i="181"/>
  <c r="EZ185" i="181"/>
  <c r="AP185" i="181"/>
  <c r="AD185" i="181"/>
  <c r="CF185" i="181"/>
  <c r="AV185" i="181"/>
  <c r="AJ185" i="181"/>
  <c r="DV56" i="181"/>
  <c r="AD56" i="181"/>
  <c r="BT56" i="181"/>
  <c r="GD56" i="181"/>
  <c r="AP56" i="181"/>
  <c r="CF56" i="181"/>
  <c r="BB56" i="181"/>
  <c r="CR56" i="181"/>
  <c r="X56" i="181"/>
  <c r="BN56" i="181"/>
  <c r="EZ56" i="181"/>
  <c r="AJ56" i="181"/>
  <c r="BZ56" i="181"/>
  <c r="AV56" i="181"/>
  <c r="BH56" i="181"/>
  <c r="CL56" i="181"/>
  <c r="GC95" i="181"/>
  <c r="AO95" i="181"/>
  <c r="CE95" i="181"/>
  <c r="BA95" i="181"/>
  <c r="CQ95" i="181"/>
  <c r="W95" i="181"/>
  <c r="EY95" i="181"/>
  <c r="AI95" i="181"/>
  <c r="BY95" i="181"/>
  <c r="BG95" i="181"/>
  <c r="DU95" i="181"/>
  <c r="AC95" i="181"/>
  <c r="BS95" i="181"/>
  <c r="BM95" i="181"/>
  <c r="AU95" i="181"/>
  <c r="CK95" i="181"/>
  <c r="CE136" i="181"/>
  <c r="BG136" i="181"/>
  <c r="BM136" i="181"/>
  <c r="GC136" i="181"/>
  <c r="AU136" i="181"/>
  <c r="AC136" i="181"/>
  <c r="CQ136" i="181"/>
  <c r="BY136" i="181"/>
  <c r="EY136" i="181"/>
  <c r="AO136" i="181"/>
  <c r="W136" i="181"/>
  <c r="CK136" i="181"/>
  <c r="DU136" i="181"/>
  <c r="AI136" i="181"/>
  <c r="BA136" i="181"/>
  <c r="BS136" i="181"/>
  <c r="CQ176" i="181"/>
  <c r="W176" i="181"/>
  <c r="BG176" i="181"/>
  <c r="CK176" i="181"/>
  <c r="BS176" i="181"/>
  <c r="BA176" i="181"/>
  <c r="CE176" i="181"/>
  <c r="AI176" i="181"/>
  <c r="AU176" i="181"/>
  <c r="BY176" i="181"/>
  <c r="AO176" i="181"/>
  <c r="GC176" i="181"/>
  <c r="BM176" i="181"/>
  <c r="DU176" i="181"/>
  <c r="EY176" i="181"/>
  <c r="AC176" i="181"/>
  <c r="FA50" i="181"/>
  <c r="AK50" i="181"/>
  <c r="CA50" i="181"/>
  <c r="AW50" i="181"/>
  <c r="CM50" i="181"/>
  <c r="BI50" i="181"/>
  <c r="DW50" i="181"/>
  <c r="AE50" i="181"/>
  <c r="BU50" i="181"/>
  <c r="GE50" i="181"/>
  <c r="AQ50" i="181"/>
  <c r="CG50" i="181"/>
  <c r="BC50" i="181"/>
  <c r="CS50" i="181"/>
  <c r="Y50" i="181"/>
  <c r="BO50" i="181"/>
  <c r="DX87" i="181"/>
  <c r="AF87" i="181"/>
  <c r="BV87" i="181"/>
  <c r="GF87" i="181"/>
  <c r="AR87" i="181"/>
  <c r="CH87" i="181"/>
  <c r="BD87" i="181"/>
  <c r="CT87" i="181"/>
  <c r="Z87" i="181"/>
  <c r="BP87" i="181"/>
  <c r="FB87" i="181"/>
  <c r="AL87" i="181"/>
  <c r="CB87" i="181"/>
  <c r="AX87" i="181"/>
  <c r="CN87" i="181"/>
  <c r="BJ87" i="181"/>
  <c r="CA128" i="181"/>
  <c r="BC128" i="181"/>
  <c r="CS128" i="181"/>
  <c r="Y128" i="181"/>
  <c r="GE128" i="181"/>
  <c r="AK128" i="181"/>
  <c r="CM128" i="181"/>
  <c r="BU128" i="181"/>
  <c r="AW128" i="181"/>
  <c r="AE128" i="181"/>
  <c r="BO128" i="181"/>
  <c r="BI128" i="181"/>
  <c r="AQ128" i="181"/>
  <c r="FA128" i="181"/>
  <c r="DW128" i="181"/>
  <c r="CG128" i="181"/>
  <c r="CH169" i="181"/>
  <c r="BJ169" i="181"/>
  <c r="BV169" i="181"/>
  <c r="CT169" i="181"/>
  <c r="CB169" i="181"/>
  <c r="BD169" i="181"/>
  <c r="AL169" i="181"/>
  <c r="FB169" i="181"/>
  <c r="CN169" i="181"/>
  <c r="AF169" i="181"/>
  <c r="DX169" i="181"/>
  <c r="Z169" i="181"/>
  <c r="AX169" i="181"/>
  <c r="AR169" i="181"/>
  <c r="BP169" i="181"/>
  <c r="GF169" i="181"/>
  <c r="BT213" i="181"/>
  <c r="BB213" i="181"/>
  <c r="CR213" i="181"/>
  <c r="X213" i="181"/>
  <c r="BN213" i="181"/>
  <c r="EZ213" i="181"/>
  <c r="AJ213" i="181"/>
  <c r="BZ213" i="181"/>
  <c r="BH213" i="181"/>
  <c r="GD213" i="181"/>
  <c r="AP213" i="181"/>
  <c r="AD213" i="181"/>
  <c r="CL213" i="181"/>
  <c r="AV213" i="181"/>
  <c r="CF213" i="181"/>
  <c r="DV213" i="181"/>
  <c r="AU78" i="181"/>
  <c r="CK78" i="181"/>
  <c r="CQ78" i="181"/>
  <c r="BG78" i="181"/>
  <c r="BY78" i="181"/>
  <c r="AO78" i="181"/>
  <c r="W78" i="181"/>
  <c r="EY78" i="181"/>
  <c r="BS78" i="181"/>
  <c r="BA78" i="181"/>
  <c r="AI78" i="181"/>
  <c r="DU78" i="181"/>
  <c r="CE78" i="181"/>
  <c r="BM78" i="181"/>
  <c r="AC78" i="181"/>
  <c r="GC78" i="181"/>
  <c r="FB118" i="181"/>
  <c r="AL118" i="181"/>
  <c r="CB118" i="181"/>
  <c r="AX118" i="181"/>
  <c r="CN118" i="181"/>
  <c r="DX118" i="181"/>
  <c r="AF118" i="181"/>
  <c r="BV118" i="181"/>
  <c r="GF118" i="181"/>
  <c r="AR118" i="181"/>
  <c r="BD118" i="181"/>
  <c r="CT118" i="181"/>
  <c r="Z118" i="181"/>
  <c r="CH118" i="181"/>
  <c r="BP118" i="181"/>
  <c r="BJ118" i="181"/>
  <c r="EZ160" i="181"/>
  <c r="AJ160" i="181"/>
  <c r="CF160" i="181"/>
  <c r="BN160" i="181"/>
  <c r="AV160" i="181"/>
  <c r="AD160" i="181"/>
  <c r="GD160" i="181"/>
  <c r="CR160" i="181"/>
  <c r="BZ160" i="181"/>
  <c r="AP160" i="181"/>
  <c r="X160" i="181"/>
  <c r="CL160" i="181"/>
  <c r="BT160" i="181"/>
  <c r="BH160" i="181"/>
  <c r="BB160" i="181"/>
  <c r="DV160" i="181"/>
  <c r="DU201" i="181"/>
  <c r="AC201" i="181"/>
  <c r="CK201" i="181"/>
  <c r="AO201" i="181"/>
  <c r="BS201" i="181"/>
  <c r="BA201" i="181"/>
  <c r="GC201" i="181"/>
  <c r="AI201" i="181"/>
  <c r="BM201" i="181"/>
  <c r="AU201" i="181"/>
  <c r="BY201" i="181"/>
  <c r="EY201" i="181"/>
  <c r="BG201" i="181"/>
  <c r="CQ201" i="181"/>
  <c r="W201" i="181"/>
  <c r="CE201" i="181"/>
  <c r="EY69" i="181"/>
  <c r="AI69" i="181"/>
  <c r="BY69" i="181"/>
  <c r="AU69" i="181"/>
  <c r="CK69" i="181"/>
  <c r="BG69" i="181"/>
  <c r="DU69" i="181"/>
  <c r="AC69" i="181"/>
  <c r="BS69" i="181"/>
  <c r="GC69" i="181"/>
  <c r="AO69" i="181"/>
  <c r="CE69" i="181"/>
  <c r="BA69" i="181"/>
  <c r="CQ69" i="181"/>
  <c r="W69" i="181"/>
  <c r="BM69" i="181"/>
  <c r="AW108" i="181"/>
  <c r="CS108" i="181"/>
  <c r="Y108" i="181"/>
  <c r="BO108" i="181"/>
  <c r="FA108" i="181"/>
  <c r="CM108" i="181"/>
  <c r="AK108" i="181"/>
  <c r="BU108" i="181"/>
  <c r="BC108" i="181"/>
  <c r="DW108" i="181"/>
  <c r="AE108" i="181"/>
  <c r="CG108" i="181"/>
  <c r="CA108" i="181"/>
  <c r="BI108" i="181"/>
  <c r="AQ108" i="181"/>
  <c r="GE108" i="181"/>
  <c r="BZ150" i="181"/>
  <c r="AV150" i="181"/>
  <c r="CR150" i="181"/>
  <c r="X150" i="181"/>
  <c r="BN150" i="181"/>
  <c r="EZ150" i="181"/>
  <c r="CF150" i="181"/>
  <c r="BH150" i="181"/>
  <c r="AJ150" i="181"/>
  <c r="BT150" i="181"/>
  <c r="GD150" i="181"/>
  <c r="CL150" i="181"/>
  <c r="BB150" i="181"/>
  <c r="AP150" i="181"/>
  <c r="DV150" i="181"/>
  <c r="AD150" i="181"/>
  <c r="BB192" i="181"/>
  <c r="BT192" i="181"/>
  <c r="X192" i="181"/>
  <c r="DV192" i="181"/>
  <c r="CF192" i="181"/>
  <c r="AJ192" i="181"/>
  <c r="CR192" i="181"/>
  <c r="AV192" i="181"/>
  <c r="EZ192" i="181"/>
  <c r="AD192" i="181"/>
  <c r="CL192" i="181"/>
  <c r="BZ192" i="181"/>
  <c r="AP192" i="181"/>
  <c r="BN192" i="181"/>
  <c r="GD192" i="181"/>
  <c r="BH192" i="181"/>
  <c r="DV60" i="181"/>
  <c r="AD60" i="181"/>
  <c r="BT60" i="181"/>
  <c r="BZ60" i="181"/>
  <c r="AV60" i="181"/>
  <c r="EZ60" i="181"/>
  <c r="BH60" i="181"/>
  <c r="AJ60" i="181"/>
  <c r="BB60" i="181"/>
  <c r="CR60" i="181"/>
  <c r="GD60" i="181"/>
  <c r="CL60" i="181"/>
  <c r="X60" i="181"/>
  <c r="BN60" i="181"/>
  <c r="AP60" i="181"/>
  <c r="CF60" i="181"/>
  <c r="BM99" i="181"/>
  <c r="EY99" i="181"/>
  <c r="AI99" i="181"/>
  <c r="BY99" i="181"/>
  <c r="AU99" i="181"/>
  <c r="BG99" i="181"/>
  <c r="DU99" i="181"/>
  <c r="AC99" i="181"/>
  <c r="BS99" i="181"/>
  <c r="CE99" i="181"/>
  <c r="BA99" i="181"/>
  <c r="W99" i="181"/>
  <c r="GC99" i="181"/>
  <c r="AO99" i="181"/>
  <c r="CQ99" i="181"/>
  <c r="CK99" i="181"/>
  <c r="CN140" i="181"/>
  <c r="DX140" i="181"/>
  <c r="AF140" i="181"/>
  <c r="GF140" i="181"/>
  <c r="BP140" i="181"/>
  <c r="FB140" i="181"/>
  <c r="CH140" i="181"/>
  <c r="AX140" i="181"/>
  <c r="BJ140" i="181"/>
  <c r="CB140" i="181"/>
  <c r="AR140" i="181"/>
  <c r="Z140" i="181"/>
  <c r="BV140" i="181"/>
  <c r="BD140" i="181"/>
  <c r="AL140" i="181"/>
  <c r="CT140" i="181"/>
  <c r="AU180" i="181"/>
  <c r="CK180" i="181"/>
  <c r="CQ180" i="181"/>
  <c r="W180" i="181"/>
  <c r="BS180" i="181"/>
  <c r="BA180" i="181"/>
  <c r="DU180" i="181"/>
  <c r="AC180" i="181"/>
  <c r="CE180" i="181"/>
  <c r="BM180" i="181"/>
  <c r="GC180" i="181"/>
  <c r="BY180" i="181"/>
  <c r="BG180" i="181"/>
  <c r="AO180" i="181"/>
  <c r="EY180" i="181"/>
  <c r="AI180" i="181"/>
  <c r="CA51" i="181"/>
  <c r="AW51" i="181"/>
  <c r="CM51" i="181"/>
  <c r="BI51" i="181"/>
  <c r="DW51" i="181"/>
  <c r="AE51" i="181"/>
  <c r="BU51" i="181"/>
  <c r="GE51" i="181"/>
  <c r="AQ51" i="181"/>
  <c r="CG51" i="181"/>
  <c r="BC51" i="181"/>
  <c r="CS51" i="181"/>
  <c r="Y51" i="181"/>
  <c r="BO51" i="181"/>
  <c r="FA51" i="181"/>
  <c r="AK51" i="181"/>
  <c r="BV88" i="181"/>
  <c r="AR88" i="181"/>
  <c r="DX88" i="181"/>
  <c r="CH88" i="181"/>
  <c r="BD88" i="181"/>
  <c r="GF88" i="181"/>
  <c r="Z88" i="181"/>
  <c r="BP88" i="181"/>
  <c r="CT88" i="181"/>
  <c r="AL88" i="181"/>
  <c r="CB88" i="181"/>
  <c r="AX88" i="181"/>
  <c r="FB88" i="181"/>
  <c r="BJ88" i="181"/>
  <c r="CN88" i="181"/>
  <c r="AF88" i="181"/>
  <c r="CN129" i="181"/>
  <c r="BP129" i="181"/>
  <c r="FB129" i="181"/>
  <c r="AL129" i="181"/>
  <c r="CB129" i="181"/>
  <c r="BJ129" i="181"/>
  <c r="GF129" i="181"/>
  <c r="CT129" i="181"/>
  <c r="AR129" i="181"/>
  <c r="Z129" i="181"/>
  <c r="BV129" i="181"/>
  <c r="BD129" i="181"/>
  <c r="DX129" i="181"/>
  <c r="AX129" i="181"/>
  <c r="AF129" i="181"/>
  <c r="CH129" i="181"/>
  <c r="BD170" i="181"/>
  <c r="CT170" i="181"/>
  <c r="FB170" i="181"/>
  <c r="CN170" i="181"/>
  <c r="DX170" i="181"/>
  <c r="AF170" i="181"/>
  <c r="BV170" i="181"/>
  <c r="GF170" i="181"/>
  <c r="AR170" i="181"/>
  <c r="BJ170" i="181"/>
  <c r="AX170" i="181"/>
  <c r="Z170" i="181"/>
  <c r="CB170" i="181"/>
  <c r="BP170" i="181"/>
  <c r="AL170" i="181"/>
  <c r="CH170" i="181"/>
  <c r="CG214" i="181"/>
  <c r="BO214" i="181"/>
  <c r="FA214" i="181"/>
  <c r="AK214" i="181"/>
  <c r="CA214" i="181"/>
  <c r="AW214" i="181"/>
  <c r="CM214" i="181"/>
  <c r="DW214" i="181"/>
  <c r="AE214" i="181"/>
  <c r="BU214" i="181"/>
  <c r="GE214" i="181"/>
  <c r="BC214" i="181"/>
  <c r="Y214" i="181"/>
  <c r="AQ214" i="181"/>
  <c r="BI214" i="181"/>
  <c r="CS214" i="181"/>
  <c r="GC79" i="181"/>
  <c r="CK79" i="181"/>
  <c r="BG79" i="181"/>
  <c r="CQ79" i="181"/>
  <c r="BY79" i="181"/>
  <c r="AO79" i="181"/>
  <c r="W79" i="181"/>
  <c r="EY79" i="181"/>
  <c r="BS79" i="181"/>
  <c r="BA79" i="181"/>
  <c r="AI79" i="181"/>
  <c r="DU79" i="181"/>
  <c r="CE79" i="181"/>
  <c r="BM79" i="181"/>
  <c r="AC79" i="181"/>
  <c r="AU79" i="181"/>
  <c r="CB119" i="181"/>
  <c r="AX119" i="181"/>
  <c r="CN119" i="181"/>
  <c r="BJ119" i="181"/>
  <c r="BV119" i="181"/>
  <c r="GF119" i="181"/>
  <c r="AR119" i="181"/>
  <c r="CH119" i="181"/>
  <c r="CT119" i="181"/>
  <c r="Z119" i="181"/>
  <c r="BP119" i="181"/>
  <c r="DX119" i="181"/>
  <c r="AL119" i="181"/>
  <c r="AF119" i="181"/>
  <c r="BD119" i="181"/>
  <c r="FB119" i="181"/>
  <c r="BZ161" i="181"/>
  <c r="DV161" i="181"/>
  <c r="BB161" i="181"/>
  <c r="BN161" i="181"/>
  <c r="AV161" i="181"/>
  <c r="CF161" i="181"/>
  <c r="AD161" i="181"/>
  <c r="CR161" i="181"/>
  <c r="AP161" i="181"/>
  <c r="X161" i="181"/>
  <c r="GD161" i="181"/>
  <c r="CL161" i="181"/>
  <c r="AJ161" i="181"/>
  <c r="EZ161" i="181"/>
  <c r="BT161" i="181"/>
  <c r="BH161" i="181"/>
  <c r="CE204" i="181"/>
  <c r="AI204" i="181"/>
  <c r="GC204" i="181"/>
  <c r="BM204" i="181"/>
  <c r="AU204" i="181"/>
  <c r="EY204" i="181"/>
  <c r="AC204" i="181"/>
  <c r="BG204" i="181"/>
  <c r="AO204" i="181"/>
  <c r="BS204" i="181"/>
  <c r="W204" i="181"/>
  <c r="DU204" i="181"/>
  <c r="BA204" i="181"/>
  <c r="CQ204" i="181"/>
  <c r="CK204" i="181"/>
  <c r="BY204" i="181"/>
  <c r="BZ130" i="181"/>
  <c r="AV130" i="181"/>
  <c r="BH130" i="181"/>
  <c r="BT130" i="181"/>
  <c r="GD130" i="181"/>
  <c r="CF130" i="181"/>
  <c r="CR130" i="181"/>
  <c r="X130" i="181"/>
  <c r="BN130" i="181"/>
  <c r="CL130" i="181"/>
  <c r="AJ130" i="181"/>
  <c r="AD130" i="181"/>
  <c r="EZ130" i="181"/>
  <c r="DV130" i="181"/>
  <c r="AP130" i="181"/>
  <c r="BB130" i="181"/>
  <c r="CF171" i="181"/>
  <c r="BB171" i="181"/>
  <c r="BN171" i="181"/>
  <c r="AV171" i="181"/>
  <c r="BH171" i="181"/>
  <c r="DV171" i="181"/>
  <c r="AD171" i="181"/>
  <c r="BT171" i="181"/>
  <c r="GD171" i="181"/>
  <c r="EZ171" i="181"/>
  <c r="CR171" i="181"/>
  <c r="CL171" i="181"/>
  <c r="BZ171" i="181"/>
  <c r="AP171" i="181"/>
  <c r="AJ171" i="181"/>
  <c r="X171" i="181"/>
  <c r="GC215" i="181"/>
  <c r="AO215" i="181"/>
  <c r="CQ215" i="181"/>
  <c r="W215" i="181"/>
  <c r="BM215" i="181"/>
  <c r="EY215" i="181"/>
  <c r="AI215" i="181"/>
  <c r="BY215" i="181"/>
  <c r="AU215" i="181"/>
  <c r="CK215" i="181"/>
  <c r="BG215" i="181"/>
  <c r="DU215" i="181"/>
  <c r="AC215" i="181"/>
  <c r="BA215" i="181"/>
  <c r="CE215" i="181"/>
  <c r="BS215" i="181"/>
  <c r="BB117" i="181"/>
  <c r="CR117" i="181"/>
  <c r="X117" i="181"/>
  <c r="BN117" i="181"/>
  <c r="EZ117" i="181"/>
  <c r="AJ117" i="181"/>
  <c r="AV117" i="181"/>
  <c r="CL117" i="181"/>
  <c r="BH117" i="181"/>
  <c r="BT117" i="181"/>
  <c r="GD117" i="181"/>
  <c r="AP117" i="181"/>
  <c r="AD117" i="181"/>
  <c r="CF117" i="181"/>
  <c r="DV117" i="181"/>
  <c r="BZ117" i="181"/>
  <c r="CR158" i="181"/>
  <c r="X158" i="181"/>
  <c r="BN158" i="181"/>
  <c r="BZ158" i="181"/>
  <c r="CL158" i="181"/>
  <c r="BH158" i="181"/>
  <c r="DV158" i="181"/>
  <c r="AD158" i="181"/>
  <c r="GD158" i="181"/>
  <c r="AP158" i="181"/>
  <c r="CF158" i="181"/>
  <c r="BT158" i="181"/>
  <c r="EZ158" i="181"/>
  <c r="Q158" i="181"/>
  <c r="BB158" i="181"/>
  <c r="AV158" i="181"/>
  <c r="AJ158" i="181"/>
  <c r="DW199" i="181"/>
  <c r="AE199" i="181"/>
  <c r="BU199" i="181"/>
  <c r="GE199" i="181"/>
  <c r="CG199" i="181"/>
  <c r="CS199" i="181"/>
  <c r="Y199" i="181"/>
  <c r="BO199" i="181"/>
  <c r="FA199" i="181"/>
  <c r="CA199" i="181"/>
  <c r="AW199" i="181"/>
  <c r="CM199" i="181"/>
  <c r="BC199" i="181"/>
  <c r="AK199" i="181"/>
  <c r="BI199" i="181"/>
  <c r="AQ199" i="181"/>
  <c r="FA67" i="181"/>
  <c r="AK67" i="181"/>
  <c r="CA67" i="181"/>
  <c r="AW67" i="181"/>
  <c r="CM67" i="181"/>
  <c r="BI67" i="181"/>
  <c r="DW67" i="181"/>
  <c r="AE67" i="181"/>
  <c r="BU67" i="181"/>
  <c r="GE67" i="181"/>
  <c r="AQ67" i="181"/>
  <c r="CG67" i="181"/>
  <c r="BC67" i="181"/>
  <c r="CS67" i="181"/>
  <c r="Y67" i="181"/>
  <c r="BO67" i="181"/>
  <c r="BD106" i="181"/>
  <c r="CT106" i="181"/>
  <c r="BJ106" i="181"/>
  <c r="AR106" i="181"/>
  <c r="CN106" i="181"/>
  <c r="Z106" i="181"/>
  <c r="FB106" i="181"/>
  <c r="AL106" i="181"/>
  <c r="DX106" i="181"/>
  <c r="CH106" i="181"/>
  <c r="BP106" i="181"/>
  <c r="AF106" i="181"/>
  <c r="AX106" i="181"/>
  <c r="CB106" i="181"/>
  <c r="BV106" i="181"/>
  <c r="GF106" i="181"/>
  <c r="AX148" i="181"/>
  <c r="CT148" i="181"/>
  <c r="Z148" i="181"/>
  <c r="BP148" i="181"/>
  <c r="AL148" i="181"/>
  <c r="CN148" i="181"/>
  <c r="BV148" i="181"/>
  <c r="BD148" i="181"/>
  <c r="DX148" i="181"/>
  <c r="CH148" i="181"/>
  <c r="CB148" i="181"/>
  <c r="AR148" i="181"/>
  <c r="BJ148" i="181"/>
  <c r="GF148" i="181"/>
  <c r="FB148" i="181"/>
  <c r="AF148" i="181"/>
  <c r="BJ190" i="181"/>
  <c r="DX190" i="181"/>
  <c r="AF190" i="181"/>
  <c r="GF190" i="181"/>
  <c r="AR190" i="181"/>
  <c r="AX190" i="181"/>
  <c r="CB190" i="181"/>
  <c r="BD190" i="181"/>
  <c r="CT190" i="181"/>
  <c r="CN190" i="181"/>
  <c r="Z190" i="181"/>
  <c r="BP190" i="181"/>
  <c r="FB190" i="181"/>
  <c r="AL190" i="181"/>
  <c r="CH190" i="181"/>
  <c r="BV190" i="181"/>
  <c r="BV55" i="181"/>
  <c r="GF55" i="181"/>
  <c r="AR55" i="181"/>
  <c r="CH55" i="181"/>
  <c r="BD55" i="181"/>
  <c r="CT55" i="181"/>
  <c r="Z55" i="181"/>
  <c r="BP55" i="181"/>
  <c r="FB55" i="181"/>
  <c r="AL55" i="181"/>
  <c r="CB55" i="181"/>
  <c r="AX55" i="181"/>
  <c r="CN55" i="181"/>
  <c r="DX55" i="181"/>
  <c r="AF55" i="181"/>
  <c r="BJ55" i="181"/>
  <c r="CE117" i="181"/>
  <c r="BA117" i="181"/>
  <c r="CQ117" i="181"/>
  <c r="W117" i="181"/>
  <c r="BM117" i="181"/>
  <c r="BY117" i="181"/>
  <c r="AU117" i="181"/>
  <c r="CK117" i="181"/>
  <c r="DU117" i="181"/>
  <c r="AC117" i="181"/>
  <c r="BS117" i="181"/>
  <c r="AO117" i="181"/>
  <c r="AI117" i="181"/>
  <c r="GC117" i="181"/>
  <c r="EY117" i="181"/>
  <c r="BG117" i="181"/>
  <c r="BM83" i="181"/>
  <c r="EY83" i="181"/>
  <c r="AI83" i="181"/>
  <c r="BY83" i="181"/>
  <c r="CK83" i="181"/>
  <c r="BG83" i="181"/>
  <c r="DU83" i="181"/>
  <c r="AC83" i="181"/>
  <c r="BS83" i="181"/>
  <c r="GC83" i="181"/>
  <c r="AO83" i="181"/>
  <c r="CE83" i="181"/>
  <c r="CQ83" i="181"/>
  <c r="W83" i="181"/>
  <c r="BA83" i="181"/>
  <c r="AU83" i="181"/>
  <c r="EY121" i="181"/>
  <c r="AI121" i="181"/>
  <c r="BY121" i="181"/>
  <c r="AU121" i="181"/>
  <c r="CK121" i="181"/>
  <c r="DU121" i="181"/>
  <c r="AC121" i="181"/>
  <c r="BS121" i="181"/>
  <c r="GC121" i="181"/>
  <c r="AO121" i="181"/>
  <c r="BA121" i="181"/>
  <c r="CQ121" i="181"/>
  <c r="W121" i="181"/>
  <c r="BM121" i="181"/>
  <c r="BG121" i="181"/>
  <c r="CE121" i="181"/>
  <c r="BA205" i="181"/>
  <c r="CQ205" i="181"/>
  <c r="CK205" i="181"/>
  <c r="DU205" i="181"/>
  <c r="GC205" i="181"/>
  <c r="BM205" i="181"/>
  <c r="AU205" i="181"/>
  <c r="EY205" i="181"/>
  <c r="CE205" i="181"/>
  <c r="AO205" i="181"/>
  <c r="W205" i="181"/>
  <c r="BY205" i="181"/>
  <c r="BS205" i="181"/>
  <c r="AI205" i="181"/>
  <c r="BG205" i="181"/>
  <c r="AC205" i="181"/>
  <c r="AW178" i="181"/>
  <c r="CS178" i="181"/>
  <c r="Y178" i="181"/>
  <c r="CG178" i="181"/>
  <c r="BO178" i="181"/>
  <c r="AE178" i="181"/>
  <c r="GE178" i="181"/>
  <c r="AQ178" i="181"/>
  <c r="BU178" i="181"/>
  <c r="BC178" i="181"/>
  <c r="AK178" i="181"/>
  <c r="CA178" i="181"/>
  <c r="FA178" i="181"/>
  <c r="DW178" i="181"/>
  <c r="CM178" i="181"/>
  <c r="BI178" i="181"/>
  <c r="EY149" i="181"/>
  <c r="AI149" i="181"/>
  <c r="CE149" i="181"/>
  <c r="BA149" i="181"/>
  <c r="AU149" i="181"/>
  <c r="AC149" i="181"/>
  <c r="BY149" i="181"/>
  <c r="BG149" i="181"/>
  <c r="AO149" i="181"/>
  <c r="CQ149" i="181"/>
  <c r="GC149" i="181"/>
  <c r="DU149" i="181"/>
  <c r="W149" i="181"/>
  <c r="BM149" i="181"/>
  <c r="CK149" i="181"/>
  <c r="BS149" i="181"/>
  <c r="DV89" i="181"/>
  <c r="AD89" i="181"/>
  <c r="BZ89" i="181"/>
  <c r="AV89" i="181"/>
  <c r="GD89" i="181"/>
  <c r="CR89" i="181"/>
  <c r="BT89" i="181"/>
  <c r="BB89" i="181"/>
  <c r="AJ89" i="181"/>
  <c r="CL89" i="181"/>
  <c r="EZ89" i="181"/>
  <c r="CF89" i="181"/>
  <c r="BN89" i="181"/>
  <c r="AP89" i="181"/>
  <c r="X89" i="181"/>
  <c r="BH89" i="181"/>
  <c r="GC64" i="181"/>
  <c r="AO64" i="181"/>
  <c r="CE64" i="181"/>
  <c r="BA64" i="181"/>
  <c r="CQ64" i="181"/>
  <c r="W64" i="181"/>
  <c r="BM64" i="181"/>
  <c r="EY64" i="181"/>
  <c r="AI64" i="181"/>
  <c r="BY64" i="181"/>
  <c r="AU64" i="181"/>
  <c r="CK64" i="181"/>
  <c r="BG64" i="181"/>
  <c r="DU64" i="181"/>
  <c r="AC64" i="181"/>
  <c r="BS64" i="181"/>
  <c r="CE65" i="181"/>
  <c r="BA65" i="181"/>
  <c r="CQ65" i="181"/>
  <c r="W65" i="181"/>
  <c r="BM65" i="181"/>
  <c r="EY65" i="181"/>
  <c r="AI65" i="181"/>
  <c r="BY65" i="181"/>
  <c r="AU65" i="181"/>
  <c r="CK65" i="181"/>
  <c r="BG65" i="181"/>
  <c r="DU65" i="181"/>
  <c r="AC65" i="181"/>
  <c r="BS65" i="181"/>
  <c r="GC65" i="181"/>
  <c r="AO65" i="181"/>
  <c r="BV103" i="181"/>
  <c r="GF103" i="181"/>
  <c r="AR103" i="181"/>
  <c r="CH103" i="181"/>
  <c r="BD103" i="181"/>
  <c r="BP103" i="181"/>
  <c r="FB103" i="181"/>
  <c r="AL103" i="181"/>
  <c r="CB103" i="181"/>
  <c r="CN103" i="181"/>
  <c r="BJ103" i="181"/>
  <c r="DX103" i="181"/>
  <c r="CT103" i="181"/>
  <c r="AF103" i="181"/>
  <c r="Z103" i="181"/>
  <c r="AX103" i="181"/>
  <c r="BT146" i="181"/>
  <c r="AP146" i="181"/>
  <c r="CF146" i="181"/>
  <c r="X146" i="181"/>
  <c r="GD146" i="181"/>
  <c r="BN146" i="181"/>
  <c r="AJ146" i="181"/>
  <c r="CR146" i="181"/>
  <c r="AV146" i="181"/>
  <c r="EZ146" i="181"/>
  <c r="BH146" i="181"/>
  <c r="AD146" i="181"/>
  <c r="DV146" i="181"/>
  <c r="BB146" i="181"/>
  <c r="BZ146" i="181"/>
  <c r="CL146" i="181"/>
  <c r="EZ188" i="181"/>
  <c r="AJ188" i="181"/>
  <c r="CR188" i="181"/>
  <c r="X188" i="181"/>
  <c r="CL188" i="181"/>
  <c r="BT188" i="181"/>
  <c r="CF188" i="181"/>
  <c r="BN188" i="181"/>
  <c r="AV188" i="181"/>
  <c r="AD188" i="181"/>
  <c r="GD188" i="181"/>
  <c r="BZ188" i="181"/>
  <c r="BH188" i="181"/>
  <c r="AP188" i="181"/>
  <c r="BB188" i="181"/>
  <c r="DV188" i="181"/>
  <c r="BH59" i="181"/>
  <c r="EZ59" i="181"/>
  <c r="AJ59" i="181"/>
  <c r="BZ59" i="181"/>
  <c r="AP59" i="181"/>
  <c r="X59" i="181"/>
  <c r="GD59" i="181"/>
  <c r="CR59" i="181"/>
  <c r="BT59" i="181"/>
  <c r="BB59" i="181"/>
  <c r="CL59" i="181"/>
  <c r="AD59" i="181"/>
  <c r="AV59" i="181"/>
  <c r="DV59" i="181"/>
  <c r="BN59" i="181"/>
  <c r="CF59" i="181"/>
  <c r="CQ98" i="181"/>
  <c r="W98" i="181"/>
  <c r="BM98" i="181"/>
  <c r="EY98" i="181"/>
  <c r="AI98" i="181"/>
  <c r="BY98" i="181"/>
  <c r="CK98" i="181"/>
  <c r="BG98" i="181"/>
  <c r="DU98" i="181"/>
  <c r="AC98" i="181"/>
  <c r="GC98" i="181"/>
  <c r="AO98" i="181"/>
  <c r="CE98" i="181"/>
  <c r="BS98" i="181"/>
  <c r="BA98" i="181"/>
  <c r="AU98" i="181"/>
  <c r="EZ139" i="181"/>
  <c r="AJ139" i="181"/>
  <c r="CF139" i="181"/>
  <c r="DV139" i="181"/>
  <c r="BN139" i="181"/>
  <c r="AV139" i="181"/>
  <c r="AD139" i="181"/>
  <c r="GD139" i="181"/>
  <c r="BZ139" i="181"/>
  <c r="AP139" i="181"/>
  <c r="X139" i="181"/>
  <c r="BT139" i="181"/>
  <c r="BB139" i="181"/>
  <c r="BH139" i="181"/>
  <c r="CR139" i="181"/>
  <c r="CL139" i="181"/>
  <c r="BY179" i="181"/>
  <c r="BA179" i="181"/>
  <c r="AI179" i="181"/>
  <c r="CE179" i="181"/>
  <c r="BM179" i="181"/>
  <c r="AU179" i="181"/>
  <c r="GC179" i="181"/>
  <c r="CQ179" i="181"/>
  <c r="AO179" i="181"/>
  <c r="W179" i="181"/>
  <c r="EY179" i="181"/>
  <c r="CK179" i="181"/>
  <c r="BS179" i="181"/>
  <c r="BG179" i="181"/>
  <c r="DU179" i="181"/>
  <c r="AC179" i="181"/>
  <c r="CM53" i="181"/>
  <c r="BI53" i="181"/>
  <c r="DW53" i="181"/>
  <c r="AE53" i="181"/>
  <c r="BU53" i="181"/>
  <c r="GE53" i="181"/>
  <c r="AQ53" i="181"/>
  <c r="CG53" i="181"/>
  <c r="BC53" i="181"/>
  <c r="CS53" i="181"/>
  <c r="Y53" i="181"/>
  <c r="BO53" i="181"/>
  <c r="FA53" i="181"/>
  <c r="AK53" i="181"/>
  <c r="AW53" i="181"/>
  <c r="CA53" i="181"/>
  <c r="DU92" i="181"/>
  <c r="AC92" i="181"/>
  <c r="GC92" i="181"/>
  <c r="AO92" i="181"/>
  <c r="BA92" i="181"/>
  <c r="BY92" i="181"/>
  <c r="AU92" i="181"/>
  <c r="BS92" i="181"/>
  <c r="CK92" i="181"/>
  <c r="W92" i="181"/>
  <c r="EY92" i="181"/>
  <c r="BM92" i="181"/>
  <c r="CE92" i="181"/>
  <c r="BG92" i="181"/>
  <c r="AI92" i="181"/>
  <c r="CQ92" i="181"/>
  <c r="BH132" i="181"/>
  <c r="DV132" i="181"/>
  <c r="AD132" i="181"/>
  <c r="BT132" i="181"/>
  <c r="GD132" i="181"/>
  <c r="AP132" i="181"/>
  <c r="BB132" i="181"/>
  <c r="CR132" i="181"/>
  <c r="X132" i="181"/>
  <c r="BN132" i="181"/>
  <c r="BZ132" i="181"/>
  <c r="AV132" i="181"/>
  <c r="Q132" i="181"/>
  <c r="CF132" i="181"/>
  <c r="EZ132" i="181"/>
  <c r="AJ132" i="181"/>
  <c r="CL132" i="181"/>
  <c r="BP172" i="181"/>
  <c r="FB172" i="181"/>
  <c r="AL172" i="181"/>
  <c r="AX172" i="181"/>
  <c r="DX172" i="181"/>
  <c r="AF172" i="181"/>
  <c r="GF172" i="181"/>
  <c r="AR172" i="181"/>
  <c r="CH172" i="181"/>
  <c r="BD172" i="181"/>
  <c r="CB172" i="181"/>
  <c r="CT172" i="181"/>
  <c r="CN172" i="181"/>
  <c r="BV172" i="181"/>
  <c r="BJ172" i="181"/>
  <c r="Z172" i="181"/>
  <c r="GC44" i="181"/>
  <c r="DU44" i="181"/>
  <c r="CE44" i="181"/>
  <c r="BG44" i="181"/>
  <c r="AI44" i="181"/>
  <c r="FW44" i="181"/>
  <c r="DO44" i="181"/>
  <c r="BY44" i="181"/>
  <c r="BA44" i="181"/>
  <c r="AC44" i="181"/>
  <c r="EY44" i="181"/>
  <c r="CQ44" i="181"/>
  <c r="BS44" i="181"/>
  <c r="AU44" i="181"/>
  <c r="W44" i="181"/>
  <c r="ES44" i="181"/>
  <c r="CK44" i="181"/>
  <c r="BM44" i="181"/>
  <c r="AO44" i="181"/>
  <c r="BO81" i="181"/>
  <c r="GE81" i="181"/>
  <c r="AQ81" i="181"/>
  <c r="CG81" i="181"/>
  <c r="AW81" i="181"/>
  <c r="DW81" i="181"/>
  <c r="AE81" i="181"/>
  <c r="CS81" i="181"/>
  <c r="CA81" i="181"/>
  <c r="Y81" i="181"/>
  <c r="BI81" i="181"/>
  <c r="FA81" i="181"/>
  <c r="BC81" i="181"/>
  <c r="AK81" i="181"/>
  <c r="BU81" i="181"/>
  <c r="CM81" i="181"/>
  <c r="BY122" i="181"/>
  <c r="AU122" i="181"/>
  <c r="CK122" i="181"/>
  <c r="BG122" i="181"/>
  <c r="BS122" i="181"/>
  <c r="GC122" i="181"/>
  <c r="AO122" i="181"/>
  <c r="CE122" i="181"/>
  <c r="CQ122" i="181"/>
  <c r="W122" i="181"/>
  <c r="BM122" i="181"/>
  <c r="EY122" i="181"/>
  <c r="DU122" i="181"/>
  <c r="AC122" i="181"/>
  <c r="BA122" i="181"/>
  <c r="AI122" i="181"/>
  <c r="CM163" i="181"/>
  <c r="BI163" i="181"/>
  <c r="BU163" i="181"/>
  <c r="CG163" i="181"/>
  <c r="BC163" i="181"/>
  <c r="CS163" i="181"/>
  <c r="FA163" i="181"/>
  <c r="AK163" i="181"/>
  <c r="CA163" i="181"/>
  <c r="GE163" i="181"/>
  <c r="AQ163" i="181"/>
  <c r="DW163" i="181"/>
  <c r="AE163" i="181"/>
  <c r="Y163" i="181"/>
  <c r="AW163" i="181"/>
  <c r="BO163" i="181"/>
  <c r="CQ206" i="181"/>
  <c r="W206" i="181"/>
  <c r="BM206" i="181"/>
  <c r="CK206" i="181"/>
  <c r="BG206" i="181"/>
  <c r="BS206" i="181"/>
  <c r="GC206" i="181"/>
  <c r="CE206" i="181"/>
  <c r="AI206" i="181"/>
  <c r="BA206" i="181"/>
  <c r="EY206" i="181"/>
  <c r="BY206" i="181"/>
  <c r="AU206" i="181"/>
  <c r="AO206" i="181"/>
  <c r="DU206" i="181"/>
  <c r="AC206" i="181"/>
  <c r="BH72" i="181"/>
  <c r="DV72" i="181"/>
  <c r="AD72" i="181"/>
  <c r="BT72" i="181"/>
  <c r="GD72" i="181"/>
  <c r="AP72" i="181"/>
  <c r="CF72" i="181"/>
  <c r="BB72" i="181"/>
  <c r="CR72" i="181"/>
  <c r="X72" i="181"/>
  <c r="BN72" i="181"/>
  <c r="EZ72" i="181"/>
  <c r="AJ72" i="181"/>
  <c r="BZ72" i="181"/>
  <c r="AV72" i="181"/>
  <c r="CL72" i="181"/>
  <c r="DW112" i="181"/>
  <c r="AE112" i="181"/>
  <c r="BU112" i="181"/>
  <c r="GE112" i="181"/>
  <c r="AQ112" i="181"/>
  <c r="CG112" i="181"/>
  <c r="CS112" i="181"/>
  <c r="Y112" i="181"/>
  <c r="BO112" i="181"/>
  <c r="AW112" i="181"/>
  <c r="CM112" i="181"/>
  <c r="CA112" i="181"/>
  <c r="FA112" i="181"/>
  <c r="AK112" i="181"/>
  <c r="BI112" i="181"/>
  <c r="BC112" i="181"/>
  <c r="BH153" i="181"/>
  <c r="DV153" i="181"/>
  <c r="AD153" i="181"/>
  <c r="GD153" i="181"/>
  <c r="AP153" i="181"/>
  <c r="BB153" i="181"/>
  <c r="CR153" i="181"/>
  <c r="X153" i="181"/>
  <c r="BZ153" i="181"/>
  <c r="AV153" i="181"/>
  <c r="CL153" i="181"/>
  <c r="CF153" i="181"/>
  <c r="EZ153" i="181"/>
  <c r="BT153" i="181"/>
  <c r="BN153" i="181"/>
  <c r="AJ153" i="181"/>
  <c r="EZ195" i="181"/>
  <c r="AJ195" i="181"/>
  <c r="BB195" i="181"/>
  <c r="AD195" i="181"/>
  <c r="GD195" i="181"/>
  <c r="BH195" i="181"/>
  <c r="CL195" i="181"/>
  <c r="DV195" i="181"/>
  <c r="AP195" i="181"/>
  <c r="BZ195" i="181"/>
  <c r="BT195" i="181"/>
  <c r="BN195" i="181"/>
  <c r="AV195" i="181"/>
  <c r="CR195" i="181"/>
  <c r="CF195" i="181"/>
  <c r="X195" i="181"/>
  <c r="GD63" i="181"/>
  <c r="AP63" i="181"/>
  <c r="CF63" i="181"/>
  <c r="BB63" i="181"/>
  <c r="CR63" i="181"/>
  <c r="X63" i="181"/>
  <c r="BN63" i="181"/>
  <c r="EZ63" i="181"/>
  <c r="AJ63" i="181"/>
  <c r="BZ63" i="181"/>
  <c r="AV63" i="181"/>
  <c r="BH63" i="181"/>
  <c r="DV63" i="181"/>
  <c r="AD63" i="181"/>
  <c r="CL63" i="181"/>
  <c r="BT63" i="181"/>
  <c r="AU102" i="181"/>
  <c r="CK102" i="181"/>
  <c r="BG102" i="181"/>
  <c r="DU102" i="181"/>
  <c r="AC102" i="181"/>
  <c r="GC102" i="181"/>
  <c r="AO102" i="181"/>
  <c r="CE102" i="181"/>
  <c r="BA102" i="181"/>
  <c r="BM102" i="181"/>
  <c r="EY102" i="181"/>
  <c r="AI102" i="181"/>
  <c r="CQ102" i="181"/>
  <c r="W102" i="181"/>
  <c r="BY102" i="181"/>
  <c r="BS102" i="181"/>
  <c r="DV144" i="181"/>
  <c r="AD144" i="181"/>
  <c r="BT144" i="181"/>
  <c r="CF144" i="181"/>
  <c r="CR144" i="181"/>
  <c r="X144" i="181"/>
  <c r="BN144" i="181"/>
  <c r="EZ144" i="181"/>
  <c r="AJ144" i="181"/>
  <c r="AV144" i="181"/>
  <c r="CL144" i="181"/>
  <c r="AP144" i="181"/>
  <c r="BH144" i="181"/>
  <c r="GD144" i="181"/>
  <c r="BB144" i="181"/>
  <c r="BZ144" i="181"/>
  <c r="BO186" i="181"/>
  <c r="AQ186" i="181"/>
  <c r="BU186" i="181"/>
  <c r="BC186" i="181"/>
  <c r="GE186" i="181"/>
  <c r="CA186" i="181"/>
  <c r="FA186" i="181"/>
  <c r="AE186" i="181"/>
  <c r="BI186" i="181"/>
  <c r="CS186" i="181"/>
  <c r="AW186" i="181"/>
  <c r="CM186" i="181"/>
  <c r="CG186" i="181"/>
  <c r="AK186" i="181"/>
  <c r="Y186" i="181"/>
  <c r="DW186" i="181"/>
  <c r="BI54" i="181"/>
  <c r="DW54" i="181"/>
  <c r="AE54" i="181"/>
  <c r="BU54" i="181"/>
  <c r="GE54" i="181"/>
  <c r="AQ54" i="181"/>
  <c r="CG54" i="181"/>
  <c r="BC54" i="181"/>
  <c r="CS54" i="181"/>
  <c r="Y54" i="181"/>
  <c r="BO54" i="181"/>
  <c r="FA54" i="181"/>
  <c r="AK54" i="181"/>
  <c r="CA54" i="181"/>
  <c r="CM54" i="181"/>
  <c r="AW54" i="181"/>
  <c r="BT93" i="181"/>
  <c r="GD93" i="181"/>
  <c r="AP93" i="181"/>
  <c r="BB93" i="181"/>
  <c r="BN93" i="181"/>
  <c r="CL93" i="181"/>
  <c r="BH93" i="181"/>
  <c r="AD93" i="181"/>
  <c r="CF93" i="181"/>
  <c r="X93" i="181"/>
  <c r="EZ93" i="181"/>
  <c r="BZ93" i="181"/>
  <c r="AV93" i="181"/>
  <c r="DV93" i="181"/>
  <c r="CR93" i="181"/>
  <c r="AJ93" i="181"/>
  <c r="CH133" i="181"/>
  <c r="DX133" i="181"/>
  <c r="AR133" i="181"/>
  <c r="GF133" i="181"/>
  <c r="BD133" i="181"/>
  <c r="Z133" i="181"/>
  <c r="AL133" i="181"/>
  <c r="CB133" i="181"/>
  <c r="FB133" i="181"/>
  <c r="AX133" i="181"/>
  <c r="CN133" i="181"/>
  <c r="BJ133" i="181"/>
  <c r="AF133" i="181"/>
  <c r="BP133" i="181"/>
  <c r="CT133" i="181"/>
  <c r="BV133" i="181"/>
  <c r="FB173" i="181"/>
  <c r="AL173" i="181"/>
  <c r="CB173" i="181"/>
  <c r="CN173" i="181"/>
  <c r="DX173" i="181"/>
  <c r="BV173" i="181"/>
  <c r="CH173" i="181"/>
  <c r="BD173" i="181"/>
  <c r="CT173" i="181"/>
  <c r="Z173" i="181"/>
  <c r="AR173" i="181"/>
  <c r="GF173" i="181"/>
  <c r="AF173" i="181"/>
  <c r="BP173" i="181"/>
  <c r="AX173" i="181"/>
  <c r="BJ173" i="181"/>
  <c r="CH45" i="181"/>
  <c r="BD45" i="181"/>
  <c r="CT45" i="181"/>
  <c r="Z45" i="181"/>
  <c r="BP45" i="181"/>
  <c r="FB45" i="181"/>
  <c r="AL45" i="181"/>
  <c r="CB45" i="181"/>
  <c r="AX45" i="181"/>
  <c r="CN45" i="181"/>
  <c r="BJ45" i="181"/>
  <c r="DX45" i="181"/>
  <c r="AF45" i="181"/>
  <c r="GF45" i="181"/>
  <c r="BV45" i="181"/>
  <c r="AR45" i="181"/>
  <c r="CB82" i="181"/>
  <c r="CN82" i="181"/>
  <c r="DX82" i="181"/>
  <c r="AF82" i="181"/>
  <c r="BV82" i="181"/>
  <c r="BD82" i="181"/>
  <c r="CT82" i="181"/>
  <c r="Z82" i="181"/>
  <c r="AR82" i="181"/>
  <c r="CH82" i="181"/>
  <c r="FB82" i="181"/>
  <c r="BJ82" i="181"/>
  <c r="AL82" i="181"/>
  <c r="AX82" i="181"/>
  <c r="GF82" i="181"/>
  <c r="BP82" i="181"/>
  <c r="AU123" i="181"/>
  <c r="CK123" i="181"/>
  <c r="BG123" i="181"/>
  <c r="DU123" i="181"/>
  <c r="AC123" i="181"/>
  <c r="GC123" i="181"/>
  <c r="AO123" i="181"/>
  <c r="CE123" i="181"/>
  <c r="BA123" i="181"/>
  <c r="BM123" i="181"/>
  <c r="EY123" i="181"/>
  <c r="AI123" i="181"/>
  <c r="BY123" i="181"/>
  <c r="BS123" i="181"/>
  <c r="W123" i="181"/>
  <c r="CQ123" i="181"/>
  <c r="CN164" i="181"/>
  <c r="FB164" i="181"/>
  <c r="AF164" i="181"/>
  <c r="BJ164" i="181"/>
  <c r="AR164" i="181"/>
  <c r="Z164" i="181"/>
  <c r="CH164" i="181"/>
  <c r="BD164" i="181"/>
  <c r="GF164" i="181"/>
  <c r="CT164" i="181"/>
  <c r="BP164" i="181"/>
  <c r="BV164" i="181"/>
  <c r="DX164" i="181"/>
  <c r="AL164" i="181"/>
  <c r="CB164" i="181"/>
  <c r="AX164" i="181"/>
  <c r="BM207" i="181"/>
  <c r="EY207" i="181"/>
  <c r="AI207" i="181"/>
  <c r="AU207" i="181"/>
  <c r="BG207" i="181"/>
  <c r="DU207" i="181"/>
  <c r="AC207" i="181"/>
  <c r="GC207" i="181"/>
  <c r="AO207" i="181"/>
  <c r="CE207" i="181"/>
  <c r="BA207" i="181"/>
  <c r="CK207" i="181"/>
  <c r="BY207" i="181"/>
  <c r="BS207" i="181"/>
  <c r="CQ207" i="181"/>
  <c r="W207" i="181"/>
  <c r="GD134" i="181"/>
  <c r="AP134" i="181"/>
  <c r="AV134" i="181"/>
  <c r="EZ134" i="181"/>
  <c r="BZ134" i="181"/>
  <c r="AD134" i="181"/>
  <c r="CL134" i="181"/>
  <c r="BH134" i="181"/>
  <c r="DV134" i="181"/>
  <c r="BT134" i="181"/>
  <c r="X134" i="181"/>
  <c r="BB134" i="181"/>
  <c r="AJ134" i="181"/>
  <c r="CR134" i="181"/>
  <c r="BN134" i="181"/>
  <c r="CF134" i="181"/>
  <c r="FA174" i="181"/>
  <c r="AK174" i="181"/>
  <c r="CA174" i="181"/>
  <c r="CM174" i="181"/>
  <c r="DW174" i="181"/>
  <c r="AE174" i="181"/>
  <c r="BU174" i="181"/>
  <c r="CG174" i="181"/>
  <c r="BC174" i="181"/>
  <c r="CS174" i="181"/>
  <c r="Y174" i="181"/>
  <c r="GE174" i="181"/>
  <c r="AQ174" i="181"/>
  <c r="BO174" i="181"/>
  <c r="BI174" i="181"/>
  <c r="AW174" i="181"/>
  <c r="DW79" i="181"/>
  <c r="AE79" i="181"/>
  <c r="BU79" i="181"/>
  <c r="BI79" i="181"/>
  <c r="Y79" i="181"/>
  <c r="FA79" i="181"/>
  <c r="CM79" i="181"/>
  <c r="BC79" i="181"/>
  <c r="AK79" i="181"/>
  <c r="CG79" i="181"/>
  <c r="BO79" i="181"/>
  <c r="AW79" i="181"/>
  <c r="GE79" i="181"/>
  <c r="CS79" i="181"/>
  <c r="CA79" i="181"/>
  <c r="AQ79" i="181"/>
  <c r="EZ120" i="181"/>
  <c r="AJ120" i="181"/>
  <c r="BZ120" i="181"/>
  <c r="AV120" i="181"/>
  <c r="CL120" i="181"/>
  <c r="DV120" i="181"/>
  <c r="AD120" i="181"/>
  <c r="BT120" i="181"/>
  <c r="GD120" i="181"/>
  <c r="AP120" i="181"/>
  <c r="BB120" i="181"/>
  <c r="CR120" i="181"/>
  <c r="X120" i="181"/>
  <c r="BN120" i="181"/>
  <c r="CF120" i="181"/>
  <c r="BH120" i="181"/>
  <c r="CN161" i="181"/>
  <c r="GF161" i="181"/>
  <c r="BP161" i="181"/>
  <c r="DX161" i="181"/>
  <c r="CB161" i="181"/>
  <c r="AR161" i="181"/>
  <c r="BV161" i="181"/>
  <c r="BD161" i="181"/>
  <c r="AL161" i="181"/>
  <c r="CT161" i="181"/>
  <c r="CH161" i="181"/>
  <c r="AF161" i="181"/>
  <c r="Z161" i="181"/>
  <c r="FB161" i="181"/>
  <c r="BJ161" i="181"/>
  <c r="AX161" i="181"/>
  <c r="CS204" i="181"/>
  <c r="Y204" i="181"/>
  <c r="AW204" i="181"/>
  <c r="FA204" i="181"/>
  <c r="AE204" i="181"/>
  <c r="CM204" i="181"/>
  <c r="AQ204" i="181"/>
  <c r="DW204" i="181"/>
  <c r="BC204" i="181"/>
  <c r="CG204" i="181"/>
  <c r="AK204" i="181"/>
  <c r="CA204" i="181"/>
  <c r="GE204" i="181"/>
  <c r="BO204" i="181"/>
  <c r="BI204" i="181"/>
  <c r="BU204" i="181"/>
  <c r="CM70" i="181"/>
  <c r="BI70" i="181"/>
  <c r="DW70" i="181"/>
  <c r="AE70" i="181"/>
  <c r="BU70" i="181"/>
  <c r="GE70" i="181"/>
  <c r="AQ70" i="181"/>
  <c r="CG70" i="181"/>
  <c r="BC70" i="181"/>
  <c r="CS70" i="181"/>
  <c r="Y70" i="181"/>
  <c r="BO70" i="181"/>
  <c r="FA70" i="181"/>
  <c r="AK70" i="181"/>
  <c r="CA70" i="181"/>
  <c r="AW70" i="181"/>
  <c r="CM110" i="181"/>
  <c r="BI110" i="181"/>
  <c r="BU110" i="181"/>
  <c r="BC110" i="181"/>
  <c r="FA110" i="181"/>
  <c r="AK110" i="181"/>
  <c r="CA110" i="181"/>
  <c r="CG110" i="181"/>
  <c r="DW110" i="181"/>
  <c r="AE110" i="181"/>
  <c r="CS110" i="181"/>
  <c r="AW110" i="181"/>
  <c r="GE110" i="181"/>
  <c r="BO110" i="181"/>
  <c r="Y110" i="181"/>
  <c r="AQ110" i="181"/>
  <c r="BJ151" i="181"/>
  <c r="DX151" i="181"/>
  <c r="AF151" i="181"/>
  <c r="GF151" i="181"/>
  <c r="AR151" i="181"/>
  <c r="CT151" i="181"/>
  <c r="CB151" i="181"/>
  <c r="AX151" i="181"/>
  <c r="BD151" i="181"/>
  <c r="BP151" i="181"/>
  <c r="CN151" i="181"/>
  <c r="CH151" i="181"/>
  <c r="AL151" i="181"/>
  <c r="FB151" i="181"/>
  <c r="BV151" i="181"/>
  <c r="Z151" i="181"/>
  <c r="FB193" i="181"/>
  <c r="AL193" i="181"/>
  <c r="AF193" i="181"/>
  <c r="BJ193" i="181"/>
  <c r="AR193" i="181"/>
  <c r="Z193" i="181"/>
  <c r="DX193" i="181"/>
  <c r="BD193" i="181"/>
  <c r="BP193" i="181"/>
  <c r="GF193" i="181"/>
  <c r="CT193" i="181"/>
  <c r="AX193" i="181"/>
  <c r="CN193" i="181"/>
  <c r="CH193" i="181"/>
  <c r="CB193" i="181"/>
  <c r="BV193" i="181"/>
  <c r="GD94" i="181"/>
  <c r="AP94" i="181"/>
  <c r="CF94" i="181"/>
  <c r="BB94" i="181"/>
  <c r="CR94" i="181"/>
  <c r="X94" i="181"/>
  <c r="EZ94" i="181"/>
  <c r="AJ94" i="181"/>
  <c r="BZ94" i="181"/>
  <c r="BH94" i="181"/>
  <c r="DV94" i="181"/>
  <c r="AD94" i="181"/>
  <c r="AV94" i="181"/>
  <c r="CL94" i="181"/>
  <c r="BT94" i="181"/>
  <c r="BN94" i="181"/>
  <c r="AV131" i="181"/>
  <c r="CL131" i="181"/>
  <c r="BH131" i="181"/>
  <c r="DV131" i="181"/>
  <c r="AD131" i="181"/>
  <c r="GD131" i="181"/>
  <c r="AP131" i="181"/>
  <c r="CF131" i="181"/>
  <c r="BB131" i="181"/>
  <c r="BN131" i="181"/>
  <c r="EZ131" i="181"/>
  <c r="AJ131" i="181"/>
  <c r="CR131" i="181"/>
  <c r="X131" i="181"/>
  <c r="BZ131" i="181"/>
  <c r="BT131" i="181"/>
  <c r="CB67" i="181"/>
  <c r="AX67" i="181"/>
  <c r="CN67" i="181"/>
  <c r="BJ67" i="181"/>
  <c r="DX67" i="181"/>
  <c r="AF67" i="181"/>
  <c r="BV67" i="181"/>
  <c r="GF67" i="181"/>
  <c r="AR67" i="181"/>
  <c r="CH67" i="181"/>
  <c r="BD67" i="181"/>
  <c r="CT67" i="181"/>
  <c r="Z67" i="181"/>
  <c r="BP67" i="181"/>
  <c r="AL67" i="181"/>
  <c r="FB67" i="181"/>
  <c r="CN52" i="181"/>
  <c r="BJ52" i="181"/>
  <c r="DX52" i="181"/>
  <c r="AF52" i="181"/>
  <c r="BV52" i="181"/>
  <c r="GF52" i="181"/>
  <c r="AR52" i="181"/>
  <c r="CH52" i="181"/>
  <c r="BD52" i="181"/>
  <c r="CT52" i="181"/>
  <c r="Z52" i="181"/>
  <c r="BP52" i="181"/>
  <c r="FB52" i="181"/>
  <c r="AL52" i="181"/>
  <c r="CB52" i="181"/>
  <c r="AX52" i="181"/>
  <c r="BH55" i="181"/>
  <c r="DV55" i="181"/>
  <c r="AD55" i="181"/>
  <c r="BT55" i="181"/>
  <c r="GD55" i="181"/>
  <c r="AP55" i="181"/>
  <c r="CF55" i="181"/>
  <c r="BB55" i="181"/>
  <c r="CR55" i="181"/>
  <c r="X55" i="181"/>
  <c r="BN55" i="181"/>
  <c r="EZ55" i="181"/>
  <c r="AJ55" i="181"/>
  <c r="BZ55" i="181"/>
  <c r="CL55" i="181"/>
  <c r="AV55" i="181"/>
  <c r="GC191" i="181"/>
  <c r="AO191" i="181"/>
  <c r="CQ191" i="181"/>
  <c r="AU191" i="181"/>
  <c r="EY191" i="181"/>
  <c r="AC191" i="181"/>
  <c r="CK191" i="181"/>
  <c r="DU191" i="181"/>
  <c r="BA191" i="181"/>
  <c r="W191" i="181"/>
  <c r="AI191" i="181"/>
  <c r="CE191" i="181"/>
  <c r="BS191" i="181"/>
  <c r="BG191" i="181"/>
  <c r="BM191" i="181"/>
  <c r="BY191" i="181"/>
  <c r="BP117" i="181"/>
  <c r="FB117" i="181"/>
  <c r="AL117" i="181"/>
  <c r="CB117" i="181"/>
  <c r="AX117" i="181"/>
  <c r="BJ117" i="181"/>
  <c r="DX117" i="181"/>
  <c r="AF117" i="181"/>
  <c r="BV117" i="181"/>
  <c r="CH117" i="181"/>
  <c r="BD117" i="181"/>
  <c r="CT117" i="181"/>
  <c r="CN117" i="181"/>
  <c r="Z117" i="181"/>
  <c r="GF117" i="181"/>
  <c r="AR117" i="181"/>
  <c r="BZ76" i="181"/>
  <c r="AV76" i="181"/>
  <c r="X76" i="181"/>
  <c r="CL76" i="181"/>
  <c r="EZ76" i="181"/>
  <c r="BT76" i="181"/>
  <c r="BB76" i="181"/>
  <c r="AJ76" i="181"/>
  <c r="DV76" i="181"/>
  <c r="CF76" i="181"/>
  <c r="BN76" i="181"/>
  <c r="AD76" i="181"/>
  <c r="GD76" i="181"/>
  <c r="CR76" i="181"/>
  <c r="BH76" i="181"/>
  <c r="AP76" i="181"/>
  <c r="BM68" i="181"/>
  <c r="EY68" i="181"/>
  <c r="AI68" i="181"/>
  <c r="BY68" i="181"/>
  <c r="AU68" i="181"/>
  <c r="CK68" i="181"/>
  <c r="BG68" i="181"/>
  <c r="DU68" i="181"/>
  <c r="AC68" i="181"/>
  <c r="BS68" i="181"/>
  <c r="GC68" i="181"/>
  <c r="AO68" i="181"/>
  <c r="CE68" i="181"/>
  <c r="BA68" i="181"/>
  <c r="CQ68" i="181"/>
  <c r="W68" i="181"/>
  <c r="EZ107" i="181"/>
  <c r="AJ107" i="181"/>
  <c r="CF107" i="181"/>
  <c r="BB107" i="181"/>
  <c r="AV107" i="181"/>
  <c r="AD107" i="181"/>
  <c r="BN107" i="181"/>
  <c r="BZ107" i="181"/>
  <c r="BH107" i="181"/>
  <c r="AP107" i="181"/>
  <c r="CR107" i="181"/>
  <c r="GD107" i="181"/>
  <c r="DV107" i="181"/>
  <c r="X107" i="181"/>
  <c r="CL107" i="181"/>
  <c r="BT107" i="181"/>
  <c r="BZ149" i="181"/>
  <c r="BB149" i="181"/>
  <c r="CR149" i="181"/>
  <c r="X149" i="181"/>
  <c r="AV149" i="181"/>
  <c r="AD149" i="181"/>
  <c r="BN149" i="181"/>
  <c r="DV149" i="181"/>
  <c r="CF149" i="181"/>
  <c r="BH149" i="181"/>
  <c r="AP149" i="181"/>
  <c r="CL149" i="181"/>
  <c r="BT149" i="181"/>
  <c r="EZ149" i="181"/>
  <c r="AJ149" i="181"/>
  <c r="GD149" i="181"/>
  <c r="CF191" i="181"/>
  <c r="AV191" i="181"/>
  <c r="BZ191" i="181"/>
  <c r="BH191" i="181"/>
  <c r="AP191" i="181"/>
  <c r="GD191" i="181"/>
  <c r="BN191" i="181"/>
  <c r="DV191" i="181"/>
  <c r="AJ191" i="181"/>
  <c r="AD191" i="181"/>
  <c r="CL191" i="181"/>
  <c r="BT191" i="181"/>
  <c r="X191" i="181"/>
  <c r="CR191" i="181"/>
  <c r="EZ191" i="181"/>
  <c r="BB191" i="181"/>
  <c r="BT62" i="181"/>
  <c r="GD62" i="181"/>
  <c r="AP62" i="181"/>
  <c r="CF62" i="181"/>
  <c r="BB62" i="181"/>
  <c r="BN62" i="181"/>
  <c r="EZ62" i="181"/>
  <c r="AJ62" i="181"/>
  <c r="BZ62" i="181"/>
  <c r="CL62" i="181"/>
  <c r="BH62" i="181"/>
  <c r="AV62" i="181"/>
  <c r="DV62" i="181"/>
  <c r="CR62" i="181"/>
  <c r="AD62" i="181"/>
  <c r="X62" i="181"/>
  <c r="BY101" i="181"/>
  <c r="AU101" i="181"/>
  <c r="CK101" i="181"/>
  <c r="BG101" i="181"/>
  <c r="BS101" i="181"/>
  <c r="GC101" i="181"/>
  <c r="AO101" i="181"/>
  <c r="CE101" i="181"/>
  <c r="CQ101" i="181"/>
  <c r="W101" i="181"/>
  <c r="BM101" i="181"/>
  <c r="AI101" i="181"/>
  <c r="AC101" i="181"/>
  <c r="BA101" i="181"/>
  <c r="EY101" i="181"/>
  <c r="DU101" i="181"/>
  <c r="BH143" i="181"/>
  <c r="DV143" i="181"/>
  <c r="AD143" i="181"/>
  <c r="GD143" i="181"/>
  <c r="AP143" i="181"/>
  <c r="BB143" i="181"/>
  <c r="CR143" i="181"/>
  <c r="X143" i="181"/>
  <c r="BN143" i="181"/>
  <c r="BZ143" i="181"/>
  <c r="AV143" i="181"/>
  <c r="EZ143" i="181"/>
  <c r="CL143" i="181"/>
  <c r="AJ143" i="181"/>
  <c r="CF143" i="181"/>
  <c r="BT143" i="181"/>
  <c r="CS185" i="181"/>
  <c r="Y185" i="181"/>
  <c r="AW185" i="181"/>
  <c r="FA185" i="181"/>
  <c r="AE185" i="181"/>
  <c r="CM185" i="181"/>
  <c r="AQ185" i="181"/>
  <c r="DW185" i="181"/>
  <c r="BC185" i="181"/>
  <c r="CG185" i="181"/>
  <c r="AK185" i="181"/>
  <c r="BI185" i="181"/>
  <c r="CA185" i="181"/>
  <c r="BU185" i="181"/>
  <c r="GE185" i="181"/>
  <c r="BO185" i="181"/>
  <c r="BU56" i="181"/>
  <c r="GE56" i="181"/>
  <c r="AQ56" i="181"/>
  <c r="CG56" i="181"/>
  <c r="BC56" i="181"/>
  <c r="CS56" i="181"/>
  <c r="Y56" i="181"/>
  <c r="BO56" i="181"/>
  <c r="FA56" i="181"/>
  <c r="AK56" i="181"/>
  <c r="CA56" i="181"/>
  <c r="AW56" i="181"/>
  <c r="CM56" i="181"/>
  <c r="AE56" i="181"/>
  <c r="BI56" i="181"/>
  <c r="DW56" i="181"/>
  <c r="CF95" i="181"/>
  <c r="BB95" i="181"/>
  <c r="CR95" i="181"/>
  <c r="X95" i="181"/>
  <c r="BN95" i="181"/>
  <c r="BZ95" i="181"/>
  <c r="AV95" i="181"/>
  <c r="DV95" i="181"/>
  <c r="AD95" i="181"/>
  <c r="BT95" i="181"/>
  <c r="GD95" i="181"/>
  <c r="EZ95" i="181"/>
  <c r="BH95" i="181"/>
  <c r="CL95" i="181"/>
  <c r="AP95" i="181"/>
  <c r="AJ95" i="181"/>
  <c r="BB136" i="181"/>
  <c r="DV136" i="181"/>
  <c r="AD136" i="181"/>
  <c r="GD136" i="181"/>
  <c r="AV136" i="181"/>
  <c r="CR136" i="181"/>
  <c r="BZ136" i="181"/>
  <c r="X136" i="181"/>
  <c r="CL136" i="181"/>
  <c r="BT136" i="181"/>
  <c r="CF136" i="181"/>
  <c r="BH136" i="181"/>
  <c r="AP136" i="181"/>
  <c r="AJ136" i="181"/>
  <c r="BN136" i="181"/>
  <c r="EZ136" i="181"/>
  <c r="BN176" i="181"/>
  <c r="CL176" i="181"/>
  <c r="AP176" i="181"/>
  <c r="DV176" i="181"/>
  <c r="X176" i="181"/>
  <c r="CF176" i="181"/>
  <c r="AJ176" i="181"/>
  <c r="GD176" i="181"/>
  <c r="CR176" i="181"/>
  <c r="AV176" i="181"/>
  <c r="BZ176" i="181"/>
  <c r="EZ176" i="181"/>
  <c r="AD176" i="181"/>
  <c r="BT176" i="181"/>
  <c r="BB176" i="181"/>
  <c r="BH176" i="181"/>
  <c r="CT47" i="181"/>
  <c r="Z47" i="181"/>
  <c r="BP47" i="181"/>
  <c r="FB47" i="181"/>
  <c r="AL47" i="181"/>
  <c r="CB47" i="181"/>
  <c r="AX47" i="181"/>
  <c r="CN47" i="181"/>
  <c r="BJ47" i="181"/>
  <c r="DX47" i="181"/>
  <c r="AF47" i="181"/>
  <c r="BV47" i="181"/>
  <c r="GF47" i="181"/>
  <c r="AR47" i="181"/>
  <c r="BD47" i="181"/>
  <c r="CH47" i="181"/>
  <c r="EY85" i="181"/>
  <c r="AI85" i="181"/>
  <c r="BY85" i="181"/>
  <c r="AU85" i="181"/>
  <c r="CK85" i="181"/>
  <c r="BG85" i="181"/>
  <c r="DU85" i="181"/>
  <c r="AC85" i="181"/>
  <c r="BS85" i="181"/>
  <c r="GC85" i="181"/>
  <c r="AO85" i="181"/>
  <c r="CE85" i="181"/>
  <c r="BA85" i="181"/>
  <c r="CQ85" i="181"/>
  <c r="W85" i="181"/>
  <c r="BM85" i="181"/>
  <c r="DV125" i="181"/>
  <c r="AD125" i="181"/>
  <c r="BT125" i="181"/>
  <c r="GD125" i="181"/>
  <c r="AP125" i="181"/>
  <c r="CF125" i="181"/>
  <c r="CR125" i="181"/>
  <c r="X125" i="181"/>
  <c r="BN125" i="181"/>
  <c r="EZ125" i="181"/>
  <c r="AJ125" i="181"/>
  <c r="AV125" i="181"/>
  <c r="CL125" i="181"/>
  <c r="BH125" i="181"/>
  <c r="BB125" i="181"/>
  <c r="BZ125" i="181"/>
  <c r="CK167" i="181"/>
  <c r="BY167" i="181"/>
  <c r="BM167" i="181"/>
  <c r="AU167" i="181"/>
  <c r="AC167" i="181"/>
  <c r="CQ167" i="181"/>
  <c r="BG167" i="181"/>
  <c r="W167" i="181"/>
  <c r="EY167" i="181"/>
  <c r="BS167" i="181"/>
  <c r="AI167" i="181"/>
  <c r="DU167" i="181"/>
  <c r="GC167" i="181"/>
  <c r="BA167" i="181"/>
  <c r="CE167" i="181"/>
  <c r="AO167" i="181"/>
  <c r="BJ209" i="181"/>
  <c r="DX209" i="181"/>
  <c r="AF209" i="181"/>
  <c r="GF209" i="181"/>
  <c r="AR209" i="181"/>
  <c r="BD209" i="181"/>
  <c r="CT209" i="181"/>
  <c r="Z209" i="181"/>
  <c r="FB209" i="181"/>
  <c r="AL209" i="181"/>
  <c r="CB209" i="181"/>
  <c r="AX209" i="181"/>
  <c r="BP209" i="181"/>
  <c r="CN209" i="181"/>
  <c r="CH209" i="181"/>
  <c r="BV209" i="181"/>
  <c r="EZ75" i="181"/>
  <c r="BZ75" i="181"/>
  <c r="CL75" i="181"/>
  <c r="AP75" i="181"/>
  <c r="BT75" i="181"/>
  <c r="X75" i="181"/>
  <c r="BB75" i="181"/>
  <c r="DV75" i="181"/>
  <c r="CF75" i="181"/>
  <c r="AJ75" i="181"/>
  <c r="BN75" i="181"/>
  <c r="AV75" i="181"/>
  <c r="GD75" i="181"/>
  <c r="CR75" i="181"/>
  <c r="AD75" i="181"/>
  <c r="BH75" i="181"/>
  <c r="GC116" i="181"/>
  <c r="AO116" i="181"/>
  <c r="CE116" i="181"/>
  <c r="BA116" i="181"/>
  <c r="CQ116" i="181"/>
  <c r="W116" i="181"/>
  <c r="EY116" i="181"/>
  <c r="AI116" i="181"/>
  <c r="BY116" i="181"/>
  <c r="AU116" i="181"/>
  <c r="BG116" i="181"/>
  <c r="DU116" i="181"/>
  <c r="AC116" i="181"/>
  <c r="CK116" i="181"/>
  <c r="BM116" i="181"/>
  <c r="BS116" i="181"/>
  <c r="BD156" i="181"/>
  <c r="CT156" i="181"/>
  <c r="Z156" i="181"/>
  <c r="FB156" i="181"/>
  <c r="AL156" i="181"/>
  <c r="AX156" i="181"/>
  <c r="CN156" i="181"/>
  <c r="BJ156" i="181"/>
  <c r="BV156" i="181"/>
  <c r="GF156" i="181"/>
  <c r="AR156" i="181"/>
  <c r="CB156" i="181"/>
  <c r="DX156" i="181"/>
  <c r="BP156" i="181"/>
  <c r="AF156" i="181"/>
  <c r="CH156" i="181"/>
  <c r="CL198" i="181"/>
  <c r="BH198" i="181"/>
  <c r="BT198" i="181"/>
  <c r="CF198" i="181"/>
  <c r="BB198" i="181"/>
  <c r="BN198" i="181"/>
  <c r="EZ198" i="181"/>
  <c r="AJ198" i="181"/>
  <c r="BZ198" i="181"/>
  <c r="GD198" i="181"/>
  <c r="DV198" i="181"/>
  <c r="CR198" i="181"/>
  <c r="AV198" i="181"/>
  <c r="AP198" i="181"/>
  <c r="X198" i="181"/>
  <c r="AD198" i="181"/>
  <c r="CR66" i="181"/>
  <c r="X66" i="181"/>
  <c r="BN66" i="181"/>
  <c r="EZ66" i="181"/>
  <c r="AJ66" i="181"/>
  <c r="BZ66" i="181"/>
  <c r="AV66" i="181"/>
  <c r="CL66" i="181"/>
  <c r="BH66" i="181"/>
  <c r="DV66" i="181"/>
  <c r="AD66" i="181"/>
  <c r="BT66" i="181"/>
  <c r="GD66" i="181"/>
  <c r="AP66" i="181"/>
  <c r="CF66" i="181"/>
  <c r="BB66" i="181"/>
  <c r="DU105" i="181"/>
  <c r="AC105" i="181"/>
  <c r="BS105" i="181"/>
  <c r="GC105" i="181"/>
  <c r="AO105" i="181"/>
  <c r="CE105" i="181"/>
  <c r="CQ105" i="181"/>
  <c r="W105" i="181"/>
  <c r="BM105" i="181"/>
  <c r="EY105" i="181"/>
  <c r="AI105" i="181"/>
  <c r="AU105" i="181"/>
  <c r="CK105" i="181"/>
  <c r="BA105" i="181"/>
  <c r="BY105" i="181"/>
  <c r="BG105" i="181"/>
  <c r="FA147" i="181"/>
  <c r="AK147" i="181"/>
  <c r="CG147" i="181"/>
  <c r="BO147" i="181"/>
  <c r="AW147" i="181"/>
  <c r="GE147" i="181"/>
  <c r="CS147" i="181"/>
  <c r="CA147" i="181"/>
  <c r="BI147" i="181"/>
  <c r="CM147" i="181"/>
  <c r="BC147" i="181"/>
  <c r="DW147" i="181"/>
  <c r="AQ147" i="181"/>
  <c r="AE147" i="181"/>
  <c r="Y147" i="181"/>
  <c r="BU147" i="181"/>
  <c r="AW189" i="181"/>
  <c r="CM189" i="181"/>
  <c r="DW189" i="181"/>
  <c r="FA189" i="181"/>
  <c r="AK189" i="181"/>
  <c r="GE189" i="181"/>
  <c r="BU189" i="181"/>
  <c r="BC189" i="181"/>
  <c r="CG189" i="181"/>
  <c r="BO189" i="181"/>
  <c r="AE189" i="181"/>
  <c r="BI189" i="181"/>
  <c r="CA189" i="181"/>
  <c r="AQ189" i="181"/>
  <c r="Y189" i="181"/>
  <c r="CS189" i="181"/>
  <c r="BO57" i="181"/>
  <c r="FA57" i="181"/>
  <c r="AK57" i="181"/>
  <c r="CA57" i="181"/>
  <c r="GE57" i="181"/>
  <c r="CS57" i="181"/>
  <c r="BI57" i="181"/>
  <c r="AQ57" i="181"/>
  <c r="Y57" i="181"/>
  <c r="CM57" i="181"/>
  <c r="BU57" i="181"/>
  <c r="BC57" i="181"/>
  <c r="DW57" i="181"/>
  <c r="CG57" i="181"/>
  <c r="AW57" i="181"/>
  <c r="AE57" i="181"/>
  <c r="BB96" i="181"/>
  <c r="CR96" i="181"/>
  <c r="X96" i="181"/>
  <c r="BN96" i="181"/>
  <c r="EZ96" i="181"/>
  <c r="AJ96" i="181"/>
  <c r="AV96" i="181"/>
  <c r="CL96" i="181"/>
  <c r="BH96" i="181"/>
  <c r="BT96" i="181"/>
  <c r="GD96" i="181"/>
  <c r="AP96" i="181"/>
  <c r="DV96" i="181"/>
  <c r="AD96" i="181"/>
  <c r="CF96" i="181"/>
  <c r="BZ96" i="181"/>
  <c r="BO137" i="181"/>
  <c r="GE137" i="181"/>
  <c r="AQ137" i="181"/>
  <c r="CS137" i="181"/>
  <c r="CA137" i="181"/>
  <c r="BI137" i="181"/>
  <c r="Y137" i="181"/>
  <c r="CM137" i="181"/>
  <c r="BU137" i="181"/>
  <c r="BC137" i="181"/>
  <c r="AK137" i="181"/>
  <c r="DW137" i="181"/>
  <c r="CG137" i="181"/>
  <c r="AW137" i="181"/>
  <c r="AE137" i="181"/>
  <c r="FA137" i="181"/>
  <c r="EZ177" i="181"/>
  <c r="AJ177" i="181"/>
  <c r="CF177" i="181"/>
  <c r="DV177" i="181"/>
  <c r="BN177" i="181"/>
  <c r="BH177" i="181"/>
  <c r="CL177" i="181"/>
  <c r="BT177" i="181"/>
  <c r="X177" i="181"/>
  <c r="BB177" i="181"/>
  <c r="GD177" i="181"/>
  <c r="AV177" i="181"/>
  <c r="CR177" i="181"/>
  <c r="AP177" i="181"/>
  <c r="AD177" i="181"/>
  <c r="BZ177" i="181"/>
  <c r="BP48" i="181"/>
  <c r="FB48" i="181"/>
  <c r="AL48" i="181"/>
  <c r="CB48" i="181"/>
  <c r="AX48" i="181"/>
  <c r="CN48" i="181"/>
  <c r="BJ48" i="181"/>
  <c r="DX48" i="181"/>
  <c r="AF48" i="181"/>
  <c r="BV48" i="181"/>
  <c r="GF48" i="181"/>
  <c r="AR48" i="181"/>
  <c r="CH48" i="181"/>
  <c r="CT48" i="181"/>
  <c r="BD48" i="181"/>
  <c r="Z48" i="181"/>
  <c r="BY86" i="181"/>
  <c r="AU86" i="181"/>
  <c r="CK86" i="181"/>
  <c r="BG86" i="181"/>
  <c r="DU86" i="181"/>
  <c r="AC86" i="181"/>
  <c r="BS86" i="181"/>
  <c r="GC86" i="181"/>
  <c r="AO86" i="181"/>
  <c r="CE86" i="181"/>
  <c r="BA86" i="181"/>
  <c r="CQ86" i="181"/>
  <c r="W86" i="181"/>
  <c r="BM86" i="181"/>
  <c r="EY86" i="181"/>
  <c r="AI86" i="181"/>
  <c r="AQ126" i="181"/>
  <c r="DW126" i="181"/>
  <c r="CG126" i="181"/>
  <c r="BC126" i="181"/>
  <c r="Y126" i="181"/>
  <c r="GE126" i="181"/>
  <c r="CS126" i="181"/>
  <c r="AK126" i="181"/>
  <c r="CA126" i="181"/>
  <c r="AW126" i="181"/>
  <c r="CM126" i="181"/>
  <c r="BI126" i="181"/>
  <c r="AE126" i="181"/>
  <c r="BU126" i="181"/>
  <c r="BO126" i="181"/>
  <c r="FA126" i="181"/>
  <c r="BG168" i="181"/>
  <c r="EY168" i="181"/>
  <c r="AI168" i="181"/>
  <c r="AU168" i="181"/>
  <c r="CK168" i="181"/>
  <c r="AC168" i="181"/>
  <c r="AO168" i="181"/>
  <c r="W168" i="181"/>
  <c r="GC168" i="181"/>
  <c r="CQ168" i="181"/>
  <c r="BY168" i="181"/>
  <c r="BS168" i="181"/>
  <c r="BM168" i="181"/>
  <c r="BA168" i="181"/>
  <c r="DU168" i="181"/>
  <c r="CE168" i="181"/>
  <c r="CK211" i="181"/>
  <c r="BS211" i="181"/>
  <c r="GC211" i="181"/>
  <c r="AO211" i="181"/>
  <c r="CE211" i="181"/>
  <c r="BA211" i="181"/>
  <c r="DU211" i="181"/>
  <c r="AI211" i="181"/>
  <c r="BY211" i="181"/>
  <c r="BM211" i="181"/>
  <c r="AU211" i="181"/>
  <c r="W211" i="181"/>
  <c r="EY211" i="181"/>
  <c r="CQ211" i="181"/>
  <c r="BG211" i="181"/>
  <c r="AC211" i="181"/>
  <c r="CQ138" i="181"/>
  <c r="W138" i="181"/>
  <c r="BS138" i="181"/>
  <c r="DU138" i="181"/>
  <c r="CE138" i="181"/>
  <c r="BM138" i="181"/>
  <c r="AU138" i="181"/>
  <c r="AC138" i="181"/>
  <c r="GC138" i="181"/>
  <c r="BG138" i="181"/>
  <c r="AO138" i="181"/>
  <c r="EY138" i="181"/>
  <c r="BA138" i="181"/>
  <c r="AI138" i="181"/>
  <c r="CK138" i="181"/>
  <c r="BY138" i="181"/>
  <c r="AX177" i="181"/>
  <c r="CT177" i="181"/>
  <c r="CB177" i="181"/>
  <c r="BJ177" i="181"/>
  <c r="AR177" i="181"/>
  <c r="FB177" i="181"/>
  <c r="CN177" i="181"/>
  <c r="BD177" i="181"/>
  <c r="DX177" i="181"/>
  <c r="AL177" i="181"/>
  <c r="CH177" i="181"/>
  <c r="AF177" i="181"/>
  <c r="BV177" i="181"/>
  <c r="Z177" i="181"/>
  <c r="GF177" i="181"/>
  <c r="BP177" i="181"/>
  <c r="CA83" i="181"/>
  <c r="AW83" i="181"/>
  <c r="CM83" i="181"/>
  <c r="DW83" i="181"/>
  <c r="AE83" i="181"/>
  <c r="BU83" i="181"/>
  <c r="GE83" i="181"/>
  <c r="AQ83" i="181"/>
  <c r="CG83" i="181"/>
  <c r="BC83" i="181"/>
  <c r="CS83" i="181"/>
  <c r="Y83" i="181"/>
  <c r="FA83" i="181"/>
  <c r="AK83" i="181"/>
  <c r="BO83" i="181"/>
  <c r="BI83" i="181"/>
  <c r="BI123" i="181"/>
  <c r="DW123" i="181"/>
  <c r="AE123" i="181"/>
  <c r="BU123" i="181"/>
  <c r="GE123" i="181"/>
  <c r="AQ123" i="181"/>
  <c r="BC123" i="181"/>
  <c r="CS123" i="181"/>
  <c r="Y123" i="181"/>
  <c r="BO123" i="181"/>
  <c r="CA123" i="181"/>
  <c r="AW123" i="181"/>
  <c r="FA123" i="181"/>
  <c r="CM123" i="181"/>
  <c r="CG123" i="181"/>
  <c r="AK123" i="181"/>
  <c r="AV165" i="181"/>
  <c r="DV165" i="181"/>
  <c r="X165" i="181"/>
  <c r="BB165" i="181"/>
  <c r="GD165" i="181"/>
  <c r="AJ165" i="181"/>
  <c r="CR165" i="181"/>
  <c r="BZ165" i="181"/>
  <c r="AD165" i="181"/>
  <c r="CL165" i="181"/>
  <c r="AP165" i="181"/>
  <c r="CF165" i="181"/>
  <c r="BN165" i="181"/>
  <c r="EZ165" i="181"/>
  <c r="BH165" i="181"/>
  <c r="BT165" i="181"/>
  <c r="AX207" i="181"/>
  <c r="CN207" i="181"/>
  <c r="DX207" i="181"/>
  <c r="AF207" i="181"/>
  <c r="GF207" i="181"/>
  <c r="AR207" i="181"/>
  <c r="CH207" i="181"/>
  <c r="CT207" i="181"/>
  <c r="Z207" i="181"/>
  <c r="BP207" i="181"/>
  <c r="FB207" i="181"/>
  <c r="AL207" i="181"/>
  <c r="BD207" i="181"/>
  <c r="BJ207" i="181"/>
  <c r="BV207" i="181"/>
  <c r="CB207" i="181"/>
  <c r="GF73" i="181"/>
  <c r="AR73" i="181"/>
  <c r="CH73" i="181"/>
  <c r="BD73" i="181"/>
  <c r="CT73" i="181"/>
  <c r="Z73" i="181"/>
  <c r="BP73" i="181"/>
  <c r="FB73" i="181"/>
  <c r="AL73" i="181"/>
  <c r="CB73" i="181"/>
  <c r="AX73" i="181"/>
  <c r="CN73" i="181"/>
  <c r="BJ73" i="181"/>
  <c r="DX73" i="181"/>
  <c r="AF73" i="181"/>
  <c r="BV73" i="181"/>
  <c r="BT114" i="181"/>
  <c r="GD114" i="181"/>
  <c r="AP114" i="181"/>
  <c r="CF114" i="181"/>
  <c r="BB114" i="181"/>
  <c r="BN114" i="181"/>
  <c r="EZ114" i="181"/>
  <c r="AJ114" i="181"/>
  <c r="BZ114" i="181"/>
  <c r="CL114" i="181"/>
  <c r="BH114" i="181"/>
  <c r="AV114" i="181"/>
  <c r="DV114" i="181"/>
  <c r="CR114" i="181"/>
  <c r="AD114" i="181"/>
  <c r="X114" i="181"/>
  <c r="DU155" i="181"/>
  <c r="AC155" i="181"/>
  <c r="BS155" i="181"/>
  <c r="CE155" i="181"/>
  <c r="CQ155" i="181"/>
  <c r="W155" i="181"/>
  <c r="BM155" i="181"/>
  <c r="EY155" i="181"/>
  <c r="AI155" i="181"/>
  <c r="AU155" i="181"/>
  <c r="CK155" i="181"/>
  <c r="AO155" i="181"/>
  <c r="BG155" i="181"/>
  <c r="BA155" i="181"/>
  <c r="GC155" i="181"/>
  <c r="BY155" i="181"/>
  <c r="CN196" i="181"/>
  <c r="BV196" i="181"/>
  <c r="FB196" i="181"/>
  <c r="AL196" i="181"/>
  <c r="CB196" i="181"/>
  <c r="DX196" i="181"/>
  <c r="BD196" i="181"/>
  <c r="AF196" i="181"/>
  <c r="CT196" i="181"/>
  <c r="AX196" i="181"/>
  <c r="Z196" i="181"/>
  <c r="BP196" i="181"/>
  <c r="AR196" i="181"/>
  <c r="BJ196" i="181"/>
  <c r="CH196" i="181"/>
  <c r="GF196" i="181"/>
  <c r="CK55" i="181"/>
  <c r="BG55" i="181"/>
  <c r="DU55" i="181"/>
  <c r="AC55" i="181"/>
  <c r="BS55" i="181"/>
  <c r="GC55" i="181"/>
  <c r="AO55" i="181"/>
  <c r="CE55" i="181"/>
  <c r="BA55" i="181"/>
  <c r="CQ55" i="181"/>
  <c r="W55" i="181"/>
  <c r="BM55" i="181"/>
  <c r="EY55" i="181"/>
  <c r="AI55" i="181"/>
  <c r="AU55" i="181"/>
  <c r="BY55" i="181"/>
  <c r="BA158" i="181"/>
  <c r="CQ158" i="181"/>
  <c r="W158" i="181"/>
  <c r="EY158" i="181"/>
  <c r="AI158" i="181"/>
  <c r="AU158" i="181"/>
  <c r="CK158" i="181"/>
  <c r="BG158" i="181"/>
  <c r="BS158" i="181"/>
  <c r="GC158" i="181"/>
  <c r="AO158" i="181"/>
  <c r="BY158" i="181"/>
  <c r="AC158" i="181"/>
  <c r="BM158" i="181"/>
  <c r="DU158" i="181"/>
  <c r="CE158" i="181"/>
  <c r="CF64" i="181"/>
  <c r="BB64" i="181"/>
  <c r="CR64" i="181"/>
  <c r="X64" i="181"/>
  <c r="BN64" i="181"/>
  <c r="EZ64" i="181"/>
  <c r="AJ64" i="181"/>
  <c r="BZ64" i="181"/>
  <c r="AV64" i="181"/>
  <c r="CL64" i="181"/>
  <c r="BH64" i="181"/>
  <c r="DV64" i="181"/>
  <c r="AD64" i="181"/>
  <c r="BT64" i="181"/>
  <c r="GD64" i="181"/>
  <c r="AP64" i="181"/>
  <c r="DU146" i="181"/>
  <c r="CK146" i="181"/>
  <c r="BS146" i="181"/>
  <c r="AO146" i="181"/>
  <c r="BA146" i="181"/>
  <c r="GC146" i="181"/>
  <c r="BM146" i="181"/>
  <c r="AI146" i="181"/>
  <c r="CQ146" i="181"/>
  <c r="BY146" i="181"/>
  <c r="EY146" i="181"/>
  <c r="BG146" i="181"/>
  <c r="AU146" i="181"/>
  <c r="CE146" i="181"/>
  <c r="W146" i="181"/>
  <c r="AC146" i="181"/>
  <c r="CT64" i="181"/>
  <c r="Z64" i="181"/>
  <c r="BP64" i="181"/>
  <c r="FB64" i="181"/>
  <c r="AL64" i="181"/>
  <c r="CB64" i="181"/>
  <c r="AX64" i="181"/>
  <c r="CN64" i="181"/>
  <c r="BJ64" i="181"/>
  <c r="DX64" i="181"/>
  <c r="AF64" i="181"/>
  <c r="BV64" i="181"/>
  <c r="GF64" i="181"/>
  <c r="AR64" i="181"/>
  <c r="CH64" i="181"/>
  <c r="BD64" i="181"/>
  <c r="BN67" i="181"/>
  <c r="EZ67" i="181"/>
  <c r="AJ67" i="181"/>
  <c r="BZ67" i="181"/>
  <c r="AV67" i="181"/>
  <c r="CL67" i="181"/>
  <c r="BH67" i="181"/>
  <c r="DV67" i="181"/>
  <c r="AD67" i="181"/>
  <c r="BT67" i="181"/>
  <c r="GD67" i="181"/>
  <c r="AP67" i="181"/>
  <c r="CF67" i="181"/>
  <c r="BB67" i="181"/>
  <c r="X67" i="181"/>
  <c r="CR67" i="181"/>
  <c r="GD46" i="181"/>
  <c r="AP46" i="181"/>
  <c r="CF46" i="181"/>
  <c r="BB46" i="181"/>
  <c r="CR46" i="181"/>
  <c r="X46" i="181"/>
  <c r="BN46" i="181"/>
  <c r="EZ46" i="181"/>
  <c r="AJ46" i="181"/>
  <c r="BZ46" i="181"/>
  <c r="AV46" i="181"/>
  <c r="BT46" i="181"/>
  <c r="CL46" i="181"/>
  <c r="BH46" i="181"/>
  <c r="DV46" i="181"/>
  <c r="AD46" i="181"/>
  <c r="CQ159" i="181"/>
  <c r="BS159" i="181"/>
  <c r="DU159" i="181"/>
  <c r="BA159" i="181"/>
  <c r="W159" i="181"/>
  <c r="CE159" i="181"/>
  <c r="BM159" i="181"/>
  <c r="AU159" i="181"/>
  <c r="BY159" i="181"/>
  <c r="EY159" i="181"/>
  <c r="AC159" i="181"/>
  <c r="AO159" i="181"/>
  <c r="BG159" i="181"/>
  <c r="CK159" i="181"/>
  <c r="AI159" i="181"/>
  <c r="GC159" i="181"/>
  <c r="CG94" i="181"/>
  <c r="BC94" i="181"/>
  <c r="CS94" i="181"/>
  <c r="BO94" i="181"/>
  <c r="CA94" i="181"/>
  <c r="AW94" i="181"/>
  <c r="DW94" i="181"/>
  <c r="AE94" i="181"/>
  <c r="BU94" i="181"/>
  <c r="CM94" i="181"/>
  <c r="AQ94" i="181"/>
  <c r="AK94" i="181"/>
  <c r="GE94" i="181"/>
  <c r="FA94" i="181"/>
  <c r="Y94" i="181"/>
  <c r="BI94" i="181"/>
  <c r="AU71" i="181"/>
  <c r="CK71" i="181"/>
  <c r="BG71" i="181"/>
  <c r="DU71" i="181"/>
  <c r="AC71" i="181"/>
  <c r="BS71" i="181"/>
  <c r="GC71" i="181"/>
  <c r="AO71" i="181"/>
  <c r="CE71" i="181"/>
  <c r="BA71" i="181"/>
  <c r="CQ71" i="181"/>
  <c r="W71" i="181"/>
  <c r="BM71" i="181"/>
  <c r="EY71" i="181"/>
  <c r="AI71" i="181"/>
  <c r="BY71" i="181"/>
  <c r="AU111" i="181"/>
  <c r="CK111" i="181"/>
  <c r="DU111" i="181"/>
  <c r="AC111" i="181"/>
  <c r="CE111" i="181"/>
  <c r="BM111" i="181"/>
  <c r="EY111" i="181"/>
  <c r="AI111" i="181"/>
  <c r="BY111" i="181"/>
  <c r="BA111" i="181"/>
  <c r="GC111" i="181"/>
  <c r="AO111" i="181"/>
  <c r="BG111" i="181"/>
  <c r="BS111" i="181"/>
  <c r="W111" i="181"/>
  <c r="CQ111" i="181"/>
  <c r="CL152" i="181"/>
  <c r="BH152" i="181"/>
  <c r="BT152" i="181"/>
  <c r="CF152" i="181"/>
  <c r="BB152" i="181"/>
  <c r="EZ152" i="181"/>
  <c r="AJ152" i="181"/>
  <c r="BZ152" i="181"/>
  <c r="CR152" i="181"/>
  <c r="BN152" i="181"/>
  <c r="X152" i="181"/>
  <c r="GD152" i="181"/>
  <c r="AV152" i="181"/>
  <c r="AP152" i="181"/>
  <c r="DV152" i="181"/>
  <c r="AD152" i="181"/>
  <c r="BN194" i="181"/>
  <c r="CF194" i="181"/>
  <c r="GD194" i="181"/>
  <c r="CR194" i="181"/>
  <c r="BZ194" i="181"/>
  <c r="AP194" i="181"/>
  <c r="X194" i="181"/>
  <c r="CL194" i="181"/>
  <c r="BT194" i="181"/>
  <c r="BB194" i="181"/>
  <c r="AJ194" i="181"/>
  <c r="DV194" i="181"/>
  <c r="AV194" i="181"/>
  <c r="BH194" i="181"/>
  <c r="EZ194" i="181"/>
  <c r="AD194" i="181"/>
  <c r="BB65" i="181"/>
  <c r="CR65" i="181"/>
  <c r="X65" i="181"/>
  <c r="BN65" i="181"/>
  <c r="EZ65" i="181"/>
  <c r="AJ65" i="181"/>
  <c r="BZ65" i="181"/>
  <c r="AV65" i="181"/>
  <c r="CL65" i="181"/>
  <c r="BH65" i="181"/>
  <c r="DV65" i="181"/>
  <c r="AD65" i="181"/>
  <c r="BT65" i="181"/>
  <c r="GD65" i="181"/>
  <c r="AP65" i="181"/>
  <c r="CF65" i="181"/>
  <c r="BG104" i="181"/>
  <c r="DU104" i="181"/>
  <c r="AC104" i="181"/>
  <c r="BS104" i="181"/>
  <c r="GC104" i="181"/>
  <c r="AO104" i="181"/>
  <c r="BA104" i="181"/>
  <c r="CQ104" i="181"/>
  <c r="W104" i="181"/>
  <c r="BM104" i="181"/>
  <c r="BY104" i="181"/>
  <c r="AU104" i="181"/>
  <c r="EY104" i="181"/>
  <c r="AI104" i="181"/>
  <c r="CK104" i="181"/>
  <c r="CE104" i="181"/>
  <c r="GE146" i="181"/>
  <c r="BU146" i="181"/>
  <c r="DW146" i="181"/>
  <c r="BC146" i="181"/>
  <c r="CS146" i="181"/>
  <c r="AW146" i="181"/>
  <c r="CA146" i="181"/>
  <c r="BI146" i="181"/>
  <c r="AE146" i="181"/>
  <c r="CM146" i="181"/>
  <c r="CG146" i="181"/>
  <c r="AK146" i="181"/>
  <c r="Y146" i="181"/>
  <c r="BO146" i="181"/>
  <c r="FA146" i="181"/>
  <c r="AQ146" i="181"/>
  <c r="CA188" i="181"/>
  <c r="BO188" i="181"/>
  <c r="BU188" i="181"/>
  <c r="BC188" i="181"/>
  <c r="AK188" i="181"/>
  <c r="DW188" i="181"/>
  <c r="AE188" i="181"/>
  <c r="CS188" i="181"/>
  <c r="BI188" i="181"/>
  <c r="AQ188" i="181"/>
  <c r="Y188" i="181"/>
  <c r="CG188" i="181"/>
  <c r="GE188" i="181"/>
  <c r="AW188" i="181"/>
  <c r="CM188" i="181"/>
  <c r="FA188" i="181"/>
  <c r="DW59" i="181"/>
  <c r="AE59" i="181"/>
  <c r="CA59" i="181"/>
  <c r="AW59" i="181"/>
  <c r="AQ59" i="181"/>
  <c r="Y59" i="181"/>
  <c r="BI59" i="181"/>
  <c r="GE59" i="181"/>
  <c r="CS59" i="181"/>
  <c r="BU59" i="181"/>
  <c r="BC59" i="181"/>
  <c r="AK59" i="181"/>
  <c r="CM59" i="181"/>
  <c r="FA59" i="181"/>
  <c r="CG59" i="181"/>
  <c r="BO59" i="181"/>
  <c r="BN98" i="181"/>
  <c r="EZ98" i="181"/>
  <c r="AJ98" i="181"/>
  <c r="BZ98" i="181"/>
  <c r="AV98" i="181"/>
  <c r="BH98" i="181"/>
  <c r="DV98" i="181"/>
  <c r="AD98" i="181"/>
  <c r="BT98" i="181"/>
  <c r="CF98" i="181"/>
  <c r="BB98" i="181"/>
  <c r="GD98" i="181"/>
  <c r="AP98" i="181"/>
  <c r="CR98" i="181"/>
  <c r="CL98" i="181"/>
  <c r="X98" i="181"/>
  <c r="AX139" i="181"/>
  <c r="BJ139" i="181"/>
  <c r="CT139" i="181"/>
  <c r="Z139" i="181"/>
  <c r="AF139" i="181"/>
  <c r="GF139" i="181"/>
  <c r="CB139" i="181"/>
  <c r="CN139" i="181"/>
  <c r="FB139" i="181"/>
  <c r="BV139" i="181"/>
  <c r="BD139" i="181"/>
  <c r="DX139" i="181"/>
  <c r="AR139" i="181"/>
  <c r="CH139" i="181"/>
  <c r="AL139" i="181"/>
  <c r="BP139" i="181"/>
  <c r="AV179" i="181"/>
  <c r="CR179" i="181"/>
  <c r="X179" i="181"/>
  <c r="DV179" i="181"/>
  <c r="AD179" i="181"/>
  <c r="GD179" i="181"/>
  <c r="BZ179" i="181"/>
  <c r="BH179" i="181"/>
  <c r="EZ179" i="181"/>
  <c r="CL179" i="181"/>
  <c r="BT179" i="181"/>
  <c r="BN179" i="181"/>
  <c r="AP179" i="181"/>
  <c r="CF179" i="181"/>
  <c r="BB179" i="181"/>
  <c r="AJ179" i="181"/>
  <c r="CB50" i="181"/>
  <c r="AX50" i="181"/>
  <c r="CN50" i="181"/>
  <c r="BJ50" i="181"/>
  <c r="DX50" i="181"/>
  <c r="AF50" i="181"/>
  <c r="BV50" i="181"/>
  <c r="GF50" i="181"/>
  <c r="AR50" i="181"/>
  <c r="CH50" i="181"/>
  <c r="BD50" i="181"/>
  <c r="CT50" i="181"/>
  <c r="Z50" i="181"/>
  <c r="FB50" i="181"/>
  <c r="BP50" i="181"/>
  <c r="AL50" i="181"/>
  <c r="CK88" i="181"/>
  <c r="EY88" i="181"/>
  <c r="BG88" i="181"/>
  <c r="AC88" i="181"/>
  <c r="BS88" i="181"/>
  <c r="DU88" i="181"/>
  <c r="AO88" i="181"/>
  <c r="CE88" i="181"/>
  <c r="BA88" i="181"/>
  <c r="GC88" i="181"/>
  <c r="W88" i="181"/>
  <c r="BM88" i="181"/>
  <c r="CQ88" i="181"/>
  <c r="AI88" i="181"/>
  <c r="BY88" i="181"/>
  <c r="AU88" i="181"/>
  <c r="AX128" i="181"/>
  <c r="CT128" i="181"/>
  <c r="Z128" i="181"/>
  <c r="BP128" i="181"/>
  <c r="GF128" i="181"/>
  <c r="AL128" i="181"/>
  <c r="CN128" i="181"/>
  <c r="BV128" i="181"/>
  <c r="BD128" i="181"/>
  <c r="FB128" i="181"/>
  <c r="DX128" i="181"/>
  <c r="CH128" i="181"/>
  <c r="BJ128" i="181"/>
  <c r="AR128" i="181"/>
  <c r="CB128" i="181"/>
  <c r="AF128" i="181"/>
  <c r="BS170" i="181"/>
  <c r="GC170" i="181"/>
  <c r="BA170" i="181"/>
  <c r="EY170" i="181"/>
  <c r="AU170" i="181"/>
  <c r="CK170" i="181"/>
  <c r="BG170" i="181"/>
  <c r="CE170" i="181"/>
  <c r="BY170" i="181"/>
  <c r="AC170" i="181"/>
  <c r="DU170" i="181"/>
  <c r="AO170" i="181"/>
  <c r="W170" i="181"/>
  <c r="BM170" i="181"/>
  <c r="CQ170" i="181"/>
  <c r="AI170" i="181"/>
  <c r="GE213" i="181"/>
  <c r="AQ213" i="181"/>
  <c r="CS213" i="181"/>
  <c r="Y213" i="181"/>
  <c r="BO213" i="181"/>
  <c r="FA213" i="181"/>
  <c r="AK213" i="181"/>
  <c r="CA213" i="181"/>
  <c r="AW213" i="181"/>
  <c r="DW213" i="181"/>
  <c r="AE213" i="181"/>
  <c r="BI213" i="181"/>
  <c r="BC213" i="181"/>
  <c r="CG213" i="181"/>
  <c r="CM213" i="181"/>
  <c r="BU213" i="181"/>
  <c r="CL78" i="181"/>
  <c r="BH78" i="181"/>
  <c r="BZ78" i="181"/>
  <c r="AP78" i="181"/>
  <c r="X78" i="181"/>
  <c r="EZ78" i="181"/>
  <c r="BT78" i="181"/>
  <c r="BB78" i="181"/>
  <c r="AJ78" i="181"/>
  <c r="DV78" i="181"/>
  <c r="CF78" i="181"/>
  <c r="BN78" i="181"/>
  <c r="AD78" i="181"/>
  <c r="AV78" i="181"/>
  <c r="GD78" i="181"/>
  <c r="CR78" i="181"/>
  <c r="CQ119" i="181"/>
  <c r="W119" i="181"/>
  <c r="BM119" i="181"/>
  <c r="EY119" i="181"/>
  <c r="AI119" i="181"/>
  <c r="BY119" i="181"/>
  <c r="CK119" i="181"/>
  <c r="BG119" i="181"/>
  <c r="DU119" i="181"/>
  <c r="AC119" i="181"/>
  <c r="GC119" i="181"/>
  <c r="AO119" i="181"/>
  <c r="CE119" i="181"/>
  <c r="AU119" i="181"/>
  <c r="BS119" i="181"/>
  <c r="BA119" i="181"/>
  <c r="CA160" i="181"/>
  <c r="BC160" i="181"/>
  <c r="AE160" i="181"/>
  <c r="BI160" i="181"/>
  <c r="FA160" i="181"/>
  <c r="CM160" i="181"/>
  <c r="BU160" i="181"/>
  <c r="DW160" i="181"/>
  <c r="CS160" i="181"/>
  <c r="AQ160" i="181"/>
  <c r="CG160" i="181"/>
  <c r="Y160" i="181"/>
  <c r="BO160" i="181"/>
  <c r="AW160" i="181"/>
  <c r="AK160" i="181"/>
  <c r="GE160" i="181"/>
  <c r="BT201" i="181"/>
  <c r="X201" i="181"/>
  <c r="CF201" i="181"/>
  <c r="BN201" i="181"/>
  <c r="CR201" i="181"/>
  <c r="BZ201" i="181"/>
  <c r="EZ201" i="181"/>
  <c r="AD201" i="181"/>
  <c r="BH201" i="181"/>
  <c r="GD201" i="181"/>
  <c r="DV201" i="181"/>
  <c r="BB201" i="181"/>
  <c r="AV201" i="181"/>
  <c r="CL201" i="181"/>
  <c r="AP201" i="181"/>
  <c r="AJ201" i="181"/>
  <c r="BZ69" i="181"/>
  <c r="AV69" i="181"/>
  <c r="CL69" i="181"/>
  <c r="BH69" i="181"/>
  <c r="DV69" i="181"/>
  <c r="AD69" i="181"/>
  <c r="BT69" i="181"/>
  <c r="GD69" i="181"/>
  <c r="AP69" i="181"/>
  <c r="CF69" i="181"/>
  <c r="BB69" i="181"/>
  <c r="CR69" i="181"/>
  <c r="X69" i="181"/>
  <c r="BN69" i="181"/>
  <c r="EZ69" i="181"/>
  <c r="AJ69" i="181"/>
  <c r="CN108" i="181"/>
  <c r="BP108" i="181"/>
  <c r="FB108" i="181"/>
  <c r="AL108" i="181"/>
  <c r="BV108" i="181"/>
  <c r="BD108" i="181"/>
  <c r="DX108" i="181"/>
  <c r="AF108" i="181"/>
  <c r="CH108" i="181"/>
  <c r="AX108" i="181"/>
  <c r="CB108" i="181"/>
  <c r="BJ108" i="181"/>
  <c r="GF108" i="181"/>
  <c r="CT108" i="181"/>
  <c r="AR108" i="181"/>
  <c r="Z108" i="181"/>
  <c r="AW150" i="181"/>
  <c r="CM150" i="181"/>
  <c r="BO150" i="181"/>
  <c r="FA150" i="181"/>
  <c r="AK150" i="181"/>
  <c r="Y150" i="181"/>
  <c r="AQ150" i="181"/>
  <c r="DW150" i="181"/>
  <c r="CA150" i="181"/>
  <c r="BC150" i="181"/>
  <c r="AE150" i="181"/>
  <c r="GE150" i="181"/>
  <c r="BI150" i="181"/>
  <c r="CS150" i="181"/>
  <c r="CG150" i="181"/>
  <c r="BU150" i="181"/>
  <c r="CS192" i="181"/>
  <c r="Y192" i="181"/>
  <c r="DW192" i="181"/>
  <c r="BC192" i="181"/>
  <c r="GE192" i="181"/>
  <c r="BO192" i="181"/>
  <c r="AW192" i="181"/>
  <c r="CA192" i="181"/>
  <c r="BI192" i="181"/>
  <c r="AQ192" i="181"/>
  <c r="FA192" i="181"/>
  <c r="BU192" i="181"/>
  <c r="CM192" i="181"/>
  <c r="AK192" i="181"/>
  <c r="CG192" i="181"/>
  <c r="AE192" i="181"/>
  <c r="DW60" i="181"/>
  <c r="BU60" i="181"/>
  <c r="GE60" i="181"/>
  <c r="AQ60" i="181"/>
  <c r="AW60" i="181"/>
  <c r="CM60" i="181"/>
  <c r="AK60" i="181"/>
  <c r="CA60" i="181"/>
  <c r="BC60" i="181"/>
  <c r="CS60" i="181"/>
  <c r="AE60" i="181"/>
  <c r="Y60" i="181"/>
  <c r="FA60" i="181"/>
  <c r="BO60" i="181"/>
  <c r="CG60" i="181"/>
  <c r="BI60" i="181"/>
  <c r="EZ99" i="181"/>
  <c r="AJ99" i="181"/>
  <c r="BZ99" i="181"/>
  <c r="AV99" i="181"/>
  <c r="CL99" i="181"/>
  <c r="DV99" i="181"/>
  <c r="AD99" i="181"/>
  <c r="BT99" i="181"/>
  <c r="GD99" i="181"/>
  <c r="AP99" i="181"/>
  <c r="BB99" i="181"/>
  <c r="CR99" i="181"/>
  <c r="X99" i="181"/>
  <c r="CF99" i="181"/>
  <c r="BN99" i="181"/>
  <c r="BH99" i="181"/>
  <c r="EY141" i="181"/>
  <c r="AI141" i="181"/>
  <c r="BY141" i="181"/>
  <c r="CK141" i="181"/>
  <c r="DU141" i="181"/>
  <c r="AC141" i="181"/>
  <c r="BA141" i="181"/>
  <c r="CQ141" i="181"/>
  <c r="BS141" i="181"/>
  <c r="AU141" i="181"/>
  <c r="W141" i="181"/>
  <c r="GC141" i="181"/>
  <c r="BM141" i="181"/>
  <c r="AO141" i="181"/>
  <c r="CE141" i="181"/>
  <c r="BG141" i="181"/>
  <c r="BI180" i="181"/>
  <c r="DW180" i="181"/>
  <c r="AE180" i="181"/>
  <c r="FA180" i="181"/>
  <c r="AK180" i="181"/>
  <c r="CM180" i="181"/>
  <c r="BC180" i="181"/>
  <c r="AW180" i="181"/>
  <c r="GE180" i="181"/>
  <c r="CS180" i="181"/>
  <c r="CA180" i="181"/>
  <c r="AQ180" i="181"/>
  <c r="Y180" i="181"/>
  <c r="CG180" i="181"/>
  <c r="BO180" i="181"/>
  <c r="BU180" i="181"/>
  <c r="AX51" i="181"/>
  <c r="CN51" i="181"/>
  <c r="BJ51" i="181"/>
  <c r="DX51" i="181"/>
  <c r="AF51" i="181"/>
  <c r="BV51" i="181"/>
  <c r="GF51" i="181"/>
  <c r="AR51" i="181"/>
  <c r="CH51" i="181"/>
  <c r="BD51" i="181"/>
  <c r="CT51" i="181"/>
  <c r="Z51" i="181"/>
  <c r="BP51" i="181"/>
  <c r="CB51" i="181"/>
  <c r="FB51" i="181"/>
  <c r="AL51" i="181"/>
  <c r="BG89" i="181"/>
  <c r="EY89" i="181"/>
  <c r="AI89" i="181"/>
  <c r="BY89" i="181"/>
  <c r="GC89" i="181"/>
  <c r="CQ89" i="181"/>
  <c r="BS89" i="181"/>
  <c r="BA89" i="181"/>
  <c r="CK89" i="181"/>
  <c r="AC89" i="181"/>
  <c r="AU89" i="181"/>
  <c r="DU89" i="181"/>
  <c r="CE89" i="181"/>
  <c r="BM89" i="181"/>
  <c r="AO89" i="181"/>
  <c r="W89" i="181"/>
  <c r="EY130" i="181"/>
  <c r="AI130" i="181"/>
  <c r="BY130" i="181"/>
  <c r="CK130" i="181"/>
  <c r="DU130" i="181"/>
  <c r="BS130" i="181"/>
  <c r="GC130" i="181"/>
  <c r="BA130" i="181"/>
  <c r="CQ130" i="181"/>
  <c r="W130" i="181"/>
  <c r="BG130" i="181"/>
  <c r="CE130" i="181"/>
  <c r="AC130" i="181"/>
  <c r="AU130" i="181"/>
  <c r="AO130" i="181"/>
  <c r="BM130" i="181"/>
  <c r="GC171" i="181"/>
  <c r="AO171" i="181"/>
  <c r="CE171" i="181"/>
  <c r="CQ171" i="181"/>
  <c r="W171" i="181"/>
  <c r="BY171" i="181"/>
  <c r="CK171" i="181"/>
  <c r="BG171" i="181"/>
  <c r="DU171" i="181"/>
  <c r="AC171" i="181"/>
  <c r="AU171" i="181"/>
  <c r="AI171" i="181"/>
  <c r="BM171" i="181"/>
  <c r="BA171" i="181"/>
  <c r="EY171" i="181"/>
  <c r="BS171" i="181"/>
  <c r="BD214" i="181"/>
  <c r="FB214" i="181"/>
  <c r="AL214" i="181"/>
  <c r="CB214" i="181"/>
  <c r="AX214" i="181"/>
  <c r="CN214" i="181"/>
  <c r="BJ214" i="181"/>
  <c r="BV214" i="181"/>
  <c r="GF214" i="181"/>
  <c r="AR214" i="181"/>
  <c r="BP214" i="181"/>
  <c r="CT214" i="181"/>
  <c r="CH214" i="181"/>
  <c r="Z214" i="181"/>
  <c r="DX214" i="181"/>
  <c r="AF214" i="181"/>
  <c r="CN141" i="181"/>
  <c r="BJ141" i="181"/>
  <c r="BV141" i="181"/>
  <c r="CH141" i="181"/>
  <c r="FB141" i="181"/>
  <c r="AL141" i="181"/>
  <c r="CB141" i="181"/>
  <c r="AX141" i="181"/>
  <c r="CT141" i="181"/>
  <c r="GF141" i="181"/>
  <c r="Z141" i="181"/>
  <c r="BD141" i="181"/>
  <c r="DX141" i="181"/>
  <c r="BP141" i="181"/>
  <c r="AR141" i="181"/>
  <c r="AF141" i="181"/>
  <c r="CK181" i="181"/>
  <c r="BG181" i="181"/>
  <c r="CE181" i="181"/>
  <c r="BM181" i="181"/>
  <c r="BY181" i="181"/>
  <c r="AO181" i="181"/>
  <c r="EY181" i="181"/>
  <c r="AI181" i="181"/>
  <c r="DU181" i="181"/>
  <c r="BA181" i="181"/>
  <c r="CQ181" i="181"/>
  <c r="AC181" i="181"/>
  <c r="AU181" i="181"/>
  <c r="GC181" i="181"/>
  <c r="BS181" i="181"/>
  <c r="W181" i="181"/>
  <c r="CM86" i="181"/>
  <c r="BI86" i="181"/>
  <c r="DW86" i="181"/>
  <c r="AE86" i="181"/>
  <c r="BU86" i="181"/>
  <c r="GE86" i="181"/>
  <c r="AQ86" i="181"/>
  <c r="CG86" i="181"/>
  <c r="BC86" i="181"/>
  <c r="CS86" i="181"/>
  <c r="Y86" i="181"/>
  <c r="BO86" i="181"/>
  <c r="FA86" i="181"/>
  <c r="AK86" i="181"/>
  <c r="CA86" i="181"/>
  <c r="AW86" i="181"/>
  <c r="CQ127" i="181"/>
  <c r="W127" i="181"/>
  <c r="GC127" i="181"/>
  <c r="AO127" i="181"/>
  <c r="BA127" i="181"/>
  <c r="AI127" i="181"/>
  <c r="CE127" i="181"/>
  <c r="BM127" i="181"/>
  <c r="DU127" i="181"/>
  <c r="BY127" i="181"/>
  <c r="AC127" i="181"/>
  <c r="BG127" i="181"/>
  <c r="EY127" i="181"/>
  <c r="CK127" i="181"/>
  <c r="AU127" i="181"/>
  <c r="BS127" i="181"/>
  <c r="BU168" i="181"/>
  <c r="AW168" i="181"/>
  <c r="BI168" i="181"/>
  <c r="FA168" i="181"/>
  <c r="AE168" i="181"/>
  <c r="DW168" i="181"/>
  <c r="GE168" i="181"/>
  <c r="CS168" i="181"/>
  <c r="CA168" i="181"/>
  <c r="BC168" i="181"/>
  <c r="AK168" i="181"/>
  <c r="AQ168" i="181"/>
  <c r="CM168" i="181"/>
  <c r="CG168" i="181"/>
  <c r="BO168" i="181"/>
  <c r="Y168" i="181"/>
  <c r="BV211" i="181"/>
  <c r="BD211" i="181"/>
  <c r="CT211" i="181"/>
  <c r="Z211" i="181"/>
  <c r="BP211" i="181"/>
  <c r="FB211" i="181"/>
  <c r="AL211" i="181"/>
  <c r="AX211" i="181"/>
  <c r="CH211" i="181"/>
  <c r="BJ211" i="181"/>
  <c r="DX211" i="181"/>
  <c r="CB211" i="181"/>
  <c r="AR211" i="181"/>
  <c r="GF211" i="181"/>
  <c r="AF211" i="181"/>
  <c r="CN211" i="181"/>
  <c r="CN76" i="181"/>
  <c r="BJ76" i="181"/>
  <c r="FB76" i="181"/>
  <c r="BV76" i="181"/>
  <c r="BD76" i="181"/>
  <c r="AL76" i="181"/>
  <c r="DX76" i="181"/>
  <c r="CH76" i="181"/>
  <c r="BP76" i="181"/>
  <c r="AF76" i="181"/>
  <c r="AX76" i="181"/>
  <c r="GF76" i="181"/>
  <c r="CT76" i="181"/>
  <c r="CB76" i="181"/>
  <c r="AR76" i="181"/>
  <c r="Z76" i="181"/>
  <c r="CS117" i="181"/>
  <c r="Y117" i="181"/>
  <c r="BO117" i="181"/>
  <c r="FA117" i="181"/>
  <c r="AK117" i="181"/>
  <c r="CA117" i="181"/>
  <c r="CM117" i="181"/>
  <c r="BI117" i="181"/>
  <c r="DW117" i="181"/>
  <c r="AE117" i="181"/>
  <c r="GE117" i="181"/>
  <c r="AQ117" i="181"/>
  <c r="CG117" i="181"/>
  <c r="BU117" i="181"/>
  <c r="BC117" i="181"/>
  <c r="AW117" i="181"/>
  <c r="FB158" i="181"/>
  <c r="AL158" i="181"/>
  <c r="CB158" i="181"/>
  <c r="CN158" i="181"/>
  <c r="DX158" i="181"/>
  <c r="AF158" i="181"/>
  <c r="BV158" i="181"/>
  <c r="GF158" i="181"/>
  <c r="AR158" i="181"/>
  <c r="BD158" i="181"/>
  <c r="CT158" i="181"/>
  <c r="Z158" i="181"/>
  <c r="AX158" i="181"/>
  <c r="CH158" i="181"/>
  <c r="BP158" i="181"/>
  <c r="BJ158" i="181"/>
  <c r="DX199" i="181"/>
  <c r="BV199" i="181"/>
  <c r="AR199" i="181"/>
  <c r="BD199" i="181"/>
  <c r="BP199" i="181"/>
  <c r="AL199" i="181"/>
  <c r="AX199" i="181"/>
  <c r="CN199" i="181"/>
  <c r="BJ199" i="181"/>
  <c r="CT199" i="181"/>
  <c r="CB199" i="181"/>
  <c r="GF199" i="181"/>
  <c r="Z199" i="181"/>
  <c r="FB199" i="181"/>
  <c r="CH199" i="181"/>
  <c r="AF199" i="181"/>
  <c r="GE145" i="181"/>
  <c r="AQ145" i="181"/>
  <c r="CG145" i="181"/>
  <c r="CS145" i="181"/>
  <c r="Y145" i="181"/>
  <c r="FA145" i="181"/>
  <c r="AK145" i="181"/>
  <c r="CA145" i="181"/>
  <c r="AW145" i="181"/>
  <c r="BI145" i="181"/>
  <c r="DW145" i="181"/>
  <c r="AE145" i="181"/>
  <c r="BU145" i="181"/>
  <c r="BC145" i="181"/>
  <c r="CM145" i="181"/>
  <c r="BO145" i="181"/>
  <c r="BU73" i="181"/>
  <c r="GE73" i="181"/>
  <c r="AQ73" i="181"/>
  <c r="CG73" i="181"/>
  <c r="BC73" i="181"/>
  <c r="CS73" i="181"/>
  <c r="Y73" i="181"/>
  <c r="BO73" i="181"/>
  <c r="FA73" i="181"/>
  <c r="AK73" i="181"/>
  <c r="CA73" i="181"/>
  <c r="AW73" i="181"/>
  <c r="CM73" i="181"/>
  <c r="BI73" i="181"/>
  <c r="DW73" i="181"/>
  <c r="AE73" i="181"/>
  <c r="BJ70" i="181"/>
  <c r="DX70" i="181"/>
  <c r="AF70" i="181"/>
  <c r="BV70" i="181"/>
  <c r="GF70" i="181"/>
  <c r="AR70" i="181"/>
  <c r="CH70" i="181"/>
  <c r="BD70" i="181"/>
  <c r="CT70" i="181"/>
  <c r="Z70" i="181"/>
  <c r="BP70" i="181"/>
  <c r="FB70" i="181"/>
  <c r="AL70" i="181"/>
  <c r="CB70" i="181"/>
  <c r="AX70" i="181"/>
  <c r="CN70" i="181"/>
  <c r="BY77" i="181"/>
  <c r="AU77" i="181"/>
  <c r="CQ77" i="181"/>
  <c r="BG77" i="181"/>
  <c r="AO77" i="181"/>
  <c r="W77" i="181"/>
  <c r="CK77" i="181"/>
  <c r="EY77" i="181"/>
  <c r="BS77" i="181"/>
  <c r="BA77" i="181"/>
  <c r="AI77" i="181"/>
  <c r="DU77" i="181"/>
  <c r="CE77" i="181"/>
  <c r="BM77" i="181"/>
  <c r="AC77" i="181"/>
  <c r="GC77" i="181"/>
  <c r="CE80" i="181"/>
  <c r="BG80" i="181"/>
  <c r="DU80" i="181"/>
  <c r="AC80" i="181"/>
  <c r="BM80" i="181"/>
  <c r="AU80" i="181"/>
  <c r="GC80" i="181"/>
  <c r="CQ80" i="181"/>
  <c r="BY80" i="181"/>
  <c r="AO80" i="181"/>
  <c r="W80" i="181"/>
  <c r="EY80" i="181"/>
  <c r="BS80" i="181"/>
  <c r="BA80" i="181"/>
  <c r="AI80" i="181"/>
  <c r="CK80" i="181"/>
  <c r="CL58" i="181"/>
  <c r="BN58" i="181"/>
  <c r="EZ58" i="181"/>
  <c r="AJ58" i="181"/>
  <c r="BT58" i="181"/>
  <c r="BB58" i="181"/>
  <c r="AD58" i="181"/>
  <c r="AV58" i="181"/>
  <c r="DV58" i="181"/>
  <c r="CF58" i="181"/>
  <c r="BH58" i="181"/>
  <c r="AP58" i="181"/>
  <c r="X58" i="181"/>
  <c r="BZ58" i="181"/>
  <c r="GD58" i="181"/>
  <c r="CR58" i="181"/>
  <c r="BG200" i="181"/>
  <c r="BM200" i="181"/>
  <c r="CQ200" i="181"/>
  <c r="BY200" i="181"/>
  <c r="AC200" i="181"/>
  <c r="CK200" i="181"/>
  <c r="AO200" i="181"/>
  <c r="DU200" i="181"/>
  <c r="W200" i="181"/>
  <c r="BA200" i="181"/>
  <c r="CE200" i="181"/>
  <c r="AI200" i="181"/>
  <c r="GC200" i="181"/>
  <c r="AU200" i="181"/>
  <c r="EY200" i="181"/>
  <c r="BS200" i="181"/>
  <c r="CB127" i="181"/>
  <c r="CT127" i="181"/>
  <c r="Z127" i="181"/>
  <c r="DX127" i="181"/>
  <c r="CH127" i="181"/>
  <c r="BP127" i="181"/>
  <c r="AX127" i="181"/>
  <c r="AF127" i="181"/>
  <c r="AR127" i="181"/>
  <c r="FB127" i="181"/>
  <c r="CN127" i="181"/>
  <c r="BD127" i="181"/>
  <c r="AL127" i="181"/>
  <c r="BV127" i="181"/>
  <c r="GF127" i="181"/>
  <c r="BJ127" i="181"/>
  <c r="BT74" i="181"/>
  <c r="GD74" i="181"/>
  <c r="AP74" i="181"/>
  <c r="CF74" i="181"/>
  <c r="BB74" i="181"/>
  <c r="CR74" i="181"/>
  <c r="X74" i="181"/>
  <c r="BN74" i="181"/>
  <c r="EZ74" i="181"/>
  <c r="AJ74" i="181"/>
  <c r="BZ74" i="181"/>
  <c r="AV74" i="181"/>
  <c r="CL74" i="181"/>
  <c r="BH74" i="181"/>
  <c r="DV74" i="181"/>
  <c r="AD74" i="181"/>
  <c r="CH114" i="181"/>
  <c r="BD114" i="181"/>
  <c r="CT114" i="181"/>
  <c r="Z114" i="181"/>
  <c r="BP114" i="181"/>
  <c r="CB114" i="181"/>
  <c r="AX114" i="181"/>
  <c r="CN114" i="181"/>
  <c r="DX114" i="181"/>
  <c r="AF114" i="181"/>
  <c r="BV114" i="181"/>
  <c r="BJ114" i="181"/>
  <c r="GF114" i="181"/>
  <c r="AR114" i="181"/>
  <c r="AL114" i="181"/>
  <c r="FB114" i="181"/>
  <c r="GE155" i="181"/>
  <c r="AQ155" i="181"/>
  <c r="CG155" i="181"/>
  <c r="CS155" i="181"/>
  <c r="Y155" i="181"/>
  <c r="FA155" i="181"/>
  <c r="AK155" i="181"/>
  <c r="CA155" i="181"/>
  <c r="AW155" i="181"/>
  <c r="BI155" i="181"/>
  <c r="DW155" i="181"/>
  <c r="AE155" i="181"/>
  <c r="BU155" i="181"/>
  <c r="BO155" i="181"/>
  <c r="CM155" i="181"/>
  <c r="BC155" i="181"/>
  <c r="AV197" i="181"/>
  <c r="CL197" i="181"/>
  <c r="DV197" i="181"/>
  <c r="AD197" i="181"/>
  <c r="GD197" i="181"/>
  <c r="AP197" i="181"/>
  <c r="CF197" i="181"/>
  <c r="BN197" i="181"/>
  <c r="EZ197" i="181"/>
  <c r="AJ197" i="181"/>
  <c r="CR197" i="181"/>
  <c r="BH197" i="181"/>
  <c r="BB197" i="181"/>
  <c r="BZ197" i="181"/>
  <c r="BT197" i="181"/>
  <c r="X197" i="181"/>
  <c r="EZ68" i="181"/>
  <c r="AJ68" i="181"/>
  <c r="BZ68" i="181"/>
  <c r="AV68" i="181"/>
  <c r="CL68" i="181"/>
  <c r="BH68" i="181"/>
  <c r="DV68" i="181"/>
  <c r="AD68" i="181"/>
  <c r="BT68" i="181"/>
  <c r="GD68" i="181"/>
  <c r="AP68" i="181"/>
  <c r="CF68" i="181"/>
  <c r="BB68" i="181"/>
  <c r="CR68" i="181"/>
  <c r="X68" i="181"/>
  <c r="BN68" i="181"/>
  <c r="CA107" i="181"/>
  <c r="BC107" i="181"/>
  <c r="CS107" i="181"/>
  <c r="Y107" i="181"/>
  <c r="AW107" i="181"/>
  <c r="AE107" i="181"/>
  <c r="BO107" i="181"/>
  <c r="DW107" i="181"/>
  <c r="CG107" i="181"/>
  <c r="BI107" i="181"/>
  <c r="AQ107" i="181"/>
  <c r="CM107" i="181"/>
  <c r="BU107" i="181"/>
  <c r="GE107" i="181"/>
  <c r="AK107" i="181"/>
  <c r="FA107" i="181"/>
  <c r="AW149" i="181"/>
  <c r="CS149" i="181"/>
  <c r="Y149" i="181"/>
  <c r="BO149" i="181"/>
  <c r="CA149" i="181"/>
  <c r="GE149" i="181"/>
  <c r="AK149" i="181"/>
  <c r="CM149" i="181"/>
  <c r="BU149" i="181"/>
  <c r="BC149" i="181"/>
  <c r="FA149" i="181"/>
  <c r="DW149" i="181"/>
  <c r="AQ149" i="181"/>
  <c r="CG149" i="181"/>
  <c r="BI149" i="181"/>
  <c r="AE149" i="181"/>
  <c r="BC191" i="181"/>
  <c r="CA191" i="181"/>
  <c r="FA191" i="181"/>
  <c r="AE191" i="181"/>
  <c r="CM191" i="181"/>
  <c r="BU191" i="181"/>
  <c r="CG191" i="181"/>
  <c r="AK191" i="181"/>
  <c r="CS191" i="181"/>
  <c r="GE191" i="181"/>
  <c r="AW191" i="181"/>
  <c r="AQ191" i="181"/>
  <c r="BO191" i="181"/>
  <c r="BI191" i="181"/>
  <c r="Y191" i="181"/>
  <c r="DW191" i="181"/>
  <c r="GE62" i="181"/>
  <c r="AQ62" i="181"/>
  <c r="CG62" i="181"/>
  <c r="BC62" i="181"/>
  <c r="CS62" i="181"/>
  <c r="Y62" i="181"/>
  <c r="FA62" i="181"/>
  <c r="AK62" i="181"/>
  <c r="CA62" i="181"/>
  <c r="AW62" i="181"/>
  <c r="BI62" i="181"/>
  <c r="DW62" i="181"/>
  <c r="AE62" i="181"/>
  <c r="CM62" i="181"/>
  <c r="BU62" i="181"/>
  <c r="BO62" i="181"/>
  <c r="AV101" i="181"/>
  <c r="CL101" i="181"/>
  <c r="BH101" i="181"/>
  <c r="DV101" i="181"/>
  <c r="AD101" i="181"/>
  <c r="GD101" i="181"/>
  <c r="AP101" i="181"/>
  <c r="CF101" i="181"/>
  <c r="BB101" i="181"/>
  <c r="BN101" i="181"/>
  <c r="EZ101" i="181"/>
  <c r="AJ101" i="181"/>
  <c r="CR101" i="181"/>
  <c r="X101" i="181"/>
  <c r="BZ101" i="181"/>
  <c r="BT101" i="181"/>
  <c r="DW143" i="181"/>
  <c r="AE143" i="181"/>
  <c r="BU143" i="181"/>
  <c r="CG143" i="181"/>
  <c r="CS143" i="181"/>
  <c r="Y143" i="181"/>
  <c r="BO143" i="181"/>
  <c r="FA143" i="181"/>
  <c r="AK143" i="181"/>
  <c r="AW143" i="181"/>
  <c r="CM143" i="181"/>
  <c r="BI143" i="181"/>
  <c r="AQ143" i="181"/>
  <c r="CA143" i="181"/>
  <c r="BC143" i="181"/>
  <c r="GE143" i="181"/>
  <c r="BP185" i="181"/>
  <c r="CT185" i="181"/>
  <c r="AX185" i="181"/>
  <c r="CB185" i="181"/>
  <c r="BJ185" i="181"/>
  <c r="AR185" i="181"/>
  <c r="BV185" i="181"/>
  <c r="BD185" i="181"/>
  <c r="CH185" i="181"/>
  <c r="AL185" i="181"/>
  <c r="GF185" i="181"/>
  <c r="FB185" i="181"/>
  <c r="CN185" i="181"/>
  <c r="AF185" i="181"/>
  <c r="Z185" i="181"/>
  <c r="DX185" i="181"/>
  <c r="BJ53" i="181"/>
  <c r="DX53" i="181"/>
  <c r="AF53" i="181"/>
  <c r="BV53" i="181"/>
  <c r="GF53" i="181"/>
  <c r="AR53" i="181"/>
  <c r="CH53" i="181"/>
  <c r="BD53" i="181"/>
  <c r="CT53" i="181"/>
  <c r="Z53" i="181"/>
  <c r="BP53" i="181"/>
  <c r="FB53" i="181"/>
  <c r="AL53" i="181"/>
  <c r="CB53" i="181"/>
  <c r="AX53" i="181"/>
  <c r="CN53" i="181"/>
  <c r="GE92" i="181"/>
  <c r="AQ92" i="181"/>
  <c r="BC92" i="181"/>
  <c r="BO92" i="181"/>
  <c r="CM92" i="181"/>
  <c r="BI92" i="181"/>
  <c r="FA92" i="181"/>
  <c r="CG92" i="181"/>
  <c r="DW92" i="181"/>
  <c r="AK92" i="181"/>
  <c r="CS92" i="181"/>
  <c r="CA92" i="181"/>
  <c r="AE92" i="181"/>
  <c r="BU92" i="181"/>
  <c r="Y92" i="181"/>
  <c r="AW92" i="181"/>
  <c r="BV132" i="181"/>
  <c r="GF132" i="181"/>
  <c r="AR132" i="181"/>
  <c r="CH132" i="181"/>
  <c r="BD132" i="181"/>
  <c r="BP132" i="181"/>
  <c r="FB132" i="181"/>
  <c r="AL132" i="181"/>
  <c r="CB132" i="181"/>
  <c r="CN132" i="181"/>
  <c r="BJ132" i="181"/>
  <c r="Z132" i="181"/>
  <c r="AX132" i="181"/>
  <c r="CT132" i="181"/>
  <c r="DX132" i="181"/>
  <c r="AF132" i="181"/>
  <c r="BA173" i="181"/>
  <c r="CQ173" i="181"/>
  <c r="W173" i="181"/>
  <c r="EY173" i="181"/>
  <c r="AI173" i="181"/>
  <c r="AU173" i="181"/>
  <c r="CK173" i="181"/>
  <c r="DU173" i="181"/>
  <c r="AC173" i="181"/>
  <c r="BS173" i="181"/>
  <c r="GC173" i="181"/>
  <c r="AO173" i="181"/>
  <c r="BM173" i="181"/>
  <c r="BG173" i="181"/>
  <c r="CE173" i="181"/>
  <c r="BY173" i="181"/>
  <c r="DU45" i="181"/>
  <c r="AC45" i="181"/>
  <c r="BS45" i="181"/>
  <c r="GC45" i="181"/>
  <c r="AO45" i="181"/>
  <c r="CE45" i="181"/>
  <c r="BA45" i="181"/>
  <c r="CQ45" i="181"/>
  <c r="W45" i="181"/>
  <c r="BM45" i="181"/>
  <c r="EY45" i="181"/>
  <c r="AI45" i="181"/>
  <c r="BY45" i="181"/>
  <c r="AU45" i="181"/>
  <c r="BG45" i="181"/>
  <c r="CK45" i="181"/>
  <c r="FB81" i="181"/>
  <c r="AL81" i="181"/>
  <c r="CH81" i="181"/>
  <c r="BD81" i="181"/>
  <c r="AX81" i="181"/>
  <c r="DX81" i="181"/>
  <c r="BP81" i="181"/>
  <c r="AF81" i="181"/>
  <c r="CT81" i="181"/>
  <c r="CB81" i="181"/>
  <c r="Z81" i="181"/>
  <c r="GF81" i="181"/>
  <c r="BJ81" i="181"/>
  <c r="AR81" i="181"/>
  <c r="CN81" i="181"/>
  <c r="BV81" i="181"/>
  <c r="AV122" i="181"/>
  <c r="CL122" i="181"/>
  <c r="BH122" i="181"/>
  <c r="DV122" i="181"/>
  <c r="AD122" i="181"/>
  <c r="GD122" i="181"/>
  <c r="AP122" i="181"/>
  <c r="CF122" i="181"/>
  <c r="BB122" i="181"/>
  <c r="BN122" i="181"/>
  <c r="EZ122" i="181"/>
  <c r="AJ122" i="181"/>
  <c r="BT122" i="181"/>
  <c r="CR122" i="181"/>
  <c r="X122" i="181"/>
  <c r="BZ122" i="181"/>
  <c r="DX163" i="181"/>
  <c r="AF163" i="181"/>
  <c r="GF163" i="181"/>
  <c r="AR163" i="181"/>
  <c r="BD163" i="181"/>
  <c r="CT163" i="181"/>
  <c r="Z163" i="181"/>
  <c r="BP163" i="181"/>
  <c r="CB163" i="181"/>
  <c r="AX163" i="181"/>
  <c r="BV163" i="181"/>
  <c r="FB163" i="181"/>
  <c r="CN163" i="181"/>
  <c r="CH163" i="181"/>
  <c r="BJ163" i="181"/>
  <c r="AL163" i="181"/>
  <c r="BN206" i="181"/>
  <c r="EZ206" i="181"/>
  <c r="AJ206" i="181"/>
  <c r="BH206" i="181"/>
  <c r="DV206" i="181"/>
  <c r="AD206" i="181"/>
  <c r="GD206" i="181"/>
  <c r="AP206" i="181"/>
  <c r="BB206" i="181"/>
  <c r="CR206" i="181"/>
  <c r="CL206" i="181"/>
  <c r="CF206" i="181"/>
  <c r="X206" i="181"/>
  <c r="AV206" i="181"/>
  <c r="BT206" i="181"/>
  <c r="BZ206" i="181"/>
  <c r="DW72" i="181"/>
  <c r="AE72" i="181"/>
  <c r="BU72" i="181"/>
  <c r="GE72" i="181"/>
  <c r="AQ72" i="181"/>
  <c r="CG72" i="181"/>
  <c r="BC72" i="181"/>
  <c r="CS72" i="181"/>
  <c r="Y72" i="181"/>
  <c r="BO72" i="181"/>
  <c r="FA72" i="181"/>
  <c r="AK72" i="181"/>
  <c r="CA72" i="181"/>
  <c r="AW72" i="181"/>
  <c r="CM72" i="181"/>
  <c r="BI72" i="181"/>
  <c r="BV112" i="181"/>
  <c r="GF112" i="181"/>
  <c r="AR112" i="181"/>
  <c r="CH112" i="181"/>
  <c r="BD112" i="181"/>
  <c r="BP112" i="181"/>
  <c r="FB112" i="181"/>
  <c r="AL112" i="181"/>
  <c r="CN112" i="181"/>
  <c r="BJ112" i="181"/>
  <c r="CB112" i="181"/>
  <c r="AX112" i="181"/>
  <c r="DX112" i="181"/>
  <c r="CT112" i="181"/>
  <c r="AF112" i="181"/>
  <c r="Z112" i="181"/>
  <c r="DW153" i="181"/>
  <c r="AE153" i="181"/>
  <c r="BU153" i="181"/>
  <c r="CG153" i="181"/>
  <c r="CS153" i="181"/>
  <c r="Y153" i="181"/>
  <c r="BO153" i="181"/>
  <c r="AW153" i="181"/>
  <c r="CM153" i="181"/>
  <c r="BC153" i="181"/>
  <c r="CA153" i="181"/>
  <c r="AQ153" i="181"/>
  <c r="FA153" i="181"/>
  <c r="AK153" i="181"/>
  <c r="BI153" i="181"/>
  <c r="GE153" i="181"/>
  <c r="CA195" i="181"/>
  <c r="CS195" i="181"/>
  <c r="Y195" i="181"/>
  <c r="AQ195" i="181"/>
  <c r="FA195" i="181"/>
  <c r="CM195" i="181"/>
  <c r="BU195" i="181"/>
  <c r="DW195" i="181"/>
  <c r="CG195" i="181"/>
  <c r="BO195" i="181"/>
  <c r="AW195" i="181"/>
  <c r="AK195" i="181"/>
  <c r="BC195" i="181"/>
  <c r="BI195" i="181"/>
  <c r="AE195" i="181"/>
  <c r="GE195" i="181"/>
  <c r="CG63" i="181"/>
  <c r="BC63" i="181"/>
  <c r="CS63" i="181"/>
  <c r="Y63" i="181"/>
  <c r="BO63" i="181"/>
  <c r="FA63" i="181"/>
  <c r="AK63" i="181"/>
  <c r="CA63" i="181"/>
  <c r="AW63" i="181"/>
  <c r="CM63" i="181"/>
  <c r="DW63" i="181"/>
  <c r="AE63" i="181"/>
  <c r="BU63" i="181"/>
  <c r="BI63" i="181"/>
  <c r="AQ63" i="181"/>
  <c r="GE63" i="181"/>
  <c r="CL102" i="181"/>
  <c r="BH102" i="181"/>
  <c r="DV102" i="181"/>
  <c r="AD102" i="181"/>
  <c r="BT102" i="181"/>
  <c r="CF102" i="181"/>
  <c r="BB102" i="181"/>
  <c r="CR102" i="181"/>
  <c r="X102" i="181"/>
  <c r="EZ102" i="181"/>
  <c r="AJ102" i="181"/>
  <c r="BZ102" i="181"/>
  <c r="AP102" i="181"/>
  <c r="BN102" i="181"/>
  <c r="GD102" i="181"/>
  <c r="AV102" i="181"/>
  <c r="GF144" i="181"/>
  <c r="AR144" i="181"/>
  <c r="CH144" i="181"/>
  <c r="CT144" i="181"/>
  <c r="Z144" i="181"/>
  <c r="FB144" i="181"/>
  <c r="AL144" i="181"/>
  <c r="CB144" i="181"/>
  <c r="AX144" i="181"/>
  <c r="BJ144" i="181"/>
  <c r="DX144" i="181"/>
  <c r="AF144" i="181"/>
  <c r="BV144" i="181"/>
  <c r="BP144" i="181"/>
  <c r="CN144" i="181"/>
  <c r="BD144" i="181"/>
  <c r="FB186" i="181"/>
  <c r="AL186" i="181"/>
  <c r="BV186" i="181"/>
  <c r="DX186" i="181"/>
  <c r="Z186" i="181"/>
  <c r="CH186" i="181"/>
  <c r="BP186" i="181"/>
  <c r="CT186" i="181"/>
  <c r="AX186" i="181"/>
  <c r="AF186" i="181"/>
  <c r="BJ186" i="181"/>
  <c r="CN186" i="181"/>
  <c r="AR186" i="181"/>
  <c r="BD186" i="181"/>
  <c r="CB186" i="181"/>
  <c r="GF186" i="181"/>
  <c r="DX54" i="181"/>
  <c r="AF54" i="181"/>
  <c r="BV54" i="181"/>
  <c r="GF54" i="181"/>
  <c r="AR54" i="181"/>
  <c r="CH54" i="181"/>
  <c r="BD54" i="181"/>
  <c r="CT54" i="181"/>
  <c r="Z54" i="181"/>
  <c r="BP54" i="181"/>
  <c r="FB54" i="181"/>
  <c r="AL54" i="181"/>
  <c r="CB54" i="181"/>
  <c r="AX54" i="181"/>
  <c r="BJ54" i="181"/>
  <c r="CN54" i="181"/>
  <c r="GE93" i="181"/>
  <c r="AQ93" i="181"/>
  <c r="CG93" i="181"/>
  <c r="CS93" i="181"/>
  <c r="Y93" i="181"/>
  <c r="FA93" i="181"/>
  <c r="AK93" i="181"/>
  <c r="BI93" i="181"/>
  <c r="DW93" i="181"/>
  <c r="AE93" i="181"/>
  <c r="CM93" i="181"/>
  <c r="BC93" i="181"/>
  <c r="CA93" i="181"/>
  <c r="AW93" i="181"/>
  <c r="BU93" i="181"/>
  <c r="BO93" i="181"/>
  <c r="BS134" i="181"/>
  <c r="AU134" i="181"/>
  <c r="EY134" i="181"/>
  <c r="BY134" i="181"/>
  <c r="AC134" i="181"/>
  <c r="AO134" i="181"/>
  <c r="DU134" i="181"/>
  <c r="W134" i="181"/>
  <c r="GC134" i="181"/>
  <c r="CE134" i="181"/>
  <c r="AI134" i="181"/>
  <c r="BM134" i="181"/>
  <c r="CQ134" i="181"/>
  <c r="BG134" i="181"/>
  <c r="BA134" i="181"/>
  <c r="CK134" i="181"/>
  <c r="CQ174" i="181"/>
  <c r="W174" i="181"/>
  <c r="BM174" i="181"/>
  <c r="BY174" i="181"/>
  <c r="CK174" i="181"/>
  <c r="BG174" i="181"/>
  <c r="BS174" i="181"/>
  <c r="GC174" i="181"/>
  <c r="AO174" i="181"/>
  <c r="CE174" i="181"/>
  <c r="AC174" i="181"/>
  <c r="BA174" i="181"/>
  <c r="EY174" i="181"/>
  <c r="AI174" i="181"/>
  <c r="AU174" i="181"/>
  <c r="DU174" i="181"/>
  <c r="DX102" i="181"/>
  <c r="AF102" i="181"/>
  <c r="BV102" i="181"/>
  <c r="GF102" i="181"/>
  <c r="AR102" i="181"/>
  <c r="CH102" i="181"/>
  <c r="CT102" i="181"/>
  <c r="Z102" i="181"/>
  <c r="BP102" i="181"/>
  <c r="FB102" i="181"/>
  <c r="AL102" i="181"/>
  <c r="AX102" i="181"/>
  <c r="CN102" i="181"/>
  <c r="CB102" i="181"/>
  <c r="BJ102" i="181"/>
  <c r="BD102" i="181"/>
  <c r="BT145" i="181"/>
  <c r="GD145" i="181"/>
  <c r="AP145" i="181"/>
  <c r="BB145" i="181"/>
  <c r="BN145" i="181"/>
  <c r="EZ145" i="181"/>
  <c r="AJ145" i="181"/>
  <c r="BZ145" i="181"/>
  <c r="CL145" i="181"/>
  <c r="BH145" i="181"/>
  <c r="AD145" i="181"/>
  <c r="DV145" i="181"/>
  <c r="AV145" i="181"/>
  <c r="CR145" i="181"/>
  <c r="CF145" i="181"/>
  <c r="X145" i="181"/>
  <c r="BN187" i="181"/>
  <c r="BB187" i="181"/>
  <c r="BT187" i="181"/>
  <c r="AJ187" i="181"/>
  <c r="DV187" i="181"/>
  <c r="AD187" i="181"/>
  <c r="BH187" i="181"/>
  <c r="AP187" i="181"/>
  <c r="X187" i="181"/>
  <c r="EZ187" i="181"/>
  <c r="CR187" i="181"/>
  <c r="CL187" i="181"/>
  <c r="CF187" i="181"/>
  <c r="GD187" i="181"/>
  <c r="AV187" i="181"/>
  <c r="BZ187" i="181"/>
  <c r="BU89" i="181"/>
  <c r="AW89" i="181"/>
  <c r="CM89" i="181"/>
  <c r="GE89" i="181"/>
  <c r="CS89" i="181"/>
  <c r="CA89" i="181"/>
  <c r="BC89" i="181"/>
  <c r="AK89" i="181"/>
  <c r="FA89" i="181"/>
  <c r="AE89" i="181"/>
  <c r="CG89" i="181"/>
  <c r="BO89" i="181"/>
  <c r="DW89" i="181"/>
  <c r="AQ89" i="181"/>
  <c r="Y89" i="181"/>
  <c r="BI89" i="181"/>
  <c r="CN130" i="181"/>
  <c r="BJ130" i="181"/>
  <c r="BV130" i="181"/>
  <c r="CH130" i="181"/>
  <c r="CT130" i="181"/>
  <c r="FB130" i="181"/>
  <c r="AL130" i="181"/>
  <c r="CB130" i="181"/>
  <c r="BD130" i="181"/>
  <c r="GF130" i="181"/>
  <c r="AF130" i="181"/>
  <c r="AX130" i="181"/>
  <c r="BP130" i="181"/>
  <c r="DX130" i="181"/>
  <c r="AR130" i="181"/>
  <c r="Z130" i="181"/>
  <c r="BC171" i="181"/>
  <c r="CS171" i="181"/>
  <c r="Y171" i="181"/>
  <c r="FA171" i="181"/>
  <c r="AK171" i="181"/>
  <c r="CM171" i="181"/>
  <c r="DW171" i="181"/>
  <c r="AE171" i="181"/>
  <c r="BU171" i="181"/>
  <c r="GE171" i="181"/>
  <c r="AQ171" i="181"/>
  <c r="AW171" i="181"/>
  <c r="CA171" i="181"/>
  <c r="BO171" i="181"/>
  <c r="CG171" i="181"/>
  <c r="BI171" i="181"/>
  <c r="BC215" i="181"/>
  <c r="FA215" i="181"/>
  <c r="AK215" i="181"/>
  <c r="CA215" i="181"/>
  <c r="AW215" i="181"/>
  <c r="CM215" i="181"/>
  <c r="BI215" i="181"/>
  <c r="DW215" i="181"/>
  <c r="AE215" i="181"/>
  <c r="BU215" i="181"/>
  <c r="GE215" i="181"/>
  <c r="AQ215" i="181"/>
  <c r="BO215" i="181"/>
  <c r="CS215" i="181"/>
  <c r="Y215" i="181"/>
  <c r="CG215" i="181"/>
  <c r="BV79" i="181"/>
  <c r="GF79" i="181"/>
  <c r="AR79" i="181"/>
  <c r="FB79" i="181"/>
  <c r="CN79" i="181"/>
  <c r="BD79" i="181"/>
  <c r="AL79" i="181"/>
  <c r="CH79" i="181"/>
  <c r="DX79" i="181"/>
  <c r="BP79" i="181"/>
  <c r="AX79" i="181"/>
  <c r="AF79" i="181"/>
  <c r="CT79" i="181"/>
  <c r="CB79" i="181"/>
  <c r="BJ79" i="181"/>
  <c r="Z79" i="181"/>
  <c r="AX120" i="181"/>
  <c r="CN120" i="181"/>
  <c r="BJ120" i="181"/>
  <c r="DX120" i="181"/>
  <c r="AF120" i="181"/>
  <c r="GF120" i="181"/>
  <c r="AR120" i="181"/>
  <c r="CH120" i="181"/>
  <c r="BD120" i="181"/>
  <c r="BP120" i="181"/>
  <c r="FB120" i="181"/>
  <c r="AL120" i="181"/>
  <c r="CB120" i="181"/>
  <c r="BV120" i="181"/>
  <c r="CT120" i="181"/>
  <c r="Z120" i="181"/>
  <c r="BY162" i="181"/>
  <c r="DU162" i="181"/>
  <c r="AC162" i="181"/>
  <c r="BS162" i="181"/>
  <c r="BA162" i="181"/>
  <c r="BG162" i="181"/>
  <c r="GC162" i="181"/>
  <c r="AI162" i="181"/>
  <c r="CK162" i="181"/>
  <c r="EY162" i="181"/>
  <c r="AU162" i="181"/>
  <c r="CE162" i="181"/>
  <c r="W162" i="181"/>
  <c r="CQ162" i="181"/>
  <c r="BM162" i="181"/>
  <c r="AO162" i="181"/>
  <c r="BP204" i="181"/>
  <c r="CT204" i="181"/>
  <c r="AX204" i="181"/>
  <c r="CB204" i="181"/>
  <c r="BJ204" i="181"/>
  <c r="AR204" i="181"/>
  <c r="BV204" i="181"/>
  <c r="BD204" i="181"/>
  <c r="CH204" i="181"/>
  <c r="AL204" i="181"/>
  <c r="GF204" i="181"/>
  <c r="AF204" i="181"/>
  <c r="FB204" i="181"/>
  <c r="CN204" i="181"/>
  <c r="Z204" i="181"/>
  <c r="DX204" i="181"/>
  <c r="CQ50" i="181"/>
  <c r="W50" i="181"/>
  <c r="BM50" i="181"/>
  <c r="EY50" i="181"/>
  <c r="AI50" i="181"/>
  <c r="BY50" i="181"/>
  <c r="AU50" i="181"/>
  <c r="CK50" i="181"/>
  <c r="BG50" i="181"/>
  <c r="DU50" i="181"/>
  <c r="AC50" i="181"/>
  <c r="BS50" i="181"/>
  <c r="GC50" i="181"/>
  <c r="AO50" i="181"/>
  <c r="BA50" i="181"/>
  <c r="CE50" i="181"/>
  <c r="BY190" i="181"/>
  <c r="AU190" i="181"/>
  <c r="BG190" i="181"/>
  <c r="BM190" i="181"/>
  <c r="DU190" i="181"/>
  <c r="AI190" i="181"/>
  <c r="BA190" i="181"/>
  <c r="AC190" i="181"/>
  <c r="GC190" i="181"/>
  <c r="CK190" i="181"/>
  <c r="W190" i="181"/>
  <c r="AO190" i="181"/>
  <c r="EY190" i="181"/>
  <c r="CE190" i="181"/>
  <c r="BS190" i="181"/>
  <c r="CQ190" i="181"/>
  <c r="BP96" i="181"/>
  <c r="FB96" i="181"/>
  <c r="AL96" i="181"/>
  <c r="CB96" i="181"/>
  <c r="AX96" i="181"/>
  <c r="BJ96" i="181"/>
  <c r="DX96" i="181"/>
  <c r="AF96" i="181"/>
  <c r="BV96" i="181"/>
  <c r="CH96" i="181"/>
  <c r="BD96" i="181"/>
  <c r="GF96" i="181"/>
  <c r="AR96" i="181"/>
  <c r="CT96" i="181"/>
  <c r="CN96" i="181"/>
  <c r="Z96" i="181"/>
  <c r="BT155" i="181"/>
  <c r="GD155" i="181"/>
  <c r="AP155" i="181"/>
  <c r="BB155" i="181"/>
  <c r="BN155" i="181"/>
  <c r="EZ155" i="181"/>
  <c r="AJ155" i="181"/>
  <c r="BZ155" i="181"/>
  <c r="CL155" i="181"/>
  <c r="BH155" i="181"/>
  <c r="CF155" i="181"/>
  <c r="AD155" i="181"/>
  <c r="X155" i="181"/>
  <c r="DV155" i="181"/>
  <c r="CR155" i="181"/>
  <c r="AV155" i="181"/>
  <c r="BO97" i="181"/>
  <c r="FA97" i="181"/>
  <c r="AK97" i="181"/>
  <c r="CA97" i="181"/>
  <c r="AW97" i="181"/>
  <c r="BI97" i="181"/>
  <c r="DW97" i="181"/>
  <c r="AE97" i="181"/>
  <c r="BU97" i="181"/>
  <c r="CG97" i="181"/>
  <c r="BC97" i="181"/>
  <c r="GE97" i="181"/>
  <c r="AQ97" i="181"/>
  <c r="CS97" i="181"/>
  <c r="CM97" i="181"/>
  <c r="Y97" i="181"/>
  <c r="AW100" i="181"/>
  <c r="CM100" i="181"/>
  <c r="BI100" i="181"/>
  <c r="DW100" i="181"/>
  <c r="AE100" i="181"/>
  <c r="GE100" i="181"/>
  <c r="AQ100" i="181"/>
  <c r="CG100" i="181"/>
  <c r="BC100" i="181"/>
  <c r="BO100" i="181"/>
  <c r="FA100" i="181"/>
  <c r="AK100" i="181"/>
  <c r="Y100" i="181"/>
  <c r="CA100" i="181"/>
  <c r="BU100" i="181"/>
  <c r="CS100" i="181"/>
  <c r="AV70" i="181"/>
  <c r="CL70" i="181"/>
  <c r="BH70" i="181"/>
  <c r="DV70" i="181"/>
  <c r="AD70" i="181"/>
  <c r="BT70" i="181"/>
  <c r="GD70" i="181"/>
  <c r="AP70" i="181"/>
  <c r="CF70" i="181"/>
  <c r="BB70" i="181"/>
  <c r="CR70" i="181"/>
  <c r="X70" i="181"/>
  <c r="BN70" i="181"/>
  <c r="EZ70" i="181"/>
  <c r="AJ70" i="181"/>
  <c r="BZ70" i="181"/>
  <c r="FB49" i="181"/>
  <c r="AL49" i="181"/>
  <c r="CB49" i="181"/>
  <c r="AX49" i="181"/>
  <c r="CN49" i="181"/>
  <c r="BJ49" i="181"/>
  <c r="DX49" i="181"/>
  <c r="AF49" i="181"/>
  <c r="BV49" i="181"/>
  <c r="BP49" i="181"/>
  <c r="GF49" i="181"/>
  <c r="AR49" i="181"/>
  <c r="CH49" i="181"/>
  <c r="BD49" i="181"/>
  <c r="CT49" i="181"/>
  <c r="Z49" i="181"/>
  <c r="DU169" i="181"/>
  <c r="AC169" i="181"/>
  <c r="BY169" i="181"/>
  <c r="CK169" i="181"/>
  <c r="AO169" i="181"/>
  <c r="W169" i="181"/>
  <c r="BS169" i="181"/>
  <c r="BA169" i="181"/>
  <c r="AI169" i="181"/>
  <c r="EY169" i="181"/>
  <c r="AU169" i="181"/>
  <c r="BM169" i="181"/>
  <c r="GC169" i="181"/>
  <c r="CQ169" i="181"/>
  <c r="CE169" i="181"/>
  <c r="BG169" i="181"/>
  <c r="AV77" i="181"/>
  <c r="CL77" i="181"/>
  <c r="BZ77" i="181"/>
  <c r="AP77" i="181"/>
  <c r="X77" i="181"/>
  <c r="EZ77" i="181"/>
  <c r="BT77" i="181"/>
  <c r="BB77" i="181"/>
  <c r="AJ77" i="181"/>
  <c r="DV77" i="181"/>
  <c r="CF77" i="181"/>
  <c r="BN77" i="181"/>
  <c r="AD77" i="181"/>
  <c r="GD77" i="181"/>
  <c r="CR77" i="181"/>
  <c r="BH77" i="181"/>
  <c r="BA118" i="181"/>
  <c r="CQ118" i="181"/>
  <c r="W118" i="181"/>
  <c r="BM118" i="181"/>
  <c r="EY118" i="181"/>
  <c r="AI118" i="181"/>
  <c r="AU118" i="181"/>
  <c r="CK118" i="181"/>
  <c r="BG118" i="181"/>
  <c r="BS118" i="181"/>
  <c r="GC118" i="181"/>
  <c r="AO118" i="181"/>
  <c r="DU118" i="181"/>
  <c r="AC118" i="181"/>
  <c r="BY118" i="181"/>
  <c r="CE118" i="181"/>
  <c r="GD159" i="181"/>
  <c r="AP159" i="181"/>
  <c r="CF159" i="181"/>
  <c r="AJ159" i="181"/>
  <c r="CR159" i="181"/>
  <c r="BZ159" i="181"/>
  <c r="EZ159" i="181"/>
  <c r="AD159" i="181"/>
  <c r="CL159" i="181"/>
  <c r="BH159" i="181"/>
  <c r="BT159" i="181"/>
  <c r="AV159" i="181"/>
  <c r="BB159" i="181"/>
  <c r="X159" i="181"/>
  <c r="BN159" i="181"/>
  <c r="DV159" i="181"/>
  <c r="DV200" i="181"/>
  <c r="AD200" i="181"/>
  <c r="CR200" i="181"/>
  <c r="AV200" i="181"/>
  <c r="EZ200" i="181"/>
  <c r="CL200" i="181"/>
  <c r="AP200" i="181"/>
  <c r="BT200" i="181"/>
  <c r="BB200" i="181"/>
  <c r="CF200" i="181"/>
  <c r="GD200" i="181"/>
  <c r="AJ200" i="181"/>
  <c r="BN200" i="181"/>
  <c r="BZ200" i="181"/>
  <c r="X200" i="181"/>
  <c r="BH200" i="181"/>
  <c r="BI71" i="181"/>
  <c r="DW71" i="181"/>
  <c r="AE71" i="181"/>
  <c r="BU71" i="181"/>
  <c r="GE71" i="181"/>
  <c r="AQ71" i="181"/>
  <c r="CG71" i="181"/>
  <c r="BC71" i="181"/>
  <c r="CS71" i="181"/>
  <c r="Y71" i="181"/>
  <c r="BO71" i="181"/>
  <c r="FA71" i="181"/>
  <c r="AK71" i="181"/>
  <c r="CA71" i="181"/>
  <c r="AW71" i="181"/>
  <c r="CM71" i="181"/>
  <c r="BI111" i="181"/>
  <c r="DW111" i="181"/>
  <c r="AE111" i="181"/>
  <c r="GE111" i="181"/>
  <c r="AQ111" i="181"/>
  <c r="CS111" i="181"/>
  <c r="Y111" i="181"/>
  <c r="CA111" i="181"/>
  <c r="AW111" i="181"/>
  <c r="BC111" i="181"/>
  <c r="BU111" i="181"/>
  <c r="CM111" i="181"/>
  <c r="BO111" i="181"/>
  <c r="FA111" i="181"/>
  <c r="AK111" i="181"/>
  <c r="CG111" i="181"/>
  <c r="BI152" i="181"/>
  <c r="DW152" i="181"/>
  <c r="AE152" i="181"/>
  <c r="GE152" i="181"/>
  <c r="AQ152" i="181"/>
  <c r="CS152" i="181"/>
  <c r="Y152" i="181"/>
  <c r="CA152" i="181"/>
  <c r="AW152" i="181"/>
  <c r="AK152" i="181"/>
  <c r="BO152" i="181"/>
  <c r="BC152" i="181"/>
  <c r="FA152" i="181"/>
  <c r="CM152" i="181"/>
  <c r="CG152" i="181"/>
  <c r="BU152" i="181"/>
  <c r="FA194" i="181"/>
  <c r="AK194" i="181"/>
  <c r="BC194" i="181"/>
  <c r="GE194" i="181"/>
  <c r="CS194" i="181"/>
  <c r="CA194" i="181"/>
  <c r="BI194" i="181"/>
  <c r="BU194" i="181"/>
  <c r="DW194" i="181"/>
  <c r="CG194" i="181"/>
  <c r="BO194" i="181"/>
  <c r="AW194" i="181"/>
  <c r="AE194" i="181"/>
  <c r="AQ194" i="181"/>
  <c r="Y194" i="181"/>
  <c r="CM194" i="181"/>
  <c r="CS65" i="181"/>
  <c r="Y65" i="181"/>
  <c r="BO65" i="181"/>
  <c r="FA65" i="181"/>
  <c r="AK65" i="181"/>
  <c r="CA65" i="181"/>
  <c r="AW65" i="181"/>
  <c r="CM65" i="181"/>
  <c r="BI65" i="181"/>
  <c r="DW65" i="181"/>
  <c r="AE65" i="181"/>
  <c r="BU65" i="181"/>
  <c r="GE65" i="181"/>
  <c r="AQ65" i="181"/>
  <c r="CG65" i="181"/>
  <c r="BC65" i="181"/>
  <c r="DV104" i="181"/>
  <c r="AD104" i="181"/>
  <c r="BT104" i="181"/>
  <c r="GD104" i="181"/>
  <c r="AP104" i="181"/>
  <c r="CF104" i="181"/>
  <c r="CR104" i="181"/>
  <c r="X104" i="181"/>
  <c r="BN104" i="181"/>
  <c r="EZ104" i="181"/>
  <c r="AJ104" i="181"/>
  <c r="AV104" i="181"/>
  <c r="CL104" i="181"/>
  <c r="BH104" i="181"/>
  <c r="BB104" i="181"/>
  <c r="BZ104" i="181"/>
  <c r="FB146" i="181"/>
  <c r="CH146" i="181"/>
  <c r="DX146" i="181"/>
  <c r="BD146" i="181"/>
  <c r="Z146" i="181"/>
  <c r="BP146" i="181"/>
  <c r="AL146" i="181"/>
  <c r="AX146" i="181"/>
  <c r="CB146" i="181"/>
  <c r="CN146" i="181"/>
  <c r="AR146" i="181"/>
  <c r="CT146" i="181"/>
  <c r="AF146" i="181"/>
  <c r="GF146" i="181"/>
  <c r="BV146" i="181"/>
  <c r="BJ146" i="181"/>
  <c r="AX188" i="181"/>
  <c r="FB188" i="181"/>
  <c r="AL188" i="181"/>
  <c r="BD188" i="181"/>
  <c r="CH188" i="181"/>
  <c r="GF188" i="181"/>
  <c r="AR188" i="181"/>
  <c r="Z188" i="181"/>
  <c r="CN188" i="181"/>
  <c r="AF188" i="181"/>
  <c r="BV188" i="181"/>
  <c r="BP188" i="181"/>
  <c r="BJ188" i="181"/>
  <c r="DX188" i="181"/>
  <c r="CT188" i="181"/>
  <c r="CB188" i="181"/>
  <c r="GF56" i="181"/>
  <c r="AR56" i="181"/>
  <c r="CH56" i="181"/>
  <c r="BD56" i="181"/>
  <c r="CT56" i="181"/>
  <c r="Z56" i="181"/>
  <c r="BP56" i="181"/>
  <c r="FB56" i="181"/>
  <c r="AL56" i="181"/>
  <c r="CB56" i="181"/>
  <c r="AX56" i="181"/>
  <c r="CN56" i="181"/>
  <c r="BJ56" i="181"/>
  <c r="DX56" i="181"/>
  <c r="AF56" i="181"/>
  <c r="BV56" i="181"/>
  <c r="BC95" i="181"/>
  <c r="CS95" i="181"/>
  <c r="Y95" i="181"/>
  <c r="BO95" i="181"/>
  <c r="FA95" i="181"/>
  <c r="AK95" i="181"/>
  <c r="AW95" i="181"/>
  <c r="CM95" i="181"/>
  <c r="BU95" i="181"/>
  <c r="GE95" i="181"/>
  <c r="AQ95" i="181"/>
  <c r="AE95" i="181"/>
  <c r="BI95" i="181"/>
  <c r="DW95" i="181"/>
  <c r="CG95" i="181"/>
  <c r="CA95" i="181"/>
  <c r="BP136" i="181"/>
  <c r="GF136" i="181"/>
  <c r="AR136" i="181"/>
  <c r="CB136" i="181"/>
  <c r="FB136" i="181"/>
  <c r="BJ136" i="181"/>
  <c r="Z136" i="181"/>
  <c r="BV136" i="181"/>
  <c r="BD136" i="181"/>
  <c r="AL136" i="181"/>
  <c r="DX136" i="181"/>
  <c r="AX136" i="181"/>
  <c r="CN136" i="181"/>
  <c r="CH136" i="181"/>
  <c r="CT136" i="181"/>
  <c r="AF136" i="181"/>
  <c r="FA176" i="181"/>
  <c r="AK176" i="181"/>
  <c r="AQ176" i="181"/>
  <c r="BU176" i="181"/>
  <c r="BC176" i="181"/>
  <c r="GE176" i="181"/>
  <c r="BO176" i="181"/>
  <c r="CA176" i="181"/>
  <c r="AE176" i="181"/>
  <c r="BI176" i="181"/>
  <c r="CM176" i="181"/>
  <c r="Y176" i="181"/>
  <c r="DW176" i="181"/>
  <c r="CS176" i="181"/>
  <c r="CG176" i="181"/>
  <c r="AW176" i="181"/>
  <c r="CE48" i="181"/>
  <c r="BA48" i="181"/>
  <c r="CQ48" i="181"/>
  <c r="W48" i="181"/>
  <c r="BM48" i="181"/>
  <c r="GC48" i="181"/>
  <c r="EY48" i="181"/>
  <c r="AI48" i="181"/>
  <c r="BY48" i="181"/>
  <c r="AU48" i="181"/>
  <c r="CK48" i="181"/>
  <c r="BG48" i="181"/>
  <c r="DU48" i="181"/>
  <c r="AC48" i="181"/>
  <c r="AO48" i="181"/>
  <c r="BS48" i="181"/>
  <c r="BZ85" i="181"/>
  <c r="AV85" i="181"/>
  <c r="CL85" i="181"/>
  <c r="BH85" i="181"/>
  <c r="DV85" i="181"/>
  <c r="AD85" i="181"/>
  <c r="BT85" i="181"/>
  <c r="GD85" i="181"/>
  <c r="AP85" i="181"/>
  <c r="CF85" i="181"/>
  <c r="BB85" i="181"/>
  <c r="CR85" i="181"/>
  <c r="X85" i="181"/>
  <c r="BN85" i="181"/>
  <c r="EZ85" i="181"/>
  <c r="AJ85" i="181"/>
  <c r="GF125" i="181"/>
  <c r="AR125" i="181"/>
  <c r="CH125" i="181"/>
  <c r="BD125" i="181"/>
  <c r="CT125" i="181"/>
  <c r="Z125" i="181"/>
  <c r="FB125" i="181"/>
  <c r="AL125" i="181"/>
  <c r="CB125" i="181"/>
  <c r="AX125" i="181"/>
  <c r="BJ125" i="181"/>
  <c r="DX125" i="181"/>
  <c r="AF125" i="181"/>
  <c r="CN125" i="181"/>
  <c r="BV125" i="181"/>
  <c r="BP125" i="181"/>
  <c r="BH167" i="181"/>
  <c r="AV167" i="181"/>
  <c r="GD167" i="181"/>
  <c r="BZ167" i="181"/>
  <c r="AP167" i="181"/>
  <c r="EZ167" i="181"/>
  <c r="CL167" i="181"/>
  <c r="BT167" i="181"/>
  <c r="BB167" i="181"/>
  <c r="DV167" i="181"/>
  <c r="CF167" i="181"/>
  <c r="X167" i="181"/>
  <c r="CR167" i="181"/>
  <c r="AJ167" i="181"/>
  <c r="AD167" i="181"/>
  <c r="BN167" i="181"/>
  <c r="DU210" i="181"/>
  <c r="CE210" i="181"/>
  <c r="AU210" i="181"/>
  <c r="GC210" i="181"/>
  <c r="AC210" i="181"/>
  <c r="AO210" i="181"/>
  <c r="BA210" i="181"/>
  <c r="W210" i="181"/>
  <c r="AI210" i="181"/>
  <c r="CK210" i="181"/>
  <c r="BG210" i="181"/>
  <c r="BY210" i="181"/>
  <c r="BS210" i="181"/>
  <c r="CQ210" i="181"/>
  <c r="BM210" i="181"/>
  <c r="EY210" i="181"/>
  <c r="CA75" i="181"/>
  <c r="AW75" i="181"/>
  <c r="CM75" i="181"/>
  <c r="AQ75" i="181"/>
  <c r="FA75" i="181"/>
  <c r="BU75" i="181"/>
  <c r="Y75" i="181"/>
  <c r="BC75" i="181"/>
  <c r="DW75" i="181"/>
  <c r="CG75" i="181"/>
  <c r="AK75" i="181"/>
  <c r="BO75" i="181"/>
  <c r="GE75" i="181"/>
  <c r="CS75" i="181"/>
  <c r="AE75" i="181"/>
  <c r="BI75" i="181"/>
  <c r="CF116" i="181"/>
  <c r="BB116" i="181"/>
  <c r="CR116" i="181"/>
  <c r="X116" i="181"/>
  <c r="BN116" i="181"/>
  <c r="BZ116" i="181"/>
  <c r="AV116" i="181"/>
  <c r="CL116" i="181"/>
  <c r="DV116" i="181"/>
  <c r="AD116" i="181"/>
  <c r="BT116" i="181"/>
  <c r="BH116" i="181"/>
  <c r="GD116" i="181"/>
  <c r="AP116" i="181"/>
  <c r="EZ116" i="181"/>
  <c r="AJ116" i="181"/>
  <c r="GC157" i="181"/>
  <c r="AO157" i="181"/>
  <c r="CE157" i="181"/>
  <c r="CQ157" i="181"/>
  <c r="W157" i="181"/>
  <c r="EY157" i="181"/>
  <c r="AI157" i="181"/>
  <c r="BY157" i="181"/>
  <c r="AU157" i="181"/>
  <c r="BG157" i="181"/>
  <c r="DU157" i="181"/>
  <c r="AC157" i="181"/>
  <c r="BS157" i="181"/>
  <c r="BM157" i="181"/>
  <c r="CK157" i="181"/>
  <c r="BA157" i="181"/>
  <c r="BI198" i="181"/>
  <c r="DW198" i="181"/>
  <c r="AE198" i="181"/>
  <c r="GE198" i="181"/>
  <c r="AQ198" i="181"/>
  <c r="BC198" i="181"/>
  <c r="CS198" i="181"/>
  <c r="Y198" i="181"/>
  <c r="FA198" i="181"/>
  <c r="AK198" i="181"/>
  <c r="CA198" i="181"/>
  <c r="AW198" i="181"/>
  <c r="CM198" i="181"/>
  <c r="BU198" i="181"/>
  <c r="BO198" i="181"/>
  <c r="CG198" i="181"/>
  <c r="BO66" i="181"/>
  <c r="FA66" i="181"/>
  <c r="AK66" i="181"/>
  <c r="CA66" i="181"/>
  <c r="AW66" i="181"/>
  <c r="CM66" i="181"/>
  <c r="BI66" i="181"/>
  <c r="DW66" i="181"/>
  <c r="AE66" i="181"/>
  <c r="BU66" i="181"/>
  <c r="GE66" i="181"/>
  <c r="AQ66" i="181"/>
  <c r="CG66" i="181"/>
  <c r="BC66" i="181"/>
  <c r="Y66" i="181"/>
  <c r="CS66" i="181"/>
  <c r="GE105" i="181"/>
  <c r="AQ105" i="181"/>
  <c r="CG105" i="181"/>
  <c r="BC105" i="181"/>
  <c r="CS105" i="181"/>
  <c r="Y105" i="181"/>
  <c r="FA105" i="181"/>
  <c r="AK105" i="181"/>
  <c r="CA105" i="181"/>
  <c r="AW105" i="181"/>
  <c r="BI105" i="181"/>
  <c r="DW105" i="181"/>
  <c r="AE105" i="181"/>
  <c r="BU105" i="181"/>
  <c r="BO105" i="181"/>
  <c r="CM105" i="181"/>
  <c r="CB147" i="181"/>
  <c r="BD147" i="181"/>
  <c r="DX147" i="181"/>
  <c r="AF147" i="181"/>
  <c r="GF147" i="181"/>
  <c r="CT147" i="181"/>
  <c r="BJ147" i="181"/>
  <c r="AR147" i="181"/>
  <c r="Z147" i="181"/>
  <c r="FB147" i="181"/>
  <c r="CN147" i="181"/>
  <c r="BV147" i="181"/>
  <c r="AX147" i="181"/>
  <c r="CH147" i="181"/>
  <c r="BP147" i="181"/>
  <c r="AL147" i="181"/>
  <c r="CN189" i="181"/>
  <c r="CB189" i="181"/>
  <c r="BD189" i="181"/>
  <c r="AL189" i="181"/>
  <c r="DX189" i="181"/>
  <c r="AR189" i="181"/>
  <c r="Z189" i="181"/>
  <c r="CT189" i="181"/>
  <c r="CH189" i="181"/>
  <c r="AF189" i="181"/>
  <c r="BJ189" i="181"/>
  <c r="GF189" i="181"/>
  <c r="FB189" i="181"/>
  <c r="AX189" i="181"/>
  <c r="BV189" i="181"/>
  <c r="BP189" i="181"/>
  <c r="FB57" i="181"/>
  <c r="AL57" i="181"/>
  <c r="CB57" i="181"/>
  <c r="GF57" i="181"/>
  <c r="CT57" i="181"/>
  <c r="BJ57" i="181"/>
  <c r="AR57" i="181"/>
  <c r="Z57" i="181"/>
  <c r="CN57" i="181"/>
  <c r="BV57" i="181"/>
  <c r="BD57" i="181"/>
  <c r="DX57" i="181"/>
  <c r="CH57" i="181"/>
  <c r="AX57" i="181"/>
  <c r="BP57" i="181"/>
  <c r="AF57" i="181"/>
  <c r="CS96" i="181"/>
  <c r="Y96" i="181"/>
  <c r="BO96" i="181"/>
  <c r="FA96" i="181"/>
  <c r="AK96" i="181"/>
  <c r="CA96" i="181"/>
  <c r="CM96" i="181"/>
  <c r="BI96" i="181"/>
  <c r="DW96" i="181"/>
  <c r="AE96" i="181"/>
  <c r="GE96" i="181"/>
  <c r="AQ96" i="181"/>
  <c r="CG96" i="181"/>
  <c r="BC96" i="181"/>
  <c r="AW96" i="181"/>
  <c r="BU96" i="181"/>
  <c r="FB137" i="181"/>
  <c r="AL137" i="181"/>
  <c r="CH137" i="181"/>
  <c r="GF137" i="181"/>
  <c r="CT137" i="181"/>
  <c r="CB137" i="181"/>
  <c r="BJ137" i="181"/>
  <c r="AR137" i="181"/>
  <c r="Z137" i="181"/>
  <c r="BV137" i="181"/>
  <c r="BD137" i="181"/>
  <c r="BP137" i="181"/>
  <c r="AX137" i="181"/>
  <c r="AF137" i="181"/>
  <c r="DX137" i="181"/>
  <c r="CN137" i="181"/>
  <c r="CA177" i="181"/>
  <c r="CG177" i="181"/>
  <c r="BO177" i="181"/>
  <c r="AW177" i="181"/>
  <c r="GE177" i="181"/>
  <c r="CS177" i="181"/>
  <c r="AE177" i="181"/>
  <c r="AQ177" i="181"/>
  <c r="BU177" i="181"/>
  <c r="Y177" i="181"/>
  <c r="BC177" i="181"/>
  <c r="AK177" i="181"/>
  <c r="BI177" i="181"/>
  <c r="FA177" i="181"/>
  <c r="DW177" i="181"/>
  <c r="CM177" i="181"/>
  <c r="CQ106" i="181"/>
  <c r="BS106" i="181"/>
  <c r="GC106" i="181"/>
  <c r="AO106" i="181"/>
  <c r="AC106" i="181"/>
  <c r="BY106" i="181"/>
  <c r="BG106" i="181"/>
  <c r="EY106" i="181"/>
  <c r="CK106" i="181"/>
  <c r="W106" i="181"/>
  <c r="BA106" i="181"/>
  <c r="CE106" i="181"/>
  <c r="DU106" i="181"/>
  <c r="BM106" i="181"/>
  <c r="AU106" i="181"/>
  <c r="AI106" i="181"/>
  <c r="EZ148" i="181"/>
  <c r="AJ148" i="181"/>
  <c r="CF148" i="181"/>
  <c r="BB148" i="181"/>
  <c r="GD148" i="181"/>
  <c r="CL148" i="181"/>
  <c r="BT148" i="181"/>
  <c r="AV148" i="181"/>
  <c r="BN148" i="181"/>
  <c r="AD148" i="181"/>
  <c r="BZ148" i="181"/>
  <c r="BH148" i="181"/>
  <c r="AP148" i="181"/>
  <c r="X148" i="181"/>
  <c r="DV148" i="181"/>
  <c r="CR148" i="181"/>
  <c r="AV190" i="181"/>
  <c r="CL190" i="181"/>
  <c r="DV190" i="181"/>
  <c r="AD190" i="181"/>
  <c r="GD190" i="181"/>
  <c r="EZ190" i="181"/>
  <c r="AJ190" i="181"/>
  <c r="BZ190" i="181"/>
  <c r="CR190" i="181"/>
  <c r="BT190" i="181"/>
  <c r="BN190" i="181"/>
  <c r="AP190" i="181"/>
  <c r="CF190" i="181"/>
  <c r="BH190" i="181"/>
  <c r="X190" i="181"/>
  <c r="BB190" i="181"/>
  <c r="BS94" i="181"/>
  <c r="GC94" i="181"/>
  <c r="AO94" i="181"/>
  <c r="CE94" i="181"/>
  <c r="BA94" i="181"/>
  <c r="BM94" i="181"/>
  <c r="EY94" i="181"/>
  <c r="AI94" i="181"/>
  <c r="CK94" i="181"/>
  <c r="BG94" i="181"/>
  <c r="AU94" i="181"/>
  <c r="BY94" i="181"/>
  <c r="AC94" i="181"/>
  <c r="W94" i="181"/>
  <c r="DU94" i="181"/>
  <c r="CQ94" i="181"/>
  <c r="BD134" i="181"/>
  <c r="AF134" i="181"/>
  <c r="CN134" i="181"/>
  <c r="BJ134" i="181"/>
  <c r="AR134" i="181"/>
  <c r="CH134" i="181"/>
  <c r="GF134" i="181"/>
  <c r="AL134" i="181"/>
  <c r="AX134" i="181"/>
  <c r="FB134" i="181"/>
  <c r="BV134" i="181"/>
  <c r="DX134" i="181"/>
  <c r="BP134" i="181"/>
  <c r="Z134" i="181"/>
  <c r="CT134" i="181"/>
  <c r="CB134" i="181"/>
  <c r="CB174" i="181"/>
  <c r="AX174" i="181"/>
  <c r="BJ174" i="181"/>
  <c r="BV174" i="181"/>
  <c r="GF174" i="181"/>
  <c r="AR174" i="181"/>
  <c r="BD174" i="181"/>
  <c r="CT174" i="181"/>
  <c r="Z174" i="181"/>
  <c r="BP174" i="181"/>
  <c r="CH174" i="181"/>
  <c r="FB174" i="181"/>
  <c r="DX174" i="181"/>
  <c r="AL174" i="181"/>
  <c r="CN174" i="181"/>
  <c r="AF174" i="181"/>
  <c r="CG46" i="181"/>
  <c r="BC46" i="181"/>
  <c r="CS46" i="181"/>
  <c r="Y46" i="181"/>
  <c r="BO46" i="181"/>
  <c r="FA46" i="181"/>
  <c r="AK46" i="181"/>
  <c r="CA46" i="181"/>
  <c r="AW46" i="181"/>
  <c r="CM46" i="181"/>
  <c r="BI46" i="181"/>
  <c r="DW46" i="181"/>
  <c r="AE46" i="181"/>
  <c r="GE46" i="181"/>
  <c r="AQ46" i="181"/>
  <c r="BU46" i="181"/>
  <c r="AX83" i="181"/>
  <c r="CN83" i="181"/>
  <c r="BJ83" i="181"/>
  <c r="BV83" i="181"/>
  <c r="GF83" i="181"/>
  <c r="AR83" i="181"/>
  <c r="CH83" i="181"/>
  <c r="BD83" i="181"/>
  <c r="CT83" i="181"/>
  <c r="Z83" i="181"/>
  <c r="BP83" i="181"/>
  <c r="FB83" i="181"/>
  <c r="AL83" i="181"/>
  <c r="DX83" i="181"/>
  <c r="AF83" i="181"/>
  <c r="CB83" i="181"/>
  <c r="DX123" i="181"/>
  <c r="AF123" i="181"/>
  <c r="BV123" i="181"/>
  <c r="GF123" i="181"/>
  <c r="AR123" i="181"/>
  <c r="CH123" i="181"/>
  <c r="CT123" i="181"/>
  <c r="Z123" i="181"/>
  <c r="BP123" i="181"/>
  <c r="FB123" i="181"/>
  <c r="AL123" i="181"/>
  <c r="AX123" i="181"/>
  <c r="CN123" i="181"/>
  <c r="BJ123" i="181"/>
  <c r="BD123" i="181"/>
  <c r="CB123" i="181"/>
  <c r="CM165" i="181"/>
  <c r="BC165" i="181"/>
  <c r="CG165" i="181"/>
  <c r="BO165" i="181"/>
  <c r="AW165" i="181"/>
  <c r="CA165" i="181"/>
  <c r="AE165" i="181"/>
  <c r="FA165" i="181"/>
  <c r="BI165" i="181"/>
  <c r="AQ165" i="181"/>
  <c r="BU165" i="181"/>
  <c r="AK165" i="181"/>
  <c r="GE165" i="181"/>
  <c r="CS165" i="181"/>
  <c r="Y165" i="181"/>
  <c r="DW165" i="181"/>
  <c r="EY208" i="181"/>
  <c r="AI208" i="181"/>
  <c r="BY208" i="181"/>
  <c r="CK208" i="181"/>
  <c r="DU208" i="181"/>
  <c r="AC208" i="181"/>
  <c r="BS208" i="181"/>
  <c r="CE208" i="181"/>
  <c r="BA208" i="181"/>
  <c r="CQ208" i="181"/>
  <c r="W208" i="181"/>
  <c r="AU208" i="181"/>
  <c r="AO208" i="181"/>
  <c r="GC208" i="181"/>
  <c r="BM208" i="181"/>
  <c r="BG208" i="181"/>
  <c r="BD46" i="181"/>
  <c r="CT46" i="181"/>
  <c r="Z46" i="181"/>
  <c r="BP46" i="181"/>
  <c r="FB46" i="181"/>
  <c r="AL46" i="181"/>
  <c r="CB46" i="181"/>
  <c r="AX46" i="181"/>
  <c r="CN46" i="181"/>
  <c r="BJ46" i="181"/>
  <c r="DX46" i="181"/>
  <c r="AF46" i="181"/>
  <c r="BV46" i="181"/>
  <c r="CH46" i="181"/>
  <c r="GF46" i="181"/>
  <c r="AR46" i="181"/>
  <c r="BP80" i="181"/>
  <c r="GF80" i="181"/>
  <c r="AR80" i="181"/>
  <c r="CH80" i="181"/>
  <c r="CB80" i="181"/>
  <c r="CT80" i="181"/>
  <c r="BJ80" i="181"/>
  <c r="Z80" i="181"/>
  <c r="FB80" i="181"/>
  <c r="BD80" i="181"/>
  <c r="AL80" i="181"/>
  <c r="CN80" i="181"/>
  <c r="BV80" i="181"/>
  <c r="DX80" i="181"/>
  <c r="AX80" i="181"/>
  <c r="AF80" i="181"/>
  <c r="BU104" i="181"/>
  <c r="GE104" i="181"/>
  <c r="AQ104" i="181"/>
  <c r="CG104" i="181"/>
  <c r="BC104" i="181"/>
  <c r="BO104" i="181"/>
  <c r="FA104" i="181"/>
  <c r="AK104" i="181"/>
  <c r="CA104" i="181"/>
  <c r="CM104" i="181"/>
  <c r="BI104" i="181"/>
  <c r="AW104" i="181"/>
  <c r="DW104" i="181"/>
  <c r="CS104" i="181"/>
  <c r="AE104" i="181"/>
  <c r="Y104" i="181"/>
  <c r="DW55" i="181"/>
  <c r="AE55" i="181"/>
  <c r="BU55" i="181"/>
  <c r="GE55" i="181"/>
  <c r="AQ55" i="181"/>
  <c r="CG55" i="181"/>
  <c r="BC55" i="181"/>
  <c r="CS55" i="181"/>
  <c r="Y55" i="181"/>
  <c r="BO55" i="181"/>
  <c r="FA55" i="181"/>
  <c r="AK55" i="181"/>
  <c r="CA55" i="181"/>
  <c r="AW55" i="181"/>
  <c r="BI55" i="181"/>
  <c r="CM55" i="181"/>
  <c r="CM162" i="181"/>
  <c r="GE162" i="181"/>
  <c r="AQ162" i="181"/>
  <c r="CG162" i="181"/>
  <c r="BO162" i="181"/>
  <c r="CS162" i="181"/>
  <c r="BC162" i="181"/>
  <c r="AK162" i="181"/>
  <c r="BU162" i="181"/>
  <c r="FA162" i="181"/>
  <c r="AW162" i="181"/>
  <c r="AE162" i="181"/>
  <c r="DW162" i="181"/>
  <c r="Y162" i="181"/>
  <c r="BI162" i="181"/>
  <c r="CA162" i="181"/>
  <c r="AW76" i="181"/>
  <c r="CM76" i="181"/>
  <c r="FA76" i="181"/>
  <c r="BU76" i="181"/>
  <c r="BC76" i="181"/>
  <c r="AK76" i="181"/>
  <c r="DW76" i="181"/>
  <c r="CG76" i="181"/>
  <c r="BO76" i="181"/>
  <c r="AE76" i="181"/>
  <c r="GE76" i="181"/>
  <c r="CS76" i="181"/>
  <c r="BI76" i="181"/>
  <c r="CA76" i="181"/>
  <c r="AQ76" i="181"/>
  <c r="Y76" i="181"/>
  <c r="CF135" i="181"/>
  <c r="BB135" i="181"/>
  <c r="GD135" i="181"/>
  <c r="BN135" i="181"/>
  <c r="AJ135" i="181"/>
  <c r="CR135" i="181"/>
  <c r="BZ135" i="181"/>
  <c r="AV135" i="181"/>
  <c r="EZ135" i="181"/>
  <c r="BH135" i="181"/>
  <c r="AD135" i="181"/>
  <c r="BT135" i="181"/>
  <c r="AP135" i="181"/>
  <c r="DV135" i="181"/>
  <c r="X135" i="181"/>
  <c r="CL135" i="181"/>
  <c r="DX142" i="181"/>
  <c r="AF142" i="181"/>
  <c r="BV142" i="181"/>
  <c r="CH142" i="181"/>
  <c r="CT142" i="181"/>
  <c r="Z142" i="181"/>
  <c r="BP142" i="181"/>
  <c r="FB142" i="181"/>
  <c r="AX142" i="181"/>
  <c r="CN142" i="181"/>
  <c r="CB142" i="181"/>
  <c r="AR142" i="181"/>
  <c r="GF142" i="181"/>
  <c r="AL142" i="181"/>
  <c r="BJ142" i="181"/>
  <c r="BD142" i="181"/>
  <c r="AV86" i="181"/>
  <c r="CL86" i="181"/>
  <c r="BH86" i="181"/>
  <c r="DV86" i="181"/>
  <c r="AD86" i="181"/>
  <c r="BT86" i="181"/>
  <c r="GD86" i="181"/>
  <c r="AP86" i="181"/>
  <c r="CF86" i="181"/>
  <c r="BB86" i="181"/>
  <c r="CR86" i="181"/>
  <c r="X86" i="181"/>
  <c r="BN86" i="181"/>
  <c r="EZ86" i="181"/>
  <c r="AJ86" i="181"/>
  <c r="BZ86" i="181"/>
  <c r="GF61" i="181"/>
  <c r="AR61" i="181"/>
  <c r="CH61" i="181"/>
  <c r="BD61" i="181"/>
  <c r="CT61" i="181"/>
  <c r="FB61" i="181"/>
  <c r="BJ61" i="181"/>
  <c r="DX61" i="181"/>
  <c r="AF61" i="181"/>
  <c r="Z61" i="181"/>
  <c r="CB61" i="181"/>
  <c r="AX61" i="181"/>
  <c r="BV61" i="181"/>
  <c r="BP61" i="181"/>
  <c r="AL61" i="181"/>
  <c r="CN61" i="181"/>
  <c r="BU212" i="181"/>
  <c r="BC212" i="181"/>
  <c r="CS212" i="181"/>
  <c r="Y212" i="181"/>
  <c r="BO212" i="181"/>
  <c r="FA212" i="181"/>
  <c r="AK212" i="181"/>
  <c r="CA212" i="181"/>
  <c r="GE212" i="181"/>
  <c r="CM212" i="181"/>
  <c r="AQ212" i="181"/>
  <c r="CG212" i="181"/>
  <c r="AW212" i="181"/>
  <c r="BI212" i="181"/>
  <c r="AE212" i="181"/>
  <c r="DW212" i="181"/>
  <c r="CS80" i="181"/>
  <c r="Y80" i="181"/>
  <c r="BU80" i="181"/>
  <c r="GE80" i="181"/>
  <c r="AQ80" i="181"/>
  <c r="CA80" i="181"/>
  <c r="BI80" i="181"/>
  <c r="FA80" i="181"/>
  <c r="BC80" i="181"/>
  <c r="AK80" i="181"/>
  <c r="CM80" i="181"/>
  <c r="CG80" i="181"/>
  <c r="BO80" i="181"/>
  <c r="AW80" i="181"/>
  <c r="DW80" i="181"/>
  <c r="AE80" i="181"/>
  <c r="BZ121" i="181"/>
  <c r="AV121" i="181"/>
  <c r="CL121" i="181"/>
  <c r="BH121" i="181"/>
  <c r="BT121" i="181"/>
  <c r="GD121" i="181"/>
  <c r="AP121" i="181"/>
  <c r="CF121" i="181"/>
  <c r="CR121" i="181"/>
  <c r="X121" i="181"/>
  <c r="BN121" i="181"/>
  <c r="BB121" i="181"/>
  <c r="EZ121" i="181"/>
  <c r="AJ121" i="181"/>
  <c r="AD121" i="181"/>
  <c r="DV121" i="181"/>
  <c r="BJ162" i="181"/>
  <c r="CH162" i="181"/>
  <c r="BD162" i="181"/>
  <c r="FB162" i="181"/>
  <c r="AL162" i="181"/>
  <c r="GF162" i="181"/>
  <c r="BP162" i="181"/>
  <c r="AR162" i="181"/>
  <c r="CB162" i="181"/>
  <c r="BV162" i="181"/>
  <c r="AF162" i="181"/>
  <c r="DX162" i="181"/>
  <c r="Z162" i="181"/>
  <c r="CT162" i="181"/>
  <c r="AX162" i="181"/>
  <c r="CN162" i="181"/>
  <c r="CR205" i="181"/>
  <c r="X205" i="181"/>
  <c r="BH205" i="181"/>
  <c r="BT205" i="181"/>
  <c r="CF205" i="181"/>
  <c r="GD205" i="181"/>
  <c r="CL205" i="181"/>
  <c r="BZ205" i="181"/>
  <c r="DV205" i="181"/>
  <c r="AJ205" i="181"/>
  <c r="AD205" i="181"/>
  <c r="BN205" i="181"/>
  <c r="BB205" i="181"/>
  <c r="AV205" i="181"/>
  <c r="EZ205" i="181"/>
  <c r="AP205" i="181"/>
  <c r="GE74" i="181"/>
  <c r="AQ74" i="181"/>
  <c r="CG74" i="181"/>
  <c r="BC74" i="181"/>
  <c r="CS74" i="181"/>
  <c r="Y74" i="181"/>
  <c r="BO74" i="181"/>
  <c r="FA74" i="181"/>
  <c r="AK74" i="181"/>
  <c r="CA74" i="181"/>
  <c r="AW74" i="181"/>
  <c r="CM74" i="181"/>
  <c r="BI74" i="181"/>
  <c r="DW74" i="181"/>
  <c r="AE74" i="181"/>
  <c r="BU74" i="181"/>
  <c r="BS115" i="181"/>
  <c r="GC115" i="181"/>
  <c r="AO115" i="181"/>
  <c r="CE115" i="181"/>
  <c r="BA115" i="181"/>
  <c r="BM115" i="181"/>
  <c r="EY115" i="181"/>
  <c r="AI115" i="181"/>
  <c r="BY115" i="181"/>
  <c r="CK115" i="181"/>
  <c r="BG115" i="181"/>
  <c r="DU115" i="181"/>
  <c r="AC115" i="181"/>
  <c r="CQ115" i="181"/>
  <c r="W115" i="181"/>
  <c r="AU115" i="181"/>
  <c r="CH155" i="181"/>
  <c r="BD155" i="181"/>
  <c r="BP155" i="181"/>
  <c r="CB155" i="181"/>
  <c r="AX155" i="181"/>
  <c r="CN155" i="181"/>
  <c r="DX155" i="181"/>
  <c r="AF155" i="181"/>
  <c r="BV155" i="181"/>
  <c r="AL155" i="181"/>
  <c r="GF155" i="181"/>
  <c r="FB155" i="181"/>
  <c r="BJ155" i="181"/>
  <c r="AR155" i="181"/>
  <c r="Z155" i="181"/>
  <c r="CT155" i="181"/>
  <c r="CM197" i="181"/>
  <c r="BI197" i="181"/>
  <c r="BU197" i="181"/>
  <c r="CG197" i="181"/>
  <c r="BC197" i="181"/>
  <c r="FA197" i="181"/>
  <c r="AK197" i="181"/>
  <c r="CA197" i="181"/>
  <c r="DW197" i="181"/>
  <c r="BO197" i="181"/>
  <c r="AE197" i="181"/>
  <c r="Y197" i="181"/>
  <c r="GE197" i="181"/>
  <c r="AQ197" i="181"/>
  <c r="CS197" i="181"/>
  <c r="AW197" i="181"/>
  <c r="CA68" i="181"/>
  <c r="AW68" i="181"/>
  <c r="CM68" i="181"/>
  <c r="BI68" i="181"/>
  <c r="DW68" i="181"/>
  <c r="AE68" i="181"/>
  <c r="BU68" i="181"/>
  <c r="GE68" i="181"/>
  <c r="AQ68" i="181"/>
  <c r="CG68" i="181"/>
  <c r="BC68" i="181"/>
  <c r="CS68" i="181"/>
  <c r="Y68" i="181"/>
  <c r="BO68" i="181"/>
  <c r="FA68" i="181"/>
  <c r="AK68" i="181"/>
  <c r="AX107" i="181"/>
  <c r="CT107" i="181"/>
  <c r="Z107" i="181"/>
  <c r="BP107" i="181"/>
  <c r="DX107" i="181"/>
  <c r="CH107" i="181"/>
  <c r="CB107" i="181"/>
  <c r="GF107" i="181"/>
  <c r="AL107" i="181"/>
  <c r="CN107" i="181"/>
  <c r="BV107" i="181"/>
  <c r="BD107" i="181"/>
  <c r="FB107" i="181"/>
  <c r="AF107" i="181"/>
  <c r="BJ107" i="181"/>
  <c r="AR107" i="181"/>
  <c r="CN149" i="181"/>
  <c r="BP149" i="181"/>
  <c r="FB149" i="181"/>
  <c r="AL149" i="181"/>
  <c r="DX149" i="181"/>
  <c r="CH149" i="181"/>
  <c r="BJ149" i="181"/>
  <c r="AR149" i="181"/>
  <c r="Z149" i="181"/>
  <c r="GF149" i="181"/>
  <c r="CT149" i="181"/>
  <c r="AF149" i="181"/>
  <c r="AX149" i="181"/>
  <c r="CB149" i="181"/>
  <c r="BV149" i="181"/>
  <c r="BD149" i="181"/>
  <c r="CT191" i="181"/>
  <c r="FB191" i="181"/>
  <c r="AF191" i="181"/>
  <c r="BJ191" i="181"/>
  <c r="AR191" i="181"/>
  <c r="DX191" i="181"/>
  <c r="Z191" i="181"/>
  <c r="GF191" i="181"/>
  <c r="BP191" i="181"/>
  <c r="AX191" i="181"/>
  <c r="CB191" i="181"/>
  <c r="BV191" i="181"/>
  <c r="AL191" i="181"/>
  <c r="CN191" i="181"/>
  <c r="BD191" i="181"/>
  <c r="CH191" i="181"/>
  <c r="BV59" i="181"/>
  <c r="AX59" i="181"/>
  <c r="CN59" i="181"/>
  <c r="BJ59" i="181"/>
  <c r="GF59" i="181"/>
  <c r="CT59" i="181"/>
  <c r="CB59" i="181"/>
  <c r="BD59" i="181"/>
  <c r="AL59" i="181"/>
  <c r="FB59" i="181"/>
  <c r="AF59" i="181"/>
  <c r="CH59" i="181"/>
  <c r="BP59" i="181"/>
  <c r="Z59" i="181"/>
  <c r="DX59" i="181"/>
  <c r="AR59" i="181"/>
  <c r="FA98" i="181"/>
  <c r="AK98" i="181"/>
  <c r="CA98" i="181"/>
  <c r="AW98" i="181"/>
  <c r="CM98" i="181"/>
  <c r="DW98" i="181"/>
  <c r="AE98" i="181"/>
  <c r="BU98" i="181"/>
  <c r="GE98" i="181"/>
  <c r="AQ98" i="181"/>
  <c r="BC98" i="181"/>
  <c r="CS98" i="181"/>
  <c r="Y98" i="181"/>
  <c r="BO98" i="181"/>
  <c r="BI98" i="181"/>
  <c r="CG98" i="181"/>
  <c r="EY140" i="181"/>
  <c r="AI140" i="181"/>
  <c r="AU140" i="181"/>
  <c r="CE140" i="181"/>
  <c r="BS140" i="181"/>
  <c r="BA140" i="181"/>
  <c r="GC140" i="181"/>
  <c r="CK140" i="181"/>
  <c r="DU140" i="181"/>
  <c r="AO140" i="181"/>
  <c r="W140" i="181"/>
  <c r="AC140" i="181"/>
  <c r="BG140" i="181"/>
  <c r="BY140" i="181"/>
  <c r="BM140" i="181"/>
  <c r="CQ140" i="181"/>
  <c r="CM179" i="181"/>
  <c r="BO179" i="181"/>
  <c r="DW179" i="181"/>
  <c r="CG179" i="181"/>
  <c r="CS179" i="181"/>
  <c r="CA179" i="181"/>
  <c r="BI179" i="181"/>
  <c r="AQ179" i="181"/>
  <c r="FA179" i="181"/>
  <c r="BU179" i="181"/>
  <c r="BC179" i="181"/>
  <c r="AK179" i="181"/>
  <c r="AW179" i="181"/>
  <c r="AE179" i="181"/>
  <c r="GE179" i="181"/>
  <c r="Y179" i="181"/>
  <c r="BM51" i="181"/>
  <c r="EY51" i="181"/>
  <c r="AI51" i="181"/>
  <c r="BY51" i="181"/>
  <c r="AU51" i="181"/>
  <c r="CK51" i="181"/>
  <c r="W51" i="181"/>
  <c r="BG51" i="181"/>
  <c r="DU51" i="181"/>
  <c r="AC51" i="181"/>
  <c r="BS51" i="181"/>
  <c r="GC51" i="181"/>
  <c r="AO51" i="181"/>
  <c r="CE51" i="181"/>
  <c r="BA51" i="181"/>
  <c r="CQ51" i="181"/>
  <c r="BH88" i="181"/>
  <c r="CL88" i="181"/>
  <c r="AD88" i="181"/>
  <c r="BT88" i="181"/>
  <c r="DV88" i="181"/>
  <c r="AP88" i="181"/>
  <c r="CF88" i="181"/>
  <c r="BB88" i="181"/>
  <c r="GD88" i="181"/>
  <c r="X88" i="181"/>
  <c r="BN88" i="181"/>
  <c r="CR88" i="181"/>
  <c r="AJ88" i="181"/>
  <c r="BZ88" i="181"/>
  <c r="AV88" i="181"/>
  <c r="EZ88" i="181"/>
  <c r="EY129" i="181"/>
  <c r="AI129" i="181"/>
  <c r="CE129" i="181"/>
  <c r="BA129" i="181"/>
  <c r="DU129" i="181"/>
  <c r="BM129" i="181"/>
  <c r="AU129" i="181"/>
  <c r="AC129" i="181"/>
  <c r="CQ129" i="181"/>
  <c r="BG129" i="181"/>
  <c r="W129" i="181"/>
  <c r="GC129" i="181"/>
  <c r="AO129" i="181"/>
  <c r="CK129" i="181"/>
  <c r="BS129" i="181"/>
  <c r="BY129" i="181"/>
  <c r="GD170" i="181"/>
  <c r="AP170" i="181"/>
  <c r="CR170" i="181"/>
  <c r="CL170" i="181"/>
  <c r="BH170" i="181"/>
  <c r="DV170" i="181"/>
  <c r="AD170" i="181"/>
  <c r="CF170" i="181"/>
  <c r="AJ170" i="181"/>
  <c r="BB170" i="181"/>
  <c r="BT170" i="181"/>
  <c r="AV170" i="181"/>
  <c r="BN170" i="181"/>
  <c r="EZ170" i="181"/>
  <c r="X170" i="181"/>
  <c r="BZ170" i="181"/>
  <c r="CH213" i="181"/>
  <c r="BP213" i="181"/>
  <c r="FB213" i="181"/>
  <c r="AL213" i="181"/>
  <c r="CB213" i="181"/>
  <c r="AX213" i="181"/>
  <c r="CN213" i="181"/>
  <c r="BV213" i="181"/>
  <c r="AR213" i="181"/>
  <c r="DX213" i="181"/>
  <c r="BJ213" i="181"/>
  <c r="CT213" i="181"/>
  <c r="BD213" i="181"/>
  <c r="AF213" i="181"/>
  <c r="Z213" i="181"/>
  <c r="GF213" i="181"/>
  <c r="BI78" i="181"/>
  <c r="DW78" i="181"/>
  <c r="AE78" i="181"/>
  <c r="Y78" i="181"/>
  <c r="FA78" i="181"/>
  <c r="BU78" i="181"/>
  <c r="CM78" i="181"/>
  <c r="BC78" i="181"/>
  <c r="AK78" i="181"/>
  <c r="CG78" i="181"/>
  <c r="BO78" i="181"/>
  <c r="AW78" i="181"/>
  <c r="GE78" i="181"/>
  <c r="CS78" i="181"/>
  <c r="AQ78" i="181"/>
  <c r="CA78" i="181"/>
  <c r="BN119" i="181"/>
  <c r="EZ119" i="181"/>
  <c r="AJ119" i="181"/>
  <c r="BZ119" i="181"/>
  <c r="AV119" i="181"/>
  <c r="BH119" i="181"/>
  <c r="DV119" i="181"/>
  <c r="AD119" i="181"/>
  <c r="BT119" i="181"/>
  <c r="CF119" i="181"/>
  <c r="BB119" i="181"/>
  <c r="AP119" i="181"/>
  <c r="CR119" i="181"/>
  <c r="CL119" i="181"/>
  <c r="X119" i="181"/>
  <c r="GD119" i="181"/>
  <c r="AX160" i="181"/>
  <c r="CT160" i="181"/>
  <c r="Z160" i="181"/>
  <c r="GF160" i="181"/>
  <c r="AR160" i="181"/>
  <c r="FB160" i="181"/>
  <c r="CN160" i="181"/>
  <c r="BV160" i="181"/>
  <c r="BD160" i="181"/>
  <c r="AL160" i="181"/>
  <c r="DX160" i="181"/>
  <c r="CH160" i="181"/>
  <c r="BP160" i="181"/>
  <c r="AF160" i="181"/>
  <c r="BJ160" i="181"/>
  <c r="CB160" i="181"/>
  <c r="GE201" i="181"/>
  <c r="AQ201" i="181"/>
  <c r="BU201" i="181"/>
  <c r="Y201" i="181"/>
  <c r="DW201" i="181"/>
  <c r="BC201" i="181"/>
  <c r="AK201" i="181"/>
  <c r="CS201" i="181"/>
  <c r="AW201" i="181"/>
  <c r="FA201" i="181"/>
  <c r="AE201" i="181"/>
  <c r="BI201" i="181"/>
  <c r="CM201" i="181"/>
  <c r="CA201" i="181"/>
  <c r="BO201" i="181"/>
  <c r="CG201" i="181"/>
  <c r="AW69" i="181"/>
  <c r="CM69" i="181"/>
  <c r="BI69" i="181"/>
  <c r="DW69" i="181"/>
  <c r="AE69" i="181"/>
  <c r="BU69" i="181"/>
  <c r="GE69" i="181"/>
  <c r="AQ69" i="181"/>
  <c r="CG69" i="181"/>
  <c r="BC69" i="181"/>
  <c r="CS69" i="181"/>
  <c r="Y69" i="181"/>
  <c r="BO69" i="181"/>
  <c r="FA69" i="181"/>
  <c r="AK69" i="181"/>
  <c r="CA69" i="181"/>
  <c r="EY109" i="181"/>
  <c r="BY109" i="181"/>
  <c r="BA109" i="181"/>
  <c r="CQ109" i="181"/>
  <c r="W109" i="181"/>
  <c r="DU109" i="181"/>
  <c r="BM109" i="181"/>
  <c r="AU109" i="181"/>
  <c r="AC109" i="181"/>
  <c r="CE109" i="181"/>
  <c r="AO109" i="181"/>
  <c r="GC109" i="181"/>
  <c r="CK109" i="181"/>
  <c r="AI109" i="181"/>
  <c r="BS109" i="181"/>
  <c r="BG109" i="181"/>
  <c r="CN150" i="181"/>
  <c r="BJ150" i="181"/>
  <c r="FB150" i="181"/>
  <c r="AL150" i="181"/>
  <c r="CB150" i="181"/>
  <c r="BP150" i="181"/>
  <c r="AR150" i="181"/>
  <c r="CH150" i="181"/>
  <c r="BD150" i="181"/>
  <c r="AF150" i="181"/>
  <c r="CT150" i="181"/>
  <c r="BV150" i="181"/>
  <c r="AX150" i="181"/>
  <c r="GF150" i="181"/>
  <c r="DX150" i="181"/>
  <c r="Z150" i="181"/>
  <c r="BP192" i="181"/>
  <c r="BD192" i="181"/>
  <c r="CH192" i="181"/>
  <c r="AL192" i="181"/>
  <c r="CB192" i="181"/>
  <c r="FB192" i="181"/>
  <c r="AF192" i="181"/>
  <c r="CN192" i="181"/>
  <c r="BV192" i="181"/>
  <c r="AR192" i="181"/>
  <c r="GF192" i="181"/>
  <c r="DX192" i="181"/>
  <c r="BJ192" i="181"/>
  <c r="Z192" i="181"/>
  <c r="AX192" i="181"/>
  <c r="CT192" i="181"/>
  <c r="GF60" i="181"/>
  <c r="AR60" i="181"/>
  <c r="CH60" i="181"/>
  <c r="CN60" i="181"/>
  <c r="BJ60" i="181"/>
  <c r="AL60" i="181"/>
  <c r="DX60" i="181"/>
  <c r="CB60" i="181"/>
  <c r="BD60" i="181"/>
  <c r="CT60" i="181"/>
  <c r="AF60" i="181"/>
  <c r="BV60" i="181"/>
  <c r="AX60" i="181"/>
  <c r="Z60" i="181"/>
  <c r="BP60" i="181"/>
  <c r="FB60" i="181"/>
  <c r="CA99" i="181"/>
  <c r="AW99" i="181"/>
  <c r="CM99" i="181"/>
  <c r="BI99" i="181"/>
  <c r="BU99" i="181"/>
  <c r="GE99" i="181"/>
  <c r="AQ99" i="181"/>
  <c r="CG99" i="181"/>
  <c r="CS99" i="181"/>
  <c r="Y99" i="181"/>
  <c r="BO99" i="181"/>
  <c r="BC99" i="181"/>
  <c r="FA99" i="181"/>
  <c r="DW99" i="181"/>
  <c r="AK99" i="181"/>
  <c r="AE99" i="181"/>
  <c r="BZ141" i="181"/>
  <c r="AV141" i="181"/>
  <c r="BH141" i="181"/>
  <c r="BT141" i="181"/>
  <c r="CR141" i="181"/>
  <c r="X141" i="181"/>
  <c r="BN141" i="181"/>
  <c r="DV141" i="181"/>
  <c r="AD141" i="181"/>
  <c r="GD141" i="181"/>
  <c r="CL141" i="181"/>
  <c r="AP141" i="181"/>
  <c r="EZ141" i="181"/>
  <c r="CF141" i="181"/>
  <c r="AJ141" i="181"/>
  <c r="BB141" i="181"/>
  <c r="DX180" i="181"/>
  <c r="AF180" i="181"/>
  <c r="BV180" i="181"/>
  <c r="CB180" i="181"/>
  <c r="FB180" i="181"/>
  <c r="BD180" i="181"/>
  <c r="AL180" i="181"/>
  <c r="CH180" i="181"/>
  <c r="BP180" i="181"/>
  <c r="BJ180" i="181"/>
  <c r="GF180" i="181"/>
  <c r="AX180" i="181"/>
  <c r="AR180" i="181"/>
  <c r="CT180" i="181"/>
  <c r="CN180" i="181"/>
  <c r="Z180" i="181"/>
  <c r="BJ109" i="181"/>
  <c r="FB109" i="181"/>
  <c r="AL109" i="181"/>
  <c r="CB109" i="181"/>
  <c r="CT109" i="181"/>
  <c r="AR109" i="181"/>
  <c r="Z109" i="181"/>
  <c r="GF109" i="181"/>
  <c r="BV109" i="181"/>
  <c r="CN109" i="181"/>
  <c r="BD109" i="181"/>
  <c r="DX109" i="181"/>
  <c r="AX109" i="181"/>
  <c r="AF109" i="181"/>
  <c r="CH109" i="181"/>
  <c r="BP109" i="181"/>
  <c r="AV151" i="181"/>
  <c r="CL151" i="181"/>
  <c r="DV151" i="181"/>
  <c r="CF151" i="181"/>
  <c r="BN151" i="181"/>
  <c r="EZ151" i="181"/>
  <c r="AJ151" i="181"/>
  <c r="GD151" i="181"/>
  <c r="BB151" i="181"/>
  <c r="BZ151" i="181"/>
  <c r="BT151" i="181"/>
  <c r="AP151" i="181"/>
  <c r="BH151" i="181"/>
  <c r="X151" i="181"/>
  <c r="CR151" i="181"/>
  <c r="AD151" i="181"/>
  <c r="CR193" i="181"/>
  <c r="X193" i="181"/>
  <c r="GD193" i="181"/>
  <c r="AV193" i="181"/>
  <c r="BZ193" i="181"/>
  <c r="EZ193" i="181"/>
  <c r="BH193" i="181"/>
  <c r="AP193" i="181"/>
  <c r="BT193" i="181"/>
  <c r="DV193" i="181"/>
  <c r="BB193" i="181"/>
  <c r="CF193" i="181"/>
  <c r="AJ193" i="181"/>
  <c r="BN193" i="181"/>
  <c r="AD193" i="181"/>
  <c r="CL193" i="181"/>
  <c r="BA97" i="181"/>
  <c r="CQ97" i="181"/>
  <c r="W97" i="181"/>
  <c r="BM97" i="181"/>
  <c r="EY97" i="181"/>
  <c r="AI97" i="181"/>
  <c r="AU97" i="181"/>
  <c r="CK97" i="181"/>
  <c r="BG97" i="181"/>
  <c r="BS97" i="181"/>
  <c r="GC97" i="181"/>
  <c r="AO97" i="181"/>
  <c r="DU97" i="181"/>
  <c r="AC97" i="181"/>
  <c r="CE97" i="181"/>
  <c r="BY97" i="181"/>
  <c r="BN138" i="181"/>
  <c r="GD138" i="181"/>
  <c r="AP138" i="181"/>
  <c r="AV138" i="181"/>
  <c r="AD138" i="181"/>
  <c r="CR138" i="181"/>
  <c r="BZ138" i="181"/>
  <c r="X138" i="181"/>
  <c r="EZ138" i="181"/>
  <c r="CL138" i="181"/>
  <c r="BH138" i="181"/>
  <c r="BB138" i="181"/>
  <c r="DV138" i="181"/>
  <c r="BT138" i="181"/>
  <c r="CF138" i="181"/>
  <c r="AJ138" i="181"/>
  <c r="EY178" i="181"/>
  <c r="AI178" i="181"/>
  <c r="CE178" i="181"/>
  <c r="DU178" i="181"/>
  <c r="AC178" i="181"/>
  <c r="GC178" i="181"/>
  <c r="CQ178" i="181"/>
  <c r="BY178" i="181"/>
  <c r="BG178" i="181"/>
  <c r="CK178" i="181"/>
  <c r="BS178" i="181"/>
  <c r="BA178" i="181"/>
  <c r="W178" i="181"/>
  <c r="BM178" i="181"/>
  <c r="AU178" i="181"/>
  <c r="AO178" i="181"/>
  <c r="BO49" i="181"/>
  <c r="FA49" i="181"/>
  <c r="AK49" i="181"/>
  <c r="CA49" i="181"/>
  <c r="AW49" i="181"/>
  <c r="CM49" i="181"/>
  <c r="BI49" i="181"/>
  <c r="DW49" i="181"/>
  <c r="AE49" i="181"/>
  <c r="BU49" i="181"/>
  <c r="GE49" i="181"/>
  <c r="AQ49" i="181"/>
  <c r="CG49" i="181"/>
  <c r="BC49" i="181"/>
  <c r="CS49" i="181"/>
  <c r="Y49" i="181"/>
  <c r="BJ86" i="181"/>
  <c r="DX86" i="181"/>
  <c r="AF86" i="181"/>
  <c r="BV86" i="181"/>
  <c r="GF86" i="181"/>
  <c r="AR86" i="181"/>
  <c r="CH86" i="181"/>
  <c r="BD86" i="181"/>
  <c r="CT86" i="181"/>
  <c r="Z86" i="181"/>
  <c r="BP86" i="181"/>
  <c r="FB86" i="181"/>
  <c r="AL86" i="181"/>
  <c r="CB86" i="181"/>
  <c r="AX86" i="181"/>
  <c r="CN86" i="181"/>
  <c r="BN127" i="181"/>
  <c r="GD127" i="181"/>
  <c r="CF127" i="181"/>
  <c r="AJ127" i="181"/>
  <c r="DV127" i="181"/>
  <c r="AV127" i="181"/>
  <c r="CR127" i="181"/>
  <c r="BZ127" i="181"/>
  <c r="AD127" i="181"/>
  <c r="BH127" i="181"/>
  <c r="EZ127" i="181"/>
  <c r="CL127" i="181"/>
  <c r="X127" i="181"/>
  <c r="BT127" i="181"/>
  <c r="AP127" i="181"/>
  <c r="BB127" i="181"/>
  <c r="GF168" i="181"/>
  <c r="AR168" i="181"/>
  <c r="CN168" i="181"/>
  <c r="DX168" i="181"/>
  <c r="AF168" i="181"/>
  <c r="CH168" i="181"/>
  <c r="BP168" i="181"/>
  <c r="AX168" i="181"/>
  <c r="Z168" i="181"/>
  <c r="BJ168" i="181"/>
  <c r="CT168" i="181"/>
  <c r="CB168" i="181"/>
  <c r="BV168" i="181"/>
  <c r="FB168" i="181"/>
  <c r="BD168" i="181"/>
  <c r="AL168" i="181"/>
  <c r="BG212" i="181"/>
  <c r="GC212" i="181"/>
  <c r="AO212" i="181"/>
  <c r="CE212" i="181"/>
  <c r="BA212" i="181"/>
  <c r="CQ212" i="181"/>
  <c r="W212" i="181"/>
  <c r="BM212" i="181"/>
  <c r="BS212" i="181"/>
  <c r="CK212" i="181"/>
  <c r="BY212" i="181"/>
  <c r="DU212" i="181"/>
  <c r="AC212" i="181"/>
  <c r="AI212" i="181"/>
  <c r="EY212" i="181"/>
  <c r="AU212" i="181"/>
  <c r="FA187" i="181"/>
  <c r="AK187" i="181"/>
  <c r="CS187" i="181"/>
  <c r="Y187" i="181"/>
  <c r="BC187" i="181"/>
  <c r="CG187" i="181"/>
  <c r="BO187" i="181"/>
  <c r="AW187" i="181"/>
  <c r="GE187" i="181"/>
  <c r="CA187" i="181"/>
  <c r="AQ187" i="181"/>
  <c r="CM187" i="181"/>
  <c r="AE187" i="181"/>
  <c r="BU187" i="181"/>
  <c r="BI187" i="181"/>
  <c r="DW187" i="181"/>
  <c r="BM188" i="181"/>
  <c r="BA188" i="181"/>
  <c r="EY188" i="181"/>
  <c r="CK188" i="181"/>
  <c r="DU188" i="181"/>
  <c r="CE188" i="181"/>
  <c r="AU188" i="181"/>
  <c r="GC188" i="181"/>
  <c r="CQ188" i="181"/>
  <c r="BY188" i="181"/>
  <c r="BG188" i="181"/>
  <c r="AI188" i="181"/>
  <c r="W188" i="181"/>
  <c r="AO188" i="181"/>
  <c r="BS188" i="181"/>
  <c r="AC188" i="181"/>
  <c r="CE172" i="181"/>
  <c r="BA172" i="181"/>
  <c r="BM172" i="181"/>
  <c r="AU172" i="181"/>
  <c r="BG172" i="181"/>
  <c r="DU172" i="181"/>
  <c r="AC172" i="181"/>
  <c r="BS172" i="181"/>
  <c r="BY172" i="181"/>
  <c r="AO172" i="181"/>
  <c r="AI172" i="181"/>
  <c r="W172" i="181"/>
  <c r="GC172" i="181"/>
  <c r="CQ172" i="181"/>
  <c r="CK172" i="181"/>
  <c r="EY172" i="181"/>
  <c r="BO175" i="181"/>
  <c r="CS175" i="181"/>
  <c r="FA175" i="181"/>
  <c r="CA175" i="181"/>
  <c r="BI175" i="181"/>
  <c r="CM175" i="181"/>
  <c r="DW175" i="181"/>
  <c r="BU175" i="181"/>
  <c r="Y175" i="181"/>
  <c r="BC175" i="181"/>
  <c r="AQ175" i="181"/>
  <c r="AE175" i="181"/>
  <c r="AW175" i="181"/>
  <c r="GE175" i="181"/>
  <c r="CG175" i="181"/>
  <c r="AK175" i="181"/>
  <c r="CE185" i="181"/>
  <c r="AI185" i="181"/>
  <c r="GC185" i="181"/>
  <c r="BM185" i="181"/>
  <c r="AU185" i="181"/>
  <c r="EY185" i="181"/>
  <c r="AC185" i="181"/>
  <c r="BG185" i="181"/>
  <c r="AO185" i="181"/>
  <c r="BS185" i="181"/>
  <c r="W185" i="181"/>
  <c r="DU185" i="181"/>
  <c r="BA185" i="181"/>
  <c r="CK185" i="181"/>
  <c r="BY185" i="181"/>
  <c r="CQ185" i="181"/>
  <c r="BJ110" i="181"/>
  <c r="DX110" i="181"/>
  <c r="AF110" i="181"/>
  <c r="GF110" i="181"/>
  <c r="CT110" i="181"/>
  <c r="CB110" i="181"/>
  <c r="AX110" i="181"/>
  <c r="FB110" i="181"/>
  <c r="CH110" i="181"/>
  <c r="AL110" i="181"/>
  <c r="BV110" i="181"/>
  <c r="CN110" i="181"/>
  <c r="BP110" i="181"/>
  <c r="Z110" i="181"/>
  <c r="AR110" i="181"/>
  <c r="BD110" i="181"/>
  <c r="DU74" i="181"/>
  <c r="AC74" i="181"/>
  <c r="BS74" i="181"/>
  <c r="GC74" i="181"/>
  <c r="AO74" i="181"/>
  <c r="CE74" i="181"/>
  <c r="BA74" i="181"/>
  <c r="CQ74" i="181"/>
  <c r="W74" i="181"/>
  <c r="BM74" i="181"/>
  <c r="EY74" i="181"/>
  <c r="AI74" i="181"/>
  <c r="BY74" i="181"/>
  <c r="AU74" i="181"/>
  <c r="CK74" i="181"/>
  <c r="BG74" i="181"/>
  <c r="GC47" i="181"/>
  <c r="AO47" i="181"/>
  <c r="CE47" i="181"/>
  <c r="BA47" i="181"/>
  <c r="CQ47" i="181"/>
  <c r="W47" i="181"/>
  <c r="BM47" i="181"/>
  <c r="EY47" i="181"/>
  <c r="AI47" i="181"/>
  <c r="BY47" i="181"/>
  <c r="AU47" i="181"/>
  <c r="CK47" i="181"/>
  <c r="BG47" i="181"/>
  <c r="DU47" i="181"/>
  <c r="AC47" i="181"/>
  <c r="BS47" i="181"/>
  <c r="EZ84" i="181"/>
  <c r="BZ84" i="181"/>
  <c r="AV84" i="181"/>
  <c r="CL84" i="181"/>
  <c r="BH84" i="181"/>
  <c r="DV84" i="181"/>
  <c r="AD84" i="181"/>
  <c r="BT84" i="181"/>
  <c r="GD84" i="181"/>
  <c r="AP84" i="181"/>
  <c r="CF84" i="181"/>
  <c r="BB84" i="181"/>
  <c r="CR84" i="181"/>
  <c r="X84" i="181"/>
  <c r="BN84" i="181"/>
  <c r="AJ84" i="181"/>
  <c r="BH124" i="181"/>
  <c r="DV124" i="181"/>
  <c r="AD124" i="181"/>
  <c r="BT124" i="181"/>
  <c r="GD124" i="181"/>
  <c r="AP124" i="181"/>
  <c r="BB124" i="181"/>
  <c r="CR124" i="181"/>
  <c r="X124" i="181"/>
  <c r="BN124" i="181"/>
  <c r="BZ124" i="181"/>
  <c r="AV124" i="181"/>
  <c r="CL124" i="181"/>
  <c r="EZ124" i="181"/>
  <c r="AJ124" i="181"/>
  <c r="CF124" i="181"/>
  <c r="AU166" i="181"/>
  <c r="EY166" i="181"/>
  <c r="AI166" i="181"/>
  <c r="CE166" i="181"/>
  <c r="CQ166" i="181"/>
  <c r="BY166" i="181"/>
  <c r="BG166" i="181"/>
  <c r="AO166" i="181"/>
  <c r="CK166" i="181"/>
  <c r="W166" i="181"/>
  <c r="BS166" i="181"/>
  <c r="DU166" i="181"/>
  <c r="BA166" i="181"/>
  <c r="GC166" i="181"/>
  <c r="BM166" i="181"/>
  <c r="AC166" i="181"/>
  <c r="CN208" i="181"/>
  <c r="BJ208" i="181"/>
  <c r="BV208" i="181"/>
  <c r="CH208" i="181"/>
  <c r="BD208" i="181"/>
  <c r="BP208" i="181"/>
  <c r="FB208" i="181"/>
  <c r="AL208" i="181"/>
  <c r="CB208" i="181"/>
  <c r="DX208" i="181"/>
  <c r="AR208" i="181"/>
  <c r="CT208" i="181"/>
  <c r="AF208" i="181"/>
  <c r="GF208" i="181"/>
  <c r="AX208" i="181"/>
  <c r="Z208" i="181"/>
  <c r="CM77" i="181"/>
  <c r="BI77" i="181"/>
  <c r="Y77" i="181"/>
  <c r="FA77" i="181"/>
  <c r="BU77" i="181"/>
  <c r="BC77" i="181"/>
  <c r="AK77" i="181"/>
  <c r="DW77" i="181"/>
  <c r="CG77" i="181"/>
  <c r="BO77" i="181"/>
  <c r="AE77" i="181"/>
  <c r="AW77" i="181"/>
  <c r="GE77" i="181"/>
  <c r="CS77" i="181"/>
  <c r="CA77" i="181"/>
  <c r="AQ77" i="181"/>
  <c r="CR118" i="181"/>
  <c r="X118" i="181"/>
  <c r="BN118" i="181"/>
  <c r="EZ118" i="181"/>
  <c r="AJ118" i="181"/>
  <c r="BZ118" i="181"/>
  <c r="CL118" i="181"/>
  <c r="BH118" i="181"/>
  <c r="DV118" i="181"/>
  <c r="AD118" i="181"/>
  <c r="GD118" i="181"/>
  <c r="AP118" i="181"/>
  <c r="CF118" i="181"/>
  <c r="BT118" i="181"/>
  <c r="BB118" i="181"/>
  <c r="AV118" i="181"/>
  <c r="BD159" i="181"/>
  <c r="GF159" i="181"/>
  <c r="BP159" i="181"/>
  <c r="CT159" i="181"/>
  <c r="CB159" i="181"/>
  <c r="CN159" i="181"/>
  <c r="BJ159" i="181"/>
  <c r="AR159" i="181"/>
  <c r="DX159" i="181"/>
  <c r="Z159" i="181"/>
  <c r="CH159" i="181"/>
  <c r="FB159" i="181"/>
  <c r="BV159" i="181"/>
  <c r="AF159" i="181"/>
  <c r="AX159" i="181"/>
  <c r="AL159" i="181"/>
  <c r="BU200" i="181"/>
  <c r="AW200" i="181"/>
  <c r="CA200" i="181"/>
  <c r="BI200" i="181"/>
  <c r="Y200" i="181"/>
  <c r="CG200" i="181"/>
  <c r="GE200" i="181"/>
  <c r="AK200" i="181"/>
  <c r="BO200" i="181"/>
  <c r="FA200" i="181"/>
  <c r="DW200" i="181"/>
  <c r="BC200" i="181"/>
  <c r="CS200" i="181"/>
  <c r="AQ200" i="181"/>
  <c r="AE200" i="181"/>
  <c r="CM200" i="181"/>
  <c r="DX71" i="181"/>
  <c r="AF71" i="181"/>
  <c r="BV71" i="181"/>
  <c r="GF71" i="181"/>
  <c r="AR71" i="181"/>
  <c r="CH71" i="181"/>
  <c r="BD71" i="181"/>
  <c r="CT71" i="181"/>
  <c r="Z71" i="181"/>
  <c r="BP71" i="181"/>
  <c r="FB71" i="181"/>
  <c r="AL71" i="181"/>
  <c r="CB71" i="181"/>
  <c r="AX71" i="181"/>
  <c r="CN71" i="181"/>
  <c r="BJ71" i="181"/>
  <c r="DX111" i="181"/>
  <c r="AF111" i="181"/>
  <c r="BV111" i="181"/>
  <c r="GF111" i="181"/>
  <c r="CH111" i="181"/>
  <c r="BP111" i="181"/>
  <c r="AX111" i="181"/>
  <c r="CN111" i="181"/>
  <c r="CT111" i="181"/>
  <c r="Z111" i="181"/>
  <c r="AR111" i="181"/>
  <c r="FB111" i="181"/>
  <c r="BJ111" i="181"/>
  <c r="BD111" i="181"/>
  <c r="AL111" i="181"/>
  <c r="CB111" i="181"/>
  <c r="DX152" i="181"/>
  <c r="AF152" i="181"/>
  <c r="BV152" i="181"/>
  <c r="CH152" i="181"/>
  <c r="CT152" i="181"/>
  <c r="BP152" i="181"/>
  <c r="AX152" i="181"/>
  <c r="CN152" i="181"/>
  <c r="BJ152" i="181"/>
  <c r="BD152" i="181"/>
  <c r="GF152" i="181"/>
  <c r="CB152" i="181"/>
  <c r="FB152" i="181"/>
  <c r="AR152" i="181"/>
  <c r="Z152" i="181"/>
  <c r="AL152" i="181"/>
  <c r="CB194" i="181"/>
  <c r="CT194" i="181"/>
  <c r="Z194" i="181"/>
  <c r="BJ194" i="181"/>
  <c r="AR194" i="181"/>
  <c r="FB194" i="181"/>
  <c r="CN194" i="181"/>
  <c r="BD194" i="181"/>
  <c r="AL194" i="181"/>
  <c r="CH194" i="181"/>
  <c r="BP194" i="181"/>
  <c r="AX194" i="181"/>
  <c r="AF194" i="181"/>
  <c r="BV194" i="181"/>
  <c r="GF194" i="181"/>
  <c r="DX194" i="181"/>
  <c r="CH62" i="181"/>
  <c r="BD62" i="181"/>
  <c r="CT62" i="181"/>
  <c r="Z62" i="181"/>
  <c r="BP62" i="181"/>
  <c r="FB62" i="181"/>
  <c r="CB62" i="181"/>
  <c r="AX62" i="181"/>
  <c r="CN62" i="181"/>
  <c r="DX62" i="181"/>
  <c r="AF62" i="181"/>
  <c r="BV62" i="181"/>
  <c r="BJ62" i="181"/>
  <c r="GF62" i="181"/>
  <c r="AR62" i="181"/>
  <c r="AL62" i="181"/>
  <c r="CM101" i="181"/>
  <c r="BI101" i="181"/>
  <c r="DW101" i="181"/>
  <c r="AE101" i="181"/>
  <c r="BU101" i="181"/>
  <c r="CG101" i="181"/>
  <c r="BC101" i="181"/>
  <c r="CS101" i="181"/>
  <c r="Y101" i="181"/>
  <c r="FA101" i="181"/>
  <c r="AK101" i="181"/>
  <c r="CA101" i="181"/>
  <c r="BO101" i="181"/>
  <c r="GE101" i="181"/>
  <c r="AW101" i="181"/>
  <c r="AQ101" i="181"/>
  <c r="BV143" i="181"/>
  <c r="GF143" i="181"/>
  <c r="AR143" i="181"/>
  <c r="BD143" i="181"/>
  <c r="BP143" i="181"/>
  <c r="FB143" i="181"/>
  <c r="AL143" i="181"/>
  <c r="CB143" i="181"/>
  <c r="CN143" i="181"/>
  <c r="BJ143" i="181"/>
  <c r="Z143" i="181"/>
  <c r="DX143" i="181"/>
  <c r="AX143" i="181"/>
  <c r="CH143" i="181"/>
  <c r="AF143" i="181"/>
  <c r="CT143" i="181"/>
  <c r="BA186" i="181"/>
  <c r="BG186" i="181"/>
  <c r="CK186" i="181"/>
  <c r="BS186" i="181"/>
  <c r="W186" i="181"/>
  <c r="CE186" i="181"/>
  <c r="AI186" i="181"/>
  <c r="CQ186" i="181"/>
  <c r="AU186" i="181"/>
  <c r="BY186" i="181"/>
  <c r="AC186" i="181"/>
  <c r="GC186" i="181"/>
  <c r="BM186" i="181"/>
  <c r="EY186" i="181"/>
  <c r="DU186" i="181"/>
  <c r="AO186" i="181"/>
  <c r="AU54" i="181"/>
  <c r="CK54" i="181"/>
  <c r="BG54" i="181"/>
  <c r="DU54" i="181"/>
  <c r="AC54" i="181"/>
  <c r="BS54" i="181"/>
  <c r="GC54" i="181"/>
  <c r="AO54" i="181"/>
  <c r="CE54" i="181"/>
  <c r="BA54" i="181"/>
  <c r="CQ54" i="181"/>
  <c r="W54" i="181"/>
  <c r="BM54" i="181"/>
  <c r="EY54" i="181"/>
  <c r="AI54" i="181"/>
  <c r="BY54" i="181"/>
  <c r="CH92" i="181"/>
  <c r="CT92" i="181"/>
  <c r="Z92" i="181"/>
  <c r="FB92" i="181"/>
  <c r="AL92" i="181"/>
  <c r="BJ92" i="181"/>
  <c r="DX92" i="181"/>
  <c r="AF92" i="181"/>
  <c r="BP92" i="181"/>
  <c r="AR92" i="181"/>
  <c r="CB92" i="181"/>
  <c r="BD92" i="181"/>
  <c r="BV92" i="181"/>
  <c r="GF92" i="181"/>
  <c r="AX92" i="181"/>
  <c r="CN92" i="181"/>
  <c r="DU133" i="181"/>
  <c r="CK133" i="181"/>
  <c r="BG133" i="181"/>
  <c r="AC133" i="181"/>
  <c r="BS133" i="181"/>
  <c r="AO133" i="181"/>
  <c r="GC133" i="181"/>
  <c r="BA133" i="181"/>
  <c r="W133" i="181"/>
  <c r="CQ133" i="181"/>
  <c r="BM133" i="181"/>
  <c r="BY133" i="181"/>
  <c r="EY133" i="181"/>
  <c r="AU133" i="181"/>
  <c r="AI133" i="181"/>
  <c r="CE133" i="181"/>
  <c r="CR173" i="181"/>
  <c r="X173" i="181"/>
  <c r="BN173" i="181"/>
  <c r="BZ173" i="181"/>
  <c r="CL173" i="181"/>
  <c r="BH173" i="181"/>
  <c r="BT173" i="181"/>
  <c r="GD173" i="181"/>
  <c r="AP173" i="181"/>
  <c r="CF173" i="181"/>
  <c r="AV173" i="181"/>
  <c r="AJ173" i="181"/>
  <c r="AD173" i="181"/>
  <c r="EZ173" i="181"/>
  <c r="DV173" i="181"/>
  <c r="BB173" i="181"/>
  <c r="BT45" i="181"/>
  <c r="GD45" i="181"/>
  <c r="AP45" i="181"/>
  <c r="CF45" i="181"/>
  <c r="BB45" i="181"/>
  <c r="CR45" i="181"/>
  <c r="X45" i="181"/>
  <c r="BN45" i="181"/>
  <c r="EZ45" i="181"/>
  <c r="AJ45" i="181"/>
  <c r="BZ45" i="181"/>
  <c r="AV45" i="181"/>
  <c r="CL45" i="181"/>
  <c r="AD45" i="181"/>
  <c r="BH45" i="181"/>
  <c r="DV45" i="181"/>
  <c r="CQ82" i="181"/>
  <c r="W82" i="181"/>
  <c r="EY82" i="181"/>
  <c r="AU82" i="181"/>
  <c r="CK82" i="181"/>
  <c r="BS82" i="181"/>
  <c r="GC82" i="181"/>
  <c r="AO82" i="181"/>
  <c r="BM82" i="181"/>
  <c r="CE82" i="181"/>
  <c r="BG82" i="181"/>
  <c r="DU82" i="181"/>
  <c r="AI82" i="181"/>
  <c r="BY82" i="181"/>
  <c r="BA82" i="181"/>
  <c r="AC82" i="181"/>
  <c r="CM122" i="181"/>
  <c r="BI122" i="181"/>
  <c r="DW122" i="181"/>
  <c r="AE122" i="181"/>
  <c r="BU122" i="181"/>
  <c r="CG122" i="181"/>
  <c r="BC122" i="181"/>
  <c r="CS122" i="181"/>
  <c r="Y122" i="181"/>
  <c r="FA122" i="181"/>
  <c r="AK122" i="181"/>
  <c r="CA122" i="181"/>
  <c r="BO122" i="181"/>
  <c r="GE122" i="181"/>
  <c r="AW122" i="181"/>
  <c r="AQ122" i="181"/>
  <c r="EY164" i="181"/>
  <c r="AI164" i="181"/>
  <c r="CQ164" i="181"/>
  <c r="BM164" i="181"/>
  <c r="AU164" i="181"/>
  <c r="AC164" i="181"/>
  <c r="AO164" i="181"/>
  <c r="DU164" i="181"/>
  <c r="BS164" i="181"/>
  <c r="CE164" i="181"/>
  <c r="BA164" i="181"/>
  <c r="GC164" i="181"/>
  <c r="BG164" i="181"/>
  <c r="CK164" i="181"/>
  <c r="W164" i="181"/>
  <c r="BY164" i="181"/>
  <c r="FA206" i="181"/>
  <c r="AK206" i="181"/>
  <c r="CA206" i="181"/>
  <c r="DW206" i="181"/>
  <c r="AE206" i="181"/>
  <c r="BU206" i="181"/>
  <c r="CG206" i="181"/>
  <c r="CS206" i="181"/>
  <c r="Y206" i="181"/>
  <c r="BO206" i="181"/>
  <c r="BI206" i="181"/>
  <c r="BC206" i="181"/>
  <c r="GE206" i="181"/>
  <c r="AQ206" i="181"/>
  <c r="CM206" i="181"/>
  <c r="AW206" i="181"/>
  <c r="BV72" i="181"/>
  <c r="GF72" i="181"/>
  <c r="AR72" i="181"/>
  <c r="CH72" i="181"/>
  <c r="BD72" i="181"/>
  <c r="CT72" i="181"/>
  <c r="Z72" i="181"/>
  <c r="BP72" i="181"/>
  <c r="FB72" i="181"/>
  <c r="AL72" i="181"/>
  <c r="CB72" i="181"/>
  <c r="AX72" i="181"/>
  <c r="CN72" i="181"/>
  <c r="BJ72" i="181"/>
  <c r="AF72" i="181"/>
  <c r="DX72" i="181"/>
  <c r="BG113" i="181"/>
  <c r="DU113" i="181"/>
  <c r="AC113" i="181"/>
  <c r="BS113" i="181"/>
  <c r="GC113" i="181"/>
  <c r="AO113" i="181"/>
  <c r="BA113" i="181"/>
  <c r="CQ113" i="181"/>
  <c r="W113" i="181"/>
  <c r="BM113" i="181"/>
  <c r="BY113" i="181"/>
  <c r="AU113" i="181"/>
  <c r="CK113" i="181"/>
  <c r="CE113" i="181"/>
  <c r="EY113" i="181"/>
  <c r="AI113" i="181"/>
  <c r="BV153" i="181"/>
  <c r="GF153" i="181"/>
  <c r="AR153" i="181"/>
  <c r="BD153" i="181"/>
  <c r="BP153" i="181"/>
  <c r="FB153" i="181"/>
  <c r="AL153" i="181"/>
  <c r="CN153" i="181"/>
  <c r="BJ153" i="181"/>
  <c r="AX153" i="181"/>
  <c r="AF153" i="181"/>
  <c r="CT153" i="181"/>
  <c r="DX153" i="181"/>
  <c r="CH153" i="181"/>
  <c r="CB153" i="181"/>
  <c r="Z153" i="181"/>
  <c r="AX195" i="181"/>
  <c r="BP195" i="181"/>
  <c r="FB195" i="181"/>
  <c r="GF195" i="181"/>
  <c r="CT195" i="181"/>
  <c r="CB195" i="181"/>
  <c r="BJ195" i="181"/>
  <c r="Z195" i="181"/>
  <c r="BV195" i="181"/>
  <c r="BD195" i="181"/>
  <c r="AL195" i="181"/>
  <c r="DX195" i="181"/>
  <c r="CH195" i="181"/>
  <c r="AF195" i="181"/>
  <c r="CN195" i="181"/>
  <c r="AR195" i="181"/>
  <c r="BD63" i="181"/>
  <c r="CT63" i="181"/>
  <c r="Z63" i="181"/>
  <c r="BP63" i="181"/>
  <c r="FB63" i="181"/>
  <c r="AL63" i="181"/>
  <c r="CB63" i="181"/>
  <c r="AX63" i="181"/>
  <c r="CN63" i="181"/>
  <c r="BJ63" i="181"/>
  <c r="BV63" i="181"/>
  <c r="GF63" i="181"/>
  <c r="AR63" i="181"/>
  <c r="CH63" i="181"/>
  <c r="AF63" i="181"/>
  <c r="DX63" i="181"/>
  <c r="BI102" i="181"/>
  <c r="DW102" i="181"/>
  <c r="AE102" i="181"/>
  <c r="BU102" i="181"/>
  <c r="GE102" i="181"/>
  <c r="AQ102" i="181"/>
  <c r="BC102" i="181"/>
  <c r="CS102" i="181"/>
  <c r="Y102" i="181"/>
  <c r="BO102" i="181"/>
  <c r="CA102" i="181"/>
  <c r="AW102" i="181"/>
  <c r="AK102" i="181"/>
  <c r="CM102" i="181"/>
  <c r="CG102" i="181"/>
  <c r="FA102" i="181"/>
  <c r="DU145" i="181"/>
  <c r="AC145" i="181"/>
  <c r="BS145" i="181"/>
  <c r="CE145" i="181"/>
  <c r="CQ145" i="181"/>
  <c r="W145" i="181"/>
  <c r="BM145" i="181"/>
  <c r="EY145" i="181"/>
  <c r="AI145" i="181"/>
  <c r="AU145" i="181"/>
  <c r="CK145" i="181"/>
  <c r="BY145" i="181"/>
  <c r="GC145" i="181"/>
  <c r="BG145" i="181"/>
  <c r="BA145" i="181"/>
  <c r="AO145" i="181"/>
  <c r="CQ187" i="181"/>
  <c r="W187" i="181"/>
  <c r="CE187" i="181"/>
  <c r="CK187" i="181"/>
  <c r="BS187" i="181"/>
  <c r="BA187" i="181"/>
  <c r="AI187" i="181"/>
  <c r="AU187" i="181"/>
  <c r="AC187" i="181"/>
  <c r="GC187" i="181"/>
  <c r="BY187" i="181"/>
  <c r="BG187" i="181"/>
  <c r="AO187" i="181"/>
  <c r="EY187" i="181"/>
  <c r="DU187" i="181"/>
  <c r="BM187" i="181"/>
  <c r="GF113" i="181"/>
  <c r="AR113" i="181"/>
  <c r="CH113" i="181"/>
  <c r="BD113" i="181"/>
  <c r="CT113" i="181"/>
  <c r="Z113" i="181"/>
  <c r="FB113" i="181"/>
  <c r="AL113" i="181"/>
  <c r="CB113" i="181"/>
  <c r="AX113" i="181"/>
  <c r="BJ113" i="181"/>
  <c r="DX113" i="181"/>
  <c r="AF113" i="181"/>
  <c r="BV113" i="181"/>
  <c r="BP113" i="181"/>
  <c r="CN113" i="181"/>
  <c r="DV154" i="181"/>
  <c r="AD154" i="181"/>
  <c r="BT154" i="181"/>
  <c r="CF154" i="181"/>
  <c r="CR154" i="181"/>
  <c r="X154" i="181"/>
  <c r="BN154" i="181"/>
  <c r="EZ154" i="181"/>
  <c r="AV154" i="181"/>
  <c r="CL154" i="181"/>
  <c r="BZ154" i="181"/>
  <c r="BB154" i="181"/>
  <c r="AP154" i="181"/>
  <c r="BH154" i="181"/>
  <c r="AJ154" i="181"/>
  <c r="GD154" i="181"/>
  <c r="BZ196" i="181"/>
  <c r="BH196" i="181"/>
  <c r="GD196" i="181"/>
  <c r="CR196" i="181"/>
  <c r="X196" i="181"/>
  <c r="BN196" i="181"/>
  <c r="DV196" i="181"/>
  <c r="AP196" i="181"/>
  <c r="CF196" i="181"/>
  <c r="EZ196" i="181"/>
  <c r="AJ196" i="181"/>
  <c r="BB196" i="181"/>
  <c r="BT196" i="181"/>
  <c r="AV196" i="181"/>
  <c r="AD196" i="181"/>
  <c r="CL196" i="181"/>
  <c r="EY100" i="181"/>
  <c r="AI100" i="181"/>
  <c r="BY100" i="181"/>
  <c r="AU100" i="181"/>
  <c r="CK100" i="181"/>
  <c r="DU100" i="181"/>
  <c r="AC100" i="181"/>
  <c r="BS100" i="181"/>
  <c r="GC100" i="181"/>
  <c r="AO100" i="181"/>
  <c r="BA100" i="181"/>
  <c r="CQ100" i="181"/>
  <c r="W100" i="181"/>
  <c r="CE100" i="181"/>
  <c r="BM100" i="181"/>
  <c r="BG100" i="181"/>
  <c r="AU142" i="181"/>
  <c r="CK142" i="181"/>
  <c r="DU142" i="181"/>
  <c r="AC142" i="181"/>
  <c r="GC142" i="181"/>
  <c r="AO142" i="181"/>
  <c r="CE142" i="181"/>
  <c r="BM142" i="181"/>
  <c r="EY142" i="181"/>
  <c r="AI142" i="181"/>
  <c r="BA142" i="181"/>
  <c r="BS142" i="181"/>
  <c r="BG142" i="181"/>
  <c r="W142" i="181"/>
  <c r="CQ142" i="181"/>
  <c r="BY142" i="181"/>
  <c r="DW181" i="181"/>
  <c r="AE181" i="181"/>
  <c r="BU181" i="181"/>
  <c r="CG181" i="181"/>
  <c r="CS181" i="181"/>
  <c r="CA181" i="181"/>
  <c r="CM181" i="181"/>
  <c r="BI181" i="181"/>
  <c r="Y181" i="181"/>
  <c r="FA181" i="181"/>
  <c r="AK181" i="181"/>
  <c r="AW181" i="181"/>
  <c r="GE181" i="181"/>
  <c r="BO181" i="181"/>
  <c r="AQ181" i="181"/>
  <c r="BC181" i="181"/>
  <c r="AW52" i="181"/>
  <c r="CM52" i="181"/>
  <c r="BI52" i="181"/>
  <c r="DW52" i="181"/>
  <c r="AE52" i="181"/>
  <c r="BU52" i="181"/>
  <c r="GE52" i="181"/>
  <c r="AQ52" i="181"/>
  <c r="CG52" i="181"/>
  <c r="BC52" i="181"/>
  <c r="CS52" i="181"/>
  <c r="Y52" i="181"/>
  <c r="BO52" i="181"/>
  <c r="FA52" i="181"/>
  <c r="AK52" i="181"/>
  <c r="CA52" i="181"/>
  <c r="GF89" i="181"/>
  <c r="AR89" i="181"/>
  <c r="CN89" i="181"/>
  <c r="BJ89" i="181"/>
  <c r="BD89" i="181"/>
  <c r="AL89" i="181"/>
  <c r="BV89" i="181"/>
  <c r="FB89" i="181"/>
  <c r="AF89" i="181"/>
  <c r="CH89" i="181"/>
  <c r="BP89" i="181"/>
  <c r="AX89" i="181"/>
  <c r="DX89" i="181"/>
  <c r="Z89" i="181"/>
  <c r="CT89" i="181"/>
  <c r="CB89" i="181"/>
  <c r="BY131" i="181"/>
  <c r="AU131" i="181"/>
  <c r="CK131" i="181"/>
  <c r="BG131" i="181"/>
  <c r="BS131" i="181"/>
  <c r="GC131" i="181"/>
  <c r="AO131" i="181"/>
  <c r="CE131" i="181"/>
  <c r="CQ131" i="181"/>
  <c r="W131" i="181"/>
  <c r="BM131" i="181"/>
  <c r="BA131" i="181"/>
  <c r="DU131" i="181"/>
  <c r="AC131" i="181"/>
  <c r="EY131" i="181"/>
  <c r="AI131" i="181"/>
  <c r="CT171" i="181"/>
  <c r="Z171" i="181"/>
  <c r="BP171" i="181"/>
  <c r="CB171" i="181"/>
  <c r="BJ171" i="181"/>
  <c r="BV171" i="181"/>
  <c r="GF171" i="181"/>
  <c r="AR171" i="181"/>
  <c r="CH171" i="181"/>
  <c r="AL171" i="181"/>
  <c r="DX171" i="181"/>
  <c r="AF171" i="181"/>
  <c r="CN171" i="181"/>
  <c r="BD171" i="181"/>
  <c r="FB171" i="181"/>
  <c r="AX171" i="181"/>
  <c r="CT215" i="181"/>
  <c r="Z215" i="181"/>
  <c r="CB215" i="181"/>
  <c r="AX215" i="181"/>
  <c r="CN215" i="181"/>
  <c r="BJ215" i="181"/>
  <c r="DX215" i="181"/>
  <c r="AF215" i="181"/>
  <c r="BV215" i="181"/>
  <c r="GF215" i="181"/>
  <c r="AR215" i="181"/>
  <c r="CH215" i="181"/>
  <c r="BD215" i="181"/>
  <c r="FB215" i="181"/>
  <c r="AL215" i="181"/>
  <c r="BP215" i="181"/>
  <c r="CQ124" i="180"/>
  <c r="W124" i="180"/>
  <c r="AO124" i="180"/>
  <c r="DU124" i="180"/>
  <c r="BA124" i="180"/>
  <c r="GC124" i="180"/>
  <c r="CE124" i="180"/>
  <c r="AU124" i="180"/>
  <c r="BY124" i="180"/>
  <c r="EY124" i="180"/>
  <c r="BS124" i="180"/>
  <c r="AI124" i="180"/>
  <c r="BM124" i="180"/>
  <c r="AC124" i="180"/>
  <c r="BG124" i="180"/>
  <c r="CK124" i="180"/>
  <c r="DV64" i="180"/>
  <c r="AD64" i="180"/>
  <c r="BT64" i="180"/>
  <c r="GD64" i="180"/>
  <c r="AP64" i="180"/>
  <c r="CF64" i="180"/>
  <c r="BB64" i="180"/>
  <c r="CR64" i="180"/>
  <c r="X64" i="180"/>
  <c r="BN64" i="180"/>
  <c r="EZ64" i="180"/>
  <c r="AJ64" i="180"/>
  <c r="BZ64" i="180"/>
  <c r="AV64" i="180"/>
  <c r="CL64" i="180"/>
  <c r="BH64" i="180"/>
  <c r="AX97" i="180"/>
  <c r="CN97" i="180"/>
  <c r="DX97" i="180"/>
  <c r="AF97" i="180"/>
  <c r="GF97" i="180"/>
  <c r="AR97" i="180"/>
  <c r="BP97" i="180"/>
  <c r="FB97" i="180"/>
  <c r="AL97" i="180"/>
  <c r="CB97" i="180"/>
  <c r="BV97" i="180"/>
  <c r="BJ97" i="180"/>
  <c r="CT97" i="180"/>
  <c r="BD97" i="180"/>
  <c r="CH97" i="180"/>
  <c r="Z97" i="180"/>
  <c r="BZ185" i="180"/>
  <c r="AV185" i="180"/>
  <c r="CR185" i="180"/>
  <c r="X185" i="180"/>
  <c r="EZ185" i="180"/>
  <c r="AD185" i="180"/>
  <c r="BH185" i="180"/>
  <c r="AP185" i="180"/>
  <c r="BN185" i="180"/>
  <c r="BT185" i="180"/>
  <c r="AJ185" i="180"/>
  <c r="CF185" i="180"/>
  <c r="BB185" i="180"/>
  <c r="CL185" i="180"/>
  <c r="GD185" i="180"/>
  <c r="DV185" i="180"/>
  <c r="BI100" i="180"/>
  <c r="DW100" i="180"/>
  <c r="AE100" i="180"/>
  <c r="BU100" i="180"/>
  <c r="GE100" i="180"/>
  <c r="AQ100" i="180"/>
  <c r="CG100" i="180"/>
  <c r="BC100" i="180"/>
  <c r="CS100" i="180"/>
  <c r="FA100" i="180"/>
  <c r="CA100" i="180"/>
  <c r="AW100" i="180"/>
  <c r="CM100" i="180"/>
  <c r="AK100" i="180"/>
  <c r="Y100" i="180"/>
  <c r="BO100" i="180"/>
  <c r="CL121" i="180"/>
  <c r="BH121" i="180"/>
  <c r="BB121" i="180"/>
  <c r="DV121" i="180"/>
  <c r="CF121" i="180"/>
  <c r="BN121" i="180"/>
  <c r="AD121" i="180"/>
  <c r="AV121" i="180"/>
  <c r="GD121" i="180"/>
  <c r="CR121" i="180"/>
  <c r="BZ121" i="180"/>
  <c r="AP121" i="180"/>
  <c r="X121" i="180"/>
  <c r="EZ121" i="180"/>
  <c r="AJ121" i="180"/>
  <c r="BT121" i="180"/>
  <c r="DU74" i="180"/>
  <c r="AC74" i="180"/>
  <c r="AU74" i="180"/>
  <c r="CK74" i="180"/>
  <c r="BG74" i="180"/>
  <c r="CQ74" i="180"/>
  <c r="BS74" i="180"/>
  <c r="GC74" i="180"/>
  <c r="W74" i="180"/>
  <c r="BM74" i="180"/>
  <c r="AO74" i="180"/>
  <c r="EY74" i="180"/>
  <c r="CE74" i="180"/>
  <c r="AI74" i="180"/>
  <c r="BY74" i="180"/>
  <c r="BA74" i="180"/>
  <c r="BS146" i="180"/>
  <c r="BG146" i="180"/>
  <c r="DU146" i="180"/>
  <c r="AC146" i="180"/>
  <c r="BA146" i="180"/>
  <c r="AI146" i="180"/>
  <c r="EY146" i="180"/>
  <c r="CK146" i="180"/>
  <c r="GC146" i="180"/>
  <c r="CQ146" i="180"/>
  <c r="BY146" i="180"/>
  <c r="AU146" i="180"/>
  <c r="AO146" i="180"/>
  <c r="CE146" i="180"/>
  <c r="BM146" i="180"/>
  <c r="W146" i="180"/>
  <c r="DX208" i="180"/>
  <c r="AF208" i="180"/>
  <c r="GF208" i="180"/>
  <c r="AR208" i="180"/>
  <c r="AX208" i="180"/>
  <c r="CN208" i="180"/>
  <c r="BV208" i="180"/>
  <c r="CH208" i="180"/>
  <c r="AL208" i="180"/>
  <c r="Z208" i="180"/>
  <c r="BD208" i="180"/>
  <c r="BJ208" i="180"/>
  <c r="FB208" i="180"/>
  <c r="CB208" i="180"/>
  <c r="BP208" i="180"/>
  <c r="CT208" i="180"/>
  <c r="AP87" i="180"/>
  <c r="CF87" i="180"/>
  <c r="GD87" i="180"/>
  <c r="BB87" i="180"/>
  <c r="X87" i="180"/>
  <c r="CR87" i="180"/>
  <c r="BN87" i="180"/>
  <c r="AJ87" i="180"/>
  <c r="BZ87" i="180"/>
  <c r="EZ87" i="180"/>
  <c r="AV87" i="180"/>
  <c r="CL87" i="180"/>
  <c r="BH87" i="180"/>
  <c r="AD87" i="180"/>
  <c r="DV87" i="180"/>
  <c r="BT87" i="180"/>
  <c r="CL62" i="180"/>
  <c r="BH62" i="180"/>
  <c r="DV62" i="180"/>
  <c r="AD62" i="180"/>
  <c r="BT62" i="180"/>
  <c r="GD62" i="180"/>
  <c r="AP62" i="180"/>
  <c r="CF62" i="180"/>
  <c r="BB62" i="180"/>
  <c r="CR62" i="180"/>
  <c r="X62" i="180"/>
  <c r="BN62" i="180"/>
  <c r="EZ62" i="180"/>
  <c r="AJ62" i="180"/>
  <c r="BZ62" i="180"/>
  <c r="AV62" i="180"/>
  <c r="CK101" i="180"/>
  <c r="BG101" i="180"/>
  <c r="DU101" i="180"/>
  <c r="AC101" i="180"/>
  <c r="BS101" i="180"/>
  <c r="GC101" i="180"/>
  <c r="AO101" i="180"/>
  <c r="CE101" i="180"/>
  <c r="BA101" i="180"/>
  <c r="CQ101" i="180"/>
  <c r="W101" i="180"/>
  <c r="BM101" i="180"/>
  <c r="EY101" i="180"/>
  <c r="AI101" i="180"/>
  <c r="BY101" i="180"/>
  <c r="AU101" i="180"/>
  <c r="BH143" i="180"/>
  <c r="EZ143" i="180"/>
  <c r="CL143" i="180"/>
  <c r="AP143" i="180"/>
  <c r="BT143" i="180"/>
  <c r="DV143" i="180"/>
  <c r="X143" i="180"/>
  <c r="BB143" i="180"/>
  <c r="AV143" i="180"/>
  <c r="BZ143" i="180"/>
  <c r="AD143" i="180"/>
  <c r="GD143" i="180"/>
  <c r="BN143" i="180"/>
  <c r="CR143" i="180"/>
  <c r="CF143" i="180"/>
  <c r="AJ143" i="180"/>
  <c r="AW185" i="180"/>
  <c r="CM185" i="180"/>
  <c r="BO185" i="180"/>
  <c r="CA185" i="180"/>
  <c r="CS185" i="180"/>
  <c r="GE185" i="180"/>
  <c r="AK185" i="180"/>
  <c r="AE185" i="180"/>
  <c r="BC185" i="180"/>
  <c r="FA185" i="180"/>
  <c r="BU185" i="180"/>
  <c r="AQ185" i="180"/>
  <c r="DW185" i="180"/>
  <c r="BI185" i="180"/>
  <c r="Y185" i="180"/>
  <c r="CG185" i="180"/>
  <c r="CS56" i="180"/>
  <c r="Y56" i="180"/>
  <c r="BO56" i="180"/>
  <c r="FA56" i="180"/>
  <c r="AK56" i="180"/>
  <c r="CA56" i="180"/>
  <c r="CM56" i="180"/>
  <c r="GE56" i="180"/>
  <c r="AQ56" i="180"/>
  <c r="CG56" i="180"/>
  <c r="BC56" i="180"/>
  <c r="AW56" i="180"/>
  <c r="DW56" i="180"/>
  <c r="BU56" i="180"/>
  <c r="AE56" i="180"/>
  <c r="BI56" i="180"/>
  <c r="CR95" i="180"/>
  <c r="X95" i="180"/>
  <c r="GD95" i="180"/>
  <c r="AP95" i="180"/>
  <c r="CF95" i="180"/>
  <c r="BB95" i="180"/>
  <c r="BH95" i="180"/>
  <c r="AJ95" i="180"/>
  <c r="DV95" i="180"/>
  <c r="BZ95" i="180"/>
  <c r="AD95" i="180"/>
  <c r="BT95" i="180"/>
  <c r="AV95" i="180"/>
  <c r="CL95" i="180"/>
  <c r="BN95" i="180"/>
  <c r="EZ95" i="180"/>
  <c r="EZ136" i="180"/>
  <c r="AJ136" i="180"/>
  <c r="BZ136" i="180"/>
  <c r="AV136" i="180"/>
  <c r="CL136" i="180"/>
  <c r="BH136" i="180"/>
  <c r="BB136" i="180"/>
  <c r="CR136" i="180"/>
  <c r="X136" i="180"/>
  <c r="BN136" i="180"/>
  <c r="CF136" i="180"/>
  <c r="DV136" i="180"/>
  <c r="BT136" i="180"/>
  <c r="AP136" i="180"/>
  <c r="AD136" i="180"/>
  <c r="GD136" i="180"/>
  <c r="CR176" i="180"/>
  <c r="X176" i="180"/>
  <c r="BN176" i="180"/>
  <c r="AP176" i="180"/>
  <c r="DV176" i="180"/>
  <c r="AV176" i="180"/>
  <c r="EZ176" i="180"/>
  <c r="CF176" i="180"/>
  <c r="BZ176" i="180"/>
  <c r="AD176" i="180"/>
  <c r="GD176" i="180"/>
  <c r="BH176" i="180"/>
  <c r="BB176" i="180"/>
  <c r="BT176" i="180"/>
  <c r="AJ176" i="180"/>
  <c r="CL176" i="180"/>
  <c r="AX47" i="180"/>
  <c r="BV47" i="180"/>
  <c r="DX47" i="180"/>
  <c r="Z47" i="180"/>
  <c r="BD47" i="180"/>
  <c r="CH47" i="180"/>
  <c r="GF47" i="180"/>
  <c r="AL47" i="180"/>
  <c r="BP47" i="180"/>
  <c r="CT47" i="180"/>
  <c r="CB47" i="180"/>
  <c r="AF47" i="180"/>
  <c r="FB47" i="180"/>
  <c r="BJ47" i="180"/>
  <c r="CN47" i="180"/>
  <c r="AR47" i="180"/>
  <c r="BG85" i="180"/>
  <c r="DU85" i="180"/>
  <c r="AC85" i="180"/>
  <c r="BS85" i="180"/>
  <c r="GC85" i="180"/>
  <c r="AO85" i="180"/>
  <c r="CE85" i="180"/>
  <c r="BA85" i="180"/>
  <c r="CQ85" i="180"/>
  <c r="W85" i="180"/>
  <c r="BM85" i="180"/>
  <c r="EY85" i="180"/>
  <c r="AI85" i="180"/>
  <c r="BY85" i="180"/>
  <c r="AU85" i="180"/>
  <c r="CK85" i="180"/>
  <c r="EZ125" i="180"/>
  <c r="AJ125" i="180"/>
  <c r="BZ125" i="180"/>
  <c r="CL125" i="180"/>
  <c r="BH125" i="180"/>
  <c r="AP125" i="180"/>
  <c r="X125" i="180"/>
  <c r="CF125" i="180"/>
  <c r="BB125" i="180"/>
  <c r="GD125" i="180"/>
  <c r="BT125" i="180"/>
  <c r="DV125" i="180"/>
  <c r="BN125" i="180"/>
  <c r="CR125" i="180"/>
  <c r="AD125" i="180"/>
  <c r="AV125" i="180"/>
  <c r="DU167" i="180"/>
  <c r="AC167" i="180"/>
  <c r="BS167" i="180"/>
  <c r="CE167" i="180"/>
  <c r="BY167" i="180"/>
  <c r="AU167" i="180"/>
  <c r="CK167" i="180"/>
  <c r="W167" i="180"/>
  <c r="EY167" i="180"/>
  <c r="AO167" i="180"/>
  <c r="BG167" i="180"/>
  <c r="GC167" i="180"/>
  <c r="BA167" i="180"/>
  <c r="BM167" i="180"/>
  <c r="CQ167" i="180"/>
  <c r="AI167" i="180"/>
  <c r="BV209" i="180"/>
  <c r="GF209" i="180"/>
  <c r="CH209" i="180"/>
  <c r="CN209" i="180"/>
  <c r="BJ209" i="180"/>
  <c r="FB209" i="180"/>
  <c r="BP209" i="180"/>
  <c r="AX209" i="180"/>
  <c r="Z209" i="180"/>
  <c r="BD209" i="180"/>
  <c r="AL209" i="180"/>
  <c r="AF209" i="180"/>
  <c r="CB209" i="180"/>
  <c r="AR209" i="180"/>
  <c r="DX209" i="180"/>
  <c r="CT209" i="180"/>
  <c r="GD75" i="180"/>
  <c r="AP75" i="180"/>
  <c r="BH75" i="180"/>
  <c r="DV75" i="180"/>
  <c r="AD75" i="180"/>
  <c r="BT75" i="180"/>
  <c r="BZ75" i="180"/>
  <c r="BB75" i="180"/>
  <c r="CR75" i="180"/>
  <c r="AV75" i="180"/>
  <c r="X75" i="180"/>
  <c r="CL75" i="180"/>
  <c r="BN75" i="180"/>
  <c r="EZ75" i="180"/>
  <c r="CF75" i="180"/>
  <c r="AJ75" i="180"/>
  <c r="BM116" i="180"/>
  <c r="BY116" i="180"/>
  <c r="AU116" i="180"/>
  <c r="CK116" i="180"/>
  <c r="BG116" i="180"/>
  <c r="DU116" i="180"/>
  <c r="AC116" i="180"/>
  <c r="BS116" i="180"/>
  <c r="GC116" i="180"/>
  <c r="AO116" i="180"/>
  <c r="CE116" i="180"/>
  <c r="W116" i="180"/>
  <c r="BA116" i="180"/>
  <c r="EY116" i="180"/>
  <c r="CQ116" i="180"/>
  <c r="AI116" i="180"/>
  <c r="CB156" i="180"/>
  <c r="BP156" i="180"/>
  <c r="CH156" i="180"/>
  <c r="AX156" i="180"/>
  <c r="GF156" i="180"/>
  <c r="AF156" i="180"/>
  <c r="CT156" i="180"/>
  <c r="BJ156" i="180"/>
  <c r="BD156" i="180"/>
  <c r="AL156" i="180"/>
  <c r="DX156" i="180"/>
  <c r="CN156" i="180"/>
  <c r="Z156" i="180"/>
  <c r="BV156" i="180"/>
  <c r="FB156" i="180"/>
  <c r="AR156" i="180"/>
  <c r="EZ198" i="180"/>
  <c r="AJ198" i="180"/>
  <c r="AD198" i="180"/>
  <c r="GD198" i="180"/>
  <c r="BN198" i="180"/>
  <c r="CL198" i="180"/>
  <c r="BT198" i="180"/>
  <c r="BB198" i="180"/>
  <c r="X198" i="180"/>
  <c r="BH198" i="180"/>
  <c r="CR198" i="180"/>
  <c r="AP198" i="180"/>
  <c r="CF198" i="180"/>
  <c r="AV198" i="180"/>
  <c r="DV198" i="180"/>
  <c r="BZ198" i="180"/>
  <c r="GD66" i="180"/>
  <c r="AP66" i="180"/>
  <c r="CF66" i="180"/>
  <c r="BB66" i="180"/>
  <c r="CR66" i="180"/>
  <c r="X66" i="180"/>
  <c r="BN66" i="180"/>
  <c r="EZ66" i="180"/>
  <c r="AJ66" i="180"/>
  <c r="BZ66" i="180"/>
  <c r="AV66" i="180"/>
  <c r="CL66" i="180"/>
  <c r="BH66" i="180"/>
  <c r="DV66" i="180"/>
  <c r="AD66" i="180"/>
  <c r="BT66" i="180"/>
  <c r="GC105" i="180"/>
  <c r="AO105" i="180"/>
  <c r="CE105" i="180"/>
  <c r="BA105" i="180"/>
  <c r="CQ105" i="180"/>
  <c r="W105" i="180"/>
  <c r="BM105" i="180"/>
  <c r="EY105" i="180"/>
  <c r="AI105" i="180"/>
  <c r="BY105" i="180"/>
  <c r="AU105" i="180"/>
  <c r="CK105" i="180"/>
  <c r="BG105" i="180"/>
  <c r="DU105" i="180"/>
  <c r="AC105" i="180"/>
  <c r="BS105" i="180"/>
  <c r="BC147" i="180"/>
  <c r="BU147" i="180"/>
  <c r="GE147" i="180"/>
  <c r="AQ147" i="180"/>
  <c r="CG147" i="180"/>
  <c r="FA147" i="180"/>
  <c r="Y147" i="180"/>
  <c r="BI147" i="180"/>
  <c r="CM147" i="180"/>
  <c r="BO147" i="180"/>
  <c r="AW147" i="180"/>
  <c r="AE147" i="180"/>
  <c r="DW147" i="180"/>
  <c r="CA147" i="180"/>
  <c r="AK147" i="180"/>
  <c r="CS147" i="180"/>
  <c r="BU189" i="180"/>
  <c r="GE189" i="180"/>
  <c r="AQ189" i="180"/>
  <c r="AW189" i="180"/>
  <c r="CM189" i="180"/>
  <c r="DW189" i="180"/>
  <c r="Y189" i="180"/>
  <c r="BO189" i="180"/>
  <c r="CA189" i="180"/>
  <c r="FA189" i="180"/>
  <c r="AK189" i="180"/>
  <c r="CG189" i="180"/>
  <c r="BI189" i="180"/>
  <c r="AE189" i="180"/>
  <c r="CS189" i="180"/>
  <c r="BC189" i="180"/>
  <c r="BO57" i="180"/>
  <c r="FA57" i="180"/>
  <c r="AK57" i="180"/>
  <c r="CA57" i="180"/>
  <c r="AW57" i="180"/>
  <c r="CM57" i="180"/>
  <c r="BI57" i="180"/>
  <c r="DW57" i="180"/>
  <c r="BU57" i="180"/>
  <c r="CG57" i="180"/>
  <c r="BC57" i="180"/>
  <c r="CS57" i="180"/>
  <c r="Y57" i="180"/>
  <c r="AQ57" i="180"/>
  <c r="AE57" i="180"/>
  <c r="GE57" i="180"/>
  <c r="BN96" i="180"/>
  <c r="CF96" i="180"/>
  <c r="BB96" i="180"/>
  <c r="CR96" i="180"/>
  <c r="X96" i="180"/>
  <c r="BT96" i="180"/>
  <c r="AV96" i="180"/>
  <c r="CL96" i="180"/>
  <c r="GD96" i="180"/>
  <c r="EZ96" i="180"/>
  <c r="AP96" i="180"/>
  <c r="BH96" i="180"/>
  <c r="AJ96" i="180"/>
  <c r="BZ96" i="180"/>
  <c r="DV96" i="180"/>
  <c r="AD96" i="180"/>
  <c r="AW137" i="180"/>
  <c r="CM137" i="180"/>
  <c r="BI137" i="180"/>
  <c r="DW137" i="180"/>
  <c r="AE137" i="180"/>
  <c r="BU137" i="180"/>
  <c r="BO137" i="180"/>
  <c r="FA137" i="180"/>
  <c r="AK137" i="180"/>
  <c r="CA137" i="180"/>
  <c r="CG137" i="180"/>
  <c r="GE137" i="180"/>
  <c r="Y137" i="180"/>
  <c r="BC137" i="180"/>
  <c r="CS137" i="180"/>
  <c r="AQ137" i="180"/>
  <c r="BN177" i="180"/>
  <c r="EZ177" i="180"/>
  <c r="AJ177" i="180"/>
  <c r="CR177" i="180"/>
  <c r="BH177" i="180"/>
  <c r="BB177" i="180"/>
  <c r="CF177" i="180"/>
  <c r="AV177" i="180"/>
  <c r="X177" i="180"/>
  <c r="AP177" i="180"/>
  <c r="AD177" i="180"/>
  <c r="BZ177" i="180"/>
  <c r="DV177" i="180"/>
  <c r="CL177" i="180"/>
  <c r="GD177" i="180"/>
  <c r="BT177" i="180"/>
  <c r="CN48" i="180"/>
  <c r="AX48" i="180"/>
  <c r="CB48" i="180"/>
  <c r="AF48" i="180"/>
  <c r="FB48" i="180"/>
  <c r="BJ48" i="180"/>
  <c r="AR48" i="180"/>
  <c r="BV48" i="180"/>
  <c r="DX48" i="180"/>
  <c r="Z48" i="180"/>
  <c r="BD48" i="180"/>
  <c r="CH48" i="180"/>
  <c r="GF48" i="180"/>
  <c r="AL48" i="180"/>
  <c r="BP48" i="180"/>
  <c r="CT48" i="180"/>
  <c r="DU86" i="180"/>
  <c r="AC86" i="180"/>
  <c r="BS86" i="180"/>
  <c r="GC86" i="180"/>
  <c r="AO86" i="180"/>
  <c r="CE86" i="180"/>
  <c r="BA86" i="180"/>
  <c r="CQ86" i="180"/>
  <c r="W86" i="180"/>
  <c r="BM86" i="180"/>
  <c r="EY86" i="180"/>
  <c r="AI86" i="180"/>
  <c r="BY86" i="180"/>
  <c r="AU86" i="180"/>
  <c r="CK86" i="180"/>
  <c r="BG86" i="180"/>
  <c r="AW126" i="180"/>
  <c r="BO126" i="180"/>
  <c r="FA126" i="180"/>
  <c r="CM126" i="180"/>
  <c r="BC126" i="180"/>
  <c r="AK126" i="180"/>
  <c r="DW126" i="180"/>
  <c r="AE126" i="180"/>
  <c r="GE126" i="180"/>
  <c r="CS126" i="180"/>
  <c r="CA126" i="180"/>
  <c r="BI126" i="180"/>
  <c r="AQ126" i="180"/>
  <c r="CG126" i="180"/>
  <c r="Y126" i="180"/>
  <c r="BU126" i="180"/>
  <c r="BS168" i="180"/>
  <c r="GC168" i="180"/>
  <c r="AO168" i="180"/>
  <c r="BA168" i="180"/>
  <c r="AU168" i="180"/>
  <c r="CK168" i="180"/>
  <c r="BG168" i="180"/>
  <c r="AI168" i="180"/>
  <c r="AC168" i="180"/>
  <c r="CE168" i="180"/>
  <c r="W168" i="180"/>
  <c r="CQ168" i="180"/>
  <c r="BM168" i="180"/>
  <c r="BY168" i="180"/>
  <c r="DU168" i="180"/>
  <c r="EY168" i="180"/>
  <c r="BS211" i="180"/>
  <c r="CE211" i="180"/>
  <c r="CQ211" i="180"/>
  <c r="W211" i="180"/>
  <c r="EY211" i="180"/>
  <c r="AI211" i="180"/>
  <c r="GC211" i="180"/>
  <c r="BA211" i="180"/>
  <c r="CK211" i="180"/>
  <c r="BY211" i="180"/>
  <c r="BG211" i="180"/>
  <c r="AO211" i="180"/>
  <c r="AU211" i="180"/>
  <c r="AC211" i="180"/>
  <c r="BM211" i="180"/>
  <c r="DU211" i="180"/>
  <c r="CF76" i="180"/>
  <c r="EZ76" i="180"/>
  <c r="DV76" i="180"/>
  <c r="AD76" i="180"/>
  <c r="BT76" i="180"/>
  <c r="GD76" i="180"/>
  <c r="AP76" i="180"/>
  <c r="BH76" i="180"/>
  <c r="AJ76" i="180"/>
  <c r="BB76" i="180"/>
  <c r="BZ76" i="180"/>
  <c r="CR76" i="180"/>
  <c r="AV76" i="180"/>
  <c r="X76" i="180"/>
  <c r="BN76" i="180"/>
  <c r="CL76" i="180"/>
  <c r="EY117" i="180"/>
  <c r="AI117" i="180"/>
  <c r="AU117" i="180"/>
  <c r="CK117" i="180"/>
  <c r="BG117" i="180"/>
  <c r="DU117" i="180"/>
  <c r="AC117" i="180"/>
  <c r="BS117" i="180"/>
  <c r="AO117" i="180"/>
  <c r="GC117" i="180"/>
  <c r="CE117" i="180"/>
  <c r="BA117" i="180"/>
  <c r="W117" i="180"/>
  <c r="BY117" i="180"/>
  <c r="BM117" i="180"/>
  <c r="CQ117" i="180"/>
  <c r="CE158" i="180"/>
  <c r="BG158" i="180"/>
  <c r="BS158" i="180"/>
  <c r="BA158" i="180"/>
  <c r="CQ158" i="180"/>
  <c r="AC158" i="180"/>
  <c r="AU158" i="180"/>
  <c r="GC158" i="180"/>
  <c r="CK158" i="180"/>
  <c r="BM158" i="180"/>
  <c r="AI158" i="180"/>
  <c r="DU158" i="180"/>
  <c r="BY158" i="180"/>
  <c r="W158" i="180"/>
  <c r="EY158" i="180"/>
  <c r="AO158" i="180"/>
  <c r="BZ199" i="180"/>
  <c r="BB199" i="180"/>
  <c r="DV199" i="180"/>
  <c r="CF199" i="180"/>
  <c r="CL199" i="180"/>
  <c r="AP199" i="180"/>
  <c r="EZ199" i="180"/>
  <c r="BH199" i="180"/>
  <c r="GD199" i="180"/>
  <c r="AV199" i="180"/>
  <c r="BN199" i="180"/>
  <c r="AD199" i="180"/>
  <c r="X199" i="180"/>
  <c r="AJ199" i="180"/>
  <c r="CR199" i="180"/>
  <c r="BT199" i="180"/>
  <c r="CF67" i="180"/>
  <c r="BB67" i="180"/>
  <c r="CR67" i="180"/>
  <c r="X67" i="180"/>
  <c r="BN67" i="180"/>
  <c r="EZ67" i="180"/>
  <c r="AJ67" i="180"/>
  <c r="BZ67" i="180"/>
  <c r="AV67" i="180"/>
  <c r="CL67" i="180"/>
  <c r="BH67" i="180"/>
  <c r="DV67" i="180"/>
  <c r="AD67" i="180"/>
  <c r="BT67" i="180"/>
  <c r="GD67" i="180"/>
  <c r="AP67" i="180"/>
  <c r="CS106" i="180"/>
  <c r="Y106" i="180"/>
  <c r="BO106" i="180"/>
  <c r="FA106" i="180"/>
  <c r="AK106" i="180"/>
  <c r="CA106" i="180"/>
  <c r="AW106" i="180"/>
  <c r="CM106" i="180"/>
  <c r="BI106" i="180"/>
  <c r="DW106" i="180"/>
  <c r="AE106" i="180"/>
  <c r="BU106" i="180"/>
  <c r="GE106" i="180"/>
  <c r="AQ106" i="180"/>
  <c r="CG106" i="180"/>
  <c r="BC106" i="180"/>
  <c r="Y148" i="180"/>
  <c r="FA148" i="180"/>
  <c r="AQ148" i="180"/>
  <c r="CG148" i="180"/>
  <c r="GE148" i="180"/>
  <c r="BC148" i="180"/>
  <c r="CS148" i="180"/>
  <c r="AE148" i="180"/>
  <c r="BU148" i="180"/>
  <c r="AW148" i="180"/>
  <c r="BO148" i="180"/>
  <c r="CM148" i="180"/>
  <c r="CA148" i="180"/>
  <c r="DW148" i="180"/>
  <c r="AK148" i="180"/>
  <c r="BI148" i="180"/>
  <c r="CS190" i="180"/>
  <c r="DW190" i="180"/>
  <c r="AQ190" i="180"/>
  <c r="CM190" i="180"/>
  <c r="BI190" i="180"/>
  <c r="CA190" i="180"/>
  <c r="BC190" i="180"/>
  <c r="AE190" i="180"/>
  <c r="BU190" i="180"/>
  <c r="CG190" i="180"/>
  <c r="AW190" i="180"/>
  <c r="GE190" i="180"/>
  <c r="AK190" i="180"/>
  <c r="FA190" i="180"/>
  <c r="BO190" i="180"/>
  <c r="Y190" i="180"/>
  <c r="FA58" i="180"/>
  <c r="AK58" i="180"/>
  <c r="CA58" i="180"/>
  <c r="AW58" i="180"/>
  <c r="CM58" i="180"/>
  <c r="BI58" i="180"/>
  <c r="DW58" i="180"/>
  <c r="AE58" i="180"/>
  <c r="BU58" i="180"/>
  <c r="GE58" i="180"/>
  <c r="AQ58" i="180"/>
  <c r="CG58" i="180"/>
  <c r="BC58" i="180"/>
  <c r="CS58" i="180"/>
  <c r="Y58" i="180"/>
  <c r="BO58" i="180"/>
  <c r="EZ97" i="180"/>
  <c r="AJ97" i="180"/>
  <c r="BZ97" i="180"/>
  <c r="CL97" i="180"/>
  <c r="DV97" i="180"/>
  <c r="AD97" i="180"/>
  <c r="BB97" i="180"/>
  <c r="CR97" i="180"/>
  <c r="X97" i="180"/>
  <c r="BN97" i="180"/>
  <c r="GD97" i="180"/>
  <c r="BT97" i="180"/>
  <c r="AP97" i="180"/>
  <c r="BH97" i="180"/>
  <c r="CF97" i="180"/>
  <c r="AV97" i="180"/>
  <c r="CM138" i="180"/>
  <c r="BI138" i="180"/>
  <c r="DW138" i="180"/>
  <c r="AE138" i="180"/>
  <c r="BU138" i="180"/>
  <c r="GE138" i="180"/>
  <c r="AQ138" i="180"/>
  <c r="FA138" i="180"/>
  <c r="AK138" i="180"/>
  <c r="CA138" i="180"/>
  <c r="AW138" i="180"/>
  <c r="BO138" i="180"/>
  <c r="BC138" i="180"/>
  <c r="CS138" i="180"/>
  <c r="CG138" i="180"/>
  <c r="Y138" i="180"/>
  <c r="EZ178" i="180"/>
  <c r="AJ178" i="180"/>
  <c r="BZ178" i="180"/>
  <c r="CR178" i="180"/>
  <c r="BH178" i="180"/>
  <c r="BB178" i="180"/>
  <c r="CF178" i="180"/>
  <c r="AV178" i="180"/>
  <c r="X178" i="180"/>
  <c r="AP178" i="180"/>
  <c r="AD178" i="180"/>
  <c r="DV178" i="180"/>
  <c r="CL178" i="180"/>
  <c r="GD178" i="180"/>
  <c r="BT178" i="180"/>
  <c r="BN178" i="180"/>
  <c r="CB58" i="180"/>
  <c r="AX58" i="180"/>
  <c r="CN58" i="180"/>
  <c r="BJ58" i="180"/>
  <c r="DX58" i="180"/>
  <c r="AF58" i="180"/>
  <c r="BV58" i="180"/>
  <c r="GF58" i="180"/>
  <c r="AR58" i="180"/>
  <c r="CH58" i="180"/>
  <c r="BD58" i="180"/>
  <c r="CT58" i="180"/>
  <c r="Z58" i="180"/>
  <c r="BP58" i="180"/>
  <c r="FB58" i="180"/>
  <c r="AL58" i="180"/>
  <c r="EY179" i="180"/>
  <c r="AI179" i="180"/>
  <c r="BY179" i="180"/>
  <c r="GC179" i="180"/>
  <c r="BS179" i="180"/>
  <c r="BA179" i="180"/>
  <c r="DU179" i="180"/>
  <c r="W179" i="180"/>
  <c r="AO179" i="180"/>
  <c r="AC179" i="180"/>
  <c r="CQ179" i="180"/>
  <c r="CK179" i="180"/>
  <c r="CE179" i="180"/>
  <c r="BG179" i="180"/>
  <c r="AU179" i="180"/>
  <c r="BM179" i="180"/>
  <c r="GC122" i="180"/>
  <c r="CQ122" i="180"/>
  <c r="CK122" i="180"/>
  <c r="BG122" i="180"/>
  <c r="BS122" i="180"/>
  <c r="BA122" i="180"/>
  <c r="AI122" i="180"/>
  <c r="EY122" i="180"/>
  <c r="AC122" i="180"/>
  <c r="BM122" i="180"/>
  <c r="AU122" i="180"/>
  <c r="CE122" i="180"/>
  <c r="DU122" i="180"/>
  <c r="AO122" i="180"/>
  <c r="BY122" i="180"/>
  <c r="W122" i="180"/>
  <c r="BC112" i="180"/>
  <c r="BO112" i="180"/>
  <c r="FA112" i="180"/>
  <c r="CA112" i="180"/>
  <c r="BI112" i="180"/>
  <c r="DW112" i="180"/>
  <c r="AE112" i="180"/>
  <c r="CS112" i="180"/>
  <c r="BU112" i="180"/>
  <c r="GE112" i="180"/>
  <c r="AW112" i="180"/>
  <c r="CM112" i="180"/>
  <c r="Y112" i="180"/>
  <c r="AQ112" i="180"/>
  <c r="CG112" i="180"/>
  <c r="AK112" i="180"/>
  <c r="BG102" i="180"/>
  <c r="DU102" i="180"/>
  <c r="AC102" i="180"/>
  <c r="BS102" i="180"/>
  <c r="GC102" i="180"/>
  <c r="AO102" i="180"/>
  <c r="CE102" i="180"/>
  <c r="BA102" i="180"/>
  <c r="CQ102" i="180"/>
  <c r="W102" i="180"/>
  <c r="BM102" i="180"/>
  <c r="EY102" i="180"/>
  <c r="AI102" i="180"/>
  <c r="BY102" i="180"/>
  <c r="AU102" i="180"/>
  <c r="CK102" i="180"/>
  <c r="BP133" i="180"/>
  <c r="FB133" i="180"/>
  <c r="CB133" i="180"/>
  <c r="CH133" i="180"/>
  <c r="BD133" i="180"/>
  <c r="CT133" i="180"/>
  <c r="Z133" i="180"/>
  <c r="DX133" i="180"/>
  <c r="AX133" i="180"/>
  <c r="AF133" i="180"/>
  <c r="BV133" i="180"/>
  <c r="CN133" i="180"/>
  <c r="AR133" i="180"/>
  <c r="BJ133" i="180"/>
  <c r="AL133" i="180"/>
  <c r="GF133" i="180"/>
  <c r="CE175" i="180"/>
  <c r="BY175" i="180"/>
  <c r="BS175" i="180"/>
  <c r="AO175" i="180"/>
  <c r="W175" i="180"/>
  <c r="CK175" i="180"/>
  <c r="AI175" i="180"/>
  <c r="AC175" i="180"/>
  <c r="BG175" i="180"/>
  <c r="BM175" i="180"/>
  <c r="CQ175" i="180"/>
  <c r="AU175" i="180"/>
  <c r="DU175" i="180"/>
  <c r="EY175" i="180"/>
  <c r="BA175" i="180"/>
  <c r="GC175" i="180"/>
  <c r="BJ61" i="180"/>
  <c r="DX61" i="180"/>
  <c r="AF61" i="180"/>
  <c r="BV61" i="180"/>
  <c r="GF61" i="180"/>
  <c r="AR61" i="180"/>
  <c r="CH61" i="180"/>
  <c r="BD61" i="180"/>
  <c r="CT61" i="180"/>
  <c r="Z61" i="180"/>
  <c r="BP61" i="180"/>
  <c r="FB61" i="180"/>
  <c r="AL61" i="180"/>
  <c r="CB61" i="180"/>
  <c r="AX61" i="180"/>
  <c r="CN61" i="180"/>
  <c r="AU62" i="180"/>
  <c r="CK62" i="180"/>
  <c r="BG62" i="180"/>
  <c r="DU62" i="180"/>
  <c r="AC62" i="180"/>
  <c r="BS62" i="180"/>
  <c r="GC62" i="180"/>
  <c r="AO62" i="180"/>
  <c r="CE62" i="180"/>
  <c r="BA62" i="180"/>
  <c r="CQ62" i="180"/>
  <c r="W62" i="180"/>
  <c r="BM62" i="180"/>
  <c r="EY62" i="180"/>
  <c r="AI62" i="180"/>
  <c r="BY62" i="180"/>
  <c r="BS152" i="180"/>
  <c r="GC152" i="180"/>
  <c r="AI152" i="180"/>
  <c r="BM152" i="180"/>
  <c r="CQ152" i="180"/>
  <c r="AU152" i="180"/>
  <c r="BY152" i="180"/>
  <c r="W152" i="180"/>
  <c r="DU152" i="180"/>
  <c r="BA152" i="180"/>
  <c r="CE152" i="180"/>
  <c r="EY152" i="180"/>
  <c r="BG152" i="180"/>
  <c r="AC152" i="180"/>
  <c r="CK152" i="180"/>
  <c r="AO152" i="180"/>
  <c r="CN162" i="180"/>
  <c r="BP162" i="180"/>
  <c r="CB162" i="180"/>
  <c r="FB162" i="180"/>
  <c r="BD162" i="180"/>
  <c r="AL162" i="180"/>
  <c r="DX162" i="180"/>
  <c r="CH162" i="180"/>
  <c r="AF162" i="180"/>
  <c r="AX162" i="180"/>
  <c r="BV162" i="180"/>
  <c r="GF162" i="180"/>
  <c r="AR162" i="180"/>
  <c r="Z162" i="180"/>
  <c r="BJ162" i="180"/>
  <c r="CT162" i="180"/>
  <c r="CS94" i="180"/>
  <c r="Y94" i="180"/>
  <c r="GE94" i="180"/>
  <c r="AQ94" i="180"/>
  <c r="CG94" i="180"/>
  <c r="BC94" i="180"/>
  <c r="DW94" i="180"/>
  <c r="CA94" i="180"/>
  <c r="AE94" i="180"/>
  <c r="BU94" i="180"/>
  <c r="AW94" i="180"/>
  <c r="CM94" i="180"/>
  <c r="BO94" i="180"/>
  <c r="FA94" i="180"/>
  <c r="BI94" i="180"/>
  <c r="AK94" i="180"/>
  <c r="BV165" i="180"/>
  <c r="AX165" i="180"/>
  <c r="CN165" i="180"/>
  <c r="BJ165" i="180"/>
  <c r="Z165" i="180"/>
  <c r="BP165" i="180"/>
  <c r="AR165" i="180"/>
  <c r="FB165" i="180"/>
  <c r="CH165" i="180"/>
  <c r="DX165" i="180"/>
  <c r="GF165" i="180"/>
  <c r="CB165" i="180"/>
  <c r="BD165" i="180"/>
  <c r="CT165" i="180"/>
  <c r="AF165" i="180"/>
  <c r="AL165" i="180"/>
  <c r="BJ49" i="180"/>
  <c r="DX49" i="180"/>
  <c r="Z49" i="180"/>
  <c r="BD49" i="180"/>
  <c r="CH49" i="180"/>
  <c r="GF49" i="180"/>
  <c r="AL49" i="180"/>
  <c r="BP49" i="180"/>
  <c r="CT49" i="180"/>
  <c r="AX49" i="180"/>
  <c r="CB49" i="180"/>
  <c r="AF49" i="180"/>
  <c r="FB49" i="180"/>
  <c r="CN49" i="180"/>
  <c r="AR49" i="180"/>
  <c r="BV49" i="180"/>
  <c r="CR107" i="180"/>
  <c r="X107" i="180"/>
  <c r="BN107" i="180"/>
  <c r="EZ107" i="180"/>
  <c r="AJ107" i="180"/>
  <c r="BZ107" i="180"/>
  <c r="AV107" i="180"/>
  <c r="CL107" i="180"/>
  <c r="BH107" i="180"/>
  <c r="DV107" i="180"/>
  <c r="AD107" i="180"/>
  <c r="BT107" i="180"/>
  <c r="GD107" i="180"/>
  <c r="AP107" i="180"/>
  <c r="CF107" i="180"/>
  <c r="BB107" i="180"/>
  <c r="BT65" i="180"/>
  <c r="GD65" i="180"/>
  <c r="AP65" i="180"/>
  <c r="CF65" i="180"/>
  <c r="BB65" i="180"/>
  <c r="CR65" i="180"/>
  <c r="X65" i="180"/>
  <c r="BN65" i="180"/>
  <c r="EZ65" i="180"/>
  <c r="AJ65" i="180"/>
  <c r="BZ65" i="180"/>
  <c r="AV65" i="180"/>
  <c r="CL65" i="180"/>
  <c r="BH65" i="180"/>
  <c r="DV65" i="180"/>
  <c r="AD65" i="180"/>
  <c r="BS104" i="180"/>
  <c r="GC104" i="180"/>
  <c r="AO104" i="180"/>
  <c r="CE104" i="180"/>
  <c r="BA104" i="180"/>
  <c r="CQ104" i="180"/>
  <c r="W104" i="180"/>
  <c r="BM104" i="180"/>
  <c r="EY104" i="180"/>
  <c r="AI104" i="180"/>
  <c r="BY104" i="180"/>
  <c r="AU104" i="180"/>
  <c r="CK104" i="180"/>
  <c r="BG104" i="180"/>
  <c r="DU104" i="180"/>
  <c r="AC104" i="180"/>
  <c r="CG146" i="180"/>
  <c r="BU146" i="180"/>
  <c r="GE146" i="180"/>
  <c r="AQ146" i="180"/>
  <c r="FA146" i="180"/>
  <c r="CM146" i="180"/>
  <c r="BO146" i="180"/>
  <c r="AW146" i="180"/>
  <c r="AE146" i="180"/>
  <c r="BC146" i="180"/>
  <c r="AK146" i="180"/>
  <c r="CA146" i="180"/>
  <c r="BI146" i="180"/>
  <c r="DW146" i="180"/>
  <c r="CS146" i="180"/>
  <c r="Y146" i="180"/>
  <c r="DW188" i="180"/>
  <c r="AE188" i="180"/>
  <c r="BU188" i="180"/>
  <c r="CA188" i="180"/>
  <c r="AW188" i="180"/>
  <c r="BC188" i="180"/>
  <c r="Y188" i="180"/>
  <c r="BO188" i="180"/>
  <c r="AQ188" i="180"/>
  <c r="FA188" i="180"/>
  <c r="CG188" i="180"/>
  <c r="CS188" i="180"/>
  <c r="GE188" i="180"/>
  <c r="AK188" i="180"/>
  <c r="BI188" i="180"/>
  <c r="CM188" i="180"/>
  <c r="CA59" i="180"/>
  <c r="AW59" i="180"/>
  <c r="CM59" i="180"/>
  <c r="BI59" i="180"/>
  <c r="DW59" i="180"/>
  <c r="AE59" i="180"/>
  <c r="BU59" i="180"/>
  <c r="GE59" i="180"/>
  <c r="AQ59" i="180"/>
  <c r="CG59" i="180"/>
  <c r="BC59" i="180"/>
  <c r="CS59" i="180"/>
  <c r="Y59" i="180"/>
  <c r="BO59" i="180"/>
  <c r="FA59" i="180"/>
  <c r="AK59" i="180"/>
  <c r="BZ98" i="180"/>
  <c r="AV98" i="180"/>
  <c r="CL98" i="180"/>
  <c r="BH98" i="180"/>
  <c r="DV98" i="180"/>
  <c r="BT98" i="180"/>
  <c r="CR98" i="180"/>
  <c r="X98" i="180"/>
  <c r="BN98" i="180"/>
  <c r="EZ98" i="180"/>
  <c r="AJ98" i="180"/>
  <c r="AP98" i="180"/>
  <c r="CF98" i="180"/>
  <c r="AD98" i="180"/>
  <c r="GD98" i="180"/>
  <c r="BB98" i="180"/>
  <c r="DX139" i="180"/>
  <c r="AF139" i="180"/>
  <c r="BV139" i="180"/>
  <c r="GF139" i="180"/>
  <c r="AR139" i="180"/>
  <c r="CH139" i="180"/>
  <c r="BD139" i="180"/>
  <c r="AX139" i="180"/>
  <c r="CN139" i="180"/>
  <c r="BJ139" i="180"/>
  <c r="BP139" i="180"/>
  <c r="AL139" i="180"/>
  <c r="Z139" i="180"/>
  <c r="FB139" i="180"/>
  <c r="CB139" i="180"/>
  <c r="CT139" i="180"/>
  <c r="BZ179" i="180"/>
  <c r="AV179" i="180"/>
  <c r="CR179" i="180"/>
  <c r="BH179" i="180"/>
  <c r="BB179" i="180"/>
  <c r="AJ179" i="180"/>
  <c r="CF179" i="180"/>
  <c r="BT179" i="180"/>
  <c r="BN179" i="180"/>
  <c r="EZ179" i="180"/>
  <c r="DV179" i="180"/>
  <c r="AP179" i="180"/>
  <c r="CL179" i="180"/>
  <c r="AD179" i="180"/>
  <c r="X179" i="180"/>
  <c r="GD179" i="180"/>
  <c r="DX50" i="180"/>
  <c r="AF50" i="180"/>
  <c r="CN50" i="180"/>
  <c r="BJ50" i="180"/>
  <c r="AX50" i="180"/>
  <c r="GF50" i="180"/>
  <c r="CT50" i="180"/>
  <c r="CB50" i="180"/>
  <c r="AR50" i="180"/>
  <c r="BV50" i="180"/>
  <c r="Z50" i="180"/>
  <c r="BD50" i="180"/>
  <c r="FB50" i="180"/>
  <c r="AL50" i="180"/>
  <c r="CH50" i="180"/>
  <c r="BP50" i="180"/>
  <c r="BG88" i="180"/>
  <c r="CK88" i="180"/>
  <c r="CE88" i="180"/>
  <c r="BM88" i="180"/>
  <c r="AC88" i="180"/>
  <c r="AU88" i="180"/>
  <c r="GC88" i="180"/>
  <c r="CQ88" i="180"/>
  <c r="BY88" i="180"/>
  <c r="AO88" i="180"/>
  <c r="W88" i="180"/>
  <c r="EY88" i="180"/>
  <c r="BS88" i="180"/>
  <c r="BA88" i="180"/>
  <c r="AI88" i="180"/>
  <c r="DU88" i="180"/>
  <c r="DX128" i="180"/>
  <c r="AF128" i="180"/>
  <c r="AX128" i="180"/>
  <c r="CN128" i="180"/>
  <c r="BJ128" i="180"/>
  <c r="BP128" i="180"/>
  <c r="AR128" i="180"/>
  <c r="AL128" i="180"/>
  <c r="CB128" i="180"/>
  <c r="BD128" i="180"/>
  <c r="CT128" i="180"/>
  <c r="BV128" i="180"/>
  <c r="GF128" i="180"/>
  <c r="Z128" i="180"/>
  <c r="FB128" i="180"/>
  <c r="CH128" i="180"/>
  <c r="CE170" i="180"/>
  <c r="BA170" i="180"/>
  <c r="BM170" i="180"/>
  <c r="BG170" i="180"/>
  <c r="DU170" i="180"/>
  <c r="AC170" i="180"/>
  <c r="BS170" i="180"/>
  <c r="CK170" i="180"/>
  <c r="GC170" i="180"/>
  <c r="W170" i="180"/>
  <c r="EY170" i="180"/>
  <c r="BY170" i="180"/>
  <c r="AI170" i="180"/>
  <c r="CQ170" i="180"/>
  <c r="AO170" i="180"/>
  <c r="AU170" i="180"/>
  <c r="CS213" i="180"/>
  <c r="Y213" i="180"/>
  <c r="FA213" i="180"/>
  <c r="AK213" i="180"/>
  <c r="CA213" i="180"/>
  <c r="AW213" i="180"/>
  <c r="CM213" i="180"/>
  <c r="BI213" i="180"/>
  <c r="BO213" i="180"/>
  <c r="AE213" i="180"/>
  <c r="DW213" i="180"/>
  <c r="BU213" i="180"/>
  <c r="CG213" i="180"/>
  <c r="BC213" i="180"/>
  <c r="AQ213" i="180"/>
  <c r="GE213" i="180"/>
  <c r="CR78" i="180"/>
  <c r="X78" i="180"/>
  <c r="BN78" i="180"/>
  <c r="EZ78" i="180"/>
  <c r="BZ78" i="180"/>
  <c r="AV78" i="180"/>
  <c r="CL78" i="180"/>
  <c r="BH78" i="180"/>
  <c r="DV78" i="180"/>
  <c r="GD78" i="180"/>
  <c r="AP78" i="180"/>
  <c r="CF78" i="180"/>
  <c r="BB78" i="180"/>
  <c r="AJ78" i="180"/>
  <c r="AD78" i="180"/>
  <c r="BT78" i="180"/>
  <c r="EY119" i="180"/>
  <c r="AI119" i="180"/>
  <c r="BY119" i="180"/>
  <c r="CK119" i="180"/>
  <c r="BA119" i="180"/>
  <c r="DU119" i="180"/>
  <c r="CE119" i="180"/>
  <c r="AU119" i="180"/>
  <c r="BM119" i="180"/>
  <c r="AC119" i="180"/>
  <c r="GC119" i="180"/>
  <c r="CQ119" i="180"/>
  <c r="BG119" i="180"/>
  <c r="AO119" i="180"/>
  <c r="W119" i="180"/>
  <c r="BS119" i="180"/>
  <c r="FA160" i="180"/>
  <c r="AK160" i="180"/>
  <c r="CG160" i="180"/>
  <c r="CS160" i="180"/>
  <c r="Y160" i="180"/>
  <c r="AW160" i="180"/>
  <c r="GE160" i="180"/>
  <c r="BC160" i="180"/>
  <c r="CM160" i="180"/>
  <c r="BU160" i="180"/>
  <c r="CA160" i="180"/>
  <c r="BI160" i="180"/>
  <c r="AE160" i="180"/>
  <c r="DW160" i="180"/>
  <c r="AQ160" i="180"/>
  <c r="BO160" i="180"/>
  <c r="CF201" i="180"/>
  <c r="BZ201" i="180"/>
  <c r="AJ201" i="180"/>
  <c r="BN201" i="180"/>
  <c r="EZ201" i="180"/>
  <c r="CL201" i="180"/>
  <c r="BH201" i="180"/>
  <c r="X201" i="180"/>
  <c r="CR201" i="180"/>
  <c r="BT201" i="180"/>
  <c r="BB201" i="180"/>
  <c r="AV201" i="180"/>
  <c r="DV201" i="180"/>
  <c r="GD201" i="180"/>
  <c r="AP201" i="180"/>
  <c r="AD201" i="180"/>
  <c r="BZ69" i="180"/>
  <c r="CR69" i="180"/>
  <c r="X69" i="180"/>
  <c r="CF69" i="180"/>
  <c r="BN69" i="180"/>
  <c r="AV69" i="180"/>
  <c r="AD69" i="180"/>
  <c r="GD69" i="180"/>
  <c r="BH69" i="180"/>
  <c r="AP69" i="180"/>
  <c r="EZ69" i="180"/>
  <c r="CL69" i="180"/>
  <c r="BT69" i="180"/>
  <c r="BB69" i="180"/>
  <c r="AJ69" i="180"/>
  <c r="DV69" i="180"/>
  <c r="CB108" i="180"/>
  <c r="AX108" i="180"/>
  <c r="CN108" i="180"/>
  <c r="BJ108" i="180"/>
  <c r="DX108" i="180"/>
  <c r="AF108" i="180"/>
  <c r="BV108" i="180"/>
  <c r="GF108" i="180"/>
  <c r="AR108" i="180"/>
  <c r="CH108" i="180"/>
  <c r="BD108" i="180"/>
  <c r="CT108" i="180"/>
  <c r="Z108" i="180"/>
  <c r="BP108" i="180"/>
  <c r="FB108" i="180"/>
  <c r="AL108" i="180"/>
  <c r="BU150" i="180"/>
  <c r="CS150" i="180"/>
  <c r="AW150" i="180"/>
  <c r="CA150" i="180"/>
  <c r="FA150" i="180"/>
  <c r="BI150" i="180"/>
  <c r="CG150" i="180"/>
  <c r="GE150" i="180"/>
  <c r="AK150" i="180"/>
  <c r="BO150" i="180"/>
  <c r="CM150" i="180"/>
  <c r="AQ150" i="180"/>
  <c r="DW150" i="180"/>
  <c r="BC150" i="180"/>
  <c r="AE150" i="180"/>
  <c r="Y150" i="180"/>
  <c r="CM192" i="180"/>
  <c r="DW192" i="180"/>
  <c r="AE192" i="180"/>
  <c r="BO192" i="180"/>
  <c r="FA192" i="180"/>
  <c r="AK192" i="180"/>
  <c r="Y192" i="180"/>
  <c r="BC192" i="180"/>
  <c r="CS192" i="180"/>
  <c r="BU192" i="180"/>
  <c r="GE192" i="180"/>
  <c r="BI192" i="180"/>
  <c r="AW192" i="180"/>
  <c r="CA192" i="180"/>
  <c r="CG192" i="180"/>
  <c r="AQ192" i="180"/>
  <c r="AW60" i="180"/>
  <c r="CM60" i="180"/>
  <c r="BI60" i="180"/>
  <c r="DW60" i="180"/>
  <c r="AE60" i="180"/>
  <c r="BU60" i="180"/>
  <c r="GE60" i="180"/>
  <c r="AQ60" i="180"/>
  <c r="CG60" i="180"/>
  <c r="BC60" i="180"/>
  <c r="CS60" i="180"/>
  <c r="Y60" i="180"/>
  <c r="BO60" i="180"/>
  <c r="FA60" i="180"/>
  <c r="AK60" i="180"/>
  <c r="CA60" i="180"/>
  <c r="AV99" i="180"/>
  <c r="CL99" i="180"/>
  <c r="BH99" i="180"/>
  <c r="DV99" i="180"/>
  <c r="AD99" i="180"/>
  <c r="BT99" i="180"/>
  <c r="GD99" i="180"/>
  <c r="AP99" i="180"/>
  <c r="BN99" i="180"/>
  <c r="EZ99" i="180"/>
  <c r="AJ99" i="180"/>
  <c r="BZ99" i="180"/>
  <c r="CR99" i="180"/>
  <c r="CF99" i="180"/>
  <c r="X99" i="180"/>
  <c r="BB99" i="180"/>
  <c r="EY141" i="180"/>
  <c r="AI141" i="180"/>
  <c r="BY141" i="180"/>
  <c r="AU141" i="180"/>
  <c r="BG141" i="180"/>
  <c r="AC141" i="180"/>
  <c r="CK141" i="180"/>
  <c r="GC141" i="180"/>
  <c r="BM141" i="180"/>
  <c r="CQ141" i="180"/>
  <c r="CE141" i="180"/>
  <c r="AO141" i="180"/>
  <c r="BS141" i="180"/>
  <c r="DU141" i="180"/>
  <c r="W141" i="180"/>
  <c r="BA141" i="180"/>
  <c r="CM180" i="180"/>
  <c r="BI180" i="180"/>
  <c r="CA180" i="180"/>
  <c r="DW180" i="180"/>
  <c r="AK180" i="180"/>
  <c r="BO180" i="180"/>
  <c r="AQ180" i="180"/>
  <c r="CS180" i="180"/>
  <c r="BU180" i="180"/>
  <c r="GE180" i="180"/>
  <c r="AW180" i="180"/>
  <c r="Y180" i="180"/>
  <c r="AE180" i="180"/>
  <c r="FA180" i="180"/>
  <c r="CG180" i="180"/>
  <c r="BC180" i="180"/>
  <c r="BV51" i="180"/>
  <c r="BJ51" i="180"/>
  <c r="DX51" i="180"/>
  <c r="AF51" i="180"/>
  <c r="BD51" i="180"/>
  <c r="AL51" i="180"/>
  <c r="FB51" i="180"/>
  <c r="CN51" i="180"/>
  <c r="CH51" i="180"/>
  <c r="BP51" i="180"/>
  <c r="AX51" i="180"/>
  <c r="AR51" i="180"/>
  <c r="Z51" i="180"/>
  <c r="GF51" i="180"/>
  <c r="CT51" i="180"/>
  <c r="CB51" i="180"/>
  <c r="DU89" i="180"/>
  <c r="AC89" i="180"/>
  <c r="BG89" i="180"/>
  <c r="CE89" i="180"/>
  <c r="BM89" i="180"/>
  <c r="AU89" i="180"/>
  <c r="GC89" i="180"/>
  <c r="CQ89" i="180"/>
  <c r="BY89" i="180"/>
  <c r="AO89" i="180"/>
  <c r="W89" i="180"/>
  <c r="EY89" i="180"/>
  <c r="BS89" i="180"/>
  <c r="CK89" i="180"/>
  <c r="BA89" i="180"/>
  <c r="AI89" i="180"/>
  <c r="BG130" i="180"/>
  <c r="BY130" i="180"/>
  <c r="AU130" i="180"/>
  <c r="CK130" i="180"/>
  <c r="AO130" i="180"/>
  <c r="W130" i="180"/>
  <c r="GC130" i="180"/>
  <c r="CQ130" i="180"/>
  <c r="AI130" i="180"/>
  <c r="BS130" i="180"/>
  <c r="BA130" i="180"/>
  <c r="AC130" i="180"/>
  <c r="EY130" i="180"/>
  <c r="CE130" i="180"/>
  <c r="DU130" i="180"/>
  <c r="BM130" i="180"/>
  <c r="GC171" i="180"/>
  <c r="DU171" i="180"/>
  <c r="BA171" i="180"/>
  <c r="CE171" i="180"/>
  <c r="W171" i="180"/>
  <c r="BM171" i="180"/>
  <c r="AI171" i="180"/>
  <c r="BG171" i="180"/>
  <c r="AC171" i="180"/>
  <c r="CK171" i="180"/>
  <c r="AO171" i="180"/>
  <c r="BS171" i="180"/>
  <c r="CQ171" i="180"/>
  <c r="AU171" i="180"/>
  <c r="BY171" i="180"/>
  <c r="EY171" i="180"/>
  <c r="BD214" i="180"/>
  <c r="CT214" i="180"/>
  <c r="FB214" i="180"/>
  <c r="AL214" i="180"/>
  <c r="AX214" i="180"/>
  <c r="CN214" i="180"/>
  <c r="BJ214" i="180"/>
  <c r="DX214" i="180"/>
  <c r="AF214" i="180"/>
  <c r="BV214" i="180"/>
  <c r="BP214" i="180"/>
  <c r="GF214" i="180"/>
  <c r="CB214" i="180"/>
  <c r="Z214" i="180"/>
  <c r="CH214" i="180"/>
  <c r="AR214" i="180"/>
  <c r="BN79" i="180"/>
  <c r="EZ79" i="180"/>
  <c r="AJ79" i="180"/>
  <c r="BZ79" i="180"/>
  <c r="AV79" i="180"/>
  <c r="CL79" i="180"/>
  <c r="BH79" i="180"/>
  <c r="DV79" i="180"/>
  <c r="AD79" i="180"/>
  <c r="BT79" i="180"/>
  <c r="GD79" i="180"/>
  <c r="AP79" i="180"/>
  <c r="CF79" i="180"/>
  <c r="BB79" i="180"/>
  <c r="CR79" i="180"/>
  <c r="X79" i="180"/>
  <c r="BY120" i="180"/>
  <c r="AU120" i="180"/>
  <c r="EY120" i="180"/>
  <c r="CK120" i="180"/>
  <c r="W120" i="180"/>
  <c r="DU120" i="180"/>
  <c r="BA120" i="180"/>
  <c r="AI120" i="180"/>
  <c r="CE120" i="180"/>
  <c r="BM120" i="180"/>
  <c r="GC120" i="180"/>
  <c r="AC120" i="180"/>
  <c r="CQ120" i="180"/>
  <c r="BG120" i="180"/>
  <c r="AO120" i="180"/>
  <c r="BS120" i="180"/>
  <c r="CA161" i="180"/>
  <c r="BC161" i="180"/>
  <c r="BO161" i="180"/>
  <c r="DW161" i="180"/>
  <c r="CG161" i="180"/>
  <c r="Y161" i="180"/>
  <c r="CS161" i="180"/>
  <c r="AW161" i="180"/>
  <c r="AE161" i="180"/>
  <c r="GE161" i="180"/>
  <c r="BU161" i="180"/>
  <c r="BI161" i="180"/>
  <c r="FA161" i="180"/>
  <c r="AQ161" i="180"/>
  <c r="AK161" i="180"/>
  <c r="CM161" i="180"/>
  <c r="BN204" i="180"/>
  <c r="BZ204" i="180"/>
  <c r="CF204" i="180"/>
  <c r="AV204" i="180"/>
  <c r="AD204" i="180"/>
  <c r="CR204" i="180"/>
  <c r="DV204" i="180"/>
  <c r="GD204" i="180"/>
  <c r="AP204" i="180"/>
  <c r="BH204" i="180"/>
  <c r="CL204" i="180"/>
  <c r="BT204" i="180"/>
  <c r="BB204" i="180"/>
  <c r="AJ204" i="180"/>
  <c r="X204" i="180"/>
  <c r="EZ204" i="180"/>
  <c r="AV70" i="180"/>
  <c r="BN70" i="180"/>
  <c r="BZ70" i="180"/>
  <c r="CL70" i="180"/>
  <c r="BT70" i="180"/>
  <c r="BB70" i="180"/>
  <c r="EZ70" i="180"/>
  <c r="AD70" i="180"/>
  <c r="DV70" i="180"/>
  <c r="CF70" i="180"/>
  <c r="BH70" i="180"/>
  <c r="AP70" i="180"/>
  <c r="X70" i="180"/>
  <c r="GD70" i="180"/>
  <c r="CR70" i="180"/>
  <c r="AJ70" i="180"/>
  <c r="DU110" i="180"/>
  <c r="AC110" i="180"/>
  <c r="GC110" i="180"/>
  <c r="AO110" i="180"/>
  <c r="EY110" i="180"/>
  <c r="AI110" i="180"/>
  <c r="BY110" i="180"/>
  <c r="BM110" i="180"/>
  <c r="W110" i="180"/>
  <c r="BG110" i="180"/>
  <c r="CQ110" i="180"/>
  <c r="BA110" i="180"/>
  <c r="CK110" i="180"/>
  <c r="BS110" i="180"/>
  <c r="AU110" i="180"/>
  <c r="CE110" i="180"/>
  <c r="GE151" i="180"/>
  <c r="AQ151" i="180"/>
  <c r="BU151" i="180"/>
  <c r="Y151" i="180"/>
  <c r="DW151" i="180"/>
  <c r="BC151" i="180"/>
  <c r="CG151" i="180"/>
  <c r="AK151" i="180"/>
  <c r="FA151" i="180"/>
  <c r="AE151" i="180"/>
  <c r="BI151" i="180"/>
  <c r="CM151" i="180"/>
  <c r="CA151" i="180"/>
  <c r="BO151" i="180"/>
  <c r="CS151" i="180"/>
  <c r="AW151" i="180"/>
  <c r="BU193" i="180"/>
  <c r="FA193" i="180"/>
  <c r="CM193" i="180"/>
  <c r="BO193" i="180"/>
  <c r="AK193" i="180"/>
  <c r="CS193" i="180"/>
  <c r="AE193" i="180"/>
  <c r="CG193" i="180"/>
  <c r="BI193" i="180"/>
  <c r="GE193" i="180"/>
  <c r="DW193" i="180"/>
  <c r="Y193" i="180"/>
  <c r="CA193" i="180"/>
  <c r="BC193" i="180"/>
  <c r="AW193" i="180"/>
  <c r="AQ193" i="180"/>
  <c r="CM61" i="180"/>
  <c r="BI61" i="180"/>
  <c r="DW61" i="180"/>
  <c r="AE61" i="180"/>
  <c r="BU61" i="180"/>
  <c r="GE61" i="180"/>
  <c r="AQ61" i="180"/>
  <c r="CG61" i="180"/>
  <c r="BC61" i="180"/>
  <c r="CS61" i="180"/>
  <c r="Y61" i="180"/>
  <c r="BO61" i="180"/>
  <c r="FA61" i="180"/>
  <c r="AK61" i="180"/>
  <c r="CA61" i="180"/>
  <c r="AW61" i="180"/>
  <c r="CL100" i="180"/>
  <c r="BH100" i="180"/>
  <c r="DV100" i="180"/>
  <c r="AD100" i="180"/>
  <c r="BT100" i="180"/>
  <c r="GD100" i="180"/>
  <c r="AP100" i="180"/>
  <c r="CF100" i="180"/>
  <c r="CR100" i="180"/>
  <c r="EZ100" i="180"/>
  <c r="AJ100" i="180"/>
  <c r="BZ100" i="180"/>
  <c r="AV100" i="180"/>
  <c r="X100" i="180"/>
  <c r="BN100" i="180"/>
  <c r="BB100" i="180"/>
  <c r="CL142" i="180"/>
  <c r="CF142" i="180"/>
  <c r="GD142" i="180"/>
  <c r="AJ142" i="180"/>
  <c r="BN142" i="180"/>
  <c r="Q142" i="180"/>
  <c r="CR142" i="180"/>
  <c r="AV142" i="180"/>
  <c r="BT142" i="180"/>
  <c r="DV142" i="180"/>
  <c r="X142" i="180"/>
  <c r="BB142" i="180"/>
  <c r="AP142" i="180"/>
  <c r="BZ142" i="180"/>
  <c r="AD142" i="180"/>
  <c r="EZ142" i="180"/>
  <c r="BH142" i="180"/>
  <c r="DX181" i="180"/>
  <c r="AF181" i="180"/>
  <c r="BV181" i="180"/>
  <c r="CN181" i="180"/>
  <c r="BP181" i="180"/>
  <c r="GF181" i="180"/>
  <c r="CT181" i="180"/>
  <c r="AX181" i="180"/>
  <c r="AR181" i="180"/>
  <c r="Z181" i="180"/>
  <c r="AL181" i="180"/>
  <c r="CB181" i="180"/>
  <c r="BD181" i="180"/>
  <c r="BJ181" i="180"/>
  <c r="FB181" i="180"/>
  <c r="CH181" i="180"/>
  <c r="DU91" i="180"/>
  <c r="AC91" i="180"/>
  <c r="AU91" i="180"/>
  <c r="BG91" i="180"/>
  <c r="EY91" i="180"/>
  <c r="BS91" i="180"/>
  <c r="BA91" i="180"/>
  <c r="AI91" i="180"/>
  <c r="CK91" i="180"/>
  <c r="CE91" i="180"/>
  <c r="BM91" i="180"/>
  <c r="GC91" i="180"/>
  <c r="AO91" i="180"/>
  <c r="CQ91" i="180"/>
  <c r="W91" i="180"/>
  <c r="BY91" i="180"/>
  <c r="CA80" i="180"/>
  <c r="AW80" i="180"/>
  <c r="CM80" i="180"/>
  <c r="BI80" i="180"/>
  <c r="DW80" i="180"/>
  <c r="AE80" i="180"/>
  <c r="BU80" i="180"/>
  <c r="GE80" i="180"/>
  <c r="AQ80" i="180"/>
  <c r="CG80" i="180"/>
  <c r="BC80" i="180"/>
  <c r="CS80" i="180"/>
  <c r="Y80" i="180"/>
  <c r="BO80" i="180"/>
  <c r="FA80" i="180"/>
  <c r="AK80" i="180"/>
  <c r="CL139" i="180"/>
  <c r="BH139" i="180"/>
  <c r="DV139" i="180"/>
  <c r="AD139" i="180"/>
  <c r="BT139" i="180"/>
  <c r="GD139" i="180"/>
  <c r="AP139" i="180"/>
  <c r="EZ139" i="180"/>
  <c r="AJ139" i="180"/>
  <c r="BZ139" i="180"/>
  <c r="AV139" i="180"/>
  <c r="BN139" i="180"/>
  <c r="CF139" i="180"/>
  <c r="BB139" i="180"/>
  <c r="X139" i="180"/>
  <c r="CR139" i="180"/>
  <c r="CF132" i="180"/>
  <c r="DV132" i="180"/>
  <c r="AD132" i="180"/>
  <c r="BT132" i="180"/>
  <c r="GD132" i="180"/>
  <c r="AP132" i="180"/>
  <c r="AV132" i="180"/>
  <c r="X132" i="180"/>
  <c r="CL132" i="180"/>
  <c r="BN132" i="180"/>
  <c r="EZ132" i="180"/>
  <c r="Q132" i="180"/>
  <c r="BH132" i="180"/>
  <c r="AJ132" i="180"/>
  <c r="CR132" i="180"/>
  <c r="BZ132" i="180"/>
  <c r="BB132" i="180"/>
  <c r="AW81" i="180"/>
  <c r="CM81" i="180"/>
  <c r="BI81" i="180"/>
  <c r="DW81" i="180"/>
  <c r="AE81" i="180"/>
  <c r="BU81" i="180"/>
  <c r="GE81" i="180"/>
  <c r="AQ81" i="180"/>
  <c r="CG81" i="180"/>
  <c r="BC81" i="180"/>
  <c r="CS81" i="180"/>
  <c r="Y81" i="180"/>
  <c r="BO81" i="180"/>
  <c r="FA81" i="180"/>
  <c r="AK81" i="180"/>
  <c r="CA81" i="180"/>
  <c r="CM163" i="180"/>
  <c r="BO163" i="180"/>
  <c r="CA163" i="180"/>
  <c r="DW163" i="180"/>
  <c r="CG163" i="180"/>
  <c r="BI163" i="180"/>
  <c r="AQ163" i="180"/>
  <c r="Y163" i="180"/>
  <c r="FA163" i="180"/>
  <c r="AE163" i="180"/>
  <c r="AW163" i="180"/>
  <c r="GE163" i="180"/>
  <c r="BC163" i="180"/>
  <c r="CS163" i="180"/>
  <c r="BU163" i="180"/>
  <c r="AK163" i="180"/>
  <c r="BH72" i="180"/>
  <c r="BZ72" i="180"/>
  <c r="AV72" i="180"/>
  <c r="CL72" i="180"/>
  <c r="BN72" i="180"/>
  <c r="AP72" i="180"/>
  <c r="EZ72" i="180"/>
  <c r="CF72" i="180"/>
  <c r="DV72" i="180"/>
  <c r="AJ72" i="180"/>
  <c r="BB72" i="180"/>
  <c r="AD72" i="180"/>
  <c r="CR72" i="180"/>
  <c r="BT72" i="180"/>
  <c r="GD72" i="180"/>
  <c r="X72" i="180"/>
  <c r="CF153" i="180"/>
  <c r="CL153" i="180"/>
  <c r="AP153" i="180"/>
  <c r="BT153" i="180"/>
  <c r="X153" i="180"/>
  <c r="DV153" i="180"/>
  <c r="BB153" i="180"/>
  <c r="BZ153" i="180"/>
  <c r="EZ153" i="180"/>
  <c r="AD153" i="180"/>
  <c r="BH153" i="180"/>
  <c r="CR153" i="180"/>
  <c r="GD153" i="180"/>
  <c r="BN153" i="180"/>
  <c r="AV153" i="180"/>
  <c r="AJ153" i="180"/>
  <c r="BH63" i="180"/>
  <c r="DV63" i="180"/>
  <c r="AD63" i="180"/>
  <c r="BT63" i="180"/>
  <c r="GD63" i="180"/>
  <c r="AP63" i="180"/>
  <c r="CF63" i="180"/>
  <c r="BB63" i="180"/>
  <c r="CR63" i="180"/>
  <c r="X63" i="180"/>
  <c r="BN63" i="180"/>
  <c r="EZ63" i="180"/>
  <c r="AJ63" i="180"/>
  <c r="BZ63" i="180"/>
  <c r="AV63" i="180"/>
  <c r="CL63" i="180"/>
  <c r="DV144" i="180"/>
  <c r="AD144" i="180"/>
  <c r="CL144" i="180"/>
  <c r="BT144" i="180"/>
  <c r="BB144" i="180"/>
  <c r="CF144" i="180"/>
  <c r="AJ144" i="180"/>
  <c r="BH144" i="180"/>
  <c r="AP144" i="180"/>
  <c r="EZ144" i="180"/>
  <c r="X144" i="180"/>
  <c r="GD144" i="180"/>
  <c r="AV144" i="180"/>
  <c r="BZ144" i="180"/>
  <c r="BN144" i="180"/>
  <c r="CR144" i="180"/>
  <c r="CG54" i="180"/>
  <c r="DW54" i="180"/>
  <c r="AE54" i="180"/>
  <c r="BU54" i="180"/>
  <c r="GE54" i="180"/>
  <c r="AQ54" i="180"/>
  <c r="BI54" i="180"/>
  <c r="AK54" i="180"/>
  <c r="CA54" i="180"/>
  <c r="BC54" i="180"/>
  <c r="CS54" i="180"/>
  <c r="AW54" i="180"/>
  <c r="Y54" i="180"/>
  <c r="CM54" i="180"/>
  <c r="BO54" i="180"/>
  <c r="FA54" i="180"/>
  <c r="CF93" i="180"/>
  <c r="DV93" i="180"/>
  <c r="AD93" i="180"/>
  <c r="BT93" i="180"/>
  <c r="GD93" i="180"/>
  <c r="AP93" i="180"/>
  <c r="AV93" i="180"/>
  <c r="CL93" i="180"/>
  <c r="BN93" i="180"/>
  <c r="X93" i="180"/>
  <c r="EZ93" i="180"/>
  <c r="BH93" i="180"/>
  <c r="AJ93" i="180"/>
  <c r="BZ93" i="180"/>
  <c r="BB93" i="180"/>
  <c r="CR93" i="180"/>
  <c r="FB173" i="180"/>
  <c r="AL173" i="180"/>
  <c r="GF173" i="180"/>
  <c r="BP173" i="180"/>
  <c r="CB173" i="180"/>
  <c r="BV173" i="180"/>
  <c r="DX173" i="180"/>
  <c r="Z173" i="180"/>
  <c r="BD173" i="180"/>
  <c r="AR173" i="180"/>
  <c r="CH173" i="180"/>
  <c r="AX173" i="180"/>
  <c r="CT173" i="180"/>
  <c r="AF173" i="180"/>
  <c r="BJ173" i="180"/>
  <c r="CN173" i="180"/>
  <c r="BJ82" i="180"/>
  <c r="DX82" i="180"/>
  <c r="AF82" i="180"/>
  <c r="BV82" i="180"/>
  <c r="GF82" i="180"/>
  <c r="AR82" i="180"/>
  <c r="CH82" i="180"/>
  <c r="BD82" i="180"/>
  <c r="CT82" i="180"/>
  <c r="Z82" i="180"/>
  <c r="BP82" i="180"/>
  <c r="FB82" i="180"/>
  <c r="AL82" i="180"/>
  <c r="CB82" i="180"/>
  <c r="AX82" i="180"/>
  <c r="CN82" i="180"/>
  <c r="GC123" i="180"/>
  <c r="CE123" i="180"/>
  <c r="CQ123" i="180"/>
  <c r="W123" i="180"/>
  <c r="BM123" i="180"/>
  <c r="BG123" i="180"/>
  <c r="DU123" i="180"/>
  <c r="AC123" i="180"/>
  <c r="CK123" i="180"/>
  <c r="EY123" i="180"/>
  <c r="BY123" i="180"/>
  <c r="BA123" i="180"/>
  <c r="BS123" i="180"/>
  <c r="AU123" i="180"/>
  <c r="AO123" i="180"/>
  <c r="AI123" i="180"/>
  <c r="DX164" i="180"/>
  <c r="AF164" i="180"/>
  <c r="CB164" i="180"/>
  <c r="CN164" i="180"/>
  <c r="BV164" i="180"/>
  <c r="FB164" i="180"/>
  <c r="BD164" i="180"/>
  <c r="AL164" i="180"/>
  <c r="CH164" i="180"/>
  <c r="BJ164" i="180"/>
  <c r="GF164" i="180"/>
  <c r="AR164" i="180"/>
  <c r="AX164" i="180"/>
  <c r="BP164" i="180"/>
  <c r="Z164" i="180"/>
  <c r="CT164" i="180"/>
  <c r="BY207" i="180"/>
  <c r="CK207" i="180"/>
  <c r="CQ207" i="180"/>
  <c r="W207" i="180"/>
  <c r="AU207" i="180"/>
  <c r="CE207" i="180"/>
  <c r="BG207" i="180"/>
  <c r="AI207" i="180"/>
  <c r="BM207" i="180"/>
  <c r="AC207" i="180"/>
  <c r="AO207" i="180"/>
  <c r="DU207" i="180"/>
  <c r="BA207" i="180"/>
  <c r="BS207" i="180"/>
  <c r="GC207" i="180"/>
  <c r="EY207" i="180"/>
  <c r="DV73" i="180"/>
  <c r="AD73" i="180"/>
  <c r="AV73" i="180"/>
  <c r="CL73" i="180"/>
  <c r="BH73" i="180"/>
  <c r="X73" i="180"/>
  <c r="BN73" i="180"/>
  <c r="AP73" i="180"/>
  <c r="EZ73" i="180"/>
  <c r="CF73" i="180"/>
  <c r="AJ73" i="180"/>
  <c r="BZ73" i="180"/>
  <c r="BB73" i="180"/>
  <c r="CR73" i="180"/>
  <c r="BT73" i="180"/>
  <c r="GD73" i="180"/>
  <c r="BB94" i="180"/>
  <c r="BT94" i="180"/>
  <c r="GD94" i="180"/>
  <c r="AP94" i="180"/>
  <c r="CF94" i="180"/>
  <c r="BH94" i="180"/>
  <c r="AJ94" i="180"/>
  <c r="DV94" i="180"/>
  <c r="BZ94" i="180"/>
  <c r="CR94" i="180"/>
  <c r="AD94" i="180"/>
  <c r="AV94" i="180"/>
  <c r="X94" i="180"/>
  <c r="CL94" i="180"/>
  <c r="BN94" i="180"/>
  <c r="EZ94" i="180"/>
  <c r="EY185" i="180"/>
  <c r="AI185" i="180"/>
  <c r="BY185" i="180"/>
  <c r="BA185" i="180"/>
  <c r="W185" i="180"/>
  <c r="BG185" i="180"/>
  <c r="AO185" i="180"/>
  <c r="CQ185" i="180"/>
  <c r="DU185" i="180"/>
  <c r="BM185" i="180"/>
  <c r="AC185" i="180"/>
  <c r="CK185" i="180"/>
  <c r="BS185" i="180"/>
  <c r="CE185" i="180"/>
  <c r="GC185" i="180"/>
  <c r="AU185" i="180"/>
  <c r="FB114" i="180"/>
  <c r="AL114" i="180"/>
  <c r="AX114" i="180"/>
  <c r="CN114" i="180"/>
  <c r="BJ114" i="180"/>
  <c r="DX114" i="180"/>
  <c r="AF114" i="180"/>
  <c r="BV114" i="180"/>
  <c r="GF114" i="180"/>
  <c r="AR114" i="180"/>
  <c r="CH114" i="180"/>
  <c r="BD114" i="180"/>
  <c r="BP114" i="180"/>
  <c r="CT114" i="180"/>
  <c r="Z114" i="180"/>
  <c r="CB114" i="180"/>
  <c r="BS200" i="180"/>
  <c r="W200" i="180"/>
  <c r="AI200" i="180"/>
  <c r="CQ200" i="180"/>
  <c r="GC200" i="180"/>
  <c r="DU200" i="180"/>
  <c r="BG200" i="180"/>
  <c r="BY200" i="180"/>
  <c r="BA200" i="180"/>
  <c r="EY200" i="180"/>
  <c r="AO200" i="180"/>
  <c r="AU200" i="180"/>
  <c r="AC200" i="180"/>
  <c r="CK200" i="180"/>
  <c r="CE200" i="180"/>
  <c r="BM200" i="180"/>
  <c r="EZ205" i="180"/>
  <c r="AJ205" i="180"/>
  <c r="AV205" i="180"/>
  <c r="BB205" i="180"/>
  <c r="X205" i="180"/>
  <c r="BH205" i="180"/>
  <c r="AP205" i="180"/>
  <c r="BN205" i="180"/>
  <c r="CF205" i="180"/>
  <c r="GD205" i="180"/>
  <c r="CL205" i="180"/>
  <c r="CR205" i="180"/>
  <c r="DV205" i="180"/>
  <c r="AD205" i="180"/>
  <c r="BT205" i="180"/>
  <c r="BZ205" i="180"/>
  <c r="BO114" i="180"/>
  <c r="CA114" i="180"/>
  <c r="AW114" i="180"/>
  <c r="CM114" i="180"/>
  <c r="BI114" i="180"/>
  <c r="DW114" i="180"/>
  <c r="AE114" i="180"/>
  <c r="BU114" i="180"/>
  <c r="GE114" i="180"/>
  <c r="AQ114" i="180"/>
  <c r="CG114" i="180"/>
  <c r="BC114" i="180"/>
  <c r="FA114" i="180"/>
  <c r="CS114" i="180"/>
  <c r="AK114" i="180"/>
  <c r="Y114" i="180"/>
  <c r="CK188" i="180"/>
  <c r="BG188" i="180"/>
  <c r="BM188" i="180"/>
  <c r="EY188" i="180"/>
  <c r="AI188" i="180"/>
  <c r="BY188" i="180"/>
  <c r="AU188" i="180"/>
  <c r="W188" i="180"/>
  <c r="AO188" i="180"/>
  <c r="BS188" i="180"/>
  <c r="DU188" i="180"/>
  <c r="AC188" i="180"/>
  <c r="BA188" i="180"/>
  <c r="GC188" i="180"/>
  <c r="CQ188" i="180"/>
  <c r="CE188" i="180"/>
  <c r="CT67" i="180"/>
  <c r="Z67" i="180"/>
  <c r="BP67" i="180"/>
  <c r="FB67" i="180"/>
  <c r="AL67" i="180"/>
  <c r="CB67" i="180"/>
  <c r="AX67" i="180"/>
  <c r="CN67" i="180"/>
  <c r="BJ67" i="180"/>
  <c r="DX67" i="180"/>
  <c r="AF67" i="180"/>
  <c r="BV67" i="180"/>
  <c r="GF67" i="180"/>
  <c r="AR67" i="180"/>
  <c r="CH67" i="180"/>
  <c r="BD67" i="180"/>
  <c r="AU128" i="180"/>
  <c r="BM128" i="180"/>
  <c r="EY128" i="180"/>
  <c r="AI128" i="180"/>
  <c r="BY128" i="180"/>
  <c r="W128" i="180"/>
  <c r="AO128" i="180"/>
  <c r="CE128" i="180"/>
  <c r="BG128" i="180"/>
  <c r="DU128" i="180"/>
  <c r="BA128" i="180"/>
  <c r="AC128" i="180"/>
  <c r="GC128" i="180"/>
  <c r="CQ128" i="180"/>
  <c r="CK128" i="180"/>
  <c r="BS128" i="180"/>
  <c r="BB68" i="180"/>
  <c r="DV68" i="180"/>
  <c r="X68" i="180"/>
  <c r="CF68" i="180"/>
  <c r="GD68" i="180"/>
  <c r="BN68" i="180"/>
  <c r="AJ68" i="180"/>
  <c r="CR68" i="180"/>
  <c r="AV68" i="180"/>
  <c r="BZ68" i="180"/>
  <c r="EZ68" i="180"/>
  <c r="BH68" i="180"/>
  <c r="AD68" i="180"/>
  <c r="CL68" i="180"/>
  <c r="AP68" i="180"/>
  <c r="BT68" i="180"/>
  <c r="BO107" i="180"/>
  <c r="FA107" i="180"/>
  <c r="AK107" i="180"/>
  <c r="CA107" i="180"/>
  <c r="AW107" i="180"/>
  <c r="CM107" i="180"/>
  <c r="BI107" i="180"/>
  <c r="DW107" i="180"/>
  <c r="AE107" i="180"/>
  <c r="BU107" i="180"/>
  <c r="GE107" i="180"/>
  <c r="AQ107" i="180"/>
  <c r="CG107" i="180"/>
  <c r="BC107" i="180"/>
  <c r="CS107" i="180"/>
  <c r="Y107" i="180"/>
  <c r="DW149" i="180"/>
  <c r="AE149" i="180"/>
  <c r="BU149" i="180"/>
  <c r="Y149" i="180"/>
  <c r="GE149" i="180"/>
  <c r="AK149" i="180"/>
  <c r="FA149" i="180"/>
  <c r="BI149" i="180"/>
  <c r="CM149" i="180"/>
  <c r="AQ149" i="180"/>
  <c r="CG149" i="180"/>
  <c r="AW149" i="180"/>
  <c r="CA149" i="180"/>
  <c r="BC149" i="180"/>
  <c r="CS149" i="180"/>
  <c r="BO149" i="180"/>
  <c r="AW191" i="180"/>
  <c r="CS191" i="180"/>
  <c r="BO191" i="180"/>
  <c r="AE191" i="180"/>
  <c r="GE191" i="180"/>
  <c r="AK191" i="180"/>
  <c r="CG191" i="180"/>
  <c r="BU191" i="180"/>
  <c r="AQ191" i="180"/>
  <c r="FA191" i="180"/>
  <c r="BC191" i="180"/>
  <c r="CM191" i="180"/>
  <c r="CA191" i="180"/>
  <c r="Y191" i="180"/>
  <c r="BI191" i="180"/>
  <c r="DW191" i="180"/>
  <c r="BI62" i="180"/>
  <c r="DW62" i="180"/>
  <c r="AE62" i="180"/>
  <c r="BU62" i="180"/>
  <c r="GE62" i="180"/>
  <c r="AQ62" i="180"/>
  <c r="CG62" i="180"/>
  <c r="BC62" i="180"/>
  <c r="CS62" i="180"/>
  <c r="Y62" i="180"/>
  <c r="BO62" i="180"/>
  <c r="FA62" i="180"/>
  <c r="AK62" i="180"/>
  <c r="CA62" i="180"/>
  <c r="AW62" i="180"/>
  <c r="CM62" i="180"/>
  <c r="BH101" i="180"/>
  <c r="DV101" i="180"/>
  <c r="AD101" i="180"/>
  <c r="BT101" i="180"/>
  <c r="GD101" i="180"/>
  <c r="AP101" i="180"/>
  <c r="CF101" i="180"/>
  <c r="BB101" i="180"/>
  <c r="CR101" i="180"/>
  <c r="X101" i="180"/>
  <c r="BN101" i="180"/>
  <c r="EZ101" i="180"/>
  <c r="AJ101" i="180"/>
  <c r="BZ101" i="180"/>
  <c r="AV101" i="180"/>
  <c r="CL101" i="180"/>
  <c r="DW143" i="180"/>
  <c r="AE143" i="180"/>
  <c r="CM143" i="180"/>
  <c r="AQ143" i="180"/>
  <c r="BU143" i="180"/>
  <c r="Y143" i="180"/>
  <c r="BC143" i="180"/>
  <c r="CG143" i="180"/>
  <c r="CA143" i="180"/>
  <c r="FA143" i="180"/>
  <c r="BI143" i="180"/>
  <c r="GE143" i="180"/>
  <c r="BO143" i="180"/>
  <c r="CS143" i="180"/>
  <c r="AW143" i="180"/>
  <c r="AK143" i="180"/>
  <c r="CN185" i="180"/>
  <c r="BJ185" i="180"/>
  <c r="FB185" i="180"/>
  <c r="AL185" i="180"/>
  <c r="AX185" i="180"/>
  <c r="CB185" i="180"/>
  <c r="CT185" i="180"/>
  <c r="GF185" i="180"/>
  <c r="BV185" i="180"/>
  <c r="BD185" i="180"/>
  <c r="Z185" i="180"/>
  <c r="AR185" i="180"/>
  <c r="DX185" i="180"/>
  <c r="BP185" i="180"/>
  <c r="CH185" i="180"/>
  <c r="AF185" i="180"/>
  <c r="CH53" i="180"/>
  <c r="BV53" i="180"/>
  <c r="GF53" i="180"/>
  <c r="AR53" i="180"/>
  <c r="CT53" i="180"/>
  <c r="CB53" i="180"/>
  <c r="BJ53" i="180"/>
  <c r="BD53" i="180"/>
  <c r="AL53" i="180"/>
  <c r="FB53" i="180"/>
  <c r="CN53" i="180"/>
  <c r="BP53" i="180"/>
  <c r="AX53" i="180"/>
  <c r="AF53" i="180"/>
  <c r="Z53" i="180"/>
  <c r="DX53" i="180"/>
  <c r="CG92" i="180"/>
  <c r="DW92" i="180"/>
  <c r="AE92" i="180"/>
  <c r="GE92" i="180"/>
  <c r="AQ92" i="180"/>
  <c r="BI92" i="180"/>
  <c r="BU92" i="180"/>
  <c r="BC92" i="180"/>
  <c r="FA92" i="180"/>
  <c r="CM92" i="180"/>
  <c r="AK92" i="180"/>
  <c r="BO92" i="180"/>
  <c r="AW92" i="180"/>
  <c r="CS92" i="180"/>
  <c r="CA92" i="180"/>
  <c r="Y92" i="180"/>
  <c r="CT132" i="180"/>
  <c r="Z132" i="180"/>
  <c r="GF132" i="180"/>
  <c r="AR132" i="180"/>
  <c r="CH132" i="180"/>
  <c r="BD132" i="180"/>
  <c r="AF132" i="180"/>
  <c r="CN132" i="180"/>
  <c r="BP132" i="180"/>
  <c r="FB132" i="180"/>
  <c r="BJ132" i="180"/>
  <c r="AL132" i="180"/>
  <c r="DX132" i="180"/>
  <c r="CB132" i="180"/>
  <c r="BV132" i="180"/>
  <c r="AX132" i="180"/>
  <c r="BA173" i="180"/>
  <c r="DU173" i="180"/>
  <c r="GC173" i="180"/>
  <c r="BM173" i="180"/>
  <c r="BG173" i="180"/>
  <c r="CK173" i="180"/>
  <c r="AO173" i="180"/>
  <c r="AU173" i="180"/>
  <c r="BY173" i="180"/>
  <c r="EY173" i="180"/>
  <c r="BS173" i="180"/>
  <c r="AC173" i="180"/>
  <c r="W173" i="180"/>
  <c r="CE173" i="180"/>
  <c r="CQ173" i="180"/>
  <c r="AI173" i="180"/>
  <c r="BA45" i="180"/>
  <c r="BG45" i="180"/>
  <c r="CK45" i="180"/>
  <c r="AO45" i="180"/>
  <c r="BS45" i="180"/>
  <c r="W45" i="180"/>
  <c r="DU45" i="180"/>
  <c r="CE45" i="180"/>
  <c r="AI45" i="180"/>
  <c r="GC45" i="180"/>
  <c r="BM45" i="180"/>
  <c r="CQ45" i="180"/>
  <c r="AU45" i="180"/>
  <c r="BY45" i="180"/>
  <c r="EY45" i="180"/>
  <c r="AC45" i="180"/>
  <c r="CN81" i="180"/>
  <c r="BJ81" i="180"/>
  <c r="DX81" i="180"/>
  <c r="AF81" i="180"/>
  <c r="BV81" i="180"/>
  <c r="GF81" i="180"/>
  <c r="AR81" i="180"/>
  <c r="CH81" i="180"/>
  <c r="BD81" i="180"/>
  <c r="CT81" i="180"/>
  <c r="Z81" i="180"/>
  <c r="BP81" i="180"/>
  <c r="FB81" i="180"/>
  <c r="AL81" i="180"/>
  <c r="CB81" i="180"/>
  <c r="AX81" i="180"/>
  <c r="BN122" i="180"/>
  <c r="BH122" i="180"/>
  <c r="DV122" i="180"/>
  <c r="AD122" i="180"/>
  <c r="CL122" i="180"/>
  <c r="EZ122" i="180"/>
  <c r="AV122" i="180"/>
  <c r="CF122" i="180"/>
  <c r="AP122" i="180"/>
  <c r="X122" i="180"/>
  <c r="BT122" i="180"/>
  <c r="BB122" i="180"/>
  <c r="GD122" i="180"/>
  <c r="AJ122" i="180"/>
  <c r="CR122" i="180"/>
  <c r="BZ122" i="180"/>
  <c r="BJ163" i="180"/>
  <c r="FB163" i="180"/>
  <c r="AL163" i="180"/>
  <c r="AX163" i="180"/>
  <c r="AR163" i="180"/>
  <c r="Z163" i="180"/>
  <c r="CB163" i="180"/>
  <c r="GF163" i="180"/>
  <c r="CT163" i="180"/>
  <c r="DX163" i="180"/>
  <c r="CH163" i="180"/>
  <c r="BP163" i="180"/>
  <c r="BD163" i="180"/>
  <c r="BV163" i="180"/>
  <c r="AF163" i="180"/>
  <c r="CN163" i="180"/>
  <c r="BZ206" i="180"/>
  <c r="CL206" i="180"/>
  <c r="CR206" i="180"/>
  <c r="X206" i="180"/>
  <c r="AJ206" i="180"/>
  <c r="BT206" i="180"/>
  <c r="BB206" i="180"/>
  <c r="AV206" i="180"/>
  <c r="DV206" i="180"/>
  <c r="AD206" i="180"/>
  <c r="BH206" i="180"/>
  <c r="EZ206" i="180"/>
  <c r="BN206" i="180"/>
  <c r="GD206" i="180"/>
  <c r="AP206" i="180"/>
  <c r="CF206" i="180"/>
  <c r="DW72" i="180"/>
  <c r="AE72" i="180"/>
  <c r="AW72" i="180"/>
  <c r="CM72" i="180"/>
  <c r="BI72" i="180"/>
  <c r="FA72" i="180"/>
  <c r="CG72" i="180"/>
  <c r="AK72" i="180"/>
  <c r="CA72" i="180"/>
  <c r="BC72" i="180"/>
  <c r="CS72" i="180"/>
  <c r="BU72" i="180"/>
  <c r="GE72" i="180"/>
  <c r="Y72" i="180"/>
  <c r="BO72" i="180"/>
  <c r="AQ72" i="180"/>
  <c r="CT112" i="180"/>
  <c r="Z112" i="180"/>
  <c r="FB112" i="180"/>
  <c r="AL112" i="180"/>
  <c r="AX112" i="180"/>
  <c r="DX112" i="180"/>
  <c r="AF112" i="180"/>
  <c r="BV112" i="180"/>
  <c r="CB112" i="180"/>
  <c r="BD112" i="180"/>
  <c r="GF112" i="180"/>
  <c r="CN112" i="180"/>
  <c r="BP112" i="180"/>
  <c r="AR112" i="180"/>
  <c r="CH112" i="180"/>
  <c r="BJ112" i="180"/>
  <c r="BC153" i="180"/>
  <c r="GE153" i="180"/>
  <c r="AQ153" i="180"/>
  <c r="BU153" i="180"/>
  <c r="Y153" i="180"/>
  <c r="DW153" i="180"/>
  <c r="CG153" i="180"/>
  <c r="AK153" i="180"/>
  <c r="FA153" i="180"/>
  <c r="AE153" i="180"/>
  <c r="BI153" i="180"/>
  <c r="CM153" i="180"/>
  <c r="CS153" i="180"/>
  <c r="AW153" i="180"/>
  <c r="CA153" i="180"/>
  <c r="BO153" i="180"/>
  <c r="CS195" i="180"/>
  <c r="CG195" i="180"/>
  <c r="BI195" i="180"/>
  <c r="AK195" i="180"/>
  <c r="GE195" i="180"/>
  <c r="CA195" i="180"/>
  <c r="AQ195" i="180"/>
  <c r="Y195" i="180"/>
  <c r="FA195" i="180"/>
  <c r="AW195" i="180"/>
  <c r="AE195" i="180"/>
  <c r="BC195" i="180"/>
  <c r="DW195" i="180"/>
  <c r="BU195" i="180"/>
  <c r="CM195" i="180"/>
  <c r="BO195" i="180"/>
  <c r="DW63" i="180"/>
  <c r="AE63" i="180"/>
  <c r="BU63" i="180"/>
  <c r="GE63" i="180"/>
  <c r="AQ63" i="180"/>
  <c r="CG63" i="180"/>
  <c r="BC63" i="180"/>
  <c r="CS63" i="180"/>
  <c r="Y63" i="180"/>
  <c r="BO63" i="180"/>
  <c r="FA63" i="180"/>
  <c r="AK63" i="180"/>
  <c r="CA63" i="180"/>
  <c r="AW63" i="180"/>
  <c r="CM63" i="180"/>
  <c r="BI63" i="180"/>
  <c r="DV102" i="180"/>
  <c r="AD102" i="180"/>
  <c r="BT102" i="180"/>
  <c r="GD102" i="180"/>
  <c r="AP102" i="180"/>
  <c r="CF102" i="180"/>
  <c r="BB102" i="180"/>
  <c r="CR102" i="180"/>
  <c r="X102" i="180"/>
  <c r="BN102" i="180"/>
  <c r="EZ102" i="180"/>
  <c r="AJ102" i="180"/>
  <c r="BZ102" i="180"/>
  <c r="AV102" i="180"/>
  <c r="CL102" i="180"/>
  <c r="BH102" i="180"/>
  <c r="GF144" i="180"/>
  <c r="AR144" i="180"/>
  <c r="DX144" i="180"/>
  <c r="AF144" i="180"/>
  <c r="BD144" i="180"/>
  <c r="CH144" i="180"/>
  <c r="AL144" i="180"/>
  <c r="BP144" i="180"/>
  <c r="FB144" i="180"/>
  <c r="Z144" i="180"/>
  <c r="CN144" i="180"/>
  <c r="BV144" i="180"/>
  <c r="CB144" i="180"/>
  <c r="CT144" i="180"/>
  <c r="BJ144" i="180"/>
  <c r="AX144" i="180"/>
  <c r="BJ186" i="180"/>
  <c r="DX186" i="180"/>
  <c r="AF186" i="180"/>
  <c r="FB186" i="180"/>
  <c r="AL186" i="180"/>
  <c r="CB186" i="180"/>
  <c r="CN186" i="180"/>
  <c r="BD186" i="180"/>
  <c r="BP186" i="180"/>
  <c r="CT186" i="180"/>
  <c r="Z186" i="180"/>
  <c r="BV186" i="180"/>
  <c r="GF186" i="180"/>
  <c r="AR186" i="180"/>
  <c r="AX186" i="180"/>
  <c r="CH186" i="180"/>
  <c r="BD54" i="180"/>
  <c r="CT54" i="180"/>
  <c r="FB54" i="180"/>
  <c r="BV54" i="180"/>
  <c r="GF54" i="180"/>
  <c r="AR54" i="180"/>
  <c r="CH54" i="180"/>
  <c r="BJ54" i="180"/>
  <c r="AL54" i="180"/>
  <c r="CB54" i="180"/>
  <c r="DX54" i="180"/>
  <c r="AF54" i="180"/>
  <c r="AX54" i="180"/>
  <c r="Z54" i="180"/>
  <c r="CN54" i="180"/>
  <c r="BP54" i="180"/>
  <c r="BC93" i="180"/>
  <c r="BU93" i="180"/>
  <c r="GE93" i="180"/>
  <c r="AQ93" i="180"/>
  <c r="CG93" i="180"/>
  <c r="AE93" i="180"/>
  <c r="AW93" i="180"/>
  <c r="CM93" i="180"/>
  <c r="BO93" i="180"/>
  <c r="Y93" i="180"/>
  <c r="FA93" i="180"/>
  <c r="BI93" i="180"/>
  <c r="AK93" i="180"/>
  <c r="DW93" i="180"/>
  <c r="CA93" i="180"/>
  <c r="CS93" i="180"/>
  <c r="BA134" i="180"/>
  <c r="CQ134" i="180"/>
  <c r="W134" i="180"/>
  <c r="BM134" i="180"/>
  <c r="EY134" i="180"/>
  <c r="AI134" i="180"/>
  <c r="BY134" i="180"/>
  <c r="BS134" i="180"/>
  <c r="GC134" i="180"/>
  <c r="AO134" i="180"/>
  <c r="CE134" i="180"/>
  <c r="CK134" i="180"/>
  <c r="BG134" i="180"/>
  <c r="AC134" i="180"/>
  <c r="AU134" i="180"/>
  <c r="DU134" i="180"/>
  <c r="GC174" i="180"/>
  <c r="CQ174" i="180"/>
  <c r="W174" i="180"/>
  <c r="EY174" i="180"/>
  <c r="AC174" i="180"/>
  <c r="AI174" i="180"/>
  <c r="BM174" i="180"/>
  <c r="CE174" i="180"/>
  <c r="BG174" i="180"/>
  <c r="BY174" i="180"/>
  <c r="DU174" i="180"/>
  <c r="CK174" i="180"/>
  <c r="AO174" i="180"/>
  <c r="BA174" i="180"/>
  <c r="AU174" i="180"/>
  <c r="BS174" i="180"/>
  <c r="CQ46" i="180"/>
  <c r="W46" i="180"/>
  <c r="CE46" i="180"/>
  <c r="AI46" i="180"/>
  <c r="GC46" i="180"/>
  <c r="BM46" i="180"/>
  <c r="AU46" i="180"/>
  <c r="BY46" i="180"/>
  <c r="EY46" i="180"/>
  <c r="AC46" i="180"/>
  <c r="BG46" i="180"/>
  <c r="CK46" i="180"/>
  <c r="AO46" i="180"/>
  <c r="BS46" i="180"/>
  <c r="DU46" i="180"/>
  <c r="BA46" i="180"/>
  <c r="AU83" i="180"/>
  <c r="CK83" i="180"/>
  <c r="BG83" i="180"/>
  <c r="DU83" i="180"/>
  <c r="AC83" i="180"/>
  <c r="BS83" i="180"/>
  <c r="GC83" i="180"/>
  <c r="AO83" i="180"/>
  <c r="CE83" i="180"/>
  <c r="BA83" i="180"/>
  <c r="CQ83" i="180"/>
  <c r="W83" i="180"/>
  <c r="BM83" i="180"/>
  <c r="EY83" i="180"/>
  <c r="AI83" i="180"/>
  <c r="BY83" i="180"/>
  <c r="BB123" i="180"/>
  <c r="BN123" i="180"/>
  <c r="EZ123" i="180"/>
  <c r="AJ123" i="180"/>
  <c r="CL123" i="180"/>
  <c r="DV123" i="180"/>
  <c r="AD123" i="180"/>
  <c r="BT123" i="180"/>
  <c r="GD123" i="180"/>
  <c r="CF123" i="180"/>
  <c r="BH123" i="180"/>
  <c r="BZ123" i="180"/>
  <c r="AV123" i="180"/>
  <c r="X123" i="180"/>
  <c r="CR123" i="180"/>
  <c r="AP123" i="180"/>
  <c r="CK165" i="180"/>
  <c r="BM165" i="180"/>
  <c r="EY165" i="180"/>
  <c r="AI165" i="180"/>
  <c r="BY165" i="180"/>
  <c r="GC165" i="180"/>
  <c r="AU165" i="180"/>
  <c r="W165" i="180"/>
  <c r="AO165" i="180"/>
  <c r="BA165" i="180"/>
  <c r="AC165" i="180"/>
  <c r="CQ165" i="180"/>
  <c r="BS165" i="180"/>
  <c r="BG165" i="180"/>
  <c r="CE165" i="180"/>
  <c r="DU165" i="180"/>
  <c r="CM207" i="180"/>
  <c r="DW207" i="180"/>
  <c r="AE207" i="180"/>
  <c r="FA207" i="180"/>
  <c r="AK207" i="180"/>
  <c r="CA207" i="180"/>
  <c r="BI207" i="180"/>
  <c r="CS207" i="180"/>
  <c r="BU207" i="180"/>
  <c r="BC207" i="180"/>
  <c r="AQ207" i="180"/>
  <c r="CG207" i="180"/>
  <c r="GE207" i="180"/>
  <c r="BO207" i="180"/>
  <c r="Y207" i="180"/>
  <c r="AW207" i="180"/>
  <c r="BU73" i="180"/>
  <c r="CM73" i="180"/>
  <c r="BI73" i="180"/>
  <c r="DW73" i="180"/>
  <c r="AE73" i="180"/>
  <c r="AW73" i="180"/>
  <c r="Y73" i="180"/>
  <c r="BO73" i="180"/>
  <c r="AQ73" i="180"/>
  <c r="FA73" i="180"/>
  <c r="CG73" i="180"/>
  <c r="AK73" i="180"/>
  <c r="CA73" i="180"/>
  <c r="BC73" i="180"/>
  <c r="CS73" i="180"/>
  <c r="GE73" i="180"/>
  <c r="BA114" i="180"/>
  <c r="BM114" i="180"/>
  <c r="EY114" i="180"/>
  <c r="AI114" i="180"/>
  <c r="BY114" i="180"/>
  <c r="AU114" i="180"/>
  <c r="CK114" i="180"/>
  <c r="BG114" i="180"/>
  <c r="DU114" i="180"/>
  <c r="AC114" i="180"/>
  <c r="BS114" i="180"/>
  <c r="GC114" i="180"/>
  <c r="AO114" i="180"/>
  <c r="CQ114" i="180"/>
  <c r="CE114" i="180"/>
  <c r="W114" i="180"/>
  <c r="BP154" i="180"/>
  <c r="BD154" i="180"/>
  <c r="CH154" i="180"/>
  <c r="AX154" i="180"/>
  <c r="GF154" i="180"/>
  <c r="CT154" i="180"/>
  <c r="AF154" i="180"/>
  <c r="BV154" i="180"/>
  <c r="AL154" i="180"/>
  <c r="DX154" i="180"/>
  <c r="AR154" i="180"/>
  <c r="CB154" i="180"/>
  <c r="FB154" i="180"/>
  <c r="Z154" i="180"/>
  <c r="BJ154" i="180"/>
  <c r="CN154" i="180"/>
  <c r="BO196" i="180"/>
  <c r="BI196" i="180"/>
  <c r="DW196" i="180"/>
  <c r="CG196" i="180"/>
  <c r="AQ196" i="180"/>
  <c r="Y196" i="180"/>
  <c r="FA196" i="180"/>
  <c r="AW196" i="180"/>
  <c r="AE196" i="180"/>
  <c r="BU196" i="180"/>
  <c r="BC196" i="180"/>
  <c r="GE196" i="180"/>
  <c r="CA196" i="180"/>
  <c r="AK196" i="180"/>
  <c r="CM196" i="180"/>
  <c r="CS196" i="180"/>
  <c r="BU64" i="180"/>
  <c r="GE64" i="180"/>
  <c r="AQ64" i="180"/>
  <c r="CG64" i="180"/>
  <c r="BC64" i="180"/>
  <c r="CS64" i="180"/>
  <c r="Y64" i="180"/>
  <c r="BO64" i="180"/>
  <c r="FA64" i="180"/>
  <c r="AK64" i="180"/>
  <c r="CA64" i="180"/>
  <c r="AW64" i="180"/>
  <c r="CM64" i="180"/>
  <c r="BI64" i="180"/>
  <c r="DW64" i="180"/>
  <c r="AE64" i="180"/>
  <c r="BT103" i="180"/>
  <c r="GD103" i="180"/>
  <c r="AP103" i="180"/>
  <c r="CF103" i="180"/>
  <c r="BB103" i="180"/>
  <c r="CR103" i="180"/>
  <c r="X103" i="180"/>
  <c r="BN103" i="180"/>
  <c r="EZ103" i="180"/>
  <c r="AJ103" i="180"/>
  <c r="BZ103" i="180"/>
  <c r="AV103" i="180"/>
  <c r="CL103" i="180"/>
  <c r="BH103" i="180"/>
  <c r="DV103" i="180"/>
  <c r="AD103" i="180"/>
  <c r="CH145" i="180"/>
  <c r="BV145" i="180"/>
  <c r="GF145" i="180"/>
  <c r="AR145" i="180"/>
  <c r="BD145" i="180"/>
  <c r="AL145" i="180"/>
  <c r="FB145" i="180"/>
  <c r="CN145" i="180"/>
  <c r="DX145" i="180"/>
  <c r="CT145" i="180"/>
  <c r="CB145" i="180"/>
  <c r="BJ145" i="180"/>
  <c r="BP145" i="180"/>
  <c r="AX145" i="180"/>
  <c r="AF145" i="180"/>
  <c r="Z145" i="180"/>
  <c r="DX187" i="180"/>
  <c r="AF187" i="180"/>
  <c r="BV187" i="180"/>
  <c r="CB187" i="180"/>
  <c r="AX187" i="180"/>
  <c r="GF187" i="180"/>
  <c r="FB187" i="180"/>
  <c r="CH187" i="180"/>
  <c r="BJ187" i="180"/>
  <c r="BP187" i="180"/>
  <c r="BD187" i="180"/>
  <c r="AR187" i="180"/>
  <c r="AL187" i="180"/>
  <c r="CT187" i="180"/>
  <c r="Z187" i="180"/>
  <c r="CN187" i="180"/>
  <c r="EY98" i="180"/>
  <c r="AI98" i="180"/>
  <c r="BY98" i="180"/>
  <c r="AU98" i="180"/>
  <c r="CK98" i="180"/>
  <c r="DU98" i="180"/>
  <c r="AC98" i="180"/>
  <c r="BA98" i="180"/>
  <c r="CQ98" i="180"/>
  <c r="W98" i="180"/>
  <c r="BM98" i="180"/>
  <c r="AO98" i="180"/>
  <c r="CE98" i="180"/>
  <c r="BS98" i="180"/>
  <c r="GC98" i="180"/>
  <c r="BG98" i="180"/>
  <c r="CQ135" i="180"/>
  <c r="W135" i="180"/>
  <c r="BM135" i="180"/>
  <c r="EY135" i="180"/>
  <c r="AI135" i="180"/>
  <c r="BY135" i="180"/>
  <c r="AU135" i="180"/>
  <c r="GC135" i="180"/>
  <c r="AO135" i="180"/>
  <c r="CE135" i="180"/>
  <c r="BA135" i="180"/>
  <c r="DU135" i="180"/>
  <c r="BS135" i="180"/>
  <c r="CK135" i="180"/>
  <c r="AC135" i="180"/>
  <c r="BG135" i="180"/>
  <c r="BA159" i="180"/>
  <c r="DU159" i="180"/>
  <c r="AC159" i="180"/>
  <c r="GC159" i="180"/>
  <c r="AO159" i="180"/>
  <c r="AU159" i="180"/>
  <c r="EY159" i="180"/>
  <c r="CE159" i="180"/>
  <c r="BG159" i="180"/>
  <c r="AI159" i="180"/>
  <c r="BY159" i="180"/>
  <c r="CK159" i="180"/>
  <c r="BM159" i="180"/>
  <c r="BS159" i="180"/>
  <c r="CQ159" i="180"/>
  <c r="W159" i="180"/>
  <c r="BT74" i="180"/>
  <c r="CL74" i="180"/>
  <c r="BH74" i="180"/>
  <c r="DV74" i="180"/>
  <c r="AD74" i="180"/>
  <c r="GD74" i="180"/>
  <c r="AV74" i="180"/>
  <c r="X74" i="180"/>
  <c r="BN74" i="180"/>
  <c r="AP74" i="180"/>
  <c r="EZ74" i="180"/>
  <c r="CF74" i="180"/>
  <c r="AJ74" i="180"/>
  <c r="BZ74" i="180"/>
  <c r="BB74" i="180"/>
  <c r="CR74" i="180"/>
  <c r="CR159" i="180"/>
  <c r="X159" i="180"/>
  <c r="BT159" i="180"/>
  <c r="CF159" i="180"/>
  <c r="BZ159" i="180"/>
  <c r="DV159" i="180"/>
  <c r="AD159" i="180"/>
  <c r="BH159" i="180"/>
  <c r="AJ159" i="180"/>
  <c r="BB159" i="180"/>
  <c r="GD159" i="180"/>
  <c r="CL159" i="180"/>
  <c r="BN159" i="180"/>
  <c r="EZ159" i="180"/>
  <c r="AP159" i="180"/>
  <c r="AV159" i="180"/>
  <c r="BM59" i="180"/>
  <c r="EY59" i="180"/>
  <c r="AI59" i="180"/>
  <c r="BY59" i="180"/>
  <c r="AU59" i="180"/>
  <c r="CK59" i="180"/>
  <c r="BG59" i="180"/>
  <c r="DU59" i="180"/>
  <c r="AC59" i="180"/>
  <c r="BS59" i="180"/>
  <c r="GC59" i="180"/>
  <c r="AO59" i="180"/>
  <c r="CE59" i="180"/>
  <c r="BA59" i="180"/>
  <c r="CQ59" i="180"/>
  <c r="W59" i="180"/>
  <c r="DU53" i="180"/>
  <c r="AC53" i="180"/>
  <c r="CK53" i="180"/>
  <c r="BG53" i="180"/>
  <c r="AO53" i="180"/>
  <c r="W53" i="180"/>
  <c r="GC53" i="180"/>
  <c r="CQ53" i="180"/>
  <c r="BY53" i="180"/>
  <c r="BS53" i="180"/>
  <c r="BA53" i="180"/>
  <c r="AI53" i="180"/>
  <c r="EY53" i="180"/>
  <c r="CE53" i="180"/>
  <c r="BM53" i="180"/>
  <c r="AU53" i="180"/>
  <c r="BN135" i="180"/>
  <c r="EZ135" i="180"/>
  <c r="AJ135" i="180"/>
  <c r="BZ135" i="180"/>
  <c r="AV135" i="180"/>
  <c r="CL135" i="180"/>
  <c r="CF135" i="180"/>
  <c r="BB135" i="180"/>
  <c r="CR135" i="180"/>
  <c r="X135" i="180"/>
  <c r="BH135" i="180"/>
  <c r="AD135" i="180"/>
  <c r="GD135" i="180"/>
  <c r="DV135" i="180"/>
  <c r="BT135" i="180"/>
  <c r="AP135" i="180"/>
  <c r="BI208" i="180"/>
  <c r="BU208" i="180"/>
  <c r="CA208" i="180"/>
  <c r="AW208" i="180"/>
  <c r="BC208" i="180"/>
  <c r="FA208" i="180"/>
  <c r="BO208" i="180"/>
  <c r="DW208" i="180"/>
  <c r="GE208" i="180"/>
  <c r="CM208" i="180"/>
  <c r="AQ208" i="180"/>
  <c r="CG208" i="180"/>
  <c r="Y208" i="180"/>
  <c r="AK208" i="180"/>
  <c r="AE208" i="180"/>
  <c r="CS208" i="180"/>
  <c r="CK87" i="180"/>
  <c r="DU87" i="180"/>
  <c r="BS87" i="180"/>
  <c r="AO87" i="180"/>
  <c r="CE87" i="180"/>
  <c r="GC87" i="180"/>
  <c r="BA87" i="180"/>
  <c r="W87" i="180"/>
  <c r="CQ87" i="180"/>
  <c r="BM87" i="180"/>
  <c r="AI87" i="180"/>
  <c r="BY87" i="180"/>
  <c r="EY87" i="180"/>
  <c r="AU87" i="180"/>
  <c r="BG87" i="180"/>
  <c r="AC87" i="180"/>
  <c r="BH149" i="180"/>
  <c r="CL149" i="180"/>
  <c r="AP149" i="180"/>
  <c r="BT149" i="180"/>
  <c r="CF149" i="180"/>
  <c r="BZ149" i="180"/>
  <c r="AD149" i="180"/>
  <c r="EZ149" i="180"/>
  <c r="BB149" i="180"/>
  <c r="GD149" i="180"/>
  <c r="AV149" i="180"/>
  <c r="CR149" i="180"/>
  <c r="X149" i="180"/>
  <c r="BN149" i="180"/>
  <c r="AJ149" i="180"/>
  <c r="DV149" i="180"/>
  <c r="BI71" i="180"/>
  <c r="CA71" i="180"/>
  <c r="AW71" i="180"/>
  <c r="CM71" i="180"/>
  <c r="DW71" i="180"/>
  <c r="CG71" i="180"/>
  <c r="BO71" i="180"/>
  <c r="AQ71" i="180"/>
  <c r="Y71" i="180"/>
  <c r="GE71" i="180"/>
  <c r="CS71" i="180"/>
  <c r="BC71" i="180"/>
  <c r="AK71" i="180"/>
  <c r="BU71" i="180"/>
  <c r="AE71" i="180"/>
  <c r="FA71" i="180"/>
  <c r="CG111" i="180"/>
  <c r="CS111" i="180"/>
  <c r="Y111" i="180"/>
  <c r="CM111" i="180"/>
  <c r="BI111" i="180"/>
  <c r="CA111" i="180"/>
  <c r="BC111" i="180"/>
  <c r="GE111" i="180"/>
  <c r="AK111" i="180"/>
  <c r="BU111" i="180"/>
  <c r="AE111" i="180"/>
  <c r="FA111" i="180"/>
  <c r="BO111" i="180"/>
  <c r="AW111" i="180"/>
  <c r="DW111" i="180"/>
  <c r="AQ111" i="180"/>
  <c r="CG152" i="180"/>
  <c r="CS152" i="180"/>
  <c r="AW152" i="180"/>
  <c r="CA152" i="180"/>
  <c r="FA152" i="180"/>
  <c r="AE152" i="180"/>
  <c r="BI152" i="180"/>
  <c r="AK152" i="180"/>
  <c r="GE152" i="180"/>
  <c r="BO152" i="180"/>
  <c r="BU152" i="180"/>
  <c r="Y152" i="180"/>
  <c r="DW152" i="180"/>
  <c r="CM152" i="180"/>
  <c r="BC152" i="180"/>
  <c r="AQ152" i="180"/>
  <c r="GE194" i="180"/>
  <c r="AQ194" i="180"/>
  <c r="CM194" i="180"/>
  <c r="BU194" i="180"/>
  <c r="BC194" i="180"/>
  <c r="CA194" i="180"/>
  <c r="BI194" i="180"/>
  <c r="CS194" i="180"/>
  <c r="BO194" i="180"/>
  <c r="DW194" i="180"/>
  <c r="Y194" i="180"/>
  <c r="AW194" i="180"/>
  <c r="CG194" i="180"/>
  <c r="AK194" i="180"/>
  <c r="FA194" i="180"/>
  <c r="AE194" i="180"/>
  <c r="GE65" i="180"/>
  <c r="AQ65" i="180"/>
  <c r="CG65" i="180"/>
  <c r="BC65" i="180"/>
  <c r="CS65" i="180"/>
  <c r="Y65" i="180"/>
  <c r="BO65" i="180"/>
  <c r="FA65" i="180"/>
  <c r="AK65" i="180"/>
  <c r="CA65" i="180"/>
  <c r="AW65" i="180"/>
  <c r="CM65" i="180"/>
  <c r="BI65" i="180"/>
  <c r="DW65" i="180"/>
  <c r="AE65" i="180"/>
  <c r="BU65" i="180"/>
  <c r="GD104" i="180"/>
  <c r="AP104" i="180"/>
  <c r="CF104" i="180"/>
  <c r="BB104" i="180"/>
  <c r="CR104" i="180"/>
  <c r="X104" i="180"/>
  <c r="BN104" i="180"/>
  <c r="EZ104" i="180"/>
  <c r="AJ104" i="180"/>
  <c r="BZ104" i="180"/>
  <c r="AV104" i="180"/>
  <c r="CL104" i="180"/>
  <c r="BH104" i="180"/>
  <c r="DV104" i="180"/>
  <c r="AD104" i="180"/>
  <c r="BT104" i="180"/>
  <c r="BD146" i="180"/>
  <c r="GF146" i="180"/>
  <c r="AR146" i="180"/>
  <c r="CH146" i="180"/>
  <c r="FB146" i="180"/>
  <c r="CN146" i="180"/>
  <c r="BV146" i="180"/>
  <c r="BP146" i="180"/>
  <c r="AX146" i="180"/>
  <c r="AF146" i="180"/>
  <c r="Z146" i="180"/>
  <c r="AL146" i="180"/>
  <c r="BJ146" i="180"/>
  <c r="DX146" i="180"/>
  <c r="CT146" i="180"/>
  <c r="CB146" i="180"/>
  <c r="BV188" i="180"/>
  <c r="GF188" i="180"/>
  <c r="AR188" i="180"/>
  <c r="AX188" i="180"/>
  <c r="CN188" i="180"/>
  <c r="CT188" i="180"/>
  <c r="BP188" i="180"/>
  <c r="FB188" i="180"/>
  <c r="CH188" i="180"/>
  <c r="BJ188" i="180"/>
  <c r="DX188" i="180"/>
  <c r="AF188" i="180"/>
  <c r="Z188" i="180"/>
  <c r="CB188" i="180"/>
  <c r="AL188" i="180"/>
  <c r="BD188" i="180"/>
  <c r="BP56" i="180"/>
  <c r="FB56" i="180"/>
  <c r="AL56" i="180"/>
  <c r="CB56" i="180"/>
  <c r="AX56" i="180"/>
  <c r="CN56" i="180"/>
  <c r="BJ56" i="180"/>
  <c r="CH56" i="180"/>
  <c r="BD56" i="180"/>
  <c r="CT56" i="180"/>
  <c r="Z56" i="180"/>
  <c r="GF56" i="180"/>
  <c r="DX56" i="180"/>
  <c r="AR56" i="180"/>
  <c r="BV56" i="180"/>
  <c r="AF56" i="180"/>
  <c r="BO95" i="180"/>
  <c r="CG95" i="180"/>
  <c r="BC95" i="180"/>
  <c r="CS95" i="180"/>
  <c r="Y95" i="180"/>
  <c r="AQ95" i="180"/>
  <c r="BI95" i="180"/>
  <c r="AK95" i="180"/>
  <c r="DW95" i="180"/>
  <c r="CA95" i="180"/>
  <c r="AE95" i="180"/>
  <c r="BU95" i="180"/>
  <c r="AW95" i="180"/>
  <c r="GE95" i="180"/>
  <c r="CM95" i="180"/>
  <c r="FA95" i="180"/>
  <c r="AX136" i="180"/>
  <c r="CN136" i="180"/>
  <c r="BJ136" i="180"/>
  <c r="DX136" i="180"/>
  <c r="AF136" i="180"/>
  <c r="BV136" i="180"/>
  <c r="BP136" i="180"/>
  <c r="FB136" i="180"/>
  <c r="AL136" i="180"/>
  <c r="CB136" i="180"/>
  <c r="CT136" i="180"/>
  <c r="GF136" i="180"/>
  <c r="BD136" i="180"/>
  <c r="AR136" i="180"/>
  <c r="CH136" i="180"/>
  <c r="Z136" i="180"/>
  <c r="BO176" i="180"/>
  <c r="FA176" i="180"/>
  <c r="AK176" i="180"/>
  <c r="Y176" i="180"/>
  <c r="DW176" i="180"/>
  <c r="CG176" i="180"/>
  <c r="AW176" i="180"/>
  <c r="BU176" i="180"/>
  <c r="AQ176" i="180"/>
  <c r="CA176" i="180"/>
  <c r="AE176" i="180"/>
  <c r="BC176" i="180"/>
  <c r="GE176" i="180"/>
  <c r="BI176" i="180"/>
  <c r="CS176" i="180"/>
  <c r="CM176" i="180"/>
  <c r="EY48" i="180"/>
  <c r="AI48" i="180"/>
  <c r="GC48" i="180"/>
  <c r="BM48" i="180"/>
  <c r="CQ48" i="180"/>
  <c r="AU48" i="180"/>
  <c r="BY48" i="180"/>
  <c r="AC48" i="180"/>
  <c r="BG48" i="180"/>
  <c r="CK48" i="180"/>
  <c r="AO48" i="180"/>
  <c r="BS48" i="180"/>
  <c r="DU48" i="180"/>
  <c r="W48" i="180"/>
  <c r="BA48" i="180"/>
  <c r="CE48" i="180"/>
  <c r="DV85" i="180"/>
  <c r="AD85" i="180"/>
  <c r="BT85" i="180"/>
  <c r="GD85" i="180"/>
  <c r="AP85" i="180"/>
  <c r="CF85" i="180"/>
  <c r="BB85" i="180"/>
  <c r="CR85" i="180"/>
  <c r="X85" i="180"/>
  <c r="BN85" i="180"/>
  <c r="EZ85" i="180"/>
  <c r="AJ85" i="180"/>
  <c r="BZ85" i="180"/>
  <c r="AV85" i="180"/>
  <c r="CL85" i="180"/>
  <c r="BH85" i="180"/>
  <c r="AX125" i="180"/>
  <c r="CN125" i="180"/>
  <c r="BJ125" i="180"/>
  <c r="AR125" i="180"/>
  <c r="DX125" i="180"/>
  <c r="BV125" i="180"/>
  <c r="Z125" i="180"/>
  <c r="GF125" i="180"/>
  <c r="AL125" i="180"/>
  <c r="CT125" i="180"/>
  <c r="BP125" i="180"/>
  <c r="AF125" i="180"/>
  <c r="BD125" i="180"/>
  <c r="CH125" i="180"/>
  <c r="CB125" i="180"/>
  <c r="FB125" i="180"/>
  <c r="BT167" i="180"/>
  <c r="GD167" i="180"/>
  <c r="AP167" i="180"/>
  <c r="BB167" i="180"/>
  <c r="AV167" i="180"/>
  <c r="CL167" i="180"/>
  <c r="BH167" i="180"/>
  <c r="EZ167" i="180"/>
  <c r="BZ167" i="180"/>
  <c r="DV167" i="180"/>
  <c r="AD167" i="180"/>
  <c r="CF167" i="180"/>
  <c r="X167" i="180"/>
  <c r="BN167" i="180"/>
  <c r="CR167" i="180"/>
  <c r="AJ167" i="180"/>
  <c r="DU210" i="180"/>
  <c r="GC210" i="180"/>
  <c r="BA210" i="180"/>
  <c r="AU210" i="180"/>
  <c r="AC210" i="180"/>
  <c r="CQ210" i="180"/>
  <c r="BY210" i="180"/>
  <c r="BG210" i="180"/>
  <c r="CE210" i="180"/>
  <c r="W210" i="180"/>
  <c r="EY210" i="180"/>
  <c r="AO210" i="180"/>
  <c r="CK210" i="180"/>
  <c r="AI210" i="180"/>
  <c r="BS210" i="180"/>
  <c r="BM210" i="180"/>
  <c r="CG75" i="180"/>
  <c r="DW75" i="180"/>
  <c r="AE75" i="180"/>
  <c r="BU75" i="180"/>
  <c r="GE75" i="180"/>
  <c r="AQ75" i="180"/>
  <c r="CS75" i="180"/>
  <c r="AW75" i="180"/>
  <c r="Y75" i="180"/>
  <c r="CM75" i="180"/>
  <c r="BO75" i="180"/>
  <c r="FA75" i="180"/>
  <c r="BI75" i="180"/>
  <c r="AK75" i="180"/>
  <c r="CA75" i="180"/>
  <c r="BC75" i="180"/>
  <c r="EZ116" i="180"/>
  <c r="AJ116" i="180"/>
  <c r="AV116" i="180"/>
  <c r="CL116" i="180"/>
  <c r="BH116" i="180"/>
  <c r="DV116" i="180"/>
  <c r="AD116" i="180"/>
  <c r="BT116" i="180"/>
  <c r="GD116" i="180"/>
  <c r="AP116" i="180"/>
  <c r="CF116" i="180"/>
  <c r="BB116" i="180"/>
  <c r="BZ116" i="180"/>
  <c r="BN116" i="180"/>
  <c r="CR116" i="180"/>
  <c r="X116" i="180"/>
  <c r="BM157" i="180"/>
  <c r="BA157" i="180"/>
  <c r="CE157" i="180"/>
  <c r="AU157" i="180"/>
  <c r="GC157" i="180"/>
  <c r="CQ157" i="180"/>
  <c r="AC157" i="180"/>
  <c r="BY157" i="180"/>
  <c r="BS157" i="180"/>
  <c r="AI157" i="180"/>
  <c r="DU157" i="180"/>
  <c r="BG157" i="180"/>
  <c r="CK157" i="180"/>
  <c r="W157" i="180"/>
  <c r="AO157" i="180"/>
  <c r="EY157" i="180"/>
  <c r="CA198" i="180"/>
  <c r="FA198" i="180"/>
  <c r="BI198" i="180"/>
  <c r="BO198" i="180"/>
  <c r="AW198" i="180"/>
  <c r="AE198" i="180"/>
  <c r="DW198" i="180"/>
  <c r="CG198" i="180"/>
  <c r="CM198" i="180"/>
  <c r="BU198" i="180"/>
  <c r="BC198" i="180"/>
  <c r="AK198" i="180"/>
  <c r="Y198" i="180"/>
  <c r="CS198" i="180"/>
  <c r="AQ198" i="180"/>
  <c r="GE198" i="180"/>
  <c r="CG66" i="180"/>
  <c r="BC66" i="180"/>
  <c r="CS66" i="180"/>
  <c r="Y66" i="180"/>
  <c r="BO66" i="180"/>
  <c r="FA66" i="180"/>
  <c r="AK66" i="180"/>
  <c r="CA66" i="180"/>
  <c r="AW66" i="180"/>
  <c r="CM66" i="180"/>
  <c r="BI66" i="180"/>
  <c r="DW66" i="180"/>
  <c r="AE66" i="180"/>
  <c r="BU66" i="180"/>
  <c r="GE66" i="180"/>
  <c r="AQ66" i="180"/>
  <c r="BC105" i="180"/>
  <c r="CS105" i="180"/>
  <c r="Y105" i="180"/>
  <c r="BO105" i="180"/>
  <c r="FA105" i="180"/>
  <c r="AK105" i="180"/>
  <c r="CA105" i="180"/>
  <c r="AW105" i="180"/>
  <c r="CM105" i="180"/>
  <c r="BI105" i="180"/>
  <c r="DW105" i="180"/>
  <c r="AE105" i="180"/>
  <c r="BU105" i="180"/>
  <c r="GE105" i="180"/>
  <c r="AQ105" i="180"/>
  <c r="CG105" i="180"/>
  <c r="CT147" i="180"/>
  <c r="Z147" i="180"/>
  <c r="GF147" i="180"/>
  <c r="CH147" i="180"/>
  <c r="BD147" i="180"/>
  <c r="BJ147" i="180"/>
  <c r="AR147" i="180"/>
  <c r="DX147" i="180"/>
  <c r="CB147" i="180"/>
  <c r="BV147" i="180"/>
  <c r="CN147" i="180"/>
  <c r="BP147" i="180"/>
  <c r="AX147" i="180"/>
  <c r="AF147" i="180"/>
  <c r="FB147" i="180"/>
  <c r="AL147" i="180"/>
  <c r="GF189" i="180"/>
  <c r="AR189" i="180"/>
  <c r="CH189" i="180"/>
  <c r="CN189" i="180"/>
  <c r="BJ189" i="180"/>
  <c r="AL189" i="180"/>
  <c r="AX189" i="180"/>
  <c r="Z189" i="180"/>
  <c r="BP189" i="180"/>
  <c r="FB189" i="180"/>
  <c r="DX189" i="180"/>
  <c r="AF189" i="180"/>
  <c r="CB189" i="180"/>
  <c r="BV189" i="180"/>
  <c r="CT189" i="180"/>
  <c r="BD189" i="180"/>
  <c r="FB57" i="180"/>
  <c r="AL57" i="180"/>
  <c r="CB57" i="180"/>
  <c r="AX57" i="180"/>
  <c r="CN57" i="180"/>
  <c r="BJ57" i="180"/>
  <c r="DX57" i="180"/>
  <c r="AF57" i="180"/>
  <c r="GF57" i="180"/>
  <c r="BD57" i="180"/>
  <c r="CT57" i="180"/>
  <c r="Z57" i="180"/>
  <c r="BP57" i="180"/>
  <c r="AR57" i="180"/>
  <c r="CH57" i="180"/>
  <c r="BV57" i="180"/>
  <c r="FA96" i="180"/>
  <c r="AK96" i="180"/>
  <c r="DW96" i="180"/>
  <c r="BC96" i="180"/>
  <c r="CS96" i="180"/>
  <c r="Y96" i="180"/>
  <c r="BO96" i="180"/>
  <c r="CM96" i="180"/>
  <c r="GE96" i="180"/>
  <c r="AQ96" i="180"/>
  <c r="CG96" i="180"/>
  <c r="BI96" i="180"/>
  <c r="CA96" i="180"/>
  <c r="AE96" i="180"/>
  <c r="BU96" i="180"/>
  <c r="AW96" i="180"/>
  <c r="CN137" i="180"/>
  <c r="BJ137" i="180"/>
  <c r="DX137" i="180"/>
  <c r="AF137" i="180"/>
  <c r="BV137" i="180"/>
  <c r="GF137" i="180"/>
  <c r="AR137" i="180"/>
  <c r="FB137" i="180"/>
  <c r="AL137" i="180"/>
  <c r="CB137" i="180"/>
  <c r="AX137" i="180"/>
  <c r="Z137" i="180"/>
  <c r="BP137" i="180"/>
  <c r="BD137" i="180"/>
  <c r="CT137" i="180"/>
  <c r="CH137" i="180"/>
  <c r="FA177" i="180"/>
  <c r="AK177" i="180"/>
  <c r="CA177" i="180"/>
  <c r="AQ177" i="180"/>
  <c r="DW177" i="180"/>
  <c r="BO177" i="180"/>
  <c r="AE177" i="180"/>
  <c r="BU177" i="180"/>
  <c r="BC177" i="180"/>
  <c r="AW177" i="180"/>
  <c r="CS177" i="180"/>
  <c r="CM177" i="180"/>
  <c r="GE177" i="180"/>
  <c r="BI177" i="180"/>
  <c r="CG177" i="180"/>
  <c r="Y177" i="180"/>
  <c r="BY49" i="180"/>
  <c r="CK49" i="180"/>
  <c r="AO49" i="180"/>
  <c r="BS49" i="180"/>
  <c r="DU49" i="180"/>
  <c r="W49" i="180"/>
  <c r="BA49" i="180"/>
  <c r="CE49" i="180"/>
  <c r="GC49" i="180"/>
  <c r="AI49" i="180"/>
  <c r="BM49" i="180"/>
  <c r="CQ49" i="180"/>
  <c r="AU49" i="180"/>
  <c r="AC49" i="180"/>
  <c r="EY49" i="180"/>
  <c r="BG49" i="180"/>
  <c r="BT86" i="180"/>
  <c r="GD86" i="180"/>
  <c r="AP86" i="180"/>
  <c r="CF86" i="180"/>
  <c r="BB86" i="180"/>
  <c r="CR86" i="180"/>
  <c r="X86" i="180"/>
  <c r="BN86" i="180"/>
  <c r="EZ86" i="180"/>
  <c r="AJ86" i="180"/>
  <c r="BZ86" i="180"/>
  <c r="AV86" i="180"/>
  <c r="CL86" i="180"/>
  <c r="BH86" i="180"/>
  <c r="DV86" i="180"/>
  <c r="AD86" i="180"/>
  <c r="CN126" i="180"/>
  <c r="FB126" i="180"/>
  <c r="AL126" i="180"/>
  <c r="BV126" i="180"/>
  <c r="DX126" i="180"/>
  <c r="CH126" i="180"/>
  <c r="GF126" i="180"/>
  <c r="CT126" i="180"/>
  <c r="CB126" i="180"/>
  <c r="BJ126" i="180"/>
  <c r="AR126" i="180"/>
  <c r="AF126" i="180"/>
  <c r="Z126" i="180"/>
  <c r="BP126" i="180"/>
  <c r="AX126" i="180"/>
  <c r="BD126" i="180"/>
  <c r="GD168" i="180"/>
  <c r="AP168" i="180"/>
  <c r="CF168" i="180"/>
  <c r="CR168" i="180"/>
  <c r="X168" i="180"/>
  <c r="CL168" i="180"/>
  <c r="BH168" i="180"/>
  <c r="DV168" i="180"/>
  <c r="AD168" i="180"/>
  <c r="BB168" i="180"/>
  <c r="BN168" i="180"/>
  <c r="AJ168" i="180"/>
  <c r="BT168" i="180"/>
  <c r="AV168" i="180"/>
  <c r="BZ168" i="180"/>
  <c r="EZ168" i="180"/>
  <c r="CG211" i="180"/>
  <c r="CS211" i="180"/>
  <c r="Y211" i="180"/>
  <c r="FA211" i="180"/>
  <c r="AK211" i="180"/>
  <c r="AW211" i="180"/>
  <c r="CM211" i="180"/>
  <c r="BU211" i="180"/>
  <c r="AE211" i="180"/>
  <c r="BO211" i="180"/>
  <c r="DW211" i="180"/>
  <c r="AQ211" i="180"/>
  <c r="GE211" i="180"/>
  <c r="CA211" i="180"/>
  <c r="BC211" i="180"/>
  <c r="BI211" i="180"/>
  <c r="BC76" i="180"/>
  <c r="CA76" i="180"/>
  <c r="BU76" i="180"/>
  <c r="GE76" i="180"/>
  <c r="AQ76" i="180"/>
  <c r="CG76" i="180"/>
  <c r="BI76" i="180"/>
  <c r="AK76" i="180"/>
  <c r="FA76" i="180"/>
  <c r="DW76" i="180"/>
  <c r="CS76" i="180"/>
  <c r="AE76" i="180"/>
  <c r="AW76" i="180"/>
  <c r="Y76" i="180"/>
  <c r="BO76" i="180"/>
  <c r="CM76" i="180"/>
  <c r="BZ117" i="180"/>
  <c r="CL117" i="180"/>
  <c r="BH117" i="180"/>
  <c r="DV117" i="180"/>
  <c r="AD117" i="180"/>
  <c r="BT117" i="180"/>
  <c r="AP117" i="180"/>
  <c r="GD117" i="180"/>
  <c r="CF117" i="180"/>
  <c r="BB117" i="180"/>
  <c r="CR117" i="180"/>
  <c r="X117" i="180"/>
  <c r="BN117" i="180"/>
  <c r="EZ117" i="180"/>
  <c r="AV117" i="180"/>
  <c r="AJ117" i="180"/>
  <c r="BB158" i="180"/>
  <c r="DV158" i="180"/>
  <c r="GD158" i="180"/>
  <c r="AP158" i="180"/>
  <c r="EZ158" i="180"/>
  <c r="CL158" i="180"/>
  <c r="Q158" i="180"/>
  <c r="AJ158" i="180"/>
  <c r="CR158" i="180"/>
  <c r="AD158" i="180"/>
  <c r="BT158" i="180"/>
  <c r="AV158" i="180"/>
  <c r="BN158" i="180"/>
  <c r="BZ158" i="180"/>
  <c r="X158" i="180"/>
  <c r="CF158" i="180"/>
  <c r="BH158" i="180"/>
  <c r="GE199" i="180"/>
  <c r="FA199" i="180"/>
  <c r="AW199" i="180"/>
  <c r="DW199" i="180"/>
  <c r="CG199" i="180"/>
  <c r="AK199" i="180"/>
  <c r="BU199" i="180"/>
  <c r="AQ199" i="180"/>
  <c r="CM199" i="180"/>
  <c r="BO199" i="180"/>
  <c r="Y199" i="180"/>
  <c r="BC199" i="180"/>
  <c r="AE199" i="180"/>
  <c r="BI199" i="180"/>
  <c r="CS199" i="180"/>
  <c r="CA199" i="180"/>
  <c r="BC67" i="180"/>
  <c r="CS67" i="180"/>
  <c r="Y67" i="180"/>
  <c r="BO67" i="180"/>
  <c r="FA67" i="180"/>
  <c r="AK67" i="180"/>
  <c r="CA67" i="180"/>
  <c r="AW67" i="180"/>
  <c r="CM67" i="180"/>
  <c r="BI67" i="180"/>
  <c r="DW67" i="180"/>
  <c r="AE67" i="180"/>
  <c r="BU67" i="180"/>
  <c r="GE67" i="180"/>
  <c r="AQ67" i="180"/>
  <c r="CG67" i="180"/>
  <c r="BP106" i="180"/>
  <c r="FB106" i="180"/>
  <c r="AL106" i="180"/>
  <c r="CB106" i="180"/>
  <c r="AX106" i="180"/>
  <c r="CN106" i="180"/>
  <c r="BJ106" i="180"/>
  <c r="DX106" i="180"/>
  <c r="AF106" i="180"/>
  <c r="BV106" i="180"/>
  <c r="GF106" i="180"/>
  <c r="AR106" i="180"/>
  <c r="CH106" i="180"/>
  <c r="BD106" i="180"/>
  <c r="CT106" i="180"/>
  <c r="Z106" i="180"/>
  <c r="DX148" i="180"/>
  <c r="CT148" i="180"/>
  <c r="BP148" i="180"/>
  <c r="CH148" i="180"/>
  <c r="GF148" i="180"/>
  <c r="BD148" i="180"/>
  <c r="Z148" i="180"/>
  <c r="BV148" i="180"/>
  <c r="AX148" i="180"/>
  <c r="CN148" i="180"/>
  <c r="AF148" i="180"/>
  <c r="AL148" i="180"/>
  <c r="FB148" i="180"/>
  <c r="CB148" i="180"/>
  <c r="BJ148" i="180"/>
  <c r="AR148" i="180"/>
  <c r="CH190" i="180"/>
  <c r="BD190" i="180"/>
  <c r="CN190" i="180"/>
  <c r="BJ190" i="180"/>
  <c r="AF190" i="180"/>
  <c r="AR190" i="180"/>
  <c r="CT190" i="180"/>
  <c r="BV190" i="180"/>
  <c r="CB190" i="180"/>
  <c r="DX190" i="180"/>
  <c r="AX190" i="180"/>
  <c r="GF190" i="180"/>
  <c r="AL190" i="180"/>
  <c r="FB190" i="180"/>
  <c r="Z190" i="180"/>
  <c r="BP190" i="180"/>
  <c r="CT55" i="180"/>
  <c r="Z55" i="180"/>
  <c r="BP55" i="180"/>
  <c r="FB55" i="180"/>
  <c r="CB55" i="180"/>
  <c r="GF55" i="180"/>
  <c r="AR55" i="180"/>
  <c r="CH55" i="180"/>
  <c r="BD55" i="180"/>
  <c r="BJ55" i="180"/>
  <c r="AF55" i="180"/>
  <c r="AX55" i="180"/>
  <c r="DX55" i="180"/>
  <c r="BV55" i="180"/>
  <c r="AL55" i="180"/>
  <c r="CN55" i="180"/>
  <c r="CR196" i="180"/>
  <c r="X196" i="180"/>
  <c r="EZ196" i="180"/>
  <c r="AD196" i="180"/>
  <c r="GD196" i="180"/>
  <c r="BN196" i="180"/>
  <c r="CL196" i="180"/>
  <c r="BT196" i="180"/>
  <c r="BB196" i="180"/>
  <c r="DV196" i="180"/>
  <c r="CF196" i="180"/>
  <c r="AV196" i="180"/>
  <c r="BZ196" i="180"/>
  <c r="AJ196" i="180"/>
  <c r="BH196" i="180"/>
  <c r="AP196" i="180"/>
  <c r="CE77" i="180"/>
  <c r="BA77" i="180"/>
  <c r="EY77" i="180"/>
  <c r="AI77" i="180"/>
  <c r="BY77" i="180"/>
  <c r="DU77" i="180"/>
  <c r="AC77" i="180"/>
  <c r="BS77" i="180"/>
  <c r="GC77" i="180"/>
  <c r="AO77" i="180"/>
  <c r="BM77" i="180"/>
  <c r="CQ77" i="180"/>
  <c r="BG77" i="180"/>
  <c r="W77" i="180"/>
  <c r="CK77" i="180"/>
  <c r="AU77" i="180"/>
  <c r="BN197" i="180"/>
  <c r="BB197" i="180"/>
  <c r="CL197" i="180"/>
  <c r="GD197" i="180"/>
  <c r="CR197" i="180"/>
  <c r="DV197" i="180"/>
  <c r="AP197" i="180"/>
  <c r="X197" i="180"/>
  <c r="EZ197" i="180"/>
  <c r="BT197" i="180"/>
  <c r="AJ197" i="180"/>
  <c r="AD197" i="180"/>
  <c r="CF197" i="180"/>
  <c r="BZ197" i="180"/>
  <c r="AV197" i="180"/>
  <c r="BH197" i="180"/>
  <c r="BJ70" i="180"/>
  <c r="CB70" i="180"/>
  <c r="CN70" i="180"/>
  <c r="AF70" i="180"/>
  <c r="FB70" i="180"/>
  <c r="AX70" i="180"/>
  <c r="DX70" i="180"/>
  <c r="CH70" i="180"/>
  <c r="BP70" i="180"/>
  <c r="AR70" i="180"/>
  <c r="Z70" i="180"/>
  <c r="GF70" i="180"/>
  <c r="CT70" i="180"/>
  <c r="BV70" i="180"/>
  <c r="BD70" i="180"/>
  <c r="AL70" i="180"/>
  <c r="DX100" i="180"/>
  <c r="AF100" i="180"/>
  <c r="BV100" i="180"/>
  <c r="GF100" i="180"/>
  <c r="AR100" i="180"/>
  <c r="CH100" i="180"/>
  <c r="BD100" i="180"/>
  <c r="CT100" i="180"/>
  <c r="Z100" i="180"/>
  <c r="FB100" i="180"/>
  <c r="CB100" i="180"/>
  <c r="AX100" i="180"/>
  <c r="CN100" i="180"/>
  <c r="BJ100" i="180"/>
  <c r="AL100" i="180"/>
  <c r="BP100" i="180"/>
  <c r="AU71" i="180"/>
  <c r="BM71" i="180"/>
  <c r="EY71" i="180"/>
  <c r="AI71" i="180"/>
  <c r="BY71" i="180"/>
  <c r="DU71" i="180"/>
  <c r="CE71" i="180"/>
  <c r="BG71" i="180"/>
  <c r="AO71" i="180"/>
  <c r="W71" i="180"/>
  <c r="GC71" i="180"/>
  <c r="CQ71" i="180"/>
  <c r="BA71" i="180"/>
  <c r="CK71" i="180"/>
  <c r="BS71" i="180"/>
  <c r="AC71" i="180"/>
  <c r="CR155" i="180"/>
  <c r="X155" i="180"/>
  <c r="CF155" i="180"/>
  <c r="DV155" i="180"/>
  <c r="BN155" i="180"/>
  <c r="AV155" i="180"/>
  <c r="AD155" i="180"/>
  <c r="EZ155" i="180"/>
  <c r="CL155" i="180"/>
  <c r="BT155" i="180"/>
  <c r="BB155" i="180"/>
  <c r="AJ155" i="180"/>
  <c r="AP155" i="180"/>
  <c r="BZ155" i="180"/>
  <c r="BH155" i="180"/>
  <c r="GD155" i="180"/>
  <c r="BM47" i="180"/>
  <c r="BG47" i="180"/>
  <c r="CK47" i="180"/>
  <c r="AO47" i="180"/>
  <c r="BS47" i="180"/>
  <c r="DU47" i="180"/>
  <c r="W47" i="180"/>
  <c r="BA47" i="180"/>
  <c r="CE47" i="180"/>
  <c r="AI47" i="180"/>
  <c r="GC47" i="180"/>
  <c r="CQ47" i="180"/>
  <c r="AU47" i="180"/>
  <c r="BY47" i="180"/>
  <c r="EY47" i="180"/>
  <c r="AC47" i="180"/>
  <c r="BA107" i="180"/>
  <c r="CQ107" i="180"/>
  <c r="W107" i="180"/>
  <c r="BM107" i="180"/>
  <c r="EY107" i="180"/>
  <c r="AI107" i="180"/>
  <c r="BY107" i="180"/>
  <c r="AU107" i="180"/>
  <c r="CK107" i="180"/>
  <c r="BG107" i="180"/>
  <c r="DU107" i="180"/>
  <c r="AC107" i="180"/>
  <c r="BS107" i="180"/>
  <c r="GC107" i="180"/>
  <c r="AO107" i="180"/>
  <c r="CE107" i="180"/>
  <c r="CF169" i="180"/>
  <c r="BB169" i="180"/>
  <c r="BN169" i="180"/>
  <c r="BH169" i="180"/>
  <c r="DV169" i="180"/>
  <c r="AD169" i="180"/>
  <c r="BT169" i="180"/>
  <c r="AP169" i="180"/>
  <c r="CR169" i="180"/>
  <c r="AJ169" i="180"/>
  <c r="EZ169" i="180"/>
  <c r="BZ169" i="180"/>
  <c r="AV169" i="180"/>
  <c r="GD169" i="180"/>
  <c r="X169" i="180"/>
  <c r="CL169" i="180"/>
  <c r="GE74" i="180"/>
  <c r="AQ74" i="180"/>
  <c r="BI74" i="180"/>
  <c r="DW74" i="180"/>
  <c r="AE74" i="180"/>
  <c r="BU74" i="180"/>
  <c r="AW74" i="180"/>
  <c r="Y74" i="180"/>
  <c r="CM74" i="180"/>
  <c r="BO74" i="180"/>
  <c r="FA74" i="180"/>
  <c r="CG74" i="180"/>
  <c r="AK74" i="180"/>
  <c r="CA74" i="180"/>
  <c r="BC74" i="180"/>
  <c r="CS74" i="180"/>
  <c r="CQ115" i="180"/>
  <c r="W115" i="180"/>
  <c r="EY115" i="180"/>
  <c r="AI115" i="180"/>
  <c r="BY115" i="180"/>
  <c r="AU115" i="180"/>
  <c r="CK115" i="180"/>
  <c r="BG115" i="180"/>
  <c r="DU115" i="180"/>
  <c r="AC115" i="180"/>
  <c r="BS115" i="180"/>
  <c r="GC115" i="180"/>
  <c r="AO115" i="180"/>
  <c r="BA115" i="180"/>
  <c r="CE115" i="180"/>
  <c r="BM115" i="180"/>
  <c r="FB155" i="180"/>
  <c r="AL155" i="180"/>
  <c r="CT155" i="180"/>
  <c r="Z155" i="180"/>
  <c r="DX155" i="180"/>
  <c r="CH155" i="180"/>
  <c r="BP155" i="180"/>
  <c r="AX155" i="180"/>
  <c r="AF155" i="180"/>
  <c r="GF155" i="180"/>
  <c r="CB155" i="180"/>
  <c r="BV155" i="180"/>
  <c r="BD155" i="180"/>
  <c r="AR155" i="180"/>
  <c r="CN155" i="180"/>
  <c r="BJ155" i="180"/>
  <c r="FA197" i="180"/>
  <c r="AK197" i="180"/>
  <c r="CG197" i="180"/>
  <c r="AQ197" i="180"/>
  <c r="BU197" i="180"/>
  <c r="BC197" i="180"/>
  <c r="Y197" i="180"/>
  <c r="CA197" i="180"/>
  <c r="BI197" i="180"/>
  <c r="CS197" i="180"/>
  <c r="BO197" i="180"/>
  <c r="AE197" i="180"/>
  <c r="AW197" i="180"/>
  <c r="GE197" i="180"/>
  <c r="DW197" i="180"/>
  <c r="CM197" i="180"/>
  <c r="CS68" i="180"/>
  <c r="BC68" i="180"/>
  <c r="Y68" i="180"/>
  <c r="CG68" i="180"/>
  <c r="GE68" i="180"/>
  <c r="BO68" i="180"/>
  <c r="AK68" i="180"/>
  <c r="AW68" i="180"/>
  <c r="CA68" i="180"/>
  <c r="FA68" i="180"/>
  <c r="BI68" i="180"/>
  <c r="AE68" i="180"/>
  <c r="CM68" i="180"/>
  <c r="AQ68" i="180"/>
  <c r="BU68" i="180"/>
  <c r="DW68" i="180"/>
  <c r="FB107" i="180"/>
  <c r="AL107" i="180"/>
  <c r="CB107" i="180"/>
  <c r="AX107" i="180"/>
  <c r="CN107" i="180"/>
  <c r="BJ107" i="180"/>
  <c r="DX107" i="180"/>
  <c r="AF107" i="180"/>
  <c r="BV107" i="180"/>
  <c r="GF107" i="180"/>
  <c r="AR107" i="180"/>
  <c r="CH107" i="180"/>
  <c r="BD107" i="180"/>
  <c r="CT107" i="180"/>
  <c r="Z107" i="180"/>
  <c r="BP107" i="180"/>
  <c r="BV149" i="180"/>
  <c r="Z149" i="180"/>
  <c r="DX149" i="180"/>
  <c r="BD149" i="180"/>
  <c r="BP149" i="180"/>
  <c r="BJ149" i="180"/>
  <c r="CN149" i="180"/>
  <c r="AR149" i="180"/>
  <c r="GF149" i="180"/>
  <c r="AX149" i="180"/>
  <c r="CB149" i="180"/>
  <c r="FB149" i="180"/>
  <c r="AF149" i="180"/>
  <c r="CH149" i="180"/>
  <c r="AL149" i="180"/>
  <c r="CT149" i="180"/>
  <c r="CN191" i="180"/>
  <c r="BP191" i="180"/>
  <c r="FB191" i="180"/>
  <c r="AL191" i="180"/>
  <c r="AX191" i="180"/>
  <c r="AF191" i="180"/>
  <c r="BV191" i="180"/>
  <c r="BD191" i="180"/>
  <c r="GF191" i="180"/>
  <c r="AR191" i="180"/>
  <c r="CT191" i="180"/>
  <c r="DX191" i="180"/>
  <c r="Z191" i="180"/>
  <c r="BJ191" i="180"/>
  <c r="CH191" i="180"/>
  <c r="CB191" i="180"/>
  <c r="AX59" i="180"/>
  <c r="CN59" i="180"/>
  <c r="BJ59" i="180"/>
  <c r="DX59" i="180"/>
  <c r="AF59" i="180"/>
  <c r="BV59" i="180"/>
  <c r="GF59" i="180"/>
  <c r="AR59" i="180"/>
  <c r="CH59" i="180"/>
  <c r="BD59" i="180"/>
  <c r="CT59" i="180"/>
  <c r="Z59" i="180"/>
  <c r="BP59" i="180"/>
  <c r="FB59" i="180"/>
  <c r="AL59" i="180"/>
  <c r="CB59" i="180"/>
  <c r="AW98" i="180"/>
  <c r="CM98" i="180"/>
  <c r="BI98" i="180"/>
  <c r="DW98" i="180"/>
  <c r="AE98" i="180"/>
  <c r="GE98" i="180"/>
  <c r="AQ98" i="180"/>
  <c r="BO98" i="180"/>
  <c r="FA98" i="180"/>
  <c r="AK98" i="180"/>
  <c r="CA98" i="180"/>
  <c r="CS98" i="180"/>
  <c r="CG98" i="180"/>
  <c r="BU98" i="180"/>
  <c r="Y98" i="180"/>
  <c r="BC98" i="180"/>
  <c r="CK140" i="180"/>
  <c r="BG140" i="180"/>
  <c r="DU140" i="180"/>
  <c r="AC140" i="180"/>
  <c r="BS140" i="180"/>
  <c r="AO140" i="180"/>
  <c r="EY140" i="180"/>
  <c r="AI140" i="180"/>
  <c r="BY140" i="180"/>
  <c r="AU140" i="180"/>
  <c r="GC140" i="180"/>
  <c r="CQ140" i="180"/>
  <c r="BM140" i="180"/>
  <c r="CE140" i="180"/>
  <c r="W140" i="180"/>
  <c r="BA140" i="180"/>
  <c r="AW179" i="180"/>
  <c r="CM179" i="180"/>
  <c r="CA179" i="180"/>
  <c r="AQ179" i="180"/>
  <c r="AK179" i="180"/>
  <c r="DW179" i="180"/>
  <c r="BO179" i="180"/>
  <c r="AE179" i="180"/>
  <c r="BU179" i="180"/>
  <c r="CS179" i="180"/>
  <c r="FA179" i="180"/>
  <c r="BC179" i="180"/>
  <c r="Y179" i="180"/>
  <c r="CG179" i="180"/>
  <c r="BI179" i="180"/>
  <c r="GE179" i="180"/>
  <c r="CK51" i="180"/>
  <c r="BY51" i="180"/>
  <c r="AU51" i="180"/>
  <c r="GC51" i="180"/>
  <c r="CQ51" i="180"/>
  <c r="BS51" i="180"/>
  <c r="BA51" i="180"/>
  <c r="AI51" i="180"/>
  <c r="AC51" i="180"/>
  <c r="EY51" i="180"/>
  <c r="DU51" i="180"/>
  <c r="CE51" i="180"/>
  <c r="BM51" i="180"/>
  <c r="BG51" i="180"/>
  <c r="AO51" i="180"/>
  <c r="W51" i="180"/>
  <c r="DV88" i="180"/>
  <c r="AD88" i="180"/>
  <c r="BH88" i="180"/>
  <c r="BN88" i="180"/>
  <c r="AV88" i="180"/>
  <c r="GD88" i="180"/>
  <c r="CR88" i="180"/>
  <c r="BZ88" i="180"/>
  <c r="AP88" i="180"/>
  <c r="X88" i="180"/>
  <c r="EZ88" i="180"/>
  <c r="BT88" i="180"/>
  <c r="CL88" i="180"/>
  <c r="BB88" i="180"/>
  <c r="AJ88" i="180"/>
  <c r="CF88" i="180"/>
  <c r="CK129" i="180"/>
  <c r="EY129" i="180"/>
  <c r="AI129" i="180"/>
  <c r="BY129" i="180"/>
  <c r="AU129" i="180"/>
  <c r="DU129" i="180"/>
  <c r="CE129" i="180"/>
  <c r="BG129" i="180"/>
  <c r="AO129" i="180"/>
  <c r="W129" i="180"/>
  <c r="GC129" i="180"/>
  <c r="CQ129" i="180"/>
  <c r="BS129" i="180"/>
  <c r="BA129" i="180"/>
  <c r="AC129" i="180"/>
  <c r="BM129" i="180"/>
  <c r="BB170" i="180"/>
  <c r="CR170" i="180"/>
  <c r="X170" i="180"/>
  <c r="EZ170" i="180"/>
  <c r="AJ170" i="180"/>
  <c r="DV170" i="180"/>
  <c r="AD170" i="180"/>
  <c r="BT170" i="180"/>
  <c r="GD170" i="180"/>
  <c r="AP170" i="180"/>
  <c r="BH170" i="180"/>
  <c r="CF170" i="180"/>
  <c r="BZ170" i="180"/>
  <c r="AV170" i="180"/>
  <c r="CL170" i="180"/>
  <c r="BN170" i="180"/>
  <c r="BP213" i="180"/>
  <c r="CB213" i="180"/>
  <c r="AX213" i="180"/>
  <c r="CN213" i="180"/>
  <c r="BJ213" i="180"/>
  <c r="DX213" i="180"/>
  <c r="AF213" i="180"/>
  <c r="CT213" i="180"/>
  <c r="AL213" i="180"/>
  <c r="BV213" i="180"/>
  <c r="AR213" i="180"/>
  <c r="CH213" i="180"/>
  <c r="FB213" i="180"/>
  <c r="Z213" i="180"/>
  <c r="BD213" i="180"/>
  <c r="GF213" i="180"/>
  <c r="BO78" i="180"/>
  <c r="FA78" i="180"/>
  <c r="AK78" i="180"/>
  <c r="CA78" i="180"/>
  <c r="AW78" i="180"/>
  <c r="CM78" i="180"/>
  <c r="BI78" i="180"/>
  <c r="DW78" i="180"/>
  <c r="BU78" i="180"/>
  <c r="GE78" i="180"/>
  <c r="CG78" i="180"/>
  <c r="BC78" i="180"/>
  <c r="CS78" i="180"/>
  <c r="Y78" i="180"/>
  <c r="AQ78" i="180"/>
  <c r="AE78" i="180"/>
  <c r="BZ119" i="180"/>
  <c r="AV119" i="180"/>
  <c r="EZ119" i="180"/>
  <c r="BT119" i="180"/>
  <c r="AJ119" i="180"/>
  <c r="DV119" i="180"/>
  <c r="CF119" i="180"/>
  <c r="BN119" i="180"/>
  <c r="AD119" i="180"/>
  <c r="GD119" i="180"/>
  <c r="CR119" i="180"/>
  <c r="BH119" i="180"/>
  <c r="AP119" i="180"/>
  <c r="BB119" i="180"/>
  <c r="X119" i="180"/>
  <c r="CL119" i="180"/>
  <c r="CB160" i="180"/>
  <c r="BD160" i="180"/>
  <c r="BP160" i="180"/>
  <c r="AX160" i="180"/>
  <c r="AF160" i="180"/>
  <c r="DX160" i="180"/>
  <c r="CH160" i="180"/>
  <c r="CN160" i="180"/>
  <c r="BV160" i="180"/>
  <c r="FB160" i="180"/>
  <c r="Z160" i="180"/>
  <c r="AR160" i="180"/>
  <c r="CT160" i="180"/>
  <c r="AL160" i="180"/>
  <c r="GF160" i="180"/>
  <c r="BJ160" i="180"/>
  <c r="BC201" i="180"/>
  <c r="FA201" i="180"/>
  <c r="AE201" i="180"/>
  <c r="DW201" i="180"/>
  <c r="AW201" i="180"/>
  <c r="CM201" i="180"/>
  <c r="GE201" i="180"/>
  <c r="CG201" i="180"/>
  <c r="CS201" i="180"/>
  <c r="BU201" i="180"/>
  <c r="BO201" i="180"/>
  <c r="AQ201" i="180"/>
  <c r="AK201" i="180"/>
  <c r="CA201" i="180"/>
  <c r="Y201" i="180"/>
  <c r="BI201" i="180"/>
  <c r="AW69" i="180"/>
  <c r="BO69" i="180"/>
  <c r="AE69" i="180"/>
  <c r="GE69" i="180"/>
  <c r="CS69" i="180"/>
  <c r="CA69" i="180"/>
  <c r="BI69" i="180"/>
  <c r="AQ69" i="180"/>
  <c r="Y69" i="180"/>
  <c r="FA69" i="180"/>
  <c r="CM69" i="180"/>
  <c r="BU69" i="180"/>
  <c r="BC69" i="180"/>
  <c r="AK69" i="180"/>
  <c r="DW69" i="180"/>
  <c r="CG69" i="180"/>
  <c r="BS109" i="180"/>
  <c r="BM109" i="180"/>
  <c r="EY109" i="180"/>
  <c r="AI109" i="180"/>
  <c r="CK109" i="180"/>
  <c r="BA109" i="180"/>
  <c r="CE109" i="180"/>
  <c r="AU109" i="180"/>
  <c r="DU109" i="180"/>
  <c r="AC109" i="180"/>
  <c r="GC109" i="180"/>
  <c r="BY109" i="180"/>
  <c r="BG109" i="180"/>
  <c r="CQ109" i="180"/>
  <c r="AO109" i="180"/>
  <c r="W109" i="180"/>
  <c r="GF150" i="180"/>
  <c r="AR150" i="180"/>
  <c r="AX150" i="180"/>
  <c r="CB150" i="180"/>
  <c r="FB150" i="180"/>
  <c r="BJ150" i="180"/>
  <c r="CN150" i="180"/>
  <c r="AL150" i="180"/>
  <c r="BP150" i="180"/>
  <c r="CT150" i="180"/>
  <c r="CH150" i="180"/>
  <c r="AF150" i="180"/>
  <c r="DX150" i="180"/>
  <c r="BD150" i="180"/>
  <c r="Z150" i="180"/>
  <c r="BV150" i="180"/>
  <c r="BJ192" i="180"/>
  <c r="BV192" i="180"/>
  <c r="FB192" i="180"/>
  <c r="AL192" i="180"/>
  <c r="CB192" i="180"/>
  <c r="Z192" i="180"/>
  <c r="BP192" i="180"/>
  <c r="AR192" i="180"/>
  <c r="CT192" i="180"/>
  <c r="AF192" i="180"/>
  <c r="GF192" i="180"/>
  <c r="AX192" i="180"/>
  <c r="CN192" i="180"/>
  <c r="BD192" i="180"/>
  <c r="CH192" i="180"/>
  <c r="DX192" i="180"/>
  <c r="CN60" i="180"/>
  <c r="BJ60" i="180"/>
  <c r="DX60" i="180"/>
  <c r="AF60" i="180"/>
  <c r="BV60" i="180"/>
  <c r="GF60" i="180"/>
  <c r="AR60" i="180"/>
  <c r="CH60" i="180"/>
  <c r="BD60" i="180"/>
  <c r="CT60" i="180"/>
  <c r="Z60" i="180"/>
  <c r="BP60" i="180"/>
  <c r="FB60" i="180"/>
  <c r="AL60" i="180"/>
  <c r="CB60" i="180"/>
  <c r="AX60" i="180"/>
  <c r="CM99" i="180"/>
  <c r="BI99" i="180"/>
  <c r="DW99" i="180"/>
  <c r="AE99" i="180"/>
  <c r="BU99" i="180"/>
  <c r="GE99" i="180"/>
  <c r="AQ99" i="180"/>
  <c r="CG99" i="180"/>
  <c r="FA99" i="180"/>
  <c r="AK99" i="180"/>
  <c r="CA99" i="180"/>
  <c r="AW99" i="180"/>
  <c r="CS99" i="180"/>
  <c r="Y99" i="180"/>
  <c r="BO99" i="180"/>
  <c r="BC99" i="180"/>
  <c r="BZ141" i="180"/>
  <c r="EZ141" i="180"/>
  <c r="BH141" i="180"/>
  <c r="AD141" i="180"/>
  <c r="CL141" i="180"/>
  <c r="BT141" i="180"/>
  <c r="AP141" i="180"/>
  <c r="BN141" i="180"/>
  <c r="AJ141" i="180"/>
  <c r="CR141" i="180"/>
  <c r="AV141" i="180"/>
  <c r="GD141" i="180"/>
  <c r="DV141" i="180"/>
  <c r="X141" i="180"/>
  <c r="BB141" i="180"/>
  <c r="CF141" i="180"/>
  <c r="BJ180" i="180"/>
  <c r="DX180" i="180"/>
  <c r="AF180" i="180"/>
  <c r="AR180" i="180"/>
  <c r="AL180" i="180"/>
  <c r="CH180" i="180"/>
  <c r="GF180" i="180"/>
  <c r="AX180" i="180"/>
  <c r="FB180" i="180"/>
  <c r="BV180" i="180"/>
  <c r="Z180" i="180"/>
  <c r="BP180" i="180"/>
  <c r="CT180" i="180"/>
  <c r="CN180" i="180"/>
  <c r="CB180" i="180"/>
  <c r="BD180" i="180"/>
  <c r="BG52" i="180"/>
  <c r="AU52" i="180"/>
  <c r="CK52" i="180"/>
  <c r="AC52" i="180"/>
  <c r="EY52" i="180"/>
  <c r="DU52" i="180"/>
  <c r="CE52" i="180"/>
  <c r="BM52" i="180"/>
  <c r="AO52" i="180"/>
  <c r="W52" i="180"/>
  <c r="GC52" i="180"/>
  <c r="CQ52" i="180"/>
  <c r="BY52" i="180"/>
  <c r="BS52" i="180"/>
  <c r="BA52" i="180"/>
  <c r="AI52" i="180"/>
  <c r="BT89" i="180"/>
  <c r="DV89" i="180"/>
  <c r="AD89" i="180"/>
  <c r="CF89" i="180"/>
  <c r="BN89" i="180"/>
  <c r="AV89" i="180"/>
  <c r="GD89" i="180"/>
  <c r="CR89" i="180"/>
  <c r="BZ89" i="180"/>
  <c r="AP89" i="180"/>
  <c r="BH89" i="180"/>
  <c r="X89" i="180"/>
  <c r="EZ89" i="180"/>
  <c r="CL89" i="180"/>
  <c r="BB89" i="180"/>
  <c r="AJ89" i="180"/>
  <c r="DV130" i="180"/>
  <c r="AD130" i="180"/>
  <c r="AV130" i="180"/>
  <c r="CL130" i="180"/>
  <c r="BH130" i="180"/>
  <c r="GD130" i="180"/>
  <c r="CR130" i="180"/>
  <c r="BZ130" i="180"/>
  <c r="AJ130" i="180"/>
  <c r="BT130" i="180"/>
  <c r="BB130" i="180"/>
  <c r="EZ130" i="180"/>
  <c r="CF130" i="180"/>
  <c r="AP130" i="180"/>
  <c r="X130" i="180"/>
  <c r="BN130" i="180"/>
  <c r="CF171" i="180"/>
  <c r="X171" i="180"/>
  <c r="CR171" i="180"/>
  <c r="CL171" i="180"/>
  <c r="AP171" i="180"/>
  <c r="BT171" i="180"/>
  <c r="DV171" i="180"/>
  <c r="BN171" i="180"/>
  <c r="AJ171" i="180"/>
  <c r="BZ171" i="180"/>
  <c r="EZ171" i="180"/>
  <c r="BH171" i="180"/>
  <c r="BB171" i="180"/>
  <c r="AV171" i="180"/>
  <c r="AD171" i="180"/>
  <c r="GD171" i="180"/>
  <c r="GC215" i="180"/>
  <c r="AO215" i="180"/>
  <c r="CE215" i="180"/>
  <c r="BA215" i="180"/>
  <c r="CQ215" i="180"/>
  <c r="W215" i="180"/>
  <c r="BM215" i="180"/>
  <c r="EY215" i="180"/>
  <c r="AI215" i="180"/>
  <c r="BY215" i="180"/>
  <c r="AU215" i="180"/>
  <c r="CK215" i="180"/>
  <c r="BG215" i="180"/>
  <c r="BS215" i="180"/>
  <c r="AC215" i="180"/>
  <c r="DU215" i="180"/>
  <c r="FA79" i="180"/>
  <c r="AK79" i="180"/>
  <c r="CA79" i="180"/>
  <c r="AW79" i="180"/>
  <c r="CM79" i="180"/>
  <c r="BI79" i="180"/>
  <c r="DW79" i="180"/>
  <c r="AE79" i="180"/>
  <c r="BU79" i="180"/>
  <c r="GE79" i="180"/>
  <c r="AQ79" i="180"/>
  <c r="CG79" i="180"/>
  <c r="BC79" i="180"/>
  <c r="CS79" i="180"/>
  <c r="Y79" i="180"/>
  <c r="BO79" i="180"/>
  <c r="AV120" i="180"/>
  <c r="CL120" i="180"/>
  <c r="BT120" i="180"/>
  <c r="DV120" i="180"/>
  <c r="BB120" i="180"/>
  <c r="AJ120" i="180"/>
  <c r="CF120" i="180"/>
  <c r="BN120" i="180"/>
  <c r="GD120" i="180"/>
  <c r="AD120" i="180"/>
  <c r="CR120" i="180"/>
  <c r="BZ120" i="180"/>
  <c r="BH120" i="180"/>
  <c r="AP120" i="180"/>
  <c r="EZ120" i="180"/>
  <c r="X120" i="180"/>
  <c r="AX161" i="180"/>
  <c r="CT161" i="180"/>
  <c r="Z161" i="180"/>
  <c r="FB161" i="180"/>
  <c r="AL161" i="180"/>
  <c r="BJ161" i="180"/>
  <c r="AR161" i="180"/>
  <c r="GF161" i="180"/>
  <c r="BP161" i="180"/>
  <c r="DX161" i="180"/>
  <c r="CH161" i="180"/>
  <c r="BD161" i="180"/>
  <c r="CB161" i="180"/>
  <c r="BV161" i="180"/>
  <c r="AF161" i="180"/>
  <c r="CN161" i="180"/>
  <c r="FA204" i="180"/>
  <c r="AK204" i="180"/>
  <c r="AW204" i="180"/>
  <c r="BC204" i="180"/>
  <c r="BO204" i="180"/>
  <c r="CS204" i="180"/>
  <c r="BU204" i="180"/>
  <c r="Y204" i="180"/>
  <c r="GE204" i="180"/>
  <c r="CM204" i="180"/>
  <c r="CA204" i="180"/>
  <c r="AE204" i="180"/>
  <c r="CG204" i="180"/>
  <c r="AQ204" i="180"/>
  <c r="BI204" i="180"/>
  <c r="DW204" i="180"/>
  <c r="CM70" i="180"/>
  <c r="FA70" i="180"/>
  <c r="AK70" i="180"/>
  <c r="AW70" i="180"/>
  <c r="AE70" i="180"/>
  <c r="DW70" i="180"/>
  <c r="CG70" i="180"/>
  <c r="BO70" i="180"/>
  <c r="BI70" i="180"/>
  <c r="AQ70" i="180"/>
  <c r="Y70" i="180"/>
  <c r="CA70" i="180"/>
  <c r="GE70" i="180"/>
  <c r="CS70" i="180"/>
  <c r="BU70" i="180"/>
  <c r="BC70" i="180"/>
  <c r="GE110" i="180"/>
  <c r="AQ110" i="180"/>
  <c r="BC110" i="180"/>
  <c r="AW110" i="180"/>
  <c r="CM110" i="180"/>
  <c r="BI110" i="180"/>
  <c r="CS110" i="180"/>
  <c r="CA110" i="180"/>
  <c r="AK110" i="180"/>
  <c r="BU110" i="180"/>
  <c r="AE110" i="180"/>
  <c r="FA110" i="180"/>
  <c r="CG110" i="180"/>
  <c r="BO110" i="180"/>
  <c r="Y110" i="180"/>
  <c r="DW110" i="180"/>
  <c r="CH151" i="180"/>
  <c r="BV151" i="180"/>
  <c r="Z151" i="180"/>
  <c r="DX151" i="180"/>
  <c r="BD151" i="180"/>
  <c r="AL151" i="180"/>
  <c r="GF151" i="180"/>
  <c r="BP151" i="180"/>
  <c r="BJ151" i="180"/>
  <c r="CN151" i="180"/>
  <c r="AR151" i="180"/>
  <c r="CB151" i="180"/>
  <c r="AF151" i="180"/>
  <c r="AX151" i="180"/>
  <c r="FB151" i="180"/>
  <c r="CT151" i="180"/>
  <c r="GF193" i="180"/>
  <c r="BJ193" i="180"/>
  <c r="AF193" i="180"/>
  <c r="AR193" i="180"/>
  <c r="CT193" i="180"/>
  <c r="AX193" i="180"/>
  <c r="BV193" i="180"/>
  <c r="AL193" i="180"/>
  <c r="DX193" i="180"/>
  <c r="CB193" i="180"/>
  <c r="BD193" i="180"/>
  <c r="FB193" i="180"/>
  <c r="BP193" i="180"/>
  <c r="Z193" i="180"/>
  <c r="CN193" i="180"/>
  <c r="CH193" i="180"/>
  <c r="BH188" i="180"/>
  <c r="DV188" i="180"/>
  <c r="AD188" i="180"/>
  <c r="EZ188" i="180"/>
  <c r="AJ188" i="180"/>
  <c r="BZ188" i="180"/>
  <c r="CL188" i="180"/>
  <c r="X188" i="180"/>
  <c r="BN188" i="180"/>
  <c r="AP188" i="180"/>
  <c r="CF188" i="180"/>
  <c r="AV188" i="180"/>
  <c r="GD188" i="180"/>
  <c r="CR188" i="180"/>
  <c r="BB188" i="180"/>
  <c r="BT188" i="180"/>
  <c r="BB154" i="180"/>
  <c r="GD154" i="180"/>
  <c r="AP154" i="180"/>
  <c r="BT154" i="180"/>
  <c r="AJ154" i="180"/>
  <c r="DV154" i="180"/>
  <c r="CF154" i="180"/>
  <c r="BN154" i="180"/>
  <c r="AV154" i="180"/>
  <c r="X154" i="180"/>
  <c r="CL154" i="180"/>
  <c r="BZ154" i="180"/>
  <c r="EZ154" i="180"/>
  <c r="CR154" i="180"/>
  <c r="AD154" i="180"/>
  <c r="BH154" i="180"/>
  <c r="BM118" i="180"/>
  <c r="EY118" i="180"/>
  <c r="AI118" i="180"/>
  <c r="CK118" i="180"/>
  <c r="BA118" i="180"/>
  <c r="DU118" i="180"/>
  <c r="CE118" i="180"/>
  <c r="AU118" i="180"/>
  <c r="AC118" i="180"/>
  <c r="GC118" i="180"/>
  <c r="BY118" i="180"/>
  <c r="CQ118" i="180"/>
  <c r="BG118" i="180"/>
  <c r="W118" i="180"/>
  <c r="BS118" i="180"/>
  <c r="AO118" i="180"/>
  <c r="BT131" i="180"/>
  <c r="CL131" i="180"/>
  <c r="BH131" i="180"/>
  <c r="DV131" i="180"/>
  <c r="AD131" i="180"/>
  <c r="GD131" i="180"/>
  <c r="CR131" i="180"/>
  <c r="EZ131" i="180"/>
  <c r="CF131" i="180"/>
  <c r="BN131" i="180"/>
  <c r="AV131" i="180"/>
  <c r="AP131" i="180"/>
  <c r="X131" i="180"/>
  <c r="BZ131" i="180"/>
  <c r="AJ131" i="180"/>
  <c r="BB131" i="180"/>
  <c r="CN117" i="180"/>
  <c r="DX117" i="180"/>
  <c r="AF117" i="180"/>
  <c r="BV117" i="180"/>
  <c r="AR117" i="180"/>
  <c r="GF117" i="180"/>
  <c r="CH117" i="180"/>
  <c r="BD117" i="180"/>
  <c r="CT117" i="180"/>
  <c r="Z117" i="180"/>
  <c r="BP117" i="180"/>
  <c r="AL117" i="180"/>
  <c r="CB117" i="180"/>
  <c r="BJ117" i="180"/>
  <c r="FB117" i="180"/>
  <c r="AX117" i="180"/>
  <c r="BO155" i="180"/>
  <c r="BC155" i="180"/>
  <c r="DW155" i="180"/>
  <c r="CG155" i="180"/>
  <c r="AW155" i="180"/>
  <c r="AE155" i="180"/>
  <c r="CM155" i="180"/>
  <c r="BU155" i="180"/>
  <c r="AK155" i="180"/>
  <c r="AQ155" i="180"/>
  <c r="CA155" i="180"/>
  <c r="FA155" i="180"/>
  <c r="CS155" i="180"/>
  <c r="GE155" i="180"/>
  <c r="BI155" i="180"/>
  <c r="Y155" i="180"/>
  <c r="GE91" i="180"/>
  <c r="AQ91" i="180"/>
  <c r="BI91" i="180"/>
  <c r="BU91" i="180"/>
  <c r="FA91" i="180"/>
  <c r="BC91" i="180"/>
  <c r="AK91" i="180"/>
  <c r="CM91" i="180"/>
  <c r="DW91" i="180"/>
  <c r="CG91" i="180"/>
  <c r="AE91" i="180"/>
  <c r="BO91" i="180"/>
  <c r="AW91" i="180"/>
  <c r="CS91" i="180"/>
  <c r="Y91" i="180"/>
  <c r="CA91" i="180"/>
  <c r="CS175" i="180"/>
  <c r="Y175" i="180"/>
  <c r="BI175" i="180"/>
  <c r="BC175" i="180"/>
  <c r="FA175" i="180"/>
  <c r="CM175" i="180"/>
  <c r="BU175" i="180"/>
  <c r="AK175" i="180"/>
  <c r="GE175" i="180"/>
  <c r="CA175" i="180"/>
  <c r="AQ175" i="180"/>
  <c r="AE175" i="180"/>
  <c r="CG175" i="180"/>
  <c r="DW175" i="180"/>
  <c r="BO175" i="180"/>
  <c r="AW175" i="180"/>
  <c r="DU65" i="180"/>
  <c r="AC65" i="180"/>
  <c r="BS65" i="180"/>
  <c r="GC65" i="180"/>
  <c r="AO65" i="180"/>
  <c r="CE65" i="180"/>
  <c r="BA65" i="180"/>
  <c r="CQ65" i="180"/>
  <c r="W65" i="180"/>
  <c r="BM65" i="180"/>
  <c r="EY65" i="180"/>
  <c r="AI65" i="180"/>
  <c r="BY65" i="180"/>
  <c r="AU65" i="180"/>
  <c r="CK65" i="180"/>
  <c r="BG65" i="180"/>
  <c r="BJ127" i="180"/>
  <c r="CB127" i="180"/>
  <c r="BV127" i="180"/>
  <c r="DX127" i="180"/>
  <c r="AL127" i="180"/>
  <c r="CH127" i="180"/>
  <c r="BP127" i="180"/>
  <c r="AX127" i="180"/>
  <c r="GF127" i="180"/>
  <c r="AF127" i="180"/>
  <c r="CT127" i="180"/>
  <c r="AR127" i="180"/>
  <c r="FB127" i="180"/>
  <c r="Z127" i="180"/>
  <c r="CN127" i="180"/>
  <c r="BD127" i="180"/>
  <c r="BZ191" i="180"/>
  <c r="BB191" i="180"/>
  <c r="CR191" i="180"/>
  <c r="X191" i="180"/>
  <c r="EZ191" i="180"/>
  <c r="AV191" i="180"/>
  <c r="GD191" i="180"/>
  <c r="DV191" i="180"/>
  <c r="BT191" i="180"/>
  <c r="BN191" i="180"/>
  <c r="AP191" i="180"/>
  <c r="BH191" i="180"/>
  <c r="CL191" i="180"/>
  <c r="CF191" i="180"/>
  <c r="AD191" i="180"/>
  <c r="AJ191" i="180"/>
  <c r="CS77" i="180"/>
  <c r="Y77" i="180"/>
  <c r="BO77" i="180"/>
  <c r="AW77" i="180"/>
  <c r="CM77" i="180"/>
  <c r="GE77" i="180"/>
  <c r="AQ77" i="180"/>
  <c r="CG77" i="180"/>
  <c r="BC77" i="180"/>
  <c r="AK77" i="180"/>
  <c r="BU77" i="180"/>
  <c r="DW77" i="180"/>
  <c r="AE77" i="180"/>
  <c r="BI77" i="180"/>
  <c r="CA77" i="180"/>
  <c r="FA77" i="180"/>
  <c r="EZ118" i="180"/>
  <c r="AJ118" i="180"/>
  <c r="BZ118" i="180"/>
  <c r="BT118" i="180"/>
  <c r="DV118" i="180"/>
  <c r="CF118" i="180"/>
  <c r="AV118" i="180"/>
  <c r="BN118" i="180"/>
  <c r="AD118" i="180"/>
  <c r="GD118" i="180"/>
  <c r="CR118" i="180"/>
  <c r="BH118" i="180"/>
  <c r="AP118" i="180"/>
  <c r="X118" i="180"/>
  <c r="CL118" i="180"/>
  <c r="BB118" i="180"/>
  <c r="FB159" i="180"/>
  <c r="AL159" i="180"/>
  <c r="CH159" i="180"/>
  <c r="CT159" i="180"/>
  <c r="Z159" i="180"/>
  <c r="GF159" i="180"/>
  <c r="AR159" i="180"/>
  <c r="CN159" i="180"/>
  <c r="BV159" i="180"/>
  <c r="BD159" i="180"/>
  <c r="CB159" i="180"/>
  <c r="DX159" i="180"/>
  <c r="AF159" i="180"/>
  <c r="BJ159" i="180"/>
  <c r="AX159" i="180"/>
  <c r="BP159" i="180"/>
  <c r="CG200" i="180"/>
  <c r="DW200" i="180"/>
  <c r="BO200" i="180"/>
  <c r="CM200" i="180"/>
  <c r="BU200" i="180"/>
  <c r="CA200" i="180"/>
  <c r="BC200" i="180"/>
  <c r="AE200" i="180"/>
  <c r="CS200" i="180"/>
  <c r="Y200" i="180"/>
  <c r="GE200" i="180"/>
  <c r="AK200" i="180"/>
  <c r="BI200" i="180"/>
  <c r="AW200" i="180"/>
  <c r="FA200" i="180"/>
  <c r="AQ200" i="180"/>
  <c r="DX71" i="180"/>
  <c r="AF71" i="180"/>
  <c r="AX71" i="180"/>
  <c r="CN71" i="180"/>
  <c r="BJ71" i="180"/>
  <c r="CH71" i="180"/>
  <c r="BP71" i="180"/>
  <c r="AR71" i="180"/>
  <c r="Z71" i="180"/>
  <c r="GF71" i="180"/>
  <c r="CT71" i="180"/>
  <c r="CB71" i="180"/>
  <c r="BD71" i="180"/>
  <c r="AL71" i="180"/>
  <c r="BV71" i="180"/>
  <c r="FB71" i="180"/>
  <c r="BD111" i="180"/>
  <c r="BP111" i="180"/>
  <c r="BJ111" i="180"/>
  <c r="DX111" i="180"/>
  <c r="AF111" i="180"/>
  <c r="CB111" i="180"/>
  <c r="CT111" i="180"/>
  <c r="GF111" i="180"/>
  <c r="AL111" i="180"/>
  <c r="BV111" i="180"/>
  <c r="CN111" i="180"/>
  <c r="FB111" i="180"/>
  <c r="AX111" i="180"/>
  <c r="CH111" i="180"/>
  <c r="Z111" i="180"/>
  <c r="AR111" i="180"/>
  <c r="BD152" i="180"/>
  <c r="AX152" i="180"/>
  <c r="CB152" i="180"/>
  <c r="FB152" i="180"/>
  <c r="AF152" i="180"/>
  <c r="BJ152" i="180"/>
  <c r="CN152" i="180"/>
  <c r="CH152" i="180"/>
  <c r="AL152" i="180"/>
  <c r="GF152" i="180"/>
  <c r="BP152" i="180"/>
  <c r="CT152" i="180"/>
  <c r="DX152" i="180"/>
  <c r="BV152" i="180"/>
  <c r="Z152" i="180"/>
  <c r="AR152" i="180"/>
  <c r="CH194" i="180"/>
  <c r="BJ194" i="180"/>
  <c r="AL194" i="180"/>
  <c r="DX194" i="180"/>
  <c r="AR194" i="180"/>
  <c r="Z194" i="180"/>
  <c r="FB194" i="180"/>
  <c r="BP194" i="180"/>
  <c r="CB194" i="180"/>
  <c r="AX194" i="180"/>
  <c r="BV194" i="180"/>
  <c r="GF194" i="180"/>
  <c r="AF194" i="180"/>
  <c r="CT194" i="180"/>
  <c r="BD194" i="180"/>
  <c r="CN194" i="180"/>
  <c r="DX62" i="180"/>
  <c r="AF62" i="180"/>
  <c r="BV62" i="180"/>
  <c r="GF62" i="180"/>
  <c r="AR62" i="180"/>
  <c r="CH62" i="180"/>
  <c r="BD62" i="180"/>
  <c r="CT62" i="180"/>
  <c r="Z62" i="180"/>
  <c r="BP62" i="180"/>
  <c r="FB62" i="180"/>
  <c r="AL62" i="180"/>
  <c r="CB62" i="180"/>
  <c r="AX62" i="180"/>
  <c r="CN62" i="180"/>
  <c r="BJ62" i="180"/>
  <c r="DW101" i="180"/>
  <c r="AE101" i="180"/>
  <c r="BU101" i="180"/>
  <c r="GE101" i="180"/>
  <c r="AQ101" i="180"/>
  <c r="CG101" i="180"/>
  <c r="BC101" i="180"/>
  <c r="CS101" i="180"/>
  <c r="Y101" i="180"/>
  <c r="BO101" i="180"/>
  <c r="FA101" i="180"/>
  <c r="AK101" i="180"/>
  <c r="CA101" i="180"/>
  <c r="AW101" i="180"/>
  <c r="CM101" i="180"/>
  <c r="BI101" i="180"/>
  <c r="BV143" i="180"/>
  <c r="Z143" i="180"/>
  <c r="DX143" i="180"/>
  <c r="BD143" i="180"/>
  <c r="CH143" i="180"/>
  <c r="AL143" i="180"/>
  <c r="AF143" i="180"/>
  <c r="FB143" i="180"/>
  <c r="BJ143" i="180"/>
  <c r="CN143" i="180"/>
  <c r="AR143" i="180"/>
  <c r="GF143" i="180"/>
  <c r="BP143" i="180"/>
  <c r="CT143" i="180"/>
  <c r="AX143" i="180"/>
  <c r="CB143" i="180"/>
  <c r="BY186" i="180"/>
  <c r="AU186" i="180"/>
  <c r="BA186" i="180"/>
  <c r="CQ186" i="180"/>
  <c r="W186" i="180"/>
  <c r="BS186" i="180"/>
  <c r="AO186" i="180"/>
  <c r="CE186" i="180"/>
  <c r="BG186" i="180"/>
  <c r="DU186" i="180"/>
  <c r="AI186" i="180"/>
  <c r="EY186" i="180"/>
  <c r="AC186" i="180"/>
  <c r="BM186" i="180"/>
  <c r="GC186" i="180"/>
  <c r="CK186" i="180"/>
  <c r="BS54" i="180"/>
  <c r="GC54" i="180"/>
  <c r="CK54" i="180"/>
  <c r="BG54" i="180"/>
  <c r="DU54" i="180"/>
  <c r="AC54" i="180"/>
  <c r="EY54" i="180"/>
  <c r="AI54" i="180"/>
  <c r="BY54" i="180"/>
  <c r="BA54" i="180"/>
  <c r="CQ54" i="180"/>
  <c r="AU54" i="180"/>
  <c r="W54" i="180"/>
  <c r="BM54" i="180"/>
  <c r="AO54" i="180"/>
  <c r="CE54" i="180"/>
  <c r="BD92" i="180"/>
  <c r="BV92" i="180"/>
  <c r="CH92" i="180"/>
  <c r="FB92" i="180"/>
  <c r="CN92" i="180"/>
  <c r="AL92" i="180"/>
  <c r="BP92" i="180"/>
  <c r="AX92" i="180"/>
  <c r="DX92" i="180"/>
  <c r="AF92" i="180"/>
  <c r="CT92" i="180"/>
  <c r="CB92" i="180"/>
  <c r="Z92" i="180"/>
  <c r="GF92" i="180"/>
  <c r="BJ92" i="180"/>
  <c r="AR92" i="180"/>
  <c r="CE133" i="180"/>
  <c r="CQ133" i="180"/>
  <c r="W133" i="180"/>
  <c r="BM133" i="180"/>
  <c r="EY133" i="180"/>
  <c r="DU133" i="180"/>
  <c r="AC133" i="180"/>
  <c r="BS133" i="180"/>
  <c r="GC133" i="180"/>
  <c r="AO133" i="180"/>
  <c r="BG133" i="180"/>
  <c r="BA133" i="180"/>
  <c r="BY133" i="180"/>
  <c r="AU133" i="180"/>
  <c r="CK133" i="180"/>
  <c r="AI133" i="180"/>
  <c r="CR173" i="180"/>
  <c r="X173" i="180"/>
  <c r="BB173" i="180"/>
  <c r="CF173" i="180"/>
  <c r="AJ173" i="180"/>
  <c r="CL173" i="180"/>
  <c r="AP173" i="180"/>
  <c r="BT173" i="180"/>
  <c r="AV173" i="180"/>
  <c r="BZ173" i="180"/>
  <c r="EZ173" i="180"/>
  <c r="DV173" i="180"/>
  <c r="BH173" i="180"/>
  <c r="GD173" i="180"/>
  <c r="AD173" i="180"/>
  <c r="BN173" i="180"/>
  <c r="CR45" i="180"/>
  <c r="X45" i="180"/>
  <c r="CL45" i="180"/>
  <c r="AP45" i="180"/>
  <c r="BT45" i="180"/>
  <c r="DV45" i="180"/>
  <c r="BB45" i="180"/>
  <c r="CF45" i="180"/>
  <c r="AJ45" i="180"/>
  <c r="GD45" i="180"/>
  <c r="BN45" i="180"/>
  <c r="AV45" i="180"/>
  <c r="BZ45" i="180"/>
  <c r="EZ45" i="180"/>
  <c r="AD45" i="180"/>
  <c r="BH45" i="180"/>
  <c r="BY82" i="180"/>
  <c r="AU82" i="180"/>
  <c r="CK82" i="180"/>
  <c r="BG82" i="180"/>
  <c r="DU82" i="180"/>
  <c r="AC82" i="180"/>
  <c r="BS82" i="180"/>
  <c r="GC82" i="180"/>
  <c r="AO82" i="180"/>
  <c r="CE82" i="180"/>
  <c r="BA82" i="180"/>
  <c r="CQ82" i="180"/>
  <c r="W82" i="180"/>
  <c r="BM82" i="180"/>
  <c r="EY82" i="180"/>
  <c r="AI82" i="180"/>
  <c r="FA122" i="180"/>
  <c r="DW122" i="180"/>
  <c r="AE122" i="180"/>
  <c r="BU122" i="180"/>
  <c r="GE122" i="180"/>
  <c r="BC122" i="180"/>
  <c r="AK122" i="180"/>
  <c r="CM122" i="180"/>
  <c r="AW122" i="180"/>
  <c r="CG122" i="180"/>
  <c r="BO122" i="180"/>
  <c r="AQ122" i="180"/>
  <c r="Y122" i="180"/>
  <c r="CA122" i="180"/>
  <c r="BI122" i="180"/>
  <c r="CS122" i="180"/>
  <c r="AU164" i="180"/>
  <c r="CQ164" i="180"/>
  <c r="W164" i="180"/>
  <c r="EY164" i="180"/>
  <c r="AI164" i="180"/>
  <c r="CK164" i="180"/>
  <c r="BS164" i="180"/>
  <c r="BA164" i="180"/>
  <c r="GC164" i="180"/>
  <c r="BY164" i="180"/>
  <c r="BG164" i="180"/>
  <c r="AO164" i="180"/>
  <c r="CE164" i="180"/>
  <c r="BM164" i="180"/>
  <c r="AC164" i="180"/>
  <c r="DU164" i="180"/>
  <c r="AW206" i="180"/>
  <c r="BI206" i="180"/>
  <c r="BO206" i="180"/>
  <c r="BU206" i="180"/>
  <c r="BC206" i="180"/>
  <c r="CM206" i="180"/>
  <c r="CS206" i="180"/>
  <c r="GE206" i="180"/>
  <c r="AE206" i="180"/>
  <c r="CA206" i="180"/>
  <c r="FA206" i="180"/>
  <c r="AK206" i="180"/>
  <c r="Y206" i="180"/>
  <c r="AQ206" i="180"/>
  <c r="CG206" i="180"/>
  <c r="DW206" i="180"/>
  <c r="BV72" i="180"/>
  <c r="CN72" i="180"/>
  <c r="BJ72" i="180"/>
  <c r="DX72" i="180"/>
  <c r="AF72" i="180"/>
  <c r="AL72" i="180"/>
  <c r="CB72" i="180"/>
  <c r="BD72" i="180"/>
  <c r="CT72" i="180"/>
  <c r="GF72" i="180"/>
  <c r="AX72" i="180"/>
  <c r="Z72" i="180"/>
  <c r="BP72" i="180"/>
  <c r="AR72" i="180"/>
  <c r="FB72" i="180"/>
  <c r="CH72" i="180"/>
  <c r="CE113" i="180"/>
  <c r="CQ113" i="180"/>
  <c r="W113" i="180"/>
  <c r="BM113" i="180"/>
  <c r="EY113" i="180"/>
  <c r="AI113" i="180"/>
  <c r="CK113" i="180"/>
  <c r="BG113" i="180"/>
  <c r="AO113" i="180"/>
  <c r="GC113" i="180"/>
  <c r="BY113" i="180"/>
  <c r="AC113" i="180"/>
  <c r="DU113" i="180"/>
  <c r="BA113" i="180"/>
  <c r="BS113" i="180"/>
  <c r="AU113" i="180"/>
  <c r="CT153" i="180"/>
  <c r="Z153" i="180"/>
  <c r="BV153" i="180"/>
  <c r="DX153" i="180"/>
  <c r="BD153" i="180"/>
  <c r="CH153" i="180"/>
  <c r="AL153" i="180"/>
  <c r="BP153" i="180"/>
  <c r="BJ153" i="180"/>
  <c r="CN153" i="180"/>
  <c r="AR153" i="180"/>
  <c r="FB153" i="180"/>
  <c r="AX153" i="180"/>
  <c r="AF153" i="180"/>
  <c r="GF153" i="180"/>
  <c r="CB153" i="180"/>
  <c r="GF195" i="180"/>
  <c r="BD195" i="180"/>
  <c r="AF195" i="180"/>
  <c r="FB195" i="180"/>
  <c r="CN195" i="180"/>
  <c r="BV195" i="180"/>
  <c r="CT195" i="180"/>
  <c r="CB195" i="180"/>
  <c r="BJ195" i="180"/>
  <c r="AR195" i="180"/>
  <c r="Z195" i="180"/>
  <c r="AX195" i="180"/>
  <c r="CH195" i="180"/>
  <c r="BP195" i="180"/>
  <c r="DX195" i="180"/>
  <c r="AL195" i="180"/>
  <c r="BV63" i="180"/>
  <c r="GF63" i="180"/>
  <c r="AR63" i="180"/>
  <c r="CH63" i="180"/>
  <c r="BD63" i="180"/>
  <c r="CT63" i="180"/>
  <c r="Z63" i="180"/>
  <c r="BP63" i="180"/>
  <c r="FB63" i="180"/>
  <c r="AL63" i="180"/>
  <c r="CB63" i="180"/>
  <c r="AX63" i="180"/>
  <c r="CN63" i="180"/>
  <c r="BJ63" i="180"/>
  <c r="DX63" i="180"/>
  <c r="AF63" i="180"/>
  <c r="BU102" i="180"/>
  <c r="GE102" i="180"/>
  <c r="AQ102" i="180"/>
  <c r="CG102" i="180"/>
  <c r="BC102" i="180"/>
  <c r="CS102" i="180"/>
  <c r="Y102" i="180"/>
  <c r="BO102" i="180"/>
  <c r="FA102" i="180"/>
  <c r="AK102" i="180"/>
  <c r="CA102" i="180"/>
  <c r="AW102" i="180"/>
  <c r="CM102" i="180"/>
  <c r="BI102" i="180"/>
  <c r="DW102" i="180"/>
  <c r="AE102" i="180"/>
  <c r="DU145" i="180"/>
  <c r="AC145" i="180"/>
  <c r="CK145" i="180"/>
  <c r="BG145" i="180"/>
  <c r="GC145" i="180"/>
  <c r="CQ145" i="180"/>
  <c r="BY145" i="180"/>
  <c r="BS145" i="180"/>
  <c r="BA145" i="180"/>
  <c r="AI145" i="180"/>
  <c r="CE145" i="180"/>
  <c r="BM145" i="180"/>
  <c r="AU145" i="180"/>
  <c r="AO145" i="180"/>
  <c r="W145" i="180"/>
  <c r="EY145" i="180"/>
  <c r="AU187" i="180"/>
  <c r="CK187" i="180"/>
  <c r="CQ187" i="180"/>
  <c r="W187" i="180"/>
  <c r="BM187" i="180"/>
  <c r="EY187" i="180"/>
  <c r="AO187" i="180"/>
  <c r="CE187" i="180"/>
  <c r="BG187" i="180"/>
  <c r="DU187" i="180"/>
  <c r="AC187" i="180"/>
  <c r="BY187" i="180"/>
  <c r="GC187" i="180"/>
  <c r="AI187" i="180"/>
  <c r="BS187" i="180"/>
  <c r="BA187" i="180"/>
  <c r="GC55" i="180"/>
  <c r="AO55" i="180"/>
  <c r="CE55" i="180"/>
  <c r="CQ55" i="180"/>
  <c r="W55" i="180"/>
  <c r="BG55" i="180"/>
  <c r="DU55" i="180"/>
  <c r="AC55" i="180"/>
  <c r="BS55" i="180"/>
  <c r="CK55" i="180"/>
  <c r="BA55" i="180"/>
  <c r="EY55" i="180"/>
  <c r="BY55" i="180"/>
  <c r="AU55" i="180"/>
  <c r="BM55" i="180"/>
  <c r="AI55" i="180"/>
  <c r="CT93" i="180"/>
  <c r="Z93" i="180"/>
  <c r="GF93" i="180"/>
  <c r="AR93" i="180"/>
  <c r="CH93" i="180"/>
  <c r="BD93" i="180"/>
  <c r="AF93" i="180"/>
  <c r="BV93" i="180"/>
  <c r="AX93" i="180"/>
  <c r="CN93" i="180"/>
  <c r="BP93" i="180"/>
  <c r="FB93" i="180"/>
  <c r="BJ93" i="180"/>
  <c r="AL93" i="180"/>
  <c r="DX93" i="180"/>
  <c r="CB93" i="180"/>
  <c r="CR134" i="180"/>
  <c r="X134" i="180"/>
  <c r="BN134" i="180"/>
  <c r="EZ134" i="180"/>
  <c r="AJ134" i="180"/>
  <c r="BZ134" i="180"/>
  <c r="AV134" i="180"/>
  <c r="GD134" i="180"/>
  <c r="AP134" i="180"/>
  <c r="CF134" i="180"/>
  <c r="BB134" i="180"/>
  <c r="DV134" i="180"/>
  <c r="CL134" i="180"/>
  <c r="BH134" i="180"/>
  <c r="AD134" i="180"/>
  <c r="BT134" i="180"/>
  <c r="AK174" i="180"/>
  <c r="CM174" i="180"/>
  <c r="BI174" i="180"/>
  <c r="GE174" i="180"/>
  <c r="CS174" i="180"/>
  <c r="CA174" i="180"/>
  <c r="AW174" i="180"/>
  <c r="DW174" i="180"/>
  <c r="AE174" i="180"/>
  <c r="BC174" i="180"/>
  <c r="BU174" i="180"/>
  <c r="BO174" i="180"/>
  <c r="FA174" i="180"/>
  <c r="CG174" i="180"/>
  <c r="Y174" i="180"/>
  <c r="AQ174" i="180"/>
  <c r="BN46" i="180"/>
  <c r="GD46" i="180"/>
  <c r="CR46" i="180"/>
  <c r="AV46" i="180"/>
  <c r="BZ46" i="180"/>
  <c r="EZ46" i="180"/>
  <c r="AD46" i="180"/>
  <c r="BH46" i="180"/>
  <c r="CL46" i="180"/>
  <c r="AP46" i="180"/>
  <c r="BT46" i="180"/>
  <c r="DV46" i="180"/>
  <c r="X46" i="180"/>
  <c r="BB46" i="180"/>
  <c r="CF46" i="180"/>
  <c r="AJ46" i="180"/>
  <c r="BI83" i="180"/>
  <c r="DW83" i="180"/>
  <c r="AE83" i="180"/>
  <c r="BU83" i="180"/>
  <c r="GE83" i="180"/>
  <c r="AQ83" i="180"/>
  <c r="CG83" i="180"/>
  <c r="BC83" i="180"/>
  <c r="CS83" i="180"/>
  <c r="Y83" i="180"/>
  <c r="BO83" i="180"/>
  <c r="FA83" i="180"/>
  <c r="AK83" i="180"/>
  <c r="CA83" i="180"/>
  <c r="AW83" i="180"/>
  <c r="CM83" i="180"/>
  <c r="CS123" i="180"/>
  <c r="Y123" i="180"/>
  <c r="FA123" i="180"/>
  <c r="AK123" i="180"/>
  <c r="CA123" i="180"/>
  <c r="BU123" i="180"/>
  <c r="AQ123" i="180"/>
  <c r="BC123" i="180"/>
  <c r="AE123" i="180"/>
  <c r="DW123" i="180"/>
  <c r="AW123" i="180"/>
  <c r="BI123" i="180"/>
  <c r="GE123" i="180"/>
  <c r="CM123" i="180"/>
  <c r="CG123" i="180"/>
  <c r="BO123" i="180"/>
  <c r="BH165" i="180"/>
  <c r="EZ165" i="180"/>
  <c r="AJ165" i="180"/>
  <c r="BZ165" i="180"/>
  <c r="AV165" i="180"/>
  <c r="CL165" i="180"/>
  <c r="X165" i="180"/>
  <c r="BN165" i="180"/>
  <c r="AP165" i="180"/>
  <c r="CF165" i="180"/>
  <c r="BB165" i="180"/>
  <c r="AD165" i="180"/>
  <c r="CR165" i="180"/>
  <c r="BT165" i="180"/>
  <c r="GD165" i="180"/>
  <c r="DV165" i="180"/>
  <c r="BJ207" i="180"/>
  <c r="BV207" i="180"/>
  <c r="CB207" i="180"/>
  <c r="GF207" i="180"/>
  <c r="CT207" i="180"/>
  <c r="AR207" i="180"/>
  <c r="Z207" i="180"/>
  <c r="DX207" i="180"/>
  <c r="AL207" i="180"/>
  <c r="FB207" i="180"/>
  <c r="CH207" i="180"/>
  <c r="CN207" i="180"/>
  <c r="BP207" i="180"/>
  <c r="AF207" i="180"/>
  <c r="AX207" i="180"/>
  <c r="BD207" i="180"/>
  <c r="GF73" i="180"/>
  <c r="AR73" i="180"/>
  <c r="BJ73" i="180"/>
  <c r="DX73" i="180"/>
  <c r="AF73" i="180"/>
  <c r="BV73" i="180"/>
  <c r="CN73" i="180"/>
  <c r="BP73" i="180"/>
  <c r="FB73" i="180"/>
  <c r="CH73" i="180"/>
  <c r="AL73" i="180"/>
  <c r="CB73" i="180"/>
  <c r="BD73" i="180"/>
  <c r="CT73" i="180"/>
  <c r="AX73" i="180"/>
  <c r="Z73" i="180"/>
  <c r="CR114" i="180"/>
  <c r="X114" i="180"/>
  <c r="EZ114" i="180"/>
  <c r="AJ114" i="180"/>
  <c r="BZ114" i="180"/>
  <c r="AV114" i="180"/>
  <c r="CL114" i="180"/>
  <c r="BH114" i="180"/>
  <c r="DV114" i="180"/>
  <c r="AD114" i="180"/>
  <c r="BT114" i="180"/>
  <c r="GD114" i="180"/>
  <c r="AP114" i="180"/>
  <c r="BN114" i="180"/>
  <c r="BB114" i="180"/>
  <c r="CF114" i="180"/>
  <c r="BA155" i="180"/>
  <c r="GC155" i="180"/>
  <c r="AO155" i="180"/>
  <c r="BS155" i="180"/>
  <c r="AI155" i="180"/>
  <c r="DU155" i="180"/>
  <c r="CE155" i="180"/>
  <c r="BM155" i="180"/>
  <c r="AU155" i="180"/>
  <c r="EY155" i="180"/>
  <c r="CK155" i="180"/>
  <c r="CQ155" i="180"/>
  <c r="AC155" i="180"/>
  <c r="BG155" i="180"/>
  <c r="W155" i="180"/>
  <c r="BY155" i="180"/>
  <c r="FB196" i="180"/>
  <c r="AL196" i="180"/>
  <c r="CN196" i="180"/>
  <c r="CT196" i="180"/>
  <c r="AX196" i="180"/>
  <c r="CB196" i="180"/>
  <c r="BJ196" i="180"/>
  <c r="AF196" i="180"/>
  <c r="DX196" i="180"/>
  <c r="BV196" i="180"/>
  <c r="GF196" i="180"/>
  <c r="AR196" i="180"/>
  <c r="BD196" i="180"/>
  <c r="CH196" i="180"/>
  <c r="Z196" i="180"/>
  <c r="BP196" i="180"/>
  <c r="BS92" i="180"/>
  <c r="CK92" i="180"/>
  <c r="DU92" i="180"/>
  <c r="AC92" i="180"/>
  <c r="GC92" i="180"/>
  <c r="CQ92" i="180"/>
  <c r="BY92" i="180"/>
  <c r="AO92" i="180"/>
  <c r="W92" i="180"/>
  <c r="BG92" i="180"/>
  <c r="BA92" i="180"/>
  <c r="EY92" i="180"/>
  <c r="AI92" i="180"/>
  <c r="CE92" i="180"/>
  <c r="BM92" i="180"/>
  <c r="AU92" i="180"/>
  <c r="BC55" i="180"/>
  <c r="CS55" i="180"/>
  <c r="Y55" i="180"/>
  <c r="FA55" i="180"/>
  <c r="AK55" i="180"/>
  <c r="BU55" i="180"/>
  <c r="GE55" i="180"/>
  <c r="AQ55" i="180"/>
  <c r="CG55" i="180"/>
  <c r="CM55" i="180"/>
  <c r="BI55" i="180"/>
  <c r="AE55" i="180"/>
  <c r="CA55" i="180"/>
  <c r="AW55" i="180"/>
  <c r="DW55" i="180"/>
  <c r="BO55" i="180"/>
  <c r="AU139" i="180"/>
  <c r="CK139" i="180"/>
  <c r="BG139" i="180"/>
  <c r="DU139" i="180"/>
  <c r="AC139" i="180"/>
  <c r="BS139" i="180"/>
  <c r="BM139" i="180"/>
  <c r="EY139" i="180"/>
  <c r="AI139" i="180"/>
  <c r="BY139" i="180"/>
  <c r="CQ139" i="180"/>
  <c r="GC139" i="180"/>
  <c r="CE139" i="180"/>
  <c r="BA139" i="180"/>
  <c r="W139" i="180"/>
  <c r="AO139" i="180"/>
  <c r="CB135" i="180"/>
  <c r="AX135" i="180"/>
  <c r="CN135" i="180"/>
  <c r="BJ135" i="180"/>
  <c r="DX135" i="180"/>
  <c r="AF135" i="180"/>
  <c r="CT135" i="180"/>
  <c r="Z135" i="180"/>
  <c r="BP135" i="180"/>
  <c r="FB135" i="180"/>
  <c r="AL135" i="180"/>
  <c r="GF135" i="180"/>
  <c r="CH135" i="180"/>
  <c r="BD135" i="180"/>
  <c r="BV135" i="180"/>
  <c r="AR135" i="180"/>
  <c r="CE172" i="180"/>
  <c r="BY172" i="180"/>
  <c r="EY172" i="180"/>
  <c r="AC172" i="180"/>
  <c r="CK172" i="180"/>
  <c r="AI172" i="180"/>
  <c r="GC172" i="180"/>
  <c r="BM172" i="180"/>
  <c r="CQ172" i="180"/>
  <c r="BG172" i="180"/>
  <c r="W172" i="180"/>
  <c r="BA172" i="180"/>
  <c r="DU172" i="180"/>
  <c r="AU172" i="180"/>
  <c r="AO172" i="180"/>
  <c r="BS172" i="180"/>
  <c r="GD200" i="180"/>
  <c r="AP200" i="180"/>
  <c r="DV200" i="180"/>
  <c r="BB200" i="180"/>
  <c r="CF200" i="180"/>
  <c r="EZ200" i="180"/>
  <c r="AV200" i="180"/>
  <c r="BN200" i="180"/>
  <c r="X200" i="180"/>
  <c r="BZ200" i="180"/>
  <c r="AD200" i="180"/>
  <c r="BT200" i="180"/>
  <c r="AJ200" i="180"/>
  <c r="CL200" i="180"/>
  <c r="BH200" i="180"/>
  <c r="CR200" i="180"/>
  <c r="BS111" i="180"/>
  <c r="CE111" i="180"/>
  <c r="BY111" i="180"/>
  <c r="AU111" i="180"/>
  <c r="DU111" i="180"/>
  <c r="BG111" i="180"/>
  <c r="AO111" i="180"/>
  <c r="CQ111" i="180"/>
  <c r="BA111" i="180"/>
  <c r="GC111" i="180"/>
  <c r="AI111" i="180"/>
  <c r="CK111" i="180"/>
  <c r="AC111" i="180"/>
  <c r="EY111" i="180"/>
  <c r="BM111" i="180"/>
  <c r="W111" i="180"/>
  <c r="CQ197" i="180"/>
  <c r="W197" i="180"/>
  <c r="DU197" i="180"/>
  <c r="BG197" i="180"/>
  <c r="BY197" i="180"/>
  <c r="AI197" i="180"/>
  <c r="CE197" i="180"/>
  <c r="BM197" i="180"/>
  <c r="AU197" i="180"/>
  <c r="EY197" i="180"/>
  <c r="AO197" i="180"/>
  <c r="BS197" i="180"/>
  <c r="GC197" i="180"/>
  <c r="BA197" i="180"/>
  <c r="AC197" i="180"/>
  <c r="CK197" i="180"/>
  <c r="BH84" i="180"/>
  <c r="DV84" i="180"/>
  <c r="AD84" i="180"/>
  <c r="BT84" i="180"/>
  <c r="GD84" i="180"/>
  <c r="AP84" i="180"/>
  <c r="CF84" i="180"/>
  <c r="BB84" i="180"/>
  <c r="CR84" i="180"/>
  <c r="X84" i="180"/>
  <c r="BN84" i="180"/>
  <c r="EZ84" i="180"/>
  <c r="AJ84" i="180"/>
  <c r="BZ84" i="180"/>
  <c r="AV84" i="180"/>
  <c r="CL84" i="180"/>
  <c r="CK149" i="180"/>
  <c r="AO149" i="180"/>
  <c r="BA149" i="180"/>
  <c r="AU149" i="180"/>
  <c r="BY149" i="180"/>
  <c r="AC149" i="180"/>
  <c r="EY149" i="180"/>
  <c r="BG149" i="180"/>
  <c r="W149" i="180"/>
  <c r="CE149" i="180"/>
  <c r="GC149" i="180"/>
  <c r="BM149" i="180"/>
  <c r="CQ149" i="180"/>
  <c r="DU149" i="180"/>
  <c r="BS149" i="180"/>
  <c r="AI149" i="180"/>
  <c r="CT212" i="180"/>
  <c r="Z212" i="180"/>
  <c r="FB212" i="180"/>
  <c r="AL212" i="180"/>
  <c r="AX212" i="180"/>
  <c r="CN212" i="180"/>
  <c r="BJ212" i="180"/>
  <c r="GF212" i="180"/>
  <c r="BV212" i="180"/>
  <c r="CB212" i="180"/>
  <c r="BD212" i="180"/>
  <c r="AF212" i="180"/>
  <c r="BP212" i="180"/>
  <c r="CH212" i="180"/>
  <c r="AR212" i="180"/>
  <c r="DX212" i="180"/>
  <c r="AX80" i="180"/>
  <c r="CN80" i="180"/>
  <c r="BJ80" i="180"/>
  <c r="DX80" i="180"/>
  <c r="AF80" i="180"/>
  <c r="BV80" i="180"/>
  <c r="GF80" i="180"/>
  <c r="AR80" i="180"/>
  <c r="CH80" i="180"/>
  <c r="BD80" i="180"/>
  <c r="CT80" i="180"/>
  <c r="Z80" i="180"/>
  <c r="BP80" i="180"/>
  <c r="FB80" i="180"/>
  <c r="AL80" i="180"/>
  <c r="CB80" i="180"/>
  <c r="BI121" i="180"/>
  <c r="DW121" i="180"/>
  <c r="AE121" i="180"/>
  <c r="AK121" i="180"/>
  <c r="CG121" i="180"/>
  <c r="BO121" i="180"/>
  <c r="AW121" i="180"/>
  <c r="GE121" i="180"/>
  <c r="CS121" i="180"/>
  <c r="CA121" i="180"/>
  <c r="AQ121" i="180"/>
  <c r="Y121" i="180"/>
  <c r="FA121" i="180"/>
  <c r="CM121" i="180"/>
  <c r="BU121" i="180"/>
  <c r="BC121" i="180"/>
  <c r="BY163" i="180"/>
  <c r="BA163" i="180"/>
  <c r="BM163" i="180"/>
  <c r="DU163" i="180"/>
  <c r="CE163" i="180"/>
  <c r="W163" i="180"/>
  <c r="BG163" i="180"/>
  <c r="AO163" i="180"/>
  <c r="CK163" i="180"/>
  <c r="BS163" i="180"/>
  <c r="EY163" i="180"/>
  <c r="AU163" i="180"/>
  <c r="AC163" i="180"/>
  <c r="GC163" i="180"/>
  <c r="AI163" i="180"/>
  <c r="CQ163" i="180"/>
  <c r="CA205" i="180"/>
  <c r="CM205" i="180"/>
  <c r="CS205" i="180"/>
  <c r="Y205" i="180"/>
  <c r="BI205" i="180"/>
  <c r="AQ205" i="180"/>
  <c r="FA205" i="180"/>
  <c r="GE205" i="180"/>
  <c r="CG205" i="180"/>
  <c r="AW205" i="180"/>
  <c r="AK205" i="180"/>
  <c r="BC205" i="180"/>
  <c r="BU205" i="180"/>
  <c r="DW205" i="180"/>
  <c r="AE205" i="180"/>
  <c r="BO205" i="180"/>
  <c r="CH74" i="180"/>
  <c r="DX74" i="180"/>
  <c r="AF74" i="180"/>
  <c r="BV74" i="180"/>
  <c r="GF74" i="180"/>
  <c r="AR74" i="180"/>
  <c r="AX74" i="180"/>
  <c r="Z74" i="180"/>
  <c r="CN74" i="180"/>
  <c r="BP74" i="180"/>
  <c r="FB74" i="180"/>
  <c r="BJ74" i="180"/>
  <c r="AL74" i="180"/>
  <c r="CB74" i="180"/>
  <c r="BD74" i="180"/>
  <c r="CT74" i="180"/>
  <c r="BN115" i="180"/>
  <c r="BZ115" i="180"/>
  <c r="AV115" i="180"/>
  <c r="CL115" i="180"/>
  <c r="BH115" i="180"/>
  <c r="DV115" i="180"/>
  <c r="AD115" i="180"/>
  <c r="BT115" i="180"/>
  <c r="GD115" i="180"/>
  <c r="AP115" i="180"/>
  <c r="CF115" i="180"/>
  <c r="EZ115" i="180"/>
  <c r="AJ115" i="180"/>
  <c r="CR115" i="180"/>
  <c r="X115" i="180"/>
  <c r="BB115" i="180"/>
  <c r="CQ156" i="180"/>
  <c r="W156" i="180"/>
  <c r="CE156" i="180"/>
  <c r="AI156" i="180"/>
  <c r="DU156" i="180"/>
  <c r="BM156" i="180"/>
  <c r="AU156" i="180"/>
  <c r="GC156" i="180"/>
  <c r="CK156" i="180"/>
  <c r="BS156" i="180"/>
  <c r="BA156" i="180"/>
  <c r="AC156" i="180"/>
  <c r="BG156" i="180"/>
  <c r="EY156" i="180"/>
  <c r="AO156" i="180"/>
  <c r="BY156" i="180"/>
  <c r="CB197" i="180"/>
  <c r="GF197" i="180"/>
  <c r="AL197" i="180"/>
  <c r="BV197" i="180"/>
  <c r="CN197" i="180"/>
  <c r="Z197" i="180"/>
  <c r="BJ197" i="180"/>
  <c r="AR197" i="180"/>
  <c r="CT197" i="180"/>
  <c r="AF197" i="180"/>
  <c r="DX197" i="180"/>
  <c r="CH197" i="180"/>
  <c r="BP197" i="180"/>
  <c r="BD197" i="180"/>
  <c r="AX197" i="180"/>
  <c r="FB197" i="180"/>
  <c r="CH65" i="180"/>
  <c r="BD65" i="180"/>
  <c r="CT65" i="180"/>
  <c r="Z65" i="180"/>
  <c r="BP65" i="180"/>
  <c r="FB65" i="180"/>
  <c r="AL65" i="180"/>
  <c r="CB65" i="180"/>
  <c r="AX65" i="180"/>
  <c r="CN65" i="180"/>
  <c r="BJ65" i="180"/>
  <c r="DX65" i="180"/>
  <c r="AF65" i="180"/>
  <c r="BV65" i="180"/>
  <c r="GF65" i="180"/>
  <c r="AR65" i="180"/>
  <c r="CG104" i="180"/>
  <c r="BC104" i="180"/>
  <c r="CS104" i="180"/>
  <c r="Y104" i="180"/>
  <c r="BO104" i="180"/>
  <c r="FA104" i="180"/>
  <c r="AK104" i="180"/>
  <c r="CA104" i="180"/>
  <c r="AW104" i="180"/>
  <c r="CM104" i="180"/>
  <c r="BI104" i="180"/>
  <c r="DW104" i="180"/>
  <c r="AE104" i="180"/>
  <c r="BU104" i="180"/>
  <c r="GE104" i="180"/>
  <c r="AQ104" i="180"/>
  <c r="GC147" i="180"/>
  <c r="AO147" i="180"/>
  <c r="DU147" i="180"/>
  <c r="AC147" i="180"/>
  <c r="BS147" i="180"/>
  <c r="CK147" i="180"/>
  <c r="BM147" i="180"/>
  <c r="AU147" i="180"/>
  <c r="EY147" i="180"/>
  <c r="CE147" i="180"/>
  <c r="W147" i="180"/>
  <c r="CQ147" i="180"/>
  <c r="AI147" i="180"/>
  <c r="BY147" i="180"/>
  <c r="BG147" i="180"/>
  <c r="BA147" i="180"/>
  <c r="BG189" i="180"/>
  <c r="DU189" i="180"/>
  <c r="AC189" i="180"/>
  <c r="EY189" i="180"/>
  <c r="AI189" i="180"/>
  <c r="BY189" i="180"/>
  <c r="CQ189" i="180"/>
  <c r="BS189" i="180"/>
  <c r="GC189" i="180"/>
  <c r="AU189" i="180"/>
  <c r="CK189" i="180"/>
  <c r="BA189" i="180"/>
  <c r="CE189" i="180"/>
  <c r="BM189" i="180"/>
  <c r="W189" i="180"/>
  <c r="AO189" i="180"/>
  <c r="BA57" i="180"/>
  <c r="CQ57" i="180"/>
  <c r="W57" i="180"/>
  <c r="BM57" i="180"/>
  <c r="EY57" i="180"/>
  <c r="AI57" i="180"/>
  <c r="BY57" i="180"/>
  <c r="AU57" i="180"/>
  <c r="CK57" i="180"/>
  <c r="BS57" i="180"/>
  <c r="GC57" i="180"/>
  <c r="AO57" i="180"/>
  <c r="CE57" i="180"/>
  <c r="BG57" i="180"/>
  <c r="DU57" i="180"/>
  <c r="AC57" i="180"/>
  <c r="FB95" i="180"/>
  <c r="AL95" i="180"/>
  <c r="BD95" i="180"/>
  <c r="CT95" i="180"/>
  <c r="Z95" i="180"/>
  <c r="BP95" i="180"/>
  <c r="AR95" i="180"/>
  <c r="CH95" i="180"/>
  <c r="BJ95" i="180"/>
  <c r="DX95" i="180"/>
  <c r="CB95" i="180"/>
  <c r="AF95" i="180"/>
  <c r="BV95" i="180"/>
  <c r="AX95" i="180"/>
  <c r="GF95" i="180"/>
  <c r="CN95" i="180"/>
  <c r="EY137" i="180"/>
  <c r="AI137" i="180"/>
  <c r="BY137" i="180"/>
  <c r="AU137" i="180"/>
  <c r="CK137" i="180"/>
  <c r="BG137" i="180"/>
  <c r="BA137" i="180"/>
  <c r="CQ137" i="180"/>
  <c r="W137" i="180"/>
  <c r="BM137" i="180"/>
  <c r="CE137" i="180"/>
  <c r="AC137" i="180"/>
  <c r="BS137" i="180"/>
  <c r="GC137" i="180"/>
  <c r="DU137" i="180"/>
  <c r="AO137" i="180"/>
  <c r="FB176" i="180"/>
  <c r="AL176" i="180"/>
  <c r="CB176" i="180"/>
  <c r="CN176" i="180"/>
  <c r="CH176" i="180"/>
  <c r="AX176" i="180"/>
  <c r="BP176" i="180"/>
  <c r="GF176" i="180"/>
  <c r="BV176" i="180"/>
  <c r="CT176" i="180"/>
  <c r="Z176" i="180"/>
  <c r="AF176" i="180"/>
  <c r="BD176" i="180"/>
  <c r="BJ176" i="180"/>
  <c r="DX176" i="180"/>
  <c r="AR176" i="180"/>
  <c r="BZ48" i="180"/>
  <c r="BN48" i="180"/>
  <c r="CR48" i="180"/>
  <c r="AV48" i="180"/>
  <c r="AD48" i="180"/>
  <c r="EZ48" i="180"/>
  <c r="BH48" i="180"/>
  <c r="CL48" i="180"/>
  <c r="AP48" i="180"/>
  <c r="BT48" i="180"/>
  <c r="DV48" i="180"/>
  <c r="X48" i="180"/>
  <c r="BB48" i="180"/>
  <c r="CF48" i="180"/>
  <c r="GD48" i="180"/>
  <c r="AJ48" i="180"/>
  <c r="BU85" i="180"/>
  <c r="GE85" i="180"/>
  <c r="AQ85" i="180"/>
  <c r="CG85" i="180"/>
  <c r="BC85" i="180"/>
  <c r="CS85" i="180"/>
  <c r="Y85" i="180"/>
  <c r="BO85" i="180"/>
  <c r="FA85" i="180"/>
  <c r="AK85" i="180"/>
  <c r="CA85" i="180"/>
  <c r="AW85" i="180"/>
  <c r="CM85" i="180"/>
  <c r="BI85" i="180"/>
  <c r="DW85" i="180"/>
  <c r="AE85" i="180"/>
  <c r="EY126" i="180"/>
  <c r="AI126" i="180"/>
  <c r="BA126" i="180"/>
  <c r="AO126" i="180"/>
  <c r="W126" i="180"/>
  <c r="CK126" i="180"/>
  <c r="BS126" i="180"/>
  <c r="DU126" i="180"/>
  <c r="CE126" i="180"/>
  <c r="BM126" i="180"/>
  <c r="AU126" i="180"/>
  <c r="AC126" i="180"/>
  <c r="CQ126" i="180"/>
  <c r="BY126" i="180"/>
  <c r="GC126" i="180"/>
  <c r="BG126" i="180"/>
  <c r="GE167" i="180"/>
  <c r="AQ167" i="180"/>
  <c r="CG167" i="180"/>
  <c r="CS167" i="180"/>
  <c r="Y167" i="180"/>
  <c r="CM167" i="180"/>
  <c r="BI167" i="180"/>
  <c r="DW167" i="180"/>
  <c r="AE167" i="180"/>
  <c r="FA167" i="180"/>
  <c r="CA167" i="180"/>
  <c r="AW167" i="180"/>
  <c r="BU167" i="180"/>
  <c r="BC167" i="180"/>
  <c r="BO167" i="180"/>
  <c r="AK167" i="180"/>
  <c r="GE210" i="180"/>
  <c r="AQ210" i="180"/>
  <c r="BO210" i="180"/>
  <c r="CS210" i="180"/>
  <c r="CA210" i="180"/>
  <c r="BI210" i="180"/>
  <c r="DW210" i="180"/>
  <c r="CG210" i="180"/>
  <c r="AW210" i="180"/>
  <c r="FA210" i="180"/>
  <c r="AE210" i="180"/>
  <c r="BC210" i="180"/>
  <c r="Y210" i="180"/>
  <c r="AK210" i="180"/>
  <c r="BU210" i="180"/>
  <c r="CM210" i="180"/>
  <c r="BD75" i="180"/>
  <c r="BV75" i="180"/>
  <c r="GF75" i="180"/>
  <c r="AR75" i="180"/>
  <c r="CH75" i="180"/>
  <c r="AF75" i="180"/>
  <c r="AX75" i="180"/>
  <c r="Z75" i="180"/>
  <c r="CN75" i="180"/>
  <c r="BP75" i="180"/>
  <c r="FB75" i="180"/>
  <c r="BJ75" i="180"/>
  <c r="AL75" i="180"/>
  <c r="DX75" i="180"/>
  <c r="CB75" i="180"/>
  <c r="CT75" i="180"/>
  <c r="CA116" i="180"/>
  <c r="CM116" i="180"/>
  <c r="BI116" i="180"/>
  <c r="DW116" i="180"/>
  <c r="AE116" i="180"/>
  <c r="BU116" i="180"/>
  <c r="GE116" i="180"/>
  <c r="AQ116" i="180"/>
  <c r="CG116" i="180"/>
  <c r="BC116" i="180"/>
  <c r="CS116" i="180"/>
  <c r="Y116" i="180"/>
  <c r="BO116" i="180"/>
  <c r="FA116" i="180"/>
  <c r="AW116" i="180"/>
  <c r="AK116" i="180"/>
  <c r="EZ157" i="180"/>
  <c r="AJ157" i="180"/>
  <c r="CR157" i="180"/>
  <c r="X157" i="180"/>
  <c r="BN157" i="180"/>
  <c r="AV157" i="180"/>
  <c r="GD157" i="180"/>
  <c r="AD157" i="180"/>
  <c r="BZ157" i="180"/>
  <c r="DV157" i="180"/>
  <c r="BB157" i="180"/>
  <c r="CF157" i="180"/>
  <c r="BH157" i="180"/>
  <c r="CL157" i="180"/>
  <c r="BT157" i="180"/>
  <c r="AP157" i="180"/>
  <c r="AX198" i="180"/>
  <c r="CN198" i="180"/>
  <c r="CT198" i="180"/>
  <c r="BV198" i="180"/>
  <c r="BD198" i="180"/>
  <c r="AL198" i="180"/>
  <c r="FB198" i="180"/>
  <c r="CH198" i="180"/>
  <c r="BP198" i="180"/>
  <c r="AF198" i="180"/>
  <c r="BJ198" i="180"/>
  <c r="GF198" i="180"/>
  <c r="Z198" i="180"/>
  <c r="CB198" i="180"/>
  <c r="DX198" i="180"/>
  <c r="AR198" i="180"/>
  <c r="BD66" i="180"/>
  <c r="CT66" i="180"/>
  <c r="Z66" i="180"/>
  <c r="BP66" i="180"/>
  <c r="FB66" i="180"/>
  <c r="AL66" i="180"/>
  <c r="CB66" i="180"/>
  <c r="AX66" i="180"/>
  <c r="CN66" i="180"/>
  <c r="BJ66" i="180"/>
  <c r="DX66" i="180"/>
  <c r="AF66" i="180"/>
  <c r="BV66" i="180"/>
  <c r="GF66" i="180"/>
  <c r="AR66" i="180"/>
  <c r="CH66" i="180"/>
  <c r="CT105" i="180"/>
  <c r="Z105" i="180"/>
  <c r="BP105" i="180"/>
  <c r="FB105" i="180"/>
  <c r="AL105" i="180"/>
  <c r="CB105" i="180"/>
  <c r="AX105" i="180"/>
  <c r="CN105" i="180"/>
  <c r="BJ105" i="180"/>
  <c r="DX105" i="180"/>
  <c r="AF105" i="180"/>
  <c r="BV105" i="180"/>
  <c r="GF105" i="180"/>
  <c r="AR105" i="180"/>
  <c r="CH105" i="180"/>
  <c r="BD105" i="180"/>
  <c r="CE148" i="180"/>
  <c r="AC148" i="180"/>
  <c r="DU148" i="180"/>
  <c r="BS148" i="180"/>
  <c r="AO148" i="180"/>
  <c r="CQ148" i="180"/>
  <c r="AU148" i="180"/>
  <c r="W148" i="180"/>
  <c r="BM148" i="180"/>
  <c r="EY148" i="180"/>
  <c r="BG148" i="180"/>
  <c r="AI148" i="180"/>
  <c r="BY148" i="180"/>
  <c r="BA148" i="180"/>
  <c r="CK148" i="180"/>
  <c r="GC148" i="180"/>
  <c r="CE190" i="180"/>
  <c r="AC190" i="180"/>
  <c r="BS190" i="180"/>
  <c r="BY190" i="180"/>
  <c r="EY190" i="180"/>
  <c r="AU190" i="180"/>
  <c r="GC190" i="180"/>
  <c r="CK190" i="180"/>
  <c r="W190" i="180"/>
  <c r="DU190" i="180"/>
  <c r="AI190" i="180"/>
  <c r="BA190" i="180"/>
  <c r="CQ190" i="180"/>
  <c r="BG190" i="180"/>
  <c r="AO190" i="180"/>
  <c r="BM190" i="180"/>
  <c r="CQ58" i="180"/>
  <c r="W58" i="180"/>
  <c r="BM58" i="180"/>
  <c r="EY58" i="180"/>
  <c r="AI58" i="180"/>
  <c r="BY58" i="180"/>
  <c r="AU58" i="180"/>
  <c r="CK58" i="180"/>
  <c r="BG58" i="180"/>
  <c r="DU58" i="180"/>
  <c r="AC58" i="180"/>
  <c r="BS58" i="180"/>
  <c r="GC58" i="180"/>
  <c r="AO58" i="180"/>
  <c r="CE58" i="180"/>
  <c r="BA58" i="180"/>
  <c r="CB96" i="180"/>
  <c r="CT96" i="180"/>
  <c r="Z96" i="180"/>
  <c r="BP96" i="180"/>
  <c r="FB96" i="180"/>
  <c r="AL96" i="180"/>
  <c r="CN96" i="180"/>
  <c r="GF96" i="180"/>
  <c r="AR96" i="180"/>
  <c r="CH96" i="180"/>
  <c r="BJ96" i="180"/>
  <c r="DX96" i="180"/>
  <c r="BD96" i="180"/>
  <c r="AF96" i="180"/>
  <c r="BV96" i="180"/>
  <c r="AX96" i="180"/>
  <c r="BY138" i="180"/>
  <c r="AU138" i="180"/>
  <c r="CK138" i="180"/>
  <c r="BG138" i="180"/>
  <c r="DU138" i="180"/>
  <c r="AC138" i="180"/>
  <c r="CQ138" i="180"/>
  <c r="W138" i="180"/>
  <c r="BM138" i="180"/>
  <c r="EY138" i="180"/>
  <c r="AI138" i="180"/>
  <c r="BA138" i="180"/>
  <c r="AO138" i="180"/>
  <c r="CE138" i="180"/>
  <c r="BS138" i="180"/>
  <c r="GC138" i="180"/>
  <c r="CB177" i="180"/>
  <c r="AX177" i="180"/>
  <c r="Z177" i="180"/>
  <c r="DX177" i="180"/>
  <c r="CH177" i="180"/>
  <c r="BV177" i="180"/>
  <c r="CT177" i="180"/>
  <c r="CN177" i="180"/>
  <c r="BP177" i="180"/>
  <c r="FB177" i="180"/>
  <c r="BD177" i="180"/>
  <c r="AR177" i="180"/>
  <c r="GF177" i="180"/>
  <c r="BJ177" i="180"/>
  <c r="AL177" i="180"/>
  <c r="AF177" i="180"/>
  <c r="AV49" i="180"/>
  <c r="AP49" i="180"/>
  <c r="BT49" i="180"/>
  <c r="DV49" i="180"/>
  <c r="X49" i="180"/>
  <c r="BB49" i="180"/>
  <c r="CF49" i="180"/>
  <c r="GD49" i="180"/>
  <c r="AJ49" i="180"/>
  <c r="BN49" i="180"/>
  <c r="CR49" i="180"/>
  <c r="BZ49" i="180"/>
  <c r="AD49" i="180"/>
  <c r="EZ49" i="180"/>
  <c r="BH49" i="180"/>
  <c r="CL49" i="180"/>
  <c r="GE86" i="180"/>
  <c r="AQ86" i="180"/>
  <c r="CG86" i="180"/>
  <c r="BC86" i="180"/>
  <c r="CS86" i="180"/>
  <c r="Y86" i="180"/>
  <c r="BO86" i="180"/>
  <c r="FA86" i="180"/>
  <c r="AK86" i="180"/>
  <c r="CA86" i="180"/>
  <c r="AW86" i="180"/>
  <c r="CM86" i="180"/>
  <c r="BI86" i="180"/>
  <c r="DW86" i="180"/>
  <c r="AE86" i="180"/>
  <c r="BU86" i="180"/>
  <c r="BY127" i="180"/>
  <c r="CQ127" i="180"/>
  <c r="W127" i="180"/>
  <c r="EY127" i="180"/>
  <c r="AO127" i="180"/>
  <c r="CK127" i="180"/>
  <c r="BS127" i="180"/>
  <c r="BA127" i="180"/>
  <c r="DU127" i="180"/>
  <c r="AI127" i="180"/>
  <c r="CE127" i="180"/>
  <c r="BM127" i="180"/>
  <c r="AU127" i="180"/>
  <c r="GC127" i="180"/>
  <c r="AC127" i="180"/>
  <c r="BG127" i="180"/>
  <c r="CG168" i="180"/>
  <c r="BC168" i="180"/>
  <c r="BO168" i="180"/>
  <c r="BI168" i="180"/>
  <c r="DW168" i="180"/>
  <c r="AE168" i="180"/>
  <c r="BU168" i="180"/>
  <c r="CM168" i="180"/>
  <c r="GE168" i="180"/>
  <c r="Y168" i="180"/>
  <c r="FA168" i="180"/>
  <c r="CS168" i="180"/>
  <c r="AK168" i="180"/>
  <c r="AW168" i="180"/>
  <c r="AQ168" i="180"/>
  <c r="CA168" i="180"/>
  <c r="BD211" i="180"/>
  <c r="BP211" i="180"/>
  <c r="CB211" i="180"/>
  <c r="CN211" i="180"/>
  <c r="AF211" i="180"/>
  <c r="FB211" i="180"/>
  <c r="AX211" i="180"/>
  <c r="CT211" i="180"/>
  <c r="GF211" i="180"/>
  <c r="AL211" i="180"/>
  <c r="DX211" i="180"/>
  <c r="BV211" i="180"/>
  <c r="AR211" i="180"/>
  <c r="CH211" i="180"/>
  <c r="BJ211" i="180"/>
  <c r="Z211" i="180"/>
  <c r="CT76" i="180"/>
  <c r="Z76" i="180"/>
  <c r="GF76" i="180"/>
  <c r="AR76" i="180"/>
  <c r="CH76" i="180"/>
  <c r="BD76" i="180"/>
  <c r="BJ76" i="180"/>
  <c r="AL76" i="180"/>
  <c r="FB76" i="180"/>
  <c r="CB76" i="180"/>
  <c r="DX76" i="180"/>
  <c r="AF76" i="180"/>
  <c r="AX76" i="180"/>
  <c r="BV76" i="180"/>
  <c r="BP76" i="180"/>
  <c r="CN76" i="180"/>
  <c r="FA117" i="180"/>
  <c r="AW117" i="180"/>
  <c r="BI117" i="180"/>
  <c r="DW117" i="180"/>
  <c r="AE117" i="180"/>
  <c r="BU117" i="180"/>
  <c r="AQ117" i="180"/>
  <c r="GE117" i="180"/>
  <c r="CG117" i="180"/>
  <c r="BC117" i="180"/>
  <c r="CS117" i="180"/>
  <c r="Y117" i="180"/>
  <c r="BO117" i="180"/>
  <c r="CA117" i="180"/>
  <c r="AK117" i="180"/>
  <c r="CM117" i="180"/>
  <c r="BP158" i="180"/>
  <c r="GF158" i="180"/>
  <c r="BD158" i="180"/>
  <c r="AX158" i="180"/>
  <c r="FB158" i="180"/>
  <c r="CN158" i="180"/>
  <c r="BV158" i="180"/>
  <c r="Z158" i="180"/>
  <c r="AR158" i="180"/>
  <c r="AF158" i="180"/>
  <c r="CT158" i="180"/>
  <c r="DX158" i="180"/>
  <c r="CH158" i="180"/>
  <c r="CB158" i="180"/>
  <c r="AL158" i="180"/>
  <c r="BJ158" i="180"/>
  <c r="CH199" i="180"/>
  <c r="AL199" i="180"/>
  <c r="BP199" i="180"/>
  <c r="Z199" i="180"/>
  <c r="BJ199" i="180"/>
  <c r="DX199" i="180"/>
  <c r="CB199" i="180"/>
  <c r="CN199" i="180"/>
  <c r="CT199" i="180"/>
  <c r="BV199" i="180"/>
  <c r="FB199" i="180"/>
  <c r="AF199" i="180"/>
  <c r="GF199" i="180"/>
  <c r="BD199" i="180"/>
  <c r="AX199" i="180"/>
  <c r="AR199" i="180"/>
  <c r="CE68" i="180"/>
  <c r="BS68" i="180"/>
  <c r="DU68" i="180"/>
  <c r="BA68" i="180"/>
  <c r="W68" i="180"/>
  <c r="GC68" i="180"/>
  <c r="BM68" i="180"/>
  <c r="AI68" i="180"/>
  <c r="CQ68" i="180"/>
  <c r="AU68" i="180"/>
  <c r="BY68" i="180"/>
  <c r="EY68" i="180"/>
  <c r="BG68" i="180"/>
  <c r="AC68" i="180"/>
  <c r="CK68" i="180"/>
  <c r="AO68" i="180"/>
  <c r="BP113" i="180"/>
  <c r="CB113" i="180"/>
  <c r="AX113" i="180"/>
  <c r="CN113" i="180"/>
  <c r="DX113" i="180"/>
  <c r="BV113" i="180"/>
  <c r="GF113" i="180"/>
  <c r="AR113" i="180"/>
  <c r="BJ113" i="180"/>
  <c r="CH113" i="180"/>
  <c r="AL113" i="180"/>
  <c r="FB113" i="180"/>
  <c r="BD113" i="180"/>
  <c r="AF113" i="180"/>
  <c r="Z113" i="180"/>
  <c r="CT113" i="180"/>
  <c r="BP175" i="180"/>
  <c r="FB175" i="180"/>
  <c r="CN175" i="180"/>
  <c r="CH175" i="180"/>
  <c r="BV175" i="180"/>
  <c r="BD175" i="180"/>
  <c r="AL175" i="180"/>
  <c r="GF175" i="180"/>
  <c r="CB175" i="180"/>
  <c r="BJ175" i="180"/>
  <c r="CT175" i="180"/>
  <c r="AR175" i="180"/>
  <c r="Z175" i="180"/>
  <c r="AF175" i="180"/>
  <c r="DX175" i="180"/>
  <c r="AX175" i="180"/>
  <c r="CE56" i="180"/>
  <c r="BA56" i="180"/>
  <c r="CQ56" i="180"/>
  <c r="W56" i="180"/>
  <c r="BM56" i="180"/>
  <c r="EY56" i="180"/>
  <c r="BY56" i="180"/>
  <c r="DU56" i="180"/>
  <c r="AC56" i="180"/>
  <c r="BS56" i="180"/>
  <c r="GC56" i="180"/>
  <c r="AO56" i="180"/>
  <c r="BG56" i="180"/>
  <c r="AU56" i="180"/>
  <c r="CK56" i="180"/>
  <c r="AI56" i="180"/>
  <c r="GF52" i="180"/>
  <c r="AR52" i="180"/>
  <c r="DX52" i="180"/>
  <c r="AF52" i="180"/>
  <c r="BV52" i="180"/>
  <c r="CH52" i="180"/>
  <c r="BP52" i="180"/>
  <c r="AX52" i="180"/>
  <c r="Z52" i="180"/>
  <c r="CT52" i="180"/>
  <c r="CB52" i="180"/>
  <c r="BJ52" i="180"/>
  <c r="BD52" i="180"/>
  <c r="AL52" i="180"/>
  <c r="FB52" i="180"/>
  <c r="CN52" i="180"/>
  <c r="BM80" i="180"/>
  <c r="EY80" i="180"/>
  <c r="AI80" i="180"/>
  <c r="BY80" i="180"/>
  <c r="AU80" i="180"/>
  <c r="CK80" i="180"/>
  <c r="BG80" i="180"/>
  <c r="DU80" i="180"/>
  <c r="AC80" i="180"/>
  <c r="BS80" i="180"/>
  <c r="GC80" i="180"/>
  <c r="AO80" i="180"/>
  <c r="CE80" i="180"/>
  <c r="BA80" i="180"/>
  <c r="CQ80" i="180"/>
  <c r="W80" i="180"/>
  <c r="CH131" i="180"/>
  <c r="DX131" i="180"/>
  <c r="AF131" i="180"/>
  <c r="BV131" i="180"/>
  <c r="GF131" i="180"/>
  <c r="AR131" i="180"/>
  <c r="FB131" i="180"/>
  <c r="CN131" i="180"/>
  <c r="BP131" i="180"/>
  <c r="AX131" i="180"/>
  <c r="Z131" i="180"/>
  <c r="CB131" i="180"/>
  <c r="BJ131" i="180"/>
  <c r="AL131" i="180"/>
  <c r="BD131" i="180"/>
  <c r="CT131" i="180"/>
  <c r="CB46" i="180"/>
  <c r="CT46" i="180"/>
  <c r="AX46" i="180"/>
  <c r="AF46" i="180"/>
  <c r="FB46" i="180"/>
  <c r="BJ46" i="180"/>
  <c r="CN46" i="180"/>
  <c r="AR46" i="180"/>
  <c r="BV46" i="180"/>
  <c r="DX46" i="180"/>
  <c r="Z46" i="180"/>
  <c r="BD46" i="180"/>
  <c r="CH46" i="180"/>
  <c r="GF46" i="180"/>
  <c r="AL46" i="180"/>
  <c r="BP46" i="180"/>
  <c r="CH103" i="180"/>
  <c r="BD103" i="180"/>
  <c r="CT103" i="180"/>
  <c r="Z103" i="180"/>
  <c r="BP103" i="180"/>
  <c r="FB103" i="180"/>
  <c r="AL103" i="180"/>
  <c r="CB103" i="180"/>
  <c r="AX103" i="180"/>
  <c r="CN103" i="180"/>
  <c r="BJ103" i="180"/>
  <c r="DX103" i="180"/>
  <c r="AF103" i="180"/>
  <c r="BV103" i="180"/>
  <c r="GF103" i="180"/>
  <c r="AR103" i="180"/>
  <c r="GC169" i="180"/>
  <c r="AO169" i="180"/>
  <c r="CE169" i="180"/>
  <c r="CQ169" i="180"/>
  <c r="W169" i="180"/>
  <c r="CK169" i="180"/>
  <c r="BG169" i="180"/>
  <c r="DU169" i="180"/>
  <c r="AC169" i="180"/>
  <c r="AU169" i="180"/>
  <c r="BS169" i="180"/>
  <c r="BM169" i="180"/>
  <c r="AI169" i="180"/>
  <c r="EY169" i="180"/>
  <c r="BY169" i="180"/>
  <c r="BA169" i="180"/>
  <c r="EZ47" i="180"/>
  <c r="AJ47" i="180"/>
  <c r="CL47" i="180"/>
  <c r="AP47" i="180"/>
  <c r="BT47" i="180"/>
  <c r="DV47" i="180"/>
  <c r="X47" i="180"/>
  <c r="BB47" i="180"/>
  <c r="CF47" i="180"/>
  <c r="GD47" i="180"/>
  <c r="BN47" i="180"/>
  <c r="CR47" i="180"/>
  <c r="AV47" i="180"/>
  <c r="BZ47" i="180"/>
  <c r="AD47" i="180"/>
  <c r="BH47" i="180"/>
  <c r="DW84" i="180"/>
  <c r="AE84" i="180"/>
  <c r="BU84" i="180"/>
  <c r="GE84" i="180"/>
  <c r="AQ84" i="180"/>
  <c r="CG84" i="180"/>
  <c r="BC84" i="180"/>
  <c r="CS84" i="180"/>
  <c r="Y84" i="180"/>
  <c r="BO84" i="180"/>
  <c r="FA84" i="180"/>
  <c r="AK84" i="180"/>
  <c r="CA84" i="180"/>
  <c r="AW84" i="180"/>
  <c r="CM84" i="180"/>
  <c r="BI84" i="180"/>
  <c r="CB124" i="180"/>
  <c r="BD124" i="180"/>
  <c r="Z124" i="180"/>
  <c r="AL124" i="180"/>
  <c r="BP124" i="180"/>
  <c r="CT124" i="180"/>
  <c r="AX124" i="180"/>
  <c r="FB124" i="180"/>
  <c r="BJ124" i="180"/>
  <c r="AF124" i="180"/>
  <c r="CN124" i="180"/>
  <c r="AR124" i="180"/>
  <c r="BV124" i="180"/>
  <c r="DX124" i="180"/>
  <c r="CH124" i="180"/>
  <c r="GF124" i="180"/>
  <c r="BU166" i="180"/>
  <c r="GE166" i="180"/>
  <c r="BC166" i="180"/>
  <c r="AW166" i="180"/>
  <c r="CM166" i="180"/>
  <c r="BI166" i="180"/>
  <c r="CA166" i="180"/>
  <c r="CS166" i="180"/>
  <c r="Y166" i="180"/>
  <c r="AK166" i="180"/>
  <c r="DW166" i="180"/>
  <c r="AE166" i="180"/>
  <c r="BO166" i="180"/>
  <c r="FA166" i="180"/>
  <c r="CG166" i="180"/>
  <c r="AQ166" i="180"/>
  <c r="CK209" i="180"/>
  <c r="DU209" i="180"/>
  <c r="AC209" i="180"/>
  <c r="EY209" i="180"/>
  <c r="AI209" i="180"/>
  <c r="BY209" i="180"/>
  <c r="BA209" i="180"/>
  <c r="AU209" i="180"/>
  <c r="W209" i="180"/>
  <c r="BS209" i="180"/>
  <c r="BM209" i="180"/>
  <c r="GC209" i="180"/>
  <c r="AO209" i="180"/>
  <c r="CE209" i="180"/>
  <c r="CQ209" i="180"/>
  <c r="BG209" i="180"/>
  <c r="BP77" i="180"/>
  <c r="FB77" i="180"/>
  <c r="AL77" i="180"/>
  <c r="CN77" i="180"/>
  <c r="BJ77" i="180"/>
  <c r="CH77" i="180"/>
  <c r="BD77" i="180"/>
  <c r="CT77" i="180"/>
  <c r="Z77" i="180"/>
  <c r="BV77" i="180"/>
  <c r="DX77" i="180"/>
  <c r="AF77" i="180"/>
  <c r="AX77" i="180"/>
  <c r="CB77" i="180"/>
  <c r="GF77" i="180"/>
  <c r="AR77" i="180"/>
  <c r="CA118" i="180"/>
  <c r="AW118" i="180"/>
  <c r="BC118" i="180"/>
  <c r="DW118" i="180"/>
  <c r="CG118" i="180"/>
  <c r="BO118" i="180"/>
  <c r="AE118" i="180"/>
  <c r="GE118" i="180"/>
  <c r="CS118" i="180"/>
  <c r="BI118" i="180"/>
  <c r="AQ118" i="180"/>
  <c r="Y118" i="180"/>
  <c r="AK118" i="180"/>
  <c r="CM118" i="180"/>
  <c r="BU118" i="180"/>
  <c r="FA118" i="180"/>
  <c r="CQ160" i="180"/>
  <c r="W160" i="180"/>
  <c r="BS160" i="180"/>
  <c r="CE160" i="180"/>
  <c r="EY160" i="180"/>
  <c r="CK160" i="180"/>
  <c r="BM160" i="180"/>
  <c r="AU160" i="180"/>
  <c r="AC160" i="180"/>
  <c r="GC160" i="180"/>
  <c r="AI160" i="180"/>
  <c r="BA160" i="180"/>
  <c r="DU160" i="180"/>
  <c r="BG160" i="180"/>
  <c r="AO160" i="180"/>
  <c r="BY160" i="180"/>
  <c r="BD200" i="180"/>
  <c r="CH200" i="180"/>
  <c r="AL200" i="180"/>
  <c r="DX200" i="180"/>
  <c r="BP200" i="180"/>
  <c r="AX200" i="180"/>
  <c r="BV200" i="180"/>
  <c r="GF200" i="180"/>
  <c r="Z200" i="180"/>
  <c r="CN200" i="180"/>
  <c r="AF200" i="180"/>
  <c r="CT200" i="180"/>
  <c r="BJ200" i="180"/>
  <c r="CB200" i="180"/>
  <c r="FB200" i="180"/>
  <c r="AR200" i="180"/>
  <c r="BP68" i="180"/>
  <c r="CH68" i="180"/>
  <c r="GF68" i="180"/>
  <c r="AL68" i="180"/>
  <c r="CT68" i="180"/>
  <c r="AX68" i="180"/>
  <c r="CB68" i="180"/>
  <c r="FB68" i="180"/>
  <c r="BJ68" i="180"/>
  <c r="AF68" i="180"/>
  <c r="CN68" i="180"/>
  <c r="AR68" i="180"/>
  <c r="BV68" i="180"/>
  <c r="DX68" i="180"/>
  <c r="BD68" i="180"/>
  <c r="Z68" i="180"/>
  <c r="CQ108" i="180"/>
  <c r="W108" i="180"/>
  <c r="BM108" i="180"/>
  <c r="EY108" i="180"/>
  <c r="AI108" i="180"/>
  <c r="BY108" i="180"/>
  <c r="AU108" i="180"/>
  <c r="CK108" i="180"/>
  <c r="BG108" i="180"/>
  <c r="DU108" i="180"/>
  <c r="AC108" i="180"/>
  <c r="BS108" i="180"/>
  <c r="GC108" i="180"/>
  <c r="AO108" i="180"/>
  <c r="CE108" i="180"/>
  <c r="BA108" i="180"/>
  <c r="BG150" i="180"/>
  <c r="GC150" i="180"/>
  <c r="AI150" i="180"/>
  <c r="BM150" i="180"/>
  <c r="CQ150" i="180"/>
  <c r="AU150" i="180"/>
  <c r="BY150" i="180"/>
  <c r="AC150" i="180"/>
  <c r="DU150" i="180"/>
  <c r="W150" i="180"/>
  <c r="BA150" i="180"/>
  <c r="CE150" i="180"/>
  <c r="CK150" i="180"/>
  <c r="AO150" i="180"/>
  <c r="EY150" i="180"/>
  <c r="BS150" i="180"/>
  <c r="BY192" i="180"/>
  <c r="CK192" i="180"/>
  <c r="BA192" i="180"/>
  <c r="CQ192" i="180"/>
  <c r="W192" i="180"/>
  <c r="GC192" i="180"/>
  <c r="AU192" i="180"/>
  <c r="CE192" i="180"/>
  <c r="AC192" i="180"/>
  <c r="DU192" i="180"/>
  <c r="BG192" i="180"/>
  <c r="EY192" i="180"/>
  <c r="AO192" i="180"/>
  <c r="BS192" i="180"/>
  <c r="BM192" i="180"/>
  <c r="AI192" i="180"/>
  <c r="EY60" i="180"/>
  <c r="AI60" i="180"/>
  <c r="BY60" i="180"/>
  <c r="AU60" i="180"/>
  <c r="CK60" i="180"/>
  <c r="BG60" i="180"/>
  <c r="DU60" i="180"/>
  <c r="AC60" i="180"/>
  <c r="BS60" i="180"/>
  <c r="GC60" i="180"/>
  <c r="AO60" i="180"/>
  <c r="CE60" i="180"/>
  <c r="BA60" i="180"/>
  <c r="CQ60" i="180"/>
  <c r="W60" i="180"/>
  <c r="BM60" i="180"/>
  <c r="CN98" i="180"/>
  <c r="BJ98" i="180"/>
  <c r="DX98" i="180"/>
  <c r="AF98" i="180"/>
  <c r="BV98" i="180"/>
  <c r="GF98" i="180"/>
  <c r="CH98" i="180"/>
  <c r="FB98" i="180"/>
  <c r="AL98" i="180"/>
  <c r="CB98" i="180"/>
  <c r="AX98" i="180"/>
  <c r="AR98" i="180"/>
  <c r="Z98" i="180"/>
  <c r="BP98" i="180"/>
  <c r="BD98" i="180"/>
  <c r="CT98" i="180"/>
  <c r="EZ140" i="180"/>
  <c r="BH140" i="180"/>
  <c r="DV140" i="180"/>
  <c r="AD140" i="180"/>
  <c r="BT140" i="180"/>
  <c r="AP140" i="180"/>
  <c r="GD140" i="180"/>
  <c r="CF140" i="180"/>
  <c r="BZ140" i="180"/>
  <c r="AV140" i="180"/>
  <c r="CL140" i="180"/>
  <c r="BB140" i="180"/>
  <c r="X140" i="180"/>
  <c r="CR140" i="180"/>
  <c r="BN140" i="180"/>
  <c r="AJ140" i="180"/>
  <c r="CN179" i="180"/>
  <c r="BJ179" i="180"/>
  <c r="Z179" i="180"/>
  <c r="DX179" i="180"/>
  <c r="CH179" i="180"/>
  <c r="AX179" i="180"/>
  <c r="CT179" i="180"/>
  <c r="AR179" i="180"/>
  <c r="GF179" i="180"/>
  <c r="BD179" i="180"/>
  <c r="CB179" i="180"/>
  <c r="AL179" i="180"/>
  <c r="AF179" i="180"/>
  <c r="FB179" i="180"/>
  <c r="BV179" i="180"/>
  <c r="BP179" i="180"/>
  <c r="BH51" i="180"/>
  <c r="AV51" i="180"/>
  <c r="CL51" i="180"/>
  <c r="GD51" i="180"/>
  <c r="CR51" i="180"/>
  <c r="BZ51" i="180"/>
  <c r="BT51" i="180"/>
  <c r="BB51" i="180"/>
  <c r="AJ51" i="180"/>
  <c r="AD51" i="180"/>
  <c r="EZ51" i="180"/>
  <c r="DV51" i="180"/>
  <c r="CF51" i="180"/>
  <c r="BN51" i="180"/>
  <c r="AP51" i="180"/>
  <c r="X51" i="180"/>
  <c r="BU88" i="180"/>
  <c r="DW88" i="180"/>
  <c r="AE88" i="180"/>
  <c r="AW88" i="180"/>
  <c r="GE88" i="180"/>
  <c r="CS88" i="180"/>
  <c r="CA88" i="180"/>
  <c r="AQ88" i="180"/>
  <c r="BI88" i="180"/>
  <c r="Y88" i="180"/>
  <c r="FA88" i="180"/>
  <c r="CM88" i="180"/>
  <c r="BC88" i="180"/>
  <c r="AK88" i="180"/>
  <c r="CG88" i="180"/>
  <c r="BO88" i="180"/>
  <c r="BH129" i="180"/>
  <c r="BZ129" i="180"/>
  <c r="AV129" i="180"/>
  <c r="CL129" i="180"/>
  <c r="BN129" i="180"/>
  <c r="AP129" i="180"/>
  <c r="X129" i="180"/>
  <c r="GD129" i="180"/>
  <c r="CR129" i="180"/>
  <c r="BT129" i="180"/>
  <c r="BB129" i="180"/>
  <c r="AJ129" i="180"/>
  <c r="AD129" i="180"/>
  <c r="EZ129" i="180"/>
  <c r="DV129" i="180"/>
  <c r="CF129" i="180"/>
  <c r="CS170" i="180"/>
  <c r="Y170" i="180"/>
  <c r="BO170" i="180"/>
  <c r="CA170" i="180"/>
  <c r="BU170" i="180"/>
  <c r="GE170" i="180"/>
  <c r="AQ170" i="180"/>
  <c r="CG170" i="180"/>
  <c r="AE170" i="180"/>
  <c r="BC170" i="180"/>
  <c r="FA170" i="180"/>
  <c r="AW170" i="180"/>
  <c r="CM170" i="180"/>
  <c r="BI170" i="180"/>
  <c r="AK170" i="180"/>
  <c r="DW170" i="180"/>
  <c r="BS214" i="180"/>
  <c r="GC214" i="180"/>
  <c r="CE214" i="180"/>
  <c r="BA214" i="180"/>
  <c r="BM214" i="180"/>
  <c r="EY214" i="180"/>
  <c r="AI214" i="180"/>
  <c r="BY214" i="180"/>
  <c r="AU214" i="180"/>
  <c r="CK214" i="180"/>
  <c r="W214" i="180"/>
  <c r="DU214" i="180"/>
  <c r="AO214" i="180"/>
  <c r="AC214" i="180"/>
  <c r="CQ214" i="180"/>
  <c r="BG214" i="180"/>
  <c r="FB78" i="180"/>
  <c r="AL78" i="180"/>
  <c r="CB78" i="180"/>
  <c r="AX78" i="180"/>
  <c r="CN78" i="180"/>
  <c r="BJ78" i="180"/>
  <c r="DX78" i="180"/>
  <c r="AF78" i="180"/>
  <c r="BV78" i="180"/>
  <c r="GF78" i="180"/>
  <c r="BD78" i="180"/>
  <c r="CT78" i="180"/>
  <c r="Z78" i="180"/>
  <c r="BP78" i="180"/>
  <c r="AR78" i="180"/>
  <c r="CH78" i="180"/>
  <c r="AW119" i="180"/>
  <c r="CM119" i="180"/>
  <c r="BC119" i="180"/>
  <c r="DW119" i="180"/>
  <c r="CG119" i="180"/>
  <c r="BO119" i="180"/>
  <c r="AE119" i="180"/>
  <c r="GE119" i="180"/>
  <c r="CS119" i="180"/>
  <c r="BI119" i="180"/>
  <c r="CA119" i="180"/>
  <c r="AQ119" i="180"/>
  <c r="Y119" i="180"/>
  <c r="FA119" i="180"/>
  <c r="AK119" i="180"/>
  <c r="BU119" i="180"/>
  <c r="BM161" i="180"/>
  <c r="GC161" i="180"/>
  <c r="AO161" i="180"/>
  <c r="BA161" i="180"/>
  <c r="CE161" i="180"/>
  <c r="BY161" i="180"/>
  <c r="BG161" i="180"/>
  <c r="EY161" i="180"/>
  <c r="CK161" i="180"/>
  <c r="BS161" i="180"/>
  <c r="AU161" i="180"/>
  <c r="AC161" i="180"/>
  <c r="W161" i="180"/>
  <c r="DU161" i="180"/>
  <c r="AI161" i="180"/>
  <c r="CQ161" i="180"/>
  <c r="CT201" i="180"/>
  <c r="Z201" i="180"/>
  <c r="BJ201" i="180"/>
  <c r="DX201" i="180"/>
  <c r="CH201" i="180"/>
  <c r="BP201" i="180"/>
  <c r="BV201" i="180"/>
  <c r="AL201" i="180"/>
  <c r="AR201" i="180"/>
  <c r="CB201" i="180"/>
  <c r="AF201" i="180"/>
  <c r="CN201" i="180"/>
  <c r="AX201" i="180"/>
  <c r="GF201" i="180"/>
  <c r="BD201" i="180"/>
  <c r="FB201" i="180"/>
  <c r="CN69" i="180"/>
  <c r="FB69" i="180"/>
  <c r="AL69" i="180"/>
  <c r="GF69" i="180"/>
  <c r="CT69" i="180"/>
  <c r="CB69" i="180"/>
  <c r="BJ69" i="180"/>
  <c r="AR69" i="180"/>
  <c r="Z69" i="180"/>
  <c r="BV69" i="180"/>
  <c r="BD69" i="180"/>
  <c r="DX69" i="180"/>
  <c r="CH69" i="180"/>
  <c r="BP69" i="180"/>
  <c r="AX69" i="180"/>
  <c r="AF69" i="180"/>
  <c r="CG109" i="180"/>
  <c r="CA109" i="180"/>
  <c r="AW109" i="180"/>
  <c r="AK109" i="180"/>
  <c r="DW109" i="180"/>
  <c r="BO109" i="180"/>
  <c r="AE109" i="180"/>
  <c r="GE109" i="180"/>
  <c r="BI109" i="180"/>
  <c r="CS109" i="180"/>
  <c r="AQ109" i="180"/>
  <c r="Y109" i="180"/>
  <c r="CM109" i="180"/>
  <c r="FA109" i="180"/>
  <c r="BU109" i="180"/>
  <c r="BC109" i="180"/>
  <c r="DU151" i="180"/>
  <c r="AC151" i="180"/>
  <c r="BG151" i="180"/>
  <c r="CK151" i="180"/>
  <c r="AO151" i="180"/>
  <c r="BS151" i="180"/>
  <c r="W151" i="180"/>
  <c r="BA151" i="180"/>
  <c r="AU151" i="180"/>
  <c r="BY151" i="180"/>
  <c r="EY151" i="180"/>
  <c r="CE151" i="180"/>
  <c r="AI151" i="180"/>
  <c r="CQ151" i="180"/>
  <c r="GC151" i="180"/>
  <c r="BM151" i="180"/>
  <c r="BG193" i="180"/>
  <c r="AU193" i="180"/>
  <c r="EY193" i="180"/>
  <c r="CE193" i="180"/>
  <c r="W193" i="180"/>
  <c r="GC193" i="180"/>
  <c r="DU193" i="180"/>
  <c r="BY193" i="180"/>
  <c r="BA193" i="180"/>
  <c r="AC193" i="180"/>
  <c r="AI193" i="180"/>
  <c r="BS193" i="180"/>
  <c r="BM193" i="180"/>
  <c r="CQ193" i="180"/>
  <c r="AO193" i="180"/>
  <c r="CK193" i="180"/>
  <c r="BY61" i="180"/>
  <c r="AU61" i="180"/>
  <c r="CK61" i="180"/>
  <c r="BG61" i="180"/>
  <c r="DU61" i="180"/>
  <c r="AC61" i="180"/>
  <c r="BS61" i="180"/>
  <c r="GC61" i="180"/>
  <c r="AO61" i="180"/>
  <c r="CE61" i="180"/>
  <c r="BA61" i="180"/>
  <c r="CQ61" i="180"/>
  <c r="W61" i="180"/>
  <c r="BM61" i="180"/>
  <c r="EY61" i="180"/>
  <c r="AI61" i="180"/>
  <c r="BJ99" i="180"/>
  <c r="DX99" i="180"/>
  <c r="AF99" i="180"/>
  <c r="BV99" i="180"/>
  <c r="GF99" i="180"/>
  <c r="AR99" i="180"/>
  <c r="CH99" i="180"/>
  <c r="BD99" i="180"/>
  <c r="CB99" i="180"/>
  <c r="AX99" i="180"/>
  <c r="CN99" i="180"/>
  <c r="AL99" i="180"/>
  <c r="Z99" i="180"/>
  <c r="BP99" i="180"/>
  <c r="FB99" i="180"/>
  <c r="CT99" i="180"/>
  <c r="CN141" i="180"/>
  <c r="BV141" i="180"/>
  <c r="AR141" i="180"/>
  <c r="DX141" i="180"/>
  <c r="BD141" i="180"/>
  <c r="Z141" i="180"/>
  <c r="AX141" i="180"/>
  <c r="CB141" i="180"/>
  <c r="FB141" i="180"/>
  <c r="BJ141" i="180"/>
  <c r="AF141" i="180"/>
  <c r="AL141" i="180"/>
  <c r="BP141" i="180"/>
  <c r="CT141" i="180"/>
  <c r="CH141" i="180"/>
  <c r="GF141" i="180"/>
  <c r="AU181" i="180"/>
  <c r="CK181" i="180"/>
  <c r="BY181" i="180"/>
  <c r="BG181" i="180"/>
  <c r="DU181" i="180"/>
  <c r="BA181" i="180"/>
  <c r="AI181" i="180"/>
  <c r="BM181" i="180"/>
  <c r="AC181" i="180"/>
  <c r="BS181" i="180"/>
  <c r="EY181" i="180"/>
  <c r="CE181" i="180"/>
  <c r="CQ181" i="180"/>
  <c r="W181" i="180"/>
  <c r="AO181" i="180"/>
  <c r="GC181" i="180"/>
  <c r="DV52" i="180"/>
  <c r="AD52" i="180"/>
  <c r="CL52" i="180"/>
  <c r="BH52" i="180"/>
  <c r="EZ52" i="180"/>
  <c r="CF52" i="180"/>
  <c r="BN52" i="180"/>
  <c r="AV52" i="180"/>
  <c r="AP52" i="180"/>
  <c r="X52" i="180"/>
  <c r="GD52" i="180"/>
  <c r="CR52" i="180"/>
  <c r="BZ52" i="180"/>
  <c r="BT52" i="180"/>
  <c r="BB52" i="180"/>
  <c r="AJ52" i="180"/>
  <c r="GE89" i="180"/>
  <c r="AQ89" i="180"/>
  <c r="BU89" i="180"/>
  <c r="DW89" i="180"/>
  <c r="BO89" i="180"/>
  <c r="AW89" i="180"/>
  <c r="AE89" i="180"/>
  <c r="CS89" i="180"/>
  <c r="CA89" i="180"/>
  <c r="BI89" i="180"/>
  <c r="Y89" i="180"/>
  <c r="FA89" i="180"/>
  <c r="CM89" i="180"/>
  <c r="BC89" i="180"/>
  <c r="AK89" i="180"/>
  <c r="CG89" i="180"/>
  <c r="GF130" i="180"/>
  <c r="AR130" i="180"/>
  <c r="BJ130" i="180"/>
  <c r="DX130" i="180"/>
  <c r="AF130" i="180"/>
  <c r="BV130" i="180"/>
  <c r="AL130" i="180"/>
  <c r="BD130" i="180"/>
  <c r="FB130" i="180"/>
  <c r="CN130" i="180"/>
  <c r="CH130" i="180"/>
  <c r="BP130" i="180"/>
  <c r="AX130" i="180"/>
  <c r="Z130" i="180"/>
  <c r="CT130" i="180"/>
  <c r="CB130" i="180"/>
  <c r="BC171" i="180"/>
  <c r="CG171" i="180"/>
  <c r="GE171" i="180"/>
  <c r="BO171" i="180"/>
  <c r="AK171" i="180"/>
  <c r="AW171" i="180"/>
  <c r="AQ171" i="180"/>
  <c r="BU171" i="180"/>
  <c r="DW171" i="180"/>
  <c r="CS171" i="180"/>
  <c r="BI171" i="180"/>
  <c r="AE171" i="180"/>
  <c r="FA171" i="180"/>
  <c r="CA171" i="180"/>
  <c r="CM171" i="180"/>
  <c r="Y171" i="180"/>
  <c r="BC215" i="180"/>
  <c r="CS215" i="180"/>
  <c r="Y215" i="180"/>
  <c r="BO215" i="180"/>
  <c r="FA215" i="180"/>
  <c r="AK215" i="180"/>
  <c r="CA215" i="180"/>
  <c r="AW215" i="180"/>
  <c r="CM215" i="180"/>
  <c r="BI215" i="180"/>
  <c r="DW215" i="180"/>
  <c r="AE215" i="180"/>
  <c r="BU215" i="180"/>
  <c r="AQ215" i="180"/>
  <c r="CG215" i="180"/>
  <c r="GE215" i="180"/>
  <c r="CB79" i="180"/>
  <c r="AX79" i="180"/>
  <c r="CN79" i="180"/>
  <c r="BJ79" i="180"/>
  <c r="DX79" i="180"/>
  <c r="AF79" i="180"/>
  <c r="BV79" i="180"/>
  <c r="GF79" i="180"/>
  <c r="AR79" i="180"/>
  <c r="CH79" i="180"/>
  <c r="BD79" i="180"/>
  <c r="CT79" i="180"/>
  <c r="Z79" i="180"/>
  <c r="BP79" i="180"/>
  <c r="FB79" i="180"/>
  <c r="AL79" i="180"/>
  <c r="BJ120" i="180"/>
  <c r="DX120" i="180"/>
  <c r="AF120" i="180"/>
  <c r="BD120" i="180"/>
  <c r="CH120" i="180"/>
  <c r="BP120" i="180"/>
  <c r="GF120" i="180"/>
  <c r="CT120" i="180"/>
  <c r="AX120" i="180"/>
  <c r="CB120" i="180"/>
  <c r="AR120" i="180"/>
  <c r="FB120" i="180"/>
  <c r="Z120" i="180"/>
  <c r="CN120" i="180"/>
  <c r="BV120" i="180"/>
  <c r="AL120" i="180"/>
  <c r="EY162" i="180"/>
  <c r="AI162" i="180"/>
  <c r="CE162" i="180"/>
  <c r="CQ162" i="180"/>
  <c r="W162" i="180"/>
  <c r="CK162" i="180"/>
  <c r="BA162" i="180"/>
  <c r="BY162" i="180"/>
  <c r="BG162" i="180"/>
  <c r="GC162" i="180"/>
  <c r="AO162" i="180"/>
  <c r="BS162" i="180"/>
  <c r="DU162" i="180"/>
  <c r="AU162" i="180"/>
  <c r="BM162" i="180"/>
  <c r="AC162" i="180"/>
  <c r="CB204" i="180"/>
  <c r="CN204" i="180"/>
  <c r="CT204" i="180"/>
  <c r="Z204" i="180"/>
  <c r="BP204" i="180"/>
  <c r="DX204" i="180"/>
  <c r="CH204" i="180"/>
  <c r="BV204" i="180"/>
  <c r="AX204" i="180"/>
  <c r="AR204" i="180"/>
  <c r="BD204" i="180"/>
  <c r="AF204" i="180"/>
  <c r="AL204" i="180"/>
  <c r="FB204" i="180"/>
  <c r="GF204" i="180"/>
  <c r="BJ204" i="180"/>
  <c r="BP172" i="180"/>
  <c r="CN172" i="180"/>
  <c r="AR172" i="180"/>
  <c r="DX172" i="180"/>
  <c r="Z172" i="180"/>
  <c r="CT172" i="180"/>
  <c r="AX172" i="180"/>
  <c r="CB172" i="180"/>
  <c r="FB172" i="180"/>
  <c r="AF172" i="180"/>
  <c r="BD172" i="180"/>
  <c r="CH172" i="180"/>
  <c r="GF172" i="180"/>
  <c r="BJ172" i="180"/>
  <c r="AL172" i="180"/>
  <c r="BV172" i="180"/>
  <c r="DU103" i="180"/>
  <c r="AC103" i="180"/>
  <c r="BS103" i="180"/>
  <c r="GC103" i="180"/>
  <c r="AO103" i="180"/>
  <c r="CE103" i="180"/>
  <c r="BA103" i="180"/>
  <c r="CQ103" i="180"/>
  <c r="W103" i="180"/>
  <c r="BM103" i="180"/>
  <c r="EY103" i="180"/>
  <c r="AI103" i="180"/>
  <c r="BY103" i="180"/>
  <c r="AU103" i="180"/>
  <c r="CK103" i="180"/>
  <c r="BG103" i="180"/>
  <c r="CA178" i="180"/>
  <c r="AW178" i="180"/>
  <c r="AQ178" i="180"/>
  <c r="AK178" i="180"/>
  <c r="DW178" i="180"/>
  <c r="BO178" i="180"/>
  <c r="AE178" i="180"/>
  <c r="BU178" i="180"/>
  <c r="FA178" i="180"/>
  <c r="BC178" i="180"/>
  <c r="CS178" i="180"/>
  <c r="CM178" i="180"/>
  <c r="GE178" i="180"/>
  <c r="BI178" i="180"/>
  <c r="CG178" i="180"/>
  <c r="Y178" i="180"/>
  <c r="BJ138" i="180"/>
  <c r="DX138" i="180"/>
  <c r="AF138" i="180"/>
  <c r="BV138" i="180"/>
  <c r="GF138" i="180"/>
  <c r="AR138" i="180"/>
  <c r="CH138" i="180"/>
  <c r="CB138" i="180"/>
  <c r="AX138" i="180"/>
  <c r="CN138" i="180"/>
  <c r="FB138" i="180"/>
  <c r="CT138" i="180"/>
  <c r="AL138" i="180"/>
  <c r="Z138" i="180"/>
  <c r="BP138" i="180"/>
  <c r="BD138" i="180"/>
  <c r="CA97" i="180"/>
  <c r="BI97" i="180"/>
  <c r="BU97" i="180"/>
  <c r="CS97" i="180"/>
  <c r="Y97" i="180"/>
  <c r="BO97" i="180"/>
  <c r="FA97" i="180"/>
  <c r="AK97" i="180"/>
  <c r="AQ97" i="180"/>
  <c r="DW97" i="180"/>
  <c r="AE97" i="180"/>
  <c r="CM97" i="180"/>
  <c r="BC97" i="180"/>
  <c r="CG97" i="180"/>
  <c r="AW97" i="180"/>
  <c r="GE97" i="180"/>
  <c r="AU121" i="180"/>
  <c r="CK121" i="180"/>
  <c r="EY121" i="180"/>
  <c r="BS121" i="180"/>
  <c r="AI121" i="180"/>
  <c r="DU121" i="180"/>
  <c r="CE121" i="180"/>
  <c r="BM121" i="180"/>
  <c r="AC121" i="180"/>
  <c r="GC121" i="180"/>
  <c r="CQ121" i="180"/>
  <c r="BG121" i="180"/>
  <c r="BY121" i="180"/>
  <c r="AO121" i="180"/>
  <c r="BA121" i="180"/>
  <c r="W121" i="180"/>
  <c r="GD152" i="180"/>
  <c r="AP152" i="180"/>
  <c r="BN152" i="180"/>
  <c r="CR152" i="180"/>
  <c r="AV152" i="180"/>
  <c r="BZ152" i="180"/>
  <c r="EZ152" i="180"/>
  <c r="AD152" i="180"/>
  <c r="DV152" i="180"/>
  <c r="BB152" i="180"/>
  <c r="CF152" i="180"/>
  <c r="AJ152" i="180"/>
  <c r="BT152" i="180"/>
  <c r="X152" i="180"/>
  <c r="BH152" i="180"/>
  <c r="CL152" i="180"/>
  <c r="GF64" i="180"/>
  <c r="AR64" i="180"/>
  <c r="CH64" i="180"/>
  <c r="BD64" i="180"/>
  <c r="CT64" i="180"/>
  <c r="Z64" i="180"/>
  <c r="BP64" i="180"/>
  <c r="FB64" i="180"/>
  <c r="AL64" i="180"/>
  <c r="CB64" i="180"/>
  <c r="AX64" i="180"/>
  <c r="CN64" i="180"/>
  <c r="BJ64" i="180"/>
  <c r="DX64" i="180"/>
  <c r="AF64" i="180"/>
  <c r="BV64" i="180"/>
  <c r="BN124" i="180"/>
  <c r="BT124" i="180"/>
  <c r="BB124" i="180"/>
  <c r="X124" i="180"/>
  <c r="GD124" i="180"/>
  <c r="CF124" i="180"/>
  <c r="AJ124" i="180"/>
  <c r="CR124" i="180"/>
  <c r="AV124" i="180"/>
  <c r="BZ124" i="180"/>
  <c r="EZ124" i="180"/>
  <c r="BH124" i="180"/>
  <c r="AD124" i="180"/>
  <c r="AP124" i="180"/>
  <c r="DV124" i="180"/>
  <c r="CL124" i="180"/>
  <c r="EY191" i="180"/>
  <c r="AI191" i="180"/>
  <c r="CE191" i="180"/>
  <c r="BA191" i="180"/>
  <c r="CK191" i="180"/>
  <c r="BS191" i="180"/>
  <c r="CQ191" i="180"/>
  <c r="BG191" i="180"/>
  <c r="AC191" i="180"/>
  <c r="DU191" i="180"/>
  <c r="BM191" i="180"/>
  <c r="AO191" i="180"/>
  <c r="AU191" i="180"/>
  <c r="BY191" i="180"/>
  <c r="GC191" i="180"/>
  <c r="W191" i="180"/>
  <c r="CL50" i="180"/>
  <c r="BZ50" i="180"/>
  <c r="DV50" i="180"/>
  <c r="CF50" i="180"/>
  <c r="BN50" i="180"/>
  <c r="AV50" i="180"/>
  <c r="AD50" i="180"/>
  <c r="BH50" i="180"/>
  <c r="GD50" i="180"/>
  <c r="CR50" i="180"/>
  <c r="AP50" i="180"/>
  <c r="BT50" i="180"/>
  <c r="X50" i="180"/>
  <c r="BB50" i="180"/>
  <c r="EZ50" i="180"/>
  <c r="AJ50" i="180"/>
  <c r="DW87" i="180"/>
  <c r="CG87" i="180"/>
  <c r="GE87" i="180"/>
  <c r="BC87" i="180"/>
  <c r="Y87" i="180"/>
  <c r="CS87" i="180"/>
  <c r="BO87" i="180"/>
  <c r="AK87" i="180"/>
  <c r="CA87" i="180"/>
  <c r="FA87" i="180"/>
  <c r="AW87" i="180"/>
  <c r="CM87" i="180"/>
  <c r="BI87" i="180"/>
  <c r="AE87" i="180"/>
  <c r="BU87" i="180"/>
  <c r="AQ87" i="180"/>
  <c r="CL128" i="180"/>
  <c r="EZ128" i="180"/>
  <c r="AJ128" i="180"/>
  <c r="BZ128" i="180"/>
  <c r="AV128" i="180"/>
  <c r="BN128" i="180"/>
  <c r="AP128" i="180"/>
  <c r="CF128" i="180"/>
  <c r="BH128" i="180"/>
  <c r="DV128" i="180"/>
  <c r="BB128" i="180"/>
  <c r="AD128" i="180"/>
  <c r="CR128" i="180"/>
  <c r="BT128" i="180"/>
  <c r="GD128" i="180"/>
  <c r="X128" i="180"/>
  <c r="BC169" i="180"/>
  <c r="CS169" i="180"/>
  <c r="Y169" i="180"/>
  <c r="FA169" i="180"/>
  <c r="AK169" i="180"/>
  <c r="DW169" i="180"/>
  <c r="AE169" i="180"/>
  <c r="BU169" i="180"/>
  <c r="GE169" i="180"/>
  <c r="AQ169" i="180"/>
  <c r="BO169" i="180"/>
  <c r="CA169" i="180"/>
  <c r="AW169" i="180"/>
  <c r="CM169" i="180"/>
  <c r="CG169" i="180"/>
  <c r="BI169" i="180"/>
  <c r="CE213" i="180"/>
  <c r="CQ213" i="180"/>
  <c r="W213" i="180"/>
  <c r="BM213" i="180"/>
  <c r="EY213" i="180"/>
  <c r="AI213" i="180"/>
  <c r="BY213" i="180"/>
  <c r="AU213" i="180"/>
  <c r="BS213" i="180"/>
  <c r="AO213" i="180"/>
  <c r="CK213" i="180"/>
  <c r="AC213" i="180"/>
  <c r="BG213" i="180"/>
  <c r="DU213" i="180"/>
  <c r="GC213" i="180"/>
  <c r="BA213" i="180"/>
  <c r="EY81" i="180"/>
  <c r="AI81" i="180"/>
  <c r="BY81" i="180"/>
  <c r="AU81" i="180"/>
  <c r="CK81" i="180"/>
  <c r="BG81" i="180"/>
  <c r="DU81" i="180"/>
  <c r="AC81" i="180"/>
  <c r="BS81" i="180"/>
  <c r="GC81" i="180"/>
  <c r="AO81" i="180"/>
  <c r="CE81" i="180"/>
  <c r="BA81" i="180"/>
  <c r="CQ81" i="180"/>
  <c r="W81" i="180"/>
  <c r="BM81" i="180"/>
  <c r="DX121" i="180"/>
  <c r="AF121" i="180"/>
  <c r="BV121" i="180"/>
  <c r="BP121" i="180"/>
  <c r="AX121" i="180"/>
  <c r="GF121" i="180"/>
  <c r="CT121" i="180"/>
  <c r="CB121" i="180"/>
  <c r="AR121" i="180"/>
  <c r="BJ121" i="180"/>
  <c r="Z121" i="180"/>
  <c r="FB121" i="180"/>
  <c r="AL121" i="180"/>
  <c r="CN121" i="180"/>
  <c r="CH121" i="180"/>
  <c r="BD121" i="180"/>
  <c r="AV163" i="180"/>
  <c r="CR163" i="180"/>
  <c r="X163" i="180"/>
  <c r="EZ163" i="180"/>
  <c r="AJ163" i="180"/>
  <c r="BN163" i="180"/>
  <c r="DV163" i="180"/>
  <c r="CF163" i="180"/>
  <c r="BH163" i="180"/>
  <c r="AP163" i="180"/>
  <c r="BZ163" i="180"/>
  <c r="AD163" i="180"/>
  <c r="GD163" i="180"/>
  <c r="BB163" i="180"/>
  <c r="BT163" i="180"/>
  <c r="CL163" i="180"/>
  <c r="AX205" i="180"/>
  <c r="BJ205" i="180"/>
  <c r="BP205" i="180"/>
  <c r="CB205" i="180"/>
  <c r="FB205" i="180"/>
  <c r="CH205" i="180"/>
  <c r="AL205" i="180"/>
  <c r="DX205" i="180"/>
  <c r="CN205" i="180"/>
  <c r="Z205" i="180"/>
  <c r="CT205" i="180"/>
  <c r="BD205" i="180"/>
  <c r="BV205" i="180"/>
  <c r="AF205" i="180"/>
  <c r="GF205" i="180"/>
  <c r="AR205" i="180"/>
  <c r="CK72" i="180"/>
  <c r="EY72" i="180"/>
  <c r="AI72" i="180"/>
  <c r="BY72" i="180"/>
  <c r="AU72" i="180"/>
  <c r="W72" i="180"/>
  <c r="BM72" i="180"/>
  <c r="AO72" i="180"/>
  <c r="CE72" i="180"/>
  <c r="BG72" i="180"/>
  <c r="DU72" i="180"/>
  <c r="BA72" i="180"/>
  <c r="AC72" i="180"/>
  <c r="CQ72" i="180"/>
  <c r="BS72" i="180"/>
  <c r="GC72" i="180"/>
  <c r="GC112" i="180"/>
  <c r="AO112" i="180"/>
  <c r="BA112" i="180"/>
  <c r="BM112" i="180"/>
  <c r="AU112" i="180"/>
  <c r="CK112" i="180"/>
  <c r="DU112" i="180"/>
  <c r="CE112" i="180"/>
  <c r="BG112" i="180"/>
  <c r="AI112" i="180"/>
  <c r="BY112" i="180"/>
  <c r="CQ112" i="180"/>
  <c r="AC112" i="180"/>
  <c r="BS112" i="180"/>
  <c r="W112" i="180"/>
  <c r="EY112" i="180"/>
  <c r="GC153" i="180"/>
  <c r="AO153" i="180"/>
  <c r="BG153" i="180"/>
  <c r="CK153" i="180"/>
  <c r="BS153" i="180"/>
  <c r="W153" i="180"/>
  <c r="DU153" i="180"/>
  <c r="BA153" i="180"/>
  <c r="AU153" i="180"/>
  <c r="BY153" i="180"/>
  <c r="EY153" i="180"/>
  <c r="AC153" i="180"/>
  <c r="BM153" i="180"/>
  <c r="CQ153" i="180"/>
  <c r="CE153" i="180"/>
  <c r="AI153" i="180"/>
  <c r="DU195" i="180"/>
  <c r="BS195" i="180"/>
  <c r="AU195" i="180"/>
  <c r="W195" i="180"/>
  <c r="CK195" i="180"/>
  <c r="AC195" i="180"/>
  <c r="CQ195" i="180"/>
  <c r="EY195" i="180"/>
  <c r="BY195" i="180"/>
  <c r="BG195" i="180"/>
  <c r="BA195" i="180"/>
  <c r="CE195" i="180"/>
  <c r="AI195" i="180"/>
  <c r="GC195" i="180"/>
  <c r="BM195" i="180"/>
  <c r="AO195" i="180"/>
  <c r="CK63" i="180"/>
  <c r="BG63" i="180"/>
  <c r="DU63" i="180"/>
  <c r="AC63" i="180"/>
  <c r="BS63" i="180"/>
  <c r="GC63" i="180"/>
  <c r="AO63" i="180"/>
  <c r="CE63" i="180"/>
  <c r="BA63" i="180"/>
  <c r="CQ63" i="180"/>
  <c r="W63" i="180"/>
  <c r="BM63" i="180"/>
  <c r="EY63" i="180"/>
  <c r="AI63" i="180"/>
  <c r="BY63" i="180"/>
  <c r="AU63" i="180"/>
  <c r="BV101" i="180"/>
  <c r="GF101" i="180"/>
  <c r="AR101" i="180"/>
  <c r="CH101" i="180"/>
  <c r="BD101" i="180"/>
  <c r="CT101" i="180"/>
  <c r="Z101" i="180"/>
  <c r="BP101" i="180"/>
  <c r="FB101" i="180"/>
  <c r="AL101" i="180"/>
  <c r="CB101" i="180"/>
  <c r="AX101" i="180"/>
  <c r="CN101" i="180"/>
  <c r="BJ101" i="180"/>
  <c r="DX101" i="180"/>
  <c r="AF101" i="180"/>
  <c r="BG144" i="180"/>
  <c r="AU144" i="180"/>
  <c r="EY144" i="180"/>
  <c r="CK144" i="180"/>
  <c r="W144" i="180"/>
  <c r="BS144" i="180"/>
  <c r="DU144" i="180"/>
  <c r="BA144" i="180"/>
  <c r="CE144" i="180"/>
  <c r="AI144" i="180"/>
  <c r="BY144" i="180"/>
  <c r="AO144" i="180"/>
  <c r="GC144" i="180"/>
  <c r="BM144" i="180"/>
  <c r="AC144" i="180"/>
  <c r="CQ144" i="180"/>
  <c r="AV186" i="180"/>
  <c r="CL186" i="180"/>
  <c r="CR186" i="180"/>
  <c r="X186" i="180"/>
  <c r="BN186" i="180"/>
  <c r="GD186" i="180"/>
  <c r="CF186" i="180"/>
  <c r="BH186" i="180"/>
  <c r="DV186" i="180"/>
  <c r="AJ186" i="180"/>
  <c r="BZ186" i="180"/>
  <c r="AP186" i="180"/>
  <c r="BT186" i="180"/>
  <c r="EZ186" i="180"/>
  <c r="AD186" i="180"/>
  <c r="BB186" i="180"/>
  <c r="GD54" i="180"/>
  <c r="AP54" i="180"/>
  <c r="BH54" i="180"/>
  <c r="DV54" i="180"/>
  <c r="AD54" i="180"/>
  <c r="BT54" i="180"/>
  <c r="AJ54" i="180"/>
  <c r="BZ54" i="180"/>
  <c r="BB54" i="180"/>
  <c r="CR54" i="180"/>
  <c r="AV54" i="180"/>
  <c r="X54" i="180"/>
  <c r="CL54" i="180"/>
  <c r="BN54" i="180"/>
  <c r="CF54" i="180"/>
  <c r="EZ54" i="180"/>
  <c r="GC93" i="180"/>
  <c r="AO93" i="180"/>
  <c r="BG93" i="180"/>
  <c r="DU93" i="180"/>
  <c r="BS93" i="180"/>
  <c r="CQ93" i="180"/>
  <c r="AC93" i="180"/>
  <c r="AU93" i="180"/>
  <c r="CK93" i="180"/>
  <c r="BM93" i="180"/>
  <c r="W93" i="180"/>
  <c r="EY93" i="180"/>
  <c r="CE93" i="180"/>
  <c r="AI93" i="180"/>
  <c r="BY93" i="180"/>
  <c r="BA93" i="180"/>
  <c r="BB133" i="180"/>
  <c r="CR133" i="180"/>
  <c r="BN133" i="180"/>
  <c r="EZ133" i="180"/>
  <c r="BT133" i="180"/>
  <c r="GD133" i="180"/>
  <c r="AP133" i="180"/>
  <c r="CF133" i="180"/>
  <c r="AJ133" i="180"/>
  <c r="BZ133" i="180"/>
  <c r="DV133" i="180"/>
  <c r="AV133" i="180"/>
  <c r="AD133" i="180"/>
  <c r="X133" i="180"/>
  <c r="CL133" i="180"/>
  <c r="BH133" i="180"/>
  <c r="BO173" i="180"/>
  <c r="CG173" i="180"/>
  <c r="AK173" i="180"/>
  <c r="GE173" i="180"/>
  <c r="CS173" i="180"/>
  <c r="AW173" i="180"/>
  <c r="AQ173" i="180"/>
  <c r="BU173" i="180"/>
  <c r="DW173" i="180"/>
  <c r="Y173" i="180"/>
  <c r="CA173" i="180"/>
  <c r="FA173" i="180"/>
  <c r="CM173" i="180"/>
  <c r="BC173" i="180"/>
  <c r="AE173" i="180"/>
  <c r="BI173" i="180"/>
  <c r="BO45" i="180"/>
  <c r="AQ45" i="180"/>
  <c r="BU45" i="180"/>
  <c r="DW45" i="180"/>
  <c r="Y45" i="180"/>
  <c r="BC45" i="180"/>
  <c r="CG45" i="180"/>
  <c r="AK45" i="180"/>
  <c r="GE45" i="180"/>
  <c r="CS45" i="180"/>
  <c r="AW45" i="180"/>
  <c r="CA45" i="180"/>
  <c r="FA45" i="180"/>
  <c r="AE45" i="180"/>
  <c r="BI45" i="180"/>
  <c r="CM45" i="180"/>
  <c r="CM82" i="180"/>
  <c r="BI82" i="180"/>
  <c r="DW82" i="180"/>
  <c r="AE82" i="180"/>
  <c r="BU82" i="180"/>
  <c r="GE82" i="180"/>
  <c r="AQ82" i="180"/>
  <c r="CG82" i="180"/>
  <c r="BC82" i="180"/>
  <c r="CS82" i="180"/>
  <c r="Y82" i="180"/>
  <c r="BO82" i="180"/>
  <c r="FA82" i="180"/>
  <c r="AK82" i="180"/>
  <c r="CA82" i="180"/>
  <c r="AW82" i="180"/>
  <c r="CT122" i="180"/>
  <c r="CB122" i="180"/>
  <c r="BV122" i="180"/>
  <c r="GF122" i="180"/>
  <c r="AR122" i="180"/>
  <c r="FB122" i="180"/>
  <c r="AX122" i="180"/>
  <c r="CH122" i="180"/>
  <c r="BP122" i="180"/>
  <c r="AF122" i="180"/>
  <c r="DX122" i="180"/>
  <c r="Z122" i="180"/>
  <c r="BJ122" i="180"/>
  <c r="BD122" i="180"/>
  <c r="AL122" i="180"/>
  <c r="CN122" i="180"/>
  <c r="BI164" i="180"/>
  <c r="FA164" i="180"/>
  <c r="AK164" i="180"/>
  <c r="AW164" i="180"/>
  <c r="CM164" i="180"/>
  <c r="BU164" i="180"/>
  <c r="BC164" i="180"/>
  <c r="DW164" i="180"/>
  <c r="AE164" i="180"/>
  <c r="GE164" i="180"/>
  <c r="CS164" i="180"/>
  <c r="CA164" i="180"/>
  <c r="AQ164" i="180"/>
  <c r="Y164" i="180"/>
  <c r="CG164" i="180"/>
  <c r="BO164" i="180"/>
  <c r="CN206" i="180"/>
  <c r="DX206" i="180"/>
  <c r="AF206" i="180"/>
  <c r="FB206" i="180"/>
  <c r="AL206" i="180"/>
  <c r="CT206" i="180"/>
  <c r="BV206" i="180"/>
  <c r="AX206" i="180"/>
  <c r="Z206" i="180"/>
  <c r="BP206" i="180"/>
  <c r="AR206" i="180"/>
  <c r="CB206" i="180"/>
  <c r="BD206" i="180"/>
  <c r="CH206" i="180"/>
  <c r="GF206" i="180"/>
  <c r="BJ206" i="180"/>
  <c r="BG73" i="180"/>
  <c r="BY73" i="180"/>
  <c r="AU73" i="180"/>
  <c r="CK73" i="180"/>
  <c r="W73" i="180"/>
  <c r="BM73" i="180"/>
  <c r="AO73" i="180"/>
  <c r="EY73" i="180"/>
  <c r="CE73" i="180"/>
  <c r="DU73" i="180"/>
  <c r="AI73" i="180"/>
  <c r="BA73" i="180"/>
  <c r="AC73" i="180"/>
  <c r="CQ73" i="180"/>
  <c r="BS73" i="180"/>
  <c r="GC73" i="180"/>
  <c r="CS113" i="180"/>
  <c r="Y113" i="180"/>
  <c r="FA113" i="180"/>
  <c r="AK113" i="180"/>
  <c r="CA113" i="180"/>
  <c r="AW113" i="180"/>
  <c r="DW113" i="180"/>
  <c r="AE113" i="180"/>
  <c r="BU113" i="180"/>
  <c r="BO113" i="180"/>
  <c r="AQ113" i="180"/>
  <c r="CM113" i="180"/>
  <c r="GE113" i="180"/>
  <c r="BI113" i="180"/>
  <c r="CG113" i="180"/>
  <c r="BC113" i="180"/>
  <c r="CE154" i="180"/>
  <c r="BS154" i="180"/>
  <c r="BA154" i="180"/>
  <c r="AI154" i="180"/>
  <c r="DU154" i="180"/>
  <c r="BM154" i="180"/>
  <c r="EY154" i="180"/>
  <c r="BG154" i="180"/>
  <c r="AO154" i="180"/>
  <c r="W154" i="180"/>
  <c r="CK154" i="180"/>
  <c r="BY154" i="180"/>
  <c r="GC154" i="180"/>
  <c r="AU154" i="180"/>
  <c r="CQ154" i="180"/>
  <c r="AC154" i="180"/>
  <c r="BA196" i="180"/>
  <c r="BY196" i="180"/>
  <c r="CE196" i="180"/>
  <c r="AI196" i="180"/>
  <c r="BM196" i="180"/>
  <c r="AU196" i="180"/>
  <c r="DU196" i="180"/>
  <c r="EY196" i="180"/>
  <c r="CK196" i="180"/>
  <c r="BS196" i="180"/>
  <c r="AO196" i="180"/>
  <c r="GC196" i="180"/>
  <c r="W196" i="180"/>
  <c r="BG196" i="180"/>
  <c r="CQ196" i="180"/>
  <c r="AC196" i="180"/>
  <c r="BG64" i="180"/>
  <c r="DU64" i="180"/>
  <c r="AC64" i="180"/>
  <c r="BS64" i="180"/>
  <c r="GC64" i="180"/>
  <c r="AO64" i="180"/>
  <c r="CE64" i="180"/>
  <c r="BA64" i="180"/>
  <c r="CQ64" i="180"/>
  <c r="W64" i="180"/>
  <c r="BM64" i="180"/>
  <c r="EY64" i="180"/>
  <c r="AI64" i="180"/>
  <c r="BY64" i="180"/>
  <c r="AU64" i="180"/>
  <c r="CK64" i="180"/>
  <c r="GF102" i="180"/>
  <c r="AR102" i="180"/>
  <c r="CH102" i="180"/>
  <c r="BD102" i="180"/>
  <c r="CT102" i="180"/>
  <c r="Z102" i="180"/>
  <c r="BP102" i="180"/>
  <c r="FB102" i="180"/>
  <c r="AL102" i="180"/>
  <c r="CB102" i="180"/>
  <c r="AX102" i="180"/>
  <c r="CN102" i="180"/>
  <c r="BJ102" i="180"/>
  <c r="DX102" i="180"/>
  <c r="AF102" i="180"/>
  <c r="BV102" i="180"/>
  <c r="BT145" i="180"/>
  <c r="BH145" i="180"/>
  <c r="DV145" i="180"/>
  <c r="AD145" i="180"/>
  <c r="GD145" i="180"/>
  <c r="CR145" i="180"/>
  <c r="BZ145" i="180"/>
  <c r="BB145" i="180"/>
  <c r="AJ145" i="180"/>
  <c r="AP145" i="180"/>
  <c r="X145" i="180"/>
  <c r="BN145" i="180"/>
  <c r="EZ145" i="180"/>
  <c r="AV145" i="180"/>
  <c r="CL145" i="180"/>
  <c r="CF145" i="180"/>
  <c r="CL187" i="180"/>
  <c r="BH187" i="180"/>
  <c r="BN187" i="180"/>
  <c r="EZ187" i="180"/>
  <c r="AJ187" i="180"/>
  <c r="BB187" i="180"/>
  <c r="AD187" i="180"/>
  <c r="X187" i="180"/>
  <c r="AP187" i="180"/>
  <c r="CF187" i="180"/>
  <c r="DV187" i="180"/>
  <c r="CR187" i="180"/>
  <c r="BZ187" i="180"/>
  <c r="GD187" i="180"/>
  <c r="BT187" i="180"/>
  <c r="AV187" i="180"/>
  <c r="CF55" i="180"/>
  <c r="BB55" i="180"/>
  <c r="CR55" i="180"/>
  <c r="BN55" i="180"/>
  <c r="DV55" i="180"/>
  <c r="AD55" i="180"/>
  <c r="BT55" i="180"/>
  <c r="GD55" i="180"/>
  <c r="AP55" i="180"/>
  <c r="CL55" i="180"/>
  <c r="BH55" i="180"/>
  <c r="X55" i="180"/>
  <c r="EZ55" i="180"/>
  <c r="BZ55" i="180"/>
  <c r="AV55" i="180"/>
  <c r="AJ55" i="180"/>
  <c r="CE94" i="180"/>
  <c r="DU94" i="180"/>
  <c r="AC94" i="180"/>
  <c r="BS94" i="180"/>
  <c r="GC94" i="180"/>
  <c r="AO94" i="180"/>
  <c r="BG94" i="180"/>
  <c r="AI94" i="180"/>
  <c r="BY94" i="180"/>
  <c r="BA94" i="180"/>
  <c r="CQ94" i="180"/>
  <c r="AU94" i="180"/>
  <c r="W94" i="180"/>
  <c r="CK94" i="180"/>
  <c r="BM94" i="180"/>
  <c r="EY94" i="180"/>
  <c r="FB134" i="180"/>
  <c r="AL134" i="180"/>
  <c r="CB134" i="180"/>
  <c r="AX134" i="180"/>
  <c r="CN134" i="180"/>
  <c r="BJ134" i="180"/>
  <c r="BD134" i="180"/>
  <c r="CT134" i="180"/>
  <c r="Z134" i="180"/>
  <c r="BP134" i="180"/>
  <c r="AF134" i="180"/>
  <c r="GF134" i="180"/>
  <c r="CH134" i="180"/>
  <c r="AR134" i="180"/>
  <c r="BV134" i="180"/>
  <c r="DX134" i="180"/>
  <c r="CT174" i="180"/>
  <c r="FB174" i="180"/>
  <c r="CB174" i="180"/>
  <c r="BV174" i="180"/>
  <c r="AR174" i="180"/>
  <c r="DX174" i="180"/>
  <c r="Z174" i="180"/>
  <c r="AX174" i="180"/>
  <c r="AF174" i="180"/>
  <c r="AL174" i="180"/>
  <c r="BD174" i="180"/>
  <c r="GF174" i="180"/>
  <c r="CH174" i="180"/>
  <c r="BJ174" i="180"/>
  <c r="CN174" i="180"/>
  <c r="BP174" i="180"/>
  <c r="FA46" i="180"/>
  <c r="AK46" i="180"/>
  <c r="BO46" i="180"/>
  <c r="CS46" i="180"/>
  <c r="AW46" i="180"/>
  <c r="CA46" i="180"/>
  <c r="AE46" i="180"/>
  <c r="BI46" i="180"/>
  <c r="CM46" i="180"/>
  <c r="AQ46" i="180"/>
  <c r="BU46" i="180"/>
  <c r="DW46" i="180"/>
  <c r="Y46" i="180"/>
  <c r="BC46" i="180"/>
  <c r="CG46" i="180"/>
  <c r="GE46" i="180"/>
  <c r="DX83" i="180"/>
  <c r="AF83" i="180"/>
  <c r="BV83" i="180"/>
  <c r="GF83" i="180"/>
  <c r="AR83" i="180"/>
  <c r="CH83" i="180"/>
  <c r="BD83" i="180"/>
  <c r="CT83" i="180"/>
  <c r="Z83" i="180"/>
  <c r="BP83" i="180"/>
  <c r="FB83" i="180"/>
  <c r="AL83" i="180"/>
  <c r="CB83" i="180"/>
  <c r="AX83" i="180"/>
  <c r="CN83" i="180"/>
  <c r="BJ83" i="180"/>
  <c r="FB123" i="180"/>
  <c r="BP123" i="180"/>
  <c r="CB123" i="180"/>
  <c r="AX123" i="180"/>
  <c r="DX123" i="180"/>
  <c r="AR123" i="180"/>
  <c r="GF123" i="180"/>
  <c r="CH123" i="180"/>
  <c r="BJ123" i="180"/>
  <c r="AL123" i="180"/>
  <c r="BD123" i="180"/>
  <c r="AF123" i="180"/>
  <c r="Z123" i="180"/>
  <c r="BV123" i="180"/>
  <c r="CT123" i="180"/>
  <c r="CN123" i="180"/>
  <c r="DW165" i="180"/>
  <c r="AE165" i="180"/>
  <c r="CA165" i="180"/>
  <c r="AW165" i="180"/>
  <c r="CM165" i="180"/>
  <c r="Y165" i="180"/>
  <c r="BO165" i="180"/>
  <c r="AQ165" i="180"/>
  <c r="FA165" i="180"/>
  <c r="CG165" i="180"/>
  <c r="BI165" i="180"/>
  <c r="CS165" i="180"/>
  <c r="BU165" i="180"/>
  <c r="GE165" i="180"/>
  <c r="AK165" i="180"/>
  <c r="BC165" i="180"/>
  <c r="AU208" i="180"/>
  <c r="BG208" i="180"/>
  <c r="BM208" i="180"/>
  <c r="EY208" i="180"/>
  <c r="AI208" i="180"/>
  <c r="GC208" i="180"/>
  <c r="BY208" i="180"/>
  <c r="CQ208" i="180"/>
  <c r="CK208" i="180"/>
  <c r="AO208" i="180"/>
  <c r="W208" i="180"/>
  <c r="BS208" i="180"/>
  <c r="AC208" i="180"/>
  <c r="DU208" i="180"/>
  <c r="BA208" i="180"/>
  <c r="CE208" i="180"/>
  <c r="GE53" i="180"/>
  <c r="AQ53" i="180"/>
  <c r="DW53" i="180"/>
  <c r="AE53" i="180"/>
  <c r="BU53" i="180"/>
  <c r="CS53" i="180"/>
  <c r="CA53" i="180"/>
  <c r="BI53" i="180"/>
  <c r="BC53" i="180"/>
  <c r="AK53" i="180"/>
  <c r="FA53" i="180"/>
  <c r="CM53" i="180"/>
  <c r="CG53" i="180"/>
  <c r="BO53" i="180"/>
  <c r="AW53" i="180"/>
  <c r="Y53" i="180"/>
  <c r="BI187" i="180"/>
  <c r="DW187" i="180"/>
  <c r="AE187" i="180"/>
  <c r="FA187" i="180"/>
  <c r="AK187" i="180"/>
  <c r="CA187" i="180"/>
  <c r="CS187" i="180"/>
  <c r="BU187" i="180"/>
  <c r="BO187" i="180"/>
  <c r="AQ187" i="180"/>
  <c r="CG187" i="180"/>
  <c r="Y187" i="180"/>
  <c r="GE187" i="180"/>
  <c r="BC187" i="180"/>
  <c r="CM187" i="180"/>
  <c r="AW187" i="180"/>
  <c r="CK143" i="180"/>
  <c r="BG143" i="180"/>
  <c r="EY143" i="180"/>
  <c r="AO143" i="180"/>
  <c r="BS143" i="180"/>
  <c r="DU143" i="180"/>
  <c r="W143" i="180"/>
  <c r="CQ143" i="180"/>
  <c r="AU143" i="180"/>
  <c r="BY143" i="180"/>
  <c r="AC143" i="180"/>
  <c r="AI143" i="180"/>
  <c r="GC143" i="180"/>
  <c r="BM143" i="180"/>
  <c r="BA143" i="180"/>
  <c r="CE143" i="180"/>
  <c r="BP94" i="180"/>
  <c r="CH94" i="180"/>
  <c r="BD94" i="180"/>
  <c r="CT94" i="180"/>
  <c r="Z94" i="180"/>
  <c r="AF94" i="180"/>
  <c r="BV94" i="180"/>
  <c r="AX94" i="180"/>
  <c r="GF94" i="180"/>
  <c r="CN94" i="180"/>
  <c r="FB94" i="180"/>
  <c r="AR94" i="180"/>
  <c r="BJ94" i="180"/>
  <c r="AL94" i="180"/>
  <c r="DX94" i="180"/>
  <c r="CB94" i="180"/>
  <c r="DX142" i="180"/>
  <c r="AF142" i="180"/>
  <c r="BP142" i="180"/>
  <c r="CT142" i="180"/>
  <c r="AX142" i="180"/>
  <c r="CB142" i="180"/>
  <c r="FB142" i="180"/>
  <c r="BD142" i="180"/>
  <c r="CH142" i="180"/>
  <c r="GF142" i="180"/>
  <c r="AL142" i="180"/>
  <c r="CN142" i="180"/>
  <c r="AR142" i="180"/>
  <c r="BV142" i="180"/>
  <c r="Z142" i="180"/>
  <c r="BJ142" i="180"/>
  <c r="AW162" i="180"/>
  <c r="CS162" i="180"/>
  <c r="Y162" i="180"/>
  <c r="FA162" i="180"/>
  <c r="AK162" i="180"/>
  <c r="BU162" i="180"/>
  <c r="BC162" i="180"/>
  <c r="DW162" i="180"/>
  <c r="CG162" i="180"/>
  <c r="BO162" i="180"/>
  <c r="AE162" i="180"/>
  <c r="GE162" i="180"/>
  <c r="AQ162" i="180"/>
  <c r="CM162" i="180"/>
  <c r="CA162" i="180"/>
  <c r="BI162" i="180"/>
  <c r="BB172" i="180"/>
  <c r="EZ172" i="180"/>
  <c r="AD172" i="180"/>
  <c r="BH172" i="180"/>
  <c r="AP172" i="180"/>
  <c r="GD172" i="180"/>
  <c r="BN172" i="180"/>
  <c r="CR172" i="180"/>
  <c r="AV172" i="180"/>
  <c r="CL172" i="180"/>
  <c r="X172" i="180"/>
  <c r="CF172" i="180"/>
  <c r="AJ172" i="180"/>
  <c r="BT172" i="180"/>
  <c r="DV172" i="180"/>
  <c r="BZ172" i="180"/>
  <c r="CK84" i="180"/>
  <c r="BG84" i="180"/>
  <c r="DU84" i="180"/>
  <c r="AC84" i="180"/>
  <c r="BS84" i="180"/>
  <c r="GC84" i="180"/>
  <c r="AO84" i="180"/>
  <c r="CE84" i="180"/>
  <c r="BA84" i="180"/>
  <c r="CQ84" i="180"/>
  <c r="W84" i="180"/>
  <c r="BM84" i="180"/>
  <c r="EY84" i="180"/>
  <c r="AI84" i="180"/>
  <c r="BY84" i="180"/>
  <c r="AU84" i="180"/>
  <c r="GD146" i="180"/>
  <c r="AP146" i="180"/>
  <c r="DV146" i="180"/>
  <c r="AD146" i="180"/>
  <c r="BT146" i="180"/>
  <c r="EZ146" i="180"/>
  <c r="CL146" i="180"/>
  <c r="CF146" i="180"/>
  <c r="BN146" i="180"/>
  <c r="AV146" i="180"/>
  <c r="CR146" i="180"/>
  <c r="BZ146" i="180"/>
  <c r="BH146" i="180"/>
  <c r="BB146" i="180"/>
  <c r="AJ146" i="180"/>
  <c r="X146" i="180"/>
  <c r="BC212" i="180"/>
  <c r="BO212" i="180"/>
  <c r="CA212" i="180"/>
  <c r="AW212" i="180"/>
  <c r="CM212" i="180"/>
  <c r="GE212" i="180"/>
  <c r="BU212" i="180"/>
  <c r="Y212" i="180"/>
  <c r="CS212" i="180"/>
  <c r="AE212" i="180"/>
  <c r="CG212" i="180"/>
  <c r="FA212" i="180"/>
  <c r="BI212" i="180"/>
  <c r="AK212" i="180"/>
  <c r="DW212" i="180"/>
  <c r="AQ212" i="180"/>
  <c r="BT53" i="180"/>
  <c r="BH53" i="180"/>
  <c r="DV53" i="180"/>
  <c r="AD53" i="180"/>
  <c r="AP53" i="180"/>
  <c r="X53" i="180"/>
  <c r="GD53" i="180"/>
  <c r="CR53" i="180"/>
  <c r="BZ53" i="180"/>
  <c r="BB53" i="180"/>
  <c r="AJ53" i="180"/>
  <c r="EZ53" i="180"/>
  <c r="CL53" i="180"/>
  <c r="CF53" i="180"/>
  <c r="BN53" i="180"/>
  <c r="AV53" i="180"/>
  <c r="CH91" i="180"/>
  <c r="DX91" i="180"/>
  <c r="AF91" i="180"/>
  <c r="GF91" i="180"/>
  <c r="AR91" i="180"/>
  <c r="CN91" i="180"/>
  <c r="BV91" i="180"/>
  <c r="BP91" i="180"/>
  <c r="AX91" i="180"/>
  <c r="CT91" i="180"/>
  <c r="Z91" i="180"/>
  <c r="CB91" i="180"/>
  <c r="BJ91" i="180"/>
  <c r="FB91" i="180"/>
  <c r="BD91" i="180"/>
  <c r="AL91" i="180"/>
  <c r="GC132" i="180"/>
  <c r="AO132" i="180"/>
  <c r="BG132" i="180"/>
  <c r="DU132" i="180"/>
  <c r="AC132" i="180"/>
  <c r="BS132" i="180"/>
  <c r="CQ132" i="180"/>
  <c r="AU132" i="180"/>
  <c r="W132" i="180"/>
  <c r="CK132" i="180"/>
  <c r="BM132" i="180"/>
  <c r="EY132" i="180"/>
  <c r="CE132" i="180"/>
  <c r="BY132" i="180"/>
  <c r="BA132" i="180"/>
  <c r="AI132" i="180"/>
  <c r="CS172" i="180"/>
  <c r="Y172" i="180"/>
  <c r="BI172" i="180"/>
  <c r="CM172" i="180"/>
  <c r="BU172" i="180"/>
  <c r="AW172" i="180"/>
  <c r="CA172" i="180"/>
  <c r="BC172" i="180"/>
  <c r="CG172" i="180"/>
  <c r="GE172" i="180"/>
  <c r="AK172" i="180"/>
  <c r="BO172" i="180"/>
  <c r="AE172" i="180"/>
  <c r="AQ172" i="180"/>
  <c r="FA172" i="180"/>
  <c r="DW172" i="180"/>
  <c r="CA47" i="180"/>
  <c r="AQ47" i="180"/>
  <c r="BU47" i="180"/>
  <c r="DW47" i="180"/>
  <c r="Y47" i="180"/>
  <c r="BC47" i="180"/>
  <c r="CG47" i="180"/>
  <c r="GE47" i="180"/>
  <c r="AK47" i="180"/>
  <c r="BO47" i="180"/>
  <c r="CS47" i="180"/>
  <c r="AW47" i="180"/>
  <c r="AE47" i="180"/>
  <c r="FA47" i="180"/>
  <c r="BI47" i="180"/>
  <c r="CM47" i="180"/>
  <c r="BV84" i="180"/>
  <c r="GF84" i="180"/>
  <c r="AR84" i="180"/>
  <c r="CH84" i="180"/>
  <c r="BD84" i="180"/>
  <c r="CT84" i="180"/>
  <c r="Z84" i="180"/>
  <c r="BP84" i="180"/>
  <c r="FB84" i="180"/>
  <c r="AL84" i="180"/>
  <c r="CB84" i="180"/>
  <c r="AX84" i="180"/>
  <c r="CN84" i="180"/>
  <c r="BJ84" i="180"/>
  <c r="DX84" i="180"/>
  <c r="AF84" i="180"/>
  <c r="BM125" i="180"/>
  <c r="AU125" i="180"/>
  <c r="AC125" i="180"/>
  <c r="CK125" i="180"/>
  <c r="BG125" i="180"/>
  <c r="DU125" i="180"/>
  <c r="BS125" i="180"/>
  <c r="W125" i="180"/>
  <c r="CE125" i="180"/>
  <c r="BA125" i="180"/>
  <c r="AI125" i="180"/>
  <c r="BY125" i="180"/>
  <c r="CQ125" i="180"/>
  <c r="GC125" i="180"/>
  <c r="EY125" i="180"/>
  <c r="AO125" i="180"/>
  <c r="GF166" i="180"/>
  <c r="AR166" i="180"/>
  <c r="CH166" i="180"/>
  <c r="CT166" i="180"/>
  <c r="Z166" i="180"/>
  <c r="CN166" i="180"/>
  <c r="BJ166" i="180"/>
  <c r="DX166" i="180"/>
  <c r="AF166" i="180"/>
  <c r="BV166" i="180"/>
  <c r="AX166" i="180"/>
  <c r="BD166" i="180"/>
  <c r="CB166" i="180"/>
  <c r="BP166" i="180"/>
  <c r="FB166" i="180"/>
  <c r="AL166" i="180"/>
  <c r="DW209" i="180"/>
  <c r="AE209" i="180"/>
  <c r="GE209" i="180"/>
  <c r="AQ209" i="180"/>
  <c r="AW209" i="180"/>
  <c r="CM209" i="180"/>
  <c r="CG209" i="180"/>
  <c r="FA209" i="180"/>
  <c r="BO209" i="180"/>
  <c r="CS209" i="180"/>
  <c r="BU209" i="180"/>
  <c r="Y209" i="180"/>
  <c r="CA209" i="180"/>
  <c r="AK209" i="180"/>
  <c r="BC209" i="180"/>
  <c r="BI209" i="180"/>
  <c r="BS75" i="180"/>
  <c r="CK75" i="180"/>
  <c r="BG75" i="180"/>
  <c r="DU75" i="180"/>
  <c r="AC75" i="180"/>
  <c r="AI75" i="180"/>
  <c r="BY75" i="180"/>
  <c r="BA75" i="180"/>
  <c r="CQ75" i="180"/>
  <c r="GC75" i="180"/>
  <c r="AU75" i="180"/>
  <c r="W75" i="180"/>
  <c r="BM75" i="180"/>
  <c r="AO75" i="180"/>
  <c r="EY75" i="180"/>
  <c r="CE75" i="180"/>
  <c r="CB115" i="180"/>
  <c r="CN115" i="180"/>
  <c r="BJ115" i="180"/>
  <c r="DX115" i="180"/>
  <c r="AF115" i="180"/>
  <c r="BV115" i="180"/>
  <c r="GF115" i="180"/>
  <c r="AR115" i="180"/>
  <c r="CH115" i="180"/>
  <c r="BD115" i="180"/>
  <c r="CT115" i="180"/>
  <c r="Z115" i="180"/>
  <c r="AX115" i="180"/>
  <c r="FB115" i="180"/>
  <c r="AL115" i="180"/>
  <c r="BP115" i="180"/>
  <c r="BN156" i="180"/>
  <c r="BB156" i="180"/>
  <c r="DV156" i="180"/>
  <c r="CF156" i="180"/>
  <c r="AV156" i="180"/>
  <c r="GD156" i="180"/>
  <c r="AD156" i="180"/>
  <c r="CL156" i="180"/>
  <c r="X156" i="180"/>
  <c r="BT156" i="180"/>
  <c r="AJ156" i="180"/>
  <c r="CR156" i="180"/>
  <c r="BH156" i="180"/>
  <c r="EZ156" i="180"/>
  <c r="AP156" i="180"/>
  <c r="BZ156" i="180"/>
  <c r="BM198" i="180"/>
  <c r="BY198" i="180"/>
  <c r="CE198" i="180"/>
  <c r="AI198" i="180"/>
  <c r="AU198" i="180"/>
  <c r="GC198" i="180"/>
  <c r="CQ198" i="180"/>
  <c r="CK198" i="180"/>
  <c r="BG198" i="180"/>
  <c r="DU198" i="180"/>
  <c r="AC198" i="180"/>
  <c r="AO198" i="180"/>
  <c r="W198" i="180"/>
  <c r="EY198" i="180"/>
  <c r="BS198" i="180"/>
  <c r="BA198" i="180"/>
  <c r="BS66" i="180"/>
  <c r="GC66" i="180"/>
  <c r="AO66" i="180"/>
  <c r="CE66" i="180"/>
  <c r="BA66" i="180"/>
  <c r="CQ66" i="180"/>
  <c r="W66" i="180"/>
  <c r="BM66" i="180"/>
  <c r="EY66" i="180"/>
  <c r="AI66" i="180"/>
  <c r="BY66" i="180"/>
  <c r="AU66" i="180"/>
  <c r="CK66" i="180"/>
  <c r="BG66" i="180"/>
  <c r="DU66" i="180"/>
  <c r="AC66" i="180"/>
  <c r="BD104" i="180"/>
  <c r="CT104" i="180"/>
  <c r="Z104" i="180"/>
  <c r="BP104" i="180"/>
  <c r="FB104" i="180"/>
  <c r="AL104" i="180"/>
  <c r="CB104" i="180"/>
  <c r="AX104" i="180"/>
  <c r="CN104" i="180"/>
  <c r="BJ104" i="180"/>
  <c r="DX104" i="180"/>
  <c r="AF104" i="180"/>
  <c r="BV104" i="180"/>
  <c r="GF104" i="180"/>
  <c r="AR104" i="180"/>
  <c r="CH104" i="180"/>
  <c r="CF147" i="180"/>
  <c r="DV147" i="180"/>
  <c r="BT147" i="180"/>
  <c r="GD147" i="180"/>
  <c r="AP147" i="180"/>
  <c r="CL147" i="180"/>
  <c r="BN147" i="180"/>
  <c r="AV147" i="180"/>
  <c r="AD147" i="180"/>
  <c r="EZ147" i="180"/>
  <c r="X147" i="180"/>
  <c r="BZ147" i="180"/>
  <c r="BH147" i="180"/>
  <c r="BB147" i="180"/>
  <c r="CR147" i="180"/>
  <c r="AJ147" i="180"/>
  <c r="DV189" i="180"/>
  <c r="AD189" i="180"/>
  <c r="BT189" i="180"/>
  <c r="BZ189" i="180"/>
  <c r="AV189" i="180"/>
  <c r="BH189" i="180"/>
  <c r="GD189" i="180"/>
  <c r="CL189" i="180"/>
  <c r="X189" i="180"/>
  <c r="BN189" i="180"/>
  <c r="BB189" i="180"/>
  <c r="CF189" i="180"/>
  <c r="AP189" i="180"/>
  <c r="CR189" i="180"/>
  <c r="AJ189" i="180"/>
  <c r="EZ189" i="180"/>
  <c r="CR57" i="180"/>
  <c r="X57" i="180"/>
  <c r="BN57" i="180"/>
  <c r="EZ57" i="180"/>
  <c r="AJ57" i="180"/>
  <c r="BZ57" i="180"/>
  <c r="AV57" i="180"/>
  <c r="CL57" i="180"/>
  <c r="DV57" i="180"/>
  <c r="GD57" i="180"/>
  <c r="AP57" i="180"/>
  <c r="CF57" i="180"/>
  <c r="BB57" i="180"/>
  <c r="BT57" i="180"/>
  <c r="BH57" i="180"/>
  <c r="AD57" i="180"/>
  <c r="CQ96" i="180"/>
  <c r="W96" i="180"/>
  <c r="CK96" i="180"/>
  <c r="GC96" i="180"/>
  <c r="AO96" i="180"/>
  <c r="CE96" i="180"/>
  <c r="BA96" i="180"/>
  <c r="AC96" i="180"/>
  <c r="BS96" i="180"/>
  <c r="AU96" i="180"/>
  <c r="BM96" i="180"/>
  <c r="EY96" i="180"/>
  <c r="BG96" i="180"/>
  <c r="AI96" i="180"/>
  <c r="BY96" i="180"/>
  <c r="DU96" i="180"/>
  <c r="BZ137" i="180"/>
  <c r="AV137" i="180"/>
  <c r="CL137" i="180"/>
  <c r="BH137" i="180"/>
  <c r="DV137" i="180"/>
  <c r="AD137" i="180"/>
  <c r="CR137" i="180"/>
  <c r="X137" i="180"/>
  <c r="BN137" i="180"/>
  <c r="EZ137" i="180"/>
  <c r="AJ137" i="180"/>
  <c r="AP137" i="180"/>
  <c r="BT137" i="180"/>
  <c r="GD137" i="180"/>
  <c r="CF137" i="180"/>
  <c r="BB137" i="180"/>
  <c r="CQ177" i="180"/>
  <c r="W177" i="180"/>
  <c r="BM177" i="180"/>
  <c r="GC177" i="180"/>
  <c r="BY177" i="180"/>
  <c r="BS177" i="180"/>
  <c r="AI177" i="180"/>
  <c r="BA177" i="180"/>
  <c r="DU177" i="180"/>
  <c r="AU177" i="180"/>
  <c r="CE177" i="180"/>
  <c r="EY177" i="180"/>
  <c r="AC177" i="180"/>
  <c r="BG177" i="180"/>
  <c r="AO177" i="180"/>
  <c r="CK177" i="180"/>
  <c r="AW48" i="180"/>
  <c r="CS48" i="180"/>
  <c r="CA48" i="180"/>
  <c r="AE48" i="180"/>
  <c r="FA48" i="180"/>
  <c r="BI48" i="180"/>
  <c r="CM48" i="180"/>
  <c r="AQ48" i="180"/>
  <c r="BU48" i="180"/>
  <c r="DW48" i="180"/>
  <c r="Y48" i="180"/>
  <c r="BC48" i="180"/>
  <c r="CG48" i="180"/>
  <c r="GE48" i="180"/>
  <c r="AK48" i="180"/>
  <c r="BO48" i="180"/>
  <c r="GF85" i="180"/>
  <c r="AR85" i="180"/>
  <c r="CH85" i="180"/>
  <c r="BD85" i="180"/>
  <c r="CT85" i="180"/>
  <c r="Z85" i="180"/>
  <c r="BP85" i="180"/>
  <c r="FB85" i="180"/>
  <c r="AL85" i="180"/>
  <c r="CB85" i="180"/>
  <c r="AX85" i="180"/>
  <c r="CN85" i="180"/>
  <c r="BJ85" i="180"/>
  <c r="DX85" i="180"/>
  <c r="AF85" i="180"/>
  <c r="BV85" i="180"/>
  <c r="BZ126" i="180"/>
  <c r="CR126" i="180"/>
  <c r="X126" i="180"/>
  <c r="BT126" i="180"/>
  <c r="BB126" i="180"/>
  <c r="AJ126" i="180"/>
  <c r="CF126" i="180"/>
  <c r="BN126" i="180"/>
  <c r="AV126" i="180"/>
  <c r="AD126" i="180"/>
  <c r="GD126" i="180"/>
  <c r="CL126" i="180"/>
  <c r="BH126" i="180"/>
  <c r="AP126" i="180"/>
  <c r="EZ126" i="180"/>
  <c r="DV126" i="180"/>
  <c r="CH167" i="180"/>
  <c r="BD167" i="180"/>
  <c r="BP167" i="180"/>
  <c r="BJ167" i="180"/>
  <c r="DX167" i="180"/>
  <c r="AF167" i="180"/>
  <c r="BV167" i="180"/>
  <c r="CB167" i="180"/>
  <c r="AX167" i="180"/>
  <c r="AR167" i="180"/>
  <c r="CT167" i="180"/>
  <c r="GF167" i="180"/>
  <c r="Z167" i="180"/>
  <c r="FB167" i="180"/>
  <c r="CN167" i="180"/>
  <c r="AL167" i="180"/>
  <c r="CH210" i="180"/>
  <c r="CT210" i="180"/>
  <c r="FB210" i="180"/>
  <c r="AL210" i="180"/>
  <c r="CB210" i="180"/>
  <c r="GF210" i="180"/>
  <c r="BJ210" i="180"/>
  <c r="AR210" i="180"/>
  <c r="BP210" i="180"/>
  <c r="AX210" i="180"/>
  <c r="AF210" i="180"/>
  <c r="BD210" i="180"/>
  <c r="DX210" i="180"/>
  <c r="BV210" i="180"/>
  <c r="Z210" i="180"/>
  <c r="CN210" i="180"/>
  <c r="GC76" i="180"/>
  <c r="AO76" i="180"/>
  <c r="BM76" i="180"/>
  <c r="EY76" i="180"/>
  <c r="BG76" i="180"/>
  <c r="DU76" i="180"/>
  <c r="AC76" i="180"/>
  <c r="BS76" i="180"/>
  <c r="CK76" i="180"/>
  <c r="CE76" i="180"/>
  <c r="AI76" i="180"/>
  <c r="BA76" i="180"/>
  <c r="BY76" i="180"/>
  <c r="CQ76" i="180"/>
  <c r="AU76" i="180"/>
  <c r="W76" i="180"/>
  <c r="AX116" i="180"/>
  <c r="BJ116" i="180"/>
  <c r="DX116" i="180"/>
  <c r="AF116" i="180"/>
  <c r="BV116" i="180"/>
  <c r="GF116" i="180"/>
  <c r="AR116" i="180"/>
  <c r="CH116" i="180"/>
  <c r="BD116" i="180"/>
  <c r="CT116" i="180"/>
  <c r="Z116" i="180"/>
  <c r="BP116" i="180"/>
  <c r="CB116" i="180"/>
  <c r="FB116" i="180"/>
  <c r="AL116" i="180"/>
  <c r="CN116" i="180"/>
  <c r="AX157" i="180"/>
  <c r="FB157" i="180"/>
  <c r="AL157" i="180"/>
  <c r="GF157" i="180"/>
  <c r="AF157" i="180"/>
  <c r="CT157" i="180"/>
  <c r="CB157" i="180"/>
  <c r="BJ157" i="180"/>
  <c r="CN157" i="180"/>
  <c r="AR157" i="180"/>
  <c r="CH157" i="180"/>
  <c r="BP157" i="180"/>
  <c r="Z157" i="180"/>
  <c r="BD157" i="180"/>
  <c r="DX157" i="180"/>
  <c r="BV157" i="180"/>
  <c r="DU199" i="180"/>
  <c r="AI199" i="180"/>
  <c r="BA199" i="180"/>
  <c r="EY199" i="180"/>
  <c r="CE199" i="180"/>
  <c r="W199" i="180"/>
  <c r="BS199" i="180"/>
  <c r="AC199" i="180"/>
  <c r="GC199" i="180"/>
  <c r="AU199" i="180"/>
  <c r="CK199" i="180"/>
  <c r="CQ199" i="180"/>
  <c r="BM199" i="180"/>
  <c r="BG199" i="180"/>
  <c r="AO199" i="180"/>
  <c r="BY199" i="180"/>
  <c r="GC67" i="180"/>
  <c r="AO67" i="180"/>
  <c r="CE67" i="180"/>
  <c r="BA67" i="180"/>
  <c r="CQ67" i="180"/>
  <c r="W67" i="180"/>
  <c r="BM67" i="180"/>
  <c r="EY67" i="180"/>
  <c r="AI67" i="180"/>
  <c r="BY67" i="180"/>
  <c r="AU67" i="180"/>
  <c r="CK67" i="180"/>
  <c r="BG67" i="180"/>
  <c r="DU67" i="180"/>
  <c r="AC67" i="180"/>
  <c r="BS67" i="180"/>
  <c r="CE106" i="180"/>
  <c r="BA106" i="180"/>
  <c r="CQ106" i="180"/>
  <c r="W106" i="180"/>
  <c r="BM106" i="180"/>
  <c r="EY106" i="180"/>
  <c r="AI106" i="180"/>
  <c r="BY106" i="180"/>
  <c r="AU106" i="180"/>
  <c r="CK106" i="180"/>
  <c r="BG106" i="180"/>
  <c r="DU106" i="180"/>
  <c r="AC106" i="180"/>
  <c r="BS106" i="180"/>
  <c r="GC106" i="180"/>
  <c r="AO106" i="180"/>
  <c r="CL148" i="180"/>
  <c r="GD148" i="180"/>
  <c r="BB148" i="180"/>
  <c r="BZ148" i="180"/>
  <c r="DV148" i="180"/>
  <c r="BT148" i="180"/>
  <c r="AP148" i="180"/>
  <c r="CF148" i="180"/>
  <c r="CR148" i="180"/>
  <c r="AD148" i="180"/>
  <c r="AV148" i="180"/>
  <c r="X148" i="180"/>
  <c r="BN148" i="180"/>
  <c r="BH148" i="180"/>
  <c r="EZ148" i="180"/>
  <c r="AJ148" i="180"/>
  <c r="BT190" i="180"/>
  <c r="DV190" i="180"/>
  <c r="AP190" i="180"/>
  <c r="EZ190" i="180"/>
  <c r="AV190" i="180"/>
  <c r="BN190" i="180"/>
  <c r="AJ190" i="180"/>
  <c r="BZ190" i="180"/>
  <c r="BB190" i="180"/>
  <c r="CR190" i="180"/>
  <c r="AD190" i="180"/>
  <c r="CF190" i="180"/>
  <c r="X190" i="180"/>
  <c r="BH190" i="180"/>
  <c r="GD190" i="180"/>
  <c r="CL190" i="180"/>
  <c r="BN58" i="180"/>
  <c r="EZ58" i="180"/>
  <c r="AJ58" i="180"/>
  <c r="BZ58" i="180"/>
  <c r="AV58" i="180"/>
  <c r="CL58" i="180"/>
  <c r="BH58" i="180"/>
  <c r="DV58" i="180"/>
  <c r="AD58" i="180"/>
  <c r="BT58" i="180"/>
  <c r="GD58" i="180"/>
  <c r="CF58" i="180"/>
  <c r="BB58" i="180"/>
  <c r="CR58" i="180"/>
  <c r="X58" i="180"/>
  <c r="AP58" i="180"/>
  <c r="BM97" i="180"/>
  <c r="EY97" i="180"/>
  <c r="AU97" i="180"/>
  <c r="BG97" i="180"/>
  <c r="CE97" i="180"/>
  <c r="BA97" i="180"/>
  <c r="CQ97" i="180"/>
  <c r="W97" i="180"/>
  <c r="BY97" i="180"/>
  <c r="GC97" i="180"/>
  <c r="BS97" i="180"/>
  <c r="AO97" i="180"/>
  <c r="DU97" i="180"/>
  <c r="AI97" i="180"/>
  <c r="AC97" i="180"/>
  <c r="CK97" i="180"/>
  <c r="AV138" i="180"/>
  <c r="CL138" i="180"/>
  <c r="BH138" i="180"/>
  <c r="DV138" i="180"/>
  <c r="AD138" i="180"/>
  <c r="BT138" i="180"/>
  <c r="BN138" i="180"/>
  <c r="EZ138" i="180"/>
  <c r="AJ138" i="180"/>
  <c r="BZ138" i="180"/>
  <c r="X138" i="180"/>
  <c r="BB138" i="180"/>
  <c r="CR138" i="180"/>
  <c r="AP138" i="180"/>
  <c r="CF138" i="180"/>
  <c r="GD138" i="180"/>
  <c r="BM178" i="180"/>
  <c r="EY178" i="180"/>
  <c r="AI178" i="180"/>
  <c r="GC178" i="180"/>
  <c r="BY178" i="180"/>
  <c r="BS178" i="180"/>
  <c r="BA178" i="180"/>
  <c r="DU178" i="180"/>
  <c r="AU178" i="180"/>
  <c r="W178" i="180"/>
  <c r="CQ178" i="180"/>
  <c r="CE178" i="180"/>
  <c r="AC178" i="180"/>
  <c r="AO178" i="180"/>
  <c r="CK178" i="180"/>
  <c r="BG178" i="180"/>
  <c r="CM49" i="180"/>
  <c r="BU49" i="180"/>
  <c r="DW49" i="180"/>
  <c r="Y49" i="180"/>
  <c r="BC49" i="180"/>
  <c r="CG49" i="180"/>
  <c r="GE49" i="180"/>
  <c r="AK49" i="180"/>
  <c r="BO49" i="180"/>
  <c r="CS49" i="180"/>
  <c r="AW49" i="180"/>
  <c r="CA49" i="180"/>
  <c r="AE49" i="180"/>
  <c r="FA49" i="180"/>
  <c r="BI49" i="180"/>
  <c r="AQ49" i="180"/>
  <c r="CH86" i="180"/>
  <c r="BD86" i="180"/>
  <c r="CT86" i="180"/>
  <c r="Z86" i="180"/>
  <c r="BP86" i="180"/>
  <c r="FB86" i="180"/>
  <c r="AL86" i="180"/>
  <c r="CB86" i="180"/>
  <c r="AX86" i="180"/>
  <c r="CN86" i="180"/>
  <c r="BJ86" i="180"/>
  <c r="DX86" i="180"/>
  <c r="AF86" i="180"/>
  <c r="BV86" i="180"/>
  <c r="GF86" i="180"/>
  <c r="AR86" i="180"/>
  <c r="AV127" i="180"/>
  <c r="BN127" i="180"/>
  <c r="BT127" i="180"/>
  <c r="BB127" i="180"/>
  <c r="DV127" i="180"/>
  <c r="AJ127" i="180"/>
  <c r="CF127" i="180"/>
  <c r="GD127" i="180"/>
  <c r="AD127" i="180"/>
  <c r="CR127" i="180"/>
  <c r="EZ127" i="180"/>
  <c r="BH127" i="180"/>
  <c r="X127" i="180"/>
  <c r="CL127" i="180"/>
  <c r="AP127" i="180"/>
  <c r="BZ127" i="180"/>
  <c r="BD168" i="180"/>
  <c r="CT168" i="180"/>
  <c r="Z168" i="180"/>
  <c r="FB168" i="180"/>
  <c r="AL168" i="180"/>
  <c r="DX168" i="180"/>
  <c r="AF168" i="180"/>
  <c r="BV168" i="180"/>
  <c r="GF168" i="180"/>
  <c r="AR168" i="180"/>
  <c r="CN168" i="180"/>
  <c r="BJ168" i="180"/>
  <c r="CH168" i="180"/>
  <c r="CB168" i="180"/>
  <c r="BP168" i="180"/>
  <c r="AX168" i="180"/>
  <c r="GC212" i="180"/>
  <c r="AO212" i="180"/>
  <c r="BA212" i="180"/>
  <c r="BM212" i="180"/>
  <c r="EY212" i="180"/>
  <c r="AI212" i="180"/>
  <c r="BY212" i="180"/>
  <c r="CQ212" i="180"/>
  <c r="AC212" i="180"/>
  <c r="AU212" i="180"/>
  <c r="CK212" i="180"/>
  <c r="BS212" i="180"/>
  <c r="DU212" i="180"/>
  <c r="CE212" i="180"/>
  <c r="W212" i="180"/>
  <c r="BG212" i="180"/>
  <c r="CH110" i="180"/>
  <c r="CT110" i="180"/>
  <c r="Z110" i="180"/>
  <c r="CN110" i="180"/>
  <c r="BJ110" i="180"/>
  <c r="AR110" i="180"/>
  <c r="CB110" i="180"/>
  <c r="AL110" i="180"/>
  <c r="GF110" i="180"/>
  <c r="BD110" i="180"/>
  <c r="BV110" i="180"/>
  <c r="AF110" i="180"/>
  <c r="FB110" i="180"/>
  <c r="AX110" i="180"/>
  <c r="BP110" i="180"/>
  <c r="DX110" i="180"/>
  <c r="EZ59" i="180"/>
  <c r="AJ59" i="180"/>
  <c r="BZ59" i="180"/>
  <c r="AV59" i="180"/>
  <c r="CL59" i="180"/>
  <c r="BH59" i="180"/>
  <c r="DV59" i="180"/>
  <c r="AD59" i="180"/>
  <c r="BT59" i="180"/>
  <c r="GD59" i="180"/>
  <c r="AP59" i="180"/>
  <c r="CF59" i="180"/>
  <c r="BB59" i="180"/>
  <c r="CR59" i="180"/>
  <c r="X59" i="180"/>
  <c r="BN59" i="180"/>
  <c r="FW44" i="180"/>
  <c r="DO44" i="180"/>
  <c r="BY44" i="180"/>
  <c r="BA44" i="180"/>
  <c r="AC44" i="180"/>
  <c r="W44" i="180"/>
  <c r="AU44" i="180"/>
  <c r="BS44" i="180"/>
  <c r="CQ44" i="180"/>
  <c r="EY44" i="180"/>
  <c r="AO44" i="180"/>
  <c r="BM44" i="180"/>
  <c r="CK44" i="180"/>
  <c r="ES44" i="180"/>
  <c r="AI44" i="180"/>
  <c r="BG44" i="180"/>
  <c r="CE44" i="180"/>
  <c r="DU44" i="180"/>
  <c r="GC44" i="180"/>
  <c r="EY206" i="180"/>
  <c r="AI206" i="180"/>
  <c r="AU206" i="180"/>
  <c r="BA206" i="180"/>
  <c r="GC206" i="180"/>
  <c r="BS206" i="180"/>
  <c r="CK206" i="180"/>
  <c r="W206" i="180"/>
  <c r="DU206" i="180"/>
  <c r="AC206" i="180"/>
  <c r="BM206" i="180"/>
  <c r="CQ206" i="180"/>
  <c r="CE206" i="180"/>
  <c r="BG206" i="180"/>
  <c r="AO206" i="180"/>
  <c r="BY206" i="180"/>
  <c r="AP195" i="180"/>
  <c r="CL195" i="180"/>
  <c r="EZ195" i="180"/>
  <c r="BT195" i="180"/>
  <c r="BB195" i="180"/>
  <c r="CR195" i="180"/>
  <c r="GD195" i="180"/>
  <c r="BZ195" i="180"/>
  <c r="BH195" i="180"/>
  <c r="AD195" i="180"/>
  <c r="CF195" i="180"/>
  <c r="X195" i="180"/>
  <c r="BN195" i="180"/>
  <c r="AJ195" i="180"/>
  <c r="DV195" i="180"/>
  <c r="AV195" i="180"/>
  <c r="CM186" i="180"/>
  <c r="BI186" i="180"/>
  <c r="BO186" i="180"/>
  <c r="FA186" i="180"/>
  <c r="AK186" i="180"/>
  <c r="AW186" i="180"/>
  <c r="DW186" i="180"/>
  <c r="CA186" i="180"/>
  <c r="BC186" i="180"/>
  <c r="GE186" i="180"/>
  <c r="AQ186" i="180"/>
  <c r="BU186" i="180"/>
  <c r="AE186" i="180"/>
  <c r="CS186" i="180"/>
  <c r="Y186" i="180"/>
  <c r="CG186" i="180"/>
  <c r="FB45" i="180"/>
  <c r="AL45" i="180"/>
  <c r="BV45" i="180"/>
  <c r="DX45" i="180"/>
  <c r="Z45" i="180"/>
  <c r="BD45" i="180"/>
  <c r="CH45" i="180"/>
  <c r="GF45" i="180"/>
  <c r="BP45" i="180"/>
  <c r="CT45" i="180"/>
  <c r="AX45" i="180"/>
  <c r="CB45" i="180"/>
  <c r="AF45" i="180"/>
  <c r="BJ45" i="180"/>
  <c r="CN45" i="180"/>
  <c r="AR45" i="180"/>
  <c r="GE145" i="180"/>
  <c r="AQ145" i="180"/>
  <c r="DW145" i="180"/>
  <c r="AE145" i="180"/>
  <c r="BU145" i="180"/>
  <c r="CS145" i="180"/>
  <c r="CA145" i="180"/>
  <c r="BI145" i="180"/>
  <c r="BC145" i="180"/>
  <c r="AK145" i="180"/>
  <c r="Y145" i="180"/>
  <c r="FA145" i="180"/>
  <c r="AW145" i="180"/>
  <c r="CM145" i="180"/>
  <c r="CG145" i="180"/>
  <c r="BO145" i="180"/>
  <c r="BB77" i="180"/>
  <c r="CR77" i="180"/>
  <c r="BZ77" i="180"/>
  <c r="AV77" i="180"/>
  <c r="BT77" i="180"/>
  <c r="GD77" i="180"/>
  <c r="AP77" i="180"/>
  <c r="CF77" i="180"/>
  <c r="EZ77" i="180"/>
  <c r="AJ77" i="180"/>
  <c r="BN77" i="180"/>
  <c r="DV77" i="180"/>
  <c r="AD77" i="180"/>
  <c r="BH77" i="180"/>
  <c r="X77" i="180"/>
  <c r="CL77" i="180"/>
  <c r="AX178" i="180"/>
  <c r="CN178" i="180"/>
  <c r="Z178" i="180"/>
  <c r="DX178" i="180"/>
  <c r="CH178" i="180"/>
  <c r="BV178" i="180"/>
  <c r="CT178" i="180"/>
  <c r="BP178" i="180"/>
  <c r="FB178" i="180"/>
  <c r="BD178" i="180"/>
  <c r="CB178" i="180"/>
  <c r="AR178" i="180"/>
  <c r="AL178" i="180"/>
  <c r="BJ178" i="180"/>
  <c r="GF178" i="180"/>
  <c r="AF178" i="180"/>
  <c r="DU194" i="180"/>
  <c r="AC194" i="180"/>
  <c r="BY194" i="180"/>
  <c r="W194" i="180"/>
  <c r="BA194" i="180"/>
  <c r="GC194" i="180"/>
  <c r="CQ194" i="180"/>
  <c r="AO194" i="180"/>
  <c r="BM194" i="180"/>
  <c r="CK194" i="180"/>
  <c r="AU194" i="180"/>
  <c r="CE194" i="180"/>
  <c r="AI194" i="180"/>
  <c r="BG194" i="180"/>
  <c r="EY194" i="180"/>
  <c r="BS194" i="180"/>
  <c r="BM205" i="180"/>
  <c r="BY205" i="180"/>
  <c r="CE205" i="180"/>
  <c r="DU205" i="180"/>
  <c r="W205" i="180"/>
  <c r="AO205" i="180"/>
  <c r="AI205" i="180"/>
  <c r="BS205" i="180"/>
  <c r="AU205" i="180"/>
  <c r="CQ205" i="180"/>
  <c r="BA205" i="180"/>
  <c r="CK205" i="180"/>
  <c r="AC205" i="180"/>
  <c r="BG205" i="180"/>
  <c r="GC205" i="180"/>
  <c r="EY205" i="180"/>
  <c r="BT194" i="180"/>
  <c r="AV194" i="180"/>
  <c r="EZ194" i="180"/>
  <c r="CL194" i="180"/>
  <c r="AJ194" i="180"/>
  <c r="CR194" i="180"/>
  <c r="BZ194" i="180"/>
  <c r="BH194" i="180"/>
  <c r="AP194" i="180"/>
  <c r="AD194" i="180"/>
  <c r="DV194" i="180"/>
  <c r="X194" i="180"/>
  <c r="GD194" i="180"/>
  <c r="CF194" i="180"/>
  <c r="BN194" i="180"/>
  <c r="BB194" i="180"/>
  <c r="GE103" i="180"/>
  <c r="AQ103" i="180"/>
  <c r="CG103" i="180"/>
  <c r="BC103" i="180"/>
  <c r="CS103" i="180"/>
  <c r="Y103" i="180"/>
  <c r="BO103" i="180"/>
  <c r="FA103" i="180"/>
  <c r="AK103" i="180"/>
  <c r="CA103" i="180"/>
  <c r="AW103" i="180"/>
  <c r="CM103" i="180"/>
  <c r="BI103" i="180"/>
  <c r="DW103" i="180"/>
  <c r="AE103" i="180"/>
  <c r="BU103" i="180"/>
  <c r="BG166" i="180"/>
  <c r="DU166" i="180"/>
  <c r="GC166" i="180"/>
  <c r="AO166" i="180"/>
  <c r="EY166" i="180"/>
  <c r="AI166" i="180"/>
  <c r="BY166" i="180"/>
  <c r="AU166" i="180"/>
  <c r="BA166" i="180"/>
  <c r="AC166" i="180"/>
  <c r="CQ166" i="180"/>
  <c r="BS166" i="180"/>
  <c r="CE166" i="180"/>
  <c r="W166" i="180"/>
  <c r="BM166" i="180"/>
  <c r="CK166" i="180"/>
  <c r="AU50" i="180"/>
  <c r="EY50" i="180"/>
  <c r="BY50" i="180"/>
  <c r="AI50" i="180"/>
  <c r="DU50" i="180"/>
  <c r="CE50" i="180"/>
  <c r="BM50" i="180"/>
  <c r="AC50" i="180"/>
  <c r="BG50" i="180"/>
  <c r="GC50" i="180"/>
  <c r="CQ50" i="180"/>
  <c r="AO50" i="180"/>
  <c r="CK50" i="180"/>
  <c r="BS50" i="180"/>
  <c r="W50" i="180"/>
  <c r="BA50" i="180"/>
  <c r="BB56" i="180"/>
  <c r="CR56" i="180"/>
  <c r="X56" i="180"/>
  <c r="BN56" i="180"/>
  <c r="EZ56" i="180"/>
  <c r="AJ56" i="180"/>
  <c r="BZ56" i="180"/>
  <c r="BT56" i="180"/>
  <c r="GD56" i="180"/>
  <c r="AP56" i="180"/>
  <c r="CF56" i="180"/>
  <c r="BH56" i="180"/>
  <c r="AV56" i="180"/>
  <c r="DV56" i="180"/>
  <c r="CL56" i="180"/>
  <c r="AD56" i="180"/>
  <c r="BA95" i="180"/>
  <c r="BS95" i="180"/>
  <c r="GC95" i="180"/>
  <c r="AO95" i="180"/>
  <c r="CE95" i="180"/>
  <c r="EY95" i="180"/>
  <c r="BG95" i="180"/>
  <c r="AI95" i="180"/>
  <c r="DU95" i="180"/>
  <c r="BY95" i="180"/>
  <c r="CQ95" i="180"/>
  <c r="AC95" i="180"/>
  <c r="AU95" i="180"/>
  <c r="W95" i="180"/>
  <c r="CK95" i="180"/>
  <c r="BM95" i="180"/>
  <c r="BM136" i="180"/>
  <c r="EY136" i="180"/>
  <c r="AI136" i="180"/>
  <c r="BY136" i="180"/>
  <c r="AU136" i="180"/>
  <c r="CK136" i="180"/>
  <c r="CE136" i="180"/>
  <c r="BA136" i="180"/>
  <c r="CQ136" i="180"/>
  <c r="W136" i="180"/>
  <c r="GC136" i="180"/>
  <c r="DU136" i="180"/>
  <c r="BS136" i="180"/>
  <c r="AO136" i="180"/>
  <c r="BG136" i="180"/>
  <c r="AC136" i="180"/>
  <c r="BA176" i="180"/>
  <c r="CQ176" i="180"/>
  <c r="W176" i="180"/>
  <c r="BG176" i="180"/>
  <c r="CE176" i="180"/>
  <c r="AU176" i="180"/>
  <c r="DU176" i="180"/>
  <c r="BS176" i="180"/>
  <c r="EY176" i="180"/>
  <c r="GC176" i="180"/>
  <c r="BY176" i="180"/>
  <c r="AC176" i="180"/>
  <c r="BM176" i="180"/>
  <c r="AO176" i="180"/>
  <c r="AI176" i="180"/>
  <c r="CK176" i="180"/>
  <c r="BI50" i="180"/>
  <c r="CM50" i="180"/>
  <c r="DW50" i="180"/>
  <c r="CG50" i="180"/>
  <c r="BO50" i="180"/>
  <c r="AW50" i="180"/>
  <c r="AE50" i="180"/>
  <c r="GE50" i="180"/>
  <c r="CS50" i="180"/>
  <c r="CA50" i="180"/>
  <c r="AQ50" i="180"/>
  <c r="BU50" i="180"/>
  <c r="Y50" i="180"/>
  <c r="BC50" i="180"/>
  <c r="FA50" i="180"/>
  <c r="AK50" i="180"/>
  <c r="GF87" i="180"/>
  <c r="BD87" i="180"/>
  <c r="Z87" i="180"/>
  <c r="CT87" i="180"/>
  <c r="BP87" i="180"/>
  <c r="AL87" i="180"/>
  <c r="CB87" i="180"/>
  <c r="FB87" i="180"/>
  <c r="AX87" i="180"/>
  <c r="CN87" i="180"/>
  <c r="BJ87" i="180"/>
  <c r="AF87" i="180"/>
  <c r="BV87" i="180"/>
  <c r="DX87" i="180"/>
  <c r="AR87" i="180"/>
  <c r="CH87" i="180"/>
  <c r="BI128" i="180"/>
  <c r="CA128" i="180"/>
  <c r="AW128" i="180"/>
  <c r="CM128" i="180"/>
  <c r="Y128" i="180"/>
  <c r="FA128" i="180"/>
  <c r="CG128" i="180"/>
  <c r="DW128" i="180"/>
  <c r="AK128" i="180"/>
  <c r="BC128" i="180"/>
  <c r="AE128" i="180"/>
  <c r="CS128" i="180"/>
  <c r="BU128" i="180"/>
  <c r="GE128" i="180"/>
  <c r="AQ128" i="180"/>
  <c r="BO128" i="180"/>
  <c r="CT169" i="180"/>
  <c r="Z169" i="180"/>
  <c r="BP169" i="180"/>
  <c r="CB169" i="180"/>
  <c r="BV169" i="180"/>
  <c r="GF169" i="180"/>
  <c r="AR169" i="180"/>
  <c r="CH169" i="180"/>
  <c r="DX169" i="180"/>
  <c r="AL169" i="180"/>
  <c r="CN169" i="180"/>
  <c r="AX169" i="180"/>
  <c r="AF169" i="180"/>
  <c r="FB169" i="180"/>
  <c r="BD169" i="180"/>
  <c r="BJ169" i="180"/>
  <c r="BB213" i="180"/>
  <c r="BN213" i="180"/>
  <c r="EZ213" i="180"/>
  <c r="AJ213" i="180"/>
  <c r="BZ213" i="180"/>
  <c r="AV213" i="180"/>
  <c r="CL213" i="180"/>
  <c r="AP213" i="180"/>
  <c r="CR213" i="180"/>
  <c r="BH213" i="180"/>
  <c r="DV213" i="180"/>
  <c r="CF213" i="180"/>
  <c r="AD213" i="180"/>
  <c r="BT213" i="180"/>
  <c r="GD213" i="180"/>
  <c r="X213" i="180"/>
  <c r="BA78" i="180"/>
  <c r="CQ78" i="180"/>
  <c r="W78" i="180"/>
  <c r="BM78" i="180"/>
  <c r="EY78" i="180"/>
  <c r="AI78" i="180"/>
  <c r="BY78" i="180"/>
  <c r="AU78" i="180"/>
  <c r="CK78" i="180"/>
  <c r="DU78" i="180"/>
  <c r="BS78" i="180"/>
  <c r="GC78" i="180"/>
  <c r="AO78" i="180"/>
  <c r="CE78" i="180"/>
  <c r="AC78" i="180"/>
  <c r="BG78" i="180"/>
  <c r="AX118" i="180"/>
  <c r="CN118" i="180"/>
  <c r="AL118" i="180"/>
  <c r="CH118" i="180"/>
  <c r="BP118" i="180"/>
  <c r="AF118" i="180"/>
  <c r="GF118" i="180"/>
  <c r="CT118" i="180"/>
  <c r="BJ118" i="180"/>
  <c r="CB118" i="180"/>
  <c r="AR118" i="180"/>
  <c r="Z118" i="180"/>
  <c r="DX118" i="180"/>
  <c r="BV118" i="180"/>
  <c r="BD118" i="180"/>
  <c r="FB118" i="180"/>
  <c r="BN160" i="180"/>
  <c r="GD160" i="180"/>
  <c r="AP160" i="180"/>
  <c r="BB160" i="180"/>
  <c r="EZ160" i="180"/>
  <c r="CL160" i="180"/>
  <c r="BT160" i="180"/>
  <c r="CF160" i="180"/>
  <c r="X160" i="180"/>
  <c r="AV160" i="180"/>
  <c r="BZ160" i="180"/>
  <c r="BH160" i="180"/>
  <c r="CR160" i="180"/>
  <c r="AD160" i="180"/>
  <c r="AJ160" i="180"/>
  <c r="DV160" i="180"/>
  <c r="GC201" i="180"/>
  <c r="AO201" i="180"/>
  <c r="AU201" i="180"/>
  <c r="BS201" i="180"/>
  <c r="BA201" i="180"/>
  <c r="AI201" i="180"/>
  <c r="DU201" i="180"/>
  <c r="CE201" i="180"/>
  <c r="W201" i="180"/>
  <c r="CQ201" i="180"/>
  <c r="CK201" i="180"/>
  <c r="BG201" i="180"/>
  <c r="BY201" i="180"/>
  <c r="EY201" i="180"/>
  <c r="AC201" i="180"/>
  <c r="BM201" i="180"/>
  <c r="EY69" i="180"/>
  <c r="AI69" i="180"/>
  <c r="BA69" i="180"/>
  <c r="DU69" i="180"/>
  <c r="CE69" i="180"/>
  <c r="BM69" i="180"/>
  <c r="AU69" i="180"/>
  <c r="AC69" i="180"/>
  <c r="GC69" i="180"/>
  <c r="CQ69" i="180"/>
  <c r="BY69" i="180"/>
  <c r="BG69" i="180"/>
  <c r="AO69" i="180"/>
  <c r="W69" i="180"/>
  <c r="CK69" i="180"/>
  <c r="BS69" i="180"/>
  <c r="FA108" i="180"/>
  <c r="AK108" i="180"/>
  <c r="CA108" i="180"/>
  <c r="AW108" i="180"/>
  <c r="CM108" i="180"/>
  <c r="BI108" i="180"/>
  <c r="DW108" i="180"/>
  <c r="AE108" i="180"/>
  <c r="BU108" i="180"/>
  <c r="GE108" i="180"/>
  <c r="AQ108" i="180"/>
  <c r="CG108" i="180"/>
  <c r="BC108" i="180"/>
  <c r="CS108" i="180"/>
  <c r="Y108" i="180"/>
  <c r="BO108" i="180"/>
  <c r="DV150" i="180"/>
  <c r="AD150" i="180"/>
  <c r="BN150" i="180"/>
  <c r="CR150" i="180"/>
  <c r="AV150" i="180"/>
  <c r="BZ150" i="180"/>
  <c r="EZ150" i="180"/>
  <c r="BB150" i="180"/>
  <c r="CF150" i="180"/>
  <c r="GD150" i="180"/>
  <c r="AJ150" i="180"/>
  <c r="CL150" i="180"/>
  <c r="AP150" i="180"/>
  <c r="X150" i="180"/>
  <c r="BT150" i="180"/>
  <c r="BH150" i="180"/>
  <c r="AV192" i="180"/>
  <c r="BH192" i="180"/>
  <c r="CR192" i="180"/>
  <c r="X192" i="180"/>
  <c r="BN192" i="180"/>
  <c r="CL192" i="180"/>
  <c r="BB192" i="180"/>
  <c r="AD192" i="180"/>
  <c r="BT192" i="180"/>
  <c r="AP192" i="180"/>
  <c r="DV192" i="180"/>
  <c r="GD192" i="180"/>
  <c r="BZ192" i="180"/>
  <c r="CF192" i="180"/>
  <c r="EZ192" i="180"/>
  <c r="AJ192" i="180"/>
  <c r="BZ60" i="180"/>
  <c r="AV60" i="180"/>
  <c r="CL60" i="180"/>
  <c r="BH60" i="180"/>
  <c r="DV60" i="180"/>
  <c r="AD60" i="180"/>
  <c r="BT60" i="180"/>
  <c r="GD60" i="180"/>
  <c r="AP60" i="180"/>
  <c r="CF60" i="180"/>
  <c r="BB60" i="180"/>
  <c r="CR60" i="180"/>
  <c r="X60" i="180"/>
  <c r="BN60" i="180"/>
  <c r="EZ60" i="180"/>
  <c r="AJ60" i="180"/>
  <c r="BY99" i="180"/>
  <c r="AU99" i="180"/>
  <c r="CK99" i="180"/>
  <c r="BG99" i="180"/>
  <c r="DU99" i="180"/>
  <c r="AC99" i="180"/>
  <c r="BS99" i="180"/>
  <c r="CQ99" i="180"/>
  <c r="W99" i="180"/>
  <c r="BM99" i="180"/>
  <c r="EY99" i="180"/>
  <c r="AI99" i="180"/>
  <c r="CE99" i="180"/>
  <c r="GC99" i="180"/>
  <c r="BA99" i="180"/>
  <c r="AO99" i="180"/>
  <c r="BV140" i="180"/>
  <c r="AR140" i="180"/>
  <c r="GF140" i="180"/>
  <c r="CH140" i="180"/>
  <c r="BD140" i="180"/>
  <c r="CT140" i="180"/>
  <c r="Z140" i="180"/>
  <c r="CN140" i="180"/>
  <c r="BJ140" i="180"/>
  <c r="DX140" i="180"/>
  <c r="AF140" i="180"/>
  <c r="CB140" i="180"/>
  <c r="AX140" i="180"/>
  <c r="FB140" i="180"/>
  <c r="BP140" i="180"/>
  <c r="AL140" i="180"/>
  <c r="BY180" i="180"/>
  <c r="AU180" i="180"/>
  <c r="CQ180" i="180"/>
  <c r="BS180" i="180"/>
  <c r="BA180" i="180"/>
  <c r="AI180" i="180"/>
  <c r="GC180" i="180"/>
  <c r="W180" i="180"/>
  <c r="CK180" i="180"/>
  <c r="BM180" i="180"/>
  <c r="AO180" i="180"/>
  <c r="AC180" i="180"/>
  <c r="DU180" i="180"/>
  <c r="EY180" i="180"/>
  <c r="CE180" i="180"/>
  <c r="BG180" i="180"/>
  <c r="DW51" i="180"/>
  <c r="AE51" i="180"/>
  <c r="CM51" i="180"/>
  <c r="BI51" i="180"/>
  <c r="GE51" i="180"/>
  <c r="CS51" i="180"/>
  <c r="CA51" i="180"/>
  <c r="BU51" i="180"/>
  <c r="BC51" i="180"/>
  <c r="AK51" i="180"/>
  <c r="FA51" i="180"/>
  <c r="CG51" i="180"/>
  <c r="BO51" i="180"/>
  <c r="AW51" i="180"/>
  <c r="AQ51" i="180"/>
  <c r="Y51" i="180"/>
  <c r="GF88" i="180"/>
  <c r="AR88" i="180"/>
  <c r="BV88" i="180"/>
  <c r="AF88" i="180"/>
  <c r="CT88" i="180"/>
  <c r="CB88" i="180"/>
  <c r="BJ88" i="180"/>
  <c r="Z88" i="180"/>
  <c r="FB88" i="180"/>
  <c r="CN88" i="180"/>
  <c r="BD88" i="180"/>
  <c r="AL88" i="180"/>
  <c r="CH88" i="180"/>
  <c r="DX88" i="180"/>
  <c r="BP88" i="180"/>
  <c r="AX88" i="180"/>
  <c r="BV129" i="180"/>
  <c r="CN129" i="180"/>
  <c r="BJ129" i="180"/>
  <c r="DX129" i="180"/>
  <c r="AF129" i="180"/>
  <c r="AR129" i="180"/>
  <c r="Z129" i="180"/>
  <c r="GF129" i="180"/>
  <c r="CT129" i="180"/>
  <c r="CB129" i="180"/>
  <c r="BD129" i="180"/>
  <c r="AL129" i="180"/>
  <c r="FB129" i="180"/>
  <c r="BP129" i="180"/>
  <c r="AX129" i="180"/>
  <c r="CH129" i="180"/>
  <c r="BP170" i="180"/>
  <c r="FB170" i="180"/>
  <c r="AL170" i="180"/>
  <c r="AX170" i="180"/>
  <c r="GF170" i="180"/>
  <c r="AR170" i="180"/>
  <c r="CH170" i="180"/>
  <c r="BD170" i="180"/>
  <c r="Z170" i="180"/>
  <c r="CB170" i="180"/>
  <c r="CN170" i="180"/>
  <c r="BJ170" i="180"/>
  <c r="AF170" i="180"/>
  <c r="CT170" i="180"/>
  <c r="BV170" i="180"/>
  <c r="DX170" i="180"/>
  <c r="CG214" i="180"/>
  <c r="CS214" i="180"/>
  <c r="BO214" i="180"/>
  <c r="FA214" i="180"/>
  <c r="CA214" i="180"/>
  <c r="AW214" i="180"/>
  <c r="CM214" i="180"/>
  <c r="BI214" i="180"/>
  <c r="DW214" i="180"/>
  <c r="AE214" i="180"/>
  <c r="AQ214" i="180"/>
  <c r="GE214" i="180"/>
  <c r="Y214" i="180"/>
  <c r="BU214" i="180"/>
  <c r="AK214" i="180"/>
  <c r="BC214" i="180"/>
  <c r="CQ79" i="180"/>
  <c r="W79" i="180"/>
  <c r="BM79" i="180"/>
  <c r="EY79" i="180"/>
  <c r="AI79" i="180"/>
  <c r="BY79" i="180"/>
  <c r="AU79" i="180"/>
  <c r="CK79" i="180"/>
  <c r="BG79" i="180"/>
  <c r="DU79" i="180"/>
  <c r="AC79" i="180"/>
  <c r="BS79" i="180"/>
  <c r="GC79" i="180"/>
  <c r="AO79" i="180"/>
  <c r="CE79" i="180"/>
  <c r="BA79" i="180"/>
  <c r="CN119" i="180"/>
  <c r="BJ119" i="180"/>
  <c r="AL119" i="180"/>
  <c r="CH119" i="180"/>
  <c r="BP119" i="180"/>
  <c r="AF119" i="180"/>
  <c r="AX119" i="180"/>
  <c r="GF119" i="180"/>
  <c r="CT119" i="180"/>
  <c r="CB119" i="180"/>
  <c r="AR119" i="180"/>
  <c r="Z119" i="180"/>
  <c r="BD119" i="180"/>
  <c r="FB119" i="180"/>
  <c r="DX119" i="180"/>
  <c r="BV119" i="180"/>
  <c r="EZ161" i="180"/>
  <c r="AJ161" i="180"/>
  <c r="CF161" i="180"/>
  <c r="CR161" i="180"/>
  <c r="X161" i="180"/>
  <c r="DV161" i="180"/>
  <c r="BZ161" i="180"/>
  <c r="BH161" i="180"/>
  <c r="AP161" i="180"/>
  <c r="AV161" i="180"/>
  <c r="AD161" i="180"/>
  <c r="BN161" i="180"/>
  <c r="GD161" i="180"/>
  <c r="BT161" i="180"/>
  <c r="CL161" i="180"/>
  <c r="BB161" i="180"/>
  <c r="CQ204" i="180"/>
  <c r="W204" i="180"/>
  <c r="EY204" i="180"/>
  <c r="AI204" i="180"/>
  <c r="GC204" i="180"/>
  <c r="AO204" i="180"/>
  <c r="AU204" i="180"/>
  <c r="AC204" i="180"/>
  <c r="BA204" i="180"/>
  <c r="BS204" i="180"/>
  <c r="DU204" i="180"/>
  <c r="BY204" i="180"/>
  <c r="BM204" i="180"/>
  <c r="CK204" i="180"/>
  <c r="CE204" i="180"/>
  <c r="BG204" i="180"/>
  <c r="BY70" i="180"/>
  <c r="CQ70" i="180"/>
  <c r="W70" i="180"/>
  <c r="EY70" i="180"/>
  <c r="AI70" i="180"/>
  <c r="CK70" i="180"/>
  <c r="BS70" i="180"/>
  <c r="BA70" i="180"/>
  <c r="AU70" i="180"/>
  <c r="AC70" i="180"/>
  <c r="BM70" i="180"/>
  <c r="DU70" i="180"/>
  <c r="CE70" i="180"/>
  <c r="BG70" i="180"/>
  <c r="AO70" i="180"/>
  <c r="GC70" i="180"/>
  <c r="GF109" i="180"/>
  <c r="AX109" i="180"/>
  <c r="CN109" i="180"/>
  <c r="DX109" i="180"/>
  <c r="CH109" i="180"/>
  <c r="BP109" i="180"/>
  <c r="AF109" i="180"/>
  <c r="BJ109" i="180"/>
  <c r="CT109" i="180"/>
  <c r="CB109" i="180"/>
  <c r="AR109" i="180"/>
  <c r="Z109" i="180"/>
  <c r="FB109" i="180"/>
  <c r="BV109" i="180"/>
  <c r="BD109" i="180"/>
  <c r="AL109" i="180"/>
  <c r="BT151" i="180"/>
  <c r="CL151" i="180"/>
  <c r="AP151" i="180"/>
  <c r="X151" i="180"/>
  <c r="DV151" i="180"/>
  <c r="BB151" i="180"/>
  <c r="CF151" i="180"/>
  <c r="BZ151" i="180"/>
  <c r="EZ151" i="180"/>
  <c r="AD151" i="180"/>
  <c r="BH151" i="180"/>
  <c r="AJ151" i="180"/>
  <c r="GD151" i="180"/>
  <c r="CR151" i="180"/>
  <c r="AV151" i="180"/>
  <c r="BN151" i="180"/>
  <c r="DV193" i="180"/>
  <c r="BZ193" i="180"/>
  <c r="BH193" i="180"/>
  <c r="AD193" i="180"/>
  <c r="GD193" i="180"/>
  <c r="BN193" i="180"/>
  <c r="AJ193" i="180"/>
  <c r="BB193" i="180"/>
  <c r="EZ193" i="180"/>
  <c r="CF193" i="180"/>
  <c r="CL193" i="180"/>
  <c r="AV193" i="180"/>
  <c r="BT193" i="180"/>
  <c r="X193" i="180"/>
  <c r="CR193" i="180"/>
  <c r="AP193" i="180"/>
  <c r="AV61" i="180"/>
  <c r="CL61" i="180"/>
  <c r="BH61" i="180"/>
  <c r="DV61" i="180"/>
  <c r="AD61" i="180"/>
  <c r="BT61" i="180"/>
  <c r="GD61" i="180"/>
  <c r="AP61" i="180"/>
  <c r="CF61" i="180"/>
  <c r="BB61" i="180"/>
  <c r="CR61" i="180"/>
  <c r="X61" i="180"/>
  <c r="BN61" i="180"/>
  <c r="EZ61" i="180"/>
  <c r="AJ61" i="180"/>
  <c r="BZ61" i="180"/>
  <c r="AU100" i="180"/>
  <c r="CK100" i="180"/>
  <c r="BG100" i="180"/>
  <c r="DU100" i="180"/>
  <c r="AC100" i="180"/>
  <c r="BS100" i="180"/>
  <c r="GC100" i="180"/>
  <c r="AO100" i="180"/>
  <c r="CQ100" i="180"/>
  <c r="BM100" i="180"/>
  <c r="EY100" i="180"/>
  <c r="AI100" i="180"/>
  <c r="BY100" i="180"/>
  <c r="CE100" i="180"/>
  <c r="W100" i="180"/>
  <c r="BA100" i="180"/>
  <c r="AU142" i="180"/>
  <c r="BA142" i="180"/>
  <c r="CE142" i="180"/>
  <c r="GC142" i="180"/>
  <c r="AI142" i="180"/>
  <c r="BM142" i="180"/>
  <c r="CQ142" i="180"/>
  <c r="AO142" i="180"/>
  <c r="BS142" i="180"/>
  <c r="DU142" i="180"/>
  <c r="W142" i="180"/>
  <c r="CK142" i="180"/>
  <c r="BY142" i="180"/>
  <c r="AC142" i="180"/>
  <c r="EY142" i="180"/>
  <c r="BG142" i="180"/>
  <c r="BI181" i="180"/>
  <c r="DW181" i="180"/>
  <c r="AE181" i="180"/>
  <c r="FA181" i="180"/>
  <c r="Y181" i="180"/>
  <c r="CG181" i="180"/>
  <c r="BO181" i="180"/>
  <c r="CS181" i="180"/>
  <c r="AW181" i="180"/>
  <c r="BU181" i="180"/>
  <c r="GE181" i="180"/>
  <c r="AK181" i="180"/>
  <c r="CM181" i="180"/>
  <c r="BC181" i="180"/>
  <c r="CA181" i="180"/>
  <c r="AQ181" i="180"/>
  <c r="BU52" i="180"/>
  <c r="BI52" i="180"/>
  <c r="DW52" i="180"/>
  <c r="AE52" i="180"/>
  <c r="FA52" i="180"/>
  <c r="CM52" i="180"/>
  <c r="CG52" i="180"/>
  <c r="BO52" i="180"/>
  <c r="AW52" i="180"/>
  <c r="AQ52" i="180"/>
  <c r="Y52" i="180"/>
  <c r="GE52" i="180"/>
  <c r="CS52" i="180"/>
  <c r="CA52" i="180"/>
  <c r="BC52" i="180"/>
  <c r="AK52" i="180"/>
  <c r="CH89" i="180"/>
  <c r="GF89" i="180"/>
  <c r="AR89" i="180"/>
  <c r="AX89" i="180"/>
  <c r="AF89" i="180"/>
  <c r="CT89" i="180"/>
  <c r="CB89" i="180"/>
  <c r="BJ89" i="180"/>
  <c r="Z89" i="180"/>
  <c r="FB89" i="180"/>
  <c r="CN89" i="180"/>
  <c r="BD89" i="180"/>
  <c r="BV89" i="180"/>
  <c r="AL89" i="180"/>
  <c r="DX89" i="180"/>
  <c r="BP89" i="180"/>
  <c r="DU131" i="180"/>
  <c r="AC131" i="180"/>
  <c r="AU131" i="180"/>
  <c r="CK131" i="180"/>
  <c r="BG131" i="180"/>
  <c r="BY131" i="180"/>
  <c r="BS131" i="180"/>
  <c r="BA131" i="180"/>
  <c r="AI131" i="180"/>
  <c r="EY131" i="180"/>
  <c r="CE131" i="180"/>
  <c r="BM131" i="180"/>
  <c r="AO131" i="180"/>
  <c r="W131" i="180"/>
  <c r="GC131" i="180"/>
  <c r="CQ131" i="180"/>
  <c r="CT171" i="180"/>
  <c r="GF171" i="180"/>
  <c r="BP171" i="180"/>
  <c r="AL171" i="180"/>
  <c r="CB171" i="180"/>
  <c r="BV171" i="180"/>
  <c r="DX171" i="180"/>
  <c r="BD171" i="180"/>
  <c r="Z171" i="180"/>
  <c r="BJ171" i="180"/>
  <c r="AF171" i="180"/>
  <c r="CN171" i="180"/>
  <c r="AR171" i="180"/>
  <c r="AX171" i="180"/>
  <c r="CH171" i="180"/>
  <c r="FB171" i="180"/>
  <c r="CT215" i="180"/>
  <c r="Z215" i="180"/>
  <c r="BP215" i="180"/>
  <c r="FB215" i="180"/>
  <c r="AL215" i="180"/>
  <c r="CB215" i="180"/>
  <c r="AX215" i="180"/>
  <c r="CN215" i="180"/>
  <c r="BJ215" i="180"/>
  <c r="DX215" i="180"/>
  <c r="AF215" i="180"/>
  <c r="BV215" i="180"/>
  <c r="GF215" i="180"/>
  <c r="AR215" i="180"/>
  <c r="CH215" i="180"/>
  <c r="BD215" i="180"/>
  <c r="CF159" i="179"/>
  <c r="CL159" i="179"/>
  <c r="BH159" i="179"/>
  <c r="DV159" i="179"/>
  <c r="AD159" i="179"/>
  <c r="BZ159" i="179"/>
  <c r="CR159" i="179"/>
  <c r="AJ159" i="179"/>
  <c r="EZ159" i="179"/>
  <c r="BN159" i="179"/>
  <c r="X159" i="179"/>
  <c r="AV159" i="179"/>
  <c r="GD159" i="179"/>
  <c r="AP159" i="179"/>
  <c r="BT159" i="179"/>
  <c r="BB159" i="179"/>
  <c r="CT48" i="179"/>
  <c r="Z48" i="179"/>
  <c r="BP48" i="179"/>
  <c r="BV48" i="179"/>
  <c r="AL48" i="179"/>
  <c r="BD48" i="179"/>
  <c r="DX48" i="179"/>
  <c r="CH48" i="179"/>
  <c r="AX48" i="179"/>
  <c r="AF48" i="179"/>
  <c r="GF48" i="179"/>
  <c r="CB48" i="179"/>
  <c r="BJ48" i="179"/>
  <c r="FB48" i="179"/>
  <c r="CN48" i="179"/>
  <c r="AR48" i="179"/>
  <c r="CF132" i="179"/>
  <c r="CL132" i="179"/>
  <c r="BH132" i="179"/>
  <c r="DV132" i="179"/>
  <c r="AD132" i="179"/>
  <c r="BZ132" i="179"/>
  <c r="BB132" i="179"/>
  <c r="CR132" i="179"/>
  <c r="GD132" i="179"/>
  <c r="AV132" i="179"/>
  <c r="X132" i="179"/>
  <c r="EZ132" i="179"/>
  <c r="AP132" i="179"/>
  <c r="Q132" i="179"/>
  <c r="AJ132" i="179"/>
  <c r="BT132" i="179"/>
  <c r="BN132" i="179"/>
  <c r="BT94" i="179"/>
  <c r="CF94" i="179"/>
  <c r="BB94" i="179"/>
  <c r="CR94" i="179"/>
  <c r="X94" i="179"/>
  <c r="BH94" i="179"/>
  <c r="AJ94" i="179"/>
  <c r="DV94" i="179"/>
  <c r="BZ94" i="179"/>
  <c r="AD94" i="179"/>
  <c r="GD94" i="179"/>
  <c r="AV94" i="179"/>
  <c r="CL94" i="179"/>
  <c r="BN94" i="179"/>
  <c r="EZ94" i="179"/>
  <c r="AP94" i="179"/>
  <c r="GC199" i="179"/>
  <c r="AO199" i="179"/>
  <c r="CK199" i="179"/>
  <c r="W199" i="179"/>
  <c r="BS199" i="179"/>
  <c r="BA199" i="179"/>
  <c r="CQ199" i="179"/>
  <c r="BY199" i="179"/>
  <c r="AC199" i="179"/>
  <c r="BG199" i="179"/>
  <c r="AU199" i="179"/>
  <c r="DU199" i="179"/>
  <c r="CE199" i="179"/>
  <c r="EY199" i="179"/>
  <c r="BM199" i="179"/>
  <c r="AI199" i="179"/>
  <c r="BN135" i="179"/>
  <c r="BT135" i="179"/>
  <c r="GD135" i="179"/>
  <c r="AP135" i="179"/>
  <c r="CF135" i="179"/>
  <c r="AD135" i="179"/>
  <c r="DV135" i="179"/>
  <c r="BH135" i="179"/>
  <c r="BZ135" i="179"/>
  <c r="CR135" i="179"/>
  <c r="BB135" i="179"/>
  <c r="AJ135" i="179"/>
  <c r="CL135" i="179"/>
  <c r="AV135" i="179"/>
  <c r="EZ135" i="179"/>
  <c r="X135" i="179"/>
  <c r="CR79" i="179"/>
  <c r="X79" i="179"/>
  <c r="BN79" i="179"/>
  <c r="EZ79" i="179"/>
  <c r="AJ79" i="179"/>
  <c r="BZ79" i="179"/>
  <c r="AV79" i="179"/>
  <c r="CL79" i="179"/>
  <c r="BH79" i="179"/>
  <c r="DV79" i="179"/>
  <c r="AD79" i="179"/>
  <c r="BT79" i="179"/>
  <c r="GD79" i="179"/>
  <c r="AP79" i="179"/>
  <c r="BB79" i="179"/>
  <c r="CF79" i="179"/>
  <c r="BG62" i="179"/>
  <c r="BM62" i="179"/>
  <c r="EY62" i="179"/>
  <c r="W62" i="179"/>
  <c r="CK62" i="179"/>
  <c r="BS62" i="179"/>
  <c r="BA62" i="179"/>
  <c r="AI62" i="179"/>
  <c r="DU62" i="179"/>
  <c r="CE62" i="179"/>
  <c r="AU62" i="179"/>
  <c r="AC62" i="179"/>
  <c r="AO62" i="179"/>
  <c r="GC62" i="179"/>
  <c r="CQ62" i="179"/>
  <c r="BY62" i="179"/>
  <c r="EZ136" i="179"/>
  <c r="AJ136" i="179"/>
  <c r="GD136" i="179"/>
  <c r="AP136" i="179"/>
  <c r="CF136" i="179"/>
  <c r="BB136" i="179"/>
  <c r="DV136" i="179"/>
  <c r="CR136" i="179"/>
  <c r="BZ136" i="179"/>
  <c r="CL136" i="179"/>
  <c r="BT136" i="179"/>
  <c r="AD136" i="179"/>
  <c r="AV136" i="179"/>
  <c r="BN136" i="179"/>
  <c r="X136" i="179"/>
  <c r="BH136" i="179"/>
  <c r="CN209" i="179"/>
  <c r="CT209" i="179"/>
  <c r="Z209" i="179"/>
  <c r="BP209" i="179"/>
  <c r="FB209" i="179"/>
  <c r="AL209" i="179"/>
  <c r="GF209" i="179"/>
  <c r="DX209" i="179"/>
  <c r="CH209" i="179"/>
  <c r="BJ209" i="179"/>
  <c r="AR209" i="179"/>
  <c r="AX209" i="179"/>
  <c r="BD209" i="179"/>
  <c r="CB209" i="179"/>
  <c r="AF209" i="179"/>
  <c r="BV209" i="179"/>
  <c r="FA58" i="179"/>
  <c r="AK58" i="179"/>
  <c r="CA58" i="179"/>
  <c r="AW58" i="179"/>
  <c r="CM58" i="179"/>
  <c r="BI58" i="179"/>
  <c r="DW58" i="179"/>
  <c r="AE58" i="179"/>
  <c r="BU58" i="179"/>
  <c r="GE58" i="179"/>
  <c r="AQ58" i="179"/>
  <c r="CG58" i="179"/>
  <c r="BC58" i="179"/>
  <c r="BO58" i="179"/>
  <c r="Y58" i="179"/>
  <c r="CS58" i="179"/>
  <c r="DW51" i="179"/>
  <c r="AE51" i="179"/>
  <c r="GE51" i="179"/>
  <c r="AQ51" i="179"/>
  <c r="CG51" i="179"/>
  <c r="BC51" i="179"/>
  <c r="CS51" i="179"/>
  <c r="Y51" i="179"/>
  <c r="FA51" i="179"/>
  <c r="AK51" i="179"/>
  <c r="CA51" i="179"/>
  <c r="BU51" i="179"/>
  <c r="BO51" i="179"/>
  <c r="BI51" i="179"/>
  <c r="CM51" i="179"/>
  <c r="AW51" i="179"/>
  <c r="GD47" i="179"/>
  <c r="AP47" i="179"/>
  <c r="CF47" i="179"/>
  <c r="CL47" i="179"/>
  <c r="BB47" i="179"/>
  <c r="BT47" i="179"/>
  <c r="AJ47" i="179"/>
  <c r="DV47" i="179"/>
  <c r="BN47" i="179"/>
  <c r="AV47" i="179"/>
  <c r="AD47" i="179"/>
  <c r="CR47" i="179"/>
  <c r="BZ47" i="179"/>
  <c r="EZ47" i="179"/>
  <c r="BH47" i="179"/>
  <c r="X47" i="179"/>
  <c r="BA79" i="179"/>
  <c r="CQ79" i="179"/>
  <c r="W79" i="179"/>
  <c r="BM79" i="179"/>
  <c r="EY79" i="179"/>
  <c r="AI79" i="179"/>
  <c r="BY79" i="179"/>
  <c r="AU79" i="179"/>
  <c r="CK79" i="179"/>
  <c r="BG79" i="179"/>
  <c r="DU79" i="179"/>
  <c r="AC79" i="179"/>
  <c r="BS79" i="179"/>
  <c r="AO79" i="179"/>
  <c r="GC79" i="179"/>
  <c r="CE79" i="179"/>
  <c r="AU117" i="179"/>
  <c r="CK117" i="179"/>
  <c r="BA117" i="179"/>
  <c r="CQ117" i="179"/>
  <c r="AI117" i="179"/>
  <c r="BS117" i="179"/>
  <c r="GC117" i="179"/>
  <c r="AC117" i="179"/>
  <c r="BM117" i="179"/>
  <c r="EY117" i="179"/>
  <c r="CE117" i="179"/>
  <c r="W117" i="179"/>
  <c r="BG117" i="179"/>
  <c r="AO117" i="179"/>
  <c r="DU117" i="179"/>
  <c r="BY117" i="179"/>
  <c r="GC159" i="179"/>
  <c r="AO159" i="179"/>
  <c r="AU159" i="179"/>
  <c r="CK159" i="179"/>
  <c r="BG159" i="179"/>
  <c r="BY159" i="179"/>
  <c r="BA159" i="179"/>
  <c r="DU159" i="179"/>
  <c r="BM159" i="179"/>
  <c r="AI159" i="179"/>
  <c r="CE159" i="179"/>
  <c r="CQ159" i="179"/>
  <c r="W159" i="179"/>
  <c r="EY159" i="179"/>
  <c r="BS159" i="179"/>
  <c r="AC159" i="179"/>
  <c r="GE194" i="179"/>
  <c r="AQ194" i="179"/>
  <c r="CG194" i="179"/>
  <c r="AW194" i="179"/>
  <c r="BI194" i="179"/>
  <c r="AE194" i="179"/>
  <c r="BU194" i="179"/>
  <c r="DW194" i="179"/>
  <c r="BO194" i="179"/>
  <c r="CS194" i="179"/>
  <c r="AK194" i="179"/>
  <c r="FA194" i="179"/>
  <c r="BC194" i="179"/>
  <c r="Y194" i="179"/>
  <c r="CM194" i="179"/>
  <c r="CA194" i="179"/>
  <c r="EZ146" i="179"/>
  <c r="AJ146" i="179"/>
  <c r="AP146" i="179"/>
  <c r="CR146" i="179"/>
  <c r="AV146" i="179"/>
  <c r="BZ146" i="179"/>
  <c r="BH146" i="179"/>
  <c r="BT146" i="179"/>
  <c r="BB146" i="179"/>
  <c r="CL146" i="179"/>
  <c r="AD146" i="179"/>
  <c r="DV146" i="179"/>
  <c r="CF146" i="179"/>
  <c r="BN146" i="179"/>
  <c r="GD146" i="179"/>
  <c r="X146" i="179"/>
  <c r="CK95" i="179"/>
  <c r="BG95" i="179"/>
  <c r="BS95" i="179"/>
  <c r="CE95" i="179"/>
  <c r="BA95" i="179"/>
  <c r="CQ95" i="179"/>
  <c r="W95" i="179"/>
  <c r="DU95" i="179"/>
  <c r="AU95" i="179"/>
  <c r="BM95" i="179"/>
  <c r="AO95" i="179"/>
  <c r="AI95" i="179"/>
  <c r="GC95" i="179"/>
  <c r="EY95" i="179"/>
  <c r="AC95" i="179"/>
  <c r="BY95" i="179"/>
  <c r="DU50" i="179"/>
  <c r="BS50" i="179"/>
  <c r="GC50" i="179"/>
  <c r="AO50" i="179"/>
  <c r="BA50" i="179"/>
  <c r="CQ50" i="179"/>
  <c r="W50" i="179"/>
  <c r="EY50" i="179"/>
  <c r="CE50" i="179"/>
  <c r="BG50" i="179"/>
  <c r="AI50" i="179"/>
  <c r="BY50" i="179"/>
  <c r="AU50" i="179"/>
  <c r="CK50" i="179"/>
  <c r="BM50" i="179"/>
  <c r="AC50" i="179"/>
  <c r="BI166" i="179"/>
  <c r="DW166" i="179"/>
  <c r="AE166" i="179"/>
  <c r="BO166" i="179"/>
  <c r="FA166" i="179"/>
  <c r="AK166" i="179"/>
  <c r="CA166" i="179"/>
  <c r="CG166" i="179"/>
  <c r="GE166" i="179"/>
  <c r="AW166" i="179"/>
  <c r="CM166" i="179"/>
  <c r="BC166" i="179"/>
  <c r="AQ166" i="179"/>
  <c r="CS166" i="179"/>
  <c r="BU166" i="179"/>
  <c r="Y166" i="179"/>
  <c r="CE111" i="179"/>
  <c r="BG111" i="179"/>
  <c r="AC111" i="179"/>
  <c r="CK111" i="179"/>
  <c r="BS111" i="179"/>
  <c r="AO111" i="179"/>
  <c r="DU111" i="179"/>
  <c r="W111" i="179"/>
  <c r="BA111" i="179"/>
  <c r="GC111" i="179"/>
  <c r="BM111" i="179"/>
  <c r="AI111" i="179"/>
  <c r="CQ111" i="179"/>
  <c r="BY111" i="179"/>
  <c r="EY111" i="179"/>
  <c r="AU111" i="179"/>
  <c r="GC55" i="179"/>
  <c r="AO55" i="179"/>
  <c r="CE55" i="179"/>
  <c r="BA55" i="179"/>
  <c r="CQ55" i="179"/>
  <c r="W55" i="179"/>
  <c r="BM55" i="179"/>
  <c r="EY55" i="179"/>
  <c r="AI55" i="179"/>
  <c r="BY55" i="179"/>
  <c r="AU55" i="179"/>
  <c r="CK55" i="179"/>
  <c r="BG55" i="179"/>
  <c r="BS55" i="179"/>
  <c r="AC55" i="179"/>
  <c r="DU55" i="179"/>
  <c r="CK172" i="179"/>
  <c r="BS172" i="179"/>
  <c r="GC172" i="179"/>
  <c r="CQ172" i="179"/>
  <c r="AU172" i="179"/>
  <c r="BY172" i="179"/>
  <c r="AC172" i="179"/>
  <c r="DU172" i="179"/>
  <c r="BG172" i="179"/>
  <c r="CE172" i="179"/>
  <c r="BA172" i="179"/>
  <c r="AO172" i="179"/>
  <c r="BM172" i="179"/>
  <c r="EY172" i="179"/>
  <c r="AI172" i="179"/>
  <c r="W172" i="179"/>
  <c r="BV85" i="179"/>
  <c r="AR85" i="179"/>
  <c r="GF85" i="179"/>
  <c r="CH85" i="179"/>
  <c r="BD85" i="179"/>
  <c r="CT85" i="179"/>
  <c r="Z85" i="179"/>
  <c r="BP85" i="179"/>
  <c r="AL85" i="179"/>
  <c r="FB85" i="179"/>
  <c r="CB85" i="179"/>
  <c r="AX85" i="179"/>
  <c r="CN85" i="179"/>
  <c r="AF85" i="179"/>
  <c r="DX85" i="179"/>
  <c r="BJ85" i="179"/>
  <c r="BO155" i="179"/>
  <c r="CA155" i="179"/>
  <c r="DW155" i="179"/>
  <c r="Y155" i="179"/>
  <c r="BC155" i="179"/>
  <c r="CG155" i="179"/>
  <c r="AK155" i="179"/>
  <c r="AQ155" i="179"/>
  <c r="FA155" i="179"/>
  <c r="CS155" i="179"/>
  <c r="AW155" i="179"/>
  <c r="BU155" i="179"/>
  <c r="CM155" i="179"/>
  <c r="AE155" i="179"/>
  <c r="BI155" i="179"/>
  <c r="GE155" i="179"/>
  <c r="BM59" i="179"/>
  <c r="EY59" i="179"/>
  <c r="AI59" i="179"/>
  <c r="BY59" i="179"/>
  <c r="AU59" i="179"/>
  <c r="CK59" i="179"/>
  <c r="BG59" i="179"/>
  <c r="DU59" i="179"/>
  <c r="AC59" i="179"/>
  <c r="BS59" i="179"/>
  <c r="GC59" i="179"/>
  <c r="AO59" i="179"/>
  <c r="CE59" i="179"/>
  <c r="W59" i="179"/>
  <c r="CQ59" i="179"/>
  <c r="BA59" i="179"/>
  <c r="AW126" i="179"/>
  <c r="BC126" i="179"/>
  <c r="Y126" i="179"/>
  <c r="CG126" i="179"/>
  <c r="DW126" i="179"/>
  <c r="BI126" i="179"/>
  <c r="AQ126" i="179"/>
  <c r="CA126" i="179"/>
  <c r="CS126" i="179"/>
  <c r="AK126" i="179"/>
  <c r="GE126" i="179"/>
  <c r="CM126" i="179"/>
  <c r="BU126" i="179"/>
  <c r="AE126" i="179"/>
  <c r="FA126" i="179"/>
  <c r="BO126" i="179"/>
  <c r="CS197" i="179"/>
  <c r="Y197" i="179"/>
  <c r="BO197" i="179"/>
  <c r="DW197" i="179"/>
  <c r="AE197" i="179"/>
  <c r="BU197" i="179"/>
  <c r="GE197" i="179"/>
  <c r="AQ197" i="179"/>
  <c r="AW197" i="179"/>
  <c r="BI197" i="179"/>
  <c r="CM197" i="179"/>
  <c r="AK197" i="179"/>
  <c r="FA197" i="179"/>
  <c r="CG197" i="179"/>
  <c r="CA197" i="179"/>
  <c r="BC197" i="179"/>
  <c r="BG98" i="179"/>
  <c r="DU98" i="179"/>
  <c r="AC98" i="179"/>
  <c r="BS98" i="179"/>
  <c r="GC98" i="179"/>
  <c r="AO98" i="179"/>
  <c r="CE98" i="179"/>
  <c r="BA98" i="179"/>
  <c r="CQ98" i="179"/>
  <c r="W98" i="179"/>
  <c r="BM98" i="179"/>
  <c r="EY98" i="179"/>
  <c r="AI98" i="179"/>
  <c r="BY98" i="179"/>
  <c r="AU98" i="179"/>
  <c r="CK98" i="179"/>
  <c r="DV168" i="179"/>
  <c r="AD168" i="179"/>
  <c r="BT168" i="179"/>
  <c r="EZ168" i="179"/>
  <c r="AJ168" i="179"/>
  <c r="BZ168" i="179"/>
  <c r="AV168" i="179"/>
  <c r="GD168" i="179"/>
  <c r="CL168" i="179"/>
  <c r="BN168" i="179"/>
  <c r="BB168" i="179"/>
  <c r="CF168" i="179"/>
  <c r="AP168" i="179"/>
  <c r="X168" i="179"/>
  <c r="BH168" i="179"/>
  <c r="CR168" i="179"/>
  <c r="BA67" i="179"/>
  <c r="BG67" i="179"/>
  <c r="DU67" i="179"/>
  <c r="AC67" i="179"/>
  <c r="GC67" i="179"/>
  <c r="AI67" i="179"/>
  <c r="BS67" i="179"/>
  <c r="EY67" i="179"/>
  <c r="CK67" i="179"/>
  <c r="BM67" i="179"/>
  <c r="AU67" i="179"/>
  <c r="CE67" i="179"/>
  <c r="W67" i="179"/>
  <c r="AO67" i="179"/>
  <c r="CQ67" i="179"/>
  <c r="BY67" i="179"/>
  <c r="CL137" i="179"/>
  <c r="CF137" i="179"/>
  <c r="BB137" i="179"/>
  <c r="GD137" i="179"/>
  <c r="X137" i="179"/>
  <c r="EZ137" i="179"/>
  <c r="AP137" i="179"/>
  <c r="BH137" i="179"/>
  <c r="BZ137" i="179"/>
  <c r="DV137" i="179"/>
  <c r="CR137" i="179"/>
  <c r="AD137" i="179"/>
  <c r="BT137" i="179"/>
  <c r="AV137" i="179"/>
  <c r="BN137" i="179"/>
  <c r="AJ137" i="179"/>
  <c r="CA208" i="179"/>
  <c r="CG208" i="179"/>
  <c r="BC208" i="179"/>
  <c r="CS208" i="179"/>
  <c r="Y208" i="179"/>
  <c r="DW208" i="179"/>
  <c r="BI208" i="179"/>
  <c r="AQ208" i="179"/>
  <c r="CM208" i="179"/>
  <c r="BU208" i="179"/>
  <c r="FA208" i="179"/>
  <c r="AW208" i="179"/>
  <c r="BO208" i="179"/>
  <c r="AE208" i="179"/>
  <c r="GE208" i="179"/>
  <c r="AK208" i="179"/>
  <c r="GC101" i="179"/>
  <c r="AO101" i="179"/>
  <c r="CE101" i="179"/>
  <c r="BA101" i="179"/>
  <c r="CQ101" i="179"/>
  <c r="W101" i="179"/>
  <c r="BM101" i="179"/>
  <c r="EY101" i="179"/>
  <c r="AI101" i="179"/>
  <c r="BY101" i="179"/>
  <c r="AU101" i="179"/>
  <c r="CK101" i="179"/>
  <c r="BG101" i="179"/>
  <c r="BS101" i="179"/>
  <c r="AC101" i="179"/>
  <c r="DU101" i="179"/>
  <c r="CF171" i="179"/>
  <c r="BB171" i="179"/>
  <c r="CL171" i="179"/>
  <c r="BH171" i="179"/>
  <c r="DV171" i="179"/>
  <c r="AD171" i="179"/>
  <c r="X171" i="179"/>
  <c r="CR171" i="179"/>
  <c r="BT171" i="179"/>
  <c r="AJ171" i="179"/>
  <c r="EZ171" i="179"/>
  <c r="BN171" i="179"/>
  <c r="AP171" i="179"/>
  <c r="BZ171" i="179"/>
  <c r="GD171" i="179"/>
  <c r="AV171" i="179"/>
  <c r="CA59" i="179"/>
  <c r="AW59" i="179"/>
  <c r="CM59" i="179"/>
  <c r="BI59" i="179"/>
  <c r="DW59" i="179"/>
  <c r="AE59" i="179"/>
  <c r="BU59" i="179"/>
  <c r="GE59" i="179"/>
  <c r="AQ59" i="179"/>
  <c r="CG59" i="179"/>
  <c r="BC59" i="179"/>
  <c r="CS59" i="179"/>
  <c r="Y59" i="179"/>
  <c r="AK59" i="179"/>
  <c r="FA59" i="179"/>
  <c r="BO59" i="179"/>
  <c r="DV98" i="179"/>
  <c r="AD98" i="179"/>
  <c r="BT98" i="179"/>
  <c r="GD98" i="179"/>
  <c r="AP98" i="179"/>
  <c r="CF98" i="179"/>
  <c r="BB98" i="179"/>
  <c r="CR98" i="179"/>
  <c r="X98" i="179"/>
  <c r="BN98" i="179"/>
  <c r="EZ98" i="179"/>
  <c r="AJ98" i="179"/>
  <c r="BZ98" i="179"/>
  <c r="AV98" i="179"/>
  <c r="BH98" i="179"/>
  <c r="CL98" i="179"/>
  <c r="GF139" i="179"/>
  <c r="AR139" i="179"/>
  <c r="CN139" i="179"/>
  <c r="BJ139" i="179"/>
  <c r="CT139" i="179"/>
  <c r="BP139" i="179"/>
  <c r="CB139" i="179"/>
  <c r="AX139" i="179"/>
  <c r="DX139" i="179"/>
  <c r="AL139" i="179"/>
  <c r="BD139" i="179"/>
  <c r="BV139" i="179"/>
  <c r="AF139" i="179"/>
  <c r="Z139" i="179"/>
  <c r="FB139" i="179"/>
  <c r="CH139" i="179"/>
  <c r="BB179" i="179"/>
  <c r="BH179" i="179"/>
  <c r="DV179" i="179"/>
  <c r="AD179" i="179"/>
  <c r="AP179" i="179"/>
  <c r="GD179" i="179"/>
  <c r="CF179" i="179"/>
  <c r="CR179" i="179"/>
  <c r="BN179" i="179"/>
  <c r="CL179" i="179"/>
  <c r="EZ179" i="179"/>
  <c r="BZ179" i="179"/>
  <c r="BT179" i="179"/>
  <c r="AV179" i="179"/>
  <c r="X179" i="179"/>
  <c r="AJ179" i="179"/>
  <c r="GF50" i="179"/>
  <c r="BD50" i="179"/>
  <c r="CT50" i="179"/>
  <c r="Z50" i="179"/>
  <c r="FB50" i="179"/>
  <c r="AL50" i="179"/>
  <c r="CB50" i="179"/>
  <c r="AR50" i="179"/>
  <c r="CH50" i="179"/>
  <c r="BJ50" i="179"/>
  <c r="DX50" i="179"/>
  <c r="AF50" i="179"/>
  <c r="BV50" i="179"/>
  <c r="AX50" i="179"/>
  <c r="CN50" i="179"/>
  <c r="BP50" i="179"/>
  <c r="CK88" i="179"/>
  <c r="BG88" i="179"/>
  <c r="CQ88" i="179"/>
  <c r="BY88" i="179"/>
  <c r="AO88" i="179"/>
  <c r="W88" i="179"/>
  <c r="EY88" i="179"/>
  <c r="BS88" i="179"/>
  <c r="BA88" i="179"/>
  <c r="AI88" i="179"/>
  <c r="DU88" i="179"/>
  <c r="CE88" i="179"/>
  <c r="BM88" i="179"/>
  <c r="AC88" i="179"/>
  <c r="AU88" i="179"/>
  <c r="GC88" i="179"/>
  <c r="DX128" i="179"/>
  <c r="AF128" i="179"/>
  <c r="FB128" i="179"/>
  <c r="AL128" i="179"/>
  <c r="CN128" i="179"/>
  <c r="BV128" i="179"/>
  <c r="BP128" i="179"/>
  <c r="AX128" i="179"/>
  <c r="GF128" i="179"/>
  <c r="CT128" i="179"/>
  <c r="CB128" i="179"/>
  <c r="Z128" i="179"/>
  <c r="AR128" i="179"/>
  <c r="BJ128" i="179"/>
  <c r="CH128" i="179"/>
  <c r="BD128" i="179"/>
  <c r="BS170" i="179"/>
  <c r="GC170" i="179"/>
  <c r="AO170" i="179"/>
  <c r="BY170" i="179"/>
  <c r="AU170" i="179"/>
  <c r="CK170" i="179"/>
  <c r="EY170" i="179"/>
  <c r="BA170" i="179"/>
  <c r="AC170" i="179"/>
  <c r="BM170" i="179"/>
  <c r="CE170" i="179"/>
  <c r="W170" i="179"/>
  <c r="DU170" i="179"/>
  <c r="BG170" i="179"/>
  <c r="AI170" i="179"/>
  <c r="CQ170" i="179"/>
  <c r="GE213" i="179"/>
  <c r="AQ213" i="179"/>
  <c r="CG213" i="179"/>
  <c r="CA213" i="179"/>
  <c r="AW213" i="179"/>
  <c r="CM213" i="179"/>
  <c r="BI213" i="179"/>
  <c r="Y213" i="179"/>
  <c r="CS213" i="179"/>
  <c r="BU213" i="179"/>
  <c r="FA213" i="179"/>
  <c r="BO213" i="179"/>
  <c r="DW213" i="179"/>
  <c r="AK213" i="179"/>
  <c r="AE213" i="179"/>
  <c r="BC213" i="179"/>
  <c r="BB78" i="179"/>
  <c r="CR78" i="179"/>
  <c r="X78" i="179"/>
  <c r="BN78" i="179"/>
  <c r="EZ78" i="179"/>
  <c r="AJ78" i="179"/>
  <c r="BZ78" i="179"/>
  <c r="AV78" i="179"/>
  <c r="CL78" i="179"/>
  <c r="BH78" i="179"/>
  <c r="DV78" i="179"/>
  <c r="AD78" i="179"/>
  <c r="BT78" i="179"/>
  <c r="CF78" i="179"/>
  <c r="AP78" i="179"/>
  <c r="GD78" i="179"/>
  <c r="BG119" i="179"/>
  <c r="DU119" i="179"/>
  <c r="AC119" i="179"/>
  <c r="BS119" i="179"/>
  <c r="GC119" i="179"/>
  <c r="AO119" i="179"/>
  <c r="CE119" i="179"/>
  <c r="BM119" i="179"/>
  <c r="EY119" i="179"/>
  <c r="AI119" i="179"/>
  <c r="CQ119" i="179"/>
  <c r="W119" i="179"/>
  <c r="BA119" i="179"/>
  <c r="CK119" i="179"/>
  <c r="AU119" i="179"/>
  <c r="BY119" i="179"/>
  <c r="CS160" i="179"/>
  <c r="Y160" i="179"/>
  <c r="BO160" i="179"/>
  <c r="DW160" i="179"/>
  <c r="AE160" i="179"/>
  <c r="BU160" i="179"/>
  <c r="GE160" i="179"/>
  <c r="AQ160" i="179"/>
  <c r="AW160" i="179"/>
  <c r="BI160" i="179"/>
  <c r="AK160" i="179"/>
  <c r="CA160" i="179"/>
  <c r="BC160" i="179"/>
  <c r="CM160" i="179"/>
  <c r="FA160" i="179"/>
  <c r="CG160" i="179"/>
  <c r="CR201" i="179"/>
  <c r="X201" i="179"/>
  <c r="EZ201" i="179"/>
  <c r="AJ201" i="179"/>
  <c r="CL201" i="179"/>
  <c r="AD201" i="179"/>
  <c r="GD201" i="179"/>
  <c r="BZ201" i="179"/>
  <c r="DV201" i="179"/>
  <c r="AP201" i="179"/>
  <c r="BB201" i="179"/>
  <c r="CF201" i="179"/>
  <c r="BH201" i="179"/>
  <c r="BN201" i="179"/>
  <c r="AV201" i="179"/>
  <c r="BT201" i="179"/>
  <c r="BZ70" i="179"/>
  <c r="CF70" i="179"/>
  <c r="BB70" i="179"/>
  <c r="GD70" i="179"/>
  <c r="AJ70" i="179"/>
  <c r="CL70" i="179"/>
  <c r="BT70" i="179"/>
  <c r="EZ70" i="179"/>
  <c r="AV70" i="179"/>
  <c r="AD70" i="179"/>
  <c r="BN70" i="179"/>
  <c r="DV70" i="179"/>
  <c r="X70" i="179"/>
  <c r="BH70" i="179"/>
  <c r="AP70" i="179"/>
  <c r="CR70" i="179"/>
  <c r="GC110" i="179"/>
  <c r="AO110" i="179"/>
  <c r="BA110" i="179"/>
  <c r="CE110" i="179"/>
  <c r="AI110" i="179"/>
  <c r="CQ110" i="179"/>
  <c r="BM110" i="179"/>
  <c r="AU110" i="179"/>
  <c r="EY110" i="179"/>
  <c r="BY110" i="179"/>
  <c r="AC110" i="179"/>
  <c r="CK110" i="179"/>
  <c r="BG110" i="179"/>
  <c r="BS110" i="179"/>
  <c r="W110" i="179"/>
  <c r="DU110" i="179"/>
  <c r="FA151" i="179"/>
  <c r="AK151" i="179"/>
  <c r="BU151" i="179"/>
  <c r="GE151" i="179"/>
  <c r="AQ151" i="179"/>
  <c r="AW151" i="179"/>
  <c r="DW151" i="179"/>
  <c r="Y151" i="179"/>
  <c r="CA151" i="179"/>
  <c r="BI151" i="179"/>
  <c r="CS151" i="179"/>
  <c r="BC151" i="179"/>
  <c r="CG151" i="179"/>
  <c r="CM151" i="179"/>
  <c r="BO151" i="179"/>
  <c r="AE151" i="179"/>
  <c r="BU193" i="179"/>
  <c r="GE193" i="179"/>
  <c r="CA193" i="179"/>
  <c r="BC193" i="179"/>
  <c r="DW193" i="179"/>
  <c r="CM193" i="179"/>
  <c r="AK193" i="179"/>
  <c r="FA193" i="179"/>
  <c r="Y193" i="179"/>
  <c r="AW193" i="179"/>
  <c r="CS193" i="179"/>
  <c r="AE193" i="179"/>
  <c r="AQ193" i="179"/>
  <c r="CG193" i="179"/>
  <c r="BO193" i="179"/>
  <c r="BI193" i="179"/>
  <c r="DW61" i="179"/>
  <c r="AE61" i="179"/>
  <c r="FA61" i="179"/>
  <c r="AK61" i="179"/>
  <c r="BC61" i="179"/>
  <c r="CG61" i="179"/>
  <c r="BO61" i="179"/>
  <c r="AW61" i="179"/>
  <c r="GE61" i="179"/>
  <c r="CS61" i="179"/>
  <c r="CA61" i="179"/>
  <c r="BI61" i="179"/>
  <c r="AQ61" i="179"/>
  <c r="Y61" i="179"/>
  <c r="BU61" i="179"/>
  <c r="CM61" i="179"/>
  <c r="GD100" i="179"/>
  <c r="AP100" i="179"/>
  <c r="CF100" i="179"/>
  <c r="BB100" i="179"/>
  <c r="CR100" i="179"/>
  <c r="X100" i="179"/>
  <c r="BN100" i="179"/>
  <c r="EZ100" i="179"/>
  <c r="AJ100" i="179"/>
  <c r="BZ100" i="179"/>
  <c r="AV100" i="179"/>
  <c r="CL100" i="179"/>
  <c r="BH100" i="179"/>
  <c r="DV100" i="179"/>
  <c r="BT100" i="179"/>
  <c r="AD100" i="179"/>
  <c r="BB142" i="179"/>
  <c r="BH142" i="179"/>
  <c r="DV142" i="179"/>
  <c r="AP142" i="179"/>
  <c r="X142" i="179"/>
  <c r="EZ142" i="179"/>
  <c r="AD142" i="179"/>
  <c r="CR142" i="179"/>
  <c r="CL142" i="179"/>
  <c r="Q142" i="179"/>
  <c r="CF142" i="179"/>
  <c r="AV142" i="179"/>
  <c r="GD142" i="179"/>
  <c r="BZ142" i="179"/>
  <c r="BT142" i="179"/>
  <c r="BN142" i="179"/>
  <c r="AJ142" i="179"/>
  <c r="CB181" i="179"/>
  <c r="AX181" i="179"/>
  <c r="CH181" i="179"/>
  <c r="BD181" i="179"/>
  <c r="CT181" i="179"/>
  <c r="BP181" i="179"/>
  <c r="GF181" i="179"/>
  <c r="AR181" i="179"/>
  <c r="FB181" i="179"/>
  <c r="Z181" i="179"/>
  <c r="DX181" i="179"/>
  <c r="AF181" i="179"/>
  <c r="CN181" i="179"/>
  <c r="BJ181" i="179"/>
  <c r="AL181" i="179"/>
  <c r="BV181" i="179"/>
  <c r="BY158" i="179"/>
  <c r="AU158" i="179"/>
  <c r="CK158" i="179"/>
  <c r="GC158" i="179"/>
  <c r="CQ158" i="179"/>
  <c r="DU158" i="179"/>
  <c r="CE158" i="179"/>
  <c r="BM158" i="179"/>
  <c r="EY158" i="179"/>
  <c r="BS158" i="179"/>
  <c r="AO158" i="179"/>
  <c r="AC158" i="179"/>
  <c r="BA158" i="179"/>
  <c r="W158" i="179"/>
  <c r="BG158" i="179"/>
  <c r="AI158" i="179"/>
  <c r="CE123" i="179"/>
  <c r="BA123" i="179"/>
  <c r="CQ123" i="179"/>
  <c r="W123" i="179"/>
  <c r="BM123" i="179"/>
  <c r="EY123" i="179"/>
  <c r="AI123" i="179"/>
  <c r="BY123" i="179"/>
  <c r="AU123" i="179"/>
  <c r="CK123" i="179"/>
  <c r="BG123" i="179"/>
  <c r="DU123" i="179"/>
  <c r="AC123" i="179"/>
  <c r="AO123" i="179"/>
  <c r="GC123" i="179"/>
  <c r="BS123" i="179"/>
  <c r="BU91" i="179"/>
  <c r="GE91" i="179"/>
  <c r="AQ91" i="179"/>
  <c r="CA91" i="179"/>
  <c r="FA91" i="179"/>
  <c r="BI91" i="179"/>
  <c r="Y91" i="179"/>
  <c r="CM91" i="179"/>
  <c r="BC91" i="179"/>
  <c r="AK91" i="179"/>
  <c r="DW91" i="179"/>
  <c r="CG91" i="179"/>
  <c r="BO91" i="179"/>
  <c r="AE91" i="179"/>
  <c r="AW91" i="179"/>
  <c r="CS91" i="179"/>
  <c r="CL86" i="179"/>
  <c r="CR86" i="179"/>
  <c r="AV86" i="179"/>
  <c r="BZ86" i="179"/>
  <c r="AD86" i="179"/>
  <c r="EZ86" i="179"/>
  <c r="BH86" i="179"/>
  <c r="AP86" i="179"/>
  <c r="BT86" i="179"/>
  <c r="DV86" i="179"/>
  <c r="X86" i="179"/>
  <c r="BB86" i="179"/>
  <c r="CF86" i="179"/>
  <c r="GD86" i="179"/>
  <c r="BN86" i="179"/>
  <c r="AJ86" i="179"/>
  <c r="BP160" i="179"/>
  <c r="FB160" i="179"/>
  <c r="BV160" i="179"/>
  <c r="GF160" i="179"/>
  <c r="AR160" i="179"/>
  <c r="CH160" i="179"/>
  <c r="Z160" i="179"/>
  <c r="CB160" i="179"/>
  <c r="BD160" i="179"/>
  <c r="AX160" i="179"/>
  <c r="AL160" i="179"/>
  <c r="DX160" i="179"/>
  <c r="AF160" i="179"/>
  <c r="CT160" i="179"/>
  <c r="CN160" i="179"/>
  <c r="BJ160" i="179"/>
  <c r="GC122" i="179"/>
  <c r="AO122" i="179"/>
  <c r="CE122" i="179"/>
  <c r="BA122" i="179"/>
  <c r="CQ122" i="179"/>
  <c r="W122" i="179"/>
  <c r="BM122" i="179"/>
  <c r="EY122" i="179"/>
  <c r="AI122" i="179"/>
  <c r="BY122" i="179"/>
  <c r="AU122" i="179"/>
  <c r="CK122" i="179"/>
  <c r="BS122" i="179"/>
  <c r="BG122" i="179"/>
  <c r="DU122" i="179"/>
  <c r="AC122" i="179"/>
  <c r="BO112" i="179"/>
  <c r="AW112" i="179"/>
  <c r="FA112" i="179"/>
  <c r="CA112" i="179"/>
  <c r="AE112" i="179"/>
  <c r="BI112" i="179"/>
  <c r="CM112" i="179"/>
  <c r="AQ112" i="179"/>
  <c r="DW112" i="179"/>
  <c r="BU112" i="179"/>
  <c r="Y112" i="179"/>
  <c r="BC112" i="179"/>
  <c r="GE112" i="179"/>
  <c r="CG112" i="179"/>
  <c r="AK112" i="179"/>
  <c r="CS112" i="179"/>
  <c r="BM175" i="179"/>
  <c r="EY175" i="179"/>
  <c r="CE175" i="179"/>
  <c r="BS175" i="179"/>
  <c r="W175" i="179"/>
  <c r="AI175" i="179"/>
  <c r="GC175" i="179"/>
  <c r="BA175" i="179"/>
  <c r="CK175" i="179"/>
  <c r="AU175" i="179"/>
  <c r="BG175" i="179"/>
  <c r="DU175" i="179"/>
  <c r="CQ175" i="179"/>
  <c r="BY175" i="179"/>
  <c r="AO175" i="179"/>
  <c r="AC175" i="179"/>
  <c r="GE99" i="179"/>
  <c r="AQ99" i="179"/>
  <c r="CG99" i="179"/>
  <c r="BC99" i="179"/>
  <c r="CS99" i="179"/>
  <c r="Y99" i="179"/>
  <c r="BO99" i="179"/>
  <c r="FA99" i="179"/>
  <c r="AK99" i="179"/>
  <c r="CA99" i="179"/>
  <c r="AW99" i="179"/>
  <c r="CM99" i="179"/>
  <c r="BI99" i="179"/>
  <c r="AE99" i="179"/>
  <c r="DW99" i="179"/>
  <c r="BU99" i="179"/>
  <c r="GC65" i="179"/>
  <c r="AO65" i="179"/>
  <c r="AU65" i="179"/>
  <c r="CK65" i="179"/>
  <c r="EY65" i="179"/>
  <c r="AC65" i="179"/>
  <c r="CE65" i="179"/>
  <c r="BM65" i="179"/>
  <c r="DU65" i="179"/>
  <c r="W65" i="179"/>
  <c r="BG65" i="179"/>
  <c r="CQ65" i="179"/>
  <c r="BY65" i="179"/>
  <c r="BA65" i="179"/>
  <c r="AI65" i="179"/>
  <c r="BS65" i="179"/>
  <c r="CQ207" i="179"/>
  <c r="W207" i="179"/>
  <c r="DU207" i="179"/>
  <c r="AC207" i="179"/>
  <c r="GC207" i="179"/>
  <c r="EY207" i="179"/>
  <c r="CK207" i="179"/>
  <c r="BS207" i="179"/>
  <c r="AU207" i="179"/>
  <c r="BY207" i="179"/>
  <c r="BM207" i="179"/>
  <c r="CE207" i="179"/>
  <c r="BG207" i="179"/>
  <c r="AO207" i="179"/>
  <c r="BA207" i="179"/>
  <c r="AI207" i="179"/>
  <c r="GD54" i="179"/>
  <c r="AP54" i="179"/>
  <c r="CF54" i="179"/>
  <c r="BB54" i="179"/>
  <c r="CR54" i="179"/>
  <c r="X54" i="179"/>
  <c r="BN54" i="179"/>
  <c r="EZ54" i="179"/>
  <c r="AJ54" i="179"/>
  <c r="BZ54" i="179"/>
  <c r="AV54" i="179"/>
  <c r="CL54" i="179"/>
  <c r="BH54" i="179"/>
  <c r="DV54" i="179"/>
  <c r="BT54" i="179"/>
  <c r="AD54" i="179"/>
  <c r="CB162" i="179"/>
  <c r="AX162" i="179"/>
  <c r="CH162" i="179"/>
  <c r="BD162" i="179"/>
  <c r="CT162" i="179"/>
  <c r="Z162" i="179"/>
  <c r="DX162" i="179"/>
  <c r="AL162" i="179"/>
  <c r="BP162" i="179"/>
  <c r="FB162" i="179"/>
  <c r="BV162" i="179"/>
  <c r="AR162" i="179"/>
  <c r="CN162" i="179"/>
  <c r="BJ162" i="179"/>
  <c r="AF162" i="179"/>
  <c r="GF162" i="179"/>
  <c r="CS56" i="179"/>
  <c r="Y56" i="179"/>
  <c r="BO56" i="179"/>
  <c r="FA56" i="179"/>
  <c r="AK56" i="179"/>
  <c r="CA56" i="179"/>
  <c r="AW56" i="179"/>
  <c r="CM56" i="179"/>
  <c r="BI56" i="179"/>
  <c r="DW56" i="179"/>
  <c r="AE56" i="179"/>
  <c r="BU56" i="179"/>
  <c r="GE56" i="179"/>
  <c r="AQ56" i="179"/>
  <c r="CG56" i="179"/>
  <c r="BC56" i="179"/>
  <c r="BD47" i="179"/>
  <c r="CT47" i="179"/>
  <c r="Z47" i="179"/>
  <c r="CH47" i="179"/>
  <c r="AX47" i="179"/>
  <c r="DX47" i="179"/>
  <c r="BP47" i="179"/>
  <c r="AF47" i="179"/>
  <c r="GF47" i="179"/>
  <c r="CB47" i="179"/>
  <c r="BJ47" i="179"/>
  <c r="AR47" i="179"/>
  <c r="CN47" i="179"/>
  <c r="BV47" i="179"/>
  <c r="AL47" i="179"/>
  <c r="FB47" i="179"/>
  <c r="BY116" i="179"/>
  <c r="CE116" i="179"/>
  <c r="AC116" i="179"/>
  <c r="BG116" i="179"/>
  <c r="CQ116" i="179"/>
  <c r="AO116" i="179"/>
  <c r="GC116" i="179"/>
  <c r="W116" i="179"/>
  <c r="CK116" i="179"/>
  <c r="BS116" i="179"/>
  <c r="BA116" i="179"/>
  <c r="EY116" i="179"/>
  <c r="AI116" i="179"/>
  <c r="DU116" i="179"/>
  <c r="BM116" i="179"/>
  <c r="AU116" i="179"/>
  <c r="CR198" i="179"/>
  <c r="X198" i="179"/>
  <c r="BN198" i="179"/>
  <c r="DV198" i="179"/>
  <c r="AD198" i="179"/>
  <c r="BT198" i="179"/>
  <c r="GD198" i="179"/>
  <c r="AP198" i="179"/>
  <c r="BZ198" i="179"/>
  <c r="BB198" i="179"/>
  <c r="AJ198" i="179"/>
  <c r="AV198" i="179"/>
  <c r="CL198" i="179"/>
  <c r="CF198" i="179"/>
  <c r="EZ198" i="179"/>
  <c r="BH198" i="179"/>
  <c r="AW106" i="179"/>
  <c r="CM106" i="179"/>
  <c r="BI106" i="179"/>
  <c r="DW106" i="179"/>
  <c r="AE106" i="179"/>
  <c r="BU106" i="179"/>
  <c r="GE106" i="179"/>
  <c r="AQ106" i="179"/>
  <c r="CG106" i="179"/>
  <c r="BC106" i="179"/>
  <c r="CS106" i="179"/>
  <c r="Y106" i="179"/>
  <c r="BO106" i="179"/>
  <c r="AK106" i="179"/>
  <c r="CA106" i="179"/>
  <c r="FA106" i="179"/>
  <c r="DW138" i="179"/>
  <c r="AE138" i="179"/>
  <c r="CG138" i="179"/>
  <c r="BI138" i="179"/>
  <c r="CM138" i="179"/>
  <c r="AQ138" i="179"/>
  <c r="BU138" i="179"/>
  <c r="CS138" i="179"/>
  <c r="Y138" i="179"/>
  <c r="GE138" i="179"/>
  <c r="BO138" i="179"/>
  <c r="AK138" i="179"/>
  <c r="FA138" i="179"/>
  <c r="CA138" i="179"/>
  <c r="BC138" i="179"/>
  <c r="AW138" i="179"/>
  <c r="CH99" i="179"/>
  <c r="BD99" i="179"/>
  <c r="CT99" i="179"/>
  <c r="Z99" i="179"/>
  <c r="BP99" i="179"/>
  <c r="FB99" i="179"/>
  <c r="AL99" i="179"/>
  <c r="CB99" i="179"/>
  <c r="AX99" i="179"/>
  <c r="CN99" i="179"/>
  <c r="BJ99" i="179"/>
  <c r="DX99" i="179"/>
  <c r="AF99" i="179"/>
  <c r="AR99" i="179"/>
  <c r="GF99" i="179"/>
  <c r="BV99" i="179"/>
  <c r="BY83" i="179"/>
  <c r="AU83" i="179"/>
  <c r="CK83" i="179"/>
  <c r="BG83" i="179"/>
  <c r="DU83" i="179"/>
  <c r="AC83" i="179"/>
  <c r="BS83" i="179"/>
  <c r="GC83" i="179"/>
  <c r="AO83" i="179"/>
  <c r="CE83" i="179"/>
  <c r="BA83" i="179"/>
  <c r="CQ83" i="179"/>
  <c r="W83" i="179"/>
  <c r="BM83" i="179"/>
  <c r="EY83" i="179"/>
  <c r="AI83" i="179"/>
  <c r="DW88" i="179"/>
  <c r="AE88" i="179"/>
  <c r="BU88" i="179"/>
  <c r="BI88" i="179"/>
  <c r="Y88" i="179"/>
  <c r="FA88" i="179"/>
  <c r="CM88" i="179"/>
  <c r="BC88" i="179"/>
  <c r="AK88" i="179"/>
  <c r="CG88" i="179"/>
  <c r="BO88" i="179"/>
  <c r="AW88" i="179"/>
  <c r="GE88" i="179"/>
  <c r="CA88" i="179"/>
  <c r="AQ88" i="179"/>
  <c r="CS88" i="179"/>
  <c r="BV61" i="179"/>
  <c r="CB61" i="179"/>
  <c r="AL61" i="179"/>
  <c r="DX61" i="179"/>
  <c r="CH61" i="179"/>
  <c r="BP61" i="179"/>
  <c r="AX61" i="179"/>
  <c r="AF61" i="179"/>
  <c r="GF61" i="179"/>
  <c r="CT61" i="179"/>
  <c r="BJ61" i="179"/>
  <c r="AR61" i="179"/>
  <c r="Z61" i="179"/>
  <c r="BD61" i="179"/>
  <c r="FB61" i="179"/>
  <c r="CN61" i="179"/>
  <c r="DU99" i="179"/>
  <c r="AC99" i="179"/>
  <c r="BS99" i="179"/>
  <c r="GC99" i="179"/>
  <c r="AO99" i="179"/>
  <c r="CE99" i="179"/>
  <c r="BA99" i="179"/>
  <c r="CQ99" i="179"/>
  <c r="W99" i="179"/>
  <c r="BM99" i="179"/>
  <c r="EY99" i="179"/>
  <c r="AI99" i="179"/>
  <c r="BY99" i="179"/>
  <c r="AU99" i="179"/>
  <c r="BG99" i="179"/>
  <c r="CK99" i="179"/>
  <c r="BA134" i="179"/>
  <c r="BG134" i="179"/>
  <c r="DU134" i="179"/>
  <c r="AC134" i="179"/>
  <c r="BS134" i="179"/>
  <c r="CK134" i="179"/>
  <c r="AU134" i="179"/>
  <c r="CE134" i="179"/>
  <c r="BM134" i="179"/>
  <c r="W134" i="179"/>
  <c r="AO134" i="179"/>
  <c r="CQ134" i="179"/>
  <c r="BY134" i="179"/>
  <c r="GC134" i="179"/>
  <c r="EY134" i="179"/>
  <c r="AI134" i="179"/>
  <c r="EY176" i="179"/>
  <c r="AI176" i="179"/>
  <c r="BY176" i="179"/>
  <c r="BM176" i="179"/>
  <c r="AC176" i="179"/>
  <c r="GC176" i="179"/>
  <c r="CK176" i="179"/>
  <c r="W176" i="179"/>
  <c r="DU176" i="179"/>
  <c r="BA176" i="179"/>
  <c r="BS176" i="179"/>
  <c r="AU176" i="179"/>
  <c r="CQ176" i="179"/>
  <c r="CE176" i="179"/>
  <c r="BG176" i="179"/>
  <c r="AO176" i="179"/>
  <c r="DU213" i="179"/>
  <c r="AC213" i="179"/>
  <c r="BS213" i="179"/>
  <c r="BM213" i="179"/>
  <c r="EY213" i="179"/>
  <c r="AI213" i="179"/>
  <c r="BY213" i="179"/>
  <c r="GC213" i="179"/>
  <c r="CK213" i="179"/>
  <c r="AU213" i="179"/>
  <c r="W213" i="179"/>
  <c r="BA213" i="179"/>
  <c r="BG213" i="179"/>
  <c r="CE213" i="179"/>
  <c r="AO213" i="179"/>
  <c r="CQ213" i="179"/>
  <c r="BB154" i="179"/>
  <c r="AP154" i="179"/>
  <c r="CR154" i="179"/>
  <c r="AV154" i="179"/>
  <c r="EZ154" i="179"/>
  <c r="BZ154" i="179"/>
  <c r="DV154" i="179"/>
  <c r="BH154" i="179"/>
  <c r="BT154" i="179"/>
  <c r="CL154" i="179"/>
  <c r="X154" i="179"/>
  <c r="BN154" i="179"/>
  <c r="AD154" i="179"/>
  <c r="GD154" i="179"/>
  <c r="AJ154" i="179"/>
  <c r="CF154" i="179"/>
  <c r="BM105" i="179"/>
  <c r="EY105" i="179"/>
  <c r="AI105" i="179"/>
  <c r="BY105" i="179"/>
  <c r="AU105" i="179"/>
  <c r="CK105" i="179"/>
  <c r="BG105" i="179"/>
  <c r="DU105" i="179"/>
  <c r="AC105" i="179"/>
  <c r="BS105" i="179"/>
  <c r="GC105" i="179"/>
  <c r="AO105" i="179"/>
  <c r="CE105" i="179"/>
  <c r="W105" i="179"/>
  <c r="BA105" i="179"/>
  <c r="CQ105" i="179"/>
  <c r="CQ58" i="179"/>
  <c r="W58" i="179"/>
  <c r="BM58" i="179"/>
  <c r="EY58" i="179"/>
  <c r="AI58" i="179"/>
  <c r="BY58" i="179"/>
  <c r="AU58" i="179"/>
  <c r="CK58" i="179"/>
  <c r="BG58" i="179"/>
  <c r="DU58" i="179"/>
  <c r="AC58" i="179"/>
  <c r="BS58" i="179"/>
  <c r="GC58" i="179"/>
  <c r="AO58" i="179"/>
  <c r="BA58" i="179"/>
  <c r="CE58" i="179"/>
  <c r="AX175" i="179"/>
  <c r="CN175" i="179"/>
  <c r="BP175" i="179"/>
  <c r="DX175" i="179"/>
  <c r="Z175" i="179"/>
  <c r="CB175" i="179"/>
  <c r="AF175" i="179"/>
  <c r="FB175" i="179"/>
  <c r="CH175" i="179"/>
  <c r="GF175" i="179"/>
  <c r="CT175" i="179"/>
  <c r="AR175" i="179"/>
  <c r="BD175" i="179"/>
  <c r="BV175" i="179"/>
  <c r="AL175" i="179"/>
  <c r="BJ175" i="179"/>
  <c r="CG121" i="179"/>
  <c r="BC121" i="179"/>
  <c r="CS121" i="179"/>
  <c r="Y121" i="179"/>
  <c r="BO121" i="179"/>
  <c r="FA121" i="179"/>
  <c r="AK121" i="179"/>
  <c r="AW121" i="179"/>
  <c r="CM121" i="179"/>
  <c r="BI121" i="179"/>
  <c r="AQ121" i="179"/>
  <c r="CA121" i="179"/>
  <c r="AE121" i="179"/>
  <c r="BU121" i="179"/>
  <c r="GE121" i="179"/>
  <c r="DW121" i="179"/>
  <c r="GE63" i="179"/>
  <c r="AQ63" i="179"/>
  <c r="AW63" i="179"/>
  <c r="CM63" i="179"/>
  <c r="Y63" i="179"/>
  <c r="BI63" i="179"/>
  <c r="CS63" i="179"/>
  <c r="CA63" i="179"/>
  <c r="BC63" i="179"/>
  <c r="AK63" i="179"/>
  <c r="BU63" i="179"/>
  <c r="FA63" i="179"/>
  <c r="AE63" i="179"/>
  <c r="DW63" i="179"/>
  <c r="CG63" i="179"/>
  <c r="BO63" i="179"/>
  <c r="CQ181" i="179"/>
  <c r="W181" i="179"/>
  <c r="BM181" i="179"/>
  <c r="DU181" i="179"/>
  <c r="AC181" i="179"/>
  <c r="BS181" i="179"/>
  <c r="BY181" i="179"/>
  <c r="CK181" i="179"/>
  <c r="GC181" i="179"/>
  <c r="AU181" i="179"/>
  <c r="EY181" i="179"/>
  <c r="CE181" i="179"/>
  <c r="AO181" i="179"/>
  <c r="BA181" i="179"/>
  <c r="AI181" i="179"/>
  <c r="BG181" i="179"/>
  <c r="GF91" i="179"/>
  <c r="AR91" i="179"/>
  <c r="CH91" i="179"/>
  <c r="FB91" i="179"/>
  <c r="BJ91" i="179"/>
  <c r="Z91" i="179"/>
  <c r="CN91" i="179"/>
  <c r="BV91" i="179"/>
  <c r="BD91" i="179"/>
  <c r="AL91" i="179"/>
  <c r="DX91" i="179"/>
  <c r="BP91" i="179"/>
  <c r="AX91" i="179"/>
  <c r="AF91" i="179"/>
  <c r="CB91" i="179"/>
  <c r="CT91" i="179"/>
  <c r="BO161" i="179"/>
  <c r="FA161" i="179"/>
  <c r="AK161" i="179"/>
  <c r="BU161" i="179"/>
  <c r="GE161" i="179"/>
  <c r="AQ161" i="179"/>
  <c r="CG161" i="179"/>
  <c r="CA161" i="179"/>
  <c r="BC161" i="179"/>
  <c r="AE161" i="179"/>
  <c r="DW161" i="179"/>
  <c r="CS161" i="179"/>
  <c r="BI161" i="179"/>
  <c r="CM161" i="179"/>
  <c r="AW161" i="179"/>
  <c r="Y161" i="179"/>
  <c r="BS64" i="179"/>
  <c r="BY64" i="179"/>
  <c r="AU64" i="179"/>
  <c r="GC64" i="179"/>
  <c r="CQ64" i="179"/>
  <c r="BA64" i="179"/>
  <c r="AI64" i="179"/>
  <c r="CK64" i="179"/>
  <c r="EY64" i="179"/>
  <c r="AC64" i="179"/>
  <c r="CE64" i="179"/>
  <c r="BM64" i="179"/>
  <c r="DU64" i="179"/>
  <c r="W64" i="179"/>
  <c r="BG64" i="179"/>
  <c r="AO64" i="179"/>
  <c r="BB133" i="179"/>
  <c r="BH133" i="179"/>
  <c r="DV133" i="179"/>
  <c r="AD133" i="179"/>
  <c r="BT133" i="179"/>
  <c r="EZ133" i="179"/>
  <c r="CL133" i="179"/>
  <c r="AV133" i="179"/>
  <c r="BN133" i="179"/>
  <c r="AP133" i="179"/>
  <c r="X133" i="179"/>
  <c r="CF133" i="179"/>
  <c r="BZ133" i="179"/>
  <c r="AJ133" i="179"/>
  <c r="GD133" i="179"/>
  <c r="CR133" i="179"/>
  <c r="CE205" i="179"/>
  <c r="CK205" i="179"/>
  <c r="AI205" i="179"/>
  <c r="GC205" i="179"/>
  <c r="CQ205" i="179"/>
  <c r="BY205" i="179"/>
  <c r="BG205" i="179"/>
  <c r="AO205" i="179"/>
  <c r="W205" i="179"/>
  <c r="BM205" i="179"/>
  <c r="EY205" i="179"/>
  <c r="BS205" i="179"/>
  <c r="BA205" i="179"/>
  <c r="AU205" i="179"/>
  <c r="DU205" i="179"/>
  <c r="AC205" i="179"/>
  <c r="BO103" i="179"/>
  <c r="FA103" i="179"/>
  <c r="AK103" i="179"/>
  <c r="CA103" i="179"/>
  <c r="AW103" i="179"/>
  <c r="CM103" i="179"/>
  <c r="BI103" i="179"/>
  <c r="DW103" i="179"/>
  <c r="AE103" i="179"/>
  <c r="BU103" i="179"/>
  <c r="GE103" i="179"/>
  <c r="AQ103" i="179"/>
  <c r="CG103" i="179"/>
  <c r="Y103" i="179"/>
  <c r="CS103" i="179"/>
  <c r="BC103" i="179"/>
  <c r="CB173" i="179"/>
  <c r="GF173" i="179"/>
  <c r="AF173" i="179"/>
  <c r="DX173" i="179"/>
  <c r="CH173" i="179"/>
  <c r="Z173" i="179"/>
  <c r="FB173" i="179"/>
  <c r="CN173" i="179"/>
  <c r="BV173" i="179"/>
  <c r="BD173" i="179"/>
  <c r="AR173" i="179"/>
  <c r="BP173" i="179"/>
  <c r="CT173" i="179"/>
  <c r="AL173" i="179"/>
  <c r="BJ173" i="179"/>
  <c r="AX173" i="179"/>
  <c r="DX72" i="179"/>
  <c r="AF72" i="179"/>
  <c r="BV72" i="179"/>
  <c r="GF72" i="179"/>
  <c r="CH72" i="179"/>
  <c r="CT72" i="179"/>
  <c r="Z72" i="179"/>
  <c r="FB72" i="179"/>
  <c r="AL72" i="179"/>
  <c r="CB72" i="179"/>
  <c r="AX72" i="179"/>
  <c r="AR72" i="179"/>
  <c r="BP72" i="179"/>
  <c r="BJ72" i="179"/>
  <c r="CN72" i="179"/>
  <c r="BD72" i="179"/>
  <c r="BA143" i="179"/>
  <c r="BG143" i="179"/>
  <c r="CK143" i="179"/>
  <c r="BS143" i="179"/>
  <c r="AI143" i="179"/>
  <c r="CE143" i="179"/>
  <c r="BM143" i="179"/>
  <c r="GC143" i="179"/>
  <c r="CQ143" i="179"/>
  <c r="BY143" i="179"/>
  <c r="AO143" i="179"/>
  <c r="W143" i="179"/>
  <c r="EY143" i="179"/>
  <c r="AC143" i="179"/>
  <c r="AU143" i="179"/>
  <c r="DU143" i="179"/>
  <c r="BD214" i="179"/>
  <c r="CT214" i="179"/>
  <c r="Z214" i="179"/>
  <c r="CN214" i="179"/>
  <c r="BJ214" i="179"/>
  <c r="DX214" i="179"/>
  <c r="AF214" i="179"/>
  <c r="CH214" i="179"/>
  <c r="FB214" i="179"/>
  <c r="CB214" i="179"/>
  <c r="AX214" i="179"/>
  <c r="GF214" i="179"/>
  <c r="BP214" i="179"/>
  <c r="AR214" i="179"/>
  <c r="BV214" i="179"/>
  <c r="AL214" i="179"/>
  <c r="BG107" i="179"/>
  <c r="BM107" i="179"/>
  <c r="CQ107" i="179"/>
  <c r="AU107" i="179"/>
  <c r="BY107" i="179"/>
  <c r="EY107" i="179"/>
  <c r="AC107" i="179"/>
  <c r="CK107" i="179"/>
  <c r="AO107" i="179"/>
  <c r="BS107" i="179"/>
  <c r="DU107" i="179"/>
  <c r="BA107" i="179"/>
  <c r="W107" i="179"/>
  <c r="AI107" i="179"/>
  <c r="GC107" i="179"/>
  <c r="CE107" i="179"/>
  <c r="AV177" i="179"/>
  <c r="CL177" i="179"/>
  <c r="BN177" i="179"/>
  <c r="AD177" i="179"/>
  <c r="EZ177" i="179"/>
  <c r="AJ177" i="179"/>
  <c r="BZ177" i="179"/>
  <c r="AP177" i="179"/>
  <c r="CF177" i="179"/>
  <c r="BH177" i="179"/>
  <c r="X177" i="179"/>
  <c r="CR177" i="179"/>
  <c r="GD177" i="179"/>
  <c r="BT177" i="179"/>
  <c r="DV177" i="179"/>
  <c r="BB177" i="179"/>
  <c r="BU62" i="179"/>
  <c r="CA62" i="179"/>
  <c r="CM62" i="179"/>
  <c r="FA62" i="179"/>
  <c r="BC62" i="179"/>
  <c r="AK62" i="179"/>
  <c r="DW62" i="179"/>
  <c r="CG62" i="179"/>
  <c r="BO62" i="179"/>
  <c r="AW62" i="179"/>
  <c r="AE62" i="179"/>
  <c r="GE62" i="179"/>
  <c r="CS62" i="179"/>
  <c r="BI62" i="179"/>
  <c r="AQ62" i="179"/>
  <c r="Y62" i="179"/>
  <c r="CF101" i="179"/>
  <c r="BB101" i="179"/>
  <c r="CR101" i="179"/>
  <c r="X101" i="179"/>
  <c r="BN101" i="179"/>
  <c r="EZ101" i="179"/>
  <c r="AJ101" i="179"/>
  <c r="BZ101" i="179"/>
  <c r="AV101" i="179"/>
  <c r="CL101" i="179"/>
  <c r="BH101" i="179"/>
  <c r="DV101" i="179"/>
  <c r="AD101" i="179"/>
  <c r="BT101" i="179"/>
  <c r="AP101" i="179"/>
  <c r="GD101" i="179"/>
  <c r="BO143" i="179"/>
  <c r="BU143" i="179"/>
  <c r="AE143" i="179"/>
  <c r="GE143" i="179"/>
  <c r="BI143" i="179"/>
  <c r="AQ143" i="179"/>
  <c r="Y143" i="179"/>
  <c r="FA143" i="179"/>
  <c r="DW143" i="179"/>
  <c r="CS143" i="179"/>
  <c r="CM143" i="179"/>
  <c r="BC143" i="179"/>
  <c r="CG143" i="179"/>
  <c r="AW143" i="179"/>
  <c r="CA143" i="179"/>
  <c r="AK143" i="179"/>
  <c r="BP185" i="179"/>
  <c r="FB185" i="179"/>
  <c r="AL185" i="179"/>
  <c r="BV185" i="179"/>
  <c r="GF185" i="179"/>
  <c r="AR185" i="179"/>
  <c r="BJ185" i="179"/>
  <c r="AF185" i="179"/>
  <c r="AX185" i="179"/>
  <c r="CN185" i="179"/>
  <c r="CH185" i="179"/>
  <c r="CB185" i="179"/>
  <c r="DX185" i="179"/>
  <c r="BD185" i="179"/>
  <c r="CT185" i="179"/>
  <c r="Z185" i="179"/>
  <c r="CH53" i="179"/>
  <c r="BD53" i="179"/>
  <c r="CT53" i="179"/>
  <c r="Z53" i="179"/>
  <c r="BP53" i="179"/>
  <c r="FB53" i="179"/>
  <c r="AL53" i="179"/>
  <c r="CB53" i="179"/>
  <c r="CN53" i="179"/>
  <c r="BJ53" i="179"/>
  <c r="DX53" i="179"/>
  <c r="GF53" i="179"/>
  <c r="AX53" i="179"/>
  <c r="AR53" i="179"/>
  <c r="AF53" i="179"/>
  <c r="BV53" i="179"/>
  <c r="GE92" i="179"/>
  <c r="AQ92" i="179"/>
  <c r="CG92" i="179"/>
  <c r="BI92" i="179"/>
  <c r="FA92" i="179"/>
  <c r="Y92" i="179"/>
  <c r="CM92" i="179"/>
  <c r="BU92" i="179"/>
  <c r="BC92" i="179"/>
  <c r="AK92" i="179"/>
  <c r="DW92" i="179"/>
  <c r="BO92" i="179"/>
  <c r="AW92" i="179"/>
  <c r="CS92" i="179"/>
  <c r="CA92" i="179"/>
  <c r="AE92" i="179"/>
  <c r="CT132" i="179"/>
  <c r="Z132" i="179"/>
  <c r="DX132" i="179"/>
  <c r="AF132" i="179"/>
  <c r="BV132" i="179"/>
  <c r="GF132" i="179"/>
  <c r="AR132" i="179"/>
  <c r="AX132" i="179"/>
  <c r="CN132" i="179"/>
  <c r="BP132" i="179"/>
  <c r="FB132" i="179"/>
  <c r="BJ132" i="179"/>
  <c r="AL132" i="179"/>
  <c r="CH132" i="179"/>
  <c r="CB132" i="179"/>
  <c r="BD132" i="179"/>
  <c r="CQ173" i="179"/>
  <c r="W173" i="179"/>
  <c r="BS173" i="179"/>
  <c r="BA173" i="179"/>
  <c r="AI173" i="179"/>
  <c r="GC173" i="179"/>
  <c r="BY173" i="179"/>
  <c r="BG173" i="179"/>
  <c r="AO173" i="179"/>
  <c r="AC173" i="179"/>
  <c r="DU173" i="179"/>
  <c r="CK173" i="179"/>
  <c r="CE173" i="179"/>
  <c r="EY173" i="179"/>
  <c r="AU173" i="179"/>
  <c r="BM173" i="179"/>
  <c r="BG45" i="179"/>
  <c r="DU45" i="179"/>
  <c r="AC45" i="179"/>
  <c r="AI45" i="179"/>
  <c r="BM45" i="179"/>
  <c r="CK45" i="179"/>
  <c r="CE45" i="179"/>
  <c r="AU45" i="179"/>
  <c r="GC45" i="179"/>
  <c r="CQ45" i="179"/>
  <c r="BY45" i="179"/>
  <c r="AO45" i="179"/>
  <c r="W45" i="179"/>
  <c r="EY45" i="179"/>
  <c r="BS45" i="179"/>
  <c r="BA45" i="179"/>
  <c r="AX81" i="179"/>
  <c r="CN81" i="179"/>
  <c r="BJ81" i="179"/>
  <c r="DX81" i="179"/>
  <c r="AF81" i="179"/>
  <c r="BV81" i="179"/>
  <c r="GF81" i="179"/>
  <c r="AR81" i="179"/>
  <c r="CH81" i="179"/>
  <c r="BD81" i="179"/>
  <c r="CT81" i="179"/>
  <c r="Z81" i="179"/>
  <c r="BP81" i="179"/>
  <c r="AL81" i="179"/>
  <c r="CB81" i="179"/>
  <c r="FB81" i="179"/>
  <c r="CF122" i="179"/>
  <c r="BB122" i="179"/>
  <c r="CR122" i="179"/>
  <c r="X122" i="179"/>
  <c r="BN122" i="179"/>
  <c r="EZ122" i="179"/>
  <c r="AJ122" i="179"/>
  <c r="BZ122" i="179"/>
  <c r="AV122" i="179"/>
  <c r="CL122" i="179"/>
  <c r="BH122" i="179"/>
  <c r="DV122" i="179"/>
  <c r="BT122" i="179"/>
  <c r="GD122" i="179"/>
  <c r="AP122" i="179"/>
  <c r="AD122" i="179"/>
  <c r="AX163" i="179"/>
  <c r="CN163" i="179"/>
  <c r="BD163" i="179"/>
  <c r="CT163" i="179"/>
  <c r="Z163" i="179"/>
  <c r="BP163" i="179"/>
  <c r="AF163" i="179"/>
  <c r="DX163" i="179"/>
  <c r="CB163" i="179"/>
  <c r="BV163" i="179"/>
  <c r="AL163" i="179"/>
  <c r="FB163" i="179"/>
  <c r="BJ163" i="179"/>
  <c r="GF163" i="179"/>
  <c r="CH163" i="179"/>
  <c r="AR163" i="179"/>
  <c r="CR206" i="179"/>
  <c r="X206" i="179"/>
  <c r="DV206" i="179"/>
  <c r="AD206" i="179"/>
  <c r="CL206" i="179"/>
  <c r="BT206" i="179"/>
  <c r="BB206" i="179"/>
  <c r="AJ206" i="179"/>
  <c r="GD206" i="179"/>
  <c r="BZ206" i="179"/>
  <c r="BH206" i="179"/>
  <c r="AP206" i="179"/>
  <c r="BN206" i="179"/>
  <c r="EZ206" i="179"/>
  <c r="AV206" i="179"/>
  <c r="CF206" i="179"/>
  <c r="DW73" i="179"/>
  <c r="AE73" i="179"/>
  <c r="BU73" i="179"/>
  <c r="GE73" i="179"/>
  <c r="AQ73" i="179"/>
  <c r="CG73" i="179"/>
  <c r="CS73" i="179"/>
  <c r="Y73" i="179"/>
  <c r="BO73" i="179"/>
  <c r="FA73" i="179"/>
  <c r="AK73" i="179"/>
  <c r="CA73" i="179"/>
  <c r="CM73" i="179"/>
  <c r="AW73" i="179"/>
  <c r="BI73" i="179"/>
  <c r="BC73" i="179"/>
  <c r="BM114" i="179"/>
  <c r="CQ114" i="179"/>
  <c r="AU114" i="179"/>
  <c r="BY114" i="179"/>
  <c r="EY114" i="179"/>
  <c r="AC114" i="179"/>
  <c r="BG114" i="179"/>
  <c r="CK114" i="179"/>
  <c r="AO114" i="179"/>
  <c r="BS114" i="179"/>
  <c r="DU114" i="179"/>
  <c r="W114" i="179"/>
  <c r="BA114" i="179"/>
  <c r="CE114" i="179"/>
  <c r="AI114" i="179"/>
  <c r="GC114" i="179"/>
  <c r="BP154" i="179"/>
  <c r="Z154" i="179"/>
  <c r="FB154" i="179"/>
  <c r="CB154" i="179"/>
  <c r="AF154" i="179"/>
  <c r="BJ154" i="179"/>
  <c r="AL154" i="179"/>
  <c r="BV154" i="179"/>
  <c r="AX154" i="179"/>
  <c r="CH154" i="179"/>
  <c r="AR154" i="179"/>
  <c r="CT154" i="179"/>
  <c r="DX154" i="179"/>
  <c r="CN154" i="179"/>
  <c r="GF154" i="179"/>
  <c r="BD154" i="179"/>
  <c r="BC196" i="179"/>
  <c r="CS196" i="179"/>
  <c r="Y196" i="179"/>
  <c r="BI196" i="179"/>
  <c r="DW196" i="179"/>
  <c r="AE196" i="179"/>
  <c r="BU196" i="179"/>
  <c r="CA196" i="179"/>
  <c r="CM196" i="179"/>
  <c r="AK196" i="179"/>
  <c r="BO196" i="179"/>
  <c r="CG196" i="179"/>
  <c r="GE196" i="179"/>
  <c r="FA196" i="179"/>
  <c r="AQ196" i="179"/>
  <c r="AW196" i="179"/>
  <c r="CG64" i="179"/>
  <c r="CM64" i="179"/>
  <c r="BI64" i="179"/>
  <c r="GE64" i="179"/>
  <c r="BC64" i="179"/>
  <c r="AK64" i="179"/>
  <c r="BU64" i="179"/>
  <c r="FA64" i="179"/>
  <c r="AE64" i="179"/>
  <c r="BO64" i="179"/>
  <c r="AW64" i="179"/>
  <c r="DW64" i="179"/>
  <c r="Y64" i="179"/>
  <c r="AQ64" i="179"/>
  <c r="CS64" i="179"/>
  <c r="CA64" i="179"/>
  <c r="CR103" i="179"/>
  <c r="X103" i="179"/>
  <c r="BN103" i="179"/>
  <c r="EZ103" i="179"/>
  <c r="AJ103" i="179"/>
  <c r="BZ103" i="179"/>
  <c r="AV103" i="179"/>
  <c r="CL103" i="179"/>
  <c r="BH103" i="179"/>
  <c r="DV103" i="179"/>
  <c r="AD103" i="179"/>
  <c r="BT103" i="179"/>
  <c r="GD103" i="179"/>
  <c r="AP103" i="179"/>
  <c r="CF103" i="179"/>
  <c r="BB103" i="179"/>
  <c r="CB145" i="179"/>
  <c r="AX145" i="179"/>
  <c r="BD145" i="179"/>
  <c r="CH145" i="179"/>
  <c r="BP145" i="179"/>
  <c r="AF145" i="179"/>
  <c r="BJ145" i="179"/>
  <c r="AR145" i="179"/>
  <c r="Z145" i="179"/>
  <c r="CN145" i="179"/>
  <c r="BV145" i="179"/>
  <c r="AL145" i="179"/>
  <c r="DX145" i="179"/>
  <c r="GF145" i="179"/>
  <c r="FB145" i="179"/>
  <c r="CT145" i="179"/>
  <c r="CB187" i="179"/>
  <c r="AX187" i="179"/>
  <c r="CH187" i="179"/>
  <c r="BD187" i="179"/>
  <c r="BV187" i="179"/>
  <c r="AR187" i="179"/>
  <c r="BJ187" i="179"/>
  <c r="DX187" i="179"/>
  <c r="AF187" i="179"/>
  <c r="GF187" i="179"/>
  <c r="FB187" i="179"/>
  <c r="CT187" i="179"/>
  <c r="Z187" i="179"/>
  <c r="CN187" i="179"/>
  <c r="BP187" i="179"/>
  <c r="AL187" i="179"/>
  <c r="BA180" i="179"/>
  <c r="CQ180" i="179"/>
  <c r="BG180" i="179"/>
  <c r="DU180" i="179"/>
  <c r="AC180" i="179"/>
  <c r="CE180" i="179"/>
  <c r="BM180" i="179"/>
  <c r="W180" i="179"/>
  <c r="BS180" i="179"/>
  <c r="AU180" i="179"/>
  <c r="BY180" i="179"/>
  <c r="GC180" i="179"/>
  <c r="AO180" i="179"/>
  <c r="EY180" i="179"/>
  <c r="CK180" i="179"/>
  <c r="AI180" i="179"/>
  <c r="CF196" i="179"/>
  <c r="BB196" i="179"/>
  <c r="CL196" i="179"/>
  <c r="BH196" i="179"/>
  <c r="DV196" i="179"/>
  <c r="AD196" i="179"/>
  <c r="BZ196" i="179"/>
  <c r="GD196" i="179"/>
  <c r="AV196" i="179"/>
  <c r="BN196" i="179"/>
  <c r="X196" i="179"/>
  <c r="CR196" i="179"/>
  <c r="AP196" i="179"/>
  <c r="EZ196" i="179"/>
  <c r="BT196" i="179"/>
  <c r="AJ196" i="179"/>
  <c r="EY115" i="179"/>
  <c r="AI115" i="179"/>
  <c r="BA115" i="179"/>
  <c r="W115" i="179"/>
  <c r="CE115" i="179"/>
  <c r="GC115" i="179"/>
  <c r="BM115" i="179"/>
  <c r="CQ115" i="179"/>
  <c r="BY115" i="179"/>
  <c r="AU115" i="179"/>
  <c r="BG115" i="179"/>
  <c r="AC115" i="179"/>
  <c r="CK115" i="179"/>
  <c r="BS115" i="179"/>
  <c r="DU115" i="179"/>
  <c r="AO115" i="179"/>
  <c r="BA124" i="179"/>
  <c r="CQ124" i="179"/>
  <c r="W124" i="179"/>
  <c r="BM124" i="179"/>
  <c r="EY124" i="179"/>
  <c r="AI124" i="179"/>
  <c r="BY124" i="179"/>
  <c r="AU124" i="179"/>
  <c r="CK124" i="179"/>
  <c r="BG124" i="179"/>
  <c r="DU124" i="179"/>
  <c r="AC124" i="179"/>
  <c r="BS124" i="179"/>
  <c r="AO124" i="179"/>
  <c r="CE124" i="179"/>
  <c r="GC124" i="179"/>
  <c r="ES44" i="179"/>
  <c r="CK44" i="179"/>
  <c r="BM44" i="179"/>
  <c r="AO44" i="179"/>
  <c r="GC44" i="179"/>
  <c r="DU44" i="179"/>
  <c r="CE44" i="179"/>
  <c r="BG44" i="179"/>
  <c r="AI44" i="179"/>
  <c r="FW44" i="179"/>
  <c r="DO44" i="179"/>
  <c r="BY44" i="179"/>
  <c r="BA44" i="179"/>
  <c r="AC44" i="179"/>
  <c r="BS44" i="179"/>
  <c r="EY44" i="179"/>
  <c r="CQ44" i="179"/>
  <c r="AU44" i="179"/>
  <c r="W44" i="179"/>
  <c r="CL72" i="179"/>
  <c r="BH72" i="179"/>
  <c r="DV72" i="179"/>
  <c r="BT72" i="179"/>
  <c r="CF72" i="179"/>
  <c r="CR72" i="179"/>
  <c r="X72" i="179"/>
  <c r="BN72" i="179"/>
  <c r="BB72" i="179"/>
  <c r="GD72" i="179"/>
  <c r="BZ72" i="179"/>
  <c r="AV72" i="179"/>
  <c r="EZ72" i="179"/>
  <c r="AP72" i="179"/>
  <c r="AJ72" i="179"/>
  <c r="AD72" i="179"/>
  <c r="CF153" i="179"/>
  <c r="GD153" i="179"/>
  <c r="BN153" i="179"/>
  <c r="CL153" i="179"/>
  <c r="AP153" i="179"/>
  <c r="BH153" i="179"/>
  <c r="BZ153" i="179"/>
  <c r="AJ153" i="179"/>
  <c r="BT153" i="179"/>
  <c r="AV153" i="179"/>
  <c r="EZ153" i="179"/>
  <c r="X153" i="179"/>
  <c r="AD153" i="179"/>
  <c r="BB153" i="179"/>
  <c r="DV153" i="179"/>
  <c r="CR153" i="179"/>
  <c r="CQ135" i="179"/>
  <c r="W135" i="179"/>
  <c r="DU135" i="179"/>
  <c r="AC135" i="179"/>
  <c r="BS135" i="179"/>
  <c r="GC135" i="179"/>
  <c r="AO135" i="179"/>
  <c r="EY135" i="179"/>
  <c r="BM135" i="179"/>
  <c r="AU135" i="179"/>
  <c r="BG135" i="179"/>
  <c r="BY135" i="179"/>
  <c r="BA135" i="179"/>
  <c r="AI135" i="179"/>
  <c r="CK135" i="179"/>
  <c r="CE135" i="179"/>
  <c r="CN189" i="179"/>
  <c r="BJ189" i="179"/>
  <c r="CT189" i="179"/>
  <c r="Z189" i="179"/>
  <c r="BP189" i="179"/>
  <c r="AL189" i="179"/>
  <c r="GF189" i="179"/>
  <c r="AX189" i="179"/>
  <c r="DX189" i="179"/>
  <c r="BV189" i="179"/>
  <c r="CH189" i="179"/>
  <c r="BD189" i="179"/>
  <c r="FB189" i="179"/>
  <c r="CB189" i="179"/>
  <c r="AR189" i="179"/>
  <c r="AF189" i="179"/>
  <c r="BO206" i="179"/>
  <c r="BU206" i="179"/>
  <c r="BC206" i="179"/>
  <c r="AK206" i="179"/>
  <c r="CS206" i="179"/>
  <c r="CA206" i="179"/>
  <c r="BI206" i="179"/>
  <c r="AQ206" i="179"/>
  <c r="Y206" i="179"/>
  <c r="FA206" i="179"/>
  <c r="AW206" i="179"/>
  <c r="DW206" i="179"/>
  <c r="GE206" i="179"/>
  <c r="AE206" i="179"/>
  <c r="CM206" i="179"/>
  <c r="CG206" i="179"/>
  <c r="GD141" i="179"/>
  <c r="AP141" i="179"/>
  <c r="CF141" i="179"/>
  <c r="AV141" i="179"/>
  <c r="EZ141" i="179"/>
  <c r="BZ141" i="179"/>
  <c r="BB141" i="179"/>
  <c r="DV141" i="179"/>
  <c r="BT141" i="179"/>
  <c r="X141" i="179"/>
  <c r="CR141" i="179"/>
  <c r="CL141" i="179"/>
  <c r="BN141" i="179"/>
  <c r="BH141" i="179"/>
  <c r="AJ141" i="179"/>
  <c r="AD141" i="179"/>
  <c r="DW85" i="179"/>
  <c r="AE85" i="179"/>
  <c r="BU85" i="179"/>
  <c r="AQ85" i="179"/>
  <c r="GE85" i="179"/>
  <c r="CG85" i="179"/>
  <c r="BC85" i="179"/>
  <c r="CS85" i="179"/>
  <c r="Y85" i="179"/>
  <c r="BO85" i="179"/>
  <c r="AK85" i="179"/>
  <c r="FA85" i="179"/>
  <c r="CA85" i="179"/>
  <c r="AW85" i="179"/>
  <c r="CM85" i="179"/>
  <c r="BI85" i="179"/>
  <c r="CG100" i="179"/>
  <c r="BC100" i="179"/>
  <c r="CS100" i="179"/>
  <c r="Y100" i="179"/>
  <c r="BO100" i="179"/>
  <c r="FA100" i="179"/>
  <c r="AK100" i="179"/>
  <c r="CA100" i="179"/>
  <c r="AW100" i="179"/>
  <c r="CM100" i="179"/>
  <c r="BI100" i="179"/>
  <c r="DW100" i="179"/>
  <c r="AE100" i="179"/>
  <c r="GE100" i="179"/>
  <c r="BU100" i="179"/>
  <c r="AQ100" i="179"/>
  <c r="BO150" i="179"/>
  <c r="DW150" i="179"/>
  <c r="AE150" i="179"/>
  <c r="BU150" i="179"/>
  <c r="CG150" i="179"/>
  <c r="AQ150" i="179"/>
  <c r="CS150" i="179"/>
  <c r="BI150" i="179"/>
  <c r="Y150" i="179"/>
  <c r="GE150" i="179"/>
  <c r="AW150" i="179"/>
  <c r="FA150" i="179"/>
  <c r="CA150" i="179"/>
  <c r="BC150" i="179"/>
  <c r="AK150" i="179"/>
  <c r="CM150" i="179"/>
  <c r="BS121" i="179"/>
  <c r="GC121" i="179"/>
  <c r="AO121" i="179"/>
  <c r="CE121" i="179"/>
  <c r="BA121" i="179"/>
  <c r="CQ121" i="179"/>
  <c r="W121" i="179"/>
  <c r="EY121" i="179"/>
  <c r="AI121" i="179"/>
  <c r="BY121" i="179"/>
  <c r="AU121" i="179"/>
  <c r="AC121" i="179"/>
  <c r="BM121" i="179"/>
  <c r="BG121" i="179"/>
  <c r="DU121" i="179"/>
  <c r="CK121" i="179"/>
  <c r="GD93" i="179"/>
  <c r="AP93" i="179"/>
  <c r="CF93" i="179"/>
  <c r="BB93" i="179"/>
  <c r="DV93" i="179"/>
  <c r="X93" i="179"/>
  <c r="CR93" i="179"/>
  <c r="BZ93" i="179"/>
  <c r="BH93" i="179"/>
  <c r="AJ93" i="179"/>
  <c r="EZ93" i="179"/>
  <c r="CL93" i="179"/>
  <c r="BT93" i="179"/>
  <c r="BN93" i="179"/>
  <c r="AV93" i="179"/>
  <c r="AD93" i="179"/>
  <c r="CS200" i="179"/>
  <c r="Y200" i="179"/>
  <c r="FA200" i="179"/>
  <c r="AK200" i="179"/>
  <c r="BU200" i="179"/>
  <c r="BC200" i="179"/>
  <c r="GE200" i="179"/>
  <c r="CA200" i="179"/>
  <c r="BI200" i="179"/>
  <c r="AQ200" i="179"/>
  <c r="CG200" i="179"/>
  <c r="BO200" i="179"/>
  <c r="AE200" i="179"/>
  <c r="DW200" i="179"/>
  <c r="CM200" i="179"/>
  <c r="AW200" i="179"/>
  <c r="DV95" i="179"/>
  <c r="GD95" i="179"/>
  <c r="AP95" i="179"/>
  <c r="BB95" i="179"/>
  <c r="CR95" i="179"/>
  <c r="X95" i="179"/>
  <c r="BN95" i="179"/>
  <c r="BT95" i="179"/>
  <c r="AJ95" i="179"/>
  <c r="CL95" i="179"/>
  <c r="BH95" i="179"/>
  <c r="CF95" i="179"/>
  <c r="EZ95" i="179"/>
  <c r="BZ95" i="179"/>
  <c r="AD95" i="179"/>
  <c r="AV95" i="179"/>
  <c r="BZ176" i="179"/>
  <c r="AV176" i="179"/>
  <c r="GD176" i="179"/>
  <c r="CR176" i="179"/>
  <c r="X176" i="179"/>
  <c r="BB176" i="179"/>
  <c r="AD176" i="179"/>
  <c r="BT176" i="179"/>
  <c r="CL176" i="179"/>
  <c r="AJ176" i="179"/>
  <c r="EZ176" i="179"/>
  <c r="BN176" i="179"/>
  <c r="AP176" i="179"/>
  <c r="CF176" i="179"/>
  <c r="DV176" i="179"/>
  <c r="BH176" i="179"/>
  <c r="GD125" i="179"/>
  <c r="BN125" i="179"/>
  <c r="AJ125" i="179"/>
  <c r="BZ125" i="179"/>
  <c r="EZ125" i="179"/>
  <c r="AV125" i="179"/>
  <c r="CL125" i="179"/>
  <c r="BH125" i="179"/>
  <c r="AD125" i="179"/>
  <c r="BT125" i="179"/>
  <c r="DV125" i="179"/>
  <c r="AP125" i="179"/>
  <c r="CF125" i="179"/>
  <c r="X125" i="179"/>
  <c r="BB125" i="179"/>
  <c r="CR125" i="179"/>
  <c r="BT75" i="179"/>
  <c r="GD75" i="179"/>
  <c r="AP75" i="179"/>
  <c r="CF75" i="179"/>
  <c r="BB75" i="179"/>
  <c r="CR75" i="179"/>
  <c r="X75" i="179"/>
  <c r="BN75" i="179"/>
  <c r="EZ75" i="179"/>
  <c r="AJ75" i="179"/>
  <c r="BZ75" i="179"/>
  <c r="AV75" i="179"/>
  <c r="CL75" i="179"/>
  <c r="DV75" i="179"/>
  <c r="BH75" i="179"/>
  <c r="AD75" i="179"/>
  <c r="CB156" i="179"/>
  <c r="CH156" i="179"/>
  <c r="BJ156" i="179"/>
  <c r="AF156" i="179"/>
  <c r="FB156" i="179"/>
  <c r="CN156" i="179"/>
  <c r="AR156" i="179"/>
  <c r="AX156" i="179"/>
  <c r="BP156" i="179"/>
  <c r="AL156" i="179"/>
  <c r="BD156" i="179"/>
  <c r="BV156" i="179"/>
  <c r="DX156" i="179"/>
  <c r="Z156" i="179"/>
  <c r="GF156" i="179"/>
  <c r="CT156" i="179"/>
  <c r="CR67" i="179"/>
  <c r="X67" i="179"/>
  <c r="DV67" i="179"/>
  <c r="AD67" i="179"/>
  <c r="BT67" i="179"/>
  <c r="AJ67" i="179"/>
  <c r="BB67" i="179"/>
  <c r="EZ67" i="179"/>
  <c r="CL67" i="179"/>
  <c r="BN67" i="179"/>
  <c r="AV67" i="179"/>
  <c r="CF67" i="179"/>
  <c r="AP67" i="179"/>
  <c r="BZ67" i="179"/>
  <c r="BH67" i="179"/>
  <c r="GD67" i="179"/>
  <c r="BH97" i="179"/>
  <c r="DV97" i="179"/>
  <c r="AD97" i="179"/>
  <c r="BT97" i="179"/>
  <c r="GD97" i="179"/>
  <c r="AP97" i="179"/>
  <c r="CF97" i="179"/>
  <c r="BB97" i="179"/>
  <c r="CR97" i="179"/>
  <c r="X97" i="179"/>
  <c r="BN97" i="179"/>
  <c r="EZ97" i="179"/>
  <c r="AJ97" i="179"/>
  <c r="BZ97" i="179"/>
  <c r="CL97" i="179"/>
  <c r="AV97" i="179"/>
  <c r="FB198" i="179"/>
  <c r="AL198" i="179"/>
  <c r="CB198" i="179"/>
  <c r="GF198" i="179"/>
  <c r="AR198" i="179"/>
  <c r="CH198" i="179"/>
  <c r="BD198" i="179"/>
  <c r="CN198" i="179"/>
  <c r="BP198" i="179"/>
  <c r="AF198" i="179"/>
  <c r="DX198" i="179"/>
  <c r="CT198" i="179"/>
  <c r="BV198" i="179"/>
  <c r="AX198" i="179"/>
  <c r="Z198" i="179"/>
  <c r="BJ198" i="179"/>
  <c r="CK61" i="179"/>
  <c r="CQ61" i="179"/>
  <c r="W61" i="179"/>
  <c r="EY61" i="179"/>
  <c r="BS61" i="179"/>
  <c r="BA61" i="179"/>
  <c r="AI61" i="179"/>
  <c r="DU61" i="179"/>
  <c r="CE61" i="179"/>
  <c r="BM61" i="179"/>
  <c r="AU61" i="179"/>
  <c r="AC61" i="179"/>
  <c r="GC61" i="179"/>
  <c r="BY61" i="179"/>
  <c r="BG61" i="179"/>
  <c r="AO61" i="179"/>
  <c r="CT122" i="179"/>
  <c r="Z122" i="179"/>
  <c r="BP122" i="179"/>
  <c r="FB122" i="179"/>
  <c r="AL122" i="179"/>
  <c r="CB122" i="179"/>
  <c r="AX122" i="179"/>
  <c r="CN122" i="179"/>
  <c r="BJ122" i="179"/>
  <c r="DX122" i="179"/>
  <c r="AF122" i="179"/>
  <c r="BV122" i="179"/>
  <c r="GF122" i="179"/>
  <c r="BD122" i="179"/>
  <c r="AR122" i="179"/>
  <c r="CH122" i="179"/>
  <c r="GC77" i="179"/>
  <c r="AO77" i="179"/>
  <c r="CE77" i="179"/>
  <c r="BA77" i="179"/>
  <c r="CQ77" i="179"/>
  <c r="W77" i="179"/>
  <c r="BM77" i="179"/>
  <c r="EY77" i="179"/>
  <c r="AI77" i="179"/>
  <c r="BY77" i="179"/>
  <c r="AU77" i="179"/>
  <c r="CK77" i="179"/>
  <c r="BG77" i="179"/>
  <c r="AC77" i="179"/>
  <c r="DU77" i="179"/>
  <c r="BS77" i="179"/>
  <c r="DV45" i="179"/>
  <c r="AD45" i="179"/>
  <c r="BT45" i="179"/>
  <c r="CF45" i="179"/>
  <c r="BN45" i="179"/>
  <c r="AV45" i="179"/>
  <c r="GD45" i="179"/>
  <c r="CR45" i="179"/>
  <c r="BZ45" i="179"/>
  <c r="AP45" i="179"/>
  <c r="BH45" i="179"/>
  <c r="X45" i="179"/>
  <c r="CL45" i="179"/>
  <c r="BB45" i="179"/>
  <c r="AJ45" i="179"/>
  <c r="EZ45" i="179"/>
  <c r="AU128" i="179"/>
  <c r="BA128" i="179"/>
  <c r="AO128" i="179"/>
  <c r="W128" i="179"/>
  <c r="CE128" i="179"/>
  <c r="BM128" i="179"/>
  <c r="AC128" i="179"/>
  <c r="EY128" i="179"/>
  <c r="BY128" i="179"/>
  <c r="DU128" i="179"/>
  <c r="CQ128" i="179"/>
  <c r="BS128" i="179"/>
  <c r="CK128" i="179"/>
  <c r="GC128" i="179"/>
  <c r="BG128" i="179"/>
  <c r="AI128" i="179"/>
  <c r="BM174" i="179"/>
  <c r="EY174" i="179"/>
  <c r="AO174" i="179"/>
  <c r="CK174" i="179"/>
  <c r="BS174" i="179"/>
  <c r="AC174" i="179"/>
  <c r="GC174" i="179"/>
  <c r="CQ174" i="179"/>
  <c r="W174" i="179"/>
  <c r="BG174" i="179"/>
  <c r="CE174" i="179"/>
  <c r="BY174" i="179"/>
  <c r="AI174" i="179"/>
  <c r="DU174" i="179"/>
  <c r="AU174" i="179"/>
  <c r="BA174" i="179"/>
  <c r="FB103" i="179"/>
  <c r="AL103" i="179"/>
  <c r="CB103" i="179"/>
  <c r="AX103" i="179"/>
  <c r="CN103" i="179"/>
  <c r="BJ103" i="179"/>
  <c r="DX103" i="179"/>
  <c r="AF103" i="179"/>
  <c r="BV103" i="179"/>
  <c r="GF103" i="179"/>
  <c r="AR103" i="179"/>
  <c r="CH103" i="179"/>
  <c r="BD103" i="179"/>
  <c r="CT103" i="179"/>
  <c r="BP103" i="179"/>
  <c r="Z103" i="179"/>
  <c r="CT110" i="179"/>
  <c r="Z110" i="179"/>
  <c r="BP110" i="179"/>
  <c r="AX110" i="179"/>
  <c r="FB110" i="179"/>
  <c r="CB110" i="179"/>
  <c r="AF110" i="179"/>
  <c r="CN110" i="179"/>
  <c r="BJ110" i="179"/>
  <c r="AR110" i="179"/>
  <c r="DX110" i="179"/>
  <c r="BV110" i="179"/>
  <c r="CH110" i="179"/>
  <c r="AL110" i="179"/>
  <c r="GF110" i="179"/>
  <c r="BD110" i="179"/>
  <c r="BU119" i="179"/>
  <c r="GE119" i="179"/>
  <c r="AQ119" i="179"/>
  <c r="CG119" i="179"/>
  <c r="BC119" i="179"/>
  <c r="CS119" i="179"/>
  <c r="Y119" i="179"/>
  <c r="CA119" i="179"/>
  <c r="AW119" i="179"/>
  <c r="DW119" i="179"/>
  <c r="AE119" i="179"/>
  <c r="BI119" i="179"/>
  <c r="CM119" i="179"/>
  <c r="FA119" i="179"/>
  <c r="BO119" i="179"/>
  <c r="AK119" i="179"/>
  <c r="BP78" i="179"/>
  <c r="FB78" i="179"/>
  <c r="AL78" i="179"/>
  <c r="CB78" i="179"/>
  <c r="AX78" i="179"/>
  <c r="CN78" i="179"/>
  <c r="BJ78" i="179"/>
  <c r="DX78" i="179"/>
  <c r="AF78" i="179"/>
  <c r="BV78" i="179"/>
  <c r="GF78" i="179"/>
  <c r="AR78" i="179"/>
  <c r="CH78" i="179"/>
  <c r="CT78" i="179"/>
  <c r="BD78" i="179"/>
  <c r="Z78" i="179"/>
  <c r="CB113" i="179"/>
  <c r="CH113" i="179"/>
  <c r="BD113" i="179"/>
  <c r="GF113" i="179"/>
  <c r="BP113" i="179"/>
  <c r="AL113" i="179"/>
  <c r="CT113" i="179"/>
  <c r="AX113" i="179"/>
  <c r="FB113" i="179"/>
  <c r="AF113" i="179"/>
  <c r="CN113" i="179"/>
  <c r="BJ113" i="179"/>
  <c r="BV113" i="179"/>
  <c r="AR113" i="179"/>
  <c r="Z113" i="179"/>
  <c r="DX113" i="179"/>
  <c r="BI149" i="179"/>
  <c r="DW149" i="179"/>
  <c r="AE149" i="179"/>
  <c r="CM149" i="179"/>
  <c r="BC149" i="179"/>
  <c r="GE149" i="179"/>
  <c r="CS149" i="179"/>
  <c r="CA149" i="179"/>
  <c r="AQ149" i="179"/>
  <c r="CG149" i="179"/>
  <c r="Y149" i="179"/>
  <c r="AW149" i="179"/>
  <c r="AK149" i="179"/>
  <c r="BU149" i="179"/>
  <c r="FA149" i="179"/>
  <c r="BO149" i="179"/>
  <c r="BT194" i="179"/>
  <c r="GD194" i="179"/>
  <c r="AP194" i="179"/>
  <c r="BZ194" i="179"/>
  <c r="CL194" i="179"/>
  <c r="CR194" i="179"/>
  <c r="AD194" i="179"/>
  <c r="BH194" i="179"/>
  <c r="AV194" i="179"/>
  <c r="AJ194" i="179"/>
  <c r="BN194" i="179"/>
  <c r="CF194" i="179"/>
  <c r="X194" i="179"/>
  <c r="EZ194" i="179"/>
  <c r="BB194" i="179"/>
  <c r="DV194" i="179"/>
  <c r="CF48" i="179"/>
  <c r="BB48" i="179"/>
  <c r="EZ48" i="179"/>
  <c r="CL48" i="179"/>
  <c r="BT48" i="179"/>
  <c r="AJ48" i="179"/>
  <c r="DV48" i="179"/>
  <c r="BN48" i="179"/>
  <c r="AV48" i="179"/>
  <c r="AD48" i="179"/>
  <c r="CR48" i="179"/>
  <c r="BH48" i="179"/>
  <c r="X48" i="179"/>
  <c r="AP48" i="179"/>
  <c r="GD48" i="179"/>
  <c r="BZ48" i="179"/>
  <c r="CN164" i="179"/>
  <c r="BJ164" i="179"/>
  <c r="CT164" i="179"/>
  <c r="Z164" i="179"/>
  <c r="BP164" i="179"/>
  <c r="FB164" i="179"/>
  <c r="AL164" i="179"/>
  <c r="CB164" i="179"/>
  <c r="AF164" i="179"/>
  <c r="BD164" i="179"/>
  <c r="AX164" i="179"/>
  <c r="BV164" i="179"/>
  <c r="AR164" i="179"/>
  <c r="CH164" i="179"/>
  <c r="GF164" i="179"/>
  <c r="DX164" i="179"/>
  <c r="CM116" i="179"/>
  <c r="CS116" i="179"/>
  <c r="BI116" i="179"/>
  <c r="CA116" i="179"/>
  <c r="AQ116" i="179"/>
  <c r="GE116" i="179"/>
  <c r="Y116" i="179"/>
  <c r="BU116" i="179"/>
  <c r="BC116" i="179"/>
  <c r="FA116" i="179"/>
  <c r="AK116" i="179"/>
  <c r="BO116" i="179"/>
  <c r="DW116" i="179"/>
  <c r="CG116" i="179"/>
  <c r="AW116" i="179"/>
  <c r="AE116" i="179"/>
  <c r="BP66" i="179"/>
  <c r="BV66" i="179"/>
  <c r="GF66" i="179"/>
  <c r="AR66" i="179"/>
  <c r="CB66" i="179"/>
  <c r="BJ66" i="179"/>
  <c r="CT66" i="179"/>
  <c r="AL66" i="179"/>
  <c r="BD66" i="179"/>
  <c r="FB66" i="179"/>
  <c r="CN66" i="179"/>
  <c r="AX66" i="179"/>
  <c r="AF66" i="179"/>
  <c r="CH66" i="179"/>
  <c r="DX66" i="179"/>
  <c r="Z66" i="179"/>
  <c r="CA188" i="179"/>
  <c r="AW188" i="179"/>
  <c r="CG188" i="179"/>
  <c r="BC188" i="179"/>
  <c r="Y188" i="179"/>
  <c r="BO188" i="179"/>
  <c r="FA188" i="179"/>
  <c r="BI188" i="179"/>
  <c r="AE188" i="179"/>
  <c r="CM188" i="179"/>
  <c r="GE188" i="179"/>
  <c r="AQ188" i="179"/>
  <c r="CS188" i="179"/>
  <c r="BU188" i="179"/>
  <c r="AK188" i="179"/>
  <c r="DW188" i="179"/>
  <c r="BT131" i="179"/>
  <c r="BZ131" i="179"/>
  <c r="AV131" i="179"/>
  <c r="CL131" i="179"/>
  <c r="CR131" i="179"/>
  <c r="AJ131" i="179"/>
  <c r="AD131" i="179"/>
  <c r="EZ131" i="179"/>
  <c r="BN131" i="179"/>
  <c r="CF131" i="179"/>
  <c r="DV131" i="179"/>
  <c r="GD131" i="179"/>
  <c r="AP131" i="179"/>
  <c r="BH131" i="179"/>
  <c r="X131" i="179"/>
  <c r="BB131" i="179"/>
  <c r="BI72" i="179"/>
  <c r="DW72" i="179"/>
  <c r="AE72" i="179"/>
  <c r="BU72" i="179"/>
  <c r="GE72" i="179"/>
  <c r="AQ72" i="179"/>
  <c r="BC72" i="179"/>
  <c r="BO72" i="179"/>
  <c r="FA72" i="179"/>
  <c r="AK72" i="179"/>
  <c r="CG72" i="179"/>
  <c r="Y72" i="179"/>
  <c r="CA72" i="179"/>
  <c r="AW72" i="179"/>
  <c r="CS72" i="179"/>
  <c r="CM72" i="179"/>
  <c r="DU194" i="179"/>
  <c r="AC194" i="179"/>
  <c r="BS194" i="179"/>
  <c r="EY194" i="179"/>
  <c r="AI194" i="179"/>
  <c r="AU194" i="179"/>
  <c r="BA194" i="179"/>
  <c r="CQ194" i="179"/>
  <c r="CE194" i="179"/>
  <c r="BM194" i="179"/>
  <c r="BY194" i="179"/>
  <c r="GC194" i="179"/>
  <c r="W194" i="179"/>
  <c r="BG194" i="179"/>
  <c r="AO194" i="179"/>
  <c r="CK194" i="179"/>
  <c r="DW97" i="179"/>
  <c r="AE97" i="179"/>
  <c r="BU97" i="179"/>
  <c r="GE97" i="179"/>
  <c r="AQ97" i="179"/>
  <c r="CG97" i="179"/>
  <c r="BC97" i="179"/>
  <c r="CS97" i="179"/>
  <c r="Y97" i="179"/>
  <c r="BO97" i="179"/>
  <c r="FA97" i="179"/>
  <c r="AK97" i="179"/>
  <c r="CA97" i="179"/>
  <c r="AW97" i="179"/>
  <c r="CM97" i="179"/>
  <c r="BI97" i="179"/>
  <c r="BV167" i="179"/>
  <c r="GF167" i="179"/>
  <c r="AR167" i="179"/>
  <c r="CB167" i="179"/>
  <c r="AX167" i="179"/>
  <c r="CN167" i="179"/>
  <c r="FB167" i="179"/>
  <c r="BD167" i="179"/>
  <c r="AF167" i="179"/>
  <c r="DX167" i="179"/>
  <c r="AL167" i="179"/>
  <c r="CT167" i="179"/>
  <c r="BJ167" i="179"/>
  <c r="CH167" i="179"/>
  <c r="Z167" i="179"/>
  <c r="BP167" i="179"/>
  <c r="CA69" i="179"/>
  <c r="CG69" i="179"/>
  <c r="BC69" i="179"/>
  <c r="BI69" i="179"/>
  <c r="AQ69" i="179"/>
  <c r="CS69" i="179"/>
  <c r="GE69" i="179"/>
  <c r="AK69" i="179"/>
  <c r="CM69" i="179"/>
  <c r="BU69" i="179"/>
  <c r="FA69" i="179"/>
  <c r="AW69" i="179"/>
  <c r="AE69" i="179"/>
  <c r="BO69" i="179"/>
  <c r="DW69" i="179"/>
  <c r="Y69" i="179"/>
  <c r="BG139" i="179"/>
  <c r="BY139" i="179"/>
  <c r="AU139" i="179"/>
  <c r="EY139" i="179"/>
  <c r="CE139" i="179"/>
  <c r="BA139" i="179"/>
  <c r="GC139" i="179"/>
  <c r="AI139" i="179"/>
  <c r="CQ139" i="179"/>
  <c r="AC139" i="179"/>
  <c r="BS139" i="179"/>
  <c r="CK139" i="179"/>
  <c r="AO139" i="179"/>
  <c r="BM139" i="179"/>
  <c r="W139" i="179"/>
  <c r="DU139" i="179"/>
  <c r="CK211" i="179"/>
  <c r="BG211" i="179"/>
  <c r="BA211" i="179"/>
  <c r="CQ211" i="179"/>
  <c r="W211" i="179"/>
  <c r="AI211" i="179"/>
  <c r="GC211" i="179"/>
  <c r="DU211" i="179"/>
  <c r="CE211" i="179"/>
  <c r="AO211" i="179"/>
  <c r="BM211" i="179"/>
  <c r="BY211" i="179"/>
  <c r="AU211" i="179"/>
  <c r="BS211" i="179"/>
  <c r="EY211" i="179"/>
  <c r="AC211" i="179"/>
  <c r="CG109" i="179"/>
  <c r="FA109" i="179"/>
  <c r="BI109" i="179"/>
  <c r="AE109" i="179"/>
  <c r="CM109" i="179"/>
  <c r="AQ109" i="179"/>
  <c r="BU109" i="179"/>
  <c r="DW109" i="179"/>
  <c r="BC109" i="179"/>
  <c r="Y109" i="179"/>
  <c r="GE109" i="179"/>
  <c r="BO109" i="179"/>
  <c r="AK109" i="179"/>
  <c r="CS109" i="179"/>
  <c r="AW109" i="179"/>
  <c r="CA109" i="179"/>
  <c r="CE179" i="179"/>
  <c r="CK179" i="179"/>
  <c r="BG179" i="179"/>
  <c r="BS179" i="179"/>
  <c r="AI179" i="179"/>
  <c r="BY179" i="179"/>
  <c r="BA179" i="179"/>
  <c r="AC179" i="179"/>
  <c r="GC179" i="179"/>
  <c r="AO179" i="179"/>
  <c r="CQ179" i="179"/>
  <c r="BM179" i="179"/>
  <c r="AU179" i="179"/>
  <c r="W179" i="179"/>
  <c r="DU179" i="179"/>
  <c r="EY179" i="179"/>
  <c r="BC77" i="179"/>
  <c r="CS77" i="179"/>
  <c r="Y77" i="179"/>
  <c r="BO77" i="179"/>
  <c r="FA77" i="179"/>
  <c r="AK77" i="179"/>
  <c r="CA77" i="179"/>
  <c r="AW77" i="179"/>
  <c r="CM77" i="179"/>
  <c r="BI77" i="179"/>
  <c r="DW77" i="179"/>
  <c r="AE77" i="179"/>
  <c r="BU77" i="179"/>
  <c r="AQ77" i="179"/>
  <c r="GE77" i="179"/>
  <c r="CG77" i="179"/>
  <c r="AV148" i="179"/>
  <c r="CL148" i="179"/>
  <c r="EZ148" i="179"/>
  <c r="BT148" i="179"/>
  <c r="GD148" i="179"/>
  <c r="X148" i="179"/>
  <c r="BN148" i="179"/>
  <c r="DV148" i="179"/>
  <c r="BB148" i="179"/>
  <c r="CR148" i="179"/>
  <c r="AD148" i="179"/>
  <c r="AP148" i="179"/>
  <c r="AJ148" i="179"/>
  <c r="CF148" i="179"/>
  <c r="BZ148" i="179"/>
  <c r="BH148" i="179"/>
  <c r="BS47" i="179"/>
  <c r="GC47" i="179"/>
  <c r="AO47" i="179"/>
  <c r="EY47" i="179"/>
  <c r="CK47" i="179"/>
  <c r="BA47" i="179"/>
  <c r="AI47" i="179"/>
  <c r="CE47" i="179"/>
  <c r="DU47" i="179"/>
  <c r="BM47" i="179"/>
  <c r="AU47" i="179"/>
  <c r="AC47" i="179"/>
  <c r="CQ47" i="179"/>
  <c r="BG47" i="179"/>
  <c r="W47" i="179"/>
  <c r="BY47" i="179"/>
  <c r="FA113" i="179"/>
  <c r="AK113" i="179"/>
  <c r="Y113" i="179"/>
  <c r="CG113" i="179"/>
  <c r="BC113" i="179"/>
  <c r="GE113" i="179"/>
  <c r="BO113" i="179"/>
  <c r="CS113" i="179"/>
  <c r="CA113" i="179"/>
  <c r="AW113" i="179"/>
  <c r="AE113" i="179"/>
  <c r="CM113" i="179"/>
  <c r="BI113" i="179"/>
  <c r="AQ113" i="179"/>
  <c r="BU113" i="179"/>
  <c r="DW113" i="179"/>
  <c r="CS185" i="179"/>
  <c r="Y185" i="179"/>
  <c r="BO185" i="179"/>
  <c r="DW185" i="179"/>
  <c r="AE185" i="179"/>
  <c r="BU185" i="179"/>
  <c r="GE185" i="179"/>
  <c r="AW185" i="179"/>
  <c r="CG185" i="179"/>
  <c r="BC185" i="179"/>
  <c r="FA185" i="179"/>
  <c r="CA185" i="179"/>
  <c r="AK185" i="179"/>
  <c r="CM185" i="179"/>
  <c r="BI185" i="179"/>
  <c r="AQ185" i="179"/>
  <c r="BC65" i="179"/>
  <c r="BI65" i="179"/>
  <c r="DW65" i="179"/>
  <c r="AE65" i="179"/>
  <c r="BO65" i="179"/>
  <c r="AW65" i="179"/>
  <c r="CG65" i="179"/>
  <c r="Y65" i="179"/>
  <c r="AQ65" i="179"/>
  <c r="CS65" i="179"/>
  <c r="CA65" i="179"/>
  <c r="GE65" i="179"/>
  <c r="AK65" i="179"/>
  <c r="BU65" i="179"/>
  <c r="FA65" i="179"/>
  <c r="CM65" i="179"/>
  <c r="BN104" i="179"/>
  <c r="EZ104" i="179"/>
  <c r="AJ104" i="179"/>
  <c r="BZ104" i="179"/>
  <c r="AV104" i="179"/>
  <c r="CL104" i="179"/>
  <c r="BH104" i="179"/>
  <c r="DV104" i="179"/>
  <c r="AD104" i="179"/>
  <c r="BT104" i="179"/>
  <c r="GD104" i="179"/>
  <c r="AP104" i="179"/>
  <c r="CF104" i="179"/>
  <c r="BB104" i="179"/>
  <c r="X104" i="179"/>
  <c r="CR104" i="179"/>
  <c r="AX146" i="179"/>
  <c r="DX146" i="179"/>
  <c r="Z146" i="179"/>
  <c r="CB146" i="179"/>
  <c r="AF146" i="179"/>
  <c r="GF146" i="179"/>
  <c r="CT146" i="179"/>
  <c r="FB146" i="179"/>
  <c r="CH146" i="179"/>
  <c r="BP146" i="179"/>
  <c r="AL146" i="179"/>
  <c r="BV146" i="179"/>
  <c r="BJ146" i="179"/>
  <c r="BD146" i="179"/>
  <c r="AR146" i="179"/>
  <c r="CN146" i="179"/>
  <c r="AX188" i="179"/>
  <c r="CN188" i="179"/>
  <c r="BD188" i="179"/>
  <c r="CT188" i="179"/>
  <c r="Z188" i="179"/>
  <c r="BP188" i="179"/>
  <c r="FB188" i="179"/>
  <c r="AR188" i="179"/>
  <c r="CB188" i="179"/>
  <c r="CH188" i="179"/>
  <c r="AL188" i="179"/>
  <c r="GF188" i="179"/>
  <c r="BJ188" i="179"/>
  <c r="AF188" i="179"/>
  <c r="BV188" i="179"/>
  <c r="DX188" i="179"/>
  <c r="BP56" i="179"/>
  <c r="FB56" i="179"/>
  <c r="AL56" i="179"/>
  <c r="CB56" i="179"/>
  <c r="AX56" i="179"/>
  <c r="CN56" i="179"/>
  <c r="BJ56" i="179"/>
  <c r="DX56" i="179"/>
  <c r="AF56" i="179"/>
  <c r="BV56" i="179"/>
  <c r="GF56" i="179"/>
  <c r="AR56" i="179"/>
  <c r="CH56" i="179"/>
  <c r="Z56" i="179"/>
  <c r="CT56" i="179"/>
  <c r="BD56" i="179"/>
  <c r="DW95" i="179"/>
  <c r="BU95" i="179"/>
  <c r="CG95" i="179"/>
  <c r="CS95" i="179"/>
  <c r="Y95" i="179"/>
  <c r="BO95" i="179"/>
  <c r="FA95" i="179"/>
  <c r="AK95" i="179"/>
  <c r="AQ95" i="179"/>
  <c r="CM95" i="179"/>
  <c r="BI95" i="179"/>
  <c r="GE95" i="179"/>
  <c r="CA95" i="179"/>
  <c r="BC95" i="179"/>
  <c r="AE95" i="179"/>
  <c r="AW95" i="179"/>
  <c r="AX136" i="179"/>
  <c r="BD136" i="179"/>
  <c r="CT136" i="179"/>
  <c r="Z136" i="179"/>
  <c r="BP136" i="179"/>
  <c r="BJ136" i="179"/>
  <c r="AR136" i="179"/>
  <c r="CB136" i="179"/>
  <c r="GF136" i="179"/>
  <c r="CN136" i="179"/>
  <c r="FB136" i="179"/>
  <c r="BV136" i="179"/>
  <c r="AF136" i="179"/>
  <c r="DX136" i="179"/>
  <c r="CH136" i="179"/>
  <c r="AL136" i="179"/>
  <c r="AW176" i="179"/>
  <c r="CM176" i="179"/>
  <c r="GE176" i="179"/>
  <c r="BU176" i="179"/>
  <c r="BC176" i="179"/>
  <c r="AK176" i="179"/>
  <c r="BO176" i="179"/>
  <c r="AQ176" i="179"/>
  <c r="CA176" i="179"/>
  <c r="AE176" i="179"/>
  <c r="CS176" i="179"/>
  <c r="FA176" i="179"/>
  <c r="Y176" i="179"/>
  <c r="BI176" i="179"/>
  <c r="DW176" i="179"/>
  <c r="CG176" i="179"/>
  <c r="GC48" i="179"/>
  <c r="AO48" i="179"/>
  <c r="CE48" i="179"/>
  <c r="EY48" i="179"/>
  <c r="CK48" i="179"/>
  <c r="BA48" i="179"/>
  <c r="BS48" i="179"/>
  <c r="AI48" i="179"/>
  <c r="DU48" i="179"/>
  <c r="BM48" i="179"/>
  <c r="AU48" i="179"/>
  <c r="BY48" i="179"/>
  <c r="AC48" i="179"/>
  <c r="BG48" i="179"/>
  <c r="W48" i="179"/>
  <c r="CQ48" i="179"/>
  <c r="BH85" i="179"/>
  <c r="DV85" i="179"/>
  <c r="AD85" i="179"/>
  <c r="BT85" i="179"/>
  <c r="AP85" i="179"/>
  <c r="GD85" i="179"/>
  <c r="CF85" i="179"/>
  <c r="BB85" i="179"/>
  <c r="CR85" i="179"/>
  <c r="X85" i="179"/>
  <c r="BN85" i="179"/>
  <c r="AJ85" i="179"/>
  <c r="EZ85" i="179"/>
  <c r="BZ85" i="179"/>
  <c r="AV85" i="179"/>
  <c r="CL85" i="179"/>
  <c r="CT125" i="179"/>
  <c r="CB125" i="179"/>
  <c r="FB125" i="179"/>
  <c r="AX125" i="179"/>
  <c r="CN125" i="179"/>
  <c r="BJ125" i="179"/>
  <c r="AF125" i="179"/>
  <c r="BV125" i="179"/>
  <c r="DX125" i="179"/>
  <c r="AR125" i="179"/>
  <c r="CH125" i="179"/>
  <c r="BD125" i="179"/>
  <c r="Z125" i="179"/>
  <c r="AL125" i="179"/>
  <c r="GF125" i="179"/>
  <c r="BP125" i="179"/>
  <c r="BH167" i="179"/>
  <c r="DV167" i="179"/>
  <c r="AD167" i="179"/>
  <c r="BN167" i="179"/>
  <c r="EZ167" i="179"/>
  <c r="AJ167" i="179"/>
  <c r="BZ167" i="179"/>
  <c r="X167" i="179"/>
  <c r="CF167" i="179"/>
  <c r="BT167" i="179"/>
  <c r="BB167" i="179"/>
  <c r="CL167" i="179"/>
  <c r="AV167" i="179"/>
  <c r="CR167" i="179"/>
  <c r="GD167" i="179"/>
  <c r="AP167" i="179"/>
  <c r="CK210" i="179"/>
  <c r="CE210" i="179"/>
  <c r="BA210" i="179"/>
  <c r="BS210" i="179"/>
  <c r="EY210" i="179"/>
  <c r="W210" i="179"/>
  <c r="GC210" i="179"/>
  <c r="AI210" i="179"/>
  <c r="BM210" i="179"/>
  <c r="BY210" i="179"/>
  <c r="AU210" i="179"/>
  <c r="BG210" i="179"/>
  <c r="CQ210" i="179"/>
  <c r="AC210" i="179"/>
  <c r="DU210" i="179"/>
  <c r="AO210" i="179"/>
  <c r="CG76" i="179"/>
  <c r="BC76" i="179"/>
  <c r="CS76" i="179"/>
  <c r="Y76" i="179"/>
  <c r="BO76" i="179"/>
  <c r="FA76" i="179"/>
  <c r="AK76" i="179"/>
  <c r="CA76" i="179"/>
  <c r="AW76" i="179"/>
  <c r="CM76" i="179"/>
  <c r="BI76" i="179"/>
  <c r="DW76" i="179"/>
  <c r="AE76" i="179"/>
  <c r="BU76" i="179"/>
  <c r="AQ76" i="179"/>
  <c r="GE76" i="179"/>
  <c r="CL117" i="179"/>
  <c r="BH117" i="179"/>
  <c r="GD117" i="179"/>
  <c r="CR117" i="179"/>
  <c r="X117" i="179"/>
  <c r="BT117" i="179"/>
  <c r="BB117" i="179"/>
  <c r="AD117" i="179"/>
  <c r="BN117" i="179"/>
  <c r="AV117" i="179"/>
  <c r="EZ117" i="179"/>
  <c r="CF117" i="179"/>
  <c r="AP117" i="179"/>
  <c r="DV117" i="179"/>
  <c r="BZ117" i="179"/>
  <c r="AJ117" i="179"/>
  <c r="GD158" i="179"/>
  <c r="AV158" i="179"/>
  <c r="Q158" i="179"/>
  <c r="CL158" i="179"/>
  <c r="BH158" i="179"/>
  <c r="DV158" i="179"/>
  <c r="CF158" i="179"/>
  <c r="BN158" i="179"/>
  <c r="AP158" i="179"/>
  <c r="X158" i="179"/>
  <c r="BT158" i="179"/>
  <c r="AJ158" i="179"/>
  <c r="AD158" i="179"/>
  <c r="BB158" i="179"/>
  <c r="EZ158" i="179"/>
  <c r="CR158" i="179"/>
  <c r="BZ158" i="179"/>
  <c r="BC199" i="179"/>
  <c r="BO199" i="179"/>
  <c r="AK199" i="179"/>
  <c r="BI199" i="179"/>
  <c r="FA199" i="179"/>
  <c r="AQ199" i="179"/>
  <c r="BU199" i="179"/>
  <c r="CG199" i="179"/>
  <c r="AE199" i="179"/>
  <c r="GE199" i="179"/>
  <c r="Y199" i="179"/>
  <c r="CS199" i="179"/>
  <c r="CM199" i="179"/>
  <c r="AW199" i="179"/>
  <c r="CA199" i="179"/>
  <c r="DW199" i="179"/>
  <c r="BO67" i="179"/>
  <c r="BU67" i="179"/>
  <c r="GE67" i="179"/>
  <c r="AQ67" i="179"/>
  <c r="BC67" i="179"/>
  <c r="FA67" i="179"/>
  <c r="CM67" i="179"/>
  <c r="AW67" i="179"/>
  <c r="AE67" i="179"/>
  <c r="CG67" i="179"/>
  <c r="DW67" i="179"/>
  <c r="Y67" i="179"/>
  <c r="CA67" i="179"/>
  <c r="BI67" i="179"/>
  <c r="CS67" i="179"/>
  <c r="AK67" i="179"/>
  <c r="CN106" i="179"/>
  <c r="BJ106" i="179"/>
  <c r="DX106" i="179"/>
  <c r="AF106" i="179"/>
  <c r="BV106" i="179"/>
  <c r="GF106" i="179"/>
  <c r="AR106" i="179"/>
  <c r="CH106" i="179"/>
  <c r="BD106" i="179"/>
  <c r="CT106" i="179"/>
  <c r="Z106" i="179"/>
  <c r="BP106" i="179"/>
  <c r="FB106" i="179"/>
  <c r="AL106" i="179"/>
  <c r="AX106" i="179"/>
  <c r="CB106" i="179"/>
  <c r="BJ148" i="179"/>
  <c r="DX148" i="179"/>
  <c r="BD148" i="179"/>
  <c r="CT148" i="179"/>
  <c r="AF148" i="179"/>
  <c r="CB148" i="179"/>
  <c r="AR148" i="179"/>
  <c r="FB148" i="179"/>
  <c r="CH148" i="179"/>
  <c r="AL148" i="179"/>
  <c r="BV148" i="179"/>
  <c r="AX148" i="179"/>
  <c r="CN148" i="179"/>
  <c r="Z148" i="179"/>
  <c r="BP148" i="179"/>
  <c r="GF148" i="179"/>
  <c r="BJ190" i="179"/>
  <c r="DX190" i="179"/>
  <c r="AF190" i="179"/>
  <c r="BP190" i="179"/>
  <c r="FB190" i="179"/>
  <c r="AL190" i="179"/>
  <c r="AR190" i="179"/>
  <c r="BD190" i="179"/>
  <c r="CT190" i="179"/>
  <c r="BV190" i="179"/>
  <c r="AX190" i="179"/>
  <c r="CB190" i="179"/>
  <c r="GF190" i="179"/>
  <c r="CN190" i="179"/>
  <c r="Z190" i="179"/>
  <c r="CH190" i="179"/>
  <c r="DV50" i="179"/>
  <c r="GD50" i="179"/>
  <c r="AP50" i="179"/>
  <c r="CF50" i="179"/>
  <c r="CR50" i="179"/>
  <c r="X50" i="179"/>
  <c r="BN50" i="179"/>
  <c r="EZ50" i="179"/>
  <c r="BH50" i="179"/>
  <c r="AJ50" i="179"/>
  <c r="BZ50" i="179"/>
  <c r="BB50" i="179"/>
  <c r="AD50" i="179"/>
  <c r="CL50" i="179"/>
  <c r="BT50" i="179"/>
  <c r="AV50" i="179"/>
  <c r="AW147" i="179"/>
  <c r="BC147" i="179"/>
  <c r="AE147" i="179"/>
  <c r="BI147" i="179"/>
  <c r="AQ147" i="179"/>
  <c r="Y147" i="179"/>
  <c r="GE147" i="179"/>
  <c r="CS147" i="179"/>
  <c r="AK147" i="179"/>
  <c r="BO147" i="179"/>
  <c r="FA147" i="179"/>
  <c r="DW147" i="179"/>
  <c r="CM147" i="179"/>
  <c r="CG147" i="179"/>
  <c r="CA147" i="179"/>
  <c r="BU147" i="179"/>
  <c r="BN187" i="179"/>
  <c r="EZ187" i="179"/>
  <c r="AJ187" i="179"/>
  <c r="BT187" i="179"/>
  <c r="GD187" i="179"/>
  <c r="AP187" i="179"/>
  <c r="CR187" i="179"/>
  <c r="CF187" i="179"/>
  <c r="DV187" i="179"/>
  <c r="BB187" i="179"/>
  <c r="X187" i="179"/>
  <c r="BH187" i="179"/>
  <c r="AV187" i="179"/>
  <c r="BZ187" i="179"/>
  <c r="AD187" i="179"/>
  <c r="CL187" i="179"/>
  <c r="DV89" i="179"/>
  <c r="AD89" i="179"/>
  <c r="BT89" i="179"/>
  <c r="CR89" i="179"/>
  <c r="BZ89" i="179"/>
  <c r="AP89" i="179"/>
  <c r="BH89" i="179"/>
  <c r="X89" i="179"/>
  <c r="EZ89" i="179"/>
  <c r="CL89" i="179"/>
  <c r="BB89" i="179"/>
  <c r="AJ89" i="179"/>
  <c r="CF89" i="179"/>
  <c r="BN89" i="179"/>
  <c r="AV89" i="179"/>
  <c r="GD89" i="179"/>
  <c r="CA163" i="179"/>
  <c r="AW163" i="179"/>
  <c r="CG163" i="179"/>
  <c r="BC163" i="179"/>
  <c r="CS163" i="179"/>
  <c r="Y163" i="179"/>
  <c r="AE163" i="179"/>
  <c r="DW163" i="179"/>
  <c r="GE163" i="179"/>
  <c r="BU163" i="179"/>
  <c r="AK163" i="179"/>
  <c r="CM163" i="179"/>
  <c r="FA163" i="179"/>
  <c r="BI163" i="179"/>
  <c r="BO163" i="179"/>
  <c r="AQ163" i="179"/>
  <c r="GD64" i="179"/>
  <c r="AP64" i="179"/>
  <c r="AV64" i="179"/>
  <c r="CL64" i="179"/>
  <c r="CR64" i="179"/>
  <c r="BZ64" i="179"/>
  <c r="BB64" i="179"/>
  <c r="AJ64" i="179"/>
  <c r="BT64" i="179"/>
  <c r="EZ64" i="179"/>
  <c r="AD64" i="179"/>
  <c r="CF64" i="179"/>
  <c r="BN64" i="179"/>
  <c r="DV64" i="179"/>
  <c r="X64" i="179"/>
  <c r="BH64" i="179"/>
  <c r="BT99" i="179"/>
  <c r="GD99" i="179"/>
  <c r="AP99" i="179"/>
  <c r="CF99" i="179"/>
  <c r="BB99" i="179"/>
  <c r="CR99" i="179"/>
  <c r="X99" i="179"/>
  <c r="BN99" i="179"/>
  <c r="EZ99" i="179"/>
  <c r="AJ99" i="179"/>
  <c r="BZ99" i="179"/>
  <c r="AV99" i="179"/>
  <c r="CL99" i="179"/>
  <c r="AD99" i="179"/>
  <c r="DV99" i="179"/>
  <c r="BH99" i="179"/>
  <c r="GF45" i="179"/>
  <c r="AR45" i="179"/>
  <c r="CH45" i="179"/>
  <c r="DX45" i="179"/>
  <c r="BP45" i="179"/>
  <c r="AX45" i="179"/>
  <c r="CT45" i="179"/>
  <c r="AF45" i="179"/>
  <c r="CB45" i="179"/>
  <c r="BJ45" i="179"/>
  <c r="Z45" i="179"/>
  <c r="FB45" i="179"/>
  <c r="CN45" i="179"/>
  <c r="BD45" i="179"/>
  <c r="BV45" i="179"/>
  <c r="AL45" i="179"/>
  <c r="BG130" i="179"/>
  <c r="BM130" i="179"/>
  <c r="EY130" i="179"/>
  <c r="AI130" i="179"/>
  <c r="BY130" i="179"/>
  <c r="W130" i="179"/>
  <c r="AO130" i="179"/>
  <c r="GC130" i="179"/>
  <c r="CK130" i="179"/>
  <c r="BS130" i="179"/>
  <c r="AC130" i="179"/>
  <c r="BA130" i="179"/>
  <c r="CE130" i="179"/>
  <c r="AU130" i="179"/>
  <c r="DU130" i="179"/>
  <c r="CQ130" i="179"/>
  <c r="CK85" i="179"/>
  <c r="BG85" i="179"/>
  <c r="DU85" i="179"/>
  <c r="AC85" i="179"/>
  <c r="BS85" i="179"/>
  <c r="AO85" i="179"/>
  <c r="GC85" i="179"/>
  <c r="CE85" i="179"/>
  <c r="BA85" i="179"/>
  <c r="CQ85" i="179"/>
  <c r="W85" i="179"/>
  <c r="BM85" i="179"/>
  <c r="AI85" i="179"/>
  <c r="AU85" i="179"/>
  <c r="EY85" i="179"/>
  <c r="BY85" i="179"/>
  <c r="CM190" i="179"/>
  <c r="BI190" i="179"/>
  <c r="CS190" i="179"/>
  <c r="Y190" i="179"/>
  <c r="BO190" i="179"/>
  <c r="FA190" i="179"/>
  <c r="CA190" i="179"/>
  <c r="BC190" i="179"/>
  <c r="AE190" i="179"/>
  <c r="GE190" i="179"/>
  <c r="CG190" i="179"/>
  <c r="AK190" i="179"/>
  <c r="BU190" i="179"/>
  <c r="DW190" i="179"/>
  <c r="AW190" i="179"/>
  <c r="AQ190" i="179"/>
  <c r="BT169" i="179"/>
  <c r="GD169" i="179"/>
  <c r="AP169" i="179"/>
  <c r="BZ169" i="179"/>
  <c r="AV169" i="179"/>
  <c r="CL169" i="179"/>
  <c r="CF169" i="179"/>
  <c r="BH169" i="179"/>
  <c r="AJ169" i="179"/>
  <c r="X169" i="179"/>
  <c r="CR169" i="179"/>
  <c r="EZ169" i="179"/>
  <c r="BN169" i="179"/>
  <c r="BB169" i="179"/>
  <c r="AD169" i="179"/>
  <c r="DV169" i="179"/>
  <c r="AX105" i="179"/>
  <c r="CN105" i="179"/>
  <c r="BJ105" i="179"/>
  <c r="DX105" i="179"/>
  <c r="AF105" i="179"/>
  <c r="BV105" i="179"/>
  <c r="GF105" i="179"/>
  <c r="AR105" i="179"/>
  <c r="CH105" i="179"/>
  <c r="BD105" i="179"/>
  <c r="CT105" i="179"/>
  <c r="Z105" i="179"/>
  <c r="BP105" i="179"/>
  <c r="CB105" i="179"/>
  <c r="FB105" i="179"/>
  <c r="AL105" i="179"/>
  <c r="GF52" i="179"/>
  <c r="AR52" i="179"/>
  <c r="CH52" i="179"/>
  <c r="BD52" i="179"/>
  <c r="CT52" i="179"/>
  <c r="Z52" i="179"/>
  <c r="BP52" i="179"/>
  <c r="FB52" i="179"/>
  <c r="AL52" i="179"/>
  <c r="AX52" i="179"/>
  <c r="CN52" i="179"/>
  <c r="CB52" i="179"/>
  <c r="BV52" i="179"/>
  <c r="AF52" i="179"/>
  <c r="BJ52" i="179"/>
  <c r="DX52" i="179"/>
  <c r="BN68" i="179"/>
  <c r="BT68" i="179"/>
  <c r="GD68" i="179"/>
  <c r="AP68" i="179"/>
  <c r="AV68" i="179"/>
  <c r="AD68" i="179"/>
  <c r="CF68" i="179"/>
  <c r="DV68" i="179"/>
  <c r="X68" i="179"/>
  <c r="BZ68" i="179"/>
  <c r="BH68" i="179"/>
  <c r="CR68" i="179"/>
  <c r="AJ68" i="179"/>
  <c r="BB68" i="179"/>
  <c r="EZ68" i="179"/>
  <c r="CL68" i="179"/>
  <c r="DX137" i="179"/>
  <c r="FB137" i="179"/>
  <c r="GF137" i="179"/>
  <c r="Z137" i="179"/>
  <c r="BP137" i="179"/>
  <c r="CT137" i="179"/>
  <c r="AL137" i="179"/>
  <c r="CH137" i="179"/>
  <c r="BD137" i="179"/>
  <c r="AF137" i="179"/>
  <c r="BV137" i="179"/>
  <c r="AX137" i="179"/>
  <c r="CN137" i="179"/>
  <c r="CB137" i="179"/>
  <c r="BJ137" i="179"/>
  <c r="AR137" i="179"/>
  <c r="BS141" i="179"/>
  <c r="CK141" i="179"/>
  <c r="BG141" i="179"/>
  <c r="AO141" i="179"/>
  <c r="CQ141" i="179"/>
  <c r="BM141" i="179"/>
  <c r="AU141" i="179"/>
  <c r="EY141" i="179"/>
  <c r="AI141" i="179"/>
  <c r="BA141" i="179"/>
  <c r="AC141" i="179"/>
  <c r="DU141" i="179"/>
  <c r="W141" i="179"/>
  <c r="GC141" i="179"/>
  <c r="CE141" i="179"/>
  <c r="BY141" i="179"/>
  <c r="BN151" i="179"/>
  <c r="DV151" i="179"/>
  <c r="AD151" i="179"/>
  <c r="BT151" i="179"/>
  <c r="EZ151" i="179"/>
  <c r="CL151" i="179"/>
  <c r="BZ151" i="179"/>
  <c r="BH151" i="179"/>
  <c r="GD151" i="179"/>
  <c r="CR151" i="179"/>
  <c r="X151" i="179"/>
  <c r="AV151" i="179"/>
  <c r="CF151" i="179"/>
  <c r="AJ151" i="179"/>
  <c r="AP151" i="179"/>
  <c r="BB151" i="179"/>
  <c r="DX96" i="179"/>
  <c r="GF96" i="179"/>
  <c r="AR96" i="179"/>
  <c r="CH96" i="179"/>
  <c r="CT96" i="179"/>
  <c r="Z96" i="179"/>
  <c r="FB96" i="179"/>
  <c r="AL96" i="179"/>
  <c r="CB96" i="179"/>
  <c r="AX96" i="179"/>
  <c r="BD96" i="179"/>
  <c r="BV96" i="179"/>
  <c r="BP96" i="179"/>
  <c r="CN96" i="179"/>
  <c r="BJ96" i="179"/>
  <c r="AF96" i="179"/>
  <c r="BV129" i="179"/>
  <c r="CB129" i="179"/>
  <c r="AL129" i="179"/>
  <c r="DX129" i="179"/>
  <c r="AF129" i="179"/>
  <c r="BJ129" i="179"/>
  <c r="AR129" i="179"/>
  <c r="CT129" i="179"/>
  <c r="Z129" i="179"/>
  <c r="BP129" i="179"/>
  <c r="GF129" i="179"/>
  <c r="CN129" i="179"/>
  <c r="CH129" i="179"/>
  <c r="FB129" i="179"/>
  <c r="BD129" i="179"/>
  <c r="AX129" i="179"/>
  <c r="DU169" i="179"/>
  <c r="AC169" i="179"/>
  <c r="BS169" i="179"/>
  <c r="EY169" i="179"/>
  <c r="AI169" i="179"/>
  <c r="BY169" i="179"/>
  <c r="AU169" i="179"/>
  <c r="CE169" i="179"/>
  <c r="BG169" i="179"/>
  <c r="W169" i="179"/>
  <c r="CQ169" i="179"/>
  <c r="CK169" i="179"/>
  <c r="AO169" i="179"/>
  <c r="BM169" i="179"/>
  <c r="GC169" i="179"/>
  <c r="BA169" i="179"/>
  <c r="GF212" i="179"/>
  <c r="AR212" i="179"/>
  <c r="CH212" i="179"/>
  <c r="CB212" i="179"/>
  <c r="AX212" i="179"/>
  <c r="CN212" i="179"/>
  <c r="CT212" i="179"/>
  <c r="AF212" i="179"/>
  <c r="BV212" i="179"/>
  <c r="DX212" i="179"/>
  <c r="BJ212" i="179"/>
  <c r="AL212" i="179"/>
  <c r="Z212" i="179"/>
  <c r="BD212" i="179"/>
  <c r="FB212" i="179"/>
  <c r="BP212" i="179"/>
  <c r="BB56" i="179"/>
  <c r="CR56" i="179"/>
  <c r="X56" i="179"/>
  <c r="BN56" i="179"/>
  <c r="EZ56" i="179"/>
  <c r="AJ56" i="179"/>
  <c r="BZ56" i="179"/>
  <c r="AV56" i="179"/>
  <c r="CL56" i="179"/>
  <c r="BH56" i="179"/>
  <c r="DV56" i="179"/>
  <c r="AD56" i="179"/>
  <c r="BT56" i="179"/>
  <c r="GD56" i="179"/>
  <c r="CF56" i="179"/>
  <c r="AP56" i="179"/>
  <c r="CA174" i="179"/>
  <c r="CM174" i="179"/>
  <c r="BU174" i="179"/>
  <c r="FA174" i="179"/>
  <c r="BC174" i="179"/>
  <c r="AK174" i="179"/>
  <c r="GE174" i="179"/>
  <c r="CS174" i="179"/>
  <c r="BI174" i="179"/>
  <c r="AQ174" i="179"/>
  <c r="Y174" i="179"/>
  <c r="CG174" i="179"/>
  <c r="AW174" i="179"/>
  <c r="AE174" i="179"/>
  <c r="DW174" i="179"/>
  <c r="BO174" i="179"/>
  <c r="FB124" i="179"/>
  <c r="AL124" i="179"/>
  <c r="CB124" i="179"/>
  <c r="AX124" i="179"/>
  <c r="CN124" i="179"/>
  <c r="BJ124" i="179"/>
  <c r="DX124" i="179"/>
  <c r="AF124" i="179"/>
  <c r="BV124" i="179"/>
  <c r="GF124" i="179"/>
  <c r="AR124" i="179"/>
  <c r="CH124" i="179"/>
  <c r="BD124" i="179"/>
  <c r="CT124" i="179"/>
  <c r="BP124" i="179"/>
  <c r="Z124" i="179"/>
  <c r="GD76" i="179"/>
  <c r="AP76" i="179"/>
  <c r="CF76" i="179"/>
  <c r="BB76" i="179"/>
  <c r="CR76" i="179"/>
  <c r="X76" i="179"/>
  <c r="BN76" i="179"/>
  <c r="EZ76" i="179"/>
  <c r="AJ76" i="179"/>
  <c r="BZ76" i="179"/>
  <c r="AV76" i="179"/>
  <c r="CL76" i="179"/>
  <c r="BH76" i="179"/>
  <c r="BT76" i="179"/>
  <c r="AD76" i="179"/>
  <c r="DV76" i="179"/>
  <c r="CE197" i="179"/>
  <c r="BA197" i="179"/>
  <c r="CK197" i="179"/>
  <c r="BG197" i="179"/>
  <c r="DU197" i="179"/>
  <c r="AC197" i="179"/>
  <c r="W197" i="179"/>
  <c r="CQ197" i="179"/>
  <c r="BS197" i="179"/>
  <c r="AI197" i="179"/>
  <c r="EY197" i="179"/>
  <c r="GC197" i="179"/>
  <c r="BY197" i="179"/>
  <c r="AO197" i="179"/>
  <c r="AU197" i="179"/>
  <c r="BM197" i="179"/>
  <c r="BD141" i="179"/>
  <c r="DX141" i="179"/>
  <c r="BV141" i="179"/>
  <c r="Z141" i="179"/>
  <c r="CT141" i="179"/>
  <c r="BP141" i="179"/>
  <c r="FB141" i="179"/>
  <c r="CB141" i="179"/>
  <c r="AF141" i="179"/>
  <c r="CN141" i="179"/>
  <c r="BJ141" i="179"/>
  <c r="AX141" i="179"/>
  <c r="AR141" i="179"/>
  <c r="GF141" i="179"/>
  <c r="CH141" i="179"/>
  <c r="AL141" i="179"/>
  <c r="AW82" i="179"/>
  <c r="CM82" i="179"/>
  <c r="BI82" i="179"/>
  <c r="DW82" i="179"/>
  <c r="AE82" i="179"/>
  <c r="BU82" i="179"/>
  <c r="GE82" i="179"/>
  <c r="AQ82" i="179"/>
  <c r="CG82" i="179"/>
  <c r="BC82" i="179"/>
  <c r="CS82" i="179"/>
  <c r="Y82" i="179"/>
  <c r="BO82" i="179"/>
  <c r="AK82" i="179"/>
  <c r="CA82" i="179"/>
  <c r="FA82" i="179"/>
  <c r="GC204" i="179"/>
  <c r="CK204" i="179"/>
  <c r="BM204" i="179"/>
  <c r="AI204" i="179"/>
  <c r="CQ204" i="179"/>
  <c r="AU204" i="179"/>
  <c r="EY204" i="179"/>
  <c r="BS204" i="179"/>
  <c r="CE204" i="179"/>
  <c r="AO204" i="179"/>
  <c r="BG204" i="179"/>
  <c r="W204" i="179"/>
  <c r="DU204" i="179"/>
  <c r="BA204" i="179"/>
  <c r="AC204" i="179"/>
  <c r="BY204" i="179"/>
  <c r="CS102" i="179"/>
  <c r="Y102" i="179"/>
  <c r="BO102" i="179"/>
  <c r="FA102" i="179"/>
  <c r="AK102" i="179"/>
  <c r="CA102" i="179"/>
  <c r="AW102" i="179"/>
  <c r="CM102" i="179"/>
  <c r="BI102" i="179"/>
  <c r="DW102" i="179"/>
  <c r="AE102" i="179"/>
  <c r="BU102" i="179"/>
  <c r="GE102" i="179"/>
  <c r="AQ102" i="179"/>
  <c r="BC102" i="179"/>
  <c r="CG102" i="179"/>
  <c r="DW172" i="179"/>
  <c r="AQ172" i="179"/>
  <c r="BC172" i="179"/>
  <c r="Y172" i="179"/>
  <c r="AE172" i="179"/>
  <c r="BI172" i="179"/>
  <c r="FA172" i="179"/>
  <c r="BU172" i="179"/>
  <c r="CG172" i="179"/>
  <c r="GE172" i="179"/>
  <c r="CM172" i="179"/>
  <c r="AK172" i="179"/>
  <c r="CA172" i="179"/>
  <c r="BO172" i="179"/>
  <c r="AW172" i="179"/>
  <c r="CS172" i="179"/>
  <c r="BU74" i="179"/>
  <c r="GE74" i="179"/>
  <c r="AQ74" i="179"/>
  <c r="CG74" i="179"/>
  <c r="BC74" i="179"/>
  <c r="CS74" i="179"/>
  <c r="Y74" i="179"/>
  <c r="BO74" i="179"/>
  <c r="FA74" i="179"/>
  <c r="AK74" i="179"/>
  <c r="CA74" i="179"/>
  <c r="AW74" i="179"/>
  <c r="CM74" i="179"/>
  <c r="AE74" i="179"/>
  <c r="DW74" i="179"/>
  <c r="BI74" i="179"/>
  <c r="BN145" i="179"/>
  <c r="AJ145" i="179"/>
  <c r="BT145" i="179"/>
  <c r="AP145" i="179"/>
  <c r="CR145" i="179"/>
  <c r="X145" i="179"/>
  <c r="GD145" i="179"/>
  <c r="BH145" i="179"/>
  <c r="DV145" i="179"/>
  <c r="BB145" i="179"/>
  <c r="AV145" i="179"/>
  <c r="CL145" i="179"/>
  <c r="CF145" i="179"/>
  <c r="BZ145" i="179"/>
  <c r="AD145" i="179"/>
  <c r="EZ145" i="179"/>
  <c r="DU49" i="179"/>
  <c r="CE49" i="179"/>
  <c r="BA49" i="179"/>
  <c r="W49" i="179"/>
  <c r="AO49" i="179"/>
  <c r="BY49" i="179"/>
  <c r="BG49" i="179"/>
  <c r="CQ49" i="179"/>
  <c r="AI49" i="179"/>
  <c r="GC49" i="179"/>
  <c r="BS49" i="179"/>
  <c r="CK49" i="179"/>
  <c r="EY49" i="179"/>
  <c r="BM49" i="179"/>
  <c r="AU49" i="179"/>
  <c r="AC49" i="179"/>
  <c r="AV116" i="179"/>
  <c r="CL116" i="179"/>
  <c r="BB116" i="179"/>
  <c r="BH116" i="179"/>
  <c r="CR116" i="179"/>
  <c r="BZ116" i="179"/>
  <c r="AP116" i="179"/>
  <c r="GD116" i="179"/>
  <c r="X116" i="179"/>
  <c r="BT116" i="179"/>
  <c r="EZ116" i="179"/>
  <c r="AJ116" i="179"/>
  <c r="BN116" i="179"/>
  <c r="CF116" i="179"/>
  <c r="AD116" i="179"/>
  <c r="DV116" i="179"/>
  <c r="BM188" i="179"/>
  <c r="EY188" i="179"/>
  <c r="AI188" i="179"/>
  <c r="BS188" i="179"/>
  <c r="GC188" i="179"/>
  <c r="AO188" i="179"/>
  <c r="DU188" i="179"/>
  <c r="BY188" i="179"/>
  <c r="AU188" i="179"/>
  <c r="CK188" i="179"/>
  <c r="W188" i="179"/>
  <c r="BG188" i="179"/>
  <c r="AC188" i="179"/>
  <c r="BA188" i="179"/>
  <c r="CE188" i="179"/>
  <c r="CQ188" i="179"/>
  <c r="AU84" i="179"/>
  <c r="CK84" i="179"/>
  <c r="BG84" i="179"/>
  <c r="DU84" i="179"/>
  <c r="AC84" i="179"/>
  <c r="BS84" i="179"/>
  <c r="GC84" i="179"/>
  <c r="AO84" i="179"/>
  <c r="CE84" i="179"/>
  <c r="BA84" i="179"/>
  <c r="CQ84" i="179"/>
  <c r="W84" i="179"/>
  <c r="BM84" i="179"/>
  <c r="BY84" i="179"/>
  <c r="AI84" i="179"/>
  <c r="EY84" i="179"/>
  <c r="CT153" i="179"/>
  <c r="AX153" i="179"/>
  <c r="BV153" i="179"/>
  <c r="DX153" i="179"/>
  <c r="Z153" i="179"/>
  <c r="BD153" i="179"/>
  <c r="FB153" i="179"/>
  <c r="BP153" i="179"/>
  <c r="CH153" i="179"/>
  <c r="AR153" i="179"/>
  <c r="CN153" i="179"/>
  <c r="AF153" i="179"/>
  <c r="GF153" i="179"/>
  <c r="BJ153" i="179"/>
  <c r="CB153" i="179"/>
  <c r="AL153" i="179"/>
  <c r="BG52" i="179"/>
  <c r="DU52" i="179"/>
  <c r="BS52" i="179"/>
  <c r="GC52" i="179"/>
  <c r="AO52" i="179"/>
  <c r="CE52" i="179"/>
  <c r="BA52" i="179"/>
  <c r="BM52" i="179"/>
  <c r="EY52" i="179"/>
  <c r="AI52" i="179"/>
  <c r="BY52" i="179"/>
  <c r="AC52" i="179"/>
  <c r="W52" i="179"/>
  <c r="CQ52" i="179"/>
  <c r="AU52" i="179"/>
  <c r="CK52" i="179"/>
  <c r="DV119" i="179"/>
  <c r="AD119" i="179"/>
  <c r="BT119" i="179"/>
  <c r="GD119" i="179"/>
  <c r="AP119" i="179"/>
  <c r="CF119" i="179"/>
  <c r="BB119" i="179"/>
  <c r="EZ119" i="179"/>
  <c r="AJ119" i="179"/>
  <c r="BZ119" i="179"/>
  <c r="BN119" i="179"/>
  <c r="CR119" i="179"/>
  <c r="X119" i="179"/>
  <c r="BH119" i="179"/>
  <c r="CL119" i="179"/>
  <c r="AV119" i="179"/>
  <c r="BA191" i="179"/>
  <c r="GC191" i="179"/>
  <c r="BM191" i="179"/>
  <c r="CQ191" i="179"/>
  <c r="AO191" i="179"/>
  <c r="BS191" i="179"/>
  <c r="W191" i="179"/>
  <c r="AC191" i="179"/>
  <c r="CK191" i="179"/>
  <c r="EY191" i="179"/>
  <c r="BG191" i="179"/>
  <c r="BY191" i="179"/>
  <c r="DU191" i="179"/>
  <c r="AU191" i="179"/>
  <c r="AI191" i="179"/>
  <c r="CE191" i="179"/>
  <c r="FA68" i="179"/>
  <c r="AK68" i="179"/>
  <c r="GE68" i="179"/>
  <c r="AQ68" i="179"/>
  <c r="CG68" i="179"/>
  <c r="AW68" i="179"/>
  <c r="AE68" i="179"/>
  <c r="BO68" i="179"/>
  <c r="DW68" i="179"/>
  <c r="Y68" i="179"/>
  <c r="CA68" i="179"/>
  <c r="BI68" i="179"/>
  <c r="CS68" i="179"/>
  <c r="BC68" i="179"/>
  <c r="CM68" i="179"/>
  <c r="BU68" i="179"/>
  <c r="GF107" i="179"/>
  <c r="AR107" i="179"/>
  <c r="CB107" i="179"/>
  <c r="FB107" i="179"/>
  <c r="AF107" i="179"/>
  <c r="BJ107" i="179"/>
  <c r="CN107" i="179"/>
  <c r="BV107" i="179"/>
  <c r="DX107" i="179"/>
  <c r="BD107" i="179"/>
  <c r="Z107" i="179"/>
  <c r="CH107" i="179"/>
  <c r="AL107" i="179"/>
  <c r="BP107" i="179"/>
  <c r="AX107" i="179"/>
  <c r="CT107" i="179"/>
  <c r="DX149" i="179"/>
  <c r="AF149" i="179"/>
  <c r="BV149" i="179"/>
  <c r="AL149" i="179"/>
  <c r="CT149" i="179"/>
  <c r="CB149" i="179"/>
  <c r="AR149" i="179"/>
  <c r="BJ149" i="179"/>
  <c r="Z149" i="179"/>
  <c r="CH149" i="179"/>
  <c r="FB149" i="179"/>
  <c r="BP149" i="179"/>
  <c r="BD149" i="179"/>
  <c r="GF149" i="179"/>
  <c r="CN149" i="179"/>
  <c r="AX149" i="179"/>
  <c r="FB191" i="179"/>
  <c r="AL191" i="179"/>
  <c r="CB191" i="179"/>
  <c r="AF191" i="179"/>
  <c r="BD191" i="179"/>
  <c r="CH191" i="179"/>
  <c r="BJ191" i="179"/>
  <c r="GF191" i="179"/>
  <c r="BV191" i="179"/>
  <c r="CT191" i="179"/>
  <c r="Z191" i="179"/>
  <c r="BP191" i="179"/>
  <c r="CN191" i="179"/>
  <c r="AR191" i="179"/>
  <c r="DX191" i="179"/>
  <c r="AX191" i="179"/>
  <c r="AX59" i="179"/>
  <c r="CN59" i="179"/>
  <c r="BJ59" i="179"/>
  <c r="DX59" i="179"/>
  <c r="AF59" i="179"/>
  <c r="BV59" i="179"/>
  <c r="GF59" i="179"/>
  <c r="AR59" i="179"/>
  <c r="CH59" i="179"/>
  <c r="BD59" i="179"/>
  <c r="CT59" i="179"/>
  <c r="Z59" i="179"/>
  <c r="BP59" i="179"/>
  <c r="FB59" i="179"/>
  <c r="AL59" i="179"/>
  <c r="CB59" i="179"/>
  <c r="BU98" i="179"/>
  <c r="GE98" i="179"/>
  <c r="AQ98" i="179"/>
  <c r="CG98" i="179"/>
  <c r="BC98" i="179"/>
  <c r="CS98" i="179"/>
  <c r="Y98" i="179"/>
  <c r="BO98" i="179"/>
  <c r="FA98" i="179"/>
  <c r="AK98" i="179"/>
  <c r="CA98" i="179"/>
  <c r="AW98" i="179"/>
  <c r="CM98" i="179"/>
  <c r="BI98" i="179"/>
  <c r="AE98" i="179"/>
  <c r="DW98" i="179"/>
  <c r="DU140" i="179"/>
  <c r="AC140" i="179"/>
  <c r="CE140" i="179"/>
  <c r="GC140" i="179"/>
  <c r="BG140" i="179"/>
  <c r="CK140" i="179"/>
  <c r="BS140" i="179"/>
  <c r="AO140" i="179"/>
  <c r="AU140" i="179"/>
  <c r="EY140" i="179"/>
  <c r="AI140" i="179"/>
  <c r="BY140" i="179"/>
  <c r="BA140" i="179"/>
  <c r="W140" i="179"/>
  <c r="BM140" i="179"/>
  <c r="CQ140" i="179"/>
  <c r="CS179" i="179"/>
  <c r="Y179" i="179"/>
  <c r="DW179" i="179"/>
  <c r="AE179" i="179"/>
  <c r="BU179" i="179"/>
  <c r="FA179" i="179"/>
  <c r="CM179" i="179"/>
  <c r="CA179" i="179"/>
  <c r="GE179" i="179"/>
  <c r="CG179" i="179"/>
  <c r="BC179" i="179"/>
  <c r="BO179" i="179"/>
  <c r="AK179" i="179"/>
  <c r="AQ179" i="179"/>
  <c r="BI179" i="179"/>
  <c r="AW179" i="179"/>
  <c r="CK51" i="179"/>
  <c r="DU51" i="179"/>
  <c r="AC51" i="179"/>
  <c r="BS51" i="179"/>
  <c r="GC51" i="179"/>
  <c r="AO51" i="179"/>
  <c r="CE51" i="179"/>
  <c r="CQ51" i="179"/>
  <c r="W51" i="179"/>
  <c r="BM51" i="179"/>
  <c r="BY51" i="179"/>
  <c r="EY51" i="179"/>
  <c r="AI51" i="179"/>
  <c r="BG51" i="179"/>
  <c r="BA51" i="179"/>
  <c r="AU51" i="179"/>
  <c r="BH88" i="179"/>
  <c r="DV88" i="179"/>
  <c r="AD88" i="179"/>
  <c r="BZ88" i="179"/>
  <c r="AP88" i="179"/>
  <c r="X88" i="179"/>
  <c r="EZ88" i="179"/>
  <c r="BT88" i="179"/>
  <c r="CL88" i="179"/>
  <c r="BB88" i="179"/>
  <c r="AJ88" i="179"/>
  <c r="CF88" i="179"/>
  <c r="BN88" i="179"/>
  <c r="AV88" i="179"/>
  <c r="CR88" i="179"/>
  <c r="GD88" i="179"/>
  <c r="CK129" i="179"/>
  <c r="CQ129" i="179"/>
  <c r="W129" i="179"/>
  <c r="EY129" i="179"/>
  <c r="BS129" i="179"/>
  <c r="CE129" i="179"/>
  <c r="BM129" i="179"/>
  <c r="GC129" i="179"/>
  <c r="AC129" i="179"/>
  <c r="AU129" i="179"/>
  <c r="AO129" i="179"/>
  <c r="BG129" i="179"/>
  <c r="AI129" i="179"/>
  <c r="BY129" i="179"/>
  <c r="BA129" i="179"/>
  <c r="DU129" i="179"/>
  <c r="GD170" i="179"/>
  <c r="AP170" i="179"/>
  <c r="CF170" i="179"/>
  <c r="AV170" i="179"/>
  <c r="CL170" i="179"/>
  <c r="BH170" i="179"/>
  <c r="BB170" i="179"/>
  <c r="AD170" i="179"/>
  <c r="DV170" i="179"/>
  <c r="BN170" i="179"/>
  <c r="BT170" i="179"/>
  <c r="EZ170" i="179"/>
  <c r="CR170" i="179"/>
  <c r="AJ170" i="179"/>
  <c r="BZ170" i="179"/>
  <c r="X170" i="179"/>
  <c r="CH213" i="179"/>
  <c r="BD213" i="179"/>
  <c r="AX213" i="179"/>
  <c r="CN213" i="179"/>
  <c r="BJ213" i="179"/>
  <c r="AL213" i="179"/>
  <c r="CT213" i="179"/>
  <c r="BV213" i="179"/>
  <c r="AR213" i="179"/>
  <c r="Z213" i="179"/>
  <c r="DX213" i="179"/>
  <c r="CB213" i="179"/>
  <c r="GF213" i="179"/>
  <c r="FB213" i="179"/>
  <c r="AF213" i="179"/>
  <c r="BP213" i="179"/>
  <c r="BO79" i="179"/>
  <c r="FA79" i="179"/>
  <c r="AK79" i="179"/>
  <c r="CA79" i="179"/>
  <c r="AW79" i="179"/>
  <c r="CM79" i="179"/>
  <c r="BI79" i="179"/>
  <c r="DW79" i="179"/>
  <c r="AE79" i="179"/>
  <c r="BU79" i="179"/>
  <c r="GE79" i="179"/>
  <c r="AQ79" i="179"/>
  <c r="CG79" i="179"/>
  <c r="BC79" i="179"/>
  <c r="Y79" i="179"/>
  <c r="CS79" i="179"/>
  <c r="BT120" i="179"/>
  <c r="GD120" i="179"/>
  <c r="AP120" i="179"/>
  <c r="CF120" i="179"/>
  <c r="BB120" i="179"/>
  <c r="CR120" i="179"/>
  <c r="X120" i="179"/>
  <c r="BZ120" i="179"/>
  <c r="AV120" i="179"/>
  <c r="AD120" i="179"/>
  <c r="EZ120" i="179"/>
  <c r="DV120" i="179"/>
  <c r="BN120" i="179"/>
  <c r="CL120" i="179"/>
  <c r="AJ120" i="179"/>
  <c r="BH120" i="179"/>
  <c r="FB161" i="179"/>
  <c r="AL161" i="179"/>
  <c r="CB161" i="179"/>
  <c r="GF161" i="179"/>
  <c r="AR161" i="179"/>
  <c r="CH161" i="179"/>
  <c r="BD161" i="179"/>
  <c r="CN161" i="179"/>
  <c r="BP161" i="179"/>
  <c r="AF161" i="179"/>
  <c r="DX161" i="179"/>
  <c r="AX161" i="179"/>
  <c r="Z161" i="179"/>
  <c r="BJ161" i="179"/>
  <c r="BV161" i="179"/>
  <c r="CT161" i="179"/>
  <c r="BC204" i="179"/>
  <c r="BU204" i="179"/>
  <c r="AW204" i="179"/>
  <c r="CA204" i="179"/>
  <c r="FA204" i="179"/>
  <c r="BI204" i="179"/>
  <c r="CG204" i="179"/>
  <c r="CS204" i="179"/>
  <c r="Y204" i="179"/>
  <c r="CM204" i="179"/>
  <c r="AQ204" i="179"/>
  <c r="DW204" i="179"/>
  <c r="AK204" i="179"/>
  <c r="GE204" i="179"/>
  <c r="BO204" i="179"/>
  <c r="AE204" i="179"/>
  <c r="AW70" i="179"/>
  <c r="BC70" i="179"/>
  <c r="CS70" i="179"/>
  <c r="Y70" i="179"/>
  <c r="CM70" i="179"/>
  <c r="BU70" i="179"/>
  <c r="FA70" i="179"/>
  <c r="AE70" i="179"/>
  <c r="BO70" i="179"/>
  <c r="DW70" i="179"/>
  <c r="CG70" i="179"/>
  <c r="BI70" i="179"/>
  <c r="AQ70" i="179"/>
  <c r="CA70" i="179"/>
  <c r="AK70" i="179"/>
  <c r="GE70" i="179"/>
  <c r="BC110" i="179"/>
  <c r="GE110" i="179"/>
  <c r="AK110" i="179"/>
  <c r="CS110" i="179"/>
  <c r="BO110" i="179"/>
  <c r="AW110" i="179"/>
  <c r="FA110" i="179"/>
  <c r="CA110" i="179"/>
  <c r="AE110" i="179"/>
  <c r="CM110" i="179"/>
  <c r="BI110" i="179"/>
  <c r="AQ110" i="179"/>
  <c r="DW110" i="179"/>
  <c r="BU110" i="179"/>
  <c r="Y110" i="179"/>
  <c r="CG110" i="179"/>
  <c r="CB151" i="179"/>
  <c r="GF151" i="179"/>
  <c r="AR151" i="179"/>
  <c r="CH151" i="179"/>
  <c r="AX151" i="179"/>
  <c r="AF151" i="179"/>
  <c r="BP151" i="179"/>
  <c r="CT151" i="179"/>
  <c r="BD151" i="179"/>
  <c r="AL151" i="179"/>
  <c r="BJ151" i="179"/>
  <c r="Z151" i="179"/>
  <c r="BV151" i="179"/>
  <c r="FB151" i="179"/>
  <c r="DX151" i="179"/>
  <c r="CN151" i="179"/>
  <c r="GF193" i="179"/>
  <c r="AR193" i="179"/>
  <c r="CH193" i="179"/>
  <c r="AX193" i="179"/>
  <c r="BD193" i="179"/>
  <c r="CN193" i="179"/>
  <c r="BV193" i="179"/>
  <c r="AL193" i="179"/>
  <c r="BJ193" i="179"/>
  <c r="CB193" i="179"/>
  <c r="Z193" i="179"/>
  <c r="AF193" i="179"/>
  <c r="BP193" i="179"/>
  <c r="FB193" i="179"/>
  <c r="DX193" i="179"/>
  <c r="CT193" i="179"/>
  <c r="GE169" i="179"/>
  <c r="AQ169" i="179"/>
  <c r="CG169" i="179"/>
  <c r="AW169" i="179"/>
  <c r="CM169" i="179"/>
  <c r="BI169" i="179"/>
  <c r="AK169" i="179"/>
  <c r="FA169" i="179"/>
  <c r="CS169" i="179"/>
  <c r="BU169" i="179"/>
  <c r="BO169" i="179"/>
  <c r="Y169" i="179"/>
  <c r="BC169" i="179"/>
  <c r="DW169" i="179"/>
  <c r="AE169" i="179"/>
  <c r="CA169" i="179"/>
  <c r="BS214" i="179"/>
  <c r="GC214" i="179"/>
  <c r="AO214" i="179"/>
  <c r="EY214" i="179"/>
  <c r="AI214" i="179"/>
  <c r="BY214" i="179"/>
  <c r="AU214" i="179"/>
  <c r="BA214" i="179"/>
  <c r="BM214" i="179"/>
  <c r="CE214" i="179"/>
  <c r="W214" i="179"/>
  <c r="CK214" i="179"/>
  <c r="BG214" i="179"/>
  <c r="DU214" i="179"/>
  <c r="AC214" i="179"/>
  <c r="CQ214" i="179"/>
  <c r="BD195" i="179"/>
  <c r="CT195" i="179"/>
  <c r="Z195" i="179"/>
  <c r="BJ195" i="179"/>
  <c r="DX195" i="179"/>
  <c r="BV195" i="179"/>
  <c r="BP195" i="179"/>
  <c r="AR195" i="179"/>
  <c r="GF195" i="179"/>
  <c r="CB195" i="179"/>
  <c r="FB195" i="179"/>
  <c r="AX195" i="179"/>
  <c r="CN195" i="179"/>
  <c r="AL195" i="179"/>
  <c r="AF195" i="179"/>
  <c r="CH195" i="179"/>
  <c r="BA206" i="179"/>
  <c r="BG206" i="179"/>
  <c r="EY206" i="179"/>
  <c r="CK206" i="179"/>
  <c r="BS206" i="179"/>
  <c r="GC206" i="179"/>
  <c r="CQ206" i="179"/>
  <c r="BY206" i="179"/>
  <c r="AI206" i="179"/>
  <c r="CE206" i="179"/>
  <c r="DU206" i="179"/>
  <c r="AC206" i="179"/>
  <c r="W206" i="179"/>
  <c r="AU206" i="179"/>
  <c r="AO206" i="179"/>
  <c r="BM206" i="179"/>
  <c r="FA145" i="179"/>
  <c r="CS145" i="179"/>
  <c r="DW145" i="179"/>
  <c r="AW145" i="179"/>
  <c r="CA145" i="179"/>
  <c r="BI145" i="179"/>
  <c r="GE145" i="179"/>
  <c r="BC145" i="179"/>
  <c r="CM145" i="179"/>
  <c r="CG145" i="179"/>
  <c r="AQ145" i="179"/>
  <c r="AK145" i="179"/>
  <c r="BU145" i="179"/>
  <c r="AE145" i="179"/>
  <c r="Y145" i="179"/>
  <c r="BO145" i="179"/>
  <c r="CR191" i="179"/>
  <c r="X191" i="179"/>
  <c r="AV191" i="179"/>
  <c r="BT191" i="179"/>
  <c r="DV191" i="179"/>
  <c r="GD191" i="179"/>
  <c r="CL191" i="179"/>
  <c r="BN191" i="179"/>
  <c r="AP191" i="179"/>
  <c r="EZ191" i="179"/>
  <c r="BZ191" i="179"/>
  <c r="AJ191" i="179"/>
  <c r="BH191" i="179"/>
  <c r="AD191" i="179"/>
  <c r="CF191" i="179"/>
  <c r="BB191" i="179"/>
  <c r="CM177" i="179"/>
  <c r="BI177" i="179"/>
  <c r="AW177" i="179"/>
  <c r="AE177" i="179"/>
  <c r="DW177" i="179"/>
  <c r="CG177" i="179"/>
  <c r="BO177" i="179"/>
  <c r="CA177" i="179"/>
  <c r="BC177" i="179"/>
  <c r="FA177" i="179"/>
  <c r="CS177" i="179"/>
  <c r="AQ177" i="179"/>
  <c r="GE177" i="179"/>
  <c r="BU177" i="179"/>
  <c r="AK177" i="179"/>
  <c r="Y177" i="179"/>
  <c r="BM163" i="179"/>
  <c r="EY163" i="179"/>
  <c r="AI163" i="179"/>
  <c r="BS163" i="179"/>
  <c r="GC163" i="179"/>
  <c r="AO163" i="179"/>
  <c r="CE163" i="179"/>
  <c r="CQ163" i="179"/>
  <c r="BG163" i="179"/>
  <c r="BY163" i="179"/>
  <c r="BA163" i="179"/>
  <c r="DU163" i="179"/>
  <c r="CK163" i="179"/>
  <c r="AU163" i="179"/>
  <c r="AC163" i="179"/>
  <c r="W163" i="179"/>
  <c r="DV96" i="179"/>
  <c r="AD96" i="179"/>
  <c r="BT96" i="179"/>
  <c r="GD96" i="179"/>
  <c r="CF96" i="179"/>
  <c r="CR96" i="179"/>
  <c r="X96" i="179"/>
  <c r="BN96" i="179"/>
  <c r="EZ96" i="179"/>
  <c r="AJ96" i="179"/>
  <c r="BB96" i="179"/>
  <c r="BZ96" i="179"/>
  <c r="AV96" i="179"/>
  <c r="AP96" i="179"/>
  <c r="BH96" i="179"/>
  <c r="CL96" i="179"/>
  <c r="CM148" i="179"/>
  <c r="Y148" i="179"/>
  <c r="GE148" i="179"/>
  <c r="AW148" i="179"/>
  <c r="CS148" i="179"/>
  <c r="AE148" i="179"/>
  <c r="BO148" i="179"/>
  <c r="AQ148" i="179"/>
  <c r="DW148" i="179"/>
  <c r="CA148" i="179"/>
  <c r="AK148" i="179"/>
  <c r="BU148" i="179"/>
  <c r="FA148" i="179"/>
  <c r="BC148" i="179"/>
  <c r="CG148" i="179"/>
  <c r="BI148" i="179"/>
  <c r="CT55" i="179"/>
  <c r="Z55" i="179"/>
  <c r="BP55" i="179"/>
  <c r="FB55" i="179"/>
  <c r="AL55" i="179"/>
  <c r="CB55" i="179"/>
  <c r="AX55" i="179"/>
  <c r="CN55" i="179"/>
  <c r="BJ55" i="179"/>
  <c r="DX55" i="179"/>
  <c r="AF55" i="179"/>
  <c r="BV55" i="179"/>
  <c r="GF55" i="179"/>
  <c r="AR55" i="179"/>
  <c r="BD55" i="179"/>
  <c r="CH55" i="179"/>
  <c r="CK118" i="179"/>
  <c r="BG118" i="179"/>
  <c r="BS118" i="179"/>
  <c r="GC118" i="179"/>
  <c r="AO118" i="179"/>
  <c r="CQ118" i="179"/>
  <c r="W118" i="179"/>
  <c r="BM118" i="179"/>
  <c r="AU118" i="179"/>
  <c r="DU118" i="179"/>
  <c r="AI118" i="179"/>
  <c r="AC118" i="179"/>
  <c r="CE118" i="179"/>
  <c r="BA118" i="179"/>
  <c r="EY118" i="179"/>
  <c r="BY118" i="179"/>
  <c r="CL128" i="179"/>
  <c r="CR128" i="179"/>
  <c r="X128" i="179"/>
  <c r="DV128" i="179"/>
  <c r="AV128" i="179"/>
  <c r="AD128" i="179"/>
  <c r="BZ128" i="179"/>
  <c r="BB128" i="179"/>
  <c r="BT128" i="179"/>
  <c r="AP128" i="179"/>
  <c r="BN128" i="179"/>
  <c r="GD128" i="179"/>
  <c r="BH128" i="179"/>
  <c r="AJ128" i="179"/>
  <c r="EZ128" i="179"/>
  <c r="CF128" i="179"/>
  <c r="EY164" i="179"/>
  <c r="AI164" i="179"/>
  <c r="BY164" i="179"/>
  <c r="GC164" i="179"/>
  <c r="AO164" i="179"/>
  <c r="CE164" i="179"/>
  <c r="BA164" i="179"/>
  <c r="BG164" i="179"/>
  <c r="CK164" i="179"/>
  <c r="BS164" i="179"/>
  <c r="AU164" i="179"/>
  <c r="W164" i="179"/>
  <c r="BM164" i="179"/>
  <c r="AC164" i="179"/>
  <c r="DU164" i="179"/>
  <c r="CQ164" i="179"/>
  <c r="CG170" i="179"/>
  <c r="BC170" i="179"/>
  <c r="CM170" i="179"/>
  <c r="BI170" i="179"/>
  <c r="DW170" i="179"/>
  <c r="AE170" i="179"/>
  <c r="CA170" i="179"/>
  <c r="BO170" i="179"/>
  <c r="AQ170" i="179"/>
  <c r="GE170" i="179"/>
  <c r="AK170" i="179"/>
  <c r="Y170" i="179"/>
  <c r="CS170" i="179"/>
  <c r="FA170" i="179"/>
  <c r="BU170" i="179"/>
  <c r="AW170" i="179"/>
  <c r="BJ177" i="179"/>
  <c r="DX177" i="179"/>
  <c r="AF177" i="179"/>
  <c r="GF177" i="179"/>
  <c r="BD177" i="179"/>
  <c r="CT177" i="179"/>
  <c r="FB177" i="179"/>
  <c r="CH177" i="179"/>
  <c r="CB177" i="179"/>
  <c r="BV177" i="179"/>
  <c r="AL177" i="179"/>
  <c r="AR177" i="179"/>
  <c r="Z177" i="179"/>
  <c r="AX177" i="179"/>
  <c r="CN177" i="179"/>
  <c r="BP177" i="179"/>
  <c r="FB112" i="179"/>
  <c r="AL112" i="179"/>
  <c r="CB112" i="179"/>
  <c r="AF112" i="179"/>
  <c r="BJ112" i="179"/>
  <c r="CN112" i="179"/>
  <c r="AR112" i="179"/>
  <c r="DX112" i="179"/>
  <c r="BV112" i="179"/>
  <c r="Z112" i="179"/>
  <c r="BD112" i="179"/>
  <c r="GF112" i="179"/>
  <c r="CH112" i="179"/>
  <c r="CT112" i="179"/>
  <c r="AX112" i="179"/>
  <c r="BP112" i="179"/>
  <c r="CL149" i="179"/>
  <c r="BH149" i="179"/>
  <c r="EZ149" i="179"/>
  <c r="BT149" i="179"/>
  <c r="AV149" i="179"/>
  <c r="GD149" i="179"/>
  <c r="CR149" i="179"/>
  <c r="AJ149" i="179"/>
  <c r="BZ149" i="179"/>
  <c r="DV149" i="179"/>
  <c r="X149" i="179"/>
  <c r="AP149" i="179"/>
  <c r="BB149" i="179"/>
  <c r="AD149" i="179"/>
  <c r="CF149" i="179"/>
  <c r="BN149" i="179"/>
  <c r="BO186" i="179"/>
  <c r="FA186" i="179"/>
  <c r="AK186" i="179"/>
  <c r="BU186" i="179"/>
  <c r="GE186" i="179"/>
  <c r="AQ186" i="179"/>
  <c r="Y186" i="179"/>
  <c r="DW186" i="179"/>
  <c r="CA186" i="179"/>
  <c r="BC186" i="179"/>
  <c r="CM186" i="179"/>
  <c r="BI186" i="179"/>
  <c r="CG186" i="179"/>
  <c r="AE186" i="179"/>
  <c r="CS186" i="179"/>
  <c r="AW186" i="179"/>
  <c r="AW60" i="179"/>
  <c r="CM60" i="179"/>
  <c r="BI60" i="179"/>
  <c r="DW60" i="179"/>
  <c r="AE60" i="179"/>
  <c r="BU60" i="179"/>
  <c r="AQ60" i="179"/>
  <c r="GE60" i="179"/>
  <c r="CG60" i="179"/>
  <c r="BC60" i="179"/>
  <c r="CS60" i="179"/>
  <c r="Y60" i="179"/>
  <c r="BO60" i="179"/>
  <c r="CA60" i="179"/>
  <c r="AK60" i="179"/>
  <c r="FA60" i="179"/>
  <c r="BB66" i="179"/>
  <c r="BH66" i="179"/>
  <c r="DV66" i="179"/>
  <c r="AD66" i="179"/>
  <c r="AP66" i="179"/>
  <c r="CR66" i="179"/>
  <c r="BZ66" i="179"/>
  <c r="GD66" i="179"/>
  <c r="AJ66" i="179"/>
  <c r="BT66" i="179"/>
  <c r="EZ66" i="179"/>
  <c r="CL66" i="179"/>
  <c r="BN66" i="179"/>
  <c r="AV66" i="179"/>
  <c r="CF66" i="179"/>
  <c r="X66" i="179"/>
  <c r="FB186" i="179"/>
  <c r="AL186" i="179"/>
  <c r="CB186" i="179"/>
  <c r="GF186" i="179"/>
  <c r="AR186" i="179"/>
  <c r="CH186" i="179"/>
  <c r="BP186" i="179"/>
  <c r="BD186" i="179"/>
  <c r="CT186" i="179"/>
  <c r="CN186" i="179"/>
  <c r="BJ186" i="179"/>
  <c r="Z186" i="179"/>
  <c r="BV186" i="179"/>
  <c r="DX186" i="179"/>
  <c r="AF186" i="179"/>
  <c r="AX186" i="179"/>
  <c r="CB135" i="179"/>
  <c r="CH135" i="179"/>
  <c r="BD135" i="179"/>
  <c r="CT135" i="179"/>
  <c r="Z135" i="179"/>
  <c r="AL135" i="179"/>
  <c r="GF135" i="179"/>
  <c r="CN135" i="179"/>
  <c r="BV135" i="179"/>
  <c r="FB135" i="179"/>
  <c r="AX135" i="179"/>
  <c r="AR135" i="179"/>
  <c r="AF135" i="179"/>
  <c r="BP135" i="179"/>
  <c r="BJ135" i="179"/>
  <c r="DX135" i="179"/>
  <c r="AU87" i="179"/>
  <c r="CK87" i="179"/>
  <c r="CQ87" i="179"/>
  <c r="BG87" i="179"/>
  <c r="BY87" i="179"/>
  <c r="AO87" i="179"/>
  <c r="W87" i="179"/>
  <c r="EY87" i="179"/>
  <c r="BS87" i="179"/>
  <c r="BA87" i="179"/>
  <c r="AI87" i="179"/>
  <c r="DU87" i="179"/>
  <c r="CE87" i="179"/>
  <c r="BM87" i="179"/>
  <c r="AC87" i="179"/>
  <c r="GC87" i="179"/>
  <c r="FA207" i="179"/>
  <c r="AK207" i="179"/>
  <c r="GE207" i="179"/>
  <c r="AQ207" i="179"/>
  <c r="BC207" i="179"/>
  <c r="BI207" i="179"/>
  <c r="BU207" i="179"/>
  <c r="AW207" i="179"/>
  <c r="AE207" i="179"/>
  <c r="CA207" i="179"/>
  <c r="CM207" i="179"/>
  <c r="Y207" i="179"/>
  <c r="CS207" i="179"/>
  <c r="CG207" i="179"/>
  <c r="BO207" i="179"/>
  <c r="DW207" i="179"/>
  <c r="BM152" i="179"/>
  <c r="DU152" i="179"/>
  <c r="AC152" i="179"/>
  <c r="BS152" i="179"/>
  <c r="CE152" i="179"/>
  <c r="BY152" i="179"/>
  <c r="BG152" i="179"/>
  <c r="AI152" i="179"/>
  <c r="BA152" i="179"/>
  <c r="EY152" i="179"/>
  <c r="CQ152" i="179"/>
  <c r="AU152" i="179"/>
  <c r="AO152" i="179"/>
  <c r="GC152" i="179"/>
  <c r="W152" i="179"/>
  <c r="CK152" i="179"/>
  <c r="CG93" i="179"/>
  <c r="BC93" i="179"/>
  <c r="CS93" i="179"/>
  <c r="CA93" i="179"/>
  <c r="BI93" i="179"/>
  <c r="AQ93" i="179"/>
  <c r="AK93" i="179"/>
  <c r="GE93" i="179"/>
  <c r="FA93" i="179"/>
  <c r="CM93" i="179"/>
  <c r="BU93" i="179"/>
  <c r="BO93" i="179"/>
  <c r="AW93" i="179"/>
  <c r="AE93" i="179"/>
  <c r="Y93" i="179"/>
  <c r="DW93" i="179"/>
  <c r="CG214" i="179"/>
  <c r="BC214" i="179"/>
  <c r="AW214" i="179"/>
  <c r="CM214" i="179"/>
  <c r="BI214" i="179"/>
  <c r="CS214" i="179"/>
  <c r="CA214" i="179"/>
  <c r="AE214" i="179"/>
  <c r="FA214" i="179"/>
  <c r="AQ214" i="179"/>
  <c r="DW214" i="179"/>
  <c r="AK214" i="179"/>
  <c r="GE214" i="179"/>
  <c r="BO214" i="179"/>
  <c r="BU214" i="179"/>
  <c r="Y214" i="179"/>
  <c r="CH108" i="179"/>
  <c r="BD108" i="179"/>
  <c r="GF108" i="179"/>
  <c r="AL108" i="179"/>
  <c r="CT108" i="179"/>
  <c r="BP108" i="179"/>
  <c r="CB108" i="179"/>
  <c r="AX108" i="179"/>
  <c r="FB108" i="179"/>
  <c r="AF108" i="179"/>
  <c r="CN108" i="179"/>
  <c r="BJ108" i="179"/>
  <c r="BV108" i="179"/>
  <c r="Z108" i="179"/>
  <c r="DX108" i="179"/>
  <c r="AR108" i="179"/>
  <c r="BI178" i="179"/>
  <c r="DW178" i="179"/>
  <c r="AE178" i="179"/>
  <c r="AW178" i="179"/>
  <c r="GE178" i="179"/>
  <c r="CS178" i="179"/>
  <c r="CA178" i="179"/>
  <c r="FA178" i="179"/>
  <c r="CG178" i="179"/>
  <c r="Y178" i="179"/>
  <c r="BO178" i="179"/>
  <c r="AQ178" i="179"/>
  <c r="BC178" i="179"/>
  <c r="CM178" i="179"/>
  <c r="BU178" i="179"/>
  <c r="AK178" i="179"/>
  <c r="CQ80" i="179"/>
  <c r="W80" i="179"/>
  <c r="BM80" i="179"/>
  <c r="EY80" i="179"/>
  <c r="AI80" i="179"/>
  <c r="BY80" i="179"/>
  <c r="AU80" i="179"/>
  <c r="CK80" i="179"/>
  <c r="BG80" i="179"/>
  <c r="DU80" i="179"/>
  <c r="AC80" i="179"/>
  <c r="BS80" i="179"/>
  <c r="GC80" i="179"/>
  <c r="AO80" i="179"/>
  <c r="BA80" i="179"/>
  <c r="CE80" i="179"/>
  <c r="FB150" i="179"/>
  <c r="BV150" i="179"/>
  <c r="GF150" i="179"/>
  <c r="AR150" i="179"/>
  <c r="BD150" i="179"/>
  <c r="AL150" i="179"/>
  <c r="DX150" i="179"/>
  <c r="Z150" i="179"/>
  <c r="BJ150" i="179"/>
  <c r="CH150" i="179"/>
  <c r="CB150" i="179"/>
  <c r="AX150" i="179"/>
  <c r="CT150" i="179"/>
  <c r="AF150" i="179"/>
  <c r="CN150" i="179"/>
  <c r="BP150" i="179"/>
  <c r="CG54" i="179"/>
  <c r="BC54" i="179"/>
  <c r="CS54" i="179"/>
  <c r="Y54" i="179"/>
  <c r="BO54" i="179"/>
  <c r="FA54" i="179"/>
  <c r="AK54" i="179"/>
  <c r="CA54" i="179"/>
  <c r="AW54" i="179"/>
  <c r="CM54" i="179"/>
  <c r="BI54" i="179"/>
  <c r="DW54" i="179"/>
  <c r="AE54" i="179"/>
  <c r="BU54" i="179"/>
  <c r="GE54" i="179"/>
  <c r="AQ54" i="179"/>
  <c r="GD121" i="179"/>
  <c r="AP121" i="179"/>
  <c r="CF121" i="179"/>
  <c r="BB121" i="179"/>
  <c r="CR121" i="179"/>
  <c r="X121" i="179"/>
  <c r="BN121" i="179"/>
  <c r="BZ121" i="179"/>
  <c r="AV121" i="179"/>
  <c r="CL121" i="179"/>
  <c r="AJ121" i="179"/>
  <c r="AD121" i="179"/>
  <c r="BT121" i="179"/>
  <c r="EZ121" i="179"/>
  <c r="BH121" i="179"/>
  <c r="DV121" i="179"/>
  <c r="BG193" i="179"/>
  <c r="DU193" i="179"/>
  <c r="BM193" i="179"/>
  <c r="GC193" i="179"/>
  <c r="CQ193" i="179"/>
  <c r="W193" i="179"/>
  <c r="CE193" i="179"/>
  <c r="AU193" i="179"/>
  <c r="AC193" i="179"/>
  <c r="BA193" i="179"/>
  <c r="EY193" i="179"/>
  <c r="BY193" i="179"/>
  <c r="BS193" i="179"/>
  <c r="AI193" i="179"/>
  <c r="CK193" i="179"/>
  <c r="AO193" i="179"/>
  <c r="BG89" i="179"/>
  <c r="DU89" i="179"/>
  <c r="AC89" i="179"/>
  <c r="GC89" i="179"/>
  <c r="CQ89" i="179"/>
  <c r="BY89" i="179"/>
  <c r="AO89" i="179"/>
  <c r="W89" i="179"/>
  <c r="EY89" i="179"/>
  <c r="BS89" i="179"/>
  <c r="CK89" i="179"/>
  <c r="BA89" i="179"/>
  <c r="AI89" i="179"/>
  <c r="CE89" i="179"/>
  <c r="BM89" i="179"/>
  <c r="AU89" i="179"/>
  <c r="CT159" i="179"/>
  <c r="Z159" i="179"/>
  <c r="DX159" i="179"/>
  <c r="AF159" i="179"/>
  <c r="BV159" i="179"/>
  <c r="GF159" i="179"/>
  <c r="AR159" i="179"/>
  <c r="BP159" i="179"/>
  <c r="AL159" i="179"/>
  <c r="BD159" i="179"/>
  <c r="AX159" i="179"/>
  <c r="FB159" i="179"/>
  <c r="CH159" i="179"/>
  <c r="BJ159" i="179"/>
  <c r="CN159" i="179"/>
  <c r="CB159" i="179"/>
  <c r="BO57" i="179"/>
  <c r="FA57" i="179"/>
  <c r="AK57" i="179"/>
  <c r="CA57" i="179"/>
  <c r="AW57" i="179"/>
  <c r="CM57" i="179"/>
  <c r="BI57" i="179"/>
  <c r="DW57" i="179"/>
  <c r="AE57" i="179"/>
  <c r="BU57" i="179"/>
  <c r="GE57" i="179"/>
  <c r="AQ57" i="179"/>
  <c r="CG57" i="179"/>
  <c r="CS57" i="179"/>
  <c r="BC57" i="179"/>
  <c r="Y57" i="179"/>
  <c r="CR124" i="179"/>
  <c r="X124" i="179"/>
  <c r="BN124" i="179"/>
  <c r="EZ124" i="179"/>
  <c r="AJ124" i="179"/>
  <c r="BZ124" i="179"/>
  <c r="AV124" i="179"/>
  <c r="CL124" i="179"/>
  <c r="BH124" i="179"/>
  <c r="DV124" i="179"/>
  <c r="AD124" i="179"/>
  <c r="BT124" i="179"/>
  <c r="GD124" i="179"/>
  <c r="AP124" i="179"/>
  <c r="BB124" i="179"/>
  <c r="CF124" i="179"/>
  <c r="GC196" i="179"/>
  <c r="AO196" i="179"/>
  <c r="CE196" i="179"/>
  <c r="AU196" i="179"/>
  <c r="CK196" i="179"/>
  <c r="BG196" i="179"/>
  <c r="BA196" i="179"/>
  <c r="AC196" i="179"/>
  <c r="DU196" i="179"/>
  <c r="BM196" i="179"/>
  <c r="EY196" i="179"/>
  <c r="W196" i="179"/>
  <c r="AI196" i="179"/>
  <c r="BY196" i="179"/>
  <c r="BS196" i="179"/>
  <c r="CQ196" i="179"/>
  <c r="BJ71" i="179"/>
  <c r="DX71" i="179"/>
  <c r="GF71" i="179"/>
  <c r="BP71" i="179"/>
  <c r="FB71" i="179"/>
  <c r="AL71" i="179"/>
  <c r="CB71" i="179"/>
  <c r="AR71" i="179"/>
  <c r="Z71" i="179"/>
  <c r="CT71" i="179"/>
  <c r="BV71" i="179"/>
  <c r="BD71" i="179"/>
  <c r="CN71" i="179"/>
  <c r="AX71" i="179"/>
  <c r="AF71" i="179"/>
  <c r="CH71" i="179"/>
  <c r="BP111" i="179"/>
  <c r="BV111" i="179"/>
  <c r="AR111" i="179"/>
  <c r="DX111" i="179"/>
  <c r="BD111" i="179"/>
  <c r="Z111" i="179"/>
  <c r="CH111" i="179"/>
  <c r="GF111" i="179"/>
  <c r="AL111" i="179"/>
  <c r="CT111" i="179"/>
  <c r="CB111" i="179"/>
  <c r="AX111" i="179"/>
  <c r="FB111" i="179"/>
  <c r="BJ111" i="179"/>
  <c r="AF111" i="179"/>
  <c r="CN111" i="179"/>
  <c r="AX152" i="179"/>
  <c r="CH152" i="179"/>
  <c r="BD152" i="179"/>
  <c r="BJ152" i="179"/>
  <c r="AR152" i="179"/>
  <c r="GF152" i="179"/>
  <c r="AL152" i="179"/>
  <c r="CN152" i="179"/>
  <c r="BV152" i="179"/>
  <c r="FB152" i="179"/>
  <c r="AF152" i="179"/>
  <c r="BP152" i="179"/>
  <c r="CB152" i="179"/>
  <c r="Z152" i="179"/>
  <c r="CT152" i="179"/>
  <c r="DX152" i="179"/>
  <c r="CH194" i="179"/>
  <c r="BD194" i="179"/>
  <c r="CN194" i="179"/>
  <c r="DX194" i="179"/>
  <c r="AF194" i="179"/>
  <c r="BV194" i="179"/>
  <c r="GF194" i="179"/>
  <c r="BJ194" i="179"/>
  <c r="AL194" i="179"/>
  <c r="CB194" i="179"/>
  <c r="CT194" i="179"/>
  <c r="Z194" i="179"/>
  <c r="AR194" i="179"/>
  <c r="BP194" i="179"/>
  <c r="AX194" i="179"/>
  <c r="FB194" i="179"/>
  <c r="GF62" i="179"/>
  <c r="AR62" i="179"/>
  <c r="AX62" i="179"/>
  <c r="FB62" i="179"/>
  <c r="BV62" i="179"/>
  <c r="BD62" i="179"/>
  <c r="AL62" i="179"/>
  <c r="DX62" i="179"/>
  <c r="CH62" i="179"/>
  <c r="BP62" i="179"/>
  <c r="AF62" i="179"/>
  <c r="CT62" i="179"/>
  <c r="CB62" i="179"/>
  <c r="BJ62" i="179"/>
  <c r="Z62" i="179"/>
  <c r="CN62" i="179"/>
  <c r="BC101" i="179"/>
  <c r="CS101" i="179"/>
  <c r="Y101" i="179"/>
  <c r="BO101" i="179"/>
  <c r="FA101" i="179"/>
  <c r="AK101" i="179"/>
  <c r="CA101" i="179"/>
  <c r="AW101" i="179"/>
  <c r="CM101" i="179"/>
  <c r="BI101" i="179"/>
  <c r="DW101" i="179"/>
  <c r="AE101" i="179"/>
  <c r="BU101" i="179"/>
  <c r="CG101" i="179"/>
  <c r="AQ101" i="179"/>
  <c r="GE101" i="179"/>
  <c r="FB143" i="179"/>
  <c r="AL143" i="179"/>
  <c r="GF143" i="179"/>
  <c r="AR143" i="179"/>
  <c r="DX143" i="179"/>
  <c r="CH143" i="179"/>
  <c r="CT143" i="179"/>
  <c r="CB143" i="179"/>
  <c r="Z143" i="179"/>
  <c r="CN143" i="179"/>
  <c r="AF143" i="179"/>
  <c r="BD143" i="179"/>
  <c r="AX143" i="179"/>
  <c r="BV143" i="179"/>
  <c r="BP143" i="179"/>
  <c r="BJ143" i="179"/>
  <c r="BA186" i="179"/>
  <c r="CQ186" i="179"/>
  <c r="W186" i="179"/>
  <c r="BG186" i="179"/>
  <c r="DU186" i="179"/>
  <c r="AC186" i="179"/>
  <c r="AU186" i="179"/>
  <c r="AI186" i="179"/>
  <c r="BY186" i="179"/>
  <c r="BS186" i="179"/>
  <c r="AO186" i="179"/>
  <c r="GC186" i="179"/>
  <c r="CK186" i="179"/>
  <c r="BM186" i="179"/>
  <c r="EY186" i="179"/>
  <c r="CE186" i="179"/>
  <c r="BS54" i="179"/>
  <c r="GC54" i="179"/>
  <c r="AO54" i="179"/>
  <c r="CE54" i="179"/>
  <c r="BA54" i="179"/>
  <c r="CQ54" i="179"/>
  <c r="W54" i="179"/>
  <c r="BM54" i="179"/>
  <c r="EY54" i="179"/>
  <c r="AI54" i="179"/>
  <c r="BY54" i="179"/>
  <c r="AU54" i="179"/>
  <c r="CK54" i="179"/>
  <c r="DU54" i="179"/>
  <c r="BG54" i="179"/>
  <c r="AC54" i="179"/>
  <c r="CH92" i="179"/>
  <c r="BD92" i="179"/>
  <c r="FB92" i="179"/>
  <c r="AR92" i="179"/>
  <c r="Z92" i="179"/>
  <c r="CN92" i="179"/>
  <c r="BV92" i="179"/>
  <c r="AL92" i="179"/>
  <c r="DX92" i="179"/>
  <c r="BP92" i="179"/>
  <c r="AX92" i="179"/>
  <c r="GF92" i="179"/>
  <c r="CT92" i="179"/>
  <c r="CB92" i="179"/>
  <c r="AF92" i="179"/>
  <c r="BJ92" i="179"/>
  <c r="CE133" i="179"/>
  <c r="CK133" i="179"/>
  <c r="BG133" i="179"/>
  <c r="DU133" i="179"/>
  <c r="AC133" i="179"/>
  <c r="GC133" i="179"/>
  <c r="CQ133" i="179"/>
  <c r="BA133" i="179"/>
  <c r="AI133" i="179"/>
  <c r="EY133" i="179"/>
  <c r="AU133" i="179"/>
  <c r="AO133" i="179"/>
  <c r="W133" i="179"/>
  <c r="BY133" i="179"/>
  <c r="BS133" i="179"/>
  <c r="BM133" i="179"/>
  <c r="BN173" i="179"/>
  <c r="CR173" i="179"/>
  <c r="AV173" i="179"/>
  <c r="BB173" i="179"/>
  <c r="AJ173" i="179"/>
  <c r="BH173" i="179"/>
  <c r="AP173" i="179"/>
  <c r="EZ173" i="179"/>
  <c r="X173" i="179"/>
  <c r="CF173" i="179"/>
  <c r="BT173" i="179"/>
  <c r="GD173" i="179"/>
  <c r="DV173" i="179"/>
  <c r="BZ173" i="179"/>
  <c r="AD173" i="179"/>
  <c r="CL173" i="179"/>
  <c r="BT46" i="179"/>
  <c r="GD46" i="179"/>
  <c r="AP46" i="179"/>
  <c r="AJ46" i="179"/>
  <c r="DV46" i="179"/>
  <c r="BN46" i="179"/>
  <c r="CF46" i="179"/>
  <c r="AV46" i="179"/>
  <c r="AD46" i="179"/>
  <c r="CR46" i="179"/>
  <c r="BZ46" i="179"/>
  <c r="BH46" i="179"/>
  <c r="X46" i="179"/>
  <c r="EZ46" i="179"/>
  <c r="CL46" i="179"/>
  <c r="BB46" i="179"/>
  <c r="CM83" i="179"/>
  <c r="BI83" i="179"/>
  <c r="DW83" i="179"/>
  <c r="AE83" i="179"/>
  <c r="BU83" i="179"/>
  <c r="GE83" i="179"/>
  <c r="AQ83" i="179"/>
  <c r="CG83" i="179"/>
  <c r="BC83" i="179"/>
  <c r="CS83" i="179"/>
  <c r="Y83" i="179"/>
  <c r="BO83" i="179"/>
  <c r="FA83" i="179"/>
  <c r="AK83" i="179"/>
  <c r="AW83" i="179"/>
  <c r="CA83" i="179"/>
  <c r="CS123" i="179"/>
  <c r="Y123" i="179"/>
  <c r="BO123" i="179"/>
  <c r="FA123" i="179"/>
  <c r="AK123" i="179"/>
  <c r="CA123" i="179"/>
  <c r="AW123" i="179"/>
  <c r="CM123" i="179"/>
  <c r="BI123" i="179"/>
  <c r="DW123" i="179"/>
  <c r="AE123" i="179"/>
  <c r="BU123" i="179"/>
  <c r="GE123" i="179"/>
  <c r="AQ123" i="179"/>
  <c r="CG123" i="179"/>
  <c r="BC123" i="179"/>
  <c r="AV165" i="179"/>
  <c r="CL165" i="179"/>
  <c r="BB165" i="179"/>
  <c r="CR165" i="179"/>
  <c r="X165" i="179"/>
  <c r="BN165" i="179"/>
  <c r="BH165" i="179"/>
  <c r="AJ165" i="179"/>
  <c r="EZ165" i="179"/>
  <c r="CF165" i="179"/>
  <c r="BZ165" i="179"/>
  <c r="GD165" i="179"/>
  <c r="BT165" i="179"/>
  <c r="AD165" i="179"/>
  <c r="DV165" i="179"/>
  <c r="AP165" i="179"/>
  <c r="CB207" i="179"/>
  <c r="CH207" i="179"/>
  <c r="CT207" i="179"/>
  <c r="BD207" i="179"/>
  <c r="AL207" i="179"/>
  <c r="GF207" i="179"/>
  <c r="BJ207" i="179"/>
  <c r="CN207" i="179"/>
  <c r="AR207" i="179"/>
  <c r="Z207" i="179"/>
  <c r="BV207" i="179"/>
  <c r="AX207" i="179"/>
  <c r="FB207" i="179"/>
  <c r="AF207" i="179"/>
  <c r="BP207" i="179"/>
  <c r="DX207" i="179"/>
  <c r="BV73" i="179"/>
  <c r="GF73" i="179"/>
  <c r="AR73" i="179"/>
  <c r="CH73" i="179"/>
  <c r="BD73" i="179"/>
  <c r="CT73" i="179"/>
  <c r="BP73" i="179"/>
  <c r="FB73" i="179"/>
  <c r="CB73" i="179"/>
  <c r="AX73" i="179"/>
  <c r="AL73" i="179"/>
  <c r="AF73" i="179"/>
  <c r="BJ73" i="179"/>
  <c r="Z73" i="179"/>
  <c r="DX73" i="179"/>
  <c r="CN73" i="179"/>
  <c r="EZ114" i="179"/>
  <c r="AJ114" i="179"/>
  <c r="BZ114" i="179"/>
  <c r="AD114" i="179"/>
  <c r="BH114" i="179"/>
  <c r="CL114" i="179"/>
  <c r="AP114" i="179"/>
  <c r="BT114" i="179"/>
  <c r="DV114" i="179"/>
  <c r="X114" i="179"/>
  <c r="BB114" i="179"/>
  <c r="CF114" i="179"/>
  <c r="GD114" i="179"/>
  <c r="AV114" i="179"/>
  <c r="CR114" i="179"/>
  <c r="BN114" i="179"/>
  <c r="BA155" i="179"/>
  <c r="CQ155" i="179"/>
  <c r="AO155" i="179"/>
  <c r="BS155" i="179"/>
  <c r="W155" i="179"/>
  <c r="DU155" i="179"/>
  <c r="GC155" i="179"/>
  <c r="BM155" i="179"/>
  <c r="CK155" i="179"/>
  <c r="BG155" i="179"/>
  <c r="BY155" i="179"/>
  <c r="AC155" i="179"/>
  <c r="AU155" i="179"/>
  <c r="AI155" i="179"/>
  <c r="EY155" i="179"/>
  <c r="CE155" i="179"/>
  <c r="CT196" i="179"/>
  <c r="Z196" i="179"/>
  <c r="BP196" i="179"/>
  <c r="DX196" i="179"/>
  <c r="AF196" i="179"/>
  <c r="BV196" i="179"/>
  <c r="GF196" i="179"/>
  <c r="AR196" i="179"/>
  <c r="AL196" i="179"/>
  <c r="FB196" i="179"/>
  <c r="CH196" i="179"/>
  <c r="BJ196" i="179"/>
  <c r="BD196" i="179"/>
  <c r="AX196" i="179"/>
  <c r="CN196" i="179"/>
  <c r="CB196" i="179"/>
  <c r="BS76" i="179"/>
  <c r="GC76" i="179"/>
  <c r="AO76" i="179"/>
  <c r="CE76" i="179"/>
  <c r="BA76" i="179"/>
  <c r="CQ76" i="179"/>
  <c r="W76" i="179"/>
  <c r="BM76" i="179"/>
  <c r="EY76" i="179"/>
  <c r="AI76" i="179"/>
  <c r="BY76" i="179"/>
  <c r="AU76" i="179"/>
  <c r="CK76" i="179"/>
  <c r="BG76" i="179"/>
  <c r="AC76" i="179"/>
  <c r="DU76" i="179"/>
  <c r="BM157" i="179"/>
  <c r="EY157" i="179"/>
  <c r="AI157" i="179"/>
  <c r="BY157" i="179"/>
  <c r="DU157" i="179"/>
  <c r="AO157" i="179"/>
  <c r="CK157" i="179"/>
  <c r="W157" i="179"/>
  <c r="BA157" i="179"/>
  <c r="BS157" i="179"/>
  <c r="AC157" i="179"/>
  <c r="AU157" i="179"/>
  <c r="CE157" i="179"/>
  <c r="BG157" i="179"/>
  <c r="GC157" i="179"/>
  <c r="CQ157" i="179"/>
  <c r="CA81" i="179"/>
  <c r="AW81" i="179"/>
  <c r="CM81" i="179"/>
  <c r="BI81" i="179"/>
  <c r="DW81" i="179"/>
  <c r="AE81" i="179"/>
  <c r="BU81" i="179"/>
  <c r="GE81" i="179"/>
  <c r="AQ81" i="179"/>
  <c r="CG81" i="179"/>
  <c r="BC81" i="179"/>
  <c r="CS81" i="179"/>
  <c r="Y81" i="179"/>
  <c r="AK81" i="179"/>
  <c r="BO81" i="179"/>
  <c r="FA81" i="179"/>
  <c r="FA187" i="179"/>
  <c r="AK187" i="179"/>
  <c r="CA187" i="179"/>
  <c r="GE187" i="179"/>
  <c r="AQ187" i="179"/>
  <c r="CG187" i="179"/>
  <c r="AE187" i="179"/>
  <c r="BI187" i="179"/>
  <c r="CS187" i="179"/>
  <c r="BO187" i="179"/>
  <c r="AW187" i="179"/>
  <c r="CM187" i="179"/>
  <c r="BU187" i="179"/>
  <c r="Y187" i="179"/>
  <c r="DW187" i="179"/>
  <c r="BC187" i="179"/>
  <c r="BU212" i="179"/>
  <c r="GE212" i="179"/>
  <c r="AQ212" i="179"/>
  <c r="FA212" i="179"/>
  <c r="AK212" i="179"/>
  <c r="CA212" i="179"/>
  <c r="AW212" i="179"/>
  <c r="BC212" i="179"/>
  <c r="CS212" i="179"/>
  <c r="AE212" i="179"/>
  <c r="DW212" i="179"/>
  <c r="BI212" i="179"/>
  <c r="CM212" i="179"/>
  <c r="Y212" i="179"/>
  <c r="CG212" i="179"/>
  <c r="BO212" i="179"/>
  <c r="EZ157" i="179"/>
  <c r="AJ157" i="179"/>
  <c r="BZ157" i="179"/>
  <c r="CF157" i="179"/>
  <c r="AP157" i="179"/>
  <c r="CL157" i="179"/>
  <c r="X157" i="179"/>
  <c r="BT157" i="179"/>
  <c r="AD157" i="179"/>
  <c r="CR157" i="179"/>
  <c r="GD157" i="179"/>
  <c r="BH157" i="179"/>
  <c r="DV157" i="179"/>
  <c r="BN157" i="179"/>
  <c r="BB157" i="179"/>
  <c r="AV157" i="179"/>
  <c r="CB192" i="179"/>
  <c r="Z192" i="179"/>
  <c r="BD192" i="179"/>
  <c r="AF192" i="179"/>
  <c r="BJ192" i="179"/>
  <c r="GF192" i="179"/>
  <c r="DX192" i="179"/>
  <c r="BV192" i="179"/>
  <c r="CT192" i="179"/>
  <c r="BP192" i="179"/>
  <c r="AR192" i="179"/>
  <c r="CN192" i="179"/>
  <c r="AL192" i="179"/>
  <c r="CH192" i="179"/>
  <c r="FB192" i="179"/>
  <c r="AX192" i="179"/>
  <c r="AU166" i="179"/>
  <c r="CK166" i="179"/>
  <c r="BA166" i="179"/>
  <c r="CQ166" i="179"/>
  <c r="W166" i="179"/>
  <c r="BM166" i="179"/>
  <c r="AO166" i="179"/>
  <c r="AC166" i="179"/>
  <c r="BS166" i="179"/>
  <c r="GC166" i="179"/>
  <c r="CE166" i="179"/>
  <c r="EY166" i="179"/>
  <c r="AI166" i="179"/>
  <c r="BG166" i="179"/>
  <c r="DU166" i="179"/>
  <c r="BY166" i="179"/>
  <c r="CK167" i="179"/>
  <c r="BG167" i="179"/>
  <c r="CQ167" i="179"/>
  <c r="W167" i="179"/>
  <c r="BM167" i="179"/>
  <c r="EY167" i="179"/>
  <c r="AI167" i="179"/>
  <c r="BS167" i="179"/>
  <c r="AU167" i="179"/>
  <c r="CE167" i="179"/>
  <c r="AC167" i="179"/>
  <c r="GC167" i="179"/>
  <c r="BA167" i="179"/>
  <c r="BY167" i="179"/>
  <c r="AO167" i="179"/>
  <c r="DU167" i="179"/>
  <c r="CL178" i="179"/>
  <c r="BH178" i="179"/>
  <c r="BN178" i="179"/>
  <c r="AD178" i="179"/>
  <c r="AP178" i="179"/>
  <c r="EZ178" i="179"/>
  <c r="CR178" i="179"/>
  <c r="BT178" i="179"/>
  <c r="GD178" i="179"/>
  <c r="AV178" i="179"/>
  <c r="CF178" i="179"/>
  <c r="X178" i="179"/>
  <c r="BZ178" i="179"/>
  <c r="BB178" i="179"/>
  <c r="AJ178" i="179"/>
  <c r="DV178" i="179"/>
  <c r="AW189" i="179"/>
  <c r="CM189" i="179"/>
  <c r="BC189" i="179"/>
  <c r="CS189" i="179"/>
  <c r="Y189" i="179"/>
  <c r="DW189" i="179"/>
  <c r="BU189" i="179"/>
  <c r="GE189" i="179"/>
  <c r="CG189" i="179"/>
  <c r="BO189" i="179"/>
  <c r="AK189" i="179"/>
  <c r="AQ189" i="179"/>
  <c r="CA189" i="179"/>
  <c r="AE189" i="179"/>
  <c r="FA189" i="179"/>
  <c r="BI189" i="179"/>
  <c r="BC153" i="179"/>
  <c r="CS153" i="179"/>
  <c r="AQ153" i="179"/>
  <c r="BU153" i="179"/>
  <c r="CA153" i="179"/>
  <c r="AK153" i="179"/>
  <c r="GE153" i="179"/>
  <c r="AE153" i="179"/>
  <c r="CM153" i="179"/>
  <c r="FA153" i="179"/>
  <c r="BO153" i="179"/>
  <c r="Y153" i="179"/>
  <c r="CG153" i="179"/>
  <c r="BI153" i="179"/>
  <c r="DW153" i="179"/>
  <c r="AW153" i="179"/>
  <c r="EY70" i="179"/>
  <c r="AI70" i="179"/>
  <c r="GC70" i="179"/>
  <c r="AO70" i="179"/>
  <c r="CE70" i="179"/>
  <c r="BA70" i="179"/>
  <c r="CK70" i="179"/>
  <c r="BS70" i="179"/>
  <c r="AU70" i="179"/>
  <c r="AC70" i="179"/>
  <c r="BM70" i="179"/>
  <c r="DU70" i="179"/>
  <c r="W70" i="179"/>
  <c r="BY70" i="179"/>
  <c r="BG70" i="179"/>
  <c r="CQ70" i="179"/>
  <c r="EY209" i="179"/>
  <c r="AI209" i="179"/>
  <c r="GC209" i="179"/>
  <c r="AO209" i="179"/>
  <c r="CE209" i="179"/>
  <c r="BA209" i="179"/>
  <c r="BG209" i="179"/>
  <c r="CQ209" i="179"/>
  <c r="BY209" i="179"/>
  <c r="AU209" i="179"/>
  <c r="BM209" i="179"/>
  <c r="W209" i="179"/>
  <c r="BS209" i="179"/>
  <c r="DU209" i="179"/>
  <c r="CK209" i="179"/>
  <c r="AC209" i="179"/>
  <c r="BO191" i="179"/>
  <c r="CS191" i="179"/>
  <c r="AW191" i="179"/>
  <c r="CA191" i="179"/>
  <c r="DW191" i="179"/>
  <c r="Y191" i="179"/>
  <c r="BC191" i="179"/>
  <c r="AQ191" i="179"/>
  <c r="FA191" i="179"/>
  <c r="CG191" i="179"/>
  <c r="BI191" i="179"/>
  <c r="AK191" i="179"/>
  <c r="BU191" i="179"/>
  <c r="GE191" i="179"/>
  <c r="CM191" i="179"/>
  <c r="AE191" i="179"/>
  <c r="CS205" i="179"/>
  <c r="Y205" i="179"/>
  <c r="DW205" i="179"/>
  <c r="AE205" i="179"/>
  <c r="BI205" i="179"/>
  <c r="AQ205" i="179"/>
  <c r="FA205" i="179"/>
  <c r="GE205" i="179"/>
  <c r="BC205" i="179"/>
  <c r="BO205" i="179"/>
  <c r="CM205" i="179"/>
  <c r="AK205" i="179"/>
  <c r="CA205" i="179"/>
  <c r="AW205" i="179"/>
  <c r="CG205" i="179"/>
  <c r="BU205" i="179"/>
  <c r="DW210" i="179"/>
  <c r="CS210" i="179"/>
  <c r="BO210" i="179"/>
  <c r="CA210" i="179"/>
  <c r="BC210" i="179"/>
  <c r="Y210" i="179"/>
  <c r="AK210" i="179"/>
  <c r="FA210" i="179"/>
  <c r="BI210" i="179"/>
  <c r="AQ210" i="179"/>
  <c r="CM210" i="179"/>
  <c r="GE210" i="179"/>
  <c r="CG210" i="179"/>
  <c r="AW210" i="179"/>
  <c r="BU210" i="179"/>
  <c r="AE210" i="179"/>
  <c r="BH129" i="179"/>
  <c r="BN129" i="179"/>
  <c r="CL129" i="179"/>
  <c r="BT129" i="179"/>
  <c r="X129" i="179"/>
  <c r="BB129" i="179"/>
  <c r="AV129" i="179"/>
  <c r="AD129" i="179"/>
  <c r="CR129" i="179"/>
  <c r="BZ129" i="179"/>
  <c r="AP129" i="179"/>
  <c r="GD129" i="179"/>
  <c r="CF129" i="179"/>
  <c r="AJ129" i="179"/>
  <c r="EZ129" i="179"/>
  <c r="DV129" i="179"/>
  <c r="DW167" i="179"/>
  <c r="AE167" i="179"/>
  <c r="BU167" i="179"/>
  <c r="FA167" i="179"/>
  <c r="AK167" i="179"/>
  <c r="CA167" i="179"/>
  <c r="AW167" i="179"/>
  <c r="CS167" i="179"/>
  <c r="BC167" i="179"/>
  <c r="Y167" i="179"/>
  <c r="CM167" i="179"/>
  <c r="CG167" i="179"/>
  <c r="AQ167" i="179"/>
  <c r="BO167" i="179"/>
  <c r="BI167" i="179"/>
  <c r="GE167" i="179"/>
  <c r="BB200" i="179"/>
  <c r="BN200" i="179"/>
  <c r="CL200" i="179"/>
  <c r="BT200" i="179"/>
  <c r="AJ200" i="179"/>
  <c r="GD200" i="179"/>
  <c r="CR200" i="179"/>
  <c r="BZ200" i="179"/>
  <c r="BH200" i="179"/>
  <c r="AD200" i="179"/>
  <c r="X200" i="179"/>
  <c r="DV200" i="179"/>
  <c r="CF200" i="179"/>
  <c r="EZ200" i="179"/>
  <c r="AV200" i="179"/>
  <c r="AP200" i="179"/>
  <c r="BG74" i="179"/>
  <c r="DU74" i="179"/>
  <c r="AC74" i="179"/>
  <c r="BS74" i="179"/>
  <c r="GC74" i="179"/>
  <c r="AO74" i="179"/>
  <c r="CE74" i="179"/>
  <c r="BA74" i="179"/>
  <c r="CQ74" i="179"/>
  <c r="W74" i="179"/>
  <c r="BM74" i="179"/>
  <c r="EY74" i="179"/>
  <c r="AI74" i="179"/>
  <c r="BY74" i="179"/>
  <c r="CK74" i="179"/>
  <c r="AU74" i="179"/>
  <c r="CH75" i="179"/>
  <c r="BD75" i="179"/>
  <c r="CT75" i="179"/>
  <c r="Z75" i="179"/>
  <c r="BP75" i="179"/>
  <c r="FB75" i="179"/>
  <c r="AL75" i="179"/>
  <c r="CB75" i="179"/>
  <c r="AX75" i="179"/>
  <c r="CN75" i="179"/>
  <c r="BJ75" i="179"/>
  <c r="DX75" i="179"/>
  <c r="AF75" i="179"/>
  <c r="BV75" i="179"/>
  <c r="AR75" i="179"/>
  <c r="GF75" i="179"/>
  <c r="CG195" i="179"/>
  <c r="BC195" i="179"/>
  <c r="CM195" i="179"/>
  <c r="BI195" i="179"/>
  <c r="DW195" i="179"/>
  <c r="AE195" i="179"/>
  <c r="FA195" i="179"/>
  <c r="BO195" i="179"/>
  <c r="AQ195" i="179"/>
  <c r="GE195" i="179"/>
  <c r="CA195" i="179"/>
  <c r="CS195" i="179"/>
  <c r="Y195" i="179"/>
  <c r="BU195" i="179"/>
  <c r="AW195" i="179"/>
  <c r="AK195" i="179"/>
  <c r="CA146" i="179"/>
  <c r="BU146" i="179"/>
  <c r="GE146" i="179"/>
  <c r="CS146" i="179"/>
  <c r="CM146" i="179"/>
  <c r="FA146" i="179"/>
  <c r="AW146" i="179"/>
  <c r="DW146" i="179"/>
  <c r="CG146" i="179"/>
  <c r="BO146" i="179"/>
  <c r="AK146" i="179"/>
  <c r="Y146" i="179"/>
  <c r="BI146" i="179"/>
  <c r="BC146" i="179"/>
  <c r="AQ146" i="179"/>
  <c r="AE146" i="179"/>
  <c r="BU96" i="179"/>
  <c r="GE96" i="179"/>
  <c r="AQ96" i="179"/>
  <c r="BC96" i="179"/>
  <c r="BO96" i="179"/>
  <c r="FA96" i="179"/>
  <c r="AK96" i="179"/>
  <c r="CA96" i="179"/>
  <c r="CG96" i="179"/>
  <c r="Y96" i="179"/>
  <c r="AW96" i="179"/>
  <c r="DW96" i="179"/>
  <c r="CS96" i="179"/>
  <c r="CM96" i="179"/>
  <c r="BI96" i="179"/>
  <c r="AE96" i="179"/>
  <c r="BU45" i="179"/>
  <c r="GE45" i="179"/>
  <c r="AQ45" i="179"/>
  <c r="CG45" i="179"/>
  <c r="DW45" i="179"/>
  <c r="BO45" i="179"/>
  <c r="AW45" i="179"/>
  <c r="AE45" i="179"/>
  <c r="CS45" i="179"/>
  <c r="CA45" i="179"/>
  <c r="BI45" i="179"/>
  <c r="Y45" i="179"/>
  <c r="AK45" i="179"/>
  <c r="FA45" i="179"/>
  <c r="CM45" i="179"/>
  <c r="BC45" i="179"/>
  <c r="CR161" i="179"/>
  <c r="X161" i="179"/>
  <c r="BN161" i="179"/>
  <c r="DV161" i="179"/>
  <c r="AD161" i="179"/>
  <c r="BT161" i="179"/>
  <c r="GD161" i="179"/>
  <c r="AP161" i="179"/>
  <c r="BZ161" i="179"/>
  <c r="BB161" i="179"/>
  <c r="AV161" i="179"/>
  <c r="AJ161" i="179"/>
  <c r="EZ161" i="179"/>
  <c r="CF161" i="179"/>
  <c r="BH161" i="179"/>
  <c r="CL161" i="179"/>
  <c r="CE102" i="179"/>
  <c r="BA102" i="179"/>
  <c r="CQ102" i="179"/>
  <c r="W102" i="179"/>
  <c r="BM102" i="179"/>
  <c r="EY102" i="179"/>
  <c r="AI102" i="179"/>
  <c r="BY102" i="179"/>
  <c r="AU102" i="179"/>
  <c r="CK102" i="179"/>
  <c r="BG102" i="179"/>
  <c r="DU102" i="179"/>
  <c r="AC102" i="179"/>
  <c r="AO102" i="179"/>
  <c r="GC102" i="179"/>
  <c r="BS102" i="179"/>
  <c r="BC48" i="179"/>
  <c r="CS48" i="179"/>
  <c r="Y48" i="179"/>
  <c r="CM48" i="179"/>
  <c r="BU48" i="179"/>
  <c r="AK48" i="179"/>
  <c r="DW48" i="179"/>
  <c r="BO48" i="179"/>
  <c r="CG48" i="179"/>
  <c r="AW48" i="179"/>
  <c r="AE48" i="179"/>
  <c r="GE48" i="179"/>
  <c r="CA48" i="179"/>
  <c r="AQ48" i="179"/>
  <c r="FA48" i="179"/>
  <c r="BI48" i="179"/>
  <c r="AX114" i="179"/>
  <c r="FB114" i="179"/>
  <c r="BJ114" i="179"/>
  <c r="CN114" i="179"/>
  <c r="AR114" i="179"/>
  <c r="BV114" i="179"/>
  <c r="DX114" i="179"/>
  <c r="Z114" i="179"/>
  <c r="BD114" i="179"/>
  <c r="CH114" i="179"/>
  <c r="GF114" i="179"/>
  <c r="AL114" i="179"/>
  <c r="BP114" i="179"/>
  <c r="CT114" i="179"/>
  <c r="AF114" i="179"/>
  <c r="CB114" i="179"/>
  <c r="CQ187" i="179"/>
  <c r="W187" i="179"/>
  <c r="BM187" i="179"/>
  <c r="DU187" i="179"/>
  <c r="AC187" i="179"/>
  <c r="BS187" i="179"/>
  <c r="BA187" i="179"/>
  <c r="EY187" i="179"/>
  <c r="AO187" i="179"/>
  <c r="CE187" i="179"/>
  <c r="AI187" i="179"/>
  <c r="CK187" i="179"/>
  <c r="BG187" i="179"/>
  <c r="BY187" i="179"/>
  <c r="AU187" i="179"/>
  <c r="GC187" i="179"/>
  <c r="AU86" i="179"/>
  <c r="BM86" i="179"/>
  <c r="CQ86" i="179"/>
  <c r="BY86" i="179"/>
  <c r="AC86" i="179"/>
  <c r="EY86" i="179"/>
  <c r="BG86" i="179"/>
  <c r="CK86" i="179"/>
  <c r="AO86" i="179"/>
  <c r="BS86" i="179"/>
  <c r="DU86" i="179"/>
  <c r="W86" i="179"/>
  <c r="BA86" i="179"/>
  <c r="AI86" i="179"/>
  <c r="GC86" i="179"/>
  <c r="CE86" i="179"/>
  <c r="FB155" i="179"/>
  <c r="AL155" i="179"/>
  <c r="AF155" i="179"/>
  <c r="BD155" i="179"/>
  <c r="CH155" i="179"/>
  <c r="GF155" i="179"/>
  <c r="BJ155" i="179"/>
  <c r="CB155" i="179"/>
  <c r="CT155" i="179"/>
  <c r="AX155" i="179"/>
  <c r="BV155" i="179"/>
  <c r="Z155" i="179"/>
  <c r="BP155" i="179"/>
  <c r="CN155" i="179"/>
  <c r="AR155" i="179"/>
  <c r="DX155" i="179"/>
  <c r="EZ59" i="179"/>
  <c r="AJ59" i="179"/>
  <c r="BZ59" i="179"/>
  <c r="AV59" i="179"/>
  <c r="CL59" i="179"/>
  <c r="BH59" i="179"/>
  <c r="DV59" i="179"/>
  <c r="AD59" i="179"/>
  <c r="BT59" i="179"/>
  <c r="GD59" i="179"/>
  <c r="AP59" i="179"/>
  <c r="CF59" i="179"/>
  <c r="BB59" i="179"/>
  <c r="X59" i="179"/>
  <c r="CR59" i="179"/>
  <c r="BN59" i="179"/>
  <c r="CN126" i="179"/>
  <c r="CT126" i="179"/>
  <c r="FB126" i="179"/>
  <c r="Z126" i="179"/>
  <c r="GF126" i="179"/>
  <c r="BP126" i="179"/>
  <c r="CH126" i="179"/>
  <c r="DX126" i="179"/>
  <c r="BJ126" i="179"/>
  <c r="AR126" i="179"/>
  <c r="CB126" i="179"/>
  <c r="AL126" i="179"/>
  <c r="BV126" i="179"/>
  <c r="BD126" i="179"/>
  <c r="AF126" i="179"/>
  <c r="AX126" i="179"/>
  <c r="BO198" i="179"/>
  <c r="FA198" i="179"/>
  <c r="AK198" i="179"/>
  <c r="BU198" i="179"/>
  <c r="GE198" i="179"/>
  <c r="AQ198" i="179"/>
  <c r="CG198" i="179"/>
  <c r="CA198" i="179"/>
  <c r="BC198" i="179"/>
  <c r="AE198" i="179"/>
  <c r="CS198" i="179"/>
  <c r="BI198" i="179"/>
  <c r="DW198" i="179"/>
  <c r="CM198" i="179"/>
  <c r="AW198" i="179"/>
  <c r="Y198" i="179"/>
  <c r="BG96" i="179"/>
  <c r="DU96" i="179"/>
  <c r="AC96" i="179"/>
  <c r="GC96" i="179"/>
  <c r="AO96" i="179"/>
  <c r="BA96" i="179"/>
  <c r="CQ96" i="179"/>
  <c r="W96" i="179"/>
  <c r="BM96" i="179"/>
  <c r="CE96" i="179"/>
  <c r="EY96" i="179"/>
  <c r="BY96" i="179"/>
  <c r="AU96" i="179"/>
  <c r="BS96" i="179"/>
  <c r="AI96" i="179"/>
  <c r="CK96" i="179"/>
  <c r="BJ165" i="179"/>
  <c r="DX165" i="179"/>
  <c r="AF165" i="179"/>
  <c r="BP165" i="179"/>
  <c r="FB165" i="179"/>
  <c r="AL165" i="179"/>
  <c r="CB165" i="179"/>
  <c r="Z165" i="179"/>
  <c r="CH165" i="179"/>
  <c r="CN165" i="179"/>
  <c r="AX165" i="179"/>
  <c r="GF165" i="179"/>
  <c r="BD165" i="179"/>
  <c r="CT165" i="179"/>
  <c r="BV165" i="179"/>
  <c r="AR165" i="179"/>
  <c r="DV62" i="179"/>
  <c r="AD62" i="179"/>
  <c r="EZ62" i="179"/>
  <c r="AJ62" i="179"/>
  <c r="CL62" i="179"/>
  <c r="BT62" i="179"/>
  <c r="BB62" i="179"/>
  <c r="CF62" i="179"/>
  <c r="BN62" i="179"/>
  <c r="AV62" i="179"/>
  <c r="GD62" i="179"/>
  <c r="CR62" i="179"/>
  <c r="BZ62" i="179"/>
  <c r="AP62" i="179"/>
  <c r="X62" i="179"/>
  <c r="BH62" i="179"/>
  <c r="DV130" i="179"/>
  <c r="AD130" i="179"/>
  <c r="EZ130" i="179"/>
  <c r="AJ130" i="179"/>
  <c r="BZ130" i="179"/>
  <c r="AV130" i="179"/>
  <c r="AP130" i="179"/>
  <c r="BH130" i="179"/>
  <c r="CR130" i="179"/>
  <c r="BB130" i="179"/>
  <c r="CF130" i="179"/>
  <c r="GD130" i="179"/>
  <c r="BT130" i="179"/>
  <c r="BN130" i="179"/>
  <c r="CL130" i="179"/>
  <c r="X130" i="179"/>
  <c r="BO201" i="179"/>
  <c r="CA201" i="179"/>
  <c r="FA201" i="179"/>
  <c r="CM201" i="179"/>
  <c r="BU201" i="179"/>
  <c r="GE201" i="179"/>
  <c r="CS201" i="179"/>
  <c r="BI201" i="179"/>
  <c r="AK201" i="179"/>
  <c r="CG201" i="179"/>
  <c r="Y201" i="179"/>
  <c r="DW201" i="179"/>
  <c r="BC201" i="179"/>
  <c r="AQ201" i="179"/>
  <c r="AE201" i="179"/>
  <c r="AW201" i="179"/>
  <c r="GF74" i="179"/>
  <c r="AR74" i="179"/>
  <c r="CH74" i="179"/>
  <c r="BD74" i="179"/>
  <c r="CT74" i="179"/>
  <c r="Z74" i="179"/>
  <c r="BP74" i="179"/>
  <c r="FB74" i="179"/>
  <c r="AL74" i="179"/>
  <c r="CB74" i="179"/>
  <c r="AX74" i="179"/>
  <c r="CN74" i="179"/>
  <c r="BJ74" i="179"/>
  <c r="AF74" i="179"/>
  <c r="DX74" i="179"/>
  <c r="BV74" i="179"/>
  <c r="BZ115" i="179"/>
  <c r="CF115" i="179"/>
  <c r="GD115" i="179"/>
  <c r="BN115" i="179"/>
  <c r="AJ115" i="179"/>
  <c r="CR115" i="179"/>
  <c r="AV115" i="179"/>
  <c r="EZ115" i="179"/>
  <c r="BH115" i="179"/>
  <c r="AD115" i="179"/>
  <c r="CL115" i="179"/>
  <c r="BT115" i="179"/>
  <c r="AP115" i="179"/>
  <c r="X115" i="179"/>
  <c r="DV115" i="179"/>
  <c r="BB115" i="179"/>
  <c r="CQ156" i="179"/>
  <c r="W156" i="179"/>
  <c r="BS156" i="179"/>
  <c r="AU156" i="179"/>
  <c r="BY156" i="179"/>
  <c r="AC156" i="179"/>
  <c r="GC156" i="179"/>
  <c r="CE156" i="179"/>
  <c r="BG156" i="179"/>
  <c r="DU156" i="179"/>
  <c r="AI156" i="179"/>
  <c r="BM156" i="179"/>
  <c r="CK156" i="179"/>
  <c r="BA156" i="179"/>
  <c r="AO156" i="179"/>
  <c r="EY156" i="179"/>
  <c r="BP197" i="179"/>
  <c r="FB197" i="179"/>
  <c r="AL197" i="179"/>
  <c r="BV197" i="179"/>
  <c r="GF197" i="179"/>
  <c r="AR197" i="179"/>
  <c r="CH197" i="179"/>
  <c r="CT197" i="179"/>
  <c r="CB197" i="179"/>
  <c r="BD197" i="179"/>
  <c r="AF197" i="179"/>
  <c r="CN197" i="179"/>
  <c r="Z197" i="179"/>
  <c r="BJ197" i="179"/>
  <c r="DX197" i="179"/>
  <c r="AX197" i="179"/>
  <c r="CT65" i="179"/>
  <c r="Z65" i="179"/>
  <c r="DX65" i="179"/>
  <c r="AF65" i="179"/>
  <c r="BV65" i="179"/>
  <c r="BP65" i="179"/>
  <c r="AX65" i="179"/>
  <c r="CH65" i="179"/>
  <c r="AR65" i="179"/>
  <c r="CB65" i="179"/>
  <c r="BJ65" i="179"/>
  <c r="GF65" i="179"/>
  <c r="AL65" i="179"/>
  <c r="BD65" i="179"/>
  <c r="FB65" i="179"/>
  <c r="CN65" i="179"/>
  <c r="FA104" i="179"/>
  <c r="AK104" i="179"/>
  <c r="CA104" i="179"/>
  <c r="AW104" i="179"/>
  <c r="CM104" i="179"/>
  <c r="BI104" i="179"/>
  <c r="DW104" i="179"/>
  <c r="AE104" i="179"/>
  <c r="BU104" i="179"/>
  <c r="GE104" i="179"/>
  <c r="AQ104" i="179"/>
  <c r="CG104" i="179"/>
  <c r="BC104" i="179"/>
  <c r="BO104" i="179"/>
  <c r="Y104" i="179"/>
  <c r="CS104" i="179"/>
  <c r="EY147" i="179"/>
  <c r="AI147" i="179"/>
  <c r="BM147" i="179"/>
  <c r="BS147" i="179"/>
  <c r="CK147" i="179"/>
  <c r="DU147" i="179"/>
  <c r="CE147" i="179"/>
  <c r="BY147" i="179"/>
  <c r="BG147" i="179"/>
  <c r="AO147" i="179"/>
  <c r="CQ147" i="179"/>
  <c r="GC147" i="179"/>
  <c r="W147" i="179"/>
  <c r="BA147" i="179"/>
  <c r="AU147" i="179"/>
  <c r="AC147" i="179"/>
  <c r="EY189" i="179"/>
  <c r="AI189" i="179"/>
  <c r="BY189" i="179"/>
  <c r="GC189" i="179"/>
  <c r="AO189" i="179"/>
  <c r="CE189" i="179"/>
  <c r="CQ189" i="179"/>
  <c r="AC189" i="179"/>
  <c r="BS189" i="179"/>
  <c r="AU189" i="179"/>
  <c r="W189" i="179"/>
  <c r="BA189" i="179"/>
  <c r="CK189" i="179"/>
  <c r="BG189" i="179"/>
  <c r="DU189" i="179"/>
  <c r="BM189" i="179"/>
  <c r="BA57" i="179"/>
  <c r="CQ57" i="179"/>
  <c r="W57" i="179"/>
  <c r="BM57" i="179"/>
  <c r="EY57" i="179"/>
  <c r="AI57" i="179"/>
  <c r="BY57" i="179"/>
  <c r="AU57" i="179"/>
  <c r="CK57" i="179"/>
  <c r="BG57" i="179"/>
  <c r="DU57" i="179"/>
  <c r="AC57" i="179"/>
  <c r="BS57" i="179"/>
  <c r="CE57" i="179"/>
  <c r="AO57" i="179"/>
  <c r="GC57" i="179"/>
  <c r="BV95" i="179"/>
  <c r="GF95" i="179"/>
  <c r="AR95" i="179"/>
  <c r="BD95" i="179"/>
  <c r="BP95" i="179"/>
  <c r="FB95" i="179"/>
  <c r="AL95" i="179"/>
  <c r="CB95" i="179"/>
  <c r="CT95" i="179"/>
  <c r="CN95" i="179"/>
  <c r="BJ95" i="179"/>
  <c r="CH95" i="179"/>
  <c r="AF95" i="179"/>
  <c r="AX95" i="179"/>
  <c r="Z95" i="179"/>
  <c r="DX95" i="179"/>
  <c r="CQ137" i="179"/>
  <c r="AI137" i="179"/>
  <c r="DU137" i="179"/>
  <c r="AO137" i="179"/>
  <c r="CE137" i="179"/>
  <c r="BA137" i="179"/>
  <c r="EY137" i="179"/>
  <c r="BY137" i="179"/>
  <c r="AC137" i="179"/>
  <c r="BS137" i="179"/>
  <c r="AU137" i="179"/>
  <c r="GC137" i="179"/>
  <c r="W137" i="179"/>
  <c r="CK137" i="179"/>
  <c r="BM137" i="179"/>
  <c r="BG137" i="179"/>
  <c r="CN176" i="179"/>
  <c r="BJ176" i="179"/>
  <c r="CT176" i="179"/>
  <c r="BP176" i="179"/>
  <c r="AR176" i="179"/>
  <c r="FB176" i="179"/>
  <c r="BV176" i="179"/>
  <c r="BD176" i="179"/>
  <c r="CH176" i="179"/>
  <c r="AX176" i="179"/>
  <c r="AF176" i="179"/>
  <c r="DX176" i="179"/>
  <c r="Z176" i="179"/>
  <c r="GF176" i="179"/>
  <c r="CB176" i="179"/>
  <c r="AL176" i="179"/>
  <c r="BT49" i="179"/>
  <c r="GD49" i="179"/>
  <c r="BB49" i="179"/>
  <c r="CR49" i="179"/>
  <c r="X49" i="179"/>
  <c r="AP49" i="179"/>
  <c r="DV49" i="179"/>
  <c r="BZ49" i="179"/>
  <c r="BH49" i="179"/>
  <c r="AJ49" i="179"/>
  <c r="CF49" i="179"/>
  <c r="CL49" i="179"/>
  <c r="BN49" i="179"/>
  <c r="EZ49" i="179"/>
  <c r="AV49" i="179"/>
  <c r="AD49" i="179"/>
  <c r="BI86" i="179"/>
  <c r="AW86" i="179"/>
  <c r="CA86" i="179"/>
  <c r="AE86" i="179"/>
  <c r="FA86" i="179"/>
  <c r="CM86" i="179"/>
  <c r="AQ86" i="179"/>
  <c r="BU86" i="179"/>
  <c r="DW86" i="179"/>
  <c r="Y86" i="179"/>
  <c r="BC86" i="179"/>
  <c r="CG86" i="179"/>
  <c r="GE86" i="179"/>
  <c r="AK86" i="179"/>
  <c r="CS86" i="179"/>
  <c r="BO86" i="179"/>
  <c r="BY127" i="179"/>
  <c r="CE127" i="179"/>
  <c r="BG127" i="179"/>
  <c r="BM127" i="179"/>
  <c r="AU127" i="179"/>
  <c r="EY127" i="179"/>
  <c r="CK127" i="179"/>
  <c r="AO127" i="179"/>
  <c r="W127" i="179"/>
  <c r="DU127" i="179"/>
  <c r="AI127" i="179"/>
  <c r="BA127" i="179"/>
  <c r="CQ127" i="179"/>
  <c r="AC127" i="179"/>
  <c r="BS127" i="179"/>
  <c r="GC127" i="179"/>
  <c r="BU168" i="179"/>
  <c r="GE168" i="179"/>
  <c r="AQ168" i="179"/>
  <c r="CA168" i="179"/>
  <c r="AW168" i="179"/>
  <c r="CM168" i="179"/>
  <c r="BO168" i="179"/>
  <c r="DW168" i="179"/>
  <c r="Y168" i="179"/>
  <c r="CG168" i="179"/>
  <c r="FA168" i="179"/>
  <c r="BI168" i="179"/>
  <c r="CS168" i="179"/>
  <c r="BC168" i="179"/>
  <c r="AK168" i="179"/>
  <c r="AE168" i="179"/>
  <c r="BV211" i="179"/>
  <c r="GF211" i="179"/>
  <c r="AR211" i="179"/>
  <c r="FB211" i="179"/>
  <c r="AL211" i="179"/>
  <c r="CB211" i="179"/>
  <c r="BD211" i="179"/>
  <c r="BJ211" i="179"/>
  <c r="CN211" i="179"/>
  <c r="AF211" i="179"/>
  <c r="DX211" i="179"/>
  <c r="CT211" i="179"/>
  <c r="AX211" i="179"/>
  <c r="BP211" i="179"/>
  <c r="Z211" i="179"/>
  <c r="CH211" i="179"/>
  <c r="BD76" i="179"/>
  <c r="CT76" i="179"/>
  <c r="Z76" i="179"/>
  <c r="BP76" i="179"/>
  <c r="FB76" i="179"/>
  <c r="AL76" i="179"/>
  <c r="CB76" i="179"/>
  <c r="AX76" i="179"/>
  <c r="CN76" i="179"/>
  <c r="BJ76" i="179"/>
  <c r="DX76" i="179"/>
  <c r="AF76" i="179"/>
  <c r="BV76" i="179"/>
  <c r="AR76" i="179"/>
  <c r="GF76" i="179"/>
  <c r="CH76" i="179"/>
  <c r="BI117" i="179"/>
  <c r="DW117" i="179"/>
  <c r="AE117" i="179"/>
  <c r="GE117" i="179"/>
  <c r="BO117" i="179"/>
  <c r="FA117" i="179"/>
  <c r="CM117" i="179"/>
  <c r="AW117" i="179"/>
  <c r="CG117" i="179"/>
  <c r="AQ117" i="179"/>
  <c r="Y117" i="179"/>
  <c r="CA117" i="179"/>
  <c r="CS117" i="179"/>
  <c r="BU117" i="179"/>
  <c r="BC117" i="179"/>
  <c r="AK117" i="179"/>
  <c r="BJ158" i="179"/>
  <c r="DX158" i="179"/>
  <c r="AF158" i="179"/>
  <c r="BV158" i="179"/>
  <c r="AR158" i="179"/>
  <c r="Z158" i="179"/>
  <c r="CT158" i="179"/>
  <c r="GF158" i="179"/>
  <c r="CH158" i="179"/>
  <c r="BD158" i="179"/>
  <c r="FB158" i="179"/>
  <c r="CB158" i="179"/>
  <c r="BP158" i="179"/>
  <c r="AL158" i="179"/>
  <c r="CN158" i="179"/>
  <c r="AX158" i="179"/>
  <c r="CT199" i="179"/>
  <c r="Z199" i="179"/>
  <c r="FB199" i="179"/>
  <c r="AL199" i="179"/>
  <c r="DX199" i="179"/>
  <c r="AR199" i="179"/>
  <c r="CN199" i="179"/>
  <c r="BP199" i="179"/>
  <c r="GF199" i="179"/>
  <c r="BD199" i="179"/>
  <c r="AF199" i="179"/>
  <c r="AX199" i="179"/>
  <c r="CB199" i="179"/>
  <c r="BV199" i="179"/>
  <c r="BJ199" i="179"/>
  <c r="CH199" i="179"/>
  <c r="CN147" i="179"/>
  <c r="CB147" i="179"/>
  <c r="AF147" i="179"/>
  <c r="CH147" i="179"/>
  <c r="BP147" i="179"/>
  <c r="AX147" i="179"/>
  <c r="BJ147" i="179"/>
  <c r="AR147" i="179"/>
  <c r="Z147" i="179"/>
  <c r="AL147" i="179"/>
  <c r="BV147" i="179"/>
  <c r="BD147" i="179"/>
  <c r="FB147" i="179"/>
  <c r="CT147" i="179"/>
  <c r="GF147" i="179"/>
  <c r="DX147" i="179"/>
  <c r="BA161" i="179"/>
  <c r="CQ161" i="179"/>
  <c r="W161" i="179"/>
  <c r="BG161" i="179"/>
  <c r="DU161" i="179"/>
  <c r="AC161" i="179"/>
  <c r="BS161" i="179"/>
  <c r="BY161" i="179"/>
  <c r="CK161" i="179"/>
  <c r="CE161" i="179"/>
  <c r="AO161" i="179"/>
  <c r="GC161" i="179"/>
  <c r="AI161" i="179"/>
  <c r="BM161" i="179"/>
  <c r="AU161" i="179"/>
  <c r="EY161" i="179"/>
  <c r="BB123" i="179"/>
  <c r="CR123" i="179"/>
  <c r="X123" i="179"/>
  <c r="BN123" i="179"/>
  <c r="EZ123" i="179"/>
  <c r="AJ123" i="179"/>
  <c r="BZ123" i="179"/>
  <c r="AV123" i="179"/>
  <c r="CL123" i="179"/>
  <c r="BH123" i="179"/>
  <c r="DV123" i="179"/>
  <c r="AD123" i="179"/>
  <c r="BT123" i="179"/>
  <c r="AP123" i="179"/>
  <c r="GD123" i="179"/>
  <c r="CF123" i="179"/>
  <c r="DV74" i="179"/>
  <c r="AD74" i="179"/>
  <c r="BT74" i="179"/>
  <c r="GD74" i="179"/>
  <c r="AP74" i="179"/>
  <c r="CF74" i="179"/>
  <c r="BB74" i="179"/>
  <c r="CR74" i="179"/>
  <c r="X74" i="179"/>
  <c r="BN74" i="179"/>
  <c r="EZ74" i="179"/>
  <c r="AJ74" i="179"/>
  <c r="BZ74" i="179"/>
  <c r="AV74" i="179"/>
  <c r="CL74" i="179"/>
  <c r="BH74" i="179"/>
  <c r="CR57" i="179"/>
  <c r="X57" i="179"/>
  <c r="BN57" i="179"/>
  <c r="EZ57" i="179"/>
  <c r="AJ57" i="179"/>
  <c r="BZ57" i="179"/>
  <c r="AV57" i="179"/>
  <c r="CL57" i="179"/>
  <c r="BH57" i="179"/>
  <c r="DV57" i="179"/>
  <c r="AD57" i="179"/>
  <c r="BT57" i="179"/>
  <c r="GD57" i="179"/>
  <c r="AP57" i="179"/>
  <c r="CF57" i="179"/>
  <c r="BB57" i="179"/>
  <c r="FB172" i="179"/>
  <c r="DX172" i="179"/>
  <c r="CH172" i="179"/>
  <c r="AL172" i="179"/>
  <c r="BJ172" i="179"/>
  <c r="CN172" i="179"/>
  <c r="AR172" i="179"/>
  <c r="BP172" i="179"/>
  <c r="GF172" i="179"/>
  <c r="BD172" i="179"/>
  <c r="AF172" i="179"/>
  <c r="BV172" i="179"/>
  <c r="Z172" i="179"/>
  <c r="CT172" i="179"/>
  <c r="CB172" i="179"/>
  <c r="AX172" i="179"/>
  <c r="GD195" i="179"/>
  <c r="AP195" i="179"/>
  <c r="CF195" i="179"/>
  <c r="AV195" i="179"/>
  <c r="CL195" i="179"/>
  <c r="BH195" i="179"/>
  <c r="AJ195" i="179"/>
  <c r="EZ195" i="179"/>
  <c r="CR195" i="179"/>
  <c r="BB195" i="179"/>
  <c r="X195" i="179"/>
  <c r="AD195" i="179"/>
  <c r="BZ195" i="179"/>
  <c r="BT195" i="179"/>
  <c r="DV195" i="179"/>
  <c r="BN195" i="179"/>
  <c r="DU46" i="179"/>
  <c r="AC46" i="179"/>
  <c r="BS46" i="179"/>
  <c r="CK46" i="179"/>
  <c r="BA46" i="179"/>
  <c r="AI46" i="179"/>
  <c r="CE46" i="179"/>
  <c r="BM46" i="179"/>
  <c r="AU46" i="179"/>
  <c r="GC46" i="179"/>
  <c r="EY46" i="179"/>
  <c r="CQ46" i="179"/>
  <c r="BY46" i="179"/>
  <c r="AO46" i="179"/>
  <c r="BG46" i="179"/>
  <c r="W46" i="179"/>
  <c r="BY148" i="179"/>
  <c r="CK148" i="179"/>
  <c r="AO148" i="179"/>
  <c r="BM148" i="179"/>
  <c r="AU148" i="179"/>
  <c r="GC148" i="179"/>
  <c r="W148" i="179"/>
  <c r="CE148" i="179"/>
  <c r="BG148" i="179"/>
  <c r="AI148" i="179"/>
  <c r="BA148" i="179"/>
  <c r="CQ148" i="179"/>
  <c r="BS148" i="179"/>
  <c r="AC148" i="179"/>
  <c r="EY148" i="179"/>
  <c r="DU148" i="179"/>
  <c r="BG91" i="179"/>
  <c r="DU91" i="179"/>
  <c r="AC91" i="179"/>
  <c r="AU91" i="179"/>
  <c r="CQ91" i="179"/>
  <c r="BY91" i="179"/>
  <c r="AO91" i="179"/>
  <c r="EY91" i="179"/>
  <c r="W91" i="179"/>
  <c r="CK91" i="179"/>
  <c r="BS91" i="179"/>
  <c r="BA91" i="179"/>
  <c r="AI91" i="179"/>
  <c r="CE91" i="179"/>
  <c r="GC91" i="179"/>
  <c r="BM91" i="179"/>
  <c r="CR155" i="179"/>
  <c r="X155" i="179"/>
  <c r="AV155" i="179"/>
  <c r="BT155" i="179"/>
  <c r="DV155" i="179"/>
  <c r="BB155" i="179"/>
  <c r="CL155" i="179"/>
  <c r="AP155" i="179"/>
  <c r="AD155" i="179"/>
  <c r="CF155" i="179"/>
  <c r="BN155" i="179"/>
  <c r="GD155" i="179"/>
  <c r="BH155" i="179"/>
  <c r="EZ155" i="179"/>
  <c r="BZ155" i="179"/>
  <c r="AJ155" i="179"/>
  <c r="BD170" i="179"/>
  <c r="CT170" i="179"/>
  <c r="Z170" i="179"/>
  <c r="BJ170" i="179"/>
  <c r="DX170" i="179"/>
  <c r="AF170" i="179"/>
  <c r="BV170" i="179"/>
  <c r="CB170" i="179"/>
  <c r="GF170" i="179"/>
  <c r="CN170" i="179"/>
  <c r="AL170" i="179"/>
  <c r="AR170" i="179"/>
  <c r="FB170" i="179"/>
  <c r="BP170" i="179"/>
  <c r="CH170" i="179"/>
  <c r="AX170" i="179"/>
  <c r="DU120" i="179"/>
  <c r="AC120" i="179"/>
  <c r="BS120" i="179"/>
  <c r="GC120" i="179"/>
  <c r="AO120" i="179"/>
  <c r="CE120" i="179"/>
  <c r="BA120" i="179"/>
  <c r="EY120" i="179"/>
  <c r="AI120" i="179"/>
  <c r="BY120" i="179"/>
  <c r="W120" i="179"/>
  <c r="AU120" i="179"/>
  <c r="CQ120" i="179"/>
  <c r="BM120" i="179"/>
  <c r="CK120" i="179"/>
  <c r="BG120" i="179"/>
  <c r="FA162" i="179"/>
  <c r="AK162" i="179"/>
  <c r="CA162" i="179"/>
  <c r="GE162" i="179"/>
  <c r="AQ162" i="179"/>
  <c r="CG162" i="179"/>
  <c r="BC162" i="179"/>
  <c r="BI162" i="179"/>
  <c r="CM162" i="179"/>
  <c r="Y162" i="179"/>
  <c r="BO162" i="179"/>
  <c r="DW162" i="179"/>
  <c r="CS162" i="179"/>
  <c r="AW162" i="179"/>
  <c r="AE162" i="179"/>
  <c r="BU162" i="179"/>
  <c r="BP133" i="179"/>
  <c r="BV133" i="179"/>
  <c r="GF133" i="179"/>
  <c r="AR133" i="179"/>
  <c r="CH133" i="179"/>
  <c r="FB133" i="179"/>
  <c r="Z133" i="179"/>
  <c r="DX133" i="179"/>
  <c r="CB133" i="179"/>
  <c r="BJ133" i="179"/>
  <c r="CT133" i="179"/>
  <c r="AL133" i="179"/>
  <c r="AX133" i="179"/>
  <c r="AF133" i="179"/>
  <c r="CN133" i="179"/>
  <c r="BD133" i="179"/>
  <c r="BD100" i="179"/>
  <c r="CT100" i="179"/>
  <c r="Z100" i="179"/>
  <c r="BP100" i="179"/>
  <c r="FB100" i="179"/>
  <c r="AL100" i="179"/>
  <c r="CB100" i="179"/>
  <c r="AX100" i="179"/>
  <c r="CN100" i="179"/>
  <c r="BJ100" i="179"/>
  <c r="DX100" i="179"/>
  <c r="AF100" i="179"/>
  <c r="BV100" i="179"/>
  <c r="CH100" i="179"/>
  <c r="AR100" i="179"/>
  <c r="GF100" i="179"/>
  <c r="CA137" i="179"/>
  <c r="AW137" i="179"/>
  <c r="CG137" i="179"/>
  <c r="BC137" i="179"/>
  <c r="GE137" i="179"/>
  <c r="Y137" i="179"/>
  <c r="BO137" i="179"/>
  <c r="BI137" i="179"/>
  <c r="AK137" i="179"/>
  <c r="DW137" i="179"/>
  <c r="CS137" i="179"/>
  <c r="AE137" i="179"/>
  <c r="BU137" i="179"/>
  <c r="CM137" i="179"/>
  <c r="FA137" i="179"/>
  <c r="AQ137" i="179"/>
  <c r="DW118" i="179"/>
  <c r="AE118" i="179"/>
  <c r="BU118" i="179"/>
  <c r="GE118" i="179"/>
  <c r="CG118" i="179"/>
  <c r="BC118" i="179"/>
  <c r="FA118" i="179"/>
  <c r="AK118" i="179"/>
  <c r="CA118" i="179"/>
  <c r="AQ118" i="179"/>
  <c r="CS118" i="179"/>
  <c r="BO118" i="179"/>
  <c r="CM118" i="179"/>
  <c r="BI118" i="179"/>
  <c r="Y118" i="179"/>
  <c r="AW118" i="179"/>
  <c r="BP200" i="179"/>
  <c r="CB200" i="179"/>
  <c r="BD200" i="179"/>
  <c r="AL200" i="179"/>
  <c r="CT200" i="179"/>
  <c r="BJ200" i="179"/>
  <c r="AR200" i="179"/>
  <c r="Z200" i="179"/>
  <c r="CH200" i="179"/>
  <c r="GF200" i="179"/>
  <c r="AX200" i="179"/>
  <c r="AF200" i="179"/>
  <c r="BV200" i="179"/>
  <c r="DX200" i="179"/>
  <c r="CN200" i="179"/>
  <c r="FB200" i="179"/>
  <c r="DU108" i="179"/>
  <c r="AC108" i="179"/>
  <c r="AO108" i="179"/>
  <c r="BS108" i="179"/>
  <c r="W108" i="179"/>
  <c r="CE108" i="179"/>
  <c r="BA108" i="179"/>
  <c r="GC108" i="179"/>
  <c r="AI108" i="179"/>
  <c r="CQ108" i="179"/>
  <c r="BM108" i="179"/>
  <c r="BY108" i="179"/>
  <c r="AU108" i="179"/>
  <c r="EY108" i="179"/>
  <c r="BG108" i="179"/>
  <c r="CK108" i="179"/>
  <c r="EY60" i="179"/>
  <c r="AI60" i="179"/>
  <c r="BY60" i="179"/>
  <c r="AU60" i="179"/>
  <c r="CK60" i="179"/>
  <c r="BG60" i="179"/>
  <c r="DU60" i="179"/>
  <c r="AC60" i="179"/>
  <c r="BS60" i="179"/>
  <c r="AO60" i="179"/>
  <c r="GC60" i="179"/>
  <c r="CE60" i="179"/>
  <c r="BA60" i="179"/>
  <c r="BM60" i="179"/>
  <c r="CQ60" i="179"/>
  <c r="W60" i="179"/>
  <c r="BT140" i="179"/>
  <c r="GD140" i="179"/>
  <c r="BN140" i="179"/>
  <c r="AJ140" i="179"/>
  <c r="CL140" i="179"/>
  <c r="AP140" i="179"/>
  <c r="X140" i="179"/>
  <c r="EZ140" i="179"/>
  <c r="CF140" i="179"/>
  <c r="BH140" i="179"/>
  <c r="DV140" i="179"/>
  <c r="BZ140" i="179"/>
  <c r="BB140" i="179"/>
  <c r="AD140" i="179"/>
  <c r="CR140" i="179"/>
  <c r="AV140" i="179"/>
  <c r="DV52" i="179"/>
  <c r="AD52" i="179"/>
  <c r="BT52" i="179"/>
  <c r="GD52" i="179"/>
  <c r="AP52" i="179"/>
  <c r="CF52" i="179"/>
  <c r="BB52" i="179"/>
  <c r="CR52" i="179"/>
  <c r="X52" i="179"/>
  <c r="EZ52" i="179"/>
  <c r="AJ52" i="179"/>
  <c r="BZ52" i="179"/>
  <c r="BN52" i="179"/>
  <c r="BH52" i="179"/>
  <c r="CL52" i="179"/>
  <c r="AV52" i="179"/>
  <c r="GF130" i="179"/>
  <c r="AR130" i="179"/>
  <c r="AX130" i="179"/>
  <c r="CN130" i="179"/>
  <c r="BJ130" i="179"/>
  <c r="CT130" i="179"/>
  <c r="CB130" i="179"/>
  <c r="BD130" i="179"/>
  <c r="AL130" i="179"/>
  <c r="AF130" i="179"/>
  <c r="FB130" i="179"/>
  <c r="CH130" i="179"/>
  <c r="BV130" i="179"/>
  <c r="DX130" i="179"/>
  <c r="BP130" i="179"/>
  <c r="Z130" i="179"/>
  <c r="BC215" i="179"/>
  <c r="CS215" i="179"/>
  <c r="Y215" i="179"/>
  <c r="CM215" i="179"/>
  <c r="BI215" i="179"/>
  <c r="DW215" i="179"/>
  <c r="AE215" i="179"/>
  <c r="GE215" i="179"/>
  <c r="BO215" i="179"/>
  <c r="AW215" i="179"/>
  <c r="BU215" i="179"/>
  <c r="AQ215" i="179"/>
  <c r="CA215" i="179"/>
  <c r="AK215" i="179"/>
  <c r="CG215" i="179"/>
  <c r="FA215" i="179"/>
  <c r="CQ162" i="179"/>
  <c r="W162" i="179"/>
  <c r="BM162" i="179"/>
  <c r="DU162" i="179"/>
  <c r="AC162" i="179"/>
  <c r="BS162" i="179"/>
  <c r="GC162" i="179"/>
  <c r="AO162" i="179"/>
  <c r="AU162" i="179"/>
  <c r="CK162" i="179"/>
  <c r="CE162" i="179"/>
  <c r="BA162" i="179"/>
  <c r="AI162" i="179"/>
  <c r="BY162" i="179"/>
  <c r="EY162" i="179"/>
  <c r="BG162" i="179"/>
  <c r="CN70" i="179"/>
  <c r="CT70" i="179"/>
  <c r="Z70" i="179"/>
  <c r="BP70" i="179"/>
  <c r="BV70" i="179"/>
  <c r="BD70" i="179"/>
  <c r="FB70" i="179"/>
  <c r="AF70" i="179"/>
  <c r="AX70" i="179"/>
  <c r="DX70" i="179"/>
  <c r="CH70" i="179"/>
  <c r="BJ70" i="179"/>
  <c r="AR70" i="179"/>
  <c r="CB70" i="179"/>
  <c r="GF70" i="179"/>
  <c r="AL70" i="179"/>
  <c r="BI87" i="179"/>
  <c r="DW87" i="179"/>
  <c r="AE87" i="179"/>
  <c r="Y87" i="179"/>
  <c r="FA87" i="179"/>
  <c r="BU87" i="179"/>
  <c r="CM87" i="179"/>
  <c r="BC87" i="179"/>
  <c r="AK87" i="179"/>
  <c r="CG87" i="179"/>
  <c r="BO87" i="179"/>
  <c r="AW87" i="179"/>
  <c r="GE87" i="179"/>
  <c r="CS87" i="179"/>
  <c r="CA87" i="179"/>
  <c r="AQ87" i="179"/>
  <c r="BY71" i="179"/>
  <c r="CE71" i="179"/>
  <c r="BA71" i="179"/>
  <c r="AU71" i="179"/>
  <c r="AC71" i="179"/>
  <c r="DU71" i="179"/>
  <c r="BG71" i="179"/>
  <c r="W71" i="179"/>
  <c r="CQ71" i="179"/>
  <c r="AO71" i="179"/>
  <c r="GC71" i="179"/>
  <c r="BS71" i="179"/>
  <c r="AI71" i="179"/>
  <c r="CK71" i="179"/>
  <c r="EY71" i="179"/>
  <c r="BM71" i="179"/>
  <c r="CN82" i="179"/>
  <c r="BJ82" i="179"/>
  <c r="DX82" i="179"/>
  <c r="AF82" i="179"/>
  <c r="BV82" i="179"/>
  <c r="GF82" i="179"/>
  <c r="AR82" i="179"/>
  <c r="CH82" i="179"/>
  <c r="BD82" i="179"/>
  <c r="CT82" i="179"/>
  <c r="Z82" i="179"/>
  <c r="BP82" i="179"/>
  <c r="FB82" i="179"/>
  <c r="AL82" i="179"/>
  <c r="CB82" i="179"/>
  <c r="AX82" i="179"/>
  <c r="CL87" i="179"/>
  <c r="BH87" i="179"/>
  <c r="BZ87" i="179"/>
  <c r="AP87" i="179"/>
  <c r="X87" i="179"/>
  <c r="EZ87" i="179"/>
  <c r="BT87" i="179"/>
  <c r="BB87" i="179"/>
  <c r="AJ87" i="179"/>
  <c r="DV87" i="179"/>
  <c r="CF87" i="179"/>
  <c r="BN87" i="179"/>
  <c r="AD87" i="179"/>
  <c r="AV87" i="179"/>
  <c r="CR87" i="179"/>
  <c r="GD87" i="179"/>
  <c r="BD93" i="179"/>
  <c r="CT93" i="179"/>
  <c r="Z93" i="179"/>
  <c r="BP93" i="179"/>
  <c r="CB93" i="179"/>
  <c r="BJ93" i="179"/>
  <c r="AR93" i="179"/>
  <c r="AL93" i="179"/>
  <c r="GF93" i="179"/>
  <c r="FB93" i="179"/>
  <c r="CN93" i="179"/>
  <c r="BV93" i="179"/>
  <c r="AX93" i="179"/>
  <c r="AF93" i="179"/>
  <c r="DX93" i="179"/>
  <c r="CH93" i="179"/>
  <c r="AW164" i="179"/>
  <c r="CM164" i="179"/>
  <c r="BC164" i="179"/>
  <c r="CS164" i="179"/>
  <c r="Y164" i="179"/>
  <c r="BO164" i="179"/>
  <c r="AK164" i="179"/>
  <c r="GE164" i="179"/>
  <c r="FA164" i="179"/>
  <c r="BI164" i="179"/>
  <c r="DW164" i="179"/>
  <c r="BU164" i="179"/>
  <c r="CG164" i="179"/>
  <c r="CA164" i="179"/>
  <c r="AE164" i="179"/>
  <c r="AQ164" i="179"/>
  <c r="CE200" i="179"/>
  <c r="CQ200" i="179"/>
  <c r="W200" i="179"/>
  <c r="EY200" i="179"/>
  <c r="CK200" i="179"/>
  <c r="AC200" i="179"/>
  <c r="GC200" i="179"/>
  <c r="BY200" i="179"/>
  <c r="BA200" i="179"/>
  <c r="DU200" i="179"/>
  <c r="AO200" i="179"/>
  <c r="AI200" i="179"/>
  <c r="BM200" i="179"/>
  <c r="AU200" i="179"/>
  <c r="BG200" i="179"/>
  <c r="BS200" i="179"/>
  <c r="BH73" i="179"/>
  <c r="DV73" i="179"/>
  <c r="AD73" i="179"/>
  <c r="BT73" i="179"/>
  <c r="GD73" i="179"/>
  <c r="AP73" i="179"/>
  <c r="BB73" i="179"/>
  <c r="CR73" i="179"/>
  <c r="BN73" i="179"/>
  <c r="EZ73" i="179"/>
  <c r="AJ73" i="179"/>
  <c r="CL73" i="179"/>
  <c r="AV73" i="179"/>
  <c r="CF73" i="179"/>
  <c r="BZ73" i="179"/>
  <c r="X73" i="179"/>
  <c r="BU107" i="179"/>
  <c r="AW107" i="179"/>
  <c r="CA107" i="179"/>
  <c r="FA107" i="179"/>
  <c r="AE107" i="179"/>
  <c r="BI107" i="179"/>
  <c r="CM107" i="179"/>
  <c r="AQ107" i="179"/>
  <c r="DW107" i="179"/>
  <c r="BC107" i="179"/>
  <c r="Y107" i="179"/>
  <c r="CG107" i="179"/>
  <c r="GE107" i="179"/>
  <c r="AK107" i="179"/>
  <c r="BO107" i="179"/>
  <c r="CS107" i="179"/>
  <c r="CH94" i="179"/>
  <c r="CT94" i="179"/>
  <c r="Z94" i="179"/>
  <c r="BP94" i="179"/>
  <c r="FB94" i="179"/>
  <c r="AL94" i="179"/>
  <c r="DX94" i="179"/>
  <c r="CB94" i="179"/>
  <c r="BD94" i="179"/>
  <c r="AF94" i="179"/>
  <c r="BV94" i="179"/>
  <c r="AX94" i="179"/>
  <c r="GF94" i="179"/>
  <c r="CN94" i="179"/>
  <c r="BJ94" i="179"/>
  <c r="AR94" i="179"/>
  <c r="CH49" i="179"/>
  <c r="BP49" i="179"/>
  <c r="FB49" i="179"/>
  <c r="AL49" i="179"/>
  <c r="BD49" i="179"/>
  <c r="CT49" i="179"/>
  <c r="BV49" i="179"/>
  <c r="GF49" i="179"/>
  <c r="CN49" i="179"/>
  <c r="AX49" i="179"/>
  <c r="AF49" i="179"/>
  <c r="CB49" i="179"/>
  <c r="DX49" i="179"/>
  <c r="BJ49" i="179"/>
  <c r="AR49" i="179"/>
  <c r="Z49" i="179"/>
  <c r="BY165" i="179"/>
  <c r="AU165" i="179"/>
  <c r="CE165" i="179"/>
  <c r="BA165" i="179"/>
  <c r="CQ165" i="179"/>
  <c r="W165" i="179"/>
  <c r="GC165" i="179"/>
  <c r="BG165" i="179"/>
  <c r="AI165" i="179"/>
  <c r="EY165" i="179"/>
  <c r="CK165" i="179"/>
  <c r="AO165" i="179"/>
  <c r="BS165" i="179"/>
  <c r="AC165" i="179"/>
  <c r="DU165" i="179"/>
  <c r="BM165" i="179"/>
  <c r="BJ116" i="179"/>
  <c r="DX116" i="179"/>
  <c r="BP116" i="179"/>
  <c r="CB116" i="179"/>
  <c r="AR116" i="179"/>
  <c r="GF116" i="179"/>
  <c r="CT116" i="179"/>
  <c r="Z116" i="179"/>
  <c r="BV116" i="179"/>
  <c r="BD116" i="179"/>
  <c r="FB116" i="179"/>
  <c r="CN116" i="179"/>
  <c r="AL116" i="179"/>
  <c r="CH116" i="179"/>
  <c r="AX116" i="179"/>
  <c r="AF116" i="179"/>
  <c r="BT63" i="179"/>
  <c r="BZ63" i="179"/>
  <c r="AV63" i="179"/>
  <c r="DV63" i="179"/>
  <c r="AP63" i="179"/>
  <c r="X63" i="179"/>
  <c r="BH63" i="179"/>
  <c r="GD63" i="179"/>
  <c r="CR63" i="179"/>
  <c r="BB63" i="179"/>
  <c r="AJ63" i="179"/>
  <c r="CL63" i="179"/>
  <c r="EZ63" i="179"/>
  <c r="AD63" i="179"/>
  <c r="BN63" i="179"/>
  <c r="CF63" i="179"/>
  <c r="FB180" i="179"/>
  <c r="AL180" i="179"/>
  <c r="CB180" i="179"/>
  <c r="GF180" i="179"/>
  <c r="AR180" i="179"/>
  <c r="CH180" i="179"/>
  <c r="CN180" i="179"/>
  <c r="BV180" i="179"/>
  <c r="AF180" i="179"/>
  <c r="BJ180" i="179"/>
  <c r="CT180" i="179"/>
  <c r="BD180" i="179"/>
  <c r="Z180" i="179"/>
  <c r="AX180" i="179"/>
  <c r="DX180" i="179"/>
  <c r="BP180" i="179"/>
  <c r="BC122" i="179"/>
  <c r="CS122" i="179"/>
  <c r="Y122" i="179"/>
  <c r="BO122" i="179"/>
  <c r="FA122" i="179"/>
  <c r="AK122" i="179"/>
  <c r="CA122" i="179"/>
  <c r="AW122" i="179"/>
  <c r="CM122" i="179"/>
  <c r="BI122" i="179"/>
  <c r="DW122" i="179"/>
  <c r="AE122" i="179"/>
  <c r="CG122" i="179"/>
  <c r="BU122" i="179"/>
  <c r="GE122" i="179"/>
  <c r="AQ122" i="179"/>
  <c r="CB58" i="179"/>
  <c r="AX58" i="179"/>
  <c r="CN58" i="179"/>
  <c r="BJ58" i="179"/>
  <c r="DX58" i="179"/>
  <c r="AF58" i="179"/>
  <c r="BV58" i="179"/>
  <c r="GF58" i="179"/>
  <c r="AR58" i="179"/>
  <c r="CH58" i="179"/>
  <c r="BD58" i="179"/>
  <c r="CT58" i="179"/>
  <c r="Z58" i="179"/>
  <c r="AL58" i="179"/>
  <c r="FB58" i="179"/>
  <c r="BP58" i="179"/>
  <c r="BZ126" i="179"/>
  <c r="CF126" i="179"/>
  <c r="BB126" i="179"/>
  <c r="EZ126" i="179"/>
  <c r="BN126" i="179"/>
  <c r="X126" i="179"/>
  <c r="DV126" i="179"/>
  <c r="BH126" i="179"/>
  <c r="AP126" i="179"/>
  <c r="CR126" i="179"/>
  <c r="AJ126" i="179"/>
  <c r="GD126" i="179"/>
  <c r="CL126" i="179"/>
  <c r="BT126" i="179"/>
  <c r="AV126" i="179"/>
  <c r="AD126" i="179"/>
  <c r="BB197" i="179"/>
  <c r="CR197" i="179"/>
  <c r="X197" i="179"/>
  <c r="BH197" i="179"/>
  <c r="DV197" i="179"/>
  <c r="AD197" i="179"/>
  <c r="BT197" i="179"/>
  <c r="AV197" i="179"/>
  <c r="EZ197" i="179"/>
  <c r="CF197" i="179"/>
  <c r="AJ197" i="179"/>
  <c r="BN197" i="179"/>
  <c r="AP197" i="179"/>
  <c r="BZ197" i="179"/>
  <c r="CL197" i="179"/>
  <c r="GD197" i="179"/>
  <c r="BV97" i="179"/>
  <c r="GF97" i="179"/>
  <c r="AR97" i="179"/>
  <c r="CH97" i="179"/>
  <c r="BD97" i="179"/>
  <c r="CT97" i="179"/>
  <c r="Z97" i="179"/>
  <c r="BP97" i="179"/>
  <c r="FB97" i="179"/>
  <c r="AL97" i="179"/>
  <c r="CB97" i="179"/>
  <c r="AX97" i="179"/>
  <c r="CN97" i="179"/>
  <c r="DX97" i="179"/>
  <c r="BJ97" i="179"/>
  <c r="AF97" i="179"/>
  <c r="BG168" i="179"/>
  <c r="DU168" i="179"/>
  <c r="AC168" i="179"/>
  <c r="BM168" i="179"/>
  <c r="EY168" i="179"/>
  <c r="AI168" i="179"/>
  <c r="BY168" i="179"/>
  <c r="AO168" i="179"/>
  <c r="GC168" i="179"/>
  <c r="CK168" i="179"/>
  <c r="BA168" i="179"/>
  <c r="BS168" i="179"/>
  <c r="W168" i="179"/>
  <c r="CQ168" i="179"/>
  <c r="CE168" i="179"/>
  <c r="AU168" i="179"/>
  <c r="AX69" i="179"/>
  <c r="BD69" i="179"/>
  <c r="CT69" i="179"/>
  <c r="Z69" i="179"/>
  <c r="BJ69" i="179"/>
  <c r="AR69" i="179"/>
  <c r="CB69" i="179"/>
  <c r="GF69" i="179"/>
  <c r="AL69" i="179"/>
  <c r="CN69" i="179"/>
  <c r="BV69" i="179"/>
  <c r="FB69" i="179"/>
  <c r="AF69" i="179"/>
  <c r="BP69" i="179"/>
  <c r="DX69" i="179"/>
  <c r="CH69" i="179"/>
  <c r="DV139" i="179"/>
  <c r="AD139" i="179"/>
  <c r="EZ139" i="179"/>
  <c r="GD139" i="179"/>
  <c r="AJ139" i="179"/>
  <c r="CR139" i="179"/>
  <c r="BN139" i="179"/>
  <c r="CF139" i="179"/>
  <c r="BH139" i="179"/>
  <c r="BB139" i="179"/>
  <c r="BT139" i="179"/>
  <c r="AV139" i="179"/>
  <c r="CL139" i="179"/>
  <c r="AP139" i="179"/>
  <c r="BZ139" i="179"/>
  <c r="X139" i="179"/>
  <c r="DW211" i="179"/>
  <c r="AE211" i="179"/>
  <c r="BU211" i="179"/>
  <c r="BO211" i="179"/>
  <c r="FA211" i="179"/>
  <c r="AK211" i="179"/>
  <c r="BC211" i="179"/>
  <c r="AQ211" i="179"/>
  <c r="Y211" i="179"/>
  <c r="CA211" i="179"/>
  <c r="BI211" i="179"/>
  <c r="GE211" i="179"/>
  <c r="CM211" i="179"/>
  <c r="AW211" i="179"/>
  <c r="CS211" i="179"/>
  <c r="CG211" i="179"/>
  <c r="EY106" i="179"/>
  <c r="AI106" i="179"/>
  <c r="BY106" i="179"/>
  <c r="AU106" i="179"/>
  <c r="CK106" i="179"/>
  <c r="BG106" i="179"/>
  <c r="DU106" i="179"/>
  <c r="AC106" i="179"/>
  <c r="BS106" i="179"/>
  <c r="GC106" i="179"/>
  <c r="AO106" i="179"/>
  <c r="CE106" i="179"/>
  <c r="BA106" i="179"/>
  <c r="CQ106" i="179"/>
  <c r="W106" i="179"/>
  <c r="BM106" i="179"/>
  <c r="BY177" i="179"/>
  <c r="AU177" i="179"/>
  <c r="CE177" i="179"/>
  <c r="DU177" i="179"/>
  <c r="AI177" i="179"/>
  <c r="CK177" i="179"/>
  <c r="BM177" i="179"/>
  <c r="AO177" i="179"/>
  <c r="BG177" i="179"/>
  <c r="W177" i="179"/>
  <c r="BS177" i="179"/>
  <c r="BA177" i="179"/>
  <c r="EY177" i="179"/>
  <c r="AC177" i="179"/>
  <c r="CQ177" i="179"/>
  <c r="GC177" i="179"/>
  <c r="CK73" i="179"/>
  <c r="BG73" i="179"/>
  <c r="DU73" i="179"/>
  <c r="AC73" i="179"/>
  <c r="BS73" i="179"/>
  <c r="GC73" i="179"/>
  <c r="CE73" i="179"/>
  <c r="CQ73" i="179"/>
  <c r="W73" i="179"/>
  <c r="BM73" i="179"/>
  <c r="AU73" i="179"/>
  <c r="AO73" i="179"/>
  <c r="BY73" i="179"/>
  <c r="AI73" i="179"/>
  <c r="EY73" i="179"/>
  <c r="BA73" i="179"/>
  <c r="CR143" i="179"/>
  <c r="X143" i="179"/>
  <c r="DV143" i="179"/>
  <c r="AD143" i="179"/>
  <c r="BB143" i="179"/>
  <c r="AJ143" i="179"/>
  <c r="AV143" i="179"/>
  <c r="BZ143" i="179"/>
  <c r="BH143" i="179"/>
  <c r="AP143" i="179"/>
  <c r="BN143" i="179"/>
  <c r="CL143" i="179"/>
  <c r="CF143" i="179"/>
  <c r="GD143" i="179"/>
  <c r="EZ143" i="179"/>
  <c r="BT143" i="179"/>
  <c r="GC215" i="179"/>
  <c r="AO215" i="179"/>
  <c r="CE215" i="179"/>
  <c r="BY215" i="179"/>
  <c r="AU215" i="179"/>
  <c r="CK215" i="179"/>
  <c r="EY215" i="179"/>
  <c r="BG215" i="179"/>
  <c r="BS215" i="179"/>
  <c r="W215" i="179"/>
  <c r="AI215" i="179"/>
  <c r="DU215" i="179"/>
  <c r="BA215" i="179"/>
  <c r="CQ215" i="179"/>
  <c r="AC215" i="179"/>
  <c r="BM215" i="179"/>
  <c r="BM81" i="179"/>
  <c r="EY81" i="179"/>
  <c r="AI81" i="179"/>
  <c r="BY81" i="179"/>
  <c r="AU81" i="179"/>
  <c r="CK81" i="179"/>
  <c r="BG81" i="179"/>
  <c r="DU81" i="179"/>
  <c r="AC81" i="179"/>
  <c r="BS81" i="179"/>
  <c r="GC81" i="179"/>
  <c r="AO81" i="179"/>
  <c r="CE81" i="179"/>
  <c r="BA81" i="179"/>
  <c r="CQ81" i="179"/>
  <c r="W81" i="179"/>
  <c r="BD121" i="179"/>
  <c r="CT121" i="179"/>
  <c r="Z121" i="179"/>
  <c r="BP121" i="179"/>
  <c r="FB121" i="179"/>
  <c r="AL121" i="179"/>
  <c r="CB121" i="179"/>
  <c r="CN121" i="179"/>
  <c r="BJ121" i="179"/>
  <c r="DX121" i="179"/>
  <c r="AF121" i="179"/>
  <c r="AR121" i="179"/>
  <c r="CH121" i="179"/>
  <c r="BV121" i="179"/>
  <c r="GF121" i="179"/>
  <c r="AX121" i="179"/>
  <c r="EZ163" i="179"/>
  <c r="AJ163" i="179"/>
  <c r="BZ163" i="179"/>
  <c r="GD163" i="179"/>
  <c r="AP163" i="179"/>
  <c r="CF163" i="179"/>
  <c r="BB163" i="179"/>
  <c r="BT163" i="179"/>
  <c r="AD163" i="179"/>
  <c r="X163" i="179"/>
  <c r="BH163" i="179"/>
  <c r="CL163" i="179"/>
  <c r="AV163" i="179"/>
  <c r="BN163" i="179"/>
  <c r="DV163" i="179"/>
  <c r="CR163" i="179"/>
  <c r="BP205" i="179"/>
  <c r="BV205" i="179"/>
  <c r="DX205" i="179"/>
  <c r="CH205" i="179"/>
  <c r="Z205" i="179"/>
  <c r="FB205" i="179"/>
  <c r="CN205" i="179"/>
  <c r="BD205" i="179"/>
  <c r="AF205" i="179"/>
  <c r="CT205" i="179"/>
  <c r="AR205" i="179"/>
  <c r="AL205" i="179"/>
  <c r="BJ205" i="179"/>
  <c r="CB205" i="179"/>
  <c r="AX205" i="179"/>
  <c r="GF205" i="179"/>
  <c r="AU72" i="179"/>
  <c r="CK72" i="179"/>
  <c r="DU72" i="179"/>
  <c r="AC72" i="179"/>
  <c r="GC72" i="179"/>
  <c r="AO72" i="179"/>
  <c r="BA72" i="179"/>
  <c r="CQ72" i="179"/>
  <c r="W72" i="179"/>
  <c r="CE72" i="179"/>
  <c r="BY72" i="179"/>
  <c r="EY72" i="179"/>
  <c r="BS72" i="179"/>
  <c r="BM72" i="179"/>
  <c r="AI72" i="179"/>
  <c r="BG72" i="179"/>
  <c r="BA112" i="179"/>
  <c r="BM112" i="179"/>
  <c r="CQ112" i="179"/>
  <c r="AU112" i="179"/>
  <c r="EY112" i="179"/>
  <c r="BY112" i="179"/>
  <c r="AC112" i="179"/>
  <c r="BG112" i="179"/>
  <c r="CK112" i="179"/>
  <c r="AO112" i="179"/>
  <c r="DU112" i="179"/>
  <c r="BS112" i="179"/>
  <c r="W112" i="179"/>
  <c r="GC112" i="179"/>
  <c r="CE112" i="179"/>
  <c r="AI112" i="179"/>
  <c r="GC153" i="179"/>
  <c r="AO153" i="179"/>
  <c r="AI153" i="179"/>
  <c r="BG153" i="179"/>
  <c r="CK153" i="179"/>
  <c r="DU153" i="179"/>
  <c r="AC153" i="179"/>
  <c r="AU153" i="179"/>
  <c r="BM153" i="179"/>
  <c r="EY153" i="179"/>
  <c r="CQ153" i="179"/>
  <c r="BY153" i="179"/>
  <c r="BS153" i="179"/>
  <c r="BA153" i="179"/>
  <c r="W153" i="179"/>
  <c r="CE153" i="179"/>
  <c r="BS195" i="179"/>
  <c r="GC195" i="179"/>
  <c r="AO195" i="179"/>
  <c r="BY195" i="179"/>
  <c r="AU195" i="179"/>
  <c r="CK195" i="179"/>
  <c r="CE195" i="179"/>
  <c r="BG195" i="179"/>
  <c r="AI195" i="179"/>
  <c r="CQ195" i="179"/>
  <c r="W195" i="179"/>
  <c r="DU195" i="179"/>
  <c r="BM195" i="179"/>
  <c r="AC195" i="179"/>
  <c r="EY195" i="179"/>
  <c r="BA195" i="179"/>
  <c r="DU63" i="179"/>
  <c r="AC63" i="179"/>
  <c r="EY63" i="179"/>
  <c r="AI63" i="179"/>
  <c r="BY63" i="179"/>
  <c r="CE63" i="179"/>
  <c r="BM63" i="179"/>
  <c r="AO63" i="179"/>
  <c r="W63" i="179"/>
  <c r="BG63" i="179"/>
  <c r="GC63" i="179"/>
  <c r="CQ63" i="179"/>
  <c r="BS63" i="179"/>
  <c r="BA63" i="179"/>
  <c r="CK63" i="179"/>
  <c r="AU63" i="179"/>
  <c r="CT101" i="179"/>
  <c r="Z101" i="179"/>
  <c r="BP101" i="179"/>
  <c r="FB101" i="179"/>
  <c r="AL101" i="179"/>
  <c r="CB101" i="179"/>
  <c r="AX101" i="179"/>
  <c r="CN101" i="179"/>
  <c r="BJ101" i="179"/>
  <c r="DX101" i="179"/>
  <c r="AF101" i="179"/>
  <c r="BV101" i="179"/>
  <c r="GF101" i="179"/>
  <c r="AR101" i="179"/>
  <c r="BD101" i="179"/>
  <c r="CH101" i="179"/>
  <c r="CQ144" i="179"/>
  <c r="W144" i="179"/>
  <c r="DU144" i="179"/>
  <c r="AC144" i="179"/>
  <c r="BA144" i="179"/>
  <c r="AU144" i="179"/>
  <c r="GC144" i="179"/>
  <c r="BY144" i="179"/>
  <c r="BG144" i="179"/>
  <c r="AO144" i="179"/>
  <c r="AI144" i="179"/>
  <c r="BM144" i="179"/>
  <c r="CK144" i="179"/>
  <c r="EY144" i="179"/>
  <c r="CE144" i="179"/>
  <c r="BS144" i="179"/>
  <c r="CR186" i="179"/>
  <c r="X186" i="179"/>
  <c r="BN186" i="179"/>
  <c r="DV186" i="179"/>
  <c r="AD186" i="179"/>
  <c r="BT186" i="179"/>
  <c r="CL186" i="179"/>
  <c r="BH186" i="179"/>
  <c r="AJ186" i="179"/>
  <c r="BZ186" i="179"/>
  <c r="EZ186" i="179"/>
  <c r="AV186" i="179"/>
  <c r="AP186" i="179"/>
  <c r="BB186" i="179"/>
  <c r="GD186" i="179"/>
  <c r="CF186" i="179"/>
  <c r="CF55" i="179"/>
  <c r="BB55" i="179"/>
  <c r="CR55" i="179"/>
  <c r="X55" i="179"/>
  <c r="BN55" i="179"/>
  <c r="EZ55" i="179"/>
  <c r="AJ55" i="179"/>
  <c r="BZ55" i="179"/>
  <c r="AV55" i="179"/>
  <c r="CL55" i="179"/>
  <c r="BH55" i="179"/>
  <c r="DV55" i="179"/>
  <c r="AD55" i="179"/>
  <c r="AP55" i="179"/>
  <c r="BT55" i="179"/>
  <c r="GD55" i="179"/>
  <c r="DU94" i="179"/>
  <c r="AC94" i="179"/>
  <c r="GC94" i="179"/>
  <c r="AO94" i="179"/>
  <c r="CE94" i="179"/>
  <c r="BA94" i="179"/>
  <c r="BG94" i="179"/>
  <c r="AI94" i="179"/>
  <c r="BY94" i="179"/>
  <c r="CQ94" i="179"/>
  <c r="BS94" i="179"/>
  <c r="AU94" i="179"/>
  <c r="W94" i="179"/>
  <c r="CK94" i="179"/>
  <c r="BM94" i="179"/>
  <c r="EY94" i="179"/>
  <c r="FB134" i="179"/>
  <c r="AL134" i="179"/>
  <c r="GF134" i="179"/>
  <c r="AR134" i="179"/>
  <c r="CH134" i="179"/>
  <c r="BD134" i="179"/>
  <c r="AX134" i="179"/>
  <c r="AF134" i="179"/>
  <c r="BP134" i="179"/>
  <c r="DX134" i="179"/>
  <c r="CB134" i="179"/>
  <c r="CT134" i="179"/>
  <c r="BJ134" i="179"/>
  <c r="Z134" i="179"/>
  <c r="CN134" i="179"/>
  <c r="BV134" i="179"/>
  <c r="AX174" i="179"/>
  <c r="AR174" i="179"/>
  <c r="Z174" i="179"/>
  <c r="DX174" i="179"/>
  <c r="CT174" i="179"/>
  <c r="BJ174" i="179"/>
  <c r="CB174" i="179"/>
  <c r="FB174" i="179"/>
  <c r="CH174" i="179"/>
  <c r="AL174" i="179"/>
  <c r="BV174" i="179"/>
  <c r="CN174" i="179"/>
  <c r="BD174" i="179"/>
  <c r="BP174" i="179"/>
  <c r="GF174" i="179"/>
  <c r="AF174" i="179"/>
  <c r="GE46" i="179"/>
  <c r="AQ46" i="179"/>
  <c r="CG46" i="179"/>
  <c r="DW46" i="179"/>
  <c r="BO46" i="179"/>
  <c r="AW46" i="179"/>
  <c r="AE46" i="179"/>
  <c r="CS46" i="179"/>
  <c r="AK46" i="179"/>
  <c r="CA46" i="179"/>
  <c r="BI46" i="179"/>
  <c r="Y46" i="179"/>
  <c r="CM46" i="179"/>
  <c r="BC46" i="179"/>
  <c r="BU46" i="179"/>
  <c r="FA46" i="179"/>
  <c r="BJ83" i="179"/>
  <c r="DX83" i="179"/>
  <c r="AF83" i="179"/>
  <c r="BV83" i="179"/>
  <c r="GF83" i="179"/>
  <c r="AR83" i="179"/>
  <c r="CH83" i="179"/>
  <c r="BD83" i="179"/>
  <c r="CT83" i="179"/>
  <c r="Z83" i="179"/>
  <c r="BP83" i="179"/>
  <c r="FB83" i="179"/>
  <c r="AL83" i="179"/>
  <c r="CB83" i="179"/>
  <c r="AX83" i="179"/>
  <c r="CN83" i="179"/>
  <c r="BP123" i="179"/>
  <c r="FB123" i="179"/>
  <c r="AL123" i="179"/>
  <c r="CB123" i="179"/>
  <c r="AX123" i="179"/>
  <c r="CN123" i="179"/>
  <c r="BJ123" i="179"/>
  <c r="DX123" i="179"/>
  <c r="AF123" i="179"/>
  <c r="BV123" i="179"/>
  <c r="GF123" i="179"/>
  <c r="AR123" i="179"/>
  <c r="CH123" i="179"/>
  <c r="Z123" i="179"/>
  <c r="CT123" i="179"/>
  <c r="BD123" i="179"/>
  <c r="CM165" i="179"/>
  <c r="BI165" i="179"/>
  <c r="CS165" i="179"/>
  <c r="Y165" i="179"/>
  <c r="BO165" i="179"/>
  <c r="FA165" i="179"/>
  <c r="AK165" i="179"/>
  <c r="BU165" i="179"/>
  <c r="AW165" i="179"/>
  <c r="CG165" i="179"/>
  <c r="AE165" i="179"/>
  <c r="BC165" i="179"/>
  <c r="AQ165" i="179"/>
  <c r="DW165" i="179"/>
  <c r="GE165" i="179"/>
  <c r="CA165" i="179"/>
  <c r="BM208" i="179"/>
  <c r="BS208" i="179"/>
  <c r="GC208" i="179"/>
  <c r="AO208" i="179"/>
  <c r="CE208" i="179"/>
  <c r="W208" i="179"/>
  <c r="CK208" i="179"/>
  <c r="AC208" i="179"/>
  <c r="CQ208" i="179"/>
  <c r="AU208" i="179"/>
  <c r="DU208" i="179"/>
  <c r="BA208" i="179"/>
  <c r="AI208" i="179"/>
  <c r="EY208" i="179"/>
  <c r="BY208" i="179"/>
  <c r="BG208" i="179"/>
  <c r="CR172" i="179"/>
  <c r="BT172" i="179"/>
  <c r="BB172" i="179"/>
  <c r="X172" i="179"/>
  <c r="BZ172" i="179"/>
  <c r="AD172" i="179"/>
  <c r="BH172" i="179"/>
  <c r="AV172" i="179"/>
  <c r="AP172" i="179"/>
  <c r="CF172" i="179"/>
  <c r="GD172" i="179"/>
  <c r="CL172" i="179"/>
  <c r="BN172" i="179"/>
  <c r="EZ172" i="179"/>
  <c r="DV172" i="179"/>
  <c r="AJ172" i="179"/>
  <c r="EZ152" i="179"/>
  <c r="AJ152" i="179"/>
  <c r="BT152" i="179"/>
  <c r="GD152" i="179"/>
  <c r="AP152" i="179"/>
  <c r="DV152" i="179"/>
  <c r="X152" i="179"/>
  <c r="CR152" i="179"/>
  <c r="BB152" i="179"/>
  <c r="CL152" i="179"/>
  <c r="AD152" i="179"/>
  <c r="BH152" i="179"/>
  <c r="AV152" i="179"/>
  <c r="CF152" i="179"/>
  <c r="BZ152" i="179"/>
  <c r="BN152" i="179"/>
  <c r="DU92" i="179"/>
  <c r="AC92" i="179"/>
  <c r="BS92" i="179"/>
  <c r="BY92" i="179"/>
  <c r="BG92" i="179"/>
  <c r="AO92" i="179"/>
  <c r="EY92" i="179"/>
  <c r="W92" i="179"/>
  <c r="CK92" i="179"/>
  <c r="BA92" i="179"/>
  <c r="CE92" i="179"/>
  <c r="AI92" i="179"/>
  <c r="BM92" i="179"/>
  <c r="GC92" i="179"/>
  <c r="CQ92" i="179"/>
  <c r="AU92" i="179"/>
  <c r="BC55" i="179"/>
  <c r="CS55" i="179"/>
  <c r="Y55" i="179"/>
  <c r="BO55" i="179"/>
  <c r="FA55" i="179"/>
  <c r="AK55" i="179"/>
  <c r="CA55" i="179"/>
  <c r="AW55" i="179"/>
  <c r="CM55" i="179"/>
  <c r="BI55" i="179"/>
  <c r="DW55" i="179"/>
  <c r="AE55" i="179"/>
  <c r="BU55" i="179"/>
  <c r="AQ55" i="179"/>
  <c r="GE55" i="179"/>
  <c r="CG55" i="179"/>
  <c r="FB60" i="179"/>
  <c r="CN60" i="179"/>
  <c r="BJ60" i="179"/>
  <c r="DX60" i="179"/>
  <c r="AF60" i="179"/>
  <c r="BV60" i="179"/>
  <c r="AR60" i="179"/>
  <c r="GF60" i="179"/>
  <c r="CH60" i="179"/>
  <c r="BD60" i="179"/>
  <c r="CT60" i="179"/>
  <c r="Z60" i="179"/>
  <c r="BP60" i="179"/>
  <c r="AL60" i="179"/>
  <c r="CB60" i="179"/>
  <c r="AX60" i="179"/>
  <c r="DU53" i="179"/>
  <c r="AC53" i="179"/>
  <c r="BS53" i="179"/>
  <c r="GC53" i="179"/>
  <c r="AO53" i="179"/>
  <c r="CE53" i="179"/>
  <c r="BA53" i="179"/>
  <c r="CQ53" i="179"/>
  <c r="W53" i="179"/>
  <c r="EY53" i="179"/>
  <c r="AI53" i="179"/>
  <c r="BY53" i="179"/>
  <c r="BG53" i="179"/>
  <c r="AU53" i="179"/>
  <c r="CK53" i="179"/>
  <c r="BM53" i="179"/>
  <c r="CQ68" i="179"/>
  <c r="W68" i="179"/>
  <c r="DU68" i="179"/>
  <c r="AC68" i="179"/>
  <c r="BS68" i="179"/>
  <c r="EY68" i="179"/>
  <c r="CK68" i="179"/>
  <c r="BM68" i="179"/>
  <c r="AU68" i="179"/>
  <c r="CE68" i="179"/>
  <c r="AO68" i="179"/>
  <c r="BY68" i="179"/>
  <c r="BG68" i="179"/>
  <c r="GC68" i="179"/>
  <c r="AI68" i="179"/>
  <c r="BA68" i="179"/>
  <c r="BZ60" i="179"/>
  <c r="AV60" i="179"/>
  <c r="CL60" i="179"/>
  <c r="BH60" i="179"/>
  <c r="DV60" i="179"/>
  <c r="AD60" i="179"/>
  <c r="BT60" i="179"/>
  <c r="AP60" i="179"/>
  <c r="GD60" i="179"/>
  <c r="CF60" i="179"/>
  <c r="BB60" i="179"/>
  <c r="CR60" i="179"/>
  <c r="X60" i="179"/>
  <c r="BN60" i="179"/>
  <c r="EZ60" i="179"/>
  <c r="AJ60" i="179"/>
  <c r="FB206" i="179"/>
  <c r="AL206" i="179"/>
  <c r="GF206" i="179"/>
  <c r="AR206" i="179"/>
  <c r="BJ206" i="179"/>
  <c r="Z206" i="179"/>
  <c r="BP206" i="179"/>
  <c r="CT206" i="179"/>
  <c r="AX206" i="179"/>
  <c r="CB206" i="179"/>
  <c r="DX206" i="179"/>
  <c r="BD206" i="179"/>
  <c r="BV206" i="179"/>
  <c r="AF206" i="179"/>
  <c r="CN206" i="179"/>
  <c r="CH206" i="179"/>
  <c r="BD54" i="179"/>
  <c r="CT54" i="179"/>
  <c r="Z54" i="179"/>
  <c r="BP54" i="179"/>
  <c r="FB54" i="179"/>
  <c r="AL54" i="179"/>
  <c r="CB54" i="179"/>
  <c r="AX54" i="179"/>
  <c r="CN54" i="179"/>
  <c r="BJ54" i="179"/>
  <c r="DX54" i="179"/>
  <c r="AF54" i="179"/>
  <c r="BV54" i="179"/>
  <c r="CH54" i="179"/>
  <c r="AR54" i="179"/>
  <c r="GF54" i="179"/>
  <c r="BT53" i="179"/>
  <c r="GD53" i="179"/>
  <c r="AP53" i="179"/>
  <c r="CF53" i="179"/>
  <c r="BB53" i="179"/>
  <c r="CR53" i="179"/>
  <c r="X53" i="179"/>
  <c r="BN53" i="179"/>
  <c r="EZ53" i="179"/>
  <c r="BZ53" i="179"/>
  <c r="AV53" i="179"/>
  <c r="CL53" i="179"/>
  <c r="BH53" i="179"/>
  <c r="DV53" i="179"/>
  <c r="AJ53" i="179"/>
  <c r="AD53" i="179"/>
  <c r="BS93" i="179"/>
  <c r="GC93" i="179"/>
  <c r="AO93" i="179"/>
  <c r="CE93" i="179"/>
  <c r="DU93" i="179"/>
  <c r="W93" i="179"/>
  <c r="CQ93" i="179"/>
  <c r="BY93" i="179"/>
  <c r="BG93" i="179"/>
  <c r="BA93" i="179"/>
  <c r="AI93" i="179"/>
  <c r="EY93" i="179"/>
  <c r="CK93" i="179"/>
  <c r="BM93" i="179"/>
  <c r="AU93" i="179"/>
  <c r="AC93" i="179"/>
  <c r="BB205" i="179"/>
  <c r="BH205" i="179"/>
  <c r="BZ205" i="179"/>
  <c r="AP205" i="179"/>
  <c r="X205" i="179"/>
  <c r="CF205" i="179"/>
  <c r="GD205" i="179"/>
  <c r="AD205" i="179"/>
  <c r="CR205" i="179"/>
  <c r="BN205" i="179"/>
  <c r="EZ205" i="179"/>
  <c r="AJ205" i="179"/>
  <c r="DV205" i="179"/>
  <c r="AV205" i="179"/>
  <c r="CL205" i="179"/>
  <c r="BT205" i="179"/>
  <c r="FB67" i="179"/>
  <c r="AL67" i="179"/>
  <c r="GF67" i="179"/>
  <c r="AR67" i="179"/>
  <c r="CH67" i="179"/>
  <c r="CN67" i="179"/>
  <c r="BV67" i="179"/>
  <c r="AX67" i="179"/>
  <c r="AF67" i="179"/>
  <c r="BP67" i="179"/>
  <c r="DX67" i="179"/>
  <c r="Z67" i="179"/>
  <c r="CB67" i="179"/>
  <c r="BJ67" i="179"/>
  <c r="CT67" i="179"/>
  <c r="BD67" i="179"/>
  <c r="AX208" i="179"/>
  <c r="BD208" i="179"/>
  <c r="CT208" i="179"/>
  <c r="Z208" i="179"/>
  <c r="BP208" i="179"/>
  <c r="DX208" i="179"/>
  <c r="BJ208" i="179"/>
  <c r="AR208" i="179"/>
  <c r="FB208" i="179"/>
  <c r="AF208" i="179"/>
  <c r="CH208" i="179"/>
  <c r="AL208" i="179"/>
  <c r="CN208" i="179"/>
  <c r="CB208" i="179"/>
  <c r="GF208" i="179"/>
  <c r="BV208" i="179"/>
  <c r="CE160" i="179"/>
  <c r="CK160" i="179"/>
  <c r="BG160" i="179"/>
  <c r="DU160" i="179"/>
  <c r="AC160" i="179"/>
  <c r="CQ160" i="179"/>
  <c r="BS160" i="179"/>
  <c r="EY160" i="179"/>
  <c r="AI160" i="179"/>
  <c r="BY160" i="179"/>
  <c r="BM160" i="179"/>
  <c r="AO160" i="179"/>
  <c r="BA160" i="179"/>
  <c r="GC160" i="179"/>
  <c r="AU160" i="179"/>
  <c r="W160" i="179"/>
  <c r="CB68" i="179"/>
  <c r="CH68" i="179"/>
  <c r="BD68" i="179"/>
  <c r="BP68" i="179"/>
  <c r="DX68" i="179"/>
  <c r="Z68" i="179"/>
  <c r="BJ68" i="179"/>
  <c r="AR68" i="179"/>
  <c r="CT68" i="179"/>
  <c r="GF68" i="179"/>
  <c r="AL68" i="179"/>
  <c r="CN68" i="179"/>
  <c r="BV68" i="179"/>
  <c r="FB68" i="179"/>
  <c r="AX68" i="179"/>
  <c r="AF68" i="179"/>
  <c r="CK192" i="179"/>
  <c r="CQ192" i="179"/>
  <c r="W192" i="179"/>
  <c r="EY192" i="179"/>
  <c r="AO192" i="179"/>
  <c r="GC192" i="179"/>
  <c r="AU192" i="179"/>
  <c r="BY192" i="179"/>
  <c r="DU192" i="179"/>
  <c r="BA192" i="179"/>
  <c r="AC192" i="179"/>
  <c r="BM192" i="179"/>
  <c r="CE192" i="179"/>
  <c r="BS192" i="179"/>
  <c r="AI192" i="179"/>
  <c r="BG192" i="179"/>
  <c r="GF98" i="179"/>
  <c r="AR98" i="179"/>
  <c r="CH98" i="179"/>
  <c r="BD98" i="179"/>
  <c r="CT98" i="179"/>
  <c r="Z98" i="179"/>
  <c r="BP98" i="179"/>
  <c r="FB98" i="179"/>
  <c r="AL98" i="179"/>
  <c r="CB98" i="179"/>
  <c r="AX98" i="179"/>
  <c r="CN98" i="179"/>
  <c r="BJ98" i="179"/>
  <c r="BV98" i="179"/>
  <c r="AF98" i="179"/>
  <c r="DX98" i="179"/>
  <c r="BP179" i="179"/>
  <c r="BV179" i="179"/>
  <c r="GF179" i="179"/>
  <c r="AR179" i="179"/>
  <c r="CB179" i="179"/>
  <c r="BJ179" i="179"/>
  <c r="DX179" i="179"/>
  <c r="BD179" i="179"/>
  <c r="CT179" i="179"/>
  <c r="CN179" i="179"/>
  <c r="Z179" i="179"/>
  <c r="AL179" i="179"/>
  <c r="CH179" i="179"/>
  <c r="FB179" i="179"/>
  <c r="AX179" i="179"/>
  <c r="AF179" i="179"/>
  <c r="BU89" i="179"/>
  <c r="GE89" i="179"/>
  <c r="AQ89" i="179"/>
  <c r="CA89" i="179"/>
  <c r="BI89" i="179"/>
  <c r="Y89" i="179"/>
  <c r="FA89" i="179"/>
  <c r="CM89" i="179"/>
  <c r="BC89" i="179"/>
  <c r="AK89" i="179"/>
  <c r="CG89" i="179"/>
  <c r="DW89" i="179"/>
  <c r="BO89" i="179"/>
  <c r="AW89" i="179"/>
  <c r="AE89" i="179"/>
  <c r="CS89" i="179"/>
  <c r="BC171" i="179"/>
  <c r="CS171" i="179"/>
  <c r="Y171" i="179"/>
  <c r="BI171" i="179"/>
  <c r="DW171" i="179"/>
  <c r="AE171" i="179"/>
  <c r="BU171" i="179"/>
  <c r="AW171" i="179"/>
  <c r="AK171" i="179"/>
  <c r="FA171" i="179"/>
  <c r="CG171" i="179"/>
  <c r="CM171" i="179"/>
  <c r="AQ171" i="179"/>
  <c r="CA171" i="179"/>
  <c r="GE171" i="179"/>
  <c r="BO171" i="179"/>
  <c r="FB79" i="179"/>
  <c r="AL79" i="179"/>
  <c r="CB79" i="179"/>
  <c r="AX79" i="179"/>
  <c r="CN79" i="179"/>
  <c r="BJ79" i="179"/>
  <c r="DX79" i="179"/>
  <c r="AF79" i="179"/>
  <c r="BV79" i="179"/>
  <c r="GF79" i="179"/>
  <c r="AR79" i="179"/>
  <c r="CH79" i="179"/>
  <c r="BD79" i="179"/>
  <c r="BP79" i="179"/>
  <c r="Z79" i="179"/>
  <c r="CT79" i="179"/>
  <c r="CT204" i="179"/>
  <c r="DX204" i="179"/>
  <c r="CB204" i="179"/>
  <c r="FB204" i="179"/>
  <c r="BJ204" i="179"/>
  <c r="AF204" i="179"/>
  <c r="CH204" i="179"/>
  <c r="AL204" i="179"/>
  <c r="AX204" i="179"/>
  <c r="Z204" i="179"/>
  <c r="CN204" i="179"/>
  <c r="GF204" i="179"/>
  <c r="BP204" i="179"/>
  <c r="AR204" i="179"/>
  <c r="BD204" i="179"/>
  <c r="BV204" i="179"/>
  <c r="CF77" i="179"/>
  <c r="BB77" i="179"/>
  <c r="CR77" i="179"/>
  <c r="X77" i="179"/>
  <c r="BN77" i="179"/>
  <c r="EZ77" i="179"/>
  <c r="AJ77" i="179"/>
  <c r="BZ77" i="179"/>
  <c r="AV77" i="179"/>
  <c r="CL77" i="179"/>
  <c r="BH77" i="179"/>
  <c r="DV77" i="179"/>
  <c r="AD77" i="179"/>
  <c r="AP77" i="179"/>
  <c r="GD77" i="179"/>
  <c r="BT77" i="179"/>
  <c r="AX157" i="179"/>
  <c r="CN157" i="179"/>
  <c r="AF157" i="179"/>
  <c r="BV157" i="179"/>
  <c r="FB157" i="179"/>
  <c r="BD157" i="179"/>
  <c r="BJ157" i="179"/>
  <c r="AR157" i="179"/>
  <c r="DX157" i="179"/>
  <c r="AL157" i="179"/>
  <c r="CB157" i="179"/>
  <c r="CT157" i="179"/>
  <c r="Z157" i="179"/>
  <c r="CH157" i="179"/>
  <c r="GF157" i="179"/>
  <c r="BP157" i="179"/>
  <c r="BB102" i="179"/>
  <c r="CR102" i="179"/>
  <c r="X102" i="179"/>
  <c r="BN102" i="179"/>
  <c r="EZ102" i="179"/>
  <c r="AJ102" i="179"/>
  <c r="BZ102" i="179"/>
  <c r="AV102" i="179"/>
  <c r="CL102" i="179"/>
  <c r="BH102" i="179"/>
  <c r="DV102" i="179"/>
  <c r="AD102" i="179"/>
  <c r="BT102" i="179"/>
  <c r="AP102" i="179"/>
  <c r="GD102" i="179"/>
  <c r="CF102" i="179"/>
  <c r="BD109" i="179"/>
  <c r="BJ109" i="179"/>
  <c r="AF109" i="179"/>
  <c r="CN109" i="179"/>
  <c r="AR109" i="179"/>
  <c r="BV109" i="179"/>
  <c r="DX109" i="179"/>
  <c r="Z109" i="179"/>
  <c r="GF109" i="179"/>
  <c r="CH109" i="179"/>
  <c r="BP109" i="179"/>
  <c r="AL109" i="179"/>
  <c r="CT109" i="179"/>
  <c r="AX109" i="179"/>
  <c r="CB109" i="179"/>
  <c r="FB109" i="179"/>
  <c r="DX117" i="179"/>
  <c r="AF117" i="179"/>
  <c r="BV117" i="179"/>
  <c r="FB117" i="179"/>
  <c r="AL117" i="179"/>
  <c r="CB117" i="179"/>
  <c r="CN117" i="179"/>
  <c r="GF117" i="179"/>
  <c r="AX117" i="179"/>
  <c r="BP117" i="179"/>
  <c r="CH117" i="179"/>
  <c r="AR117" i="179"/>
  <c r="Z117" i="179"/>
  <c r="BJ117" i="179"/>
  <c r="CT117" i="179"/>
  <c r="BD117" i="179"/>
  <c r="GF119" i="179"/>
  <c r="AR119" i="179"/>
  <c r="CH119" i="179"/>
  <c r="BD119" i="179"/>
  <c r="CT119" i="179"/>
  <c r="Z119" i="179"/>
  <c r="BP119" i="179"/>
  <c r="AX119" i="179"/>
  <c r="CN119" i="179"/>
  <c r="AF119" i="179"/>
  <c r="BJ119" i="179"/>
  <c r="CB119" i="179"/>
  <c r="FB119" i="179"/>
  <c r="AL119" i="179"/>
  <c r="DX119" i="179"/>
  <c r="BV119" i="179"/>
  <c r="BO180" i="179"/>
  <c r="FA180" i="179"/>
  <c r="BU180" i="179"/>
  <c r="GE180" i="179"/>
  <c r="AQ180" i="179"/>
  <c r="Y180" i="179"/>
  <c r="CG180" i="179"/>
  <c r="DW180" i="179"/>
  <c r="CA180" i="179"/>
  <c r="BI180" i="179"/>
  <c r="CS180" i="179"/>
  <c r="CM180" i="179"/>
  <c r="AK180" i="179"/>
  <c r="AW180" i="179"/>
  <c r="AE180" i="179"/>
  <c r="BC180" i="179"/>
  <c r="BH51" i="179"/>
  <c r="BT51" i="179"/>
  <c r="GD51" i="179"/>
  <c r="AP51" i="179"/>
  <c r="CF51" i="179"/>
  <c r="BB51" i="179"/>
  <c r="BN51" i="179"/>
  <c r="EZ51" i="179"/>
  <c r="AJ51" i="179"/>
  <c r="DV51" i="179"/>
  <c r="CR51" i="179"/>
  <c r="AD51" i="179"/>
  <c r="X51" i="179"/>
  <c r="CL51" i="179"/>
  <c r="AV51" i="179"/>
  <c r="BZ51" i="179"/>
  <c r="BV88" i="179"/>
  <c r="GF88" i="179"/>
  <c r="AR88" i="179"/>
  <c r="FB88" i="179"/>
  <c r="CN88" i="179"/>
  <c r="BD88" i="179"/>
  <c r="AL88" i="179"/>
  <c r="CH88" i="179"/>
  <c r="DX88" i="179"/>
  <c r="BP88" i="179"/>
  <c r="AX88" i="179"/>
  <c r="AF88" i="179"/>
  <c r="CT88" i="179"/>
  <c r="CB88" i="179"/>
  <c r="BJ88" i="179"/>
  <c r="Z88" i="179"/>
  <c r="BJ127" i="179"/>
  <c r="BP127" i="179"/>
  <c r="CN127" i="179"/>
  <c r="CT127" i="179"/>
  <c r="Z127" i="179"/>
  <c r="AR127" i="179"/>
  <c r="DX127" i="179"/>
  <c r="CH127" i="179"/>
  <c r="AL127" i="179"/>
  <c r="CB127" i="179"/>
  <c r="BD127" i="179"/>
  <c r="GF127" i="179"/>
  <c r="BV127" i="179"/>
  <c r="AF127" i="179"/>
  <c r="FB127" i="179"/>
  <c r="AX127" i="179"/>
  <c r="CQ104" i="179"/>
  <c r="W104" i="179"/>
  <c r="BM104" i="179"/>
  <c r="EY104" i="179"/>
  <c r="AI104" i="179"/>
  <c r="BY104" i="179"/>
  <c r="AU104" i="179"/>
  <c r="CK104" i="179"/>
  <c r="BG104" i="179"/>
  <c r="DU104" i="179"/>
  <c r="AC104" i="179"/>
  <c r="BS104" i="179"/>
  <c r="GC104" i="179"/>
  <c r="AO104" i="179"/>
  <c r="BA104" i="179"/>
  <c r="CE104" i="179"/>
  <c r="FB57" i="179"/>
  <c r="AL57" i="179"/>
  <c r="CB57" i="179"/>
  <c r="AX57" i="179"/>
  <c r="CN57" i="179"/>
  <c r="BJ57" i="179"/>
  <c r="DX57" i="179"/>
  <c r="AF57" i="179"/>
  <c r="BV57" i="179"/>
  <c r="GF57" i="179"/>
  <c r="AR57" i="179"/>
  <c r="CH57" i="179"/>
  <c r="BD57" i="179"/>
  <c r="BP57" i="179"/>
  <c r="CT57" i="179"/>
  <c r="Z57" i="179"/>
  <c r="CA175" i="179"/>
  <c r="GE175" i="179"/>
  <c r="BO175" i="179"/>
  <c r="AK175" i="179"/>
  <c r="DW175" i="179"/>
  <c r="CG175" i="179"/>
  <c r="AW175" i="179"/>
  <c r="BI175" i="179"/>
  <c r="AQ175" i="179"/>
  <c r="Y175" i="179"/>
  <c r="CM175" i="179"/>
  <c r="AE175" i="179"/>
  <c r="BU175" i="179"/>
  <c r="CS175" i="179"/>
  <c r="BC175" i="179"/>
  <c r="FA175" i="179"/>
  <c r="EY126" i="179"/>
  <c r="GC126" i="179"/>
  <c r="AI126" i="179"/>
  <c r="DU126" i="179"/>
  <c r="AO126" i="179"/>
  <c r="CE126" i="179"/>
  <c r="AU126" i="179"/>
  <c r="AC126" i="179"/>
  <c r="BM126" i="179"/>
  <c r="W126" i="179"/>
  <c r="BY126" i="179"/>
  <c r="BG126" i="179"/>
  <c r="CQ126" i="179"/>
  <c r="BA126" i="179"/>
  <c r="CK126" i="179"/>
  <c r="BS126" i="179"/>
  <c r="CM71" i="179"/>
  <c r="CG71" i="179"/>
  <c r="CS71" i="179"/>
  <c r="Y71" i="179"/>
  <c r="BO71" i="179"/>
  <c r="DW71" i="179"/>
  <c r="BI71" i="179"/>
  <c r="CA71" i="179"/>
  <c r="AQ71" i="179"/>
  <c r="GE71" i="179"/>
  <c r="BU71" i="179"/>
  <c r="BC71" i="179"/>
  <c r="AK71" i="179"/>
  <c r="FA71" i="179"/>
  <c r="AW71" i="179"/>
  <c r="AE71" i="179"/>
  <c r="DV193" i="179"/>
  <c r="AD193" i="179"/>
  <c r="BT193" i="179"/>
  <c r="EZ193" i="179"/>
  <c r="AJ193" i="179"/>
  <c r="BN193" i="179"/>
  <c r="BZ193" i="179"/>
  <c r="X193" i="179"/>
  <c r="CL193" i="179"/>
  <c r="AV193" i="179"/>
  <c r="CR193" i="179"/>
  <c r="CF193" i="179"/>
  <c r="BH193" i="179"/>
  <c r="GD193" i="179"/>
  <c r="BB193" i="179"/>
  <c r="AP193" i="179"/>
  <c r="CH131" i="179"/>
  <c r="CN131" i="179"/>
  <c r="BJ131" i="179"/>
  <c r="DX131" i="179"/>
  <c r="AF131" i="179"/>
  <c r="GF131" i="179"/>
  <c r="BD131" i="179"/>
  <c r="BV131" i="179"/>
  <c r="AL131" i="179"/>
  <c r="FB131" i="179"/>
  <c r="BP131" i="179"/>
  <c r="AX131" i="179"/>
  <c r="Z131" i="179"/>
  <c r="AR131" i="179"/>
  <c r="CB131" i="179"/>
  <c r="CT131" i="179"/>
  <c r="CH63" i="179"/>
  <c r="CN63" i="179"/>
  <c r="BJ63" i="179"/>
  <c r="AR63" i="179"/>
  <c r="CT63" i="179"/>
  <c r="CB63" i="179"/>
  <c r="GF63" i="179"/>
  <c r="BD63" i="179"/>
  <c r="AL63" i="179"/>
  <c r="BV63" i="179"/>
  <c r="FB63" i="179"/>
  <c r="AF63" i="179"/>
  <c r="BP63" i="179"/>
  <c r="AX63" i="179"/>
  <c r="Z63" i="179"/>
  <c r="DX63" i="179"/>
  <c r="GC132" i="179"/>
  <c r="AO132" i="179"/>
  <c r="AU132" i="179"/>
  <c r="CK132" i="179"/>
  <c r="BG132" i="179"/>
  <c r="AI132" i="179"/>
  <c r="BY132" i="179"/>
  <c r="BA132" i="179"/>
  <c r="BS132" i="179"/>
  <c r="BM132" i="179"/>
  <c r="EY132" i="179"/>
  <c r="CE132" i="179"/>
  <c r="DU132" i="179"/>
  <c r="CQ132" i="179"/>
  <c r="AC132" i="179"/>
  <c r="W132" i="179"/>
  <c r="CF204" i="179"/>
  <c r="AP204" i="179"/>
  <c r="CR204" i="179"/>
  <c r="AV204" i="179"/>
  <c r="BZ204" i="179"/>
  <c r="EZ204" i="179"/>
  <c r="BH204" i="179"/>
  <c r="BT204" i="179"/>
  <c r="X204" i="179"/>
  <c r="DV204" i="179"/>
  <c r="GD204" i="179"/>
  <c r="BN204" i="179"/>
  <c r="AD204" i="179"/>
  <c r="BB204" i="179"/>
  <c r="CL204" i="179"/>
  <c r="AJ204" i="179"/>
  <c r="BP102" i="179"/>
  <c r="FB102" i="179"/>
  <c r="AL102" i="179"/>
  <c r="CB102" i="179"/>
  <c r="AX102" i="179"/>
  <c r="CN102" i="179"/>
  <c r="BJ102" i="179"/>
  <c r="DX102" i="179"/>
  <c r="AF102" i="179"/>
  <c r="BV102" i="179"/>
  <c r="GF102" i="179"/>
  <c r="AR102" i="179"/>
  <c r="CH102" i="179"/>
  <c r="Z102" i="179"/>
  <c r="CT102" i="179"/>
  <c r="BD102" i="179"/>
  <c r="FA173" i="179"/>
  <c r="AK173" i="179"/>
  <c r="CA173" i="179"/>
  <c r="DW173" i="179"/>
  <c r="AQ173" i="179"/>
  <c r="Y173" i="179"/>
  <c r="CM173" i="179"/>
  <c r="CG173" i="179"/>
  <c r="GE173" i="179"/>
  <c r="BC173" i="179"/>
  <c r="BO173" i="179"/>
  <c r="AE173" i="179"/>
  <c r="BU173" i="179"/>
  <c r="BI173" i="179"/>
  <c r="AW173" i="179"/>
  <c r="CS173" i="179"/>
  <c r="GE75" i="179"/>
  <c r="AQ75" i="179"/>
  <c r="CG75" i="179"/>
  <c r="BC75" i="179"/>
  <c r="CS75" i="179"/>
  <c r="Y75" i="179"/>
  <c r="BO75" i="179"/>
  <c r="FA75" i="179"/>
  <c r="AK75" i="179"/>
  <c r="CA75" i="179"/>
  <c r="AW75" i="179"/>
  <c r="CM75" i="179"/>
  <c r="BI75" i="179"/>
  <c r="DW75" i="179"/>
  <c r="BU75" i="179"/>
  <c r="AE75" i="179"/>
  <c r="BM146" i="179"/>
  <c r="CK146" i="179"/>
  <c r="AO146" i="179"/>
  <c r="W146" i="179"/>
  <c r="BY146" i="179"/>
  <c r="BG146" i="179"/>
  <c r="AI146" i="179"/>
  <c r="BS146" i="179"/>
  <c r="BA146" i="179"/>
  <c r="AU146" i="179"/>
  <c r="AC146" i="179"/>
  <c r="CE146" i="179"/>
  <c r="GC146" i="179"/>
  <c r="EY146" i="179"/>
  <c r="DU146" i="179"/>
  <c r="CQ146" i="179"/>
  <c r="CH46" i="179"/>
  <c r="BD46" i="179"/>
  <c r="DX46" i="179"/>
  <c r="BP46" i="179"/>
  <c r="AF46" i="179"/>
  <c r="AX46" i="179"/>
  <c r="CT46" i="179"/>
  <c r="GF46" i="179"/>
  <c r="CB46" i="179"/>
  <c r="BJ46" i="179"/>
  <c r="Z46" i="179"/>
  <c r="AR46" i="179"/>
  <c r="FB46" i="179"/>
  <c r="BV46" i="179"/>
  <c r="AL46" i="179"/>
  <c r="CN46" i="179"/>
  <c r="CQ113" i="179"/>
  <c r="W113" i="179"/>
  <c r="BS113" i="179"/>
  <c r="AO113" i="179"/>
  <c r="DU113" i="179"/>
  <c r="CE113" i="179"/>
  <c r="BA113" i="179"/>
  <c r="GC113" i="179"/>
  <c r="AI113" i="179"/>
  <c r="BM113" i="179"/>
  <c r="BY113" i="179"/>
  <c r="AU113" i="179"/>
  <c r="EY113" i="179"/>
  <c r="AC113" i="179"/>
  <c r="CK113" i="179"/>
  <c r="BG113" i="179"/>
  <c r="BB185" i="179"/>
  <c r="CR185" i="179"/>
  <c r="X185" i="179"/>
  <c r="BH185" i="179"/>
  <c r="DV185" i="179"/>
  <c r="AD185" i="179"/>
  <c r="CF185" i="179"/>
  <c r="BT185" i="179"/>
  <c r="GD185" i="179"/>
  <c r="BN185" i="179"/>
  <c r="AJ185" i="179"/>
  <c r="AV185" i="179"/>
  <c r="CL185" i="179"/>
  <c r="BZ185" i="179"/>
  <c r="AP185" i="179"/>
  <c r="EZ185" i="179"/>
  <c r="CS78" i="179"/>
  <c r="Y78" i="179"/>
  <c r="BO78" i="179"/>
  <c r="FA78" i="179"/>
  <c r="AK78" i="179"/>
  <c r="CA78" i="179"/>
  <c r="AW78" i="179"/>
  <c r="CM78" i="179"/>
  <c r="BI78" i="179"/>
  <c r="DW78" i="179"/>
  <c r="AE78" i="179"/>
  <c r="BU78" i="179"/>
  <c r="GE78" i="179"/>
  <c r="AQ78" i="179"/>
  <c r="CG78" i="179"/>
  <c r="BC78" i="179"/>
  <c r="AU149" i="179"/>
  <c r="CK149" i="179"/>
  <c r="BM149" i="179"/>
  <c r="AC149" i="179"/>
  <c r="GC149" i="179"/>
  <c r="BG149" i="179"/>
  <c r="AI149" i="179"/>
  <c r="BA149" i="179"/>
  <c r="BY149" i="179"/>
  <c r="BS149" i="179"/>
  <c r="CQ149" i="179"/>
  <c r="AO149" i="179"/>
  <c r="EY149" i="179"/>
  <c r="DU149" i="179"/>
  <c r="W149" i="179"/>
  <c r="CE149" i="179"/>
  <c r="CG47" i="179"/>
  <c r="BC47" i="179"/>
  <c r="BU47" i="179"/>
  <c r="AK47" i="179"/>
  <c r="DW47" i="179"/>
  <c r="BO47" i="179"/>
  <c r="AW47" i="179"/>
  <c r="AE47" i="179"/>
  <c r="CS47" i="179"/>
  <c r="GE47" i="179"/>
  <c r="CA47" i="179"/>
  <c r="BI47" i="179"/>
  <c r="Y47" i="179"/>
  <c r="FA47" i="179"/>
  <c r="CM47" i="179"/>
  <c r="AQ47" i="179"/>
  <c r="DX84" i="179"/>
  <c r="AF84" i="179"/>
  <c r="BV84" i="179"/>
  <c r="GF84" i="179"/>
  <c r="AR84" i="179"/>
  <c r="CH84" i="179"/>
  <c r="BD84" i="179"/>
  <c r="CT84" i="179"/>
  <c r="Z84" i="179"/>
  <c r="BP84" i="179"/>
  <c r="FB84" i="179"/>
  <c r="AL84" i="179"/>
  <c r="CB84" i="179"/>
  <c r="AX84" i="179"/>
  <c r="BJ84" i="179"/>
  <c r="CN84" i="179"/>
  <c r="GC125" i="179"/>
  <c r="CQ125" i="179"/>
  <c r="W125" i="179"/>
  <c r="BM125" i="179"/>
  <c r="AI125" i="179"/>
  <c r="BY125" i="179"/>
  <c r="EY125" i="179"/>
  <c r="AU125" i="179"/>
  <c r="CK125" i="179"/>
  <c r="BG125" i="179"/>
  <c r="AC125" i="179"/>
  <c r="BS125" i="179"/>
  <c r="DU125" i="179"/>
  <c r="AO125" i="179"/>
  <c r="CE125" i="179"/>
  <c r="BA125" i="179"/>
  <c r="DX166" i="179"/>
  <c r="AF166" i="179"/>
  <c r="BV166" i="179"/>
  <c r="FB166" i="179"/>
  <c r="AL166" i="179"/>
  <c r="CB166" i="179"/>
  <c r="AX166" i="179"/>
  <c r="BJ166" i="179"/>
  <c r="CN166" i="179"/>
  <c r="Z166" i="179"/>
  <c r="GF166" i="179"/>
  <c r="CT166" i="179"/>
  <c r="CH166" i="179"/>
  <c r="AR166" i="179"/>
  <c r="BP166" i="179"/>
  <c r="BD166" i="179"/>
  <c r="AW209" i="179"/>
  <c r="BC209" i="179"/>
  <c r="CS209" i="179"/>
  <c r="Y209" i="179"/>
  <c r="BO209" i="179"/>
  <c r="AK209" i="179"/>
  <c r="DW209" i="179"/>
  <c r="CG209" i="179"/>
  <c r="CM209" i="179"/>
  <c r="CA209" i="179"/>
  <c r="FA209" i="179"/>
  <c r="BU209" i="179"/>
  <c r="AE209" i="179"/>
  <c r="AQ209" i="179"/>
  <c r="GE209" i="179"/>
  <c r="BI209" i="179"/>
  <c r="DU75" i="179"/>
  <c r="AC75" i="179"/>
  <c r="BS75" i="179"/>
  <c r="GC75" i="179"/>
  <c r="AO75" i="179"/>
  <c r="CE75" i="179"/>
  <c r="BA75" i="179"/>
  <c r="CQ75" i="179"/>
  <c r="W75" i="179"/>
  <c r="BM75" i="179"/>
  <c r="EY75" i="179"/>
  <c r="AI75" i="179"/>
  <c r="BY75" i="179"/>
  <c r="AU75" i="179"/>
  <c r="CK75" i="179"/>
  <c r="BG75" i="179"/>
  <c r="CN115" i="179"/>
  <c r="BP115" i="179"/>
  <c r="AL115" i="179"/>
  <c r="CT115" i="179"/>
  <c r="AX115" i="179"/>
  <c r="CB115" i="179"/>
  <c r="FB115" i="179"/>
  <c r="BJ115" i="179"/>
  <c r="AF115" i="179"/>
  <c r="BV115" i="179"/>
  <c r="AR115" i="179"/>
  <c r="DX115" i="179"/>
  <c r="BD115" i="179"/>
  <c r="Z115" i="179"/>
  <c r="GF115" i="179"/>
  <c r="CH115" i="179"/>
  <c r="BN156" i="179"/>
  <c r="EZ156" i="179"/>
  <c r="CR156" i="179"/>
  <c r="BZ156" i="179"/>
  <c r="BH156" i="179"/>
  <c r="AD156" i="179"/>
  <c r="GD156" i="179"/>
  <c r="CL156" i="179"/>
  <c r="AP156" i="179"/>
  <c r="X156" i="179"/>
  <c r="DV156" i="179"/>
  <c r="AJ156" i="179"/>
  <c r="BB156" i="179"/>
  <c r="AV156" i="179"/>
  <c r="CF156" i="179"/>
  <c r="BT156" i="179"/>
  <c r="BA198" i="179"/>
  <c r="CQ198" i="179"/>
  <c r="W198" i="179"/>
  <c r="BG198" i="179"/>
  <c r="DU198" i="179"/>
  <c r="AC198" i="179"/>
  <c r="BS198" i="179"/>
  <c r="AU198" i="179"/>
  <c r="CE198" i="179"/>
  <c r="AO198" i="179"/>
  <c r="GC198" i="179"/>
  <c r="BY198" i="179"/>
  <c r="BM198" i="179"/>
  <c r="AI198" i="179"/>
  <c r="CK198" i="179"/>
  <c r="EY198" i="179"/>
  <c r="CE66" i="179"/>
  <c r="CK66" i="179"/>
  <c r="BG66" i="179"/>
  <c r="W66" i="179"/>
  <c r="AO66" i="179"/>
  <c r="CQ66" i="179"/>
  <c r="BY66" i="179"/>
  <c r="GC66" i="179"/>
  <c r="BA66" i="179"/>
  <c r="AI66" i="179"/>
  <c r="BS66" i="179"/>
  <c r="EY66" i="179"/>
  <c r="AC66" i="179"/>
  <c r="BM66" i="179"/>
  <c r="AU66" i="179"/>
  <c r="DU66" i="179"/>
  <c r="CB104" i="179"/>
  <c r="AX104" i="179"/>
  <c r="CN104" i="179"/>
  <c r="BJ104" i="179"/>
  <c r="DX104" i="179"/>
  <c r="AF104" i="179"/>
  <c r="BV104" i="179"/>
  <c r="GF104" i="179"/>
  <c r="AR104" i="179"/>
  <c r="CH104" i="179"/>
  <c r="BD104" i="179"/>
  <c r="CT104" i="179"/>
  <c r="Z104" i="179"/>
  <c r="BP104" i="179"/>
  <c r="AL104" i="179"/>
  <c r="FB104" i="179"/>
  <c r="BZ147" i="179"/>
  <c r="CR147" i="179"/>
  <c r="AV147" i="179"/>
  <c r="DV147" i="179"/>
  <c r="X147" i="179"/>
  <c r="EZ147" i="179"/>
  <c r="AD147" i="179"/>
  <c r="GD147" i="179"/>
  <c r="BN147" i="179"/>
  <c r="BB147" i="179"/>
  <c r="CL147" i="179"/>
  <c r="AP147" i="179"/>
  <c r="CF147" i="179"/>
  <c r="AJ147" i="179"/>
  <c r="BT147" i="179"/>
  <c r="BH147" i="179"/>
  <c r="BZ189" i="179"/>
  <c r="AV189" i="179"/>
  <c r="CF189" i="179"/>
  <c r="BB189" i="179"/>
  <c r="BH189" i="179"/>
  <c r="AD189" i="179"/>
  <c r="BT189" i="179"/>
  <c r="GD189" i="179"/>
  <c r="CL189" i="179"/>
  <c r="AP189" i="179"/>
  <c r="DV189" i="179"/>
  <c r="AJ189" i="179"/>
  <c r="X189" i="179"/>
  <c r="EZ189" i="179"/>
  <c r="BN189" i="179"/>
  <c r="CR189" i="179"/>
  <c r="BN58" i="179"/>
  <c r="EZ58" i="179"/>
  <c r="AJ58" i="179"/>
  <c r="BZ58" i="179"/>
  <c r="AV58" i="179"/>
  <c r="CL58" i="179"/>
  <c r="BH58" i="179"/>
  <c r="DV58" i="179"/>
  <c r="AD58" i="179"/>
  <c r="BT58" i="179"/>
  <c r="GD58" i="179"/>
  <c r="AP58" i="179"/>
  <c r="CF58" i="179"/>
  <c r="BB58" i="179"/>
  <c r="X58" i="179"/>
  <c r="CR58" i="179"/>
  <c r="CK97" i="179"/>
  <c r="BG97" i="179"/>
  <c r="DU97" i="179"/>
  <c r="AC97" i="179"/>
  <c r="BS97" i="179"/>
  <c r="GC97" i="179"/>
  <c r="AO97" i="179"/>
  <c r="CE97" i="179"/>
  <c r="BA97" i="179"/>
  <c r="CQ97" i="179"/>
  <c r="W97" i="179"/>
  <c r="BM97" i="179"/>
  <c r="EY97" i="179"/>
  <c r="AI97" i="179"/>
  <c r="BY97" i="179"/>
  <c r="AU97" i="179"/>
  <c r="BH138" i="179"/>
  <c r="BB138" i="179"/>
  <c r="EZ138" i="179"/>
  <c r="CL138" i="179"/>
  <c r="AP138" i="179"/>
  <c r="BZ138" i="179"/>
  <c r="AD138" i="179"/>
  <c r="BT138" i="179"/>
  <c r="AV138" i="179"/>
  <c r="GD138" i="179"/>
  <c r="BN138" i="179"/>
  <c r="CF138" i="179"/>
  <c r="AJ138" i="179"/>
  <c r="CR138" i="179"/>
  <c r="X138" i="179"/>
  <c r="DV138" i="179"/>
  <c r="AU178" i="179"/>
  <c r="CK178" i="179"/>
  <c r="CE178" i="179"/>
  <c r="BG178" i="179"/>
  <c r="AO178" i="179"/>
  <c r="W178" i="179"/>
  <c r="GC178" i="179"/>
  <c r="CQ178" i="179"/>
  <c r="BY178" i="179"/>
  <c r="BM178" i="179"/>
  <c r="BS178" i="179"/>
  <c r="EY178" i="179"/>
  <c r="AC178" i="179"/>
  <c r="BA178" i="179"/>
  <c r="DU178" i="179"/>
  <c r="AI178" i="179"/>
  <c r="GE49" i="179"/>
  <c r="AQ49" i="179"/>
  <c r="CG49" i="179"/>
  <c r="CS49" i="179"/>
  <c r="Y49" i="179"/>
  <c r="BO49" i="179"/>
  <c r="DW49" i="179"/>
  <c r="CA49" i="179"/>
  <c r="BI49" i="179"/>
  <c r="AK49" i="179"/>
  <c r="BC49" i="179"/>
  <c r="BU49" i="179"/>
  <c r="CM49" i="179"/>
  <c r="FA49" i="179"/>
  <c r="AW49" i="179"/>
  <c r="AE49" i="179"/>
  <c r="DX86" i="179"/>
  <c r="AF86" i="179"/>
  <c r="CB86" i="179"/>
  <c r="FB86" i="179"/>
  <c r="BJ86" i="179"/>
  <c r="CN86" i="179"/>
  <c r="AR86" i="179"/>
  <c r="BV86" i="179"/>
  <c r="Z86" i="179"/>
  <c r="BD86" i="179"/>
  <c r="CH86" i="179"/>
  <c r="GF86" i="179"/>
  <c r="AL86" i="179"/>
  <c r="BP86" i="179"/>
  <c r="CT86" i="179"/>
  <c r="AX86" i="179"/>
  <c r="AV127" i="179"/>
  <c r="BB127" i="179"/>
  <c r="EZ127" i="179"/>
  <c r="AP127" i="179"/>
  <c r="CF127" i="179"/>
  <c r="BN127" i="179"/>
  <c r="GD127" i="179"/>
  <c r="AD127" i="179"/>
  <c r="CL127" i="179"/>
  <c r="X127" i="179"/>
  <c r="DV127" i="179"/>
  <c r="BH127" i="179"/>
  <c r="AJ127" i="179"/>
  <c r="BZ127" i="179"/>
  <c r="CR127" i="179"/>
  <c r="BT127" i="179"/>
  <c r="GF168" i="179"/>
  <c r="AR168" i="179"/>
  <c r="CH168" i="179"/>
  <c r="AX168" i="179"/>
  <c r="CN168" i="179"/>
  <c r="BJ168" i="179"/>
  <c r="CB168" i="179"/>
  <c r="Z168" i="179"/>
  <c r="CT168" i="179"/>
  <c r="BV168" i="179"/>
  <c r="AF168" i="179"/>
  <c r="FB168" i="179"/>
  <c r="BP168" i="179"/>
  <c r="DX168" i="179"/>
  <c r="BD168" i="179"/>
  <c r="AL168" i="179"/>
  <c r="BG212" i="179"/>
  <c r="DU212" i="179"/>
  <c r="AC212" i="179"/>
  <c r="CQ212" i="179"/>
  <c r="W212" i="179"/>
  <c r="BM212" i="179"/>
  <c r="EY212" i="179"/>
  <c r="AI212" i="179"/>
  <c r="AO212" i="179"/>
  <c r="CE212" i="179"/>
  <c r="GC212" i="179"/>
  <c r="BY212" i="179"/>
  <c r="AU212" i="179"/>
  <c r="CK212" i="179"/>
  <c r="BS212" i="179"/>
  <c r="BA212" i="179"/>
  <c r="CB80" i="179"/>
  <c r="AX80" i="179"/>
  <c r="CN80" i="179"/>
  <c r="BJ80" i="179"/>
  <c r="DX80" i="179"/>
  <c r="AF80" i="179"/>
  <c r="BV80" i="179"/>
  <c r="GF80" i="179"/>
  <c r="AR80" i="179"/>
  <c r="CH80" i="179"/>
  <c r="BD80" i="179"/>
  <c r="CT80" i="179"/>
  <c r="Z80" i="179"/>
  <c r="BP80" i="179"/>
  <c r="FB80" i="179"/>
  <c r="AL80" i="179"/>
  <c r="CQ145" i="179"/>
  <c r="GC145" i="179"/>
  <c r="BM145" i="179"/>
  <c r="EY145" i="179"/>
  <c r="CK145" i="179"/>
  <c r="DU145" i="179"/>
  <c r="CE145" i="179"/>
  <c r="AC145" i="179"/>
  <c r="BY145" i="179"/>
  <c r="BG145" i="179"/>
  <c r="AO145" i="179"/>
  <c r="W145" i="179"/>
  <c r="AU145" i="179"/>
  <c r="AI145" i="179"/>
  <c r="BS145" i="179"/>
  <c r="BA145" i="179"/>
  <c r="GE53" i="179"/>
  <c r="AQ53" i="179"/>
  <c r="CG53" i="179"/>
  <c r="BC53" i="179"/>
  <c r="CS53" i="179"/>
  <c r="Y53" i="179"/>
  <c r="BO53" i="179"/>
  <c r="FA53" i="179"/>
  <c r="AK53" i="179"/>
  <c r="AW53" i="179"/>
  <c r="CM53" i="179"/>
  <c r="BI53" i="179"/>
  <c r="DW53" i="179"/>
  <c r="CA53" i="179"/>
  <c r="BU53" i="179"/>
  <c r="AE53" i="179"/>
  <c r="BA103" i="179"/>
  <c r="CQ103" i="179"/>
  <c r="W103" i="179"/>
  <c r="BM103" i="179"/>
  <c r="EY103" i="179"/>
  <c r="AI103" i="179"/>
  <c r="BY103" i="179"/>
  <c r="AU103" i="179"/>
  <c r="CK103" i="179"/>
  <c r="BG103" i="179"/>
  <c r="DU103" i="179"/>
  <c r="AC103" i="179"/>
  <c r="BS103" i="179"/>
  <c r="CE103" i="179"/>
  <c r="AO103" i="179"/>
  <c r="GC103" i="179"/>
  <c r="BY190" i="179"/>
  <c r="AU190" i="179"/>
  <c r="CE190" i="179"/>
  <c r="BA190" i="179"/>
  <c r="W190" i="179"/>
  <c r="DU190" i="179"/>
  <c r="AI190" i="179"/>
  <c r="GC190" i="179"/>
  <c r="CQ190" i="179"/>
  <c r="BM190" i="179"/>
  <c r="AC190" i="179"/>
  <c r="BS190" i="179"/>
  <c r="BG190" i="179"/>
  <c r="EY190" i="179"/>
  <c r="AO190" i="179"/>
  <c r="CK190" i="179"/>
  <c r="CE56" i="179"/>
  <c r="BA56" i="179"/>
  <c r="CQ56" i="179"/>
  <c r="W56" i="179"/>
  <c r="BM56" i="179"/>
  <c r="EY56" i="179"/>
  <c r="AI56" i="179"/>
  <c r="BY56" i="179"/>
  <c r="AU56" i="179"/>
  <c r="CK56" i="179"/>
  <c r="BG56" i="179"/>
  <c r="DU56" i="179"/>
  <c r="AC56" i="179"/>
  <c r="AO56" i="179"/>
  <c r="GC56" i="179"/>
  <c r="BS56" i="179"/>
  <c r="CE185" i="179"/>
  <c r="BA185" i="179"/>
  <c r="CK185" i="179"/>
  <c r="BG185" i="179"/>
  <c r="AO185" i="179"/>
  <c r="CQ185" i="179"/>
  <c r="AC185" i="179"/>
  <c r="BS185" i="179"/>
  <c r="AU185" i="179"/>
  <c r="DU185" i="179"/>
  <c r="BM185" i="179"/>
  <c r="AI185" i="179"/>
  <c r="BY185" i="179"/>
  <c r="W185" i="179"/>
  <c r="EY185" i="179"/>
  <c r="GC185" i="179"/>
  <c r="BI84" i="179"/>
  <c r="DW84" i="179"/>
  <c r="AE84" i="179"/>
  <c r="BU84" i="179"/>
  <c r="GE84" i="179"/>
  <c r="AQ84" i="179"/>
  <c r="CG84" i="179"/>
  <c r="BC84" i="179"/>
  <c r="CS84" i="179"/>
  <c r="Y84" i="179"/>
  <c r="BO84" i="179"/>
  <c r="FA84" i="179"/>
  <c r="AK84" i="179"/>
  <c r="CA84" i="179"/>
  <c r="AW84" i="179"/>
  <c r="CM84" i="179"/>
  <c r="CA105" i="179"/>
  <c r="AW105" i="179"/>
  <c r="CM105" i="179"/>
  <c r="BI105" i="179"/>
  <c r="DW105" i="179"/>
  <c r="AE105" i="179"/>
  <c r="BU105" i="179"/>
  <c r="GE105" i="179"/>
  <c r="AQ105" i="179"/>
  <c r="CG105" i="179"/>
  <c r="BC105" i="179"/>
  <c r="CS105" i="179"/>
  <c r="Y105" i="179"/>
  <c r="AK105" i="179"/>
  <c r="BO105" i="179"/>
  <c r="FA105" i="179"/>
  <c r="CS111" i="179"/>
  <c r="Y111" i="179"/>
  <c r="BU111" i="179"/>
  <c r="AQ111" i="179"/>
  <c r="DW111" i="179"/>
  <c r="BC111" i="179"/>
  <c r="CG111" i="179"/>
  <c r="GE111" i="179"/>
  <c r="BO111" i="179"/>
  <c r="AK111" i="179"/>
  <c r="CA111" i="179"/>
  <c r="AW111" i="179"/>
  <c r="FA111" i="179"/>
  <c r="AE111" i="179"/>
  <c r="BI111" i="179"/>
  <c r="CM111" i="179"/>
  <c r="DW192" i="179"/>
  <c r="FA192" i="179"/>
  <c r="AK192" i="179"/>
  <c r="BU192" i="179"/>
  <c r="Y192" i="179"/>
  <c r="CS192" i="179"/>
  <c r="CA192" i="179"/>
  <c r="AE192" i="179"/>
  <c r="CM192" i="179"/>
  <c r="BO192" i="179"/>
  <c r="AQ192" i="179"/>
  <c r="BC192" i="179"/>
  <c r="GE192" i="179"/>
  <c r="BI192" i="179"/>
  <c r="AW192" i="179"/>
  <c r="CG192" i="179"/>
  <c r="BD64" i="179"/>
  <c r="BJ64" i="179"/>
  <c r="DX64" i="179"/>
  <c r="AF64" i="179"/>
  <c r="AL64" i="179"/>
  <c r="BV64" i="179"/>
  <c r="FB64" i="179"/>
  <c r="CN64" i="179"/>
  <c r="BP64" i="179"/>
  <c r="AX64" i="179"/>
  <c r="CH64" i="179"/>
  <c r="Z64" i="179"/>
  <c r="AR64" i="179"/>
  <c r="CT64" i="179"/>
  <c r="GF64" i="179"/>
  <c r="CB64" i="179"/>
  <c r="GC171" i="179"/>
  <c r="AO171" i="179"/>
  <c r="CE171" i="179"/>
  <c r="AU171" i="179"/>
  <c r="CK171" i="179"/>
  <c r="BG171" i="179"/>
  <c r="BY171" i="179"/>
  <c r="W171" i="179"/>
  <c r="AI171" i="179"/>
  <c r="EY171" i="179"/>
  <c r="BM171" i="179"/>
  <c r="CQ171" i="179"/>
  <c r="BA171" i="179"/>
  <c r="DU171" i="179"/>
  <c r="BS171" i="179"/>
  <c r="AC171" i="179"/>
  <c r="CT77" i="179"/>
  <c r="Z77" i="179"/>
  <c r="BP77" i="179"/>
  <c r="FB77" i="179"/>
  <c r="AL77" i="179"/>
  <c r="CB77" i="179"/>
  <c r="AX77" i="179"/>
  <c r="CN77" i="179"/>
  <c r="BJ77" i="179"/>
  <c r="DX77" i="179"/>
  <c r="AF77" i="179"/>
  <c r="BV77" i="179"/>
  <c r="GF77" i="179"/>
  <c r="AR77" i="179"/>
  <c r="CH77" i="179"/>
  <c r="BD77" i="179"/>
  <c r="BA150" i="179"/>
  <c r="CK150" i="179"/>
  <c r="BG150" i="179"/>
  <c r="CQ150" i="179"/>
  <c r="BY150" i="179"/>
  <c r="AC150" i="179"/>
  <c r="BM150" i="179"/>
  <c r="AU150" i="179"/>
  <c r="DU150" i="179"/>
  <c r="CE150" i="179"/>
  <c r="AI150" i="179"/>
  <c r="EY150" i="179"/>
  <c r="AO150" i="179"/>
  <c r="BS150" i="179"/>
  <c r="GC150" i="179"/>
  <c r="W150" i="179"/>
  <c r="CH120" i="179"/>
  <c r="BD120" i="179"/>
  <c r="CT120" i="179"/>
  <c r="Z120" i="179"/>
  <c r="BP120" i="179"/>
  <c r="FB120" i="179"/>
  <c r="AL120" i="179"/>
  <c r="CN120" i="179"/>
  <c r="BJ120" i="179"/>
  <c r="CB120" i="179"/>
  <c r="DX120" i="179"/>
  <c r="AX120" i="179"/>
  <c r="BV120" i="179"/>
  <c r="AR120" i="179"/>
  <c r="AF120" i="179"/>
  <c r="GF120" i="179"/>
  <c r="CK138" i="179"/>
  <c r="DU138" i="179"/>
  <c r="W138" i="179"/>
  <c r="BY138" i="179"/>
  <c r="AC138" i="179"/>
  <c r="EY138" i="179"/>
  <c r="BG138" i="179"/>
  <c r="CQ138" i="179"/>
  <c r="AU138" i="179"/>
  <c r="GC138" i="179"/>
  <c r="AO138" i="179"/>
  <c r="BM138" i="179"/>
  <c r="CE138" i="179"/>
  <c r="AI138" i="179"/>
  <c r="BS138" i="179"/>
  <c r="BA138" i="179"/>
  <c r="GE94" i="179"/>
  <c r="AQ94" i="179"/>
  <c r="BC94" i="179"/>
  <c r="CS94" i="179"/>
  <c r="Y94" i="179"/>
  <c r="BO94" i="179"/>
  <c r="BI94" i="179"/>
  <c r="AK94" i="179"/>
  <c r="DW94" i="179"/>
  <c r="CA94" i="179"/>
  <c r="AE94" i="179"/>
  <c r="BU94" i="179"/>
  <c r="AW94" i="179"/>
  <c r="CM94" i="179"/>
  <c r="FA94" i="179"/>
  <c r="CG94" i="179"/>
  <c r="CR134" i="179"/>
  <c r="X134" i="179"/>
  <c r="DV134" i="179"/>
  <c r="AD134" i="179"/>
  <c r="BT134" i="179"/>
  <c r="GD134" i="179"/>
  <c r="AP134" i="179"/>
  <c r="CL134" i="179"/>
  <c r="EZ134" i="179"/>
  <c r="CF134" i="179"/>
  <c r="BN134" i="179"/>
  <c r="BZ134" i="179"/>
  <c r="BH134" i="179"/>
  <c r="AJ134" i="179"/>
  <c r="BB134" i="179"/>
  <c r="AV134" i="179"/>
  <c r="CH140" i="179"/>
  <c r="CT140" i="179"/>
  <c r="AX140" i="179"/>
  <c r="BV140" i="179"/>
  <c r="DX140" i="179"/>
  <c r="BD140" i="179"/>
  <c r="Z140" i="179"/>
  <c r="BP140" i="179"/>
  <c r="CN140" i="179"/>
  <c r="BJ140" i="179"/>
  <c r="CB140" i="179"/>
  <c r="AL140" i="179"/>
  <c r="AF140" i="179"/>
  <c r="GF140" i="179"/>
  <c r="FB140" i="179"/>
  <c r="AR140" i="179"/>
  <c r="CB144" i="179"/>
  <c r="CH144" i="179"/>
  <c r="DX144" i="179"/>
  <c r="BP144" i="179"/>
  <c r="AX144" i="179"/>
  <c r="CT144" i="179"/>
  <c r="AF144" i="179"/>
  <c r="BJ144" i="179"/>
  <c r="FB144" i="179"/>
  <c r="CN144" i="179"/>
  <c r="Z144" i="179"/>
  <c r="BV144" i="179"/>
  <c r="BD144" i="179"/>
  <c r="GF144" i="179"/>
  <c r="AR144" i="179"/>
  <c r="AL144" i="179"/>
  <c r="CA152" i="179"/>
  <c r="GE152" i="179"/>
  <c r="AQ152" i="179"/>
  <c r="CG152" i="179"/>
  <c r="DW152" i="179"/>
  <c r="Y152" i="179"/>
  <c r="CM152" i="179"/>
  <c r="BU152" i="179"/>
  <c r="FA152" i="179"/>
  <c r="AE152" i="179"/>
  <c r="BO152" i="179"/>
  <c r="CS152" i="179"/>
  <c r="BC152" i="179"/>
  <c r="BI152" i="179"/>
  <c r="AW152" i="179"/>
  <c r="AK152" i="179"/>
  <c r="CF199" i="179"/>
  <c r="CR199" i="179"/>
  <c r="BT199" i="179"/>
  <c r="BB199" i="179"/>
  <c r="GD199" i="179"/>
  <c r="BZ199" i="179"/>
  <c r="AD199" i="179"/>
  <c r="BH199" i="179"/>
  <c r="DV199" i="179"/>
  <c r="AP199" i="179"/>
  <c r="BN199" i="179"/>
  <c r="CL199" i="179"/>
  <c r="AV199" i="179"/>
  <c r="AJ199" i="179"/>
  <c r="X199" i="179"/>
  <c r="EZ199" i="179"/>
  <c r="CF65" i="179"/>
  <c r="CL65" i="179"/>
  <c r="BH65" i="179"/>
  <c r="EZ65" i="179"/>
  <c r="AD65" i="179"/>
  <c r="BN65" i="179"/>
  <c r="AV65" i="179"/>
  <c r="DV65" i="179"/>
  <c r="X65" i="179"/>
  <c r="AP65" i="179"/>
  <c r="CR65" i="179"/>
  <c r="BZ65" i="179"/>
  <c r="GD65" i="179"/>
  <c r="BB65" i="179"/>
  <c r="AJ65" i="179"/>
  <c r="BT65" i="179"/>
  <c r="DV107" i="179"/>
  <c r="CR107" i="179"/>
  <c r="AV107" i="179"/>
  <c r="BZ107" i="179"/>
  <c r="EZ107" i="179"/>
  <c r="AD107" i="179"/>
  <c r="BH107" i="179"/>
  <c r="CL107" i="179"/>
  <c r="AP107" i="179"/>
  <c r="BT107" i="179"/>
  <c r="BB107" i="179"/>
  <c r="X107" i="179"/>
  <c r="CF107" i="179"/>
  <c r="BN107" i="179"/>
  <c r="AJ107" i="179"/>
  <c r="GD107" i="179"/>
  <c r="BN144" i="179"/>
  <c r="BT144" i="179"/>
  <c r="AJ144" i="179"/>
  <c r="GD144" i="179"/>
  <c r="BH144" i="179"/>
  <c r="AP144" i="179"/>
  <c r="EZ144" i="179"/>
  <c r="CR144" i="179"/>
  <c r="CL144" i="179"/>
  <c r="AD144" i="179"/>
  <c r="BB144" i="179"/>
  <c r="X144" i="179"/>
  <c r="CF144" i="179"/>
  <c r="AV144" i="179"/>
  <c r="BZ144" i="179"/>
  <c r="DV144" i="179"/>
  <c r="CA114" i="179"/>
  <c r="AE114" i="179"/>
  <c r="FA114" i="179"/>
  <c r="BI114" i="179"/>
  <c r="CM114" i="179"/>
  <c r="AQ114" i="179"/>
  <c r="BU114" i="179"/>
  <c r="DW114" i="179"/>
  <c r="Y114" i="179"/>
  <c r="BC114" i="179"/>
  <c r="CG114" i="179"/>
  <c r="GE114" i="179"/>
  <c r="AK114" i="179"/>
  <c r="BO114" i="179"/>
  <c r="AW114" i="179"/>
  <c r="CS114" i="179"/>
  <c r="CS66" i="179"/>
  <c r="Y66" i="179"/>
  <c r="DW66" i="179"/>
  <c r="AE66" i="179"/>
  <c r="BU66" i="179"/>
  <c r="CA66" i="179"/>
  <c r="BI66" i="179"/>
  <c r="GE66" i="179"/>
  <c r="AK66" i="179"/>
  <c r="BC66" i="179"/>
  <c r="FA66" i="179"/>
  <c r="CM66" i="179"/>
  <c r="BO66" i="179"/>
  <c r="AW66" i="179"/>
  <c r="CG66" i="179"/>
  <c r="AQ66" i="179"/>
  <c r="EZ188" i="179"/>
  <c r="AJ188" i="179"/>
  <c r="BZ188" i="179"/>
  <c r="GD188" i="179"/>
  <c r="AP188" i="179"/>
  <c r="CF188" i="179"/>
  <c r="CL188" i="179"/>
  <c r="X188" i="179"/>
  <c r="BN188" i="179"/>
  <c r="CR188" i="179"/>
  <c r="AV188" i="179"/>
  <c r="DV188" i="179"/>
  <c r="BT188" i="179"/>
  <c r="AD188" i="179"/>
  <c r="BH188" i="179"/>
  <c r="BB188" i="179"/>
  <c r="BM136" i="179"/>
  <c r="BS136" i="179"/>
  <c r="GC136" i="179"/>
  <c r="AO136" i="179"/>
  <c r="CE136" i="179"/>
  <c r="W136" i="179"/>
  <c r="DU136" i="179"/>
  <c r="BG136" i="179"/>
  <c r="CQ136" i="179"/>
  <c r="BY136" i="179"/>
  <c r="AI136" i="179"/>
  <c r="BA136" i="179"/>
  <c r="EY136" i="179"/>
  <c r="CK136" i="179"/>
  <c r="AC136" i="179"/>
  <c r="AU136" i="179"/>
  <c r="EY82" i="179"/>
  <c r="AI82" i="179"/>
  <c r="BY82" i="179"/>
  <c r="AU82" i="179"/>
  <c r="CK82" i="179"/>
  <c r="BG82" i="179"/>
  <c r="DU82" i="179"/>
  <c r="AC82" i="179"/>
  <c r="BS82" i="179"/>
  <c r="GC82" i="179"/>
  <c r="AO82" i="179"/>
  <c r="CE82" i="179"/>
  <c r="BA82" i="179"/>
  <c r="W82" i="179"/>
  <c r="BM82" i="179"/>
  <c r="CQ82" i="179"/>
  <c r="FB201" i="179"/>
  <c r="AL201" i="179"/>
  <c r="AX201" i="179"/>
  <c r="BV201" i="179"/>
  <c r="BD201" i="179"/>
  <c r="GF201" i="179"/>
  <c r="CT201" i="179"/>
  <c r="CB201" i="179"/>
  <c r="BJ201" i="179"/>
  <c r="AR201" i="179"/>
  <c r="DX201" i="179"/>
  <c r="CN201" i="179"/>
  <c r="AF201" i="179"/>
  <c r="Z201" i="179"/>
  <c r="BP201" i="179"/>
  <c r="CH201" i="179"/>
  <c r="BP142" i="179"/>
  <c r="BV142" i="179"/>
  <c r="DX142" i="179"/>
  <c r="CH142" i="179"/>
  <c r="AX142" i="179"/>
  <c r="CT142" i="179"/>
  <c r="CB142" i="179"/>
  <c r="FB142" i="179"/>
  <c r="CN142" i="179"/>
  <c r="BD142" i="179"/>
  <c r="AL142" i="179"/>
  <c r="BJ142" i="179"/>
  <c r="GF142" i="179"/>
  <c r="AR142" i="179"/>
  <c r="AF142" i="179"/>
  <c r="Z142" i="179"/>
  <c r="EZ69" i="179"/>
  <c r="AJ69" i="179"/>
  <c r="GD69" i="179"/>
  <c r="AP69" i="179"/>
  <c r="CF69" i="179"/>
  <c r="DV69" i="179"/>
  <c r="X69" i="179"/>
  <c r="BZ69" i="179"/>
  <c r="BH69" i="179"/>
  <c r="CR69" i="179"/>
  <c r="BB69" i="179"/>
  <c r="CL69" i="179"/>
  <c r="BT69" i="179"/>
  <c r="AV69" i="179"/>
  <c r="AD69" i="179"/>
  <c r="BN69" i="179"/>
  <c r="BV138" i="179"/>
  <c r="GF138" i="179"/>
  <c r="AL138" i="179"/>
  <c r="CN138" i="179"/>
  <c r="AR138" i="179"/>
  <c r="Z138" i="179"/>
  <c r="CT138" i="179"/>
  <c r="AX138" i="179"/>
  <c r="BP138" i="179"/>
  <c r="CH138" i="179"/>
  <c r="FB138" i="179"/>
  <c r="BJ138" i="179"/>
  <c r="DX138" i="179"/>
  <c r="BD138" i="179"/>
  <c r="CB138" i="179"/>
  <c r="AF138" i="179"/>
  <c r="DX210" i="179"/>
  <c r="BV210" i="179"/>
  <c r="FB210" i="179"/>
  <c r="CB210" i="179"/>
  <c r="CT210" i="179"/>
  <c r="BJ210" i="179"/>
  <c r="AL210" i="179"/>
  <c r="CH210" i="179"/>
  <c r="BP210" i="179"/>
  <c r="BD210" i="179"/>
  <c r="AF210" i="179"/>
  <c r="AR210" i="179"/>
  <c r="CN210" i="179"/>
  <c r="GF210" i="179"/>
  <c r="Z210" i="179"/>
  <c r="AX210" i="179"/>
  <c r="BS109" i="179"/>
  <c r="AU109" i="179"/>
  <c r="BY109" i="179"/>
  <c r="EY109" i="179"/>
  <c r="BG109" i="179"/>
  <c r="AC109" i="179"/>
  <c r="CK109" i="179"/>
  <c r="AO109" i="179"/>
  <c r="DU109" i="179"/>
  <c r="BA109" i="179"/>
  <c r="W109" i="179"/>
  <c r="CE109" i="179"/>
  <c r="GC109" i="179"/>
  <c r="CQ109" i="179"/>
  <c r="AI109" i="179"/>
  <c r="BM109" i="179"/>
  <c r="DX178" i="179"/>
  <c r="AF178" i="179"/>
  <c r="BV178" i="179"/>
  <c r="GF178" i="179"/>
  <c r="BD178" i="179"/>
  <c r="AL178" i="179"/>
  <c r="CH178" i="179"/>
  <c r="AX178" i="179"/>
  <c r="Z178" i="179"/>
  <c r="CN178" i="179"/>
  <c r="BP178" i="179"/>
  <c r="AR178" i="179"/>
  <c r="CT178" i="179"/>
  <c r="BJ178" i="179"/>
  <c r="CB178" i="179"/>
  <c r="FB178" i="179"/>
  <c r="FA80" i="179"/>
  <c r="AK80" i="179"/>
  <c r="CA80" i="179"/>
  <c r="AW80" i="179"/>
  <c r="CM80" i="179"/>
  <c r="BI80" i="179"/>
  <c r="DW80" i="179"/>
  <c r="AE80" i="179"/>
  <c r="BU80" i="179"/>
  <c r="GE80" i="179"/>
  <c r="AQ80" i="179"/>
  <c r="CG80" i="179"/>
  <c r="BC80" i="179"/>
  <c r="Y80" i="179"/>
  <c r="BO80" i="179"/>
  <c r="CS80" i="179"/>
  <c r="CQ151" i="179"/>
  <c r="W151" i="179"/>
  <c r="BG151" i="179"/>
  <c r="DU151" i="179"/>
  <c r="AC151" i="179"/>
  <c r="EY151" i="179"/>
  <c r="CK151" i="179"/>
  <c r="CE151" i="179"/>
  <c r="AO151" i="179"/>
  <c r="BY151" i="179"/>
  <c r="AU151" i="179"/>
  <c r="GC151" i="179"/>
  <c r="AI151" i="179"/>
  <c r="BS151" i="179"/>
  <c r="BA151" i="179"/>
  <c r="BM151" i="179"/>
  <c r="BV51" i="179"/>
  <c r="CH51" i="179"/>
  <c r="BD51" i="179"/>
  <c r="CT51" i="179"/>
  <c r="Z51" i="179"/>
  <c r="BP51" i="179"/>
  <c r="CB51" i="179"/>
  <c r="AX51" i="179"/>
  <c r="FB51" i="179"/>
  <c r="AR51" i="179"/>
  <c r="AL51" i="179"/>
  <c r="DX51" i="179"/>
  <c r="AF51" i="179"/>
  <c r="BJ51" i="179"/>
  <c r="CN51" i="179"/>
  <c r="GF51" i="179"/>
  <c r="BH118" i="179"/>
  <c r="DV118" i="179"/>
  <c r="AD118" i="179"/>
  <c r="GD118" i="179"/>
  <c r="AP118" i="179"/>
  <c r="CF118" i="179"/>
  <c r="BN118" i="179"/>
  <c r="EZ118" i="179"/>
  <c r="AJ118" i="179"/>
  <c r="BT118" i="179"/>
  <c r="CR118" i="179"/>
  <c r="CL118" i="179"/>
  <c r="BB118" i="179"/>
  <c r="X118" i="179"/>
  <c r="BZ118" i="179"/>
  <c r="AV118" i="179"/>
  <c r="AV190" i="179"/>
  <c r="CL190" i="179"/>
  <c r="BB190" i="179"/>
  <c r="CR190" i="179"/>
  <c r="X190" i="179"/>
  <c r="BN190" i="179"/>
  <c r="AJ190" i="179"/>
  <c r="BZ190" i="179"/>
  <c r="DV190" i="179"/>
  <c r="AD190" i="179"/>
  <c r="CF190" i="179"/>
  <c r="GD190" i="179"/>
  <c r="EZ190" i="179"/>
  <c r="BT190" i="179"/>
  <c r="BH190" i="179"/>
  <c r="AP190" i="179"/>
  <c r="CL84" i="179"/>
  <c r="BH84" i="179"/>
  <c r="DV84" i="179"/>
  <c r="AD84" i="179"/>
  <c r="BT84" i="179"/>
  <c r="GD84" i="179"/>
  <c r="AP84" i="179"/>
  <c r="CF84" i="179"/>
  <c r="BB84" i="179"/>
  <c r="CR84" i="179"/>
  <c r="X84" i="179"/>
  <c r="BN84" i="179"/>
  <c r="EZ84" i="179"/>
  <c r="AJ84" i="179"/>
  <c r="BZ84" i="179"/>
  <c r="AV84" i="179"/>
  <c r="CE154" i="179"/>
  <c r="CK154" i="179"/>
  <c r="BM154" i="179"/>
  <c r="CQ154" i="179"/>
  <c r="AU154" i="179"/>
  <c r="DU154" i="179"/>
  <c r="BG154" i="179"/>
  <c r="BA154" i="179"/>
  <c r="GC154" i="179"/>
  <c r="AC154" i="179"/>
  <c r="BS154" i="179"/>
  <c r="EY154" i="179"/>
  <c r="AO154" i="179"/>
  <c r="BY154" i="179"/>
  <c r="AI154" i="179"/>
  <c r="W154" i="179"/>
  <c r="GE50" i="179"/>
  <c r="CG50" i="179"/>
  <c r="BC50" i="179"/>
  <c r="BO50" i="179"/>
  <c r="FA50" i="179"/>
  <c r="AK50" i="179"/>
  <c r="AQ50" i="179"/>
  <c r="BI50" i="179"/>
  <c r="CA50" i="179"/>
  <c r="DW50" i="179"/>
  <c r="CS50" i="179"/>
  <c r="AE50" i="179"/>
  <c r="BU50" i="179"/>
  <c r="AW50" i="179"/>
  <c r="Y50" i="179"/>
  <c r="CM50" i="179"/>
  <c r="DX87" i="179"/>
  <c r="AF87" i="179"/>
  <c r="BV87" i="179"/>
  <c r="FB87" i="179"/>
  <c r="CN87" i="179"/>
  <c r="BD87" i="179"/>
  <c r="AL87" i="179"/>
  <c r="CH87" i="179"/>
  <c r="BP87" i="179"/>
  <c r="AX87" i="179"/>
  <c r="GF87" i="179"/>
  <c r="CT87" i="179"/>
  <c r="CB87" i="179"/>
  <c r="BJ87" i="179"/>
  <c r="AR87" i="179"/>
  <c r="Z87" i="179"/>
  <c r="BI128" i="179"/>
  <c r="BO128" i="179"/>
  <c r="FA128" i="179"/>
  <c r="CG128" i="179"/>
  <c r="GE128" i="179"/>
  <c r="CA128" i="179"/>
  <c r="BC128" i="179"/>
  <c r="DW128" i="179"/>
  <c r="Y128" i="179"/>
  <c r="BU128" i="179"/>
  <c r="AW128" i="179"/>
  <c r="CS128" i="179"/>
  <c r="AQ128" i="179"/>
  <c r="CM128" i="179"/>
  <c r="AK128" i="179"/>
  <c r="AE128" i="179"/>
  <c r="CH169" i="179"/>
  <c r="BD169" i="179"/>
  <c r="CN169" i="179"/>
  <c r="BJ169" i="179"/>
  <c r="DX169" i="179"/>
  <c r="AF169" i="179"/>
  <c r="FB169" i="179"/>
  <c r="AX169" i="179"/>
  <c r="BP169" i="179"/>
  <c r="AR169" i="179"/>
  <c r="Z169" i="179"/>
  <c r="CT169" i="179"/>
  <c r="CB169" i="179"/>
  <c r="AL169" i="179"/>
  <c r="GF169" i="179"/>
  <c r="BV169" i="179"/>
  <c r="BT213" i="179"/>
  <c r="GD213" i="179"/>
  <c r="AP213" i="179"/>
  <c r="EZ213" i="179"/>
  <c r="AJ213" i="179"/>
  <c r="BZ213" i="179"/>
  <c r="AV213" i="179"/>
  <c r="BN213" i="179"/>
  <c r="X213" i="179"/>
  <c r="CR213" i="179"/>
  <c r="CL213" i="179"/>
  <c r="CF213" i="179"/>
  <c r="BH213" i="179"/>
  <c r="DV213" i="179"/>
  <c r="BB213" i="179"/>
  <c r="AD213" i="179"/>
  <c r="CE78" i="179"/>
  <c r="BA78" i="179"/>
  <c r="CQ78" i="179"/>
  <c r="W78" i="179"/>
  <c r="BM78" i="179"/>
  <c r="EY78" i="179"/>
  <c r="AI78" i="179"/>
  <c r="BY78" i="179"/>
  <c r="AU78" i="179"/>
  <c r="CK78" i="179"/>
  <c r="BG78" i="179"/>
  <c r="DU78" i="179"/>
  <c r="AC78" i="179"/>
  <c r="BS78" i="179"/>
  <c r="AO78" i="179"/>
  <c r="GC78" i="179"/>
  <c r="BV118" i="179"/>
  <c r="GF118" i="179"/>
  <c r="AR118" i="179"/>
  <c r="BD118" i="179"/>
  <c r="CT118" i="179"/>
  <c r="Z118" i="179"/>
  <c r="CB118" i="179"/>
  <c r="AX118" i="179"/>
  <c r="DX118" i="179"/>
  <c r="BP118" i="179"/>
  <c r="AL118" i="179"/>
  <c r="CN118" i="179"/>
  <c r="BJ118" i="179"/>
  <c r="AF118" i="179"/>
  <c r="CH118" i="179"/>
  <c r="FB118" i="179"/>
  <c r="BB160" i="179"/>
  <c r="CR160" i="179"/>
  <c r="BH160" i="179"/>
  <c r="DV160" i="179"/>
  <c r="AD160" i="179"/>
  <c r="BT160" i="179"/>
  <c r="EZ160" i="179"/>
  <c r="CF160" i="179"/>
  <c r="AJ160" i="179"/>
  <c r="CL160" i="179"/>
  <c r="GD160" i="179"/>
  <c r="AP160" i="179"/>
  <c r="BN160" i="179"/>
  <c r="X160" i="179"/>
  <c r="BZ160" i="179"/>
  <c r="AV160" i="179"/>
  <c r="BA201" i="179"/>
  <c r="BM201" i="179"/>
  <c r="AO201" i="179"/>
  <c r="W201" i="179"/>
  <c r="EY201" i="179"/>
  <c r="CE201" i="179"/>
  <c r="AU201" i="179"/>
  <c r="AC201" i="179"/>
  <c r="BS201" i="179"/>
  <c r="DU201" i="179"/>
  <c r="GC201" i="179"/>
  <c r="BY201" i="179"/>
  <c r="BG201" i="179"/>
  <c r="CQ201" i="179"/>
  <c r="CK201" i="179"/>
  <c r="AI201" i="179"/>
  <c r="BM69" i="179"/>
  <c r="BS69" i="179"/>
  <c r="GC69" i="179"/>
  <c r="AO69" i="179"/>
  <c r="DU69" i="179"/>
  <c r="W69" i="179"/>
  <c r="BY69" i="179"/>
  <c r="BG69" i="179"/>
  <c r="CQ69" i="179"/>
  <c r="AI69" i="179"/>
  <c r="BA69" i="179"/>
  <c r="EY69" i="179"/>
  <c r="CK69" i="179"/>
  <c r="AU69" i="179"/>
  <c r="AC69" i="179"/>
  <c r="CE69" i="179"/>
  <c r="GE108" i="179"/>
  <c r="AQ108" i="179"/>
  <c r="DW108" i="179"/>
  <c r="Y108" i="179"/>
  <c r="CG108" i="179"/>
  <c r="BC108" i="179"/>
  <c r="AK108" i="179"/>
  <c r="CS108" i="179"/>
  <c r="BO108" i="179"/>
  <c r="CA108" i="179"/>
  <c r="AW108" i="179"/>
  <c r="FA108" i="179"/>
  <c r="AE108" i="179"/>
  <c r="CM108" i="179"/>
  <c r="BI108" i="179"/>
  <c r="BU108" i="179"/>
  <c r="CR150" i="179"/>
  <c r="BH150" i="179"/>
  <c r="DV150" i="179"/>
  <c r="AD150" i="179"/>
  <c r="GD150" i="179"/>
  <c r="EZ150" i="179"/>
  <c r="CL150" i="179"/>
  <c r="BN150" i="179"/>
  <c r="AV150" i="179"/>
  <c r="CF150" i="179"/>
  <c r="AJ150" i="179"/>
  <c r="BB150" i="179"/>
  <c r="X150" i="179"/>
  <c r="BZ150" i="179"/>
  <c r="AP150" i="179"/>
  <c r="BT150" i="179"/>
  <c r="BN192" i="179"/>
  <c r="CL192" i="179"/>
  <c r="AP192" i="179"/>
  <c r="BT192" i="179"/>
  <c r="GD192" i="179"/>
  <c r="AV192" i="179"/>
  <c r="CR192" i="179"/>
  <c r="BZ192" i="179"/>
  <c r="DV192" i="179"/>
  <c r="BB192" i="179"/>
  <c r="AD192" i="179"/>
  <c r="CF192" i="179"/>
  <c r="X192" i="179"/>
  <c r="BH192" i="179"/>
  <c r="EZ192" i="179"/>
  <c r="AJ192" i="179"/>
  <c r="BH61" i="179"/>
  <c r="BN61" i="179"/>
  <c r="CL61" i="179"/>
  <c r="BT61" i="179"/>
  <c r="BB61" i="179"/>
  <c r="AJ61" i="179"/>
  <c r="DV61" i="179"/>
  <c r="CF61" i="179"/>
  <c r="AV61" i="179"/>
  <c r="AD61" i="179"/>
  <c r="GD61" i="179"/>
  <c r="CR61" i="179"/>
  <c r="BZ61" i="179"/>
  <c r="AP61" i="179"/>
  <c r="X61" i="179"/>
  <c r="EZ61" i="179"/>
  <c r="BS100" i="179"/>
  <c r="GC100" i="179"/>
  <c r="AO100" i="179"/>
  <c r="CE100" i="179"/>
  <c r="BA100" i="179"/>
  <c r="CQ100" i="179"/>
  <c r="W100" i="179"/>
  <c r="BM100" i="179"/>
  <c r="EY100" i="179"/>
  <c r="AI100" i="179"/>
  <c r="BY100" i="179"/>
  <c r="AU100" i="179"/>
  <c r="CK100" i="179"/>
  <c r="AC100" i="179"/>
  <c r="DU100" i="179"/>
  <c r="BG100" i="179"/>
  <c r="CE142" i="179"/>
  <c r="CK142" i="179"/>
  <c r="AI142" i="179"/>
  <c r="AU142" i="179"/>
  <c r="AC142" i="179"/>
  <c r="BY142" i="179"/>
  <c r="BG142" i="179"/>
  <c r="AO142" i="179"/>
  <c r="W142" i="179"/>
  <c r="BM142" i="179"/>
  <c r="BA142" i="179"/>
  <c r="GC142" i="179"/>
  <c r="EY142" i="179"/>
  <c r="DU142" i="179"/>
  <c r="CQ142" i="179"/>
  <c r="BS142" i="179"/>
  <c r="FA181" i="179"/>
  <c r="AK181" i="179"/>
  <c r="CA181" i="179"/>
  <c r="GE181" i="179"/>
  <c r="AQ181" i="179"/>
  <c r="CG181" i="179"/>
  <c r="AE181" i="179"/>
  <c r="AW181" i="179"/>
  <c r="CM181" i="179"/>
  <c r="BO181" i="179"/>
  <c r="Y181" i="179"/>
  <c r="BI181" i="179"/>
  <c r="CS181" i="179"/>
  <c r="BC181" i="179"/>
  <c r="DW181" i="179"/>
  <c r="BU181" i="179"/>
  <c r="BU52" i="179"/>
  <c r="GE52" i="179"/>
  <c r="CG52" i="179"/>
  <c r="BC52" i="179"/>
  <c r="CS52" i="179"/>
  <c r="Y52" i="179"/>
  <c r="BO52" i="179"/>
  <c r="CA52" i="179"/>
  <c r="AW52" i="179"/>
  <c r="AQ52" i="179"/>
  <c r="AK52" i="179"/>
  <c r="FA52" i="179"/>
  <c r="AE52" i="179"/>
  <c r="BI52" i="179"/>
  <c r="DW52" i="179"/>
  <c r="CM52" i="179"/>
  <c r="GF89" i="179"/>
  <c r="AR89" i="179"/>
  <c r="CH89" i="179"/>
  <c r="BJ89" i="179"/>
  <c r="Z89" i="179"/>
  <c r="FB89" i="179"/>
  <c r="CN89" i="179"/>
  <c r="BD89" i="179"/>
  <c r="BV89" i="179"/>
  <c r="AL89" i="179"/>
  <c r="DX89" i="179"/>
  <c r="BP89" i="179"/>
  <c r="AX89" i="179"/>
  <c r="AF89" i="179"/>
  <c r="CB89" i="179"/>
  <c r="CT89" i="179"/>
  <c r="DU131" i="179"/>
  <c r="AC131" i="179"/>
  <c r="EY131" i="179"/>
  <c r="AI131" i="179"/>
  <c r="BY131" i="179"/>
  <c r="AU131" i="179"/>
  <c r="GC131" i="179"/>
  <c r="BS131" i="179"/>
  <c r="BA131" i="179"/>
  <c r="CK131" i="179"/>
  <c r="BM131" i="179"/>
  <c r="CE131" i="179"/>
  <c r="AO131" i="179"/>
  <c r="CQ131" i="179"/>
  <c r="BG131" i="179"/>
  <c r="W131" i="179"/>
  <c r="CT171" i="179"/>
  <c r="Z171" i="179"/>
  <c r="BP171" i="179"/>
  <c r="DX171" i="179"/>
  <c r="AF171" i="179"/>
  <c r="BV171" i="179"/>
  <c r="GF171" i="179"/>
  <c r="AR171" i="179"/>
  <c r="AX171" i="179"/>
  <c r="FB171" i="179"/>
  <c r="CH171" i="179"/>
  <c r="BJ171" i="179"/>
  <c r="CB171" i="179"/>
  <c r="AL171" i="179"/>
  <c r="CN171" i="179"/>
  <c r="BD171" i="179"/>
  <c r="CT215" i="179"/>
  <c r="Z215" i="179"/>
  <c r="BP215" i="179"/>
  <c r="BJ215" i="179"/>
  <c r="DX215" i="179"/>
  <c r="AF215" i="179"/>
  <c r="BV215" i="179"/>
  <c r="AL215" i="179"/>
  <c r="CN215" i="179"/>
  <c r="AX215" i="179"/>
  <c r="FB215" i="179"/>
  <c r="AR215" i="179"/>
  <c r="GF215" i="179"/>
  <c r="BD215" i="179"/>
  <c r="CH215" i="179"/>
  <c r="CB215" i="179"/>
  <c r="U74" i="180" l="1"/>
  <c r="U205" i="182"/>
  <c r="U66" i="180"/>
  <c r="U150" i="180"/>
  <c r="U103" i="179"/>
  <c r="U52" i="179"/>
  <c r="U210" i="179"/>
  <c r="U121" i="179"/>
  <c r="U81" i="180"/>
  <c r="U61" i="180"/>
  <c r="U201" i="180"/>
  <c r="U126" i="180"/>
  <c r="U201" i="179"/>
  <c r="U131" i="180"/>
  <c r="U178" i="180"/>
  <c r="U67" i="180"/>
  <c r="U75" i="180"/>
  <c r="U80" i="180"/>
  <c r="U190" i="180"/>
  <c r="U82" i="180"/>
  <c r="U126" i="179"/>
  <c r="U127" i="179"/>
  <c r="U186" i="179"/>
  <c r="U87" i="179"/>
  <c r="U134" i="179"/>
  <c r="U122" i="179"/>
  <c r="U117" i="179"/>
  <c r="U54" i="180"/>
  <c r="U48" i="183"/>
  <c r="U161" i="183"/>
  <c r="U69" i="183"/>
  <c r="U133" i="183"/>
  <c r="U109" i="180"/>
  <c r="U77" i="180"/>
  <c r="U85" i="180"/>
  <c r="U81" i="181"/>
  <c r="U152" i="181"/>
  <c r="U78" i="183"/>
  <c r="U101" i="183"/>
  <c r="U159" i="180"/>
  <c r="U89" i="180"/>
  <c r="U205" i="181"/>
  <c r="U78" i="181"/>
  <c r="U139" i="182"/>
  <c r="U174" i="182"/>
  <c r="U173" i="180"/>
  <c r="U191" i="181"/>
  <c r="U205" i="183"/>
  <c r="U174" i="183"/>
  <c r="U117" i="183"/>
  <c r="U101" i="180"/>
  <c r="U186" i="182"/>
  <c r="U212" i="182"/>
  <c r="U199" i="182"/>
  <c r="U76" i="182"/>
  <c r="U129" i="182"/>
  <c r="U162" i="182"/>
  <c r="U148" i="182"/>
  <c r="U116" i="180"/>
  <c r="U70" i="183"/>
  <c r="U73" i="183"/>
  <c r="U92" i="181"/>
  <c r="U64" i="181"/>
  <c r="U46" i="181"/>
  <c r="U47" i="183"/>
  <c r="U58" i="183"/>
  <c r="U76" i="183"/>
  <c r="U130" i="183"/>
  <c r="FA158" i="183"/>
  <c r="AK158" i="183"/>
  <c r="CA158" i="183"/>
  <c r="AW158" i="183"/>
  <c r="CG158" i="183"/>
  <c r="BC158" i="183"/>
  <c r="CS158" i="183"/>
  <c r="Y158" i="183"/>
  <c r="BO158" i="183"/>
  <c r="CM158" i="183"/>
  <c r="BI158" i="183"/>
  <c r="DW158" i="183"/>
  <c r="BU158" i="183"/>
  <c r="AQ158" i="183"/>
  <c r="AE158" i="183"/>
  <c r="GE158" i="183"/>
  <c r="U62" i="183"/>
  <c r="U57" i="183"/>
  <c r="U178" i="183"/>
  <c r="U125" i="183"/>
  <c r="U96" i="183"/>
  <c r="U192" i="183"/>
  <c r="U186" i="183"/>
  <c r="U162" i="183"/>
  <c r="U140" i="183"/>
  <c r="U171" i="183"/>
  <c r="U170" i="183"/>
  <c r="U167" i="183"/>
  <c r="U107" i="183"/>
  <c r="CA132" i="183"/>
  <c r="AW132" i="183"/>
  <c r="CM132" i="183"/>
  <c r="BC132" i="183"/>
  <c r="CS132" i="183"/>
  <c r="Y132" i="183"/>
  <c r="BO132" i="183"/>
  <c r="GE132" i="183"/>
  <c r="CG132" i="183"/>
  <c r="AK132" i="183"/>
  <c r="BI132" i="183"/>
  <c r="AE132" i="183"/>
  <c r="DW132" i="183"/>
  <c r="BU132" i="183"/>
  <c r="AQ132" i="183"/>
  <c r="FA132" i="183"/>
  <c r="U66" i="183"/>
  <c r="U164" i="183"/>
  <c r="U145" i="183"/>
  <c r="U49" i="183"/>
  <c r="U65" i="183"/>
  <c r="U110" i="183"/>
  <c r="U206" i="183"/>
  <c r="U91" i="183"/>
  <c r="U64" i="183"/>
  <c r="U121" i="183"/>
  <c r="U159" i="183"/>
  <c r="U144" i="183"/>
  <c r="U153" i="183"/>
  <c r="U132" i="183"/>
  <c r="U67" i="183"/>
  <c r="U136" i="183"/>
  <c r="U166" i="183"/>
  <c r="U212" i="183"/>
  <c r="U208" i="183"/>
  <c r="U195" i="183"/>
  <c r="U46" i="183"/>
  <c r="U114" i="183"/>
  <c r="U135" i="183"/>
  <c r="U126" i="183"/>
  <c r="U104" i="183"/>
  <c r="U81" i="183"/>
  <c r="U85" i="183"/>
  <c r="U97" i="183"/>
  <c r="U213" i="183"/>
  <c r="U115" i="183"/>
  <c r="U160" i="183"/>
  <c r="U210" i="183"/>
  <c r="U151" i="183"/>
  <c r="U215" i="183"/>
  <c r="U98" i="183"/>
  <c r="U157" i="183"/>
  <c r="U155" i="183"/>
  <c r="U165" i="183"/>
  <c r="U68" i="183"/>
  <c r="U74" i="183"/>
  <c r="U190" i="183"/>
  <c r="U141" i="183"/>
  <c r="U122" i="183"/>
  <c r="U44" i="183"/>
  <c r="U109" i="183"/>
  <c r="U61" i="183"/>
  <c r="U150" i="183"/>
  <c r="U84" i="183"/>
  <c r="U211" i="183"/>
  <c r="U54" i="183"/>
  <c r="U123" i="183"/>
  <c r="U89" i="183"/>
  <c r="U143" i="183"/>
  <c r="U191" i="183"/>
  <c r="U188" i="183"/>
  <c r="U201" i="183"/>
  <c r="U163" i="183"/>
  <c r="U176" i="183"/>
  <c r="U175" i="183"/>
  <c r="U181" i="183"/>
  <c r="U169" i="183"/>
  <c r="U51" i="183"/>
  <c r="U118" i="183"/>
  <c r="U124" i="183"/>
  <c r="U105" i="183"/>
  <c r="U93" i="183"/>
  <c r="U204" i="183"/>
  <c r="U137" i="183"/>
  <c r="U88" i="183"/>
  <c r="U100" i="183"/>
  <c r="U199" i="183"/>
  <c r="U92" i="183"/>
  <c r="U139" i="183"/>
  <c r="U127" i="183"/>
  <c r="U134" i="183"/>
  <c r="U75" i="183"/>
  <c r="U63" i="183"/>
  <c r="U138" i="183"/>
  <c r="U214" i="183"/>
  <c r="U55" i="183"/>
  <c r="U99" i="183"/>
  <c r="U173" i="183"/>
  <c r="U154" i="183"/>
  <c r="U45" i="183"/>
  <c r="U56" i="183"/>
  <c r="U185" i="183"/>
  <c r="U106" i="183"/>
  <c r="U60" i="183"/>
  <c r="U172" i="183"/>
  <c r="U113" i="183"/>
  <c r="U147" i="183"/>
  <c r="U80" i="183"/>
  <c r="U111" i="183"/>
  <c r="U128" i="183"/>
  <c r="U50" i="183"/>
  <c r="U194" i="183"/>
  <c r="U196" i="183"/>
  <c r="U149" i="183"/>
  <c r="U129" i="183"/>
  <c r="U198" i="183"/>
  <c r="U131" i="183"/>
  <c r="U108" i="183"/>
  <c r="U94" i="183"/>
  <c r="U82" i="183"/>
  <c r="U156" i="183"/>
  <c r="U87" i="183"/>
  <c r="U119" i="183"/>
  <c r="U180" i="183"/>
  <c r="U95" i="183"/>
  <c r="U83" i="183"/>
  <c r="U197" i="183"/>
  <c r="U116" i="183"/>
  <c r="U207" i="183"/>
  <c r="U72" i="183"/>
  <c r="U209" i="183"/>
  <c r="U158" i="183"/>
  <c r="U103" i="183"/>
  <c r="U193" i="183"/>
  <c r="BC142" i="183"/>
  <c r="CS142" i="183"/>
  <c r="Y142" i="183"/>
  <c r="BO142" i="183"/>
  <c r="DW142" i="183"/>
  <c r="AE142" i="183"/>
  <c r="BU142" i="183"/>
  <c r="GE142" i="183"/>
  <c r="AQ142" i="183"/>
  <c r="CM142" i="183"/>
  <c r="CG142" i="183"/>
  <c r="FA142" i="183"/>
  <c r="AW142" i="183"/>
  <c r="AK142" i="183"/>
  <c r="CA142" i="183"/>
  <c r="BI142" i="183"/>
  <c r="U179" i="183"/>
  <c r="U189" i="183"/>
  <c r="U79" i="183"/>
  <c r="U168" i="183"/>
  <c r="U52" i="183"/>
  <c r="U71" i="183"/>
  <c r="U200" i="183"/>
  <c r="U77" i="183"/>
  <c r="U112" i="183"/>
  <c r="U102" i="183"/>
  <c r="U120" i="183"/>
  <c r="U152" i="183"/>
  <c r="U142" i="183"/>
  <c r="U148" i="183"/>
  <c r="U177" i="183"/>
  <c r="U86" i="183"/>
  <c r="U59" i="183"/>
  <c r="U146" i="183"/>
  <c r="U187" i="183"/>
  <c r="U53" i="183"/>
  <c r="U152" i="182"/>
  <c r="U115" i="182"/>
  <c r="U159" i="182"/>
  <c r="U190" i="182"/>
  <c r="U106" i="182"/>
  <c r="U117" i="182"/>
  <c r="U64" i="182"/>
  <c r="U126" i="182"/>
  <c r="U169" i="182"/>
  <c r="U56" i="182"/>
  <c r="U141" i="182"/>
  <c r="U157" i="182"/>
  <c r="U105" i="182"/>
  <c r="U109" i="182"/>
  <c r="U142" i="182"/>
  <c r="U82" i="182"/>
  <c r="U97" i="182"/>
  <c r="U102" i="182"/>
  <c r="U44" i="182"/>
  <c r="U60" i="182"/>
  <c r="U113" i="182"/>
  <c r="U74" i="182"/>
  <c r="U136" i="182"/>
  <c r="U181" i="182"/>
  <c r="U110" i="182"/>
  <c r="U58" i="182"/>
  <c r="U123" i="182"/>
  <c r="U99" i="182"/>
  <c r="U100" i="182"/>
  <c r="U79" i="182"/>
  <c r="U196" i="182"/>
  <c r="U165" i="182"/>
  <c r="U198" i="182"/>
  <c r="U68" i="182"/>
  <c r="U167" i="182"/>
  <c r="U143" i="182"/>
  <c r="U189" i="182"/>
  <c r="U137" i="182"/>
  <c r="U125" i="182"/>
  <c r="U59" i="182"/>
  <c r="BI142" i="182"/>
  <c r="DW142" i="182"/>
  <c r="AE142" i="182"/>
  <c r="BU142" i="182"/>
  <c r="BO142" i="182"/>
  <c r="CA142" i="182"/>
  <c r="AK142" i="182"/>
  <c r="CM142" i="182"/>
  <c r="AW142" i="182"/>
  <c r="FA142" i="182"/>
  <c r="CG142" i="182"/>
  <c r="AQ142" i="182"/>
  <c r="GE142" i="182"/>
  <c r="CS142" i="182"/>
  <c r="BC142" i="182"/>
  <c r="Y142" i="182"/>
  <c r="U168" i="182"/>
  <c r="U118" i="182"/>
  <c r="U201" i="182"/>
  <c r="U173" i="182"/>
  <c r="U88" i="182"/>
  <c r="U75" i="182"/>
  <c r="U63" i="182"/>
  <c r="CM158" i="182"/>
  <c r="BI158" i="182"/>
  <c r="BU158" i="182"/>
  <c r="CG158" i="182"/>
  <c r="BC158" i="182"/>
  <c r="CS158" i="182"/>
  <c r="Y158" i="182"/>
  <c r="FA158" i="182"/>
  <c r="AK158" i="182"/>
  <c r="CA158" i="182"/>
  <c r="AQ158" i="182"/>
  <c r="GE158" i="182"/>
  <c r="DW158" i="182"/>
  <c r="AE158" i="182"/>
  <c r="BO158" i="182"/>
  <c r="AW158" i="182"/>
  <c r="U207" i="182"/>
  <c r="U151" i="182"/>
  <c r="U98" i="182"/>
  <c r="U215" i="182"/>
  <c r="U84" i="182"/>
  <c r="U200" i="182"/>
  <c r="U138" i="182"/>
  <c r="U211" i="182"/>
  <c r="U188" i="182"/>
  <c r="U214" i="182"/>
  <c r="U87" i="182"/>
  <c r="U127" i="182"/>
  <c r="U101" i="182"/>
  <c r="U57" i="182"/>
  <c r="U155" i="182"/>
  <c r="U156" i="182"/>
  <c r="U95" i="182"/>
  <c r="U122" i="182"/>
  <c r="U171" i="182"/>
  <c r="U209" i="182"/>
  <c r="U197" i="182"/>
  <c r="U131" i="182"/>
  <c r="U158" i="182"/>
  <c r="U77" i="182"/>
  <c r="U67" i="182"/>
  <c r="U111" i="182"/>
  <c r="U78" i="182"/>
  <c r="U187" i="182"/>
  <c r="U65" i="182"/>
  <c r="U48" i="182"/>
  <c r="U47" i="182"/>
  <c r="U147" i="182"/>
  <c r="U176" i="182"/>
  <c r="U153" i="182"/>
  <c r="U80" i="182"/>
  <c r="U81" i="182"/>
  <c r="U213" i="182"/>
  <c r="U89" i="182"/>
  <c r="U191" i="182"/>
  <c r="U51" i="182"/>
  <c r="U194" i="182"/>
  <c r="U154" i="182"/>
  <c r="U55" i="182"/>
  <c r="U132" i="182"/>
  <c r="U66" i="182"/>
  <c r="U172" i="182"/>
  <c r="U178" i="182"/>
  <c r="U121" i="182"/>
  <c r="U85" i="182"/>
  <c r="U134" i="182"/>
  <c r="U93" i="182"/>
  <c r="U130" i="182"/>
  <c r="U50" i="182"/>
  <c r="U54" i="182"/>
  <c r="U94" i="182"/>
  <c r="U177" i="182"/>
  <c r="U179" i="182"/>
  <c r="U192" i="182"/>
  <c r="U45" i="182"/>
  <c r="U210" i="182"/>
  <c r="U146" i="182"/>
  <c r="U140" i="182"/>
  <c r="U72" i="182"/>
  <c r="U86" i="182"/>
  <c r="U128" i="182"/>
  <c r="U103" i="182"/>
  <c r="U124" i="182"/>
  <c r="U96" i="182"/>
  <c r="U119" i="182"/>
  <c r="U108" i="182"/>
  <c r="U62" i="182"/>
  <c r="U104" i="182"/>
  <c r="U107" i="182"/>
  <c r="U208" i="182"/>
  <c r="U73" i="182"/>
  <c r="U161" i="182"/>
  <c r="U170" i="182"/>
  <c r="U46" i="182"/>
  <c r="U92" i="182"/>
  <c r="U116" i="182"/>
  <c r="U164" i="182"/>
  <c r="U49" i="182"/>
  <c r="U149" i="182"/>
  <c r="U160" i="182"/>
  <c r="U166" i="182"/>
  <c r="U69" i="182"/>
  <c r="U114" i="182"/>
  <c r="U204" i="182"/>
  <c r="U133" i="182"/>
  <c r="U180" i="182"/>
  <c r="U83" i="182"/>
  <c r="U91" i="182"/>
  <c r="U193" i="182"/>
  <c r="U71" i="182"/>
  <c r="U112" i="182"/>
  <c r="U145" i="182"/>
  <c r="BU132" i="182"/>
  <c r="GE132" i="182"/>
  <c r="AQ132" i="182"/>
  <c r="CG132" i="182"/>
  <c r="FA132" i="182"/>
  <c r="AK132" i="182"/>
  <c r="CA132" i="182"/>
  <c r="AW132" i="182"/>
  <c r="Y132" i="182"/>
  <c r="DW132" i="182"/>
  <c r="BO132" i="182"/>
  <c r="CM132" i="182"/>
  <c r="BC132" i="182"/>
  <c r="BI132" i="182"/>
  <c r="CS132" i="182"/>
  <c r="AE132" i="182"/>
  <c r="U70" i="182"/>
  <c r="U163" i="182"/>
  <c r="U150" i="182"/>
  <c r="U120" i="182"/>
  <c r="U175" i="182"/>
  <c r="U61" i="182"/>
  <c r="U195" i="182"/>
  <c r="U144" i="182"/>
  <c r="U53" i="182"/>
  <c r="U185" i="182"/>
  <c r="U52" i="182"/>
  <c r="U135" i="182"/>
  <c r="U206" i="182"/>
  <c r="U164" i="181"/>
  <c r="U200" i="181"/>
  <c r="U127" i="181"/>
  <c r="U158" i="181"/>
  <c r="U138" i="181"/>
  <c r="U98" i="181"/>
  <c r="U136" i="181"/>
  <c r="U139" i="181"/>
  <c r="U196" i="181"/>
  <c r="U213" i="181"/>
  <c r="U189" i="181"/>
  <c r="U194" i="181"/>
  <c r="U187" i="181"/>
  <c r="U145" i="181"/>
  <c r="U178" i="181"/>
  <c r="U109" i="181"/>
  <c r="U208" i="181"/>
  <c r="U162" i="181"/>
  <c r="U123" i="181"/>
  <c r="U149" i="181"/>
  <c r="U121" i="181"/>
  <c r="BO158" i="181"/>
  <c r="FA158" i="181"/>
  <c r="AK158" i="181"/>
  <c r="AW158" i="181"/>
  <c r="BI158" i="181"/>
  <c r="DW158" i="181"/>
  <c r="AE158" i="181"/>
  <c r="BU158" i="181"/>
  <c r="CG158" i="181"/>
  <c r="BC158" i="181"/>
  <c r="GE158" i="181"/>
  <c r="CS158" i="181"/>
  <c r="AQ158" i="181"/>
  <c r="CA158" i="181"/>
  <c r="Y158" i="181"/>
  <c r="CM158" i="181"/>
  <c r="U180" i="181"/>
  <c r="U99" i="181"/>
  <c r="U93" i="181"/>
  <c r="U144" i="181"/>
  <c r="U195" i="181"/>
  <c r="U148" i="181"/>
  <c r="U126" i="181"/>
  <c r="U124" i="181"/>
  <c r="U131" i="181"/>
  <c r="U47" i="181"/>
  <c r="U94" i="181"/>
  <c r="U48" i="181"/>
  <c r="U169" i="181"/>
  <c r="U89" i="181"/>
  <c r="U168" i="181"/>
  <c r="U201" i="181"/>
  <c r="U52" i="181"/>
  <c r="U163" i="181"/>
  <c r="U128" i="181"/>
  <c r="U87" i="181"/>
  <c r="U147" i="181"/>
  <c r="U142" i="181"/>
  <c r="U74" i="181"/>
  <c r="U190" i="181"/>
  <c r="U146" i="181"/>
  <c r="U167" i="181"/>
  <c r="DW132" i="181"/>
  <c r="AE132" i="181"/>
  <c r="BU132" i="181"/>
  <c r="GE132" i="181"/>
  <c r="AQ132" i="181"/>
  <c r="CG132" i="181"/>
  <c r="CS132" i="181"/>
  <c r="Y132" i="181"/>
  <c r="BO132" i="181"/>
  <c r="FA132" i="181"/>
  <c r="AK132" i="181"/>
  <c r="AW132" i="181"/>
  <c r="CM132" i="181"/>
  <c r="CA132" i="181"/>
  <c r="BI132" i="181"/>
  <c r="BC132" i="181"/>
  <c r="U107" i="181"/>
  <c r="U103" i="181"/>
  <c r="U198" i="181"/>
  <c r="U154" i="181"/>
  <c r="U70" i="181"/>
  <c r="U120" i="181"/>
  <c r="U214" i="181"/>
  <c r="U58" i="181"/>
  <c r="U133" i="181"/>
  <c r="U210" i="181"/>
  <c r="U50" i="181"/>
  <c r="U77" i="181"/>
  <c r="U130" i="181"/>
  <c r="U71" i="181"/>
  <c r="U116" i="181"/>
  <c r="U68" i="181"/>
  <c r="U207" i="181"/>
  <c r="U102" i="181"/>
  <c r="U44" i="181"/>
  <c r="U83" i="181"/>
  <c r="U204" i="181"/>
  <c r="U153" i="181"/>
  <c r="U57" i="181"/>
  <c r="U172" i="181"/>
  <c r="U129" i="181"/>
  <c r="U134" i="181"/>
  <c r="U173" i="181"/>
  <c r="U171" i="181"/>
  <c r="U86" i="181"/>
  <c r="U85" i="181"/>
  <c r="U176" i="181"/>
  <c r="U62" i="181"/>
  <c r="U96" i="181"/>
  <c r="U66" i="181"/>
  <c r="U125" i="181"/>
  <c r="U61" i="181"/>
  <c r="U84" i="181"/>
  <c r="BI142" i="181"/>
  <c r="DW142" i="181"/>
  <c r="AE142" i="181"/>
  <c r="GE142" i="181"/>
  <c r="AQ142" i="181"/>
  <c r="BC142" i="181"/>
  <c r="CS142" i="181"/>
  <c r="Y142" i="181"/>
  <c r="CA142" i="181"/>
  <c r="AW142" i="181"/>
  <c r="CM142" i="181"/>
  <c r="CG142" i="181"/>
  <c r="BU142" i="181"/>
  <c r="AK142" i="181"/>
  <c r="FA142" i="181"/>
  <c r="BO142" i="181"/>
  <c r="U197" i="181"/>
  <c r="U135" i="181"/>
  <c r="U60" i="181"/>
  <c r="U53" i="181"/>
  <c r="U113" i="181"/>
  <c r="U51" i="181"/>
  <c r="U115" i="181"/>
  <c r="U157" i="181"/>
  <c r="U181" i="181"/>
  <c r="U211" i="181"/>
  <c r="U117" i="181"/>
  <c r="U76" i="181"/>
  <c r="U75" i="181"/>
  <c r="U165" i="181"/>
  <c r="U112" i="181"/>
  <c r="U56" i="181"/>
  <c r="U192" i="181"/>
  <c r="U174" i="181"/>
  <c r="U45" i="181"/>
  <c r="U80" i="181"/>
  <c r="U159" i="181"/>
  <c r="U179" i="181"/>
  <c r="U110" i="181"/>
  <c r="U151" i="181"/>
  <c r="U100" i="181"/>
  <c r="U186" i="181"/>
  <c r="U166" i="181"/>
  <c r="U188" i="181"/>
  <c r="U97" i="181"/>
  <c r="U106" i="181"/>
  <c r="U118" i="181"/>
  <c r="U141" i="181"/>
  <c r="U119" i="181"/>
  <c r="U88" i="181"/>
  <c r="U104" i="181"/>
  <c r="U55" i="181"/>
  <c r="U105" i="181"/>
  <c r="U199" i="181"/>
  <c r="U193" i="181"/>
  <c r="U150" i="181"/>
  <c r="U67" i="181"/>
  <c r="U175" i="181"/>
  <c r="U137" i="181"/>
  <c r="U82" i="181"/>
  <c r="U54" i="181"/>
  <c r="U185" i="181"/>
  <c r="U111" i="181"/>
  <c r="U155" i="181"/>
  <c r="U206" i="181"/>
  <c r="U122" i="181"/>
  <c r="U65" i="181"/>
  <c r="U215" i="181"/>
  <c r="U79" i="181"/>
  <c r="U95" i="181"/>
  <c r="U91" i="181"/>
  <c r="U114" i="181"/>
  <c r="U177" i="181"/>
  <c r="U132" i="181"/>
  <c r="U49" i="181"/>
  <c r="U161" i="181"/>
  <c r="U209" i="181"/>
  <c r="U212" i="181"/>
  <c r="U140" i="181"/>
  <c r="U170" i="181"/>
  <c r="U101" i="181"/>
  <c r="U69" i="181"/>
  <c r="U143" i="181"/>
  <c r="U59" i="181"/>
  <c r="U73" i="181"/>
  <c r="U63" i="181"/>
  <c r="U72" i="181"/>
  <c r="U156" i="181"/>
  <c r="U108" i="181"/>
  <c r="U160" i="181"/>
  <c r="U79" i="180"/>
  <c r="U166" i="180"/>
  <c r="U199" i="180"/>
  <c r="U112" i="180"/>
  <c r="U214" i="180"/>
  <c r="U149" i="180"/>
  <c r="U139" i="180"/>
  <c r="U65" i="180"/>
  <c r="U129" i="180"/>
  <c r="U140" i="180"/>
  <c r="U83" i="180"/>
  <c r="U170" i="180"/>
  <c r="U86" i="180"/>
  <c r="U78" i="180"/>
  <c r="U125" i="180"/>
  <c r="U84" i="180"/>
  <c r="U94" i="180"/>
  <c r="U73" i="180"/>
  <c r="U72" i="180"/>
  <c r="U213" i="180"/>
  <c r="U209" i="180"/>
  <c r="U148" i="180"/>
  <c r="U189" i="180"/>
  <c r="U115" i="180"/>
  <c r="U107" i="180"/>
  <c r="U47" i="180"/>
  <c r="U210" i="180"/>
  <c r="U53" i="180"/>
  <c r="U207" i="180"/>
  <c r="U105" i="180"/>
  <c r="U146" i="180"/>
  <c r="U204" i="180"/>
  <c r="U99" i="180"/>
  <c r="U176" i="180"/>
  <c r="U44" i="180"/>
  <c r="U76" i="180"/>
  <c r="U96" i="180"/>
  <c r="U144" i="180"/>
  <c r="U92" i="180"/>
  <c r="U145" i="180"/>
  <c r="CS158" i="180"/>
  <c r="BU158" i="180"/>
  <c r="CG158" i="180"/>
  <c r="AW158" i="180"/>
  <c r="BO158" i="180"/>
  <c r="GE158" i="180"/>
  <c r="CM158" i="180"/>
  <c r="Y158" i="180"/>
  <c r="DW158" i="180"/>
  <c r="CA158" i="180"/>
  <c r="BC158" i="180"/>
  <c r="AE158" i="180"/>
  <c r="AK158" i="180"/>
  <c r="FA158" i="180"/>
  <c r="AQ158" i="180"/>
  <c r="BI158" i="180"/>
  <c r="U46" i="180"/>
  <c r="U152" i="180"/>
  <c r="U62" i="180"/>
  <c r="U168" i="180"/>
  <c r="U194" i="180"/>
  <c r="U143" i="180"/>
  <c r="U64" i="180"/>
  <c r="U195" i="180"/>
  <c r="U103" i="180"/>
  <c r="U169" i="180"/>
  <c r="U68" i="180"/>
  <c r="U51" i="180"/>
  <c r="U48" i="180"/>
  <c r="U135" i="180"/>
  <c r="U120" i="180"/>
  <c r="U141" i="180"/>
  <c r="U132" i="180"/>
  <c r="U196" i="180"/>
  <c r="U63" i="180"/>
  <c r="U121" i="180"/>
  <c r="U56" i="180"/>
  <c r="U197" i="180"/>
  <c r="U155" i="180"/>
  <c r="U55" i="180"/>
  <c r="U128" i="180"/>
  <c r="U91" i="180"/>
  <c r="U171" i="180"/>
  <c r="U206" i="180"/>
  <c r="U177" i="180"/>
  <c r="U153" i="180"/>
  <c r="U174" i="180"/>
  <c r="U200" i="180"/>
  <c r="BC132" i="180"/>
  <c r="BU132" i="180"/>
  <c r="GE132" i="180"/>
  <c r="AQ132" i="180"/>
  <c r="CG132" i="180"/>
  <c r="AW132" i="180"/>
  <c r="Y132" i="180"/>
  <c r="CM132" i="180"/>
  <c r="BO132" i="180"/>
  <c r="FA132" i="180"/>
  <c r="BI132" i="180"/>
  <c r="AK132" i="180"/>
  <c r="DW132" i="180"/>
  <c r="CA132" i="180"/>
  <c r="CS132" i="180"/>
  <c r="AE132" i="180"/>
  <c r="U110" i="180"/>
  <c r="U175" i="180"/>
  <c r="U211" i="180"/>
  <c r="U70" i="180"/>
  <c r="U212" i="180"/>
  <c r="U106" i="180"/>
  <c r="U198" i="180"/>
  <c r="U93" i="180"/>
  <c r="U111" i="180"/>
  <c r="U186" i="180"/>
  <c r="U215" i="180"/>
  <c r="U119" i="180"/>
  <c r="U158" i="180"/>
  <c r="U167" i="180"/>
  <c r="U142" i="180"/>
  <c r="U100" i="180"/>
  <c r="U180" i="180"/>
  <c r="U50" i="180"/>
  <c r="U97" i="180"/>
  <c r="U162" i="180"/>
  <c r="U60" i="180"/>
  <c r="U137" i="180"/>
  <c r="U71" i="180"/>
  <c r="U59" i="180"/>
  <c r="U165" i="180"/>
  <c r="U130" i="180"/>
  <c r="U88" i="180"/>
  <c r="U181" i="180"/>
  <c r="U108" i="180"/>
  <c r="U160" i="180"/>
  <c r="U172" i="180"/>
  <c r="U133" i="180"/>
  <c r="U157" i="180"/>
  <c r="U102" i="180"/>
  <c r="U69" i="180"/>
  <c r="U193" i="180"/>
  <c r="U192" i="180"/>
  <c r="U127" i="180"/>
  <c r="U138" i="180"/>
  <c r="U57" i="180"/>
  <c r="U147" i="180"/>
  <c r="U187" i="180"/>
  <c r="U52" i="180"/>
  <c r="U87" i="180"/>
  <c r="U134" i="180"/>
  <c r="U45" i="180"/>
  <c r="U123" i="180"/>
  <c r="U104" i="180"/>
  <c r="U205" i="180"/>
  <c r="U191" i="180"/>
  <c r="U161" i="180"/>
  <c r="U156" i="180"/>
  <c r="U113" i="180"/>
  <c r="U164" i="180"/>
  <c r="U118" i="180"/>
  <c r="U114" i="180"/>
  <c r="U188" i="180"/>
  <c r="U185" i="180"/>
  <c r="U124" i="180"/>
  <c r="U136" i="180"/>
  <c r="U95" i="180"/>
  <c r="U208" i="180"/>
  <c r="U154" i="180"/>
  <c r="U151" i="180"/>
  <c r="U58" i="180"/>
  <c r="U163" i="180"/>
  <c r="U49" i="180"/>
  <c r="U98" i="180"/>
  <c r="BI142" i="180"/>
  <c r="GE142" i="180"/>
  <c r="AK142" i="180"/>
  <c r="BO142" i="180"/>
  <c r="CS142" i="180"/>
  <c r="AW142" i="180"/>
  <c r="CA142" i="180"/>
  <c r="AE142" i="180"/>
  <c r="DW142" i="180"/>
  <c r="Y142" i="180"/>
  <c r="BC142" i="180"/>
  <c r="CG142" i="180"/>
  <c r="BU142" i="180"/>
  <c r="FA142" i="180"/>
  <c r="CM142" i="180"/>
  <c r="AQ142" i="180"/>
  <c r="U122" i="180"/>
  <c r="U179" i="180"/>
  <c r="U117" i="180"/>
  <c r="U154" i="179"/>
  <c r="U212" i="179"/>
  <c r="U97" i="179"/>
  <c r="U162" i="179"/>
  <c r="U108" i="179"/>
  <c r="U86" i="179"/>
  <c r="U102" i="179"/>
  <c r="U166" i="179"/>
  <c r="U157" i="179"/>
  <c r="U133" i="179"/>
  <c r="U193" i="179"/>
  <c r="U188" i="179"/>
  <c r="CM158" i="179"/>
  <c r="BI158" i="179"/>
  <c r="DW158" i="179"/>
  <c r="AE158" i="179"/>
  <c r="BU158" i="179"/>
  <c r="BC158" i="179"/>
  <c r="AK158" i="179"/>
  <c r="AQ158" i="179"/>
  <c r="Y158" i="179"/>
  <c r="AW158" i="179"/>
  <c r="BO158" i="179"/>
  <c r="GE158" i="179"/>
  <c r="CG158" i="179"/>
  <c r="FA158" i="179"/>
  <c r="CA158" i="179"/>
  <c r="CS158" i="179"/>
  <c r="U77" i="179"/>
  <c r="U180" i="179"/>
  <c r="U158" i="179"/>
  <c r="U199" i="179"/>
  <c r="BC132" i="179"/>
  <c r="BI132" i="179"/>
  <c r="DW132" i="179"/>
  <c r="AE132" i="179"/>
  <c r="BU132" i="179"/>
  <c r="CS132" i="179"/>
  <c r="CM132" i="179"/>
  <c r="BO132" i="179"/>
  <c r="CG132" i="179"/>
  <c r="GE132" i="179"/>
  <c r="FA132" i="179"/>
  <c r="AW132" i="179"/>
  <c r="AQ132" i="179"/>
  <c r="AK132" i="179"/>
  <c r="Y132" i="179"/>
  <c r="CA132" i="179"/>
  <c r="U151" i="179"/>
  <c r="U56" i="179"/>
  <c r="U125" i="179"/>
  <c r="U149" i="179"/>
  <c r="U160" i="179"/>
  <c r="U165" i="179"/>
  <c r="U200" i="179"/>
  <c r="U189" i="179"/>
  <c r="U118" i="179"/>
  <c r="U141" i="179"/>
  <c r="U211" i="179"/>
  <c r="U194" i="179"/>
  <c r="U114" i="179"/>
  <c r="U205" i="179"/>
  <c r="U105" i="179"/>
  <c r="U213" i="179"/>
  <c r="U65" i="179"/>
  <c r="CS142" i="179"/>
  <c r="Y142" i="179"/>
  <c r="DW142" i="179"/>
  <c r="AE142" i="179"/>
  <c r="CG142" i="179"/>
  <c r="BO142" i="179"/>
  <c r="GE142" i="179"/>
  <c r="FA142" i="179"/>
  <c r="CM142" i="179"/>
  <c r="BU142" i="179"/>
  <c r="BC142" i="179"/>
  <c r="AW142" i="179"/>
  <c r="CA142" i="179"/>
  <c r="AQ142" i="179"/>
  <c r="AK142" i="179"/>
  <c r="BI142" i="179"/>
  <c r="U101" i="179"/>
  <c r="U116" i="179"/>
  <c r="U175" i="179"/>
  <c r="U172" i="179"/>
  <c r="U91" i="179"/>
  <c r="U54" i="179"/>
  <c r="U129" i="179"/>
  <c r="U45" i="179"/>
  <c r="U100" i="179"/>
  <c r="U82" i="179"/>
  <c r="U136" i="179"/>
  <c r="U171" i="179"/>
  <c r="U113" i="179"/>
  <c r="U53" i="179"/>
  <c r="U112" i="179"/>
  <c r="U168" i="179"/>
  <c r="U46" i="179"/>
  <c r="U147" i="179"/>
  <c r="U155" i="179"/>
  <c r="U214" i="179"/>
  <c r="U99" i="179"/>
  <c r="U119" i="179"/>
  <c r="U159" i="179"/>
  <c r="U187" i="179"/>
  <c r="U69" i="179"/>
  <c r="U138" i="179"/>
  <c r="U190" i="179"/>
  <c r="U93" i="179"/>
  <c r="U92" i="179"/>
  <c r="U209" i="179"/>
  <c r="U49" i="179"/>
  <c r="U124" i="179"/>
  <c r="U170" i="179"/>
  <c r="U59" i="179"/>
  <c r="U55" i="179"/>
  <c r="U50" i="179"/>
  <c r="U109" i="179"/>
  <c r="U94" i="179"/>
  <c r="U73" i="179"/>
  <c r="U57" i="179"/>
  <c r="U76" i="179"/>
  <c r="U152" i="179"/>
  <c r="U206" i="179"/>
  <c r="U51" i="179"/>
  <c r="U204" i="179"/>
  <c r="U47" i="179"/>
  <c r="U128" i="179"/>
  <c r="U173" i="179"/>
  <c r="U64" i="179"/>
  <c r="U181" i="179"/>
  <c r="U207" i="179"/>
  <c r="U66" i="179"/>
  <c r="U75" i="179"/>
  <c r="U132" i="179"/>
  <c r="U192" i="179"/>
  <c r="U68" i="179"/>
  <c r="U144" i="179"/>
  <c r="U71" i="179"/>
  <c r="U156" i="179"/>
  <c r="U89" i="179"/>
  <c r="U130" i="179"/>
  <c r="U143" i="179"/>
  <c r="U123" i="179"/>
  <c r="U110" i="179"/>
  <c r="U88" i="179"/>
  <c r="U111" i="179"/>
  <c r="U104" i="179"/>
  <c r="U63" i="179"/>
  <c r="U215" i="179"/>
  <c r="U106" i="179"/>
  <c r="U96" i="179"/>
  <c r="U70" i="179"/>
  <c r="U191" i="179"/>
  <c r="U84" i="179"/>
  <c r="U48" i="179"/>
  <c r="U179" i="179"/>
  <c r="U139" i="179"/>
  <c r="U115" i="179"/>
  <c r="U178" i="179"/>
  <c r="U208" i="179"/>
  <c r="U177" i="179"/>
  <c r="U148" i="179"/>
  <c r="U161" i="179"/>
  <c r="U140" i="179"/>
  <c r="U174" i="179"/>
  <c r="U135" i="179"/>
  <c r="U44" i="179"/>
  <c r="U176" i="179"/>
  <c r="U67" i="179"/>
  <c r="U98" i="179"/>
  <c r="U95" i="179"/>
  <c r="U131" i="179"/>
  <c r="U142" i="179"/>
  <c r="U145" i="179"/>
  <c r="U146" i="179"/>
  <c r="U195" i="179"/>
  <c r="U153" i="179"/>
  <c r="U81" i="179"/>
  <c r="U60" i="179"/>
  <c r="U167" i="179"/>
  <c r="U196" i="179"/>
  <c r="U80" i="179"/>
  <c r="U163" i="179"/>
  <c r="U85" i="179"/>
  <c r="U107" i="179"/>
  <c r="U58" i="179"/>
  <c r="U79" i="179"/>
  <c r="U62" i="179"/>
  <c r="U78" i="179"/>
  <c r="U150" i="179"/>
  <c r="U185" i="179"/>
  <c r="U198" i="179"/>
  <c r="U72" i="179"/>
  <c r="U120" i="179"/>
  <c r="U137" i="179"/>
  <c r="U74" i="179"/>
  <c r="U164" i="179"/>
  <c r="U197" i="179"/>
  <c r="U169" i="179"/>
  <c r="U61" i="179"/>
  <c r="U83" i="179"/>
  <c r="AA257" i="183" l="1"/>
  <c r="Z257" i="183"/>
  <c r="Y257" i="183"/>
  <c r="X257" i="183"/>
  <c r="W257" i="183"/>
  <c r="GY255" i="183"/>
  <c r="GX255" i="183"/>
  <c r="GW255" i="183"/>
  <c r="GV255" i="183"/>
  <c r="GU255" i="183"/>
  <c r="GS255" i="183"/>
  <c r="GR255" i="183"/>
  <c r="GQ255" i="183"/>
  <c r="GP255" i="183"/>
  <c r="GO255" i="183"/>
  <c r="GM255" i="183"/>
  <c r="GL255" i="183"/>
  <c r="GK255" i="183"/>
  <c r="GJ255" i="183"/>
  <c r="GI255" i="183"/>
  <c r="GG255" i="183"/>
  <c r="GF255" i="183"/>
  <c r="GE255" i="183"/>
  <c r="GD255" i="183"/>
  <c r="GC255" i="183"/>
  <c r="GA255" i="183"/>
  <c r="FZ255" i="183"/>
  <c r="FY255" i="183"/>
  <c r="FX255" i="183"/>
  <c r="FW255" i="183"/>
  <c r="FU255" i="183"/>
  <c r="FT255" i="183"/>
  <c r="FS255" i="183"/>
  <c r="FR255" i="183"/>
  <c r="FQ255" i="183"/>
  <c r="FO255" i="183"/>
  <c r="FN255" i="183"/>
  <c r="FM255" i="183"/>
  <c r="FL255" i="183"/>
  <c r="FK255" i="183"/>
  <c r="FI255" i="183"/>
  <c r="FH255" i="183"/>
  <c r="FG255" i="183"/>
  <c r="FF255" i="183"/>
  <c r="FE255" i="183"/>
  <c r="FC255" i="183"/>
  <c r="FB255" i="183"/>
  <c r="FA255" i="183"/>
  <c r="EZ255" i="183"/>
  <c r="EY255" i="183"/>
  <c r="EW255" i="183"/>
  <c r="EV255" i="183"/>
  <c r="EU255" i="183"/>
  <c r="ET255" i="183"/>
  <c r="ES255" i="183"/>
  <c r="EQ255" i="183"/>
  <c r="EP255" i="183"/>
  <c r="EO255" i="183"/>
  <c r="EN255" i="183"/>
  <c r="EM255" i="183"/>
  <c r="EK255" i="183"/>
  <c r="EJ255" i="183"/>
  <c r="EI255" i="183"/>
  <c r="EH255" i="183"/>
  <c r="EG255" i="183"/>
  <c r="EE255" i="183"/>
  <c r="ED255" i="183"/>
  <c r="EC255" i="183"/>
  <c r="EB255" i="183"/>
  <c r="EA255" i="183"/>
  <c r="DY255" i="183"/>
  <c r="DX255" i="183"/>
  <c r="DW255" i="183"/>
  <c r="DV255" i="183"/>
  <c r="DU255" i="183"/>
  <c r="DS255" i="183"/>
  <c r="DR255" i="183"/>
  <c r="DQ255" i="183"/>
  <c r="DP255" i="183"/>
  <c r="DO255" i="183"/>
  <c r="DM255" i="183"/>
  <c r="DL255" i="183"/>
  <c r="DK255" i="183"/>
  <c r="DJ255" i="183"/>
  <c r="DI255" i="183"/>
  <c r="DG255" i="183"/>
  <c r="DF255" i="183"/>
  <c r="DE255" i="183"/>
  <c r="DD255" i="183"/>
  <c r="DC255" i="183"/>
  <c r="DA255" i="183"/>
  <c r="CZ255" i="183"/>
  <c r="CY255" i="183"/>
  <c r="CX255" i="183"/>
  <c r="CW255" i="183"/>
  <c r="CU255" i="183"/>
  <c r="CT255" i="183"/>
  <c r="CS255" i="183"/>
  <c r="CR255" i="183"/>
  <c r="CQ255" i="183"/>
  <c r="CO255" i="183"/>
  <c r="CN255" i="183"/>
  <c r="CM255" i="183"/>
  <c r="CL255" i="183"/>
  <c r="CK255" i="183"/>
  <c r="CI255" i="183"/>
  <c r="CH255" i="183"/>
  <c r="CG255" i="183"/>
  <c r="CF255" i="183"/>
  <c r="CE255" i="183"/>
  <c r="CC255" i="183"/>
  <c r="CB255" i="183"/>
  <c r="CA255" i="183"/>
  <c r="BZ255" i="183"/>
  <c r="BY255" i="183"/>
  <c r="BW255" i="183"/>
  <c r="BV255" i="183"/>
  <c r="BU255" i="183"/>
  <c r="BT255" i="183"/>
  <c r="BS255" i="183"/>
  <c r="BQ255" i="183"/>
  <c r="BP255" i="183"/>
  <c r="BO255" i="183"/>
  <c r="BN255" i="183"/>
  <c r="BM255" i="183"/>
  <c r="BK255" i="183"/>
  <c r="BJ255" i="183"/>
  <c r="BI255" i="183"/>
  <c r="BH255" i="183"/>
  <c r="BG255" i="183"/>
  <c r="BE255" i="183"/>
  <c r="BD255" i="183"/>
  <c r="BC255" i="183"/>
  <c r="BB255" i="183"/>
  <c r="BA255" i="183"/>
  <c r="AY255" i="183"/>
  <c r="AX255" i="183"/>
  <c r="AW255" i="183"/>
  <c r="AV255" i="183"/>
  <c r="AU255" i="183"/>
  <c r="AS255" i="183"/>
  <c r="AR255" i="183"/>
  <c r="AQ255" i="183"/>
  <c r="AP255" i="183"/>
  <c r="AO255" i="183"/>
  <c r="AM255" i="183"/>
  <c r="AL255" i="183"/>
  <c r="AK255" i="183"/>
  <c r="AJ255" i="183"/>
  <c r="AI255" i="183"/>
  <c r="AG255" i="183"/>
  <c r="AF255" i="183"/>
  <c r="AE255" i="183"/>
  <c r="AD255" i="183"/>
  <c r="AC255" i="183"/>
  <c r="AA255" i="183"/>
  <c r="Z255" i="183"/>
  <c r="Y255" i="183"/>
  <c r="X255" i="183"/>
  <c r="W255" i="183"/>
  <c r="GY243" i="183"/>
  <c r="GX243" i="183"/>
  <c r="GW243" i="183"/>
  <c r="GV243" i="183"/>
  <c r="GU243" i="183"/>
  <c r="GS243" i="183"/>
  <c r="GR243" i="183"/>
  <c r="GQ243" i="183"/>
  <c r="GP243" i="183"/>
  <c r="GO243" i="183"/>
  <c r="GM243" i="183"/>
  <c r="GL243" i="183"/>
  <c r="GK243" i="183"/>
  <c r="GJ243" i="183"/>
  <c r="GI243" i="183"/>
  <c r="GG243" i="183"/>
  <c r="GF243" i="183"/>
  <c r="GE243" i="183"/>
  <c r="GD243" i="183"/>
  <c r="GC243" i="183"/>
  <c r="GA243" i="183"/>
  <c r="FZ243" i="183"/>
  <c r="FY243" i="183"/>
  <c r="FX243" i="183"/>
  <c r="FW243" i="183"/>
  <c r="FU243" i="183"/>
  <c r="FT243" i="183"/>
  <c r="FS243" i="183"/>
  <c r="FR243" i="183"/>
  <c r="FQ243" i="183"/>
  <c r="FO243" i="183"/>
  <c r="FN243" i="183"/>
  <c r="FM243" i="183"/>
  <c r="FL243" i="183"/>
  <c r="FK243" i="183"/>
  <c r="FI243" i="183"/>
  <c r="FH243" i="183"/>
  <c r="FG243" i="183"/>
  <c r="FF243" i="183"/>
  <c r="FE243" i="183"/>
  <c r="FC243" i="183"/>
  <c r="FB243" i="183"/>
  <c r="FA243" i="183"/>
  <c r="EZ243" i="183"/>
  <c r="EY243" i="183"/>
  <c r="EW243" i="183"/>
  <c r="EV243" i="183"/>
  <c r="EU243" i="183"/>
  <c r="ET243" i="183"/>
  <c r="ES243" i="183"/>
  <c r="EQ243" i="183"/>
  <c r="EP243" i="183"/>
  <c r="EO243" i="183"/>
  <c r="EN243" i="183"/>
  <c r="EM243" i="183"/>
  <c r="EK243" i="183"/>
  <c r="EJ243" i="183"/>
  <c r="EI243" i="183"/>
  <c r="EH243" i="183"/>
  <c r="EG243" i="183"/>
  <c r="EE243" i="183"/>
  <c r="ED243" i="183"/>
  <c r="EC243" i="183"/>
  <c r="EB243" i="183"/>
  <c r="EA243" i="183"/>
  <c r="DY243" i="183"/>
  <c r="DX243" i="183"/>
  <c r="DW243" i="183"/>
  <c r="DV243" i="183"/>
  <c r="DU243" i="183"/>
  <c r="DS243" i="183"/>
  <c r="DR243" i="183"/>
  <c r="DQ243" i="183"/>
  <c r="DP243" i="183"/>
  <c r="DO243" i="183"/>
  <c r="DM243" i="183"/>
  <c r="DL243" i="183"/>
  <c r="DK243" i="183"/>
  <c r="DJ243" i="183"/>
  <c r="DI243" i="183"/>
  <c r="DG243" i="183"/>
  <c r="DF243" i="183"/>
  <c r="DE243" i="183"/>
  <c r="DD243" i="183"/>
  <c r="DC243" i="183"/>
  <c r="DA243" i="183"/>
  <c r="CZ243" i="183"/>
  <c r="CY243" i="183"/>
  <c r="CX243" i="183"/>
  <c r="CW243" i="183"/>
  <c r="CU243" i="183"/>
  <c r="CT243" i="183"/>
  <c r="CS243" i="183"/>
  <c r="CR243" i="183"/>
  <c r="CQ243" i="183"/>
  <c r="CO243" i="183"/>
  <c r="CN243" i="183"/>
  <c r="CM243" i="183"/>
  <c r="CL243" i="183"/>
  <c r="CK243" i="183"/>
  <c r="CI243" i="183"/>
  <c r="CH243" i="183"/>
  <c r="CG243" i="183"/>
  <c r="CF243" i="183"/>
  <c r="CE243" i="183"/>
  <c r="CC243" i="183"/>
  <c r="CB243" i="183"/>
  <c r="CA243" i="183"/>
  <c r="BZ243" i="183"/>
  <c r="BY243" i="183"/>
  <c r="BW243" i="183"/>
  <c r="BV243" i="183"/>
  <c r="BU243" i="183"/>
  <c r="BT243" i="183"/>
  <c r="BS243" i="183"/>
  <c r="BQ243" i="183"/>
  <c r="BP243" i="183"/>
  <c r="BO243" i="183"/>
  <c r="BN243" i="183"/>
  <c r="BM243" i="183"/>
  <c r="BK243" i="183"/>
  <c r="BJ243" i="183"/>
  <c r="BI243" i="183"/>
  <c r="BH243" i="183"/>
  <c r="BG243" i="183"/>
  <c r="BE243" i="183"/>
  <c r="BD243" i="183"/>
  <c r="BC243" i="183"/>
  <c r="BB243" i="183"/>
  <c r="BA243" i="183"/>
  <c r="AY243" i="183"/>
  <c r="AX243" i="183"/>
  <c r="AW243" i="183"/>
  <c r="AV243" i="183"/>
  <c r="AU243" i="183"/>
  <c r="HE242" i="183"/>
  <c r="HD242" i="183"/>
  <c r="HC242" i="183"/>
  <c r="HB242" i="183"/>
  <c r="HA242" i="183"/>
  <c r="GY242" i="183"/>
  <c r="GX242" i="183"/>
  <c r="GW242" i="183"/>
  <c r="GV242" i="183"/>
  <c r="GU242" i="183"/>
  <c r="GS242" i="183"/>
  <c r="GR242" i="183"/>
  <c r="GQ242" i="183"/>
  <c r="GP242" i="183"/>
  <c r="GO242" i="183"/>
  <c r="GM242" i="183"/>
  <c r="GL242" i="183"/>
  <c r="GK242" i="183"/>
  <c r="GJ242" i="183"/>
  <c r="GI242" i="183"/>
  <c r="GG242" i="183"/>
  <c r="GF242" i="183"/>
  <c r="GE242" i="183"/>
  <c r="GD242" i="183"/>
  <c r="GC242" i="183"/>
  <c r="GA242" i="183"/>
  <c r="FZ242" i="183"/>
  <c r="FY242" i="183"/>
  <c r="FX242" i="183"/>
  <c r="FW242" i="183"/>
  <c r="FU242" i="183"/>
  <c r="FT242" i="183"/>
  <c r="FS242" i="183"/>
  <c r="FR242" i="183"/>
  <c r="FQ242" i="183"/>
  <c r="FO242" i="183"/>
  <c r="FN242" i="183"/>
  <c r="FM242" i="183"/>
  <c r="FL242" i="183"/>
  <c r="FK242" i="183"/>
  <c r="FI242" i="183"/>
  <c r="FH242" i="183"/>
  <c r="FG242" i="183"/>
  <c r="FF242" i="183"/>
  <c r="FE242" i="183"/>
  <c r="FC242" i="183"/>
  <c r="FB242" i="183"/>
  <c r="FA242" i="183"/>
  <c r="EZ242" i="183"/>
  <c r="EY242" i="183"/>
  <c r="EW242" i="183"/>
  <c r="EV242" i="183"/>
  <c r="EU242" i="183"/>
  <c r="ET242" i="183"/>
  <c r="ES242" i="183"/>
  <c r="EQ242" i="183"/>
  <c r="EP242" i="183"/>
  <c r="EO242" i="183"/>
  <c r="EN242" i="183"/>
  <c r="EM242" i="183"/>
  <c r="EK242" i="183"/>
  <c r="EJ242" i="183"/>
  <c r="EI242" i="183"/>
  <c r="EH242" i="183"/>
  <c r="EG242" i="183"/>
  <c r="EE242" i="183"/>
  <c r="ED242" i="183"/>
  <c r="EC242" i="183"/>
  <c r="EB242" i="183"/>
  <c r="EA242" i="183"/>
  <c r="DY242" i="183"/>
  <c r="DX242" i="183"/>
  <c r="DW242" i="183"/>
  <c r="DV242" i="183"/>
  <c r="DU242" i="183"/>
  <c r="DS242" i="183"/>
  <c r="DR242" i="183"/>
  <c r="DQ242" i="183"/>
  <c r="DP242" i="183"/>
  <c r="DO242" i="183"/>
  <c r="DM242" i="183"/>
  <c r="DL242" i="183"/>
  <c r="DK242" i="183"/>
  <c r="DJ242" i="183"/>
  <c r="DI242" i="183"/>
  <c r="DG242" i="183"/>
  <c r="DF242" i="183"/>
  <c r="DE242" i="183"/>
  <c r="DD242" i="183"/>
  <c r="DC242" i="183"/>
  <c r="DA242" i="183"/>
  <c r="CZ242" i="183"/>
  <c r="CY242" i="183"/>
  <c r="CX242" i="183"/>
  <c r="CW242" i="183"/>
  <c r="CU242" i="183"/>
  <c r="CT242" i="183"/>
  <c r="CS242" i="183"/>
  <c r="CR242" i="183"/>
  <c r="CQ242" i="183"/>
  <c r="CO242" i="183"/>
  <c r="CN242" i="183"/>
  <c r="CM242" i="183"/>
  <c r="CL242" i="183"/>
  <c r="CK242" i="183"/>
  <c r="CI242" i="183"/>
  <c r="CH242" i="183"/>
  <c r="CG242" i="183"/>
  <c r="CF242" i="183"/>
  <c r="CE242" i="183"/>
  <c r="CC242" i="183"/>
  <c r="CB242" i="183"/>
  <c r="CA242" i="183"/>
  <c r="BZ242" i="183"/>
  <c r="BY242" i="183"/>
  <c r="BW242" i="183"/>
  <c r="BV242" i="183"/>
  <c r="BU242" i="183"/>
  <c r="BT242" i="183"/>
  <c r="BS242" i="183"/>
  <c r="BQ242" i="183"/>
  <c r="BP242" i="183"/>
  <c r="BO242" i="183"/>
  <c r="BN242" i="183"/>
  <c r="BM242" i="183"/>
  <c r="BK242" i="183"/>
  <c r="BJ242" i="183"/>
  <c r="BI242" i="183"/>
  <c r="BH242" i="183"/>
  <c r="BG242" i="183"/>
  <c r="BE242" i="183"/>
  <c r="BD242" i="183"/>
  <c r="BC242" i="183"/>
  <c r="BB242" i="183"/>
  <c r="BA242" i="183"/>
  <c r="AY242" i="183"/>
  <c r="AX242" i="183"/>
  <c r="AW242" i="183"/>
  <c r="AV242" i="183"/>
  <c r="AU242" i="183"/>
  <c r="AN240" i="183"/>
  <c r="AH240" i="183"/>
  <c r="AB240" i="183"/>
  <c r="V240" i="183"/>
  <c r="U240" i="183"/>
  <c r="HE237" i="183"/>
  <c r="HD237" i="183"/>
  <c r="HC237" i="183"/>
  <c r="HB237" i="183"/>
  <c r="HA237" i="183"/>
  <c r="GY235" i="183"/>
  <c r="GX235" i="183"/>
  <c r="GW235" i="183"/>
  <c r="GV235" i="183"/>
  <c r="GU235" i="183"/>
  <c r="GS235" i="183"/>
  <c r="GR235" i="183"/>
  <c r="GQ235" i="183"/>
  <c r="GP235" i="183"/>
  <c r="GO235" i="183"/>
  <c r="GM235" i="183"/>
  <c r="GL235" i="183"/>
  <c r="GK235" i="183"/>
  <c r="GJ235" i="183"/>
  <c r="GI235" i="183"/>
  <c r="GG235" i="183"/>
  <c r="GF235" i="183"/>
  <c r="GE235" i="183"/>
  <c r="GD235" i="183"/>
  <c r="GC235" i="183"/>
  <c r="GA235" i="183"/>
  <c r="FZ235" i="183"/>
  <c r="FY235" i="183"/>
  <c r="FX235" i="183"/>
  <c r="FW235" i="183"/>
  <c r="FU235" i="183"/>
  <c r="FT235" i="183"/>
  <c r="FS235" i="183"/>
  <c r="FR235" i="183"/>
  <c r="FQ235" i="183"/>
  <c r="FO235" i="183"/>
  <c r="FN235" i="183"/>
  <c r="FM235" i="183"/>
  <c r="FL235" i="183"/>
  <c r="FK235" i="183"/>
  <c r="FI235" i="183"/>
  <c r="FH235" i="183"/>
  <c r="FH244" i="183" s="1"/>
  <c r="FG235" i="183"/>
  <c r="FF235" i="183"/>
  <c r="FE235" i="183"/>
  <c r="FC235" i="183"/>
  <c r="FB235" i="183"/>
  <c r="FA235" i="183"/>
  <c r="EZ235" i="183"/>
  <c r="EY235" i="183"/>
  <c r="EW235" i="183"/>
  <c r="EV235" i="183"/>
  <c r="EU235" i="183"/>
  <c r="ET235" i="183"/>
  <c r="ES235" i="183"/>
  <c r="EQ235" i="183"/>
  <c r="EP235" i="183"/>
  <c r="EO235" i="183"/>
  <c r="EN235" i="183"/>
  <c r="EM235" i="183"/>
  <c r="EK235" i="183"/>
  <c r="EJ235" i="183"/>
  <c r="EI235" i="183"/>
  <c r="EH235" i="183"/>
  <c r="EG235" i="183"/>
  <c r="EE235" i="183"/>
  <c r="ED235" i="183"/>
  <c r="EC235" i="183"/>
  <c r="EB235" i="183"/>
  <c r="EA235" i="183"/>
  <c r="DY235" i="183"/>
  <c r="DX235" i="183"/>
  <c r="DW235" i="183"/>
  <c r="DV235" i="183"/>
  <c r="DU235" i="183"/>
  <c r="DS235" i="183"/>
  <c r="DR235" i="183"/>
  <c r="DQ235" i="183"/>
  <c r="DP235" i="183"/>
  <c r="DO235" i="183"/>
  <c r="DM235" i="183"/>
  <c r="DL235" i="183"/>
  <c r="DL244" i="183" s="1"/>
  <c r="DK235" i="183"/>
  <c r="DJ235" i="183"/>
  <c r="DI235" i="183"/>
  <c r="DG235" i="183"/>
  <c r="DF235" i="183"/>
  <c r="DE235" i="183"/>
  <c r="DD235" i="183"/>
  <c r="DC235" i="183"/>
  <c r="DA235" i="183"/>
  <c r="CZ235" i="183"/>
  <c r="CY235" i="183"/>
  <c r="CX235" i="183"/>
  <c r="CW235" i="183"/>
  <c r="CU235" i="183"/>
  <c r="CT235" i="183"/>
  <c r="CS235" i="183"/>
  <c r="CR235" i="183"/>
  <c r="CQ235" i="183"/>
  <c r="CO235" i="183"/>
  <c r="CN235" i="183"/>
  <c r="CM235" i="183"/>
  <c r="CL235" i="183"/>
  <c r="CK235" i="183"/>
  <c r="CI235" i="183"/>
  <c r="CH235" i="183"/>
  <c r="CG235" i="183"/>
  <c r="CF235" i="183"/>
  <c r="CE235" i="183"/>
  <c r="CC235" i="183"/>
  <c r="CB235" i="183"/>
  <c r="CA235" i="183"/>
  <c r="BZ235" i="183"/>
  <c r="BY235" i="183"/>
  <c r="BW235" i="183"/>
  <c r="BV235" i="183"/>
  <c r="BU235" i="183"/>
  <c r="BT235" i="183"/>
  <c r="BS235" i="183"/>
  <c r="BQ235" i="183"/>
  <c r="BP235" i="183"/>
  <c r="BO235" i="183"/>
  <c r="BN235" i="183"/>
  <c r="BM235" i="183"/>
  <c r="BK235" i="183"/>
  <c r="BJ235" i="183"/>
  <c r="BI235" i="183"/>
  <c r="BH235" i="183"/>
  <c r="BG235" i="183"/>
  <c r="BE235" i="183"/>
  <c r="BD235" i="183"/>
  <c r="BC235" i="183"/>
  <c r="BB235" i="183"/>
  <c r="BA235" i="183"/>
  <c r="AY235" i="183"/>
  <c r="AX235" i="183"/>
  <c r="AW235" i="183"/>
  <c r="AV235" i="183"/>
  <c r="AU235" i="183"/>
  <c r="AN235" i="183"/>
  <c r="AH235" i="183"/>
  <c r="AB235" i="183"/>
  <c r="V235" i="183"/>
  <c r="U235" i="183"/>
  <c r="GZ234" i="183"/>
  <c r="GY234" i="183"/>
  <c r="GX234" i="183"/>
  <c r="GW234" i="183"/>
  <c r="GV234" i="183"/>
  <c r="GU234" i="183"/>
  <c r="GT234" i="183"/>
  <c r="GS234" i="183"/>
  <c r="GR234" i="183"/>
  <c r="GQ234" i="183"/>
  <c r="GP234" i="183"/>
  <c r="GO234" i="183"/>
  <c r="GN234" i="183"/>
  <c r="GM234" i="183"/>
  <c r="GL234" i="183"/>
  <c r="GK234" i="183"/>
  <c r="GJ234" i="183"/>
  <c r="GI234" i="183"/>
  <c r="GH234" i="183"/>
  <c r="GG234" i="183"/>
  <c r="GF234" i="183"/>
  <c r="GE234" i="183"/>
  <c r="GD234" i="183"/>
  <c r="FX234" i="183"/>
  <c r="FW234" i="183"/>
  <c r="FV234" i="183"/>
  <c r="FU234" i="183"/>
  <c r="FT234" i="183"/>
  <c r="FS234" i="183"/>
  <c r="FR234" i="183"/>
  <c r="FQ234" i="183"/>
  <c r="FP234" i="183"/>
  <c r="FO234" i="183"/>
  <c r="FN234" i="183"/>
  <c r="FM234" i="183"/>
  <c r="FL234" i="183"/>
  <c r="FK234" i="183"/>
  <c r="FJ234" i="183"/>
  <c r="FI234" i="183"/>
  <c r="FH234" i="183"/>
  <c r="FG234" i="183"/>
  <c r="FF234" i="183"/>
  <c r="FE234" i="183"/>
  <c r="FD234" i="183"/>
  <c r="FC234" i="183"/>
  <c r="FB234" i="183"/>
  <c r="FA234" i="183"/>
  <c r="EZ234" i="183"/>
  <c r="ET234" i="183"/>
  <c r="ES234" i="183"/>
  <c r="ER234" i="183"/>
  <c r="EQ234" i="183"/>
  <c r="EP234" i="183"/>
  <c r="EO234" i="183"/>
  <c r="EN234" i="183"/>
  <c r="EM234" i="183"/>
  <c r="EL234" i="183"/>
  <c r="EK234" i="183"/>
  <c r="EJ234" i="183"/>
  <c r="EI234" i="183"/>
  <c r="EH234" i="183"/>
  <c r="EG234" i="183"/>
  <c r="EF234" i="183"/>
  <c r="EE234" i="183"/>
  <c r="ED234" i="183"/>
  <c r="EC234" i="183"/>
  <c r="EB234" i="183"/>
  <c r="EA234" i="183"/>
  <c r="DZ234" i="183"/>
  <c r="DY234" i="183"/>
  <c r="DX234" i="183"/>
  <c r="DW234" i="183"/>
  <c r="DV234" i="183"/>
  <c r="DP234" i="183"/>
  <c r="DO234" i="183"/>
  <c r="DN234" i="183"/>
  <c r="DM234" i="183"/>
  <c r="DL234" i="183"/>
  <c r="DK234" i="183"/>
  <c r="DJ234" i="183"/>
  <c r="DI234" i="183"/>
  <c r="DH234" i="183"/>
  <c r="DG234" i="183"/>
  <c r="DF234" i="183"/>
  <c r="DE234" i="183"/>
  <c r="DD234" i="183"/>
  <c r="DC234" i="183"/>
  <c r="DB234" i="183"/>
  <c r="DA234" i="183"/>
  <c r="CZ234" i="183"/>
  <c r="CY234" i="183"/>
  <c r="CX234" i="183"/>
  <c r="CW234" i="183"/>
  <c r="CV234" i="183"/>
  <c r="CU234" i="183"/>
  <c r="CT234" i="183"/>
  <c r="CS234" i="183"/>
  <c r="CR234" i="183"/>
  <c r="CL234" i="183"/>
  <c r="CF234" i="183"/>
  <c r="BZ234" i="183"/>
  <c r="BT234" i="183"/>
  <c r="BN234" i="183"/>
  <c r="BH234" i="183"/>
  <c r="BB234" i="183"/>
  <c r="AV234" i="183"/>
  <c r="GY232" i="183"/>
  <c r="GX232" i="183"/>
  <c r="GW232" i="183"/>
  <c r="GV232" i="183"/>
  <c r="GU232" i="183"/>
  <c r="GS232" i="183"/>
  <c r="GR232" i="183"/>
  <c r="GQ232" i="183"/>
  <c r="GP232" i="183"/>
  <c r="GO232" i="183"/>
  <c r="GM232" i="183"/>
  <c r="GL232" i="183"/>
  <c r="GK232" i="183"/>
  <c r="GJ232" i="183"/>
  <c r="GI232" i="183"/>
  <c r="GG232" i="183"/>
  <c r="GF232" i="183"/>
  <c r="GE232" i="183"/>
  <c r="GD232" i="183"/>
  <c r="GC232" i="183"/>
  <c r="GA232" i="183"/>
  <c r="FZ232" i="183"/>
  <c r="FY232" i="183"/>
  <c r="FX232" i="183"/>
  <c r="FW232" i="183"/>
  <c r="FU232" i="183"/>
  <c r="FT232" i="183"/>
  <c r="FS232" i="183"/>
  <c r="FR232" i="183"/>
  <c r="FQ232" i="183"/>
  <c r="FO232" i="183"/>
  <c r="FN232" i="183"/>
  <c r="FM232" i="183"/>
  <c r="FL232" i="183"/>
  <c r="FK232" i="183"/>
  <c r="FI232" i="183"/>
  <c r="FH232" i="183"/>
  <c r="FG232" i="183"/>
  <c r="FF232" i="183"/>
  <c r="FE232" i="183"/>
  <c r="FC232" i="183"/>
  <c r="FB232" i="183"/>
  <c r="FA232" i="183"/>
  <c r="EZ232" i="183"/>
  <c r="EY232" i="183"/>
  <c r="EW232" i="183"/>
  <c r="EV232" i="183"/>
  <c r="EU232" i="183"/>
  <c r="ET232" i="183"/>
  <c r="ES232" i="183"/>
  <c r="EQ232" i="183"/>
  <c r="EP232" i="183"/>
  <c r="EO232" i="183"/>
  <c r="EN232" i="183"/>
  <c r="EM232" i="183"/>
  <c r="EK232" i="183"/>
  <c r="EJ232" i="183"/>
  <c r="EI232" i="183"/>
  <c r="EH232" i="183"/>
  <c r="EG232" i="183"/>
  <c r="EE232" i="183"/>
  <c r="ED232" i="183"/>
  <c r="EC232" i="183"/>
  <c r="EB232" i="183"/>
  <c r="EA232" i="183"/>
  <c r="DY232" i="183"/>
  <c r="DX232" i="183"/>
  <c r="DW232" i="183"/>
  <c r="DV232" i="183"/>
  <c r="DU232" i="183"/>
  <c r="DS232" i="183"/>
  <c r="DR232" i="183"/>
  <c r="DQ232" i="183"/>
  <c r="DP232" i="183"/>
  <c r="DO232" i="183"/>
  <c r="DM232" i="183"/>
  <c r="DL232" i="183"/>
  <c r="DK232" i="183"/>
  <c r="DJ232" i="183"/>
  <c r="DI232" i="183"/>
  <c r="DG232" i="183"/>
  <c r="DF232" i="183"/>
  <c r="DE232" i="183"/>
  <c r="DD232" i="183"/>
  <c r="DC232" i="183"/>
  <c r="DA232" i="183"/>
  <c r="CZ232" i="183"/>
  <c r="CY232" i="183"/>
  <c r="CX232" i="183"/>
  <c r="CW232" i="183"/>
  <c r="CU232" i="183"/>
  <c r="CT232" i="183"/>
  <c r="CS232" i="183"/>
  <c r="CR232" i="183"/>
  <c r="CQ232" i="183"/>
  <c r="CO232" i="183"/>
  <c r="CN232" i="183"/>
  <c r="CM232" i="183"/>
  <c r="CL232" i="183"/>
  <c r="CK232" i="183"/>
  <c r="CI232" i="183"/>
  <c r="CH232" i="183"/>
  <c r="CG232" i="183"/>
  <c r="CF232" i="183"/>
  <c r="CE232" i="183"/>
  <c r="CC232" i="183"/>
  <c r="CB232" i="183"/>
  <c r="CA232" i="183"/>
  <c r="BZ232" i="183"/>
  <c r="BY232" i="183"/>
  <c r="BW232" i="183"/>
  <c r="BV232" i="183"/>
  <c r="BU232" i="183"/>
  <c r="BT232" i="183"/>
  <c r="BS232" i="183"/>
  <c r="BQ232" i="183"/>
  <c r="BP232" i="183"/>
  <c r="BO232" i="183"/>
  <c r="BN232" i="183"/>
  <c r="BM232" i="183"/>
  <c r="BK232" i="183"/>
  <c r="BJ232" i="183"/>
  <c r="BI232" i="183"/>
  <c r="BH232" i="183"/>
  <c r="BG232" i="183"/>
  <c r="BE232" i="183"/>
  <c r="BD232" i="183"/>
  <c r="BC232" i="183"/>
  <c r="BB232" i="183"/>
  <c r="BA232" i="183"/>
  <c r="AY232" i="183"/>
  <c r="AX232" i="183"/>
  <c r="AW232" i="183"/>
  <c r="AV232" i="183"/>
  <c r="AU232" i="183"/>
  <c r="AN232" i="183"/>
  <c r="AH232" i="183"/>
  <c r="AB232" i="183"/>
  <c r="V232" i="183"/>
  <c r="U232" i="183"/>
  <c r="GT231" i="183"/>
  <c r="GN231" i="183"/>
  <c r="GH231" i="183"/>
  <c r="FP231" i="183"/>
  <c r="FJ231" i="183"/>
  <c r="FD231" i="183"/>
  <c r="EL231" i="183"/>
  <c r="EF231" i="183"/>
  <c r="DZ231" i="183"/>
  <c r="DH231" i="183"/>
  <c r="DB231" i="183"/>
  <c r="CV231" i="183"/>
  <c r="GY229" i="183"/>
  <c r="GX229" i="183"/>
  <c r="GW229" i="183"/>
  <c r="GV229" i="183"/>
  <c r="GU229" i="183"/>
  <c r="GS229" i="183"/>
  <c r="GR229" i="183"/>
  <c r="GR237" i="183" s="1"/>
  <c r="GQ229" i="183"/>
  <c r="GP229" i="183"/>
  <c r="GO229" i="183"/>
  <c r="GM229" i="183"/>
  <c r="GL229" i="183"/>
  <c r="GK229" i="183"/>
  <c r="GJ229" i="183"/>
  <c r="GI229" i="183"/>
  <c r="GG229" i="183"/>
  <c r="GG237" i="183" s="1"/>
  <c r="GF229" i="183"/>
  <c r="GE229" i="183"/>
  <c r="GD229" i="183"/>
  <c r="GD244" i="183" s="1"/>
  <c r="GC229" i="183"/>
  <c r="GC237" i="183" s="1"/>
  <c r="GA229" i="183"/>
  <c r="FZ229" i="183"/>
  <c r="FY229" i="183"/>
  <c r="FX229" i="183"/>
  <c r="FW229" i="183"/>
  <c r="FU229" i="183"/>
  <c r="FT229" i="183"/>
  <c r="FS229" i="183"/>
  <c r="FR229" i="183"/>
  <c r="FQ229" i="183"/>
  <c r="FO229" i="183"/>
  <c r="FN229" i="183"/>
  <c r="FM229" i="183"/>
  <c r="FL229" i="183"/>
  <c r="FK229" i="183"/>
  <c r="FI229" i="183"/>
  <c r="FH229" i="183"/>
  <c r="FG229" i="183"/>
  <c r="FF229" i="183"/>
  <c r="FE229" i="183"/>
  <c r="FC229" i="183"/>
  <c r="FB229" i="183"/>
  <c r="FA229" i="183"/>
  <c r="EZ229" i="183"/>
  <c r="EY229" i="183"/>
  <c r="EW229" i="183"/>
  <c r="EV229" i="183"/>
  <c r="EU229" i="183"/>
  <c r="ET229" i="183"/>
  <c r="ES229" i="183"/>
  <c r="ES237" i="183" s="1"/>
  <c r="EQ229" i="183"/>
  <c r="EP229" i="183"/>
  <c r="EO229" i="183"/>
  <c r="EN229" i="183"/>
  <c r="EM229" i="183"/>
  <c r="EK229" i="183"/>
  <c r="EJ229" i="183"/>
  <c r="EI229" i="183"/>
  <c r="EH229" i="183"/>
  <c r="EG229" i="183"/>
  <c r="EG244" i="183" s="1"/>
  <c r="EE229" i="183"/>
  <c r="ED229" i="183"/>
  <c r="EC229" i="183"/>
  <c r="EB229" i="183"/>
  <c r="EA229" i="183"/>
  <c r="DY229" i="183"/>
  <c r="DX229" i="183"/>
  <c r="DX244" i="183" s="1"/>
  <c r="DW229" i="183"/>
  <c r="DV229" i="183"/>
  <c r="DU229" i="183"/>
  <c r="DS229" i="183"/>
  <c r="DR229" i="183"/>
  <c r="DR244" i="183" s="1"/>
  <c r="DQ229" i="183"/>
  <c r="DP229" i="183"/>
  <c r="DO229" i="183"/>
  <c r="DM229" i="183"/>
  <c r="DL229" i="183"/>
  <c r="DK229" i="183"/>
  <c r="DJ229" i="183"/>
  <c r="DJ237" i="183" s="1"/>
  <c r="DI229" i="183"/>
  <c r="DI237" i="183" s="1"/>
  <c r="DG229" i="183"/>
  <c r="DF229" i="183"/>
  <c r="DE229" i="183"/>
  <c r="DD229" i="183"/>
  <c r="DC229" i="183"/>
  <c r="DA229" i="183"/>
  <c r="CZ229" i="183"/>
  <c r="CY229" i="183"/>
  <c r="CX229" i="183"/>
  <c r="CW229" i="183"/>
  <c r="CU229" i="183"/>
  <c r="CT229" i="183"/>
  <c r="CS229" i="183"/>
  <c r="CR229" i="183"/>
  <c r="CQ229" i="183"/>
  <c r="CO229" i="183"/>
  <c r="CO237" i="183" s="1"/>
  <c r="CN229" i="183"/>
  <c r="CM229" i="183"/>
  <c r="CL229" i="183"/>
  <c r="CK229" i="183"/>
  <c r="CK237" i="183" s="1"/>
  <c r="CI229" i="183"/>
  <c r="CH229" i="183"/>
  <c r="CG229" i="183"/>
  <c r="CF229" i="183"/>
  <c r="CE229" i="183"/>
  <c r="CC229" i="183"/>
  <c r="CB229" i="183"/>
  <c r="CB244" i="183" s="1"/>
  <c r="CA229" i="183"/>
  <c r="BZ229" i="183"/>
  <c r="BY229" i="183"/>
  <c r="BY244" i="183" s="1"/>
  <c r="BW229" i="183"/>
  <c r="BV229" i="183"/>
  <c r="BU229" i="183"/>
  <c r="BT229" i="183"/>
  <c r="BS229" i="183"/>
  <c r="BQ229" i="183"/>
  <c r="BP229" i="183"/>
  <c r="BO229" i="183"/>
  <c r="BN229" i="183"/>
  <c r="BM229" i="183"/>
  <c r="BK229" i="183"/>
  <c r="BJ229" i="183"/>
  <c r="BJ237" i="183" s="1"/>
  <c r="BI229" i="183"/>
  <c r="BH229" i="183"/>
  <c r="BG229" i="183"/>
  <c r="BE229" i="183"/>
  <c r="BD229" i="183"/>
  <c r="BD237" i="183" s="1"/>
  <c r="BC229" i="183"/>
  <c r="BC244" i="183" s="1"/>
  <c r="BB229" i="183"/>
  <c r="BA229" i="183"/>
  <c r="AY229" i="183"/>
  <c r="AY244" i="183" s="1"/>
  <c r="AX229" i="183"/>
  <c r="AW229" i="183"/>
  <c r="AV229" i="183"/>
  <c r="AU229" i="183"/>
  <c r="AN229" i="183"/>
  <c r="AH229" i="183"/>
  <c r="AB229" i="183"/>
  <c r="V229" i="183"/>
  <c r="U229" i="183"/>
  <c r="U253" i="183" s="1"/>
  <c r="GZ228" i="183"/>
  <c r="GT228" i="183"/>
  <c r="GN228" i="183"/>
  <c r="GH228" i="183"/>
  <c r="FV228" i="183"/>
  <c r="FP228" i="183"/>
  <c r="FJ228" i="183"/>
  <c r="FD228" i="183"/>
  <c r="ER228" i="183"/>
  <c r="EL228" i="183"/>
  <c r="EF228" i="183"/>
  <c r="DZ228" i="183"/>
  <c r="DN228" i="183"/>
  <c r="DH228" i="183"/>
  <c r="DB228" i="183"/>
  <c r="CV228" i="183"/>
  <c r="GZ225" i="183"/>
  <c r="GT225" i="183"/>
  <c r="GN225" i="183"/>
  <c r="GH225" i="183"/>
  <c r="FV225" i="183"/>
  <c r="FP225" i="183"/>
  <c r="FJ225" i="183"/>
  <c r="FD225" i="183"/>
  <c r="ER225" i="183"/>
  <c r="EL225" i="183"/>
  <c r="EF225" i="183"/>
  <c r="DZ225" i="183"/>
  <c r="DN225" i="183"/>
  <c r="DH225" i="183"/>
  <c r="DB225" i="183"/>
  <c r="CV225" i="183"/>
  <c r="GT223" i="183"/>
  <c r="GN223" i="183"/>
  <c r="GH223" i="183"/>
  <c r="FP223" i="183"/>
  <c r="FJ223" i="183"/>
  <c r="FD223" i="183"/>
  <c r="EL223" i="183"/>
  <c r="EF223" i="183"/>
  <c r="DZ223" i="183"/>
  <c r="DH223" i="183"/>
  <c r="DB223" i="183"/>
  <c r="CV223" i="183"/>
  <c r="GZ221" i="183"/>
  <c r="GT221" i="183"/>
  <c r="GN221" i="183"/>
  <c r="GH221" i="183"/>
  <c r="GB221" i="183"/>
  <c r="FV221" i="183"/>
  <c r="FP221" i="183"/>
  <c r="FJ221" i="183"/>
  <c r="FD221" i="183"/>
  <c r="EX221" i="183"/>
  <c r="ER221" i="183"/>
  <c r="EL221" i="183"/>
  <c r="EF221" i="183"/>
  <c r="DZ221" i="183"/>
  <c r="DT221" i="183"/>
  <c r="DN221" i="183"/>
  <c r="DH221" i="183"/>
  <c r="DB221" i="183"/>
  <c r="CV221" i="183"/>
  <c r="CP221" i="183"/>
  <c r="CJ221" i="183"/>
  <c r="CD221" i="183"/>
  <c r="BX221" i="183"/>
  <c r="BR221" i="183"/>
  <c r="BL221" i="183"/>
  <c r="BF221" i="183"/>
  <c r="AZ221" i="183"/>
  <c r="AT221" i="183"/>
  <c r="AN221" i="183"/>
  <c r="AH221" i="183"/>
  <c r="AB221" i="183"/>
  <c r="V221" i="183"/>
  <c r="U221" i="183"/>
  <c r="HI216" i="183"/>
  <c r="HI70" i="183"/>
  <c r="HI69" i="183"/>
  <c r="HI68" i="183"/>
  <c r="HI66" i="183"/>
  <c r="HI65" i="183"/>
  <c r="HI64" i="183"/>
  <c r="HI63" i="183"/>
  <c r="HI62" i="183"/>
  <c r="HI61" i="183"/>
  <c r="HI60" i="183"/>
  <c r="HI59" i="183"/>
  <c r="HI58" i="183"/>
  <c r="HI57" i="183"/>
  <c r="HI56" i="183"/>
  <c r="HI55" i="183"/>
  <c r="HI54" i="183"/>
  <c r="HI53" i="183"/>
  <c r="HI52" i="183"/>
  <c r="HI51" i="183"/>
  <c r="HI50" i="183"/>
  <c r="HI49" i="183"/>
  <c r="HI48" i="183"/>
  <c r="HI47" i="183"/>
  <c r="HI46" i="183"/>
  <c r="HI45" i="183"/>
  <c r="HD44" i="183"/>
  <c r="HB44" i="183"/>
  <c r="GZ231" i="183" s="1"/>
  <c r="FV231" i="183"/>
  <c r="ER231" i="183"/>
  <c r="DN231" i="183"/>
  <c r="HI44" i="183"/>
  <c r="C39" i="183"/>
  <c r="CJ38" i="183"/>
  <c r="CI38" i="183"/>
  <c r="CH38" i="183"/>
  <c r="CG38" i="183"/>
  <c r="CF38" i="183"/>
  <c r="CE38" i="183"/>
  <c r="CD38" i="183"/>
  <c r="CC38" i="183"/>
  <c r="CB38" i="183"/>
  <c r="CA38" i="183"/>
  <c r="BZ38" i="183"/>
  <c r="BY38" i="183"/>
  <c r="BX38" i="183"/>
  <c r="BW38" i="183"/>
  <c r="BV38" i="183"/>
  <c r="BU38" i="183"/>
  <c r="BT38" i="183"/>
  <c r="BS38" i="183"/>
  <c r="BR38" i="183"/>
  <c r="BQ38" i="183"/>
  <c r="BP38" i="183"/>
  <c r="BO38" i="183"/>
  <c r="BN38" i="183"/>
  <c r="BM38" i="183"/>
  <c r="BL38" i="183"/>
  <c r="BK38" i="183"/>
  <c r="BJ38" i="183"/>
  <c r="BI38" i="183"/>
  <c r="BH38" i="183"/>
  <c r="BG38" i="183"/>
  <c r="BF38" i="183"/>
  <c r="BE38" i="183"/>
  <c r="BD38" i="183"/>
  <c r="BC38" i="183"/>
  <c r="BB38" i="183"/>
  <c r="BA38" i="183"/>
  <c r="AZ38" i="183"/>
  <c r="AY38" i="183"/>
  <c r="AX38" i="183"/>
  <c r="AW38" i="183"/>
  <c r="AV38" i="183"/>
  <c r="AU38" i="183"/>
  <c r="AT38" i="183"/>
  <c r="AS38" i="183"/>
  <c r="AR38" i="183"/>
  <c r="AQ38" i="183"/>
  <c r="AP38" i="183"/>
  <c r="AO38" i="183"/>
  <c r="AN38" i="183"/>
  <c r="AN244" i="183" s="1"/>
  <c r="AM38" i="183"/>
  <c r="AL38" i="183"/>
  <c r="AK38" i="183"/>
  <c r="AJ38" i="183"/>
  <c r="AI38" i="183"/>
  <c r="AH38" i="183"/>
  <c r="AH244" i="183" s="1"/>
  <c r="AG38" i="183"/>
  <c r="AF38" i="183"/>
  <c r="AE38" i="183"/>
  <c r="AD38" i="183"/>
  <c r="AC38" i="183"/>
  <c r="AB38" i="183"/>
  <c r="AB244" i="183" s="1"/>
  <c r="AA38" i="183"/>
  <c r="Z38" i="183"/>
  <c r="Y38" i="183"/>
  <c r="X38" i="183"/>
  <c r="W38" i="183"/>
  <c r="V38" i="183"/>
  <c r="V244" i="183" s="1"/>
  <c r="U38" i="183"/>
  <c r="U244" i="183" s="1"/>
  <c r="C38" i="183"/>
  <c r="C37" i="183"/>
  <c r="CI35" i="183"/>
  <c r="CH35" i="183"/>
  <c r="CG35" i="183"/>
  <c r="CF35" i="183"/>
  <c r="CE35" i="183"/>
  <c r="CC35" i="183"/>
  <c r="CB35" i="183"/>
  <c r="CA35" i="183"/>
  <c r="BZ35" i="183"/>
  <c r="BY35" i="183"/>
  <c r="BW35" i="183"/>
  <c r="BV35" i="183"/>
  <c r="BU35" i="183"/>
  <c r="BT35" i="183"/>
  <c r="BS35" i="183"/>
  <c r="BQ35" i="183"/>
  <c r="BP35" i="183"/>
  <c r="BO35" i="183"/>
  <c r="BN35" i="183"/>
  <c r="BM35" i="183"/>
  <c r="BK35" i="183"/>
  <c r="BJ35" i="183"/>
  <c r="BI35" i="183"/>
  <c r="BH35" i="183"/>
  <c r="BG35" i="183"/>
  <c r="BE35" i="183"/>
  <c r="BD35" i="183"/>
  <c r="BC35" i="183"/>
  <c r="BB35" i="183"/>
  <c r="BA35" i="183"/>
  <c r="AY35" i="183"/>
  <c r="AX35" i="183"/>
  <c r="AW35" i="183"/>
  <c r="AV35" i="183"/>
  <c r="AU35" i="183"/>
  <c r="AM35" i="183"/>
  <c r="AL35" i="183"/>
  <c r="AK35" i="183"/>
  <c r="AJ35" i="183"/>
  <c r="AI35" i="183"/>
  <c r="AG35" i="183"/>
  <c r="AF35" i="183"/>
  <c r="AE35" i="183"/>
  <c r="AD35" i="183"/>
  <c r="AC35" i="183"/>
  <c r="AA35" i="183"/>
  <c r="Z35" i="183"/>
  <c r="Y35" i="183"/>
  <c r="X35" i="183"/>
  <c r="W35" i="183"/>
  <c r="C35" i="183"/>
  <c r="CJ34" i="183"/>
  <c r="CI34" i="183"/>
  <c r="CH34" i="183"/>
  <c r="CG34" i="183"/>
  <c r="CF34" i="183"/>
  <c r="CE34" i="183"/>
  <c r="CD34" i="183"/>
  <c r="CC34" i="183"/>
  <c r="CB34" i="183"/>
  <c r="CA34" i="183"/>
  <c r="BZ34" i="183"/>
  <c r="BY34" i="183"/>
  <c r="BX34" i="183"/>
  <c r="BW34" i="183"/>
  <c r="BV34" i="183"/>
  <c r="BU34" i="183"/>
  <c r="BT34" i="183"/>
  <c r="BS34" i="183"/>
  <c r="BR34" i="183"/>
  <c r="BQ34" i="183"/>
  <c r="BP34" i="183"/>
  <c r="BO34" i="183"/>
  <c r="BN34" i="183"/>
  <c r="BM34" i="183"/>
  <c r="BL34" i="183"/>
  <c r="BK34" i="183"/>
  <c r="BJ34" i="183"/>
  <c r="BI34" i="183"/>
  <c r="BH34" i="183"/>
  <c r="BG34" i="183"/>
  <c r="BF34" i="183"/>
  <c r="BE34" i="183"/>
  <c r="BD34" i="183"/>
  <c r="BC34" i="183"/>
  <c r="BB34" i="183"/>
  <c r="BA34" i="183"/>
  <c r="AZ34" i="183"/>
  <c r="AY34" i="183"/>
  <c r="AX34" i="183"/>
  <c r="AW34" i="183"/>
  <c r="AV34" i="183"/>
  <c r="AU34" i="183"/>
  <c r="AT34" i="183"/>
  <c r="AS34" i="183"/>
  <c r="AR34" i="183"/>
  <c r="AQ34" i="183"/>
  <c r="AP34" i="183"/>
  <c r="AO34" i="183"/>
  <c r="AN34" i="183"/>
  <c r="AN237" i="183" s="1"/>
  <c r="AM34" i="183"/>
  <c r="AL34" i="183"/>
  <c r="AK34" i="183"/>
  <c r="AJ34" i="183"/>
  <c r="AI34" i="183"/>
  <c r="AH34" i="183"/>
  <c r="AH237" i="183" s="1"/>
  <c r="AG34" i="183"/>
  <c r="AF34" i="183"/>
  <c r="AE34" i="183"/>
  <c r="AD34" i="183"/>
  <c r="AC34" i="183"/>
  <c r="AB34" i="183"/>
  <c r="AB237" i="183" s="1"/>
  <c r="AA34" i="183"/>
  <c r="Z34" i="183"/>
  <c r="Y34" i="183"/>
  <c r="X34" i="183"/>
  <c r="W34" i="183"/>
  <c r="V34" i="183"/>
  <c r="V237" i="183" s="1"/>
  <c r="U34" i="183"/>
  <c r="U237" i="183" s="1"/>
  <c r="C20" i="183"/>
  <c r="C19" i="183"/>
  <c r="C18" i="183"/>
  <c r="E2" i="183"/>
  <c r="AH1" i="183" s="1"/>
  <c r="E1" i="183" s="1"/>
  <c r="AA257" i="182"/>
  <c r="Z257" i="182"/>
  <c r="Y257" i="182"/>
  <c r="X257" i="182"/>
  <c r="W257" i="182"/>
  <c r="GY255" i="182"/>
  <c r="GX255" i="182"/>
  <c r="GW255" i="182"/>
  <c r="GV255" i="182"/>
  <c r="GU255" i="182"/>
  <c r="GS255" i="182"/>
  <c r="GR255" i="182"/>
  <c r="GQ255" i="182"/>
  <c r="GP255" i="182"/>
  <c r="GO255" i="182"/>
  <c r="GM255" i="182"/>
  <c r="GL255" i="182"/>
  <c r="GK255" i="182"/>
  <c r="GJ255" i="182"/>
  <c r="GI255" i="182"/>
  <c r="GG255" i="182"/>
  <c r="GF255" i="182"/>
  <c r="GE255" i="182"/>
  <c r="GD255" i="182"/>
  <c r="GC255" i="182"/>
  <c r="GA255" i="182"/>
  <c r="FZ255" i="182"/>
  <c r="FY255" i="182"/>
  <c r="FX255" i="182"/>
  <c r="FW255" i="182"/>
  <c r="FU255" i="182"/>
  <c r="FT255" i="182"/>
  <c r="FS255" i="182"/>
  <c r="FR255" i="182"/>
  <c r="FQ255" i="182"/>
  <c r="FO255" i="182"/>
  <c r="FN255" i="182"/>
  <c r="FM255" i="182"/>
  <c r="FL255" i="182"/>
  <c r="FK255" i="182"/>
  <c r="FI255" i="182"/>
  <c r="FH255" i="182"/>
  <c r="FG255" i="182"/>
  <c r="FF255" i="182"/>
  <c r="FE255" i="182"/>
  <c r="FC255" i="182"/>
  <c r="FB255" i="182"/>
  <c r="FA255" i="182"/>
  <c r="EZ255" i="182"/>
  <c r="EY255" i="182"/>
  <c r="EW255" i="182"/>
  <c r="EV255" i="182"/>
  <c r="EU255" i="182"/>
  <c r="ET255" i="182"/>
  <c r="ES255" i="182"/>
  <c r="EQ255" i="182"/>
  <c r="EP255" i="182"/>
  <c r="EO255" i="182"/>
  <c r="EN255" i="182"/>
  <c r="EM255" i="182"/>
  <c r="EK255" i="182"/>
  <c r="EJ255" i="182"/>
  <c r="EI255" i="182"/>
  <c r="EH255" i="182"/>
  <c r="EG255" i="182"/>
  <c r="EE255" i="182"/>
  <c r="ED255" i="182"/>
  <c r="EC255" i="182"/>
  <c r="EB255" i="182"/>
  <c r="EA255" i="182"/>
  <c r="DY255" i="182"/>
  <c r="DX255" i="182"/>
  <c r="DW255" i="182"/>
  <c r="DV255" i="182"/>
  <c r="DU255" i="182"/>
  <c r="DS255" i="182"/>
  <c r="DR255" i="182"/>
  <c r="DQ255" i="182"/>
  <c r="DP255" i="182"/>
  <c r="DO255" i="182"/>
  <c r="DM255" i="182"/>
  <c r="DL255" i="182"/>
  <c r="DK255" i="182"/>
  <c r="DJ255" i="182"/>
  <c r="DI255" i="182"/>
  <c r="DG255" i="182"/>
  <c r="DF255" i="182"/>
  <c r="DE255" i="182"/>
  <c r="DD255" i="182"/>
  <c r="DC255" i="182"/>
  <c r="DA255" i="182"/>
  <c r="CZ255" i="182"/>
  <c r="CY255" i="182"/>
  <c r="CX255" i="182"/>
  <c r="CW255" i="182"/>
  <c r="CU255" i="182"/>
  <c r="CT255" i="182"/>
  <c r="CS255" i="182"/>
  <c r="CR255" i="182"/>
  <c r="CQ255" i="182"/>
  <c r="CO255" i="182"/>
  <c r="CN255" i="182"/>
  <c r="CM255" i="182"/>
  <c r="CL255" i="182"/>
  <c r="CK255" i="182"/>
  <c r="CI255" i="182"/>
  <c r="CH255" i="182"/>
  <c r="CG255" i="182"/>
  <c r="CF255" i="182"/>
  <c r="CE255" i="182"/>
  <c r="CC255" i="182"/>
  <c r="CB255" i="182"/>
  <c r="CA255" i="182"/>
  <c r="BZ255" i="182"/>
  <c r="BY255" i="182"/>
  <c r="BW255" i="182"/>
  <c r="BV255" i="182"/>
  <c r="BU255" i="182"/>
  <c r="BT255" i="182"/>
  <c r="BS255" i="182"/>
  <c r="BQ255" i="182"/>
  <c r="BP255" i="182"/>
  <c r="BO255" i="182"/>
  <c r="BN255" i="182"/>
  <c r="BM255" i="182"/>
  <c r="BK255" i="182"/>
  <c r="BJ255" i="182"/>
  <c r="BI255" i="182"/>
  <c r="BH255" i="182"/>
  <c r="BG255" i="182"/>
  <c r="BE255" i="182"/>
  <c r="BD255" i="182"/>
  <c r="BC255" i="182"/>
  <c r="BB255" i="182"/>
  <c r="BA255" i="182"/>
  <c r="AY255" i="182"/>
  <c r="AX255" i="182"/>
  <c r="AW255" i="182"/>
  <c r="AV255" i="182"/>
  <c r="AU255" i="182"/>
  <c r="AS255" i="182"/>
  <c r="AR255" i="182"/>
  <c r="AQ255" i="182"/>
  <c r="AP255" i="182"/>
  <c r="AO255" i="182"/>
  <c r="AM255" i="182"/>
  <c r="AL255" i="182"/>
  <c r="AK255" i="182"/>
  <c r="AJ255" i="182"/>
  <c r="AI255" i="182"/>
  <c r="AG255" i="182"/>
  <c r="AF255" i="182"/>
  <c r="AE255" i="182"/>
  <c r="AD255" i="182"/>
  <c r="AC255" i="182"/>
  <c r="AA255" i="182"/>
  <c r="Z255" i="182"/>
  <c r="Y255" i="182"/>
  <c r="X255" i="182"/>
  <c r="W255" i="182"/>
  <c r="GY243" i="182"/>
  <c r="GX243" i="182"/>
  <c r="GW243" i="182"/>
  <c r="GV243" i="182"/>
  <c r="GU243" i="182"/>
  <c r="GS243" i="182"/>
  <c r="GR243" i="182"/>
  <c r="GQ243" i="182"/>
  <c r="GP243" i="182"/>
  <c r="GO243" i="182"/>
  <c r="GM243" i="182"/>
  <c r="GL243" i="182"/>
  <c r="GK243" i="182"/>
  <c r="GJ243" i="182"/>
  <c r="GI243" i="182"/>
  <c r="GG243" i="182"/>
  <c r="GF243" i="182"/>
  <c r="GE243" i="182"/>
  <c r="GD243" i="182"/>
  <c r="GC243" i="182"/>
  <c r="GA243" i="182"/>
  <c r="FZ243" i="182"/>
  <c r="FY243" i="182"/>
  <c r="FX243" i="182"/>
  <c r="FW243" i="182"/>
  <c r="FU243" i="182"/>
  <c r="FT243" i="182"/>
  <c r="FS243" i="182"/>
  <c r="FR243" i="182"/>
  <c r="FQ243" i="182"/>
  <c r="FO243" i="182"/>
  <c r="FN243" i="182"/>
  <c r="FM243" i="182"/>
  <c r="FL243" i="182"/>
  <c r="FK243" i="182"/>
  <c r="FI243" i="182"/>
  <c r="FH243" i="182"/>
  <c r="FG243" i="182"/>
  <c r="FF243" i="182"/>
  <c r="FE243" i="182"/>
  <c r="FC243" i="182"/>
  <c r="FB243" i="182"/>
  <c r="FA243" i="182"/>
  <c r="EZ243" i="182"/>
  <c r="EY243" i="182"/>
  <c r="EW243" i="182"/>
  <c r="EV243" i="182"/>
  <c r="EU243" i="182"/>
  <c r="ET243" i="182"/>
  <c r="ES243" i="182"/>
  <c r="EQ243" i="182"/>
  <c r="EP243" i="182"/>
  <c r="EO243" i="182"/>
  <c r="EN243" i="182"/>
  <c r="EM243" i="182"/>
  <c r="EK243" i="182"/>
  <c r="EJ243" i="182"/>
  <c r="EI243" i="182"/>
  <c r="EH243" i="182"/>
  <c r="EG243" i="182"/>
  <c r="EE243" i="182"/>
  <c r="ED243" i="182"/>
  <c r="EC243" i="182"/>
  <c r="EB243" i="182"/>
  <c r="EA243" i="182"/>
  <c r="DY243" i="182"/>
  <c r="DX243" i="182"/>
  <c r="DW243" i="182"/>
  <c r="DV243" i="182"/>
  <c r="DU243" i="182"/>
  <c r="DS243" i="182"/>
  <c r="DR243" i="182"/>
  <c r="DQ243" i="182"/>
  <c r="DP243" i="182"/>
  <c r="DO243" i="182"/>
  <c r="DM243" i="182"/>
  <c r="DL243" i="182"/>
  <c r="DK243" i="182"/>
  <c r="DJ243" i="182"/>
  <c r="DI243" i="182"/>
  <c r="DG243" i="182"/>
  <c r="DF243" i="182"/>
  <c r="DE243" i="182"/>
  <c r="DD243" i="182"/>
  <c r="DC243" i="182"/>
  <c r="DA243" i="182"/>
  <c r="CZ243" i="182"/>
  <c r="CY243" i="182"/>
  <c r="CX243" i="182"/>
  <c r="CW243" i="182"/>
  <c r="CU243" i="182"/>
  <c r="CT243" i="182"/>
  <c r="CS243" i="182"/>
  <c r="CR243" i="182"/>
  <c r="CQ243" i="182"/>
  <c r="CO243" i="182"/>
  <c r="CN243" i="182"/>
  <c r="CM243" i="182"/>
  <c r="CL243" i="182"/>
  <c r="CK243" i="182"/>
  <c r="CI243" i="182"/>
  <c r="CH243" i="182"/>
  <c r="CG243" i="182"/>
  <c r="CF243" i="182"/>
  <c r="CE243" i="182"/>
  <c r="CC243" i="182"/>
  <c r="CB243" i="182"/>
  <c r="CA243" i="182"/>
  <c r="BZ243" i="182"/>
  <c r="BY243" i="182"/>
  <c r="BW243" i="182"/>
  <c r="BV243" i="182"/>
  <c r="BU243" i="182"/>
  <c r="BT243" i="182"/>
  <c r="BS243" i="182"/>
  <c r="BQ243" i="182"/>
  <c r="BP243" i="182"/>
  <c r="BO243" i="182"/>
  <c r="BN243" i="182"/>
  <c r="BM243" i="182"/>
  <c r="BK243" i="182"/>
  <c r="BJ243" i="182"/>
  <c r="BI243" i="182"/>
  <c r="BH243" i="182"/>
  <c r="BG243" i="182"/>
  <c r="BE243" i="182"/>
  <c r="BD243" i="182"/>
  <c r="BC243" i="182"/>
  <c r="BB243" i="182"/>
  <c r="BA243" i="182"/>
  <c r="AY243" i="182"/>
  <c r="AX243" i="182"/>
  <c r="AW243" i="182"/>
  <c r="AV243" i="182"/>
  <c r="AU243" i="182"/>
  <c r="HE242" i="182"/>
  <c r="HD242" i="182"/>
  <c r="HC242" i="182"/>
  <c r="HB242" i="182"/>
  <c r="HA242" i="182"/>
  <c r="GY242" i="182"/>
  <c r="GX242" i="182"/>
  <c r="GW242" i="182"/>
  <c r="GV242" i="182"/>
  <c r="GU242" i="182"/>
  <c r="GS242" i="182"/>
  <c r="GR242" i="182"/>
  <c r="GQ242" i="182"/>
  <c r="GP242" i="182"/>
  <c r="GO242" i="182"/>
  <c r="GM242" i="182"/>
  <c r="GL242" i="182"/>
  <c r="GK242" i="182"/>
  <c r="GJ242" i="182"/>
  <c r="GI242" i="182"/>
  <c r="GG242" i="182"/>
  <c r="GF242" i="182"/>
  <c r="GE242" i="182"/>
  <c r="GD242" i="182"/>
  <c r="GC242" i="182"/>
  <c r="GA242" i="182"/>
  <c r="FZ242" i="182"/>
  <c r="FY242" i="182"/>
  <c r="FX242" i="182"/>
  <c r="FW242" i="182"/>
  <c r="FU242" i="182"/>
  <c r="FT242" i="182"/>
  <c r="FS242" i="182"/>
  <c r="FR242" i="182"/>
  <c r="FQ242" i="182"/>
  <c r="FO242" i="182"/>
  <c r="FN242" i="182"/>
  <c r="FM242" i="182"/>
  <c r="FL242" i="182"/>
  <c r="FK242" i="182"/>
  <c r="FI242" i="182"/>
  <c r="FH242" i="182"/>
  <c r="FG242" i="182"/>
  <c r="FF242" i="182"/>
  <c r="FE242" i="182"/>
  <c r="FC242" i="182"/>
  <c r="FB242" i="182"/>
  <c r="FA242" i="182"/>
  <c r="EZ242" i="182"/>
  <c r="EY242" i="182"/>
  <c r="EW242" i="182"/>
  <c r="EV242" i="182"/>
  <c r="EU242" i="182"/>
  <c r="ET242" i="182"/>
  <c r="ES242" i="182"/>
  <c r="EQ242" i="182"/>
  <c r="EP242" i="182"/>
  <c r="EO242" i="182"/>
  <c r="EN242" i="182"/>
  <c r="EM242" i="182"/>
  <c r="EK242" i="182"/>
  <c r="EJ242" i="182"/>
  <c r="EI242" i="182"/>
  <c r="EH242" i="182"/>
  <c r="EG242" i="182"/>
  <c r="EE242" i="182"/>
  <c r="ED242" i="182"/>
  <c r="EC242" i="182"/>
  <c r="EB242" i="182"/>
  <c r="EA242" i="182"/>
  <c r="DY242" i="182"/>
  <c r="DX242" i="182"/>
  <c r="DW242" i="182"/>
  <c r="DV242" i="182"/>
  <c r="DU242" i="182"/>
  <c r="DS242" i="182"/>
  <c r="DR242" i="182"/>
  <c r="DQ242" i="182"/>
  <c r="DP242" i="182"/>
  <c r="DO242" i="182"/>
  <c r="DM242" i="182"/>
  <c r="DL242" i="182"/>
  <c r="DK242" i="182"/>
  <c r="DJ242" i="182"/>
  <c r="DI242" i="182"/>
  <c r="DG242" i="182"/>
  <c r="DF242" i="182"/>
  <c r="DE242" i="182"/>
  <c r="DD242" i="182"/>
  <c r="DC242" i="182"/>
  <c r="DA242" i="182"/>
  <c r="CZ242" i="182"/>
  <c r="CY242" i="182"/>
  <c r="CX242" i="182"/>
  <c r="CW242" i="182"/>
  <c r="CU242" i="182"/>
  <c r="CT242" i="182"/>
  <c r="CS242" i="182"/>
  <c r="CR242" i="182"/>
  <c r="CQ242" i="182"/>
  <c r="CO242" i="182"/>
  <c r="CN242" i="182"/>
  <c r="CM242" i="182"/>
  <c r="CL242" i="182"/>
  <c r="CK242" i="182"/>
  <c r="CI242" i="182"/>
  <c r="CH242" i="182"/>
  <c r="CG242" i="182"/>
  <c r="CF242" i="182"/>
  <c r="CE242" i="182"/>
  <c r="CC242" i="182"/>
  <c r="CB242" i="182"/>
  <c r="CA242" i="182"/>
  <c r="BZ242" i="182"/>
  <c r="BY242" i="182"/>
  <c r="BW242" i="182"/>
  <c r="BV242" i="182"/>
  <c r="BU242" i="182"/>
  <c r="BT242" i="182"/>
  <c r="BS242" i="182"/>
  <c r="BQ242" i="182"/>
  <c r="BP242" i="182"/>
  <c r="BO242" i="182"/>
  <c r="BN242" i="182"/>
  <c r="BM242" i="182"/>
  <c r="BK242" i="182"/>
  <c r="BJ242" i="182"/>
  <c r="BI242" i="182"/>
  <c r="BH242" i="182"/>
  <c r="BG242" i="182"/>
  <c r="BE242" i="182"/>
  <c r="BD242" i="182"/>
  <c r="BC242" i="182"/>
  <c r="BB242" i="182"/>
  <c r="BA242" i="182"/>
  <c r="AY242" i="182"/>
  <c r="AX242" i="182"/>
  <c r="AW242" i="182"/>
  <c r="AV242" i="182"/>
  <c r="AU242" i="182"/>
  <c r="AN240" i="182"/>
  <c r="AH240" i="182"/>
  <c r="AB240" i="182"/>
  <c r="V240" i="182"/>
  <c r="U240" i="182"/>
  <c r="HE237" i="182"/>
  <c r="HD237" i="182"/>
  <c r="HC237" i="182"/>
  <c r="HB237" i="182"/>
  <c r="HA237" i="182"/>
  <c r="EJ237" i="182"/>
  <c r="GY235" i="182"/>
  <c r="GX235" i="182"/>
  <c r="GW235" i="182"/>
  <c r="GV235" i="182"/>
  <c r="GU235" i="182"/>
  <c r="GS235" i="182"/>
  <c r="GR235" i="182"/>
  <c r="GQ235" i="182"/>
  <c r="GP235" i="182"/>
  <c r="GO235" i="182"/>
  <c r="GM235" i="182"/>
  <c r="GL235" i="182"/>
  <c r="GK235" i="182"/>
  <c r="GJ235" i="182"/>
  <c r="GI235" i="182"/>
  <c r="GG235" i="182"/>
  <c r="GF235" i="182"/>
  <c r="GE235" i="182"/>
  <c r="GD235" i="182"/>
  <c r="GC235" i="182"/>
  <c r="GA235" i="182"/>
  <c r="FZ235" i="182"/>
  <c r="FY235" i="182"/>
  <c r="FX235" i="182"/>
  <c r="FW235" i="182"/>
  <c r="FU235" i="182"/>
  <c r="FT235" i="182"/>
  <c r="FS235" i="182"/>
  <c r="FR235" i="182"/>
  <c r="FQ235" i="182"/>
  <c r="FO235" i="182"/>
  <c r="FN235" i="182"/>
  <c r="FM235" i="182"/>
  <c r="FL235" i="182"/>
  <c r="FK235" i="182"/>
  <c r="FI235" i="182"/>
  <c r="FH235" i="182"/>
  <c r="FG235" i="182"/>
  <c r="FF235" i="182"/>
  <c r="FE235" i="182"/>
  <c r="FC235" i="182"/>
  <c r="FB235" i="182"/>
  <c r="FA235" i="182"/>
  <c r="EZ235" i="182"/>
  <c r="EY235" i="182"/>
  <c r="EW235" i="182"/>
  <c r="EV235" i="182"/>
  <c r="EU235" i="182"/>
  <c r="ET235" i="182"/>
  <c r="ES235" i="182"/>
  <c r="EQ235" i="182"/>
  <c r="EP235" i="182"/>
  <c r="EO235" i="182"/>
  <c r="EN235" i="182"/>
  <c r="EM235" i="182"/>
  <c r="EK235" i="182"/>
  <c r="EJ235" i="182"/>
  <c r="EI235" i="182"/>
  <c r="EH235" i="182"/>
  <c r="EG235" i="182"/>
  <c r="EE235" i="182"/>
  <c r="ED235" i="182"/>
  <c r="EC235" i="182"/>
  <c r="EB235" i="182"/>
  <c r="EB244" i="182" s="1"/>
  <c r="EA235" i="182"/>
  <c r="DY235" i="182"/>
  <c r="DX235" i="182"/>
  <c r="DW235" i="182"/>
  <c r="DV235" i="182"/>
  <c r="DU235" i="182"/>
  <c r="DS235" i="182"/>
  <c r="DR235" i="182"/>
  <c r="DQ235" i="182"/>
  <c r="DP235" i="182"/>
  <c r="DO235" i="182"/>
  <c r="DM235" i="182"/>
  <c r="DL235" i="182"/>
  <c r="DK235" i="182"/>
  <c r="DJ235" i="182"/>
  <c r="DI235" i="182"/>
  <c r="DG235" i="182"/>
  <c r="DF235" i="182"/>
  <c r="DE235" i="182"/>
  <c r="DD235" i="182"/>
  <c r="DC235" i="182"/>
  <c r="DA235" i="182"/>
  <c r="CZ235" i="182"/>
  <c r="CY235" i="182"/>
  <c r="CX235" i="182"/>
  <c r="CW235" i="182"/>
  <c r="CU235" i="182"/>
  <c r="CT235" i="182"/>
  <c r="CS235" i="182"/>
  <c r="CR235" i="182"/>
  <c r="CQ235" i="182"/>
  <c r="CO235" i="182"/>
  <c r="CN235" i="182"/>
  <c r="CM235" i="182"/>
  <c r="CL235" i="182"/>
  <c r="CK235" i="182"/>
  <c r="CI235" i="182"/>
  <c r="CH235" i="182"/>
  <c r="CG235" i="182"/>
  <c r="CF235" i="182"/>
  <c r="CE235" i="182"/>
  <c r="CC235" i="182"/>
  <c r="CB235" i="182"/>
  <c r="CA235" i="182"/>
  <c r="BZ235" i="182"/>
  <c r="BY235" i="182"/>
  <c r="BW235" i="182"/>
  <c r="BV235" i="182"/>
  <c r="BU235" i="182"/>
  <c r="BT235" i="182"/>
  <c r="BS235" i="182"/>
  <c r="BQ235" i="182"/>
  <c r="BP235" i="182"/>
  <c r="BO235" i="182"/>
  <c r="BN235" i="182"/>
  <c r="BM235" i="182"/>
  <c r="BK235" i="182"/>
  <c r="BJ235" i="182"/>
  <c r="BI235" i="182"/>
  <c r="BH235" i="182"/>
  <c r="BG235" i="182"/>
  <c r="BE235" i="182"/>
  <c r="BD235" i="182"/>
  <c r="BC235" i="182"/>
  <c r="BB235" i="182"/>
  <c r="BA235" i="182"/>
  <c r="AY235" i="182"/>
  <c r="AX235" i="182"/>
  <c r="AW235" i="182"/>
  <c r="AV235" i="182"/>
  <c r="AU235" i="182"/>
  <c r="AN235" i="182"/>
  <c r="AH235" i="182"/>
  <c r="AB235" i="182"/>
  <c r="V235" i="182"/>
  <c r="U235" i="182"/>
  <c r="GZ234" i="182"/>
  <c r="GY234" i="182"/>
  <c r="GX234" i="182"/>
  <c r="GW234" i="182"/>
  <c r="GV234" i="182"/>
  <c r="GU234" i="182"/>
  <c r="GT234" i="182"/>
  <c r="GS234" i="182"/>
  <c r="GR234" i="182"/>
  <c r="GQ234" i="182"/>
  <c r="GP234" i="182"/>
  <c r="GO234" i="182"/>
  <c r="GN234" i="182"/>
  <c r="GM234" i="182"/>
  <c r="GL234" i="182"/>
  <c r="GK234" i="182"/>
  <c r="GJ234" i="182"/>
  <c r="GI234" i="182"/>
  <c r="GH234" i="182"/>
  <c r="GG234" i="182"/>
  <c r="GF234" i="182"/>
  <c r="GE234" i="182"/>
  <c r="GD234" i="182"/>
  <c r="FX234" i="182"/>
  <c r="FW234" i="182"/>
  <c r="FV234" i="182"/>
  <c r="FU234" i="182"/>
  <c r="FT234" i="182"/>
  <c r="FS234" i="182"/>
  <c r="FR234" i="182"/>
  <c r="FQ234" i="182"/>
  <c r="FP234" i="182"/>
  <c r="FO234" i="182"/>
  <c r="FN234" i="182"/>
  <c r="FM234" i="182"/>
  <c r="FL234" i="182"/>
  <c r="FK234" i="182"/>
  <c r="FJ234" i="182"/>
  <c r="FI234" i="182"/>
  <c r="FH234" i="182"/>
  <c r="FG234" i="182"/>
  <c r="FF234" i="182"/>
  <c r="FE234" i="182"/>
  <c r="FD234" i="182"/>
  <c r="FC234" i="182"/>
  <c r="FB234" i="182"/>
  <c r="FA234" i="182"/>
  <c r="EZ234" i="182"/>
  <c r="ET234" i="182"/>
  <c r="ES234" i="182"/>
  <c r="ER234" i="182"/>
  <c r="EQ234" i="182"/>
  <c r="EP234" i="182"/>
  <c r="EO234" i="182"/>
  <c r="EN234" i="182"/>
  <c r="EM234" i="182"/>
  <c r="EL234" i="182"/>
  <c r="EK234" i="182"/>
  <c r="EJ234" i="182"/>
  <c r="EI234" i="182"/>
  <c r="EH234" i="182"/>
  <c r="EG234" i="182"/>
  <c r="EF234" i="182"/>
  <c r="EE234" i="182"/>
  <c r="ED234" i="182"/>
  <c r="EC234" i="182"/>
  <c r="EB234" i="182"/>
  <c r="EA234" i="182"/>
  <c r="DZ234" i="182"/>
  <c r="DY234" i="182"/>
  <c r="DX234" i="182"/>
  <c r="DW234" i="182"/>
  <c r="DV234" i="182"/>
  <c r="DP234" i="182"/>
  <c r="DO234" i="182"/>
  <c r="DN234" i="182"/>
  <c r="DM234" i="182"/>
  <c r="DL234" i="182"/>
  <c r="DK234" i="182"/>
  <c r="DJ234" i="182"/>
  <c r="DI234" i="182"/>
  <c r="DH234" i="182"/>
  <c r="DG234" i="182"/>
  <c r="DF234" i="182"/>
  <c r="DE234" i="182"/>
  <c r="DD234" i="182"/>
  <c r="DC234" i="182"/>
  <c r="DB234" i="182"/>
  <c r="DA234" i="182"/>
  <c r="CZ234" i="182"/>
  <c r="CY234" i="182"/>
  <c r="CX234" i="182"/>
  <c r="CW234" i="182"/>
  <c r="CV234" i="182"/>
  <c r="CU234" i="182"/>
  <c r="CT234" i="182"/>
  <c r="CS234" i="182"/>
  <c r="CR234" i="182"/>
  <c r="CL234" i="182"/>
  <c r="CF234" i="182"/>
  <c r="BZ234" i="182"/>
  <c r="BT234" i="182"/>
  <c r="BN234" i="182"/>
  <c r="BH234" i="182"/>
  <c r="BB234" i="182"/>
  <c r="AV234" i="182"/>
  <c r="GY232" i="182"/>
  <c r="GX232" i="182"/>
  <c r="GW232" i="182"/>
  <c r="GV232" i="182"/>
  <c r="GU232" i="182"/>
  <c r="GS232" i="182"/>
  <c r="GR232" i="182"/>
  <c r="GQ232" i="182"/>
  <c r="GP232" i="182"/>
  <c r="GO232" i="182"/>
  <c r="GM232" i="182"/>
  <c r="GL232" i="182"/>
  <c r="GK232" i="182"/>
  <c r="GJ232" i="182"/>
  <c r="GI232" i="182"/>
  <c r="GG232" i="182"/>
  <c r="GF232" i="182"/>
  <c r="GE232" i="182"/>
  <c r="GD232" i="182"/>
  <c r="GC232" i="182"/>
  <c r="GA232" i="182"/>
  <c r="FZ232" i="182"/>
  <c r="FY232" i="182"/>
  <c r="FX232" i="182"/>
  <c r="FW232" i="182"/>
  <c r="FU232" i="182"/>
  <c r="FT232" i="182"/>
  <c r="FS232" i="182"/>
  <c r="FR232" i="182"/>
  <c r="FQ232" i="182"/>
  <c r="FO232" i="182"/>
  <c r="FN232" i="182"/>
  <c r="FM232" i="182"/>
  <c r="FL232" i="182"/>
  <c r="FK232" i="182"/>
  <c r="FI232" i="182"/>
  <c r="FH232" i="182"/>
  <c r="FG232" i="182"/>
  <c r="FF232" i="182"/>
  <c r="FE232" i="182"/>
  <c r="FC232" i="182"/>
  <c r="FB232" i="182"/>
  <c r="FA232" i="182"/>
  <c r="EZ232" i="182"/>
  <c r="EY232" i="182"/>
  <c r="EW232" i="182"/>
  <c r="EV232" i="182"/>
  <c r="EU232" i="182"/>
  <c r="ET232" i="182"/>
  <c r="ES232" i="182"/>
  <c r="EQ232" i="182"/>
  <c r="EP232" i="182"/>
  <c r="EO232" i="182"/>
  <c r="EN232" i="182"/>
  <c r="EM232" i="182"/>
  <c r="EK232" i="182"/>
  <c r="EJ232" i="182"/>
  <c r="EI232" i="182"/>
  <c r="EH232" i="182"/>
  <c r="EG232" i="182"/>
  <c r="EE232" i="182"/>
  <c r="ED232" i="182"/>
  <c r="EC232" i="182"/>
  <c r="EB232" i="182"/>
  <c r="EA232" i="182"/>
  <c r="DY232" i="182"/>
  <c r="DX232" i="182"/>
  <c r="DW232" i="182"/>
  <c r="DV232" i="182"/>
  <c r="DU232" i="182"/>
  <c r="DS232" i="182"/>
  <c r="DR232" i="182"/>
  <c r="DQ232" i="182"/>
  <c r="DP232" i="182"/>
  <c r="DO232" i="182"/>
  <c r="DM232" i="182"/>
  <c r="DL232" i="182"/>
  <c r="DK232" i="182"/>
  <c r="DJ232" i="182"/>
  <c r="DI232" i="182"/>
  <c r="DG232" i="182"/>
  <c r="DF232" i="182"/>
  <c r="DE232" i="182"/>
  <c r="DD232" i="182"/>
  <c r="DC232" i="182"/>
  <c r="DA232" i="182"/>
  <c r="CZ232" i="182"/>
  <c r="CY232" i="182"/>
  <c r="CX232" i="182"/>
  <c r="CW232" i="182"/>
  <c r="CU232" i="182"/>
  <c r="CT232" i="182"/>
  <c r="CS232" i="182"/>
  <c r="CR232" i="182"/>
  <c r="CQ232" i="182"/>
  <c r="CO232" i="182"/>
  <c r="CN232" i="182"/>
  <c r="CM232" i="182"/>
  <c r="CL232" i="182"/>
  <c r="CK232" i="182"/>
  <c r="CI232" i="182"/>
  <c r="CH232" i="182"/>
  <c r="CG232" i="182"/>
  <c r="CF232" i="182"/>
  <c r="CE232" i="182"/>
  <c r="CC232" i="182"/>
  <c r="CB232" i="182"/>
  <c r="CA232" i="182"/>
  <c r="BZ232" i="182"/>
  <c r="BY232" i="182"/>
  <c r="BW232" i="182"/>
  <c r="BV232" i="182"/>
  <c r="BU232" i="182"/>
  <c r="BT232" i="182"/>
  <c r="BS232" i="182"/>
  <c r="BQ232" i="182"/>
  <c r="BP232" i="182"/>
  <c r="BO232" i="182"/>
  <c r="BN232" i="182"/>
  <c r="BM232" i="182"/>
  <c r="BK232" i="182"/>
  <c r="BJ232" i="182"/>
  <c r="BI232" i="182"/>
  <c r="BH232" i="182"/>
  <c r="BG232" i="182"/>
  <c r="BE232" i="182"/>
  <c r="BD232" i="182"/>
  <c r="BC232" i="182"/>
  <c r="BB232" i="182"/>
  <c r="BA232" i="182"/>
  <c r="AY232" i="182"/>
  <c r="AX232" i="182"/>
  <c r="AW232" i="182"/>
  <c r="AV232" i="182"/>
  <c r="AU232" i="182"/>
  <c r="AN232" i="182"/>
  <c r="AH232" i="182"/>
  <c r="AB232" i="182"/>
  <c r="V232" i="182"/>
  <c r="U232" i="182"/>
  <c r="GT231" i="182"/>
  <c r="GN231" i="182"/>
  <c r="GH231" i="182"/>
  <c r="FP231" i="182"/>
  <c r="FJ231" i="182"/>
  <c r="FD231" i="182"/>
  <c r="EL231" i="182"/>
  <c r="EF231" i="182"/>
  <c r="DZ231" i="182"/>
  <c r="DH231" i="182"/>
  <c r="DB231" i="182"/>
  <c r="CV231" i="182"/>
  <c r="GY229" i="182"/>
  <c r="GX229" i="182"/>
  <c r="GW229" i="182"/>
  <c r="GW237" i="182" s="1"/>
  <c r="GV229" i="182"/>
  <c r="GU229" i="182"/>
  <c r="GS229" i="182"/>
  <c r="GR229" i="182"/>
  <c r="GQ229" i="182"/>
  <c r="GP229" i="182"/>
  <c r="GP237" i="182" s="1"/>
  <c r="GO229" i="182"/>
  <c r="GM229" i="182"/>
  <c r="GL229" i="182"/>
  <c r="GK229" i="182"/>
  <c r="GJ229" i="182"/>
  <c r="GJ237" i="182" s="1"/>
  <c r="GI229" i="182"/>
  <c r="GI244" i="182" s="1"/>
  <c r="GG229" i="182"/>
  <c r="GF229" i="182"/>
  <c r="GE229" i="182"/>
  <c r="GD229" i="182"/>
  <c r="GC229" i="182"/>
  <c r="GA229" i="182"/>
  <c r="GA237" i="182" s="1"/>
  <c r="FZ229" i="182"/>
  <c r="FY229" i="182"/>
  <c r="FX229" i="182"/>
  <c r="FW229" i="182"/>
  <c r="FU229" i="182"/>
  <c r="FT229" i="182"/>
  <c r="FT244" i="182" s="1"/>
  <c r="FS229" i="182"/>
  <c r="FR229" i="182"/>
  <c r="FQ229" i="182"/>
  <c r="FO229" i="182"/>
  <c r="FN229" i="182"/>
  <c r="FM229" i="182"/>
  <c r="FM237" i="182" s="1"/>
  <c r="FL229" i="182"/>
  <c r="FK229" i="182"/>
  <c r="FI229" i="182"/>
  <c r="FH229" i="182"/>
  <c r="FG229" i="182"/>
  <c r="FF229" i="182"/>
  <c r="FF237" i="182" s="1"/>
  <c r="FE229" i="182"/>
  <c r="FC229" i="182"/>
  <c r="FB229" i="182"/>
  <c r="FA229" i="182"/>
  <c r="EZ229" i="182"/>
  <c r="EY229" i="182"/>
  <c r="EY244" i="182" s="1"/>
  <c r="EW229" i="182"/>
  <c r="EV229" i="182"/>
  <c r="EU229" i="182"/>
  <c r="ET229" i="182"/>
  <c r="ES229" i="182"/>
  <c r="EQ229" i="182"/>
  <c r="EQ237" i="182" s="1"/>
  <c r="EP229" i="182"/>
  <c r="EO229" i="182"/>
  <c r="EN229" i="182"/>
  <c r="EM229" i="182"/>
  <c r="EK229" i="182"/>
  <c r="EJ229" i="182"/>
  <c r="EJ244" i="182" s="1"/>
  <c r="EI229" i="182"/>
  <c r="EH229" i="182"/>
  <c r="EG229" i="182"/>
  <c r="EE229" i="182"/>
  <c r="ED229" i="182"/>
  <c r="EC229" i="182"/>
  <c r="EC237" i="182" s="1"/>
  <c r="EB229" i="182"/>
  <c r="EA229" i="182"/>
  <c r="DY229" i="182"/>
  <c r="DX229" i="182"/>
  <c r="DW229" i="182"/>
  <c r="DV229" i="182"/>
  <c r="DV237" i="182" s="1"/>
  <c r="DU229" i="182"/>
  <c r="DS229" i="182"/>
  <c r="DR229" i="182"/>
  <c r="DQ229" i="182"/>
  <c r="DP229" i="182"/>
  <c r="DP237" i="182" s="1"/>
  <c r="DO229" i="182"/>
  <c r="DO244" i="182" s="1"/>
  <c r="DM229" i="182"/>
  <c r="DL229" i="182"/>
  <c r="DK229" i="182"/>
  <c r="DJ229" i="182"/>
  <c r="DI229" i="182"/>
  <c r="DG229" i="182"/>
  <c r="DG237" i="182" s="1"/>
  <c r="DF229" i="182"/>
  <c r="DE229" i="182"/>
  <c r="DD229" i="182"/>
  <c r="DC229" i="182"/>
  <c r="DA229" i="182"/>
  <c r="CZ229" i="182"/>
  <c r="CZ244" i="182" s="1"/>
  <c r="CY229" i="182"/>
  <c r="CX229" i="182"/>
  <c r="CW229" i="182"/>
  <c r="CU229" i="182"/>
  <c r="CT229" i="182"/>
  <c r="CS229" i="182"/>
  <c r="CS237" i="182" s="1"/>
  <c r="CR229" i="182"/>
  <c r="CR237" i="182" s="1"/>
  <c r="CQ229" i="182"/>
  <c r="CO229" i="182"/>
  <c r="CN229" i="182"/>
  <c r="CM229" i="182"/>
  <c r="CL229" i="182"/>
  <c r="CK229" i="182"/>
  <c r="CI229" i="182"/>
  <c r="CH229" i="182"/>
  <c r="CG229" i="182"/>
  <c r="CF229" i="182"/>
  <c r="CE229" i="182"/>
  <c r="CE244" i="182" s="1"/>
  <c r="CC229" i="182"/>
  <c r="CB229" i="182"/>
  <c r="CA229" i="182"/>
  <c r="BZ229" i="182"/>
  <c r="BY229" i="182"/>
  <c r="BW229" i="182"/>
  <c r="BW237" i="182" s="1"/>
  <c r="BV229" i="182"/>
  <c r="BU229" i="182"/>
  <c r="BT229" i="182"/>
  <c r="BS229" i="182"/>
  <c r="BQ229" i="182"/>
  <c r="BP229" i="182"/>
  <c r="BP244" i="182" s="1"/>
  <c r="BO229" i="182"/>
  <c r="BN229" i="182"/>
  <c r="BM229" i="182"/>
  <c r="BK229" i="182"/>
  <c r="BJ229" i="182"/>
  <c r="BI229" i="182"/>
  <c r="BI237" i="182" s="1"/>
  <c r="BH229" i="182"/>
  <c r="BG229" i="182"/>
  <c r="BE229" i="182"/>
  <c r="BD229" i="182"/>
  <c r="BC229" i="182"/>
  <c r="BB229" i="182"/>
  <c r="BA229" i="182"/>
  <c r="AY229" i="182"/>
  <c r="AX229" i="182"/>
  <c r="AW229" i="182"/>
  <c r="AV229" i="182"/>
  <c r="AV237" i="182" s="1"/>
  <c r="AU229" i="182"/>
  <c r="AU244" i="182" s="1"/>
  <c r="AN229" i="182"/>
  <c r="AH229" i="182"/>
  <c r="AB229" i="182"/>
  <c r="V229" i="182"/>
  <c r="U229" i="182"/>
  <c r="GZ228" i="182"/>
  <c r="GT228" i="182"/>
  <c r="GN228" i="182"/>
  <c r="GH228" i="182"/>
  <c r="FV228" i="182"/>
  <c r="FP228" i="182"/>
  <c r="FJ228" i="182"/>
  <c r="FD228" i="182"/>
  <c r="ER228" i="182"/>
  <c r="EL228" i="182"/>
  <c r="EF228" i="182"/>
  <c r="DZ228" i="182"/>
  <c r="DN228" i="182"/>
  <c r="DH228" i="182"/>
  <c r="DB228" i="182"/>
  <c r="CV228" i="182"/>
  <c r="GZ225" i="182"/>
  <c r="GT225" i="182"/>
  <c r="GN225" i="182"/>
  <c r="GH225" i="182"/>
  <c r="FV225" i="182"/>
  <c r="FP225" i="182"/>
  <c r="FJ225" i="182"/>
  <c r="FD225" i="182"/>
  <c r="ER225" i="182"/>
  <c r="EL225" i="182"/>
  <c r="EF225" i="182"/>
  <c r="DZ225" i="182"/>
  <c r="DN225" i="182"/>
  <c r="DH225" i="182"/>
  <c r="DB225" i="182"/>
  <c r="CV225" i="182"/>
  <c r="GT223" i="182"/>
  <c r="GN223" i="182"/>
  <c r="GH223" i="182"/>
  <c r="FP223" i="182"/>
  <c r="FJ223" i="182"/>
  <c r="FD223" i="182"/>
  <c r="EL223" i="182"/>
  <c r="EF223" i="182"/>
  <c r="DZ223" i="182"/>
  <c r="DH223" i="182"/>
  <c r="DB223" i="182"/>
  <c r="CV223" i="182"/>
  <c r="GZ221" i="182"/>
  <c r="GT221" i="182"/>
  <c r="GN221" i="182"/>
  <c r="GH221" i="182"/>
  <c r="GB221" i="182"/>
  <c r="FV221" i="182"/>
  <c r="FP221" i="182"/>
  <c r="FJ221" i="182"/>
  <c r="FD221" i="182"/>
  <c r="EX221" i="182"/>
  <c r="ER221" i="182"/>
  <c r="EL221" i="182"/>
  <c r="EF221" i="182"/>
  <c r="DZ221" i="182"/>
  <c r="DT221" i="182"/>
  <c r="DN221" i="182"/>
  <c r="DH221" i="182"/>
  <c r="DB221" i="182"/>
  <c r="CV221" i="182"/>
  <c r="CP221" i="182"/>
  <c r="CJ221" i="182"/>
  <c r="CD221" i="182"/>
  <c r="BX221" i="182"/>
  <c r="BR221" i="182"/>
  <c r="BL221" i="182"/>
  <c r="BF221" i="182"/>
  <c r="AZ221" i="182"/>
  <c r="AT221" i="182"/>
  <c r="AN221" i="182"/>
  <c r="AH221" i="182"/>
  <c r="AB221" i="182"/>
  <c r="V221" i="182"/>
  <c r="U221" i="182"/>
  <c r="HI216" i="182"/>
  <c r="HI70" i="182"/>
  <c r="HI69" i="182"/>
  <c r="HI68" i="182"/>
  <c r="HI66" i="182"/>
  <c r="HI65" i="182"/>
  <c r="HI64" i="182"/>
  <c r="HI63" i="182"/>
  <c r="HI62" i="182"/>
  <c r="HI61" i="182"/>
  <c r="HI60" i="182"/>
  <c r="HI59" i="182"/>
  <c r="HI58" i="182"/>
  <c r="HI57" i="182"/>
  <c r="HI56" i="182"/>
  <c r="HI55" i="182"/>
  <c r="HI54" i="182"/>
  <c r="HI53" i="182"/>
  <c r="HI52" i="182"/>
  <c r="HI51" i="182"/>
  <c r="HI50" i="182"/>
  <c r="HI49" i="182"/>
  <c r="HI48" i="182"/>
  <c r="HI47" i="182"/>
  <c r="HI46" i="182"/>
  <c r="HI45" i="182"/>
  <c r="HD44" i="182"/>
  <c r="HB44" i="182"/>
  <c r="GZ231" i="182" s="1"/>
  <c r="FV231" i="182"/>
  <c r="ER231" i="182"/>
  <c r="DN231" i="182"/>
  <c r="HI44" i="182"/>
  <c r="C39" i="182"/>
  <c r="CJ38" i="182"/>
  <c r="CI38" i="182"/>
  <c r="CH38" i="182"/>
  <c r="CG38" i="182"/>
  <c r="CF38" i="182"/>
  <c r="CE38" i="182"/>
  <c r="CD38" i="182"/>
  <c r="CC38" i="182"/>
  <c r="CB38" i="182"/>
  <c r="CA38" i="182"/>
  <c r="BZ38" i="182"/>
  <c r="BY38" i="182"/>
  <c r="BX38" i="182"/>
  <c r="BW38" i="182"/>
  <c r="BV38" i="182"/>
  <c r="BU38" i="182"/>
  <c r="BT38" i="182"/>
  <c r="BS38" i="182"/>
  <c r="BR38" i="182"/>
  <c r="BQ38" i="182"/>
  <c r="BP38" i="182"/>
  <c r="BO38" i="182"/>
  <c r="BN38" i="182"/>
  <c r="BM38" i="182"/>
  <c r="BL38" i="182"/>
  <c r="BK38" i="182"/>
  <c r="BJ38" i="182"/>
  <c r="BI38" i="182"/>
  <c r="BH38" i="182"/>
  <c r="BG38" i="182"/>
  <c r="BF38" i="182"/>
  <c r="BE38" i="182"/>
  <c r="BD38" i="182"/>
  <c r="BC38" i="182"/>
  <c r="BB38" i="182"/>
  <c r="BA38" i="182"/>
  <c r="AZ38" i="182"/>
  <c r="AY38" i="182"/>
  <c r="AX38" i="182"/>
  <c r="AW38" i="182"/>
  <c r="AV38" i="182"/>
  <c r="AU38" i="182"/>
  <c r="AT38" i="182"/>
  <c r="AS38" i="182"/>
  <c r="AR38" i="182"/>
  <c r="AQ38" i="182"/>
  <c r="AP38" i="182"/>
  <c r="AO38" i="182"/>
  <c r="AN38" i="182"/>
  <c r="AN244" i="182" s="1"/>
  <c r="AM38" i="182"/>
  <c r="AL38" i="182"/>
  <c r="AK38" i="182"/>
  <c r="AJ38" i="182"/>
  <c r="AI38" i="182"/>
  <c r="AH38" i="182"/>
  <c r="AH244" i="182" s="1"/>
  <c r="AG38" i="182"/>
  <c r="AF38" i="182"/>
  <c r="AE38" i="182"/>
  <c r="AD38" i="182"/>
  <c r="AC38" i="182"/>
  <c r="AB38" i="182"/>
  <c r="AB244" i="182" s="1"/>
  <c r="AA38" i="182"/>
  <c r="Z38" i="182"/>
  <c r="Y38" i="182"/>
  <c r="X38" i="182"/>
  <c r="W38" i="182"/>
  <c r="V38" i="182"/>
  <c r="V244" i="182" s="1"/>
  <c r="U38" i="182"/>
  <c r="U244" i="182" s="1"/>
  <c r="C38" i="182"/>
  <c r="C37" i="182"/>
  <c r="CI35" i="182"/>
  <c r="CH35" i="182"/>
  <c r="CG35" i="182"/>
  <c r="CF35" i="182"/>
  <c r="CE35" i="182"/>
  <c r="CC35" i="182"/>
  <c r="CB35" i="182"/>
  <c r="CA35" i="182"/>
  <c r="BZ35" i="182"/>
  <c r="BY35" i="182"/>
  <c r="BW35" i="182"/>
  <c r="BV35" i="182"/>
  <c r="BU35" i="182"/>
  <c r="BT35" i="182"/>
  <c r="BS35" i="182"/>
  <c r="BQ35" i="182"/>
  <c r="BP35" i="182"/>
  <c r="BO35" i="182"/>
  <c r="BN35" i="182"/>
  <c r="BM35" i="182"/>
  <c r="BK35" i="182"/>
  <c r="BJ35" i="182"/>
  <c r="BI35" i="182"/>
  <c r="BH35" i="182"/>
  <c r="BG35" i="182"/>
  <c r="BE35" i="182"/>
  <c r="BD35" i="182"/>
  <c r="BC35" i="182"/>
  <c r="BB35" i="182"/>
  <c r="BA35" i="182"/>
  <c r="AY35" i="182"/>
  <c r="AX35" i="182"/>
  <c r="AW35" i="182"/>
  <c r="AV35" i="182"/>
  <c r="AU35" i="182"/>
  <c r="AM35" i="182"/>
  <c r="AL35" i="182"/>
  <c r="AK35" i="182"/>
  <c r="AJ35" i="182"/>
  <c r="AI35" i="182"/>
  <c r="AG35" i="182"/>
  <c r="AF35" i="182"/>
  <c r="AE35" i="182"/>
  <c r="AD35" i="182"/>
  <c r="AC35" i="182"/>
  <c r="AA35" i="182"/>
  <c r="Z35" i="182"/>
  <c r="Y35" i="182"/>
  <c r="X35" i="182"/>
  <c r="W35" i="182"/>
  <c r="C35" i="182"/>
  <c r="CJ34" i="182"/>
  <c r="CI34" i="182"/>
  <c r="CH34" i="182"/>
  <c r="CG34" i="182"/>
  <c r="CF34" i="182"/>
  <c r="CE34" i="182"/>
  <c r="CD34" i="182"/>
  <c r="CC34" i="182"/>
  <c r="CB34" i="182"/>
  <c r="CA34" i="182"/>
  <c r="BZ34" i="182"/>
  <c r="BY34" i="182"/>
  <c r="BX34" i="182"/>
  <c r="BW34" i="182"/>
  <c r="BV34" i="182"/>
  <c r="BU34" i="182"/>
  <c r="BT34" i="182"/>
  <c r="BS34" i="182"/>
  <c r="BR34" i="182"/>
  <c r="BQ34" i="182"/>
  <c r="BP34" i="182"/>
  <c r="BO34" i="182"/>
  <c r="BN34" i="182"/>
  <c r="BM34" i="182"/>
  <c r="BL34" i="182"/>
  <c r="BK34" i="182"/>
  <c r="BJ34" i="182"/>
  <c r="BI34" i="182"/>
  <c r="BH34" i="182"/>
  <c r="BG34" i="182"/>
  <c r="BF34" i="182"/>
  <c r="BE34" i="182"/>
  <c r="BD34" i="182"/>
  <c r="BC34" i="182"/>
  <c r="BB34" i="182"/>
  <c r="BA34" i="182"/>
  <c r="AZ34" i="182"/>
  <c r="AY34" i="182"/>
  <c r="AX34" i="182"/>
  <c r="AW34" i="182"/>
  <c r="AV34" i="182"/>
  <c r="AU34" i="182"/>
  <c r="AT34" i="182"/>
  <c r="AS34" i="182"/>
  <c r="AR34" i="182"/>
  <c r="AQ34" i="182"/>
  <c r="AP34" i="182"/>
  <c r="AO34" i="182"/>
  <c r="AN34" i="182"/>
  <c r="AN237" i="182" s="1"/>
  <c r="AM34" i="182"/>
  <c r="AL34" i="182"/>
  <c r="AK34" i="182"/>
  <c r="AJ34" i="182"/>
  <c r="AI34" i="182"/>
  <c r="AH34" i="182"/>
  <c r="AH237" i="182" s="1"/>
  <c r="AG34" i="182"/>
  <c r="AF34" i="182"/>
  <c r="AE34" i="182"/>
  <c r="AD34" i="182"/>
  <c r="AC34" i="182"/>
  <c r="AB34" i="182"/>
  <c r="AB237" i="182" s="1"/>
  <c r="AA34" i="182"/>
  <c r="Z34" i="182"/>
  <c r="Y34" i="182"/>
  <c r="X34" i="182"/>
  <c r="W34" i="182"/>
  <c r="V34" i="182"/>
  <c r="V237" i="182" s="1"/>
  <c r="U34" i="182"/>
  <c r="U237" i="182" s="1"/>
  <c r="C20" i="182"/>
  <c r="C19" i="182"/>
  <c r="C18" i="182"/>
  <c r="E2" i="182"/>
  <c r="AH1" i="182" s="1"/>
  <c r="E1" i="182" s="1"/>
  <c r="AA257" i="181"/>
  <c r="Z257" i="181"/>
  <c r="Y257" i="181"/>
  <c r="X257" i="181"/>
  <c r="W257" i="181"/>
  <c r="GY255" i="181"/>
  <c r="GX255" i="181"/>
  <c r="GW255" i="181"/>
  <c r="GV255" i="181"/>
  <c r="GU255" i="181"/>
  <c r="GS255" i="181"/>
  <c r="GR255" i="181"/>
  <c r="GQ255" i="181"/>
  <c r="GP255" i="181"/>
  <c r="GO255" i="181"/>
  <c r="GM255" i="181"/>
  <c r="GL255" i="181"/>
  <c r="GK255" i="181"/>
  <c r="GJ255" i="181"/>
  <c r="GI255" i="181"/>
  <c r="GG255" i="181"/>
  <c r="GF255" i="181"/>
  <c r="GE255" i="181"/>
  <c r="GD255" i="181"/>
  <c r="GC255" i="181"/>
  <c r="GA255" i="181"/>
  <c r="FZ255" i="181"/>
  <c r="FY255" i="181"/>
  <c r="FX255" i="181"/>
  <c r="FW255" i="181"/>
  <c r="FU255" i="181"/>
  <c r="FT255" i="181"/>
  <c r="FS255" i="181"/>
  <c r="FR255" i="181"/>
  <c r="FQ255" i="181"/>
  <c r="FO255" i="181"/>
  <c r="FN255" i="181"/>
  <c r="FM255" i="181"/>
  <c r="FL255" i="181"/>
  <c r="FK255" i="181"/>
  <c r="FI255" i="181"/>
  <c r="FH255" i="181"/>
  <c r="FG255" i="181"/>
  <c r="FF255" i="181"/>
  <c r="FE255" i="181"/>
  <c r="FC255" i="181"/>
  <c r="FB255" i="181"/>
  <c r="FA255" i="181"/>
  <c r="EZ255" i="181"/>
  <c r="EY255" i="181"/>
  <c r="EW255" i="181"/>
  <c r="EV255" i="181"/>
  <c r="EU255" i="181"/>
  <c r="ET255" i="181"/>
  <c r="ES255" i="181"/>
  <c r="EQ255" i="181"/>
  <c r="EP255" i="181"/>
  <c r="EO255" i="181"/>
  <c r="EN255" i="181"/>
  <c r="EM255" i="181"/>
  <c r="EK255" i="181"/>
  <c r="EJ255" i="181"/>
  <c r="EI255" i="181"/>
  <c r="EH255" i="181"/>
  <c r="EG255" i="181"/>
  <c r="EE255" i="181"/>
  <c r="ED255" i="181"/>
  <c r="EC255" i="181"/>
  <c r="EB255" i="181"/>
  <c r="EA255" i="181"/>
  <c r="DY255" i="181"/>
  <c r="DX255" i="181"/>
  <c r="DW255" i="181"/>
  <c r="DV255" i="181"/>
  <c r="DU255" i="181"/>
  <c r="DS255" i="181"/>
  <c r="DR255" i="181"/>
  <c r="DQ255" i="181"/>
  <c r="DP255" i="181"/>
  <c r="DO255" i="181"/>
  <c r="DM255" i="181"/>
  <c r="DL255" i="181"/>
  <c r="DK255" i="181"/>
  <c r="DJ255" i="181"/>
  <c r="DI255" i="181"/>
  <c r="DG255" i="181"/>
  <c r="DF255" i="181"/>
  <c r="DE255" i="181"/>
  <c r="DD255" i="181"/>
  <c r="DC255" i="181"/>
  <c r="DA255" i="181"/>
  <c r="CZ255" i="181"/>
  <c r="CY255" i="181"/>
  <c r="CX255" i="181"/>
  <c r="CW255" i="181"/>
  <c r="CU255" i="181"/>
  <c r="CT255" i="181"/>
  <c r="CS255" i="181"/>
  <c r="CR255" i="181"/>
  <c r="CQ255" i="181"/>
  <c r="CO255" i="181"/>
  <c r="CN255" i="181"/>
  <c r="CM255" i="181"/>
  <c r="CL255" i="181"/>
  <c r="CK255" i="181"/>
  <c r="CI255" i="181"/>
  <c r="CH255" i="181"/>
  <c r="CG255" i="181"/>
  <c r="CF255" i="181"/>
  <c r="CE255" i="181"/>
  <c r="CC255" i="181"/>
  <c r="CB255" i="181"/>
  <c r="CA255" i="181"/>
  <c r="BZ255" i="181"/>
  <c r="BY255" i="181"/>
  <c r="BW255" i="181"/>
  <c r="BV255" i="181"/>
  <c r="BU255" i="181"/>
  <c r="BT255" i="181"/>
  <c r="BS255" i="181"/>
  <c r="BQ255" i="181"/>
  <c r="BP255" i="181"/>
  <c r="BO255" i="181"/>
  <c r="BN255" i="181"/>
  <c r="BM255" i="181"/>
  <c r="BK255" i="181"/>
  <c r="BJ255" i="181"/>
  <c r="BI255" i="181"/>
  <c r="BH255" i="181"/>
  <c r="BG255" i="181"/>
  <c r="BE255" i="181"/>
  <c r="BD255" i="181"/>
  <c r="BC255" i="181"/>
  <c r="BB255" i="181"/>
  <c r="BA255" i="181"/>
  <c r="AY255" i="181"/>
  <c r="AX255" i="181"/>
  <c r="AW255" i="181"/>
  <c r="AV255" i="181"/>
  <c r="AU255" i="181"/>
  <c r="AS255" i="181"/>
  <c r="AR255" i="181"/>
  <c r="AQ255" i="181"/>
  <c r="AP255" i="181"/>
  <c r="AO255" i="181"/>
  <c r="AM255" i="181"/>
  <c r="AL255" i="181"/>
  <c r="AK255" i="181"/>
  <c r="AJ255" i="181"/>
  <c r="AI255" i="181"/>
  <c r="AG255" i="181"/>
  <c r="AF255" i="181"/>
  <c r="AE255" i="181"/>
  <c r="AD255" i="181"/>
  <c r="AC255" i="181"/>
  <c r="AA255" i="181"/>
  <c r="Z255" i="181"/>
  <c r="Y255" i="181"/>
  <c r="X255" i="181"/>
  <c r="W255" i="181"/>
  <c r="GY243" i="181"/>
  <c r="GX243" i="181"/>
  <c r="GW243" i="181"/>
  <c r="GV243" i="181"/>
  <c r="GU243" i="181"/>
  <c r="GS243" i="181"/>
  <c r="GR243" i="181"/>
  <c r="GQ243" i="181"/>
  <c r="GP243" i="181"/>
  <c r="GO243" i="181"/>
  <c r="GM243" i="181"/>
  <c r="GL243" i="181"/>
  <c r="GK243" i="181"/>
  <c r="GJ243" i="181"/>
  <c r="GI243" i="181"/>
  <c r="GG243" i="181"/>
  <c r="GF243" i="181"/>
  <c r="GE243" i="181"/>
  <c r="GD243" i="181"/>
  <c r="GC243" i="181"/>
  <c r="GA243" i="181"/>
  <c r="FZ243" i="181"/>
  <c r="FY243" i="181"/>
  <c r="FX243" i="181"/>
  <c r="FW243" i="181"/>
  <c r="FU243" i="181"/>
  <c r="FT243" i="181"/>
  <c r="FS243" i="181"/>
  <c r="FR243" i="181"/>
  <c r="FQ243" i="181"/>
  <c r="FO243" i="181"/>
  <c r="FN243" i="181"/>
  <c r="FM243" i="181"/>
  <c r="FL243" i="181"/>
  <c r="FK243" i="181"/>
  <c r="FI243" i="181"/>
  <c r="FH243" i="181"/>
  <c r="FG243" i="181"/>
  <c r="FF243" i="181"/>
  <c r="FE243" i="181"/>
  <c r="FC243" i="181"/>
  <c r="FB243" i="181"/>
  <c r="FA243" i="181"/>
  <c r="EZ243" i="181"/>
  <c r="EY243" i="181"/>
  <c r="EW243" i="181"/>
  <c r="EV243" i="181"/>
  <c r="EU243" i="181"/>
  <c r="ET243" i="181"/>
  <c r="ES243" i="181"/>
  <c r="EQ243" i="181"/>
  <c r="EP243" i="181"/>
  <c r="EO243" i="181"/>
  <c r="EN243" i="181"/>
  <c r="EM243" i="181"/>
  <c r="EK243" i="181"/>
  <c r="EJ243" i="181"/>
  <c r="EI243" i="181"/>
  <c r="EH243" i="181"/>
  <c r="EG243" i="181"/>
  <c r="EE243" i="181"/>
  <c r="ED243" i="181"/>
  <c r="EC243" i="181"/>
  <c r="EB243" i="181"/>
  <c r="EA243" i="181"/>
  <c r="DY243" i="181"/>
  <c r="DX243" i="181"/>
  <c r="DW243" i="181"/>
  <c r="DV243" i="181"/>
  <c r="DU243" i="181"/>
  <c r="DS243" i="181"/>
  <c r="DR243" i="181"/>
  <c r="DQ243" i="181"/>
  <c r="DP243" i="181"/>
  <c r="DO243" i="181"/>
  <c r="DM243" i="181"/>
  <c r="DL243" i="181"/>
  <c r="DK243" i="181"/>
  <c r="DJ243" i="181"/>
  <c r="DI243" i="181"/>
  <c r="DG243" i="181"/>
  <c r="DF243" i="181"/>
  <c r="DE243" i="181"/>
  <c r="DD243" i="181"/>
  <c r="DC243" i="181"/>
  <c r="DA243" i="181"/>
  <c r="CZ243" i="181"/>
  <c r="CY243" i="181"/>
  <c r="CX243" i="181"/>
  <c r="CW243" i="181"/>
  <c r="CU243" i="181"/>
  <c r="CT243" i="181"/>
  <c r="CS243" i="181"/>
  <c r="CR243" i="181"/>
  <c r="CQ243" i="181"/>
  <c r="CO243" i="181"/>
  <c r="CN243" i="181"/>
  <c r="CM243" i="181"/>
  <c r="CL243" i="181"/>
  <c r="CK243" i="181"/>
  <c r="CI243" i="181"/>
  <c r="CH243" i="181"/>
  <c r="CG243" i="181"/>
  <c r="CF243" i="181"/>
  <c r="CE243" i="181"/>
  <c r="CC243" i="181"/>
  <c r="CB243" i="181"/>
  <c r="CA243" i="181"/>
  <c r="BZ243" i="181"/>
  <c r="BY243" i="181"/>
  <c r="BW243" i="181"/>
  <c r="BV243" i="181"/>
  <c r="BU243" i="181"/>
  <c r="BT243" i="181"/>
  <c r="BS243" i="181"/>
  <c r="BQ243" i="181"/>
  <c r="BP243" i="181"/>
  <c r="BO243" i="181"/>
  <c r="BN243" i="181"/>
  <c r="BM243" i="181"/>
  <c r="BK243" i="181"/>
  <c r="BJ243" i="181"/>
  <c r="BI243" i="181"/>
  <c r="BH243" i="181"/>
  <c r="BG243" i="181"/>
  <c r="BE243" i="181"/>
  <c r="BD243" i="181"/>
  <c r="BC243" i="181"/>
  <c r="BB243" i="181"/>
  <c r="BA243" i="181"/>
  <c r="AY243" i="181"/>
  <c r="AX243" i="181"/>
  <c r="AW243" i="181"/>
  <c r="AV243" i="181"/>
  <c r="AU243" i="181"/>
  <c r="HE242" i="181"/>
  <c r="HD242" i="181"/>
  <c r="HC242" i="181"/>
  <c r="HB242" i="181"/>
  <c r="HA242" i="181"/>
  <c r="GY242" i="181"/>
  <c r="GX242" i="181"/>
  <c r="GW242" i="181"/>
  <c r="GV242" i="181"/>
  <c r="GU242" i="181"/>
  <c r="GS242" i="181"/>
  <c r="GR242" i="181"/>
  <c r="GQ242" i="181"/>
  <c r="GP242" i="181"/>
  <c r="GO242" i="181"/>
  <c r="GM242" i="181"/>
  <c r="GL242" i="181"/>
  <c r="GK242" i="181"/>
  <c r="GJ242" i="181"/>
  <c r="GI242" i="181"/>
  <c r="GG242" i="181"/>
  <c r="GF242" i="181"/>
  <c r="GE242" i="181"/>
  <c r="GD242" i="181"/>
  <c r="GC242" i="181"/>
  <c r="GA242" i="181"/>
  <c r="FZ242" i="181"/>
  <c r="FY242" i="181"/>
  <c r="FX242" i="181"/>
  <c r="FW242" i="181"/>
  <c r="FU242" i="181"/>
  <c r="FT242" i="181"/>
  <c r="FS242" i="181"/>
  <c r="FR242" i="181"/>
  <c r="FQ242" i="181"/>
  <c r="FO242" i="181"/>
  <c r="FN242" i="181"/>
  <c r="FM242" i="181"/>
  <c r="FL242" i="181"/>
  <c r="FK242" i="181"/>
  <c r="FI242" i="181"/>
  <c r="FH242" i="181"/>
  <c r="FG242" i="181"/>
  <c r="FF242" i="181"/>
  <c r="FE242" i="181"/>
  <c r="FC242" i="181"/>
  <c r="FB242" i="181"/>
  <c r="FA242" i="181"/>
  <c r="EZ242" i="181"/>
  <c r="EY242" i="181"/>
  <c r="EW242" i="181"/>
  <c r="EV242" i="181"/>
  <c r="EU242" i="181"/>
  <c r="ET242" i="181"/>
  <c r="ES242" i="181"/>
  <c r="EQ242" i="181"/>
  <c r="EP242" i="181"/>
  <c r="EO242" i="181"/>
  <c r="EN242" i="181"/>
  <c r="EM242" i="181"/>
  <c r="EK242" i="181"/>
  <c r="EJ242" i="181"/>
  <c r="EI242" i="181"/>
  <c r="EH242" i="181"/>
  <c r="EG242" i="181"/>
  <c r="EE242" i="181"/>
  <c r="ED242" i="181"/>
  <c r="EC242" i="181"/>
  <c r="EB242" i="181"/>
  <c r="EA242" i="181"/>
  <c r="DY242" i="181"/>
  <c r="DX242" i="181"/>
  <c r="DW242" i="181"/>
  <c r="DV242" i="181"/>
  <c r="DU242" i="181"/>
  <c r="DS242" i="181"/>
  <c r="DR242" i="181"/>
  <c r="DQ242" i="181"/>
  <c r="DP242" i="181"/>
  <c r="DO242" i="181"/>
  <c r="DM242" i="181"/>
  <c r="DL242" i="181"/>
  <c r="DK242" i="181"/>
  <c r="DJ242" i="181"/>
  <c r="DI242" i="181"/>
  <c r="DG242" i="181"/>
  <c r="DF242" i="181"/>
  <c r="DE242" i="181"/>
  <c r="DD242" i="181"/>
  <c r="DC242" i="181"/>
  <c r="DA242" i="181"/>
  <c r="CZ242" i="181"/>
  <c r="CY242" i="181"/>
  <c r="CX242" i="181"/>
  <c r="CW242" i="181"/>
  <c r="CU242" i="181"/>
  <c r="CT242" i="181"/>
  <c r="CS242" i="181"/>
  <c r="CR242" i="181"/>
  <c r="CQ242" i="181"/>
  <c r="CO242" i="181"/>
  <c r="CN242" i="181"/>
  <c r="CM242" i="181"/>
  <c r="CL242" i="181"/>
  <c r="CK242" i="181"/>
  <c r="CI242" i="181"/>
  <c r="CH242" i="181"/>
  <c r="CG242" i="181"/>
  <c r="CF242" i="181"/>
  <c r="CE242" i="181"/>
  <c r="CC242" i="181"/>
  <c r="CB242" i="181"/>
  <c r="CA242" i="181"/>
  <c r="BZ242" i="181"/>
  <c r="BY242" i="181"/>
  <c r="BW242" i="181"/>
  <c r="BV242" i="181"/>
  <c r="BU242" i="181"/>
  <c r="BT242" i="181"/>
  <c r="BS242" i="181"/>
  <c r="BQ242" i="181"/>
  <c r="BQ244" i="181" s="1"/>
  <c r="BP242" i="181"/>
  <c r="BO242" i="181"/>
  <c r="BN242" i="181"/>
  <c r="BM242" i="181"/>
  <c r="BK242" i="181"/>
  <c r="BJ242" i="181"/>
  <c r="BI242" i="181"/>
  <c r="BH242" i="181"/>
  <c r="BG242" i="181"/>
  <c r="BE242" i="181"/>
  <c r="BD242" i="181"/>
  <c r="BC242" i="181"/>
  <c r="BB242" i="181"/>
  <c r="BA242" i="181"/>
  <c r="AY242" i="181"/>
  <c r="AX242" i="181"/>
  <c r="AW242" i="181"/>
  <c r="AV242" i="181"/>
  <c r="AU242" i="181"/>
  <c r="AN240" i="181"/>
  <c r="AH240" i="181"/>
  <c r="AB240" i="181"/>
  <c r="V240" i="181"/>
  <c r="U240" i="181"/>
  <c r="HE237" i="181"/>
  <c r="HD237" i="181"/>
  <c r="HC237" i="181"/>
  <c r="HB237" i="181"/>
  <c r="HA237" i="181"/>
  <c r="GY235" i="181"/>
  <c r="GX235" i="181"/>
  <c r="GW235" i="181"/>
  <c r="GV235" i="181"/>
  <c r="GU235" i="181"/>
  <c r="GS235" i="181"/>
  <c r="GR235" i="181"/>
  <c r="GQ235" i="181"/>
  <c r="GP235" i="181"/>
  <c r="GO235" i="181"/>
  <c r="GM235" i="181"/>
  <c r="GL235" i="181"/>
  <c r="GK235" i="181"/>
  <c r="GJ235" i="181"/>
  <c r="GI235" i="181"/>
  <c r="GG235" i="181"/>
  <c r="GF235" i="181"/>
  <c r="GE235" i="181"/>
  <c r="GD235" i="181"/>
  <c r="GC235" i="181"/>
  <c r="GA235" i="181"/>
  <c r="FZ235" i="181"/>
  <c r="FY235" i="181"/>
  <c r="FX235" i="181"/>
  <c r="FW235" i="181"/>
  <c r="FU235" i="181"/>
  <c r="FT235" i="181"/>
  <c r="FS235" i="181"/>
  <c r="FR235" i="181"/>
  <c r="FQ235" i="181"/>
  <c r="FO235" i="181"/>
  <c r="FN235" i="181"/>
  <c r="FM235" i="181"/>
  <c r="FL235" i="181"/>
  <c r="FK235" i="181"/>
  <c r="FI235" i="181"/>
  <c r="FH235" i="181"/>
  <c r="FG235" i="181"/>
  <c r="FF235" i="181"/>
  <c r="FE235" i="181"/>
  <c r="FC235" i="181"/>
  <c r="FB235" i="181"/>
  <c r="FA235" i="181"/>
  <c r="EZ235" i="181"/>
  <c r="EY235" i="181"/>
  <c r="EW235" i="181"/>
  <c r="EV235" i="181"/>
  <c r="EU235" i="181"/>
  <c r="ET235" i="181"/>
  <c r="ES235" i="181"/>
  <c r="EQ235" i="181"/>
  <c r="EP235" i="181"/>
  <c r="EO235" i="181"/>
  <c r="EN235" i="181"/>
  <c r="EM235" i="181"/>
  <c r="EK235" i="181"/>
  <c r="EJ235" i="181"/>
  <c r="EI235" i="181"/>
  <c r="EH235" i="181"/>
  <c r="EG235" i="181"/>
  <c r="EE235" i="181"/>
  <c r="ED235" i="181"/>
  <c r="EC235" i="181"/>
  <c r="EB235" i="181"/>
  <c r="EA235" i="181"/>
  <c r="DY235" i="181"/>
  <c r="DX235" i="181"/>
  <c r="DW235" i="181"/>
  <c r="DV235" i="181"/>
  <c r="DU235" i="181"/>
  <c r="DS235" i="181"/>
  <c r="DR235" i="181"/>
  <c r="DQ235" i="181"/>
  <c r="DP235" i="181"/>
  <c r="DO235" i="181"/>
  <c r="DM235" i="181"/>
  <c r="DL235" i="181"/>
  <c r="DK235" i="181"/>
  <c r="DJ235" i="181"/>
  <c r="DI235" i="181"/>
  <c r="DI237" i="181" s="1"/>
  <c r="DG235" i="181"/>
  <c r="DF235" i="181"/>
  <c r="DE235" i="181"/>
  <c r="DD235" i="181"/>
  <c r="DC235" i="181"/>
  <c r="DA235" i="181"/>
  <c r="CZ235" i="181"/>
  <c r="CY235" i="181"/>
  <c r="CY237" i="181" s="1"/>
  <c r="CX235" i="181"/>
  <c r="CW235" i="181"/>
  <c r="CU235" i="181"/>
  <c r="CT235" i="181"/>
  <c r="CS235" i="181"/>
  <c r="CR235" i="181"/>
  <c r="CQ235" i="181"/>
  <c r="CO235" i="181"/>
  <c r="CN235" i="181"/>
  <c r="CM235" i="181"/>
  <c r="CL235" i="181"/>
  <c r="CK235" i="181"/>
  <c r="CI235" i="181"/>
  <c r="CH235" i="181"/>
  <c r="CG235" i="181"/>
  <c r="CF235" i="181"/>
  <c r="CE235" i="181"/>
  <c r="CC235" i="181"/>
  <c r="CB235" i="181"/>
  <c r="CA235" i="181"/>
  <c r="BZ235" i="181"/>
  <c r="BY235" i="181"/>
  <c r="BW235" i="181"/>
  <c r="BV235" i="181"/>
  <c r="BU235" i="181"/>
  <c r="BT235" i="181"/>
  <c r="BS235" i="181"/>
  <c r="BQ235" i="181"/>
  <c r="BP235" i="181"/>
  <c r="BO235" i="181"/>
  <c r="BN235" i="181"/>
  <c r="BM235" i="181"/>
  <c r="BK235" i="181"/>
  <c r="BJ235" i="181"/>
  <c r="BI235" i="181"/>
  <c r="BH235" i="181"/>
  <c r="BG235" i="181"/>
  <c r="BE235" i="181"/>
  <c r="BD235" i="181"/>
  <c r="BC235" i="181"/>
  <c r="BB235" i="181"/>
  <c r="BA235" i="181"/>
  <c r="AY235" i="181"/>
  <c r="AX235" i="181"/>
  <c r="AW235" i="181"/>
  <c r="AV235" i="181"/>
  <c r="AU235" i="181"/>
  <c r="AN235" i="181"/>
  <c r="AH235" i="181"/>
  <c r="AB235" i="181"/>
  <c r="V235" i="181"/>
  <c r="U235" i="181"/>
  <c r="GZ234" i="181"/>
  <c r="GY234" i="181"/>
  <c r="GX234" i="181"/>
  <c r="GW234" i="181"/>
  <c r="GV234" i="181"/>
  <c r="GU234" i="181"/>
  <c r="GT234" i="181"/>
  <c r="GS234" i="181"/>
  <c r="GR234" i="181"/>
  <c r="GQ234" i="181"/>
  <c r="GP234" i="181"/>
  <c r="GO234" i="181"/>
  <c r="GN234" i="181"/>
  <c r="GM234" i="181"/>
  <c r="GL234" i="181"/>
  <c r="GK234" i="181"/>
  <c r="GJ234" i="181"/>
  <c r="GI234" i="181"/>
  <c r="GH234" i="181"/>
  <c r="GG234" i="181"/>
  <c r="GF234" i="181"/>
  <c r="GE234" i="181"/>
  <c r="GD234" i="181"/>
  <c r="FX234" i="181"/>
  <c r="FW234" i="181"/>
  <c r="FV234" i="181"/>
  <c r="FU234" i="181"/>
  <c r="FT234" i="181"/>
  <c r="FS234" i="181"/>
  <c r="FR234" i="181"/>
  <c r="FQ234" i="181"/>
  <c r="FP234" i="181"/>
  <c r="FO234" i="181"/>
  <c r="FN234" i="181"/>
  <c r="FM234" i="181"/>
  <c r="FL234" i="181"/>
  <c r="FK234" i="181"/>
  <c r="FJ234" i="181"/>
  <c r="FI234" i="181"/>
  <c r="FH234" i="181"/>
  <c r="FG234" i="181"/>
  <c r="FF234" i="181"/>
  <c r="FE234" i="181"/>
  <c r="FD234" i="181"/>
  <c r="FC234" i="181"/>
  <c r="FB234" i="181"/>
  <c r="FA234" i="181"/>
  <c r="EZ234" i="181"/>
  <c r="ET234" i="181"/>
  <c r="ES234" i="181"/>
  <c r="ER234" i="181"/>
  <c r="EQ234" i="181"/>
  <c r="EP234" i="181"/>
  <c r="EO234" i="181"/>
  <c r="EN234" i="181"/>
  <c r="EM234" i="181"/>
  <c r="EL234" i="181"/>
  <c r="EK234" i="181"/>
  <c r="EJ234" i="181"/>
  <c r="EI234" i="181"/>
  <c r="EH234" i="181"/>
  <c r="EG234" i="181"/>
  <c r="EF234" i="181"/>
  <c r="EE234" i="181"/>
  <c r="ED234" i="181"/>
  <c r="EC234" i="181"/>
  <c r="EB234" i="181"/>
  <c r="EA234" i="181"/>
  <c r="DZ234" i="181"/>
  <c r="DY234" i="181"/>
  <c r="DX234" i="181"/>
  <c r="DW234" i="181"/>
  <c r="DV234" i="181"/>
  <c r="DP234" i="181"/>
  <c r="DO234" i="181"/>
  <c r="DN234" i="181"/>
  <c r="DM234" i="181"/>
  <c r="DL234" i="181"/>
  <c r="DK234" i="181"/>
  <c r="DJ234" i="181"/>
  <c r="DI234" i="181"/>
  <c r="DH234" i="181"/>
  <c r="DG234" i="181"/>
  <c r="DF234" i="181"/>
  <c r="DE234" i="181"/>
  <c r="DD234" i="181"/>
  <c r="DC234" i="181"/>
  <c r="DB234" i="181"/>
  <c r="DA234" i="181"/>
  <c r="CZ234" i="181"/>
  <c r="CY234" i="181"/>
  <c r="CX234" i="181"/>
  <c r="CW234" i="181"/>
  <c r="CV234" i="181"/>
  <c r="CU234" i="181"/>
  <c r="CT234" i="181"/>
  <c r="CS234" i="181"/>
  <c r="CR234" i="181"/>
  <c r="CL234" i="181"/>
  <c r="CF234" i="181"/>
  <c r="BZ234" i="181"/>
  <c r="BT234" i="181"/>
  <c r="BN234" i="181"/>
  <c r="BH234" i="181"/>
  <c r="BB234" i="181"/>
  <c r="AV234" i="181"/>
  <c r="GY232" i="181"/>
  <c r="GX232" i="181"/>
  <c r="GW232" i="181"/>
  <c r="GV232" i="181"/>
  <c r="GU232" i="181"/>
  <c r="GS232" i="181"/>
  <c r="GR232" i="181"/>
  <c r="GQ232" i="181"/>
  <c r="GP232" i="181"/>
  <c r="GO232" i="181"/>
  <c r="GM232" i="181"/>
  <c r="GL232" i="181"/>
  <c r="GK232" i="181"/>
  <c r="GJ232" i="181"/>
  <c r="GI232" i="181"/>
  <c r="GG232" i="181"/>
  <c r="GF232" i="181"/>
  <c r="GE232" i="181"/>
  <c r="GD232" i="181"/>
  <c r="GC232" i="181"/>
  <c r="GA232" i="181"/>
  <c r="FZ232" i="181"/>
  <c r="FY232" i="181"/>
  <c r="FX232" i="181"/>
  <c r="FW232" i="181"/>
  <c r="FU232" i="181"/>
  <c r="FT232" i="181"/>
  <c r="FS232" i="181"/>
  <c r="FR232" i="181"/>
  <c r="FQ232" i="181"/>
  <c r="FO232" i="181"/>
  <c r="FN232" i="181"/>
  <c r="FM232" i="181"/>
  <c r="FL232" i="181"/>
  <c r="FK232" i="181"/>
  <c r="FI232" i="181"/>
  <c r="FH232" i="181"/>
  <c r="FG232" i="181"/>
  <c r="FF232" i="181"/>
  <c r="FE232" i="181"/>
  <c r="FC232" i="181"/>
  <c r="FB232" i="181"/>
  <c r="FA232" i="181"/>
  <c r="EZ232" i="181"/>
  <c r="EY232" i="181"/>
  <c r="EW232" i="181"/>
  <c r="EV232" i="181"/>
  <c r="EU232" i="181"/>
  <c r="ET232" i="181"/>
  <c r="ES232" i="181"/>
  <c r="EQ232" i="181"/>
  <c r="EP232" i="181"/>
  <c r="EO232" i="181"/>
  <c r="EN232" i="181"/>
  <c r="EM232" i="181"/>
  <c r="EK232" i="181"/>
  <c r="EJ232" i="181"/>
  <c r="EI232" i="181"/>
  <c r="EH232" i="181"/>
  <c r="EG232" i="181"/>
  <c r="EE232" i="181"/>
  <c r="ED232" i="181"/>
  <c r="EC232" i="181"/>
  <c r="EB232" i="181"/>
  <c r="EA232" i="181"/>
  <c r="DY232" i="181"/>
  <c r="DX232" i="181"/>
  <c r="DW232" i="181"/>
  <c r="DV232" i="181"/>
  <c r="DU232" i="181"/>
  <c r="DS232" i="181"/>
  <c r="DR232" i="181"/>
  <c r="DQ232" i="181"/>
  <c r="DP232" i="181"/>
  <c r="DO232" i="181"/>
  <c r="DM232" i="181"/>
  <c r="DL232" i="181"/>
  <c r="DK232" i="181"/>
  <c r="DJ232" i="181"/>
  <c r="DI232" i="181"/>
  <c r="DG232" i="181"/>
  <c r="DF232" i="181"/>
  <c r="DE232" i="181"/>
  <c r="DD232" i="181"/>
  <c r="DC232" i="181"/>
  <c r="DA232" i="181"/>
  <c r="CZ232" i="181"/>
  <c r="CY232" i="181"/>
  <c r="CX232" i="181"/>
  <c r="CW232" i="181"/>
  <c r="CU232" i="181"/>
  <c r="CT232" i="181"/>
  <c r="CS232" i="181"/>
  <c r="CR232" i="181"/>
  <c r="CQ232" i="181"/>
  <c r="CO232" i="181"/>
  <c r="CN232" i="181"/>
  <c r="CM232" i="181"/>
  <c r="CL232" i="181"/>
  <c r="CK232" i="181"/>
  <c r="CI232" i="181"/>
  <c r="CH232" i="181"/>
  <c r="CG232" i="181"/>
  <c r="CF232" i="181"/>
  <c r="CE232" i="181"/>
  <c r="CC232" i="181"/>
  <c r="CB232" i="181"/>
  <c r="CA232" i="181"/>
  <c r="BZ232" i="181"/>
  <c r="BY232" i="181"/>
  <c r="BW232" i="181"/>
  <c r="BV232" i="181"/>
  <c r="BU232" i="181"/>
  <c r="BT232" i="181"/>
  <c r="BS232" i="181"/>
  <c r="BQ232" i="181"/>
  <c r="BP232" i="181"/>
  <c r="BO232" i="181"/>
  <c r="BN232" i="181"/>
  <c r="BM232" i="181"/>
  <c r="BK232" i="181"/>
  <c r="BJ232" i="181"/>
  <c r="BI232" i="181"/>
  <c r="BH232" i="181"/>
  <c r="BG232" i="181"/>
  <c r="BE232" i="181"/>
  <c r="BD232" i="181"/>
  <c r="BC232" i="181"/>
  <c r="BB232" i="181"/>
  <c r="BA232" i="181"/>
  <c r="AY232" i="181"/>
  <c r="AX232" i="181"/>
  <c r="AW232" i="181"/>
  <c r="AV232" i="181"/>
  <c r="AU232" i="181"/>
  <c r="AN232" i="181"/>
  <c r="AH232" i="181"/>
  <c r="AB232" i="181"/>
  <c r="V232" i="181"/>
  <c r="U232" i="181"/>
  <c r="GT231" i="181"/>
  <c r="GN231" i="181"/>
  <c r="GH231" i="181"/>
  <c r="FP231" i="181"/>
  <c r="FJ231" i="181"/>
  <c r="FD231" i="181"/>
  <c r="EL231" i="181"/>
  <c r="EF231" i="181"/>
  <c r="DZ231" i="181"/>
  <c r="DH231" i="181"/>
  <c r="DB231" i="181"/>
  <c r="CV231" i="181"/>
  <c r="GY229" i="181"/>
  <c r="GX229" i="181"/>
  <c r="GW229" i="181"/>
  <c r="GV229" i="181"/>
  <c r="GU229" i="181"/>
  <c r="GS229" i="181"/>
  <c r="GR229" i="181"/>
  <c r="GQ229" i="181"/>
  <c r="GP229" i="181"/>
  <c r="GO229" i="181"/>
  <c r="GO237" i="181" s="1"/>
  <c r="GM229" i="181"/>
  <c r="GL229" i="181"/>
  <c r="GK229" i="181"/>
  <c r="GK237" i="181" s="1"/>
  <c r="GJ229" i="181"/>
  <c r="GI229" i="181"/>
  <c r="GG229" i="181"/>
  <c r="GF229" i="181"/>
  <c r="GE229" i="181"/>
  <c r="GD229" i="181"/>
  <c r="GC229" i="181"/>
  <c r="GC237" i="181" s="1"/>
  <c r="GA229" i="181"/>
  <c r="FZ229" i="181"/>
  <c r="FY229" i="181"/>
  <c r="FX229" i="181"/>
  <c r="FW229" i="181"/>
  <c r="FU229" i="181"/>
  <c r="FT229" i="181"/>
  <c r="FS229" i="181"/>
  <c r="FR229" i="181"/>
  <c r="FQ229" i="181"/>
  <c r="FO229" i="181"/>
  <c r="FN229" i="181"/>
  <c r="FM229" i="181"/>
  <c r="FL229" i="181"/>
  <c r="FK229" i="181"/>
  <c r="FI229" i="181"/>
  <c r="FH229" i="181"/>
  <c r="FG229" i="181"/>
  <c r="FF229" i="181"/>
  <c r="FE229" i="181"/>
  <c r="FC229" i="181"/>
  <c r="FB229" i="181"/>
  <c r="FA229" i="181"/>
  <c r="EZ229" i="181"/>
  <c r="EY229" i="181"/>
  <c r="EW229" i="181"/>
  <c r="EW237" i="181" s="1"/>
  <c r="EV229" i="181"/>
  <c r="EU229" i="181"/>
  <c r="ET229" i="181"/>
  <c r="ES229" i="181"/>
  <c r="ES237" i="181" s="1"/>
  <c r="EQ229" i="181"/>
  <c r="EP229" i="181"/>
  <c r="EO229" i="181"/>
  <c r="EN229" i="181"/>
  <c r="EM229" i="181"/>
  <c r="EK229" i="181"/>
  <c r="EJ229" i="181"/>
  <c r="EI229" i="181"/>
  <c r="EI244" i="181" s="1"/>
  <c r="EH229" i="181"/>
  <c r="EG229" i="181"/>
  <c r="EE229" i="181"/>
  <c r="ED229" i="181"/>
  <c r="EC229" i="181"/>
  <c r="EB229" i="181"/>
  <c r="EA229" i="181"/>
  <c r="DY229" i="181"/>
  <c r="DX229" i="181"/>
  <c r="DW229" i="181"/>
  <c r="DV229" i="181"/>
  <c r="DU229" i="181"/>
  <c r="DS229" i="181"/>
  <c r="DR229" i="181"/>
  <c r="DQ229" i="181"/>
  <c r="DP229" i="181"/>
  <c r="DO229" i="181"/>
  <c r="DM229" i="181"/>
  <c r="DL229" i="181"/>
  <c r="DK229" i="181"/>
  <c r="DJ229" i="181"/>
  <c r="DI229" i="181"/>
  <c r="DG229" i="181"/>
  <c r="DF229" i="181"/>
  <c r="DE229" i="181"/>
  <c r="DD229" i="181"/>
  <c r="DC229" i="181"/>
  <c r="DC237" i="181" s="1"/>
  <c r="DA229" i="181"/>
  <c r="CZ229" i="181"/>
  <c r="CY229" i="181"/>
  <c r="CX229" i="181"/>
  <c r="CW229" i="181"/>
  <c r="CU229" i="181"/>
  <c r="CT229" i="181"/>
  <c r="CS229" i="181"/>
  <c r="CR229" i="181"/>
  <c r="CQ229" i="181"/>
  <c r="CO229" i="181"/>
  <c r="CN229" i="181"/>
  <c r="CM229" i="181"/>
  <c r="CM244" i="181" s="1"/>
  <c r="CL229" i="181"/>
  <c r="CK229" i="181"/>
  <c r="CI229" i="181"/>
  <c r="CH229" i="181"/>
  <c r="CG229" i="181"/>
  <c r="CF229" i="181"/>
  <c r="CE229" i="181"/>
  <c r="CC229" i="181"/>
  <c r="CC244" i="181" s="1"/>
  <c r="CB229" i="181"/>
  <c r="CA229" i="181"/>
  <c r="BZ229" i="181"/>
  <c r="BY229" i="181"/>
  <c r="BW229" i="181"/>
  <c r="BV229" i="181"/>
  <c r="BU229" i="181"/>
  <c r="BT229" i="181"/>
  <c r="BS229" i="181"/>
  <c r="BQ229" i="181"/>
  <c r="BP229" i="181"/>
  <c r="BO229" i="181"/>
  <c r="BO244" i="181" s="1"/>
  <c r="BN229" i="181"/>
  <c r="BM229" i="181"/>
  <c r="BK229" i="181"/>
  <c r="BJ229" i="181"/>
  <c r="BI229" i="181"/>
  <c r="BH229" i="181"/>
  <c r="BG229" i="181"/>
  <c r="BE229" i="181"/>
  <c r="BD229" i="181"/>
  <c r="BC229" i="181"/>
  <c r="BB229" i="181"/>
  <c r="BA229" i="181"/>
  <c r="BA237" i="181" s="1"/>
  <c r="AY229" i="181"/>
  <c r="AX229" i="181"/>
  <c r="AW229" i="181"/>
  <c r="AW237" i="181" s="1"/>
  <c r="AV229" i="181"/>
  <c r="AU229" i="181"/>
  <c r="AN229" i="181"/>
  <c r="AH229" i="181"/>
  <c r="AB229" i="181"/>
  <c r="V229" i="181"/>
  <c r="U229" i="181"/>
  <c r="GZ228" i="181"/>
  <c r="GT228" i="181"/>
  <c r="GN228" i="181"/>
  <c r="GH228" i="181"/>
  <c r="FV228" i="181"/>
  <c r="FP228" i="181"/>
  <c r="FJ228" i="181"/>
  <c r="FD228" i="181"/>
  <c r="ER228" i="181"/>
  <c r="EL228" i="181"/>
  <c r="EF228" i="181"/>
  <c r="DZ228" i="181"/>
  <c r="DN228" i="181"/>
  <c r="DH228" i="181"/>
  <c r="DB228" i="181"/>
  <c r="CV228" i="181"/>
  <c r="GZ225" i="181"/>
  <c r="GT225" i="181"/>
  <c r="GN225" i="181"/>
  <c r="GH225" i="181"/>
  <c r="FV225" i="181"/>
  <c r="FP225" i="181"/>
  <c r="FJ225" i="181"/>
  <c r="FD225" i="181"/>
  <c r="ER225" i="181"/>
  <c r="EL225" i="181"/>
  <c r="EF225" i="181"/>
  <c r="DZ225" i="181"/>
  <c r="DN225" i="181"/>
  <c r="DH225" i="181"/>
  <c r="DB225" i="181"/>
  <c r="CV225" i="181"/>
  <c r="GT223" i="181"/>
  <c r="GN223" i="181"/>
  <c r="GH223" i="181"/>
  <c r="FP223" i="181"/>
  <c r="FJ223" i="181"/>
  <c r="FD223" i="181"/>
  <c r="EL223" i="181"/>
  <c r="EF223" i="181"/>
  <c r="DZ223" i="181"/>
  <c r="DH223" i="181"/>
  <c r="DB223" i="181"/>
  <c r="CV223" i="181"/>
  <c r="GZ221" i="181"/>
  <c r="GT221" i="181"/>
  <c r="GN221" i="181"/>
  <c r="GH221" i="181"/>
  <c r="GB221" i="181"/>
  <c r="FV221" i="181"/>
  <c r="FP221" i="181"/>
  <c r="FJ221" i="181"/>
  <c r="FD221" i="181"/>
  <c r="EX221" i="181"/>
  <c r="ER221" i="181"/>
  <c r="EL221" i="181"/>
  <c r="EF221" i="181"/>
  <c r="DZ221" i="181"/>
  <c r="DT221" i="181"/>
  <c r="DN221" i="181"/>
  <c r="DH221" i="181"/>
  <c r="DB221" i="181"/>
  <c r="CV221" i="181"/>
  <c r="CP221" i="181"/>
  <c r="CJ221" i="181"/>
  <c r="CD221" i="181"/>
  <c r="BX221" i="181"/>
  <c r="BR221" i="181"/>
  <c r="BL221" i="181"/>
  <c r="BF221" i="181"/>
  <c r="AZ221" i="181"/>
  <c r="AT221" i="181"/>
  <c r="AN221" i="181"/>
  <c r="AH221" i="181"/>
  <c r="AB221" i="181"/>
  <c r="V221" i="181"/>
  <c r="U221" i="181"/>
  <c r="HI216" i="181"/>
  <c r="HI70" i="181"/>
  <c r="HI69" i="181"/>
  <c r="HI68" i="181"/>
  <c r="HI66" i="181"/>
  <c r="HI65" i="181"/>
  <c r="HI64" i="181"/>
  <c r="HI63" i="181"/>
  <c r="HI62" i="181"/>
  <c r="HI61" i="181"/>
  <c r="HI60" i="181"/>
  <c r="HI59" i="181"/>
  <c r="HI58" i="181"/>
  <c r="HI57" i="181"/>
  <c r="HI56" i="181"/>
  <c r="HI55" i="181"/>
  <c r="HI54" i="181"/>
  <c r="HI53" i="181"/>
  <c r="HI52" i="181"/>
  <c r="HI51" i="181"/>
  <c r="HI50" i="181"/>
  <c r="HI49" i="181"/>
  <c r="HI48" i="181"/>
  <c r="HI47" i="181"/>
  <c r="HI46" i="181"/>
  <c r="HI45" i="181"/>
  <c r="HI44" i="181"/>
  <c r="HD44" i="181"/>
  <c r="HB44" i="181"/>
  <c r="GZ231" i="181" s="1"/>
  <c r="FV231" i="181"/>
  <c r="ER231" i="181"/>
  <c r="DN231" i="181"/>
  <c r="C39" i="181"/>
  <c r="CJ38" i="181"/>
  <c r="CI38" i="181"/>
  <c r="CH38" i="181"/>
  <c r="CG38" i="181"/>
  <c r="CF38" i="181"/>
  <c r="CE38" i="181"/>
  <c r="CD38" i="181"/>
  <c r="CC38" i="181"/>
  <c r="CB38" i="181"/>
  <c r="CA38" i="181"/>
  <c r="BZ38" i="181"/>
  <c r="BY38" i="181"/>
  <c r="BX38" i="181"/>
  <c r="BW38" i="181"/>
  <c r="BV38" i="181"/>
  <c r="BU38" i="181"/>
  <c r="BT38" i="181"/>
  <c r="BS38" i="181"/>
  <c r="BR38" i="181"/>
  <c r="BQ38" i="181"/>
  <c r="BP38" i="181"/>
  <c r="BO38" i="181"/>
  <c r="BN38" i="181"/>
  <c r="BM38" i="181"/>
  <c r="BL38" i="181"/>
  <c r="BK38" i="181"/>
  <c r="BJ38" i="181"/>
  <c r="BI38" i="181"/>
  <c r="BH38" i="181"/>
  <c r="BG38" i="181"/>
  <c r="BF38" i="181"/>
  <c r="BE38" i="181"/>
  <c r="BD38" i="181"/>
  <c r="BC38" i="181"/>
  <c r="BB38" i="181"/>
  <c r="BA38" i="181"/>
  <c r="AZ38" i="181"/>
  <c r="AY38" i="181"/>
  <c r="AX38" i="181"/>
  <c r="AW38" i="181"/>
  <c r="AV38" i="181"/>
  <c r="AU38" i="181"/>
  <c r="AT38" i="181"/>
  <c r="AS38" i="181"/>
  <c r="AR38" i="181"/>
  <c r="AQ38" i="181"/>
  <c r="AP38" i="181"/>
  <c r="AO38" i="181"/>
  <c r="AN38" i="181"/>
  <c r="AN244" i="181" s="1"/>
  <c r="AM38" i="181"/>
  <c r="AL38" i="181"/>
  <c r="AK38" i="181"/>
  <c r="AJ38" i="181"/>
  <c r="AI38" i="181"/>
  <c r="AH38" i="181"/>
  <c r="AH244" i="181" s="1"/>
  <c r="AG38" i="181"/>
  <c r="AF38" i="181"/>
  <c r="AE38" i="181"/>
  <c r="AD38" i="181"/>
  <c r="AC38" i="181"/>
  <c r="AB38" i="181"/>
  <c r="AB244" i="181" s="1"/>
  <c r="AA38" i="181"/>
  <c r="Z38" i="181"/>
  <c r="Y38" i="181"/>
  <c r="X38" i="181"/>
  <c r="W38" i="181"/>
  <c r="V38" i="181"/>
  <c r="V244" i="181" s="1"/>
  <c r="U38" i="181"/>
  <c r="U244" i="181" s="1"/>
  <c r="C38" i="181"/>
  <c r="C37" i="181"/>
  <c r="CI35" i="181"/>
  <c r="CH35" i="181"/>
  <c r="CG35" i="181"/>
  <c r="CF35" i="181"/>
  <c r="CE35" i="181"/>
  <c r="CC35" i="181"/>
  <c r="CB35" i="181"/>
  <c r="CA35" i="181"/>
  <c r="BZ35" i="181"/>
  <c r="BY35" i="181"/>
  <c r="BW35" i="181"/>
  <c r="BV35" i="181"/>
  <c r="BU35" i="181"/>
  <c r="BT35" i="181"/>
  <c r="BS35" i="181"/>
  <c r="BQ35" i="181"/>
  <c r="BP35" i="181"/>
  <c r="BO35" i="181"/>
  <c r="BN35" i="181"/>
  <c r="BM35" i="181"/>
  <c r="BK35" i="181"/>
  <c r="BJ35" i="181"/>
  <c r="BI35" i="181"/>
  <c r="BH35" i="181"/>
  <c r="BG35" i="181"/>
  <c r="BE35" i="181"/>
  <c r="BD35" i="181"/>
  <c r="BC35" i="181"/>
  <c r="BB35" i="181"/>
  <c r="BA35" i="181"/>
  <c r="AY35" i="181"/>
  <c r="AX35" i="181"/>
  <c r="AW35" i="181"/>
  <c r="AV35" i="181"/>
  <c r="AU35" i="181"/>
  <c r="AM35" i="181"/>
  <c r="AL35" i="181"/>
  <c r="AK35" i="181"/>
  <c r="AJ35" i="181"/>
  <c r="AI35" i="181"/>
  <c r="AG35" i="181"/>
  <c r="AF35" i="181"/>
  <c r="AE35" i="181"/>
  <c r="AD35" i="181"/>
  <c r="AC35" i="181"/>
  <c r="AA35" i="181"/>
  <c r="Z35" i="181"/>
  <c r="Y35" i="181"/>
  <c r="X35" i="181"/>
  <c r="W35" i="181"/>
  <c r="C35" i="181"/>
  <c r="CJ34" i="181"/>
  <c r="CI34" i="181"/>
  <c r="CH34" i="181"/>
  <c r="CG34" i="181"/>
  <c r="CF34" i="181"/>
  <c r="CE34" i="181"/>
  <c r="CD34" i="181"/>
  <c r="CC34" i="181"/>
  <c r="CB34" i="181"/>
  <c r="CA34" i="181"/>
  <c r="BZ34" i="181"/>
  <c r="BY34" i="181"/>
  <c r="BX34" i="181"/>
  <c r="BW34" i="181"/>
  <c r="BV34" i="181"/>
  <c r="BU34" i="181"/>
  <c r="BT34" i="181"/>
  <c r="BS34" i="181"/>
  <c r="BR34" i="181"/>
  <c r="BQ34" i="181"/>
  <c r="BP34" i="181"/>
  <c r="BO34" i="181"/>
  <c r="BN34" i="181"/>
  <c r="BM34" i="181"/>
  <c r="BL34" i="181"/>
  <c r="BK34" i="181"/>
  <c r="BJ34" i="181"/>
  <c r="BI34" i="181"/>
  <c r="BH34" i="181"/>
  <c r="BG34" i="181"/>
  <c r="BF34" i="181"/>
  <c r="BE34" i="181"/>
  <c r="BD34" i="181"/>
  <c r="BC34" i="181"/>
  <c r="BB34" i="181"/>
  <c r="BA34" i="181"/>
  <c r="AZ34" i="181"/>
  <c r="AY34" i="181"/>
  <c r="AX34" i="181"/>
  <c r="AW34" i="181"/>
  <c r="AV34" i="181"/>
  <c r="AU34" i="181"/>
  <c r="AT34" i="181"/>
  <c r="AS34" i="181"/>
  <c r="AR34" i="181"/>
  <c r="AQ34" i="181"/>
  <c r="AP34" i="181"/>
  <c r="AO34" i="181"/>
  <c r="AN34" i="181"/>
  <c r="AN237" i="181" s="1"/>
  <c r="AM34" i="181"/>
  <c r="AL34" i="181"/>
  <c r="AK34" i="181"/>
  <c r="AJ34" i="181"/>
  <c r="AI34" i="181"/>
  <c r="AH34" i="181"/>
  <c r="AH237" i="181" s="1"/>
  <c r="AG34" i="181"/>
  <c r="AF34" i="181"/>
  <c r="AE34" i="181"/>
  <c r="AD34" i="181"/>
  <c r="AC34" i="181"/>
  <c r="AB34" i="181"/>
  <c r="AB237" i="181" s="1"/>
  <c r="AA34" i="181"/>
  <c r="Z34" i="181"/>
  <c r="Y34" i="181"/>
  <c r="X34" i="181"/>
  <c r="W34" i="181"/>
  <c r="V34" i="181"/>
  <c r="V237" i="181" s="1"/>
  <c r="U34" i="181"/>
  <c r="U237" i="181" s="1"/>
  <c r="C20" i="181"/>
  <c r="C19" i="181"/>
  <c r="C18" i="181"/>
  <c r="E2" i="181"/>
  <c r="AH1" i="181" s="1"/>
  <c r="E1" i="181" s="1"/>
  <c r="AA257" i="180"/>
  <c r="Z257" i="180"/>
  <c r="Y257" i="180"/>
  <c r="X257" i="180"/>
  <c r="W257" i="180"/>
  <c r="GY255" i="180"/>
  <c r="GX255" i="180"/>
  <c r="GW255" i="180"/>
  <c r="GV255" i="180"/>
  <c r="GU255" i="180"/>
  <c r="GS255" i="180"/>
  <c r="GR255" i="180"/>
  <c r="GQ255" i="180"/>
  <c r="GP255" i="180"/>
  <c r="GO255" i="180"/>
  <c r="GM255" i="180"/>
  <c r="GL255" i="180"/>
  <c r="GK255" i="180"/>
  <c r="GJ255" i="180"/>
  <c r="GI255" i="180"/>
  <c r="GG255" i="180"/>
  <c r="GF255" i="180"/>
  <c r="GE255" i="180"/>
  <c r="GD255" i="180"/>
  <c r="GC255" i="180"/>
  <c r="GA255" i="180"/>
  <c r="FZ255" i="180"/>
  <c r="FY255" i="180"/>
  <c r="FX255" i="180"/>
  <c r="FW255" i="180"/>
  <c r="FU255" i="180"/>
  <c r="FT255" i="180"/>
  <c r="FS255" i="180"/>
  <c r="FR255" i="180"/>
  <c r="FQ255" i="180"/>
  <c r="FO255" i="180"/>
  <c r="FN255" i="180"/>
  <c r="FM255" i="180"/>
  <c r="FL255" i="180"/>
  <c r="FK255" i="180"/>
  <c r="FI255" i="180"/>
  <c r="FH255" i="180"/>
  <c r="FG255" i="180"/>
  <c r="FF255" i="180"/>
  <c r="FE255" i="180"/>
  <c r="FC255" i="180"/>
  <c r="FB255" i="180"/>
  <c r="FA255" i="180"/>
  <c r="EZ255" i="180"/>
  <c r="EY255" i="180"/>
  <c r="EW255" i="180"/>
  <c r="EV255" i="180"/>
  <c r="EU255" i="180"/>
  <c r="ET255" i="180"/>
  <c r="ES255" i="180"/>
  <c r="EQ255" i="180"/>
  <c r="EP255" i="180"/>
  <c r="EO255" i="180"/>
  <c r="EN255" i="180"/>
  <c r="EM255" i="180"/>
  <c r="EK255" i="180"/>
  <c r="EJ255" i="180"/>
  <c r="EI255" i="180"/>
  <c r="EH255" i="180"/>
  <c r="EG255" i="180"/>
  <c r="EE255" i="180"/>
  <c r="ED255" i="180"/>
  <c r="EC255" i="180"/>
  <c r="EB255" i="180"/>
  <c r="EA255" i="180"/>
  <c r="DY255" i="180"/>
  <c r="DX255" i="180"/>
  <c r="DW255" i="180"/>
  <c r="DV255" i="180"/>
  <c r="DU255" i="180"/>
  <c r="DS255" i="180"/>
  <c r="DR255" i="180"/>
  <c r="DQ255" i="180"/>
  <c r="DP255" i="180"/>
  <c r="DO255" i="180"/>
  <c r="DM255" i="180"/>
  <c r="DL255" i="180"/>
  <c r="DK255" i="180"/>
  <c r="DJ255" i="180"/>
  <c r="DI255" i="180"/>
  <c r="DG255" i="180"/>
  <c r="DF255" i="180"/>
  <c r="DE255" i="180"/>
  <c r="DD255" i="180"/>
  <c r="DC255" i="180"/>
  <c r="DA255" i="180"/>
  <c r="CZ255" i="180"/>
  <c r="CY255" i="180"/>
  <c r="CX255" i="180"/>
  <c r="CW255" i="180"/>
  <c r="CU255" i="180"/>
  <c r="CT255" i="180"/>
  <c r="CS255" i="180"/>
  <c r="CR255" i="180"/>
  <c r="CQ255" i="180"/>
  <c r="CO255" i="180"/>
  <c r="CN255" i="180"/>
  <c r="CM255" i="180"/>
  <c r="CL255" i="180"/>
  <c r="CK255" i="180"/>
  <c r="CI255" i="180"/>
  <c r="CH255" i="180"/>
  <c r="CG255" i="180"/>
  <c r="CF255" i="180"/>
  <c r="CE255" i="180"/>
  <c r="CC255" i="180"/>
  <c r="CB255" i="180"/>
  <c r="CA255" i="180"/>
  <c r="BZ255" i="180"/>
  <c r="BY255" i="180"/>
  <c r="BW255" i="180"/>
  <c r="BV255" i="180"/>
  <c r="BU255" i="180"/>
  <c r="BT255" i="180"/>
  <c r="BS255" i="180"/>
  <c r="BQ255" i="180"/>
  <c r="BP255" i="180"/>
  <c r="BO255" i="180"/>
  <c r="BN255" i="180"/>
  <c r="BM255" i="180"/>
  <c r="BK255" i="180"/>
  <c r="BJ255" i="180"/>
  <c r="BI255" i="180"/>
  <c r="BH255" i="180"/>
  <c r="BG255" i="180"/>
  <c r="BE255" i="180"/>
  <c r="BD255" i="180"/>
  <c r="BC255" i="180"/>
  <c r="BB255" i="180"/>
  <c r="BA255" i="180"/>
  <c r="AY255" i="180"/>
  <c r="AX255" i="180"/>
  <c r="AW255" i="180"/>
  <c r="AV255" i="180"/>
  <c r="AU255" i="180"/>
  <c r="AS255" i="180"/>
  <c r="AR255" i="180"/>
  <c r="AQ255" i="180"/>
  <c r="AP255" i="180"/>
  <c r="AO255" i="180"/>
  <c r="AM255" i="180"/>
  <c r="AL255" i="180"/>
  <c r="AK255" i="180"/>
  <c r="AJ255" i="180"/>
  <c r="AI255" i="180"/>
  <c r="AG255" i="180"/>
  <c r="AF255" i="180"/>
  <c r="AE255" i="180"/>
  <c r="AD255" i="180"/>
  <c r="AC255" i="180"/>
  <c r="AA255" i="180"/>
  <c r="Z255" i="180"/>
  <c r="Y255" i="180"/>
  <c r="X255" i="180"/>
  <c r="W255" i="180"/>
  <c r="GY243" i="180"/>
  <c r="GX243" i="180"/>
  <c r="GW243" i="180"/>
  <c r="GV243" i="180"/>
  <c r="GU243" i="180"/>
  <c r="GS243" i="180"/>
  <c r="GR243" i="180"/>
  <c r="GQ243" i="180"/>
  <c r="GP243" i="180"/>
  <c r="GO243" i="180"/>
  <c r="GM243" i="180"/>
  <c r="GL243" i="180"/>
  <c r="GK243" i="180"/>
  <c r="GJ243" i="180"/>
  <c r="GI243" i="180"/>
  <c r="GG243" i="180"/>
  <c r="GF243" i="180"/>
  <c r="GE243" i="180"/>
  <c r="GD243" i="180"/>
  <c r="GC243" i="180"/>
  <c r="GA243" i="180"/>
  <c r="FZ243" i="180"/>
  <c r="FY243" i="180"/>
  <c r="FX243" i="180"/>
  <c r="FW243" i="180"/>
  <c r="FU243" i="180"/>
  <c r="FT243" i="180"/>
  <c r="FS243" i="180"/>
  <c r="FR243" i="180"/>
  <c r="FQ243" i="180"/>
  <c r="FO243" i="180"/>
  <c r="FN243" i="180"/>
  <c r="FM243" i="180"/>
  <c r="FL243" i="180"/>
  <c r="FK243" i="180"/>
  <c r="FI243" i="180"/>
  <c r="FH243" i="180"/>
  <c r="FG243" i="180"/>
  <c r="FF243" i="180"/>
  <c r="FE243" i="180"/>
  <c r="FC243" i="180"/>
  <c r="FB243" i="180"/>
  <c r="FA243" i="180"/>
  <c r="EZ243" i="180"/>
  <c r="EY243" i="180"/>
  <c r="EW243" i="180"/>
  <c r="EV243" i="180"/>
  <c r="EU243" i="180"/>
  <c r="ET243" i="180"/>
  <c r="ES243" i="180"/>
  <c r="EQ243" i="180"/>
  <c r="EP243" i="180"/>
  <c r="EO243" i="180"/>
  <c r="EN243" i="180"/>
  <c r="EM243" i="180"/>
  <c r="EK243" i="180"/>
  <c r="EJ243" i="180"/>
  <c r="EI243" i="180"/>
  <c r="EH243" i="180"/>
  <c r="EG243" i="180"/>
  <c r="EE243" i="180"/>
  <c r="ED243" i="180"/>
  <c r="EC243" i="180"/>
  <c r="EB243" i="180"/>
  <c r="EA243" i="180"/>
  <c r="DY243" i="180"/>
  <c r="DX243" i="180"/>
  <c r="DW243" i="180"/>
  <c r="DV243" i="180"/>
  <c r="DU243" i="180"/>
  <c r="DS243" i="180"/>
  <c r="DR243" i="180"/>
  <c r="DQ243" i="180"/>
  <c r="DP243" i="180"/>
  <c r="DO243" i="180"/>
  <c r="DM243" i="180"/>
  <c r="DL243" i="180"/>
  <c r="DK243" i="180"/>
  <c r="DJ243" i="180"/>
  <c r="DI243" i="180"/>
  <c r="DG243" i="180"/>
  <c r="DF243" i="180"/>
  <c r="DE243" i="180"/>
  <c r="DD243" i="180"/>
  <c r="DC243" i="180"/>
  <c r="DA243" i="180"/>
  <c r="CZ243" i="180"/>
  <c r="CY243" i="180"/>
  <c r="CX243" i="180"/>
  <c r="CW243" i="180"/>
  <c r="CU243" i="180"/>
  <c r="CT243" i="180"/>
  <c r="CS243" i="180"/>
  <c r="CR243" i="180"/>
  <c r="CQ243" i="180"/>
  <c r="CO243" i="180"/>
  <c r="CN243" i="180"/>
  <c r="CM243" i="180"/>
  <c r="CL243" i="180"/>
  <c r="CK243" i="180"/>
  <c r="CI243" i="180"/>
  <c r="CH243" i="180"/>
  <c r="CG243" i="180"/>
  <c r="CF243" i="180"/>
  <c r="CE243" i="180"/>
  <c r="CC243" i="180"/>
  <c r="CB243" i="180"/>
  <c r="CA243" i="180"/>
  <c r="BZ243" i="180"/>
  <c r="BY243" i="180"/>
  <c r="BW243" i="180"/>
  <c r="BV243" i="180"/>
  <c r="BU243" i="180"/>
  <c r="BT243" i="180"/>
  <c r="BS243" i="180"/>
  <c r="BQ243" i="180"/>
  <c r="BP243" i="180"/>
  <c r="BO243" i="180"/>
  <c r="BN243" i="180"/>
  <c r="BM243" i="180"/>
  <c r="BK243" i="180"/>
  <c r="BJ243" i="180"/>
  <c r="BI243" i="180"/>
  <c r="BH243" i="180"/>
  <c r="BG243" i="180"/>
  <c r="BE243" i="180"/>
  <c r="BD243" i="180"/>
  <c r="BC243" i="180"/>
  <c r="BB243" i="180"/>
  <c r="BA243" i="180"/>
  <c r="AY243" i="180"/>
  <c r="AX243" i="180"/>
  <c r="AW243" i="180"/>
  <c r="AV243" i="180"/>
  <c r="AU243" i="180"/>
  <c r="HE242" i="180"/>
  <c r="HD242" i="180"/>
  <c r="HC242" i="180"/>
  <c r="HB242" i="180"/>
  <c r="HA242" i="180"/>
  <c r="GY242" i="180"/>
  <c r="GX242" i="180"/>
  <c r="GW242" i="180"/>
  <c r="GV242" i="180"/>
  <c r="GU242" i="180"/>
  <c r="GS242" i="180"/>
  <c r="GR242" i="180"/>
  <c r="GQ242" i="180"/>
  <c r="GP242" i="180"/>
  <c r="GO242" i="180"/>
  <c r="GM242" i="180"/>
  <c r="GL242" i="180"/>
  <c r="GK242" i="180"/>
  <c r="GJ242" i="180"/>
  <c r="GI242" i="180"/>
  <c r="GG242" i="180"/>
  <c r="GF242" i="180"/>
  <c r="GE242" i="180"/>
  <c r="GD242" i="180"/>
  <c r="GC242" i="180"/>
  <c r="GA242" i="180"/>
  <c r="FZ242" i="180"/>
  <c r="FY242" i="180"/>
  <c r="FX242" i="180"/>
  <c r="FW242" i="180"/>
  <c r="FU242" i="180"/>
  <c r="FT242" i="180"/>
  <c r="FS242" i="180"/>
  <c r="FR242" i="180"/>
  <c r="FQ242" i="180"/>
  <c r="FO242" i="180"/>
  <c r="FN242" i="180"/>
  <c r="FM242" i="180"/>
  <c r="FL242" i="180"/>
  <c r="FK242" i="180"/>
  <c r="FI242" i="180"/>
  <c r="FH242" i="180"/>
  <c r="FG242" i="180"/>
  <c r="FF242" i="180"/>
  <c r="FE242" i="180"/>
  <c r="FC242" i="180"/>
  <c r="FB242" i="180"/>
  <c r="FA242" i="180"/>
  <c r="EZ242" i="180"/>
  <c r="EY242" i="180"/>
  <c r="EW242" i="180"/>
  <c r="EV242" i="180"/>
  <c r="EU242" i="180"/>
  <c r="ET242" i="180"/>
  <c r="ES242" i="180"/>
  <c r="EQ242" i="180"/>
  <c r="EP242" i="180"/>
  <c r="EO242" i="180"/>
  <c r="EN242" i="180"/>
  <c r="EM242" i="180"/>
  <c r="EK242" i="180"/>
  <c r="EJ242" i="180"/>
  <c r="EI242" i="180"/>
  <c r="EH242" i="180"/>
  <c r="EG242" i="180"/>
  <c r="EE242" i="180"/>
  <c r="ED242" i="180"/>
  <c r="EC242" i="180"/>
  <c r="EB242" i="180"/>
  <c r="EA242" i="180"/>
  <c r="DY242" i="180"/>
  <c r="DX242" i="180"/>
  <c r="DW242" i="180"/>
  <c r="DV242" i="180"/>
  <c r="DU242" i="180"/>
  <c r="DS242" i="180"/>
  <c r="DR242" i="180"/>
  <c r="DQ242" i="180"/>
  <c r="DP242" i="180"/>
  <c r="DO242" i="180"/>
  <c r="DM242" i="180"/>
  <c r="DL242" i="180"/>
  <c r="DK242" i="180"/>
  <c r="DJ242" i="180"/>
  <c r="DI242" i="180"/>
  <c r="DG242" i="180"/>
  <c r="DF242" i="180"/>
  <c r="DE242" i="180"/>
  <c r="DD242" i="180"/>
  <c r="DC242" i="180"/>
  <c r="DA242" i="180"/>
  <c r="CZ242" i="180"/>
  <c r="CY242" i="180"/>
  <c r="CX242" i="180"/>
  <c r="CW242" i="180"/>
  <c r="CU242" i="180"/>
  <c r="CT242" i="180"/>
  <c r="CS242" i="180"/>
  <c r="CR242" i="180"/>
  <c r="CQ242" i="180"/>
  <c r="CO242" i="180"/>
  <c r="CN242" i="180"/>
  <c r="CM242" i="180"/>
  <c r="CL242" i="180"/>
  <c r="CK242" i="180"/>
  <c r="CI242" i="180"/>
  <c r="CH242" i="180"/>
  <c r="CG242" i="180"/>
  <c r="CF242" i="180"/>
  <c r="CE242" i="180"/>
  <c r="CC242" i="180"/>
  <c r="CB242" i="180"/>
  <c r="CA242" i="180"/>
  <c r="BZ242" i="180"/>
  <c r="BY242" i="180"/>
  <c r="BW242" i="180"/>
  <c r="BV242" i="180"/>
  <c r="BU242" i="180"/>
  <c r="BT242" i="180"/>
  <c r="BS242" i="180"/>
  <c r="BQ242" i="180"/>
  <c r="BP242" i="180"/>
  <c r="BO242" i="180"/>
  <c r="BN242" i="180"/>
  <c r="BM242" i="180"/>
  <c r="BK242" i="180"/>
  <c r="BJ242" i="180"/>
  <c r="BI242" i="180"/>
  <c r="BH242" i="180"/>
  <c r="BG242" i="180"/>
  <c r="BE242" i="180"/>
  <c r="BD242" i="180"/>
  <c r="BC242" i="180"/>
  <c r="BB242" i="180"/>
  <c r="BA242" i="180"/>
  <c r="AY242" i="180"/>
  <c r="AX242" i="180"/>
  <c r="AW242" i="180"/>
  <c r="AV242" i="180"/>
  <c r="AU242" i="180"/>
  <c r="AN240" i="180"/>
  <c r="AH240" i="180"/>
  <c r="AB240" i="180"/>
  <c r="V240" i="180"/>
  <c r="U240" i="180"/>
  <c r="HE237" i="180"/>
  <c r="HD237" i="180"/>
  <c r="HC237" i="180"/>
  <c r="HB237" i="180"/>
  <c r="HA237" i="180"/>
  <c r="GY235" i="180"/>
  <c r="GX235" i="180"/>
  <c r="GX237" i="180" s="1"/>
  <c r="GW235" i="180"/>
  <c r="GV235" i="180"/>
  <c r="GU235" i="180"/>
  <c r="GS235" i="180"/>
  <c r="GR235" i="180"/>
  <c r="GQ235" i="180"/>
  <c r="GP235" i="180"/>
  <c r="GO235" i="180"/>
  <c r="GM235" i="180"/>
  <c r="GL235" i="180"/>
  <c r="GK235" i="180"/>
  <c r="GJ235" i="180"/>
  <c r="GI235" i="180"/>
  <c r="GG235" i="180"/>
  <c r="GF235" i="180"/>
  <c r="GE235" i="180"/>
  <c r="GD235" i="180"/>
  <c r="GC235" i="180"/>
  <c r="GA235" i="180"/>
  <c r="FZ235" i="180"/>
  <c r="FY235" i="180"/>
  <c r="FX235" i="180"/>
  <c r="FW235" i="180"/>
  <c r="FU235" i="180"/>
  <c r="FT235" i="180"/>
  <c r="FS235" i="180"/>
  <c r="FR235" i="180"/>
  <c r="FQ235" i="180"/>
  <c r="FO235" i="180"/>
  <c r="FN235" i="180"/>
  <c r="FM235" i="180"/>
  <c r="FL235" i="180"/>
  <c r="FK235" i="180"/>
  <c r="FI235" i="180"/>
  <c r="FH235" i="180"/>
  <c r="FG235" i="180"/>
  <c r="FF235" i="180"/>
  <c r="FE235" i="180"/>
  <c r="FC235" i="180"/>
  <c r="FB235" i="180"/>
  <c r="FB237" i="180" s="1"/>
  <c r="FA235" i="180"/>
  <c r="EZ235" i="180"/>
  <c r="EY235" i="180"/>
  <c r="EW235" i="180"/>
  <c r="EV235" i="180"/>
  <c r="EV237" i="180" s="1"/>
  <c r="EU235" i="180"/>
  <c r="ET235" i="180"/>
  <c r="ES235" i="180"/>
  <c r="EQ235" i="180"/>
  <c r="EP235" i="180"/>
  <c r="EO235" i="180"/>
  <c r="EN235" i="180"/>
  <c r="EM235" i="180"/>
  <c r="EK235" i="180"/>
  <c r="EJ235" i="180"/>
  <c r="EI235" i="180"/>
  <c r="EH235" i="180"/>
  <c r="EG235" i="180"/>
  <c r="EE235" i="180"/>
  <c r="ED235" i="180"/>
  <c r="ED237" i="180" s="1"/>
  <c r="EC235" i="180"/>
  <c r="EB235" i="180"/>
  <c r="EA235" i="180"/>
  <c r="DY235" i="180"/>
  <c r="DX235" i="180"/>
  <c r="DW235" i="180"/>
  <c r="DV235" i="180"/>
  <c r="DU235" i="180"/>
  <c r="DS235" i="180"/>
  <c r="DR235" i="180"/>
  <c r="DQ235" i="180"/>
  <c r="DP235" i="180"/>
  <c r="DO235" i="180"/>
  <c r="DM235" i="180"/>
  <c r="DL235" i="180"/>
  <c r="DK235" i="180"/>
  <c r="DJ235" i="180"/>
  <c r="DI235" i="180"/>
  <c r="DG235" i="180"/>
  <c r="DF235" i="180"/>
  <c r="DE235" i="180"/>
  <c r="DD235" i="180"/>
  <c r="DC235" i="180"/>
  <c r="DA235" i="180"/>
  <c r="CZ235" i="180"/>
  <c r="CY235" i="180"/>
  <c r="CX235" i="180"/>
  <c r="CW235" i="180"/>
  <c r="CU235" i="180"/>
  <c r="CT235" i="180"/>
  <c r="CS235" i="180"/>
  <c r="CR235" i="180"/>
  <c r="CQ235" i="180"/>
  <c r="CO235" i="180"/>
  <c r="CN235" i="180"/>
  <c r="CM235" i="180"/>
  <c r="CL235" i="180"/>
  <c r="CK235" i="180"/>
  <c r="CI235" i="180"/>
  <c r="CH235" i="180"/>
  <c r="CH237" i="180" s="1"/>
  <c r="CG235" i="180"/>
  <c r="CF235" i="180"/>
  <c r="CE235" i="180"/>
  <c r="CC235" i="180"/>
  <c r="CB235" i="180"/>
  <c r="CA235" i="180"/>
  <c r="BZ235" i="180"/>
  <c r="BY235" i="180"/>
  <c r="BW235" i="180"/>
  <c r="BV235" i="180"/>
  <c r="BU235" i="180"/>
  <c r="BT235" i="180"/>
  <c r="BS235" i="180"/>
  <c r="BQ235" i="180"/>
  <c r="BP235" i="180"/>
  <c r="BO235" i="180"/>
  <c r="BN235" i="180"/>
  <c r="BN244" i="180" s="1"/>
  <c r="BM235" i="180"/>
  <c r="BK235" i="180"/>
  <c r="BJ235" i="180"/>
  <c r="BJ237" i="180" s="1"/>
  <c r="BI235" i="180"/>
  <c r="BH235" i="180"/>
  <c r="BG235" i="180"/>
  <c r="BE235" i="180"/>
  <c r="BD235" i="180"/>
  <c r="BC235" i="180"/>
  <c r="BB235" i="180"/>
  <c r="BA235" i="180"/>
  <c r="AY235" i="180"/>
  <c r="AX235" i="180"/>
  <c r="AW235" i="180"/>
  <c r="AV235" i="180"/>
  <c r="AU235" i="180"/>
  <c r="AN235" i="180"/>
  <c r="AH235" i="180"/>
  <c r="AB235" i="180"/>
  <c r="V235" i="180"/>
  <c r="U235" i="180"/>
  <c r="GZ234" i="180"/>
  <c r="GY234" i="180"/>
  <c r="GX234" i="180"/>
  <c r="GW234" i="180"/>
  <c r="GV234" i="180"/>
  <c r="GU234" i="180"/>
  <c r="GT234" i="180"/>
  <c r="GS234" i="180"/>
  <c r="GR234" i="180"/>
  <c r="GQ234" i="180"/>
  <c r="GP234" i="180"/>
  <c r="GO234" i="180"/>
  <c r="GN234" i="180"/>
  <c r="GM234" i="180"/>
  <c r="GL234" i="180"/>
  <c r="GK234" i="180"/>
  <c r="GJ234" i="180"/>
  <c r="GI234" i="180"/>
  <c r="GH234" i="180"/>
  <c r="GG234" i="180"/>
  <c r="GF234" i="180"/>
  <c r="GE234" i="180"/>
  <c r="GD234" i="180"/>
  <c r="FX234" i="180"/>
  <c r="FW234" i="180"/>
  <c r="FV234" i="180"/>
  <c r="FU234" i="180"/>
  <c r="FT234" i="180"/>
  <c r="FS234" i="180"/>
  <c r="FR234" i="180"/>
  <c r="FQ234" i="180"/>
  <c r="FP234" i="180"/>
  <c r="FO234" i="180"/>
  <c r="FN234" i="180"/>
  <c r="FM234" i="180"/>
  <c r="FL234" i="180"/>
  <c r="FK234" i="180"/>
  <c r="FJ234" i="180"/>
  <c r="FI234" i="180"/>
  <c r="FH234" i="180"/>
  <c r="FG234" i="180"/>
  <c r="FF234" i="180"/>
  <c r="FE234" i="180"/>
  <c r="FD234" i="180"/>
  <c r="FC234" i="180"/>
  <c r="FB234" i="180"/>
  <c r="FA234" i="180"/>
  <c r="EZ234" i="180"/>
  <c r="ET234" i="180"/>
  <c r="ES234" i="180"/>
  <c r="ER234" i="180"/>
  <c r="EQ234" i="180"/>
  <c r="EP234" i="180"/>
  <c r="EO234" i="180"/>
  <c r="EN234" i="180"/>
  <c r="EM234" i="180"/>
  <c r="EL234" i="180"/>
  <c r="EK234" i="180"/>
  <c r="EJ234" i="180"/>
  <c r="EI234" i="180"/>
  <c r="EH234" i="180"/>
  <c r="EG234" i="180"/>
  <c r="EF234" i="180"/>
  <c r="EE234" i="180"/>
  <c r="ED234" i="180"/>
  <c r="EC234" i="180"/>
  <c r="EB234" i="180"/>
  <c r="EA234" i="180"/>
  <c r="DZ234" i="180"/>
  <c r="DY234" i="180"/>
  <c r="DX234" i="180"/>
  <c r="DW234" i="180"/>
  <c r="DV234" i="180"/>
  <c r="DP234" i="180"/>
  <c r="DO234" i="180"/>
  <c r="DN234" i="180"/>
  <c r="DM234" i="180"/>
  <c r="DL234" i="180"/>
  <c r="DK234" i="180"/>
  <c r="DJ234" i="180"/>
  <c r="DI234" i="180"/>
  <c r="DH234" i="180"/>
  <c r="DG234" i="180"/>
  <c r="DF234" i="180"/>
  <c r="DE234" i="180"/>
  <c r="DD234" i="180"/>
  <c r="DC234" i="180"/>
  <c r="DB234" i="180"/>
  <c r="DA234" i="180"/>
  <c r="CZ234" i="180"/>
  <c r="CY234" i="180"/>
  <c r="CX234" i="180"/>
  <c r="CW234" i="180"/>
  <c r="CV234" i="180"/>
  <c r="CU234" i="180"/>
  <c r="CT234" i="180"/>
  <c r="CS234" i="180"/>
  <c r="CR234" i="180"/>
  <c r="CL234" i="180"/>
  <c r="CF234" i="180"/>
  <c r="BZ234" i="180"/>
  <c r="BT234" i="180"/>
  <c r="BN234" i="180"/>
  <c r="BH234" i="180"/>
  <c r="BB234" i="180"/>
  <c r="AV234" i="180"/>
  <c r="GY232" i="180"/>
  <c r="GX232" i="180"/>
  <c r="GW232" i="180"/>
  <c r="GV232" i="180"/>
  <c r="GU232" i="180"/>
  <c r="GS232" i="180"/>
  <c r="GR232" i="180"/>
  <c r="GQ232" i="180"/>
  <c r="GP232" i="180"/>
  <c r="GO232" i="180"/>
  <c r="GM232" i="180"/>
  <c r="GL232" i="180"/>
  <c r="GK232" i="180"/>
  <c r="GJ232" i="180"/>
  <c r="GI232" i="180"/>
  <c r="GG232" i="180"/>
  <c r="GF232" i="180"/>
  <c r="GE232" i="180"/>
  <c r="GD232" i="180"/>
  <c r="GC232" i="180"/>
  <c r="GA232" i="180"/>
  <c r="FZ232" i="180"/>
  <c r="FY232" i="180"/>
  <c r="FX232" i="180"/>
  <c r="FW232" i="180"/>
  <c r="FU232" i="180"/>
  <c r="FT232" i="180"/>
  <c r="FS232" i="180"/>
  <c r="FR232" i="180"/>
  <c r="FQ232" i="180"/>
  <c r="FO232" i="180"/>
  <c r="FN232" i="180"/>
  <c r="FM232" i="180"/>
  <c r="FL232" i="180"/>
  <c r="FK232" i="180"/>
  <c r="FI232" i="180"/>
  <c r="FH232" i="180"/>
  <c r="FG232" i="180"/>
  <c r="FF232" i="180"/>
  <c r="FE232" i="180"/>
  <c r="FC232" i="180"/>
  <c r="FB232" i="180"/>
  <c r="FA232" i="180"/>
  <c r="EZ232" i="180"/>
  <c r="EY232" i="180"/>
  <c r="EW232" i="180"/>
  <c r="EV232" i="180"/>
  <c r="EU232" i="180"/>
  <c r="ET232" i="180"/>
  <c r="ES232" i="180"/>
  <c r="EQ232" i="180"/>
  <c r="EP232" i="180"/>
  <c r="EO232" i="180"/>
  <c r="EN232" i="180"/>
  <c r="EM232" i="180"/>
  <c r="EK232" i="180"/>
  <c r="EJ232" i="180"/>
  <c r="EI232" i="180"/>
  <c r="EH232" i="180"/>
  <c r="EG232" i="180"/>
  <c r="EE232" i="180"/>
  <c r="ED232" i="180"/>
  <c r="EC232" i="180"/>
  <c r="EB232" i="180"/>
  <c r="EA232" i="180"/>
  <c r="DY232" i="180"/>
  <c r="DX232" i="180"/>
  <c r="DW232" i="180"/>
  <c r="DV232" i="180"/>
  <c r="DU232" i="180"/>
  <c r="DS232" i="180"/>
  <c r="DR232" i="180"/>
  <c r="DQ232" i="180"/>
  <c r="DP232" i="180"/>
  <c r="DO232" i="180"/>
  <c r="DM232" i="180"/>
  <c r="DL232" i="180"/>
  <c r="DK232" i="180"/>
  <c r="DJ232" i="180"/>
  <c r="DI232" i="180"/>
  <c r="DG232" i="180"/>
  <c r="DF232" i="180"/>
  <c r="DE232" i="180"/>
  <c r="DD232" i="180"/>
  <c r="DC232" i="180"/>
  <c r="DA232" i="180"/>
  <c r="CZ232" i="180"/>
  <c r="CY232" i="180"/>
  <c r="CX232" i="180"/>
  <c r="CW232" i="180"/>
  <c r="CU232" i="180"/>
  <c r="CT232" i="180"/>
  <c r="CS232" i="180"/>
  <c r="CR232" i="180"/>
  <c r="CQ232" i="180"/>
  <c r="CO232" i="180"/>
  <c r="CN232" i="180"/>
  <c r="CM232" i="180"/>
  <c r="CL232" i="180"/>
  <c r="CK232" i="180"/>
  <c r="CI232" i="180"/>
  <c r="CH232" i="180"/>
  <c r="CG232" i="180"/>
  <c r="CF232" i="180"/>
  <c r="CE232" i="180"/>
  <c r="CC232" i="180"/>
  <c r="CB232" i="180"/>
  <c r="CA232" i="180"/>
  <c r="BZ232" i="180"/>
  <c r="BY232" i="180"/>
  <c r="BW232" i="180"/>
  <c r="BV232" i="180"/>
  <c r="BU232" i="180"/>
  <c r="BT232" i="180"/>
  <c r="BS232" i="180"/>
  <c r="BQ232" i="180"/>
  <c r="BP232" i="180"/>
  <c r="BO232" i="180"/>
  <c r="BN232" i="180"/>
  <c r="BM232" i="180"/>
  <c r="BK232" i="180"/>
  <c r="BJ232" i="180"/>
  <c r="BI232" i="180"/>
  <c r="BH232" i="180"/>
  <c r="BG232" i="180"/>
  <c r="BE232" i="180"/>
  <c r="BD232" i="180"/>
  <c r="BC232" i="180"/>
  <c r="BB232" i="180"/>
  <c r="BA232" i="180"/>
  <c r="AY232" i="180"/>
  <c r="AX232" i="180"/>
  <c r="AW232" i="180"/>
  <c r="AV232" i="180"/>
  <c r="AU232" i="180"/>
  <c r="AN232" i="180"/>
  <c r="AH232" i="180"/>
  <c r="AB232" i="180"/>
  <c r="V232" i="180"/>
  <c r="U232" i="180"/>
  <c r="GT231" i="180"/>
  <c r="GN231" i="180"/>
  <c r="GH231" i="180"/>
  <c r="FP231" i="180"/>
  <c r="FJ231" i="180"/>
  <c r="FD231" i="180"/>
  <c r="EL231" i="180"/>
  <c r="EF231" i="180"/>
  <c r="DZ231" i="180"/>
  <c r="DH231" i="180"/>
  <c r="DB231" i="180"/>
  <c r="CV231" i="180"/>
  <c r="GY229" i="180"/>
  <c r="GY244" i="180" s="1"/>
  <c r="GX229" i="180"/>
  <c r="GW229" i="180"/>
  <c r="GV229" i="180"/>
  <c r="GU229" i="180"/>
  <c r="GU237" i="180" s="1"/>
  <c r="GS229" i="180"/>
  <c r="GR229" i="180"/>
  <c r="GQ229" i="180"/>
  <c r="GQ237" i="180" s="1"/>
  <c r="GP229" i="180"/>
  <c r="GO229" i="180"/>
  <c r="GM229" i="180"/>
  <c r="GL229" i="180"/>
  <c r="GK229" i="180"/>
  <c r="GK244" i="180" s="1"/>
  <c r="GJ229" i="180"/>
  <c r="GI229" i="180"/>
  <c r="GG229" i="180"/>
  <c r="GG237" i="180" s="1"/>
  <c r="GF229" i="180"/>
  <c r="GF244" i="180" s="1"/>
  <c r="GE229" i="180"/>
  <c r="GD229" i="180"/>
  <c r="GC229" i="180"/>
  <c r="GA229" i="180"/>
  <c r="FZ229" i="180"/>
  <c r="FY229" i="180"/>
  <c r="FX229" i="180"/>
  <c r="FX237" i="180" s="1"/>
  <c r="FW229" i="180"/>
  <c r="FW237" i="180" s="1"/>
  <c r="FU229" i="180"/>
  <c r="FT229" i="180"/>
  <c r="FS229" i="180"/>
  <c r="FR229" i="180"/>
  <c r="FR237" i="180" s="1"/>
  <c r="FQ229" i="180"/>
  <c r="FO229" i="180"/>
  <c r="FN229" i="180"/>
  <c r="FN244" i="180" s="1"/>
  <c r="FM229" i="180"/>
  <c r="FL229" i="180"/>
  <c r="FK229" i="180"/>
  <c r="FI229" i="180"/>
  <c r="FH229" i="180"/>
  <c r="FH244" i="180" s="1"/>
  <c r="FG229" i="180"/>
  <c r="FF229" i="180"/>
  <c r="FE229" i="180"/>
  <c r="FE237" i="180" s="1"/>
  <c r="FC229" i="180"/>
  <c r="FC244" i="180" s="1"/>
  <c r="FB229" i="180"/>
  <c r="FA229" i="180"/>
  <c r="EZ229" i="180"/>
  <c r="EY229" i="180"/>
  <c r="EW229" i="180"/>
  <c r="EV229" i="180"/>
  <c r="EU229" i="180"/>
  <c r="EU237" i="180" s="1"/>
  <c r="ET229" i="180"/>
  <c r="ET237" i="180" s="1"/>
  <c r="ES229" i="180"/>
  <c r="EQ229" i="180"/>
  <c r="EP229" i="180"/>
  <c r="EO229" i="180"/>
  <c r="EO244" i="180" s="1"/>
  <c r="EN229" i="180"/>
  <c r="EM229" i="180"/>
  <c r="EK229" i="180"/>
  <c r="EK237" i="180" s="1"/>
  <c r="EJ229" i="180"/>
  <c r="EI229" i="180"/>
  <c r="EH229" i="180"/>
  <c r="EG229" i="180"/>
  <c r="EE229" i="180"/>
  <c r="EE244" i="180" s="1"/>
  <c r="ED229" i="180"/>
  <c r="EC229" i="180"/>
  <c r="EB229" i="180"/>
  <c r="EB237" i="180" s="1"/>
  <c r="EA229" i="180"/>
  <c r="EA237" i="180" s="1"/>
  <c r="DY229" i="180"/>
  <c r="DX229" i="180"/>
  <c r="DW229" i="180"/>
  <c r="DV229" i="180"/>
  <c r="DU229" i="180"/>
  <c r="DS229" i="180"/>
  <c r="DR229" i="180"/>
  <c r="DR244" i="180" s="1"/>
  <c r="DQ229" i="180"/>
  <c r="DQ244" i="180" s="1"/>
  <c r="DP229" i="180"/>
  <c r="DO229" i="180"/>
  <c r="DM229" i="180"/>
  <c r="DL229" i="180"/>
  <c r="DL244" i="180" s="1"/>
  <c r="DK229" i="180"/>
  <c r="DJ229" i="180"/>
  <c r="DI229" i="180"/>
  <c r="DI237" i="180" s="1"/>
  <c r="DG229" i="180"/>
  <c r="DF229" i="180"/>
  <c r="DE229" i="180"/>
  <c r="DD229" i="180"/>
  <c r="DC229" i="180"/>
  <c r="DC237" i="180" s="1"/>
  <c r="DA229" i="180"/>
  <c r="CZ229" i="180"/>
  <c r="CY229" i="180"/>
  <c r="CY237" i="180" s="1"/>
  <c r="CX229" i="180"/>
  <c r="CX237" i="180" s="1"/>
  <c r="CW229" i="180"/>
  <c r="CU229" i="180"/>
  <c r="CT229" i="180"/>
  <c r="CS229" i="180"/>
  <c r="CR229" i="180"/>
  <c r="CQ229" i="180"/>
  <c r="CO229" i="180"/>
  <c r="CO237" i="180" s="1"/>
  <c r="CN229" i="180"/>
  <c r="CN244" i="180" s="1"/>
  <c r="CM229" i="180"/>
  <c r="CL229" i="180"/>
  <c r="CK229" i="180"/>
  <c r="CI229" i="180"/>
  <c r="CI244" i="180" s="1"/>
  <c r="CH229" i="180"/>
  <c r="CG229" i="180"/>
  <c r="CF229" i="180"/>
  <c r="CF237" i="180" s="1"/>
  <c r="CE229" i="180"/>
  <c r="CC229" i="180"/>
  <c r="CB229" i="180"/>
  <c r="CA229" i="180"/>
  <c r="BZ229" i="180"/>
  <c r="BZ237" i="180" s="1"/>
  <c r="BY229" i="180"/>
  <c r="BW229" i="180"/>
  <c r="BV229" i="180"/>
  <c r="BV244" i="180" s="1"/>
  <c r="BU229" i="180"/>
  <c r="BU244" i="180" s="1"/>
  <c r="BT229" i="180"/>
  <c r="BS229" i="180"/>
  <c r="BQ229" i="180"/>
  <c r="BP229" i="180"/>
  <c r="BO229" i="180"/>
  <c r="BN229" i="180"/>
  <c r="BM229" i="180"/>
  <c r="BM237" i="180" s="1"/>
  <c r="BK229" i="180"/>
  <c r="BK244" i="180" s="1"/>
  <c r="BJ229" i="180"/>
  <c r="BI229" i="180"/>
  <c r="BH229" i="180"/>
  <c r="BG229" i="180"/>
  <c r="BG237" i="180" s="1"/>
  <c r="BE229" i="180"/>
  <c r="BD229" i="180"/>
  <c r="BC229" i="180"/>
  <c r="BC237" i="180" s="1"/>
  <c r="BB229" i="180"/>
  <c r="BA229" i="180"/>
  <c r="AY229" i="180"/>
  <c r="AX229" i="180"/>
  <c r="AW229" i="180"/>
  <c r="AW244" i="180" s="1"/>
  <c r="AV229" i="180"/>
  <c r="AU229" i="180"/>
  <c r="AN229" i="180"/>
  <c r="AH229" i="180"/>
  <c r="AH253" i="180" s="1"/>
  <c r="AB229" i="180"/>
  <c r="V229" i="180"/>
  <c r="U229" i="180"/>
  <c r="U253" i="180" s="1"/>
  <c r="GZ228" i="180"/>
  <c r="GT228" i="180"/>
  <c r="GN228" i="180"/>
  <c r="GH228" i="180"/>
  <c r="FV228" i="180"/>
  <c r="FP228" i="180"/>
  <c r="FJ228" i="180"/>
  <c r="FD228" i="180"/>
  <c r="ER228" i="180"/>
  <c r="EL228" i="180"/>
  <c r="EF228" i="180"/>
  <c r="DZ228" i="180"/>
  <c r="DN228" i="180"/>
  <c r="DH228" i="180"/>
  <c r="DB228" i="180"/>
  <c r="CV228" i="180"/>
  <c r="GZ225" i="180"/>
  <c r="GT225" i="180"/>
  <c r="GN225" i="180"/>
  <c r="GH225" i="180"/>
  <c r="FV225" i="180"/>
  <c r="FP225" i="180"/>
  <c r="FJ225" i="180"/>
  <c r="FD225" i="180"/>
  <c r="ER225" i="180"/>
  <c r="EL225" i="180"/>
  <c r="EF225" i="180"/>
  <c r="DZ225" i="180"/>
  <c r="DN225" i="180"/>
  <c r="DH225" i="180"/>
  <c r="DB225" i="180"/>
  <c r="CV225" i="180"/>
  <c r="GT223" i="180"/>
  <c r="GN223" i="180"/>
  <c r="GH223" i="180"/>
  <c r="FP223" i="180"/>
  <c r="FJ223" i="180"/>
  <c r="FD223" i="180"/>
  <c r="EL223" i="180"/>
  <c r="EF223" i="180"/>
  <c r="DZ223" i="180"/>
  <c r="DH223" i="180"/>
  <c r="DB223" i="180"/>
  <c r="CV223" i="180"/>
  <c r="GZ221" i="180"/>
  <c r="GT221" i="180"/>
  <c r="GN221" i="180"/>
  <c r="GH221" i="180"/>
  <c r="GB221" i="180"/>
  <c r="FV221" i="180"/>
  <c r="FP221" i="180"/>
  <c r="FJ221" i="180"/>
  <c r="FD221" i="180"/>
  <c r="EX221" i="180"/>
  <c r="ER221" i="180"/>
  <c r="EL221" i="180"/>
  <c r="EF221" i="180"/>
  <c r="DZ221" i="180"/>
  <c r="DT221" i="180"/>
  <c r="DN221" i="180"/>
  <c r="DH221" i="180"/>
  <c r="DB221" i="180"/>
  <c r="CV221" i="180"/>
  <c r="CP221" i="180"/>
  <c r="CJ221" i="180"/>
  <c r="CD221" i="180"/>
  <c r="BX221" i="180"/>
  <c r="BR221" i="180"/>
  <c r="BL221" i="180"/>
  <c r="BF221" i="180"/>
  <c r="AZ221" i="180"/>
  <c r="AT221" i="180"/>
  <c r="AN221" i="180"/>
  <c r="AH221" i="180"/>
  <c r="AB221" i="180"/>
  <c r="V221" i="180"/>
  <c r="U221" i="180"/>
  <c r="HI216" i="180"/>
  <c r="HI70" i="180"/>
  <c r="HI69" i="180"/>
  <c r="HI68" i="180"/>
  <c r="HI66" i="180"/>
  <c r="HI65" i="180"/>
  <c r="HI64" i="180"/>
  <c r="HI63" i="180"/>
  <c r="HI62" i="180"/>
  <c r="HI61" i="180"/>
  <c r="HI60" i="180"/>
  <c r="HI59" i="180"/>
  <c r="HI58" i="180"/>
  <c r="HI57" i="180"/>
  <c r="HI56" i="180"/>
  <c r="HI55" i="180"/>
  <c r="HI54" i="180"/>
  <c r="HI53" i="180"/>
  <c r="HI52" i="180"/>
  <c r="HI51" i="180"/>
  <c r="HI50" i="180"/>
  <c r="HI49" i="180"/>
  <c r="HI48" i="180"/>
  <c r="HI47" i="180"/>
  <c r="HI46" i="180"/>
  <c r="HI45" i="180"/>
  <c r="HD44" i="180"/>
  <c r="HB44" i="180"/>
  <c r="GZ231" i="180" s="1"/>
  <c r="HA44" i="180"/>
  <c r="GZ223" i="180" s="1"/>
  <c r="FV231" i="180"/>
  <c r="ER231" i="180"/>
  <c r="ER223" i="180"/>
  <c r="DN231" i="180"/>
  <c r="HI44" i="180"/>
  <c r="C39" i="180"/>
  <c r="CJ38" i="180"/>
  <c r="CI38" i="180"/>
  <c r="CH38" i="180"/>
  <c r="CG38" i="180"/>
  <c r="CF38" i="180"/>
  <c r="CE38" i="180"/>
  <c r="CD38" i="180"/>
  <c r="CC38" i="180"/>
  <c r="CB38" i="180"/>
  <c r="CA38" i="180"/>
  <c r="BZ38" i="180"/>
  <c r="BY38" i="180"/>
  <c r="BX38" i="180"/>
  <c r="BW38" i="180"/>
  <c r="BV38" i="180"/>
  <c r="BU38" i="180"/>
  <c r="BT38" i="180"/>
  <c r="BS38" i="180"/>
  <c r="BR38" i="180"/>
  <c r="BQ38" i="180"/>
  <c r="BP38" i="180"/>
  <c r="BO38" i="180"/>
  <c r="BN38" i="180"/>
  <c r="BM38" i="180"/>
  <c r="BL38" i="180"/>
  <c r="BK38" i="180"/>
  <c r="BJ38" i="180"/>
  <c r="BI38" i="180"/>
  <c r="BH38" i="180"/>
  <c r="BG38" i="180"/>
  <c r="BF38" i="180"/>
  <c r="BE38" i="180"/>
  <c r="BD38" i="180"/>
  <c r="BC38" i="180"/>
  <c r="BB38" i="180"/>
  <c r="BA38" i="180"/>
  <c r="AZ38" i="180"/>
  <c r="AY38" i="180"/>
  <c r="AX38" i="180"/>
  <c r="AW38" i="180"/>
  <c r="AV38" i="180"/>
  <c r="AU38" i="180"/>
  <c r="AT38" i="180"/>
  <c r="AS38" i="180"/>
  <c r="AR38" i="180"/>
  <c r="AQ38" i="180"/>
  <c r="AP38" i="180"/>
  <c r="AO38" i="180"/>
  <c r="AN38" i="180"/>
  <c r="AN244" i="180" s="1"/>
  <c r="AM38" i="180"/>
  <c r="AL38" i="180"/>
  <c r="AK38" i="180"/>
  <c r="AJ38" i="180"/>
  <c r="AI38" i="180"/>
  <c r="AH38" i="180"/>
  <c r="AH244" i="180" s="1"/>
  <c r="AG38" i="180"/>
  <c r="AF38" i="180"/>
  <c r="AE38" i="180"/>
  <c r="AD38" i="180"/>
  <c r="AC38" i="180"/>
  <c r="AB38" i="180"/>
  <c r="AB244" i="180" s="1"/>
  <c r="AA38" i="180"/>
  <c r="Z38" i="180"/>
  <c r="Y38" i="180"/>
  <c r="X38" i="180"/>
  <c r="W38" i="180"/>
  <c r="V38" i="180"/>
  <c r="V244" i="180" s="1"/>
  <c r="U38" i="180"/>
  <c r="U244" i="180" s="1"/>
  <c r="C38" i="180"/>
  <c r="C37" i="180"/>
  <c r="CI35" i="180"/>
  <c r="CH35" i="180"/>
  <c r="CG35" i="180"/>
  <c r="CF35" i="180"/>
  <c r="CE35" i="180"/>
  <c r="CC35" i="180"/>
  <c r="CB35" i="180"/>
  <c r="CA35" i="180"/>
  <c r="BZ35" i="180"/>
  <c r="BY35" i="180"/>
  <c r="BW35" i="180"/>
  <c r="BV35" i="180"/>
  <c r="BU35" i="180"/>
  <c r="BT35" i="180"/>
  <c r="BS35" i="180"/>
  <c r="BQ35" i="180"/>
  <c r="BP35" i="180"/>
  <c r="BO35" i="180"/>
  <c r="BN35" i="180"/>
  <c r="BM35" i="180"/>
  <c r="BK35" i="180"/>
  <c r="BJ35" i="180"/>
  <c r="BI35" i="180"/>
  <c r="BH35" i="180"/>
  <c r="BG35" i="180"/>
  <c r="BE35" i="180"/>
  <c r="BD35" i="180"/>
  <c r="BC35" i="180"/>
  <c r="BB35" i="180"/>
  <c r="BA35" i="180"/>
  <c r="AY35" i="180"/>
  <c r="AX35" i="180"/>
  <c r="AW35" i="180"/>
  <c r="AV35" i="180"/>
  <c r="AU35" i="180"/>
  <c r="AM35" i="180"/>
  <c r="AL35" i="180"/>
  <c r="AK35" i="180"/>
  <c r="AJ35" i="180"/>
  <c r="AI35" i="180"/>
  <c r="AG35" i="180"/>
  <c r="AF35" i="180"/>
  <c r="AE35" i="180"/>
  <c r="AD35" i="180"/>
  <c r="AC35" i="180"/>
  <c r="AA35" i="180"/>
  <c r="Z35" i="180"/>
  <c r="Y35" i="180"/>
  <c r="X35" i="180"/>
  <c r="W35" i="180"/>
  <c r="C35" i="180"/>
  <c r="CJ34" i="180"/>
  <c r="CI34" i="180"/>
  <c r="CH34" i="180"/>
  <c r="CG34" i="180"/>
  <c r="CF34" i="180"/>
  <c r="CE34" i="180"/>
  <c r="CD34" i="180"/>
  <c r="CC34" i="180"/>
  <c r="CB34" i="180"/>
  <c r="CA34" i="180"/>
  <c r="BZ34" i="180"/>
  <c r="BY34" i="180"/>
  <c r="BX34" i="180"/>
  <c r="BW34" i="180"/>
  <c r="BV34" i="180"/>
  <c r="BU34" i="180"/>
  <c r="BT34" i="180"/>
  <c r="BS34" i="180"/>
  <c r="BR34" i="180"/>
  <c r="BQ34" i="180"/>
  <c r="BP34" i="180"/>
  <c r="BO34" i="180"/>
  <c r="BN34" i="180"/>
  <c r="BM34" i="180"/>
  <c r="BL34" i="180"/>
  <c r="BK34" i="180"/>
  <c r="BJ34" i="180"/>
  <c r="BI34" i="180"/>
  <c r="BH34" i="180"/>
  <c r="BG34" i="180"/>
  <c r="BF34" i="180"/>
  <c r="BE34" i="180"/>
  <c r="BD34" i="180"/>
  <c r="BC34" i="180"/>
  <c r="BB34" i="180"/>
  <c r="BA34" i="180"/>
  <c r="AZ34" i="180"/>
  <c r="AY34" i="180"/>
  <c r="AX34" i="180"/>
  <c r="AW34" i="180"/>
  <c r="AV34" i="180"/>
  <c r="AU34" i="180"/>
  <c r="AT34" i="180"/>
  <c r="AS34" i="180"/>
  <c r="AR34" i="180"/>
  <c r="AQ34" i="180"/>
  <c r="AP34" i="180"/>
  <c r="AO34" i="180"/>
  <c r="AN34" i="180"/>
  <c r="AN237" i="180" s="1"/>
  <c r="AM34" i="180"/>
  <c r="AL34" i="180"/>
  <c r="AK34" i="180"/>
  <c r="AJ34" i="180"/>
  <c r="AI34" i="180"/>
  <c r="AH34" i="180"/>
  <c r="AH237" i="180" s="1"/>
  <c r="AG34" i="180"/>
  <c r="AF34" i="180"/>
  <c r="AE34" i="180"/>
  <c r="AD34" i="180"/>
  <c r="AC34" i="180"/>
  <c r="AB34" i="180"/>
  <c r="AB237" i="180" s="1"/>
  <c r="AA34" i="180"/>
  <c r="Z34" i="180"/>
  <c r="Y34" i="180"/>
  <c r="X34" i="180"/>
  <c r="W34" i="180"/>
  <c r="V34" i="180"/>
  <c r="V237" i="180" s="1"/>
  <c r="U34" i="180"/>
  <c r="U237" i="180" s="1"/>
  <c r="C20" i="180"/>
  <c r="C19" i="180"/>
  <c r="C18" i="180"/>
  <c r="E2" i="180"/>
  <c r="AH1" i="180" s="1"/>
  <c r="E1" i="180" s="1"/>
  <c r="AA257" i="179"/>
  <c r="Z257" i="179"/>
  <c r="Y257" i="179"/>
  <c r="X257" i="179"/>
  <c r="W257" i="179"/>
  <c r="GY255" i="179"/>
  <c r="GX255" i="179"/>
  <c r="GW255" i="179"/>
  <c r="GV255" i="179"/>
  <c r="GU255" i="179"/>
  <c r="GS255" i="179"/>
  <c r="GR255" i="179"/>
  <c r="GQ255" i="179"/>
  <c r="GP255" i="179"/>
  <c r="GO255" i="179"/>
  <c r="GM255" i="179"/>
  <c r="GL255" i="179"/>
  <c r="GK255" i="179"/>
  <c r="GJ255" i="179"/>
  <c r="GI255" i="179"/>
  <c r="GG255" i="179"/>
  <c r="GF255" i="179"/>
  <c r="GE255" i="179"/>
  <c r="GD255" i="179"/>
  <c r="GC255" i="179"/>
  <c r="GA255" i="179"/>
  <c r="FZ255" i="179"/>
  <c r="FY255" i="179"/>
  <c r="FX255" i="179"/>
  <c r="FW255" i="179"/>
  <c r="FU255" i="179"/>
  <c r="FT255" i="179"/>
  <c r="FS255" i="179"/>
  <c r="FR255" i="179"/>
  <c r="FQ255" i="179"/>
  <c r="FO255" i="179"/>
  <c r="FN255" i="179"/>
  <c r="FM255" i="179"/>
  <c r="FL255" i="179"/>
  <c r="FK255" i="179"/>
  <c r="FI255" i="179"/>
  <c r="FH255" i="179"/>
  <c r="FG255" i="179"/>
  <c r="FF255" i="179"/>
  <c r="FE255" i="179"/>
  <c r="FC255" i="179"/>
  <c r="FB255" i="179"/>
  <c r="FA255" i="179"/>
  <c r="EZ255" i="179"/>
  <c r="EY255" i="179"/>
  <c r="EW255" i="179"/>
  <c r="EV255" i="179"/>
  <c r="EU255" i="179"/>
  <c r="ET255" i="179"/>
  <c r="ES255" i="179"/>
  <c r="EQ255" i="179"/>
  <c r="EP255" i="179"/>
  <c r="EO255" i="179"/>
  <c r="EN255" i="179"/>
  <c r="EM255" i="179"/>
  <c r="EK255" i="179"/>
  <c r="EJ255" i="179"/>
  <c r="EI255" i="179"/>
  <c r="EH255" i="179"/>
  <c r="EG255" i="179"/>
  <c r="EE255" i="179"/>
  <c r="ED255" i="179"/>
  <c r="EC255" i="179"/>
  <c r="EB255" i="179"/>
  <c r="EA255" i="179"/>
  <c r="DY255" i="179"/>
  <c r="DX255" i="179"/>
  <c r="DW255" i="179"/>
  <c r="DV255" i="179"/>
  <c r="DU255" i="179"/>
  <c r="DS255" i="179"/>
  <c r="DR255" i="179"/>
  <c r="DQ255" i="179"/>
  <c r="DP255" i="179"/>
  <c r="DO255" i="179"/>
  <c r="DM255" i="179"/>
  <c r="DL255" i="179"/>
  <c r="DK255" i="179"/>
  <c r="DJ255" i="179"/>
  <c r="DI255" i="179"/>
  <c r="DG255" i="179"/>
  <c r="DF255" i="179"/>
  <c r="DE255" i="179"/>
  <c r="DD255" i="179"/>
  <c r="DC255" i="179"/>
  <c r="DA255" i="179"/>
  <c r="CZ255" i="179"/>
  <c r="CY255" i="179"/>
  <c r="CX255" i="179"/>
  <c r="CW255" i="179"/>
  <c r="CU255" i="179"/>
  <c r="CT255" i="179"/>
  <c r="CS255" i="179"/>
  <c r="CR255" i="179"/>
  <c r="CQ255" i="179"/>
  <c r="CO255" i="179"/>
  <c r="CN255" i="179"/>
  <c r="CM255" i="179"/>
  <c r="CL255" i="179"/>
  <c r="CK255" i="179"/>
  <c r="CI255" i="179"/>
  <c r="CH255" i="179"/>
  <c r="CG255" i="179"/>
  <c r="CF255" i="179"/>
  <c r="CE255" i="179"/>
  <c r="CC255" i="179"/>
  <c r="CB255" i="179"/>
  <c r="CA255" i="179"/>
  <c r="BZ255" i="179"/>
  <c r="BY255" i="179"/>
  <c r="BW255" i="179"/>
  <c r="BV255" i="179"/>
  <c r="BU255" i="179"/>
  <c r="BT255" i="179"/>
  <c r="BS255" i="179"/>
  <c r="BQ255" i="179"/>
  <c r="BP255" i="179"/>
  <c r="BO255" i="179"/>
  <c r="BN255" i="179"/>
  <c r="BM255" i="179"/>
  <c r="BK255" i="179"/>
  <c r="BJ255" i="179"/>
  <c r="BI255" i="179"/>
  <c r="BH255" i="179"/>
  <c r="BG255" i="179"/>
  <c r="BE255" i="179"/>
  <c r="BD255" i="179"/>
  <c r="BC255" i="179"/>
  <c r="BB255" i="179"/>
  <c r="BA255" i="179"/>
  <c r="AY255" i="179"/>
  <c r="AX255" i="179"/>
  <c r="AW255" i="179"/>
  <c r="AV255" i="179"/>
  <c r="AU255" i="179"/>
  <c r="AS255" i="179"/>
  <c r="AR255" i="179"/>
  <c r="AQ255" i="179"/>
  <c r="AP255" i="179"/>
  <c r="AO255" i="179"/>
  <c r="AM255" i="179"/>
  <c r="AL255" i="179"/>
  <c r="AK255" i="179"/>
  <c r="AJ255" i="179"/>
  <c r="AI255" i="179"/>
  <c r="AG255" i="179"/>
  <c r="AF255" i="179"/>
  <c r="AE255" i="179"/>
  <c r="AD255" i="179"/>
  <c r="AC255" i="179"/>
  <c r="AA255" i="179"/>
  <c r="Z255" i="179"/>
  <c r="Y255" i="179"/>
  <c r="X255" i="179"/>
  <c r="W255" i="179"/>
  <c r="GY243" i="179"/>
  <c r="GX243" i="179"/>
  <c r="GW243" i="179"/>
  <c r="GV243" i="179"/>
  <c r="GU243" i="179"/>
  <c r="GS243" i="179"/>
  <c r="GR243" i="179"/>
  <c r="GQ243" i="179"/>
  <c r="GP243" i="179"/>
  <c r="GO243" i="179"/>
  <c r="GM243" i="179"/>
  <c r="GL243" i="179"/>
  <c r="GK243" i="179"/>
  <c r="GJ243" i="179"/>
  <c r="GI243" i="179"/>
  <c r="GG243" i="179"/>
  <c r="GF243" i="179"/>
  <c r="GE243" i="179"/>
  <c r="GD243" i="179"/>
  <c r="GC243" i="179"/>
  <c r="GA243" i="179"/>
  <c r="FZ243" i="179"/>
  <c r="FY243" i="179"/>
  <c r="FX243" i="179"/>
  <c r="FW243" i="179"/>
  <c r="FU243" i="179"/>
  <c r="FT243" i="179"/>
  <c r="FS243" i="179"/>
  <c r="FR243" i="179"/>
  <c r="FQ243" i="179"/>
  <c r="FO243" i="179"/>
  <c r="FN243" i="179"/>
  <c r="FM243" i="179"/>
  <c r="FL243" i="179"/>
  <c r="FK243" i="179"/>
  <c r="FI243" i="179"/>
  <c r="FH243" i="179"/>
  <c r="FG243" i="179"/>
  <c r="FF243" i="179"/>
  <c r="FE243" i="179"/>
  <c r="FC243" i="179"/>
  <c r="FB243" i="179"/>
  <c r="FA243" i="179"/>
  <c r="EZ243" i="179"/>
  <c r="EY243" i="179"/>
  <c r="EW243" i="179"/>
  <c r="EV243" i="179"/>
  <c r="EU243" i="179"/>
  <c r="ET243" i="179"/>
  <c r="ES243" i="179"/>
  <c r="EQ243" i="179"/>
  <c r="EP243" i="179"/>
  <c r="EO243" i="179"/>
  <c r="EN243" i="179"/>
  <c r="EM243" i="179"/>
  <c r="EK243" i="179"/>
  <c r="EJ243" i="179"/>
  <c r="EI243" i="179"/>
  <c r="EH243" i="179"/>
  <c r="EG243" i="179"/>
  <c r="EE243" i="179"/>
  <c r="ED243" i="179"/>
  <c r="EC243" i="179"/>
  <c r="EB243" i="179"/>
  <c r="EA243" i="179"/>
  <c r="DY243" i="179"/>
  <c r="DX243" i="179"/>
  <c r="DW243" i="179"/>
  <c r="DV243" i="179"/>
  <c r="DU243" i="179"/>
  <c r="DS243" i="179"/>
  <c r="DR243" i="179"/>
  <c r="DQ243" i="179"/>
  <c r="DP243" i="179"/>
  <c r="DO243" i="179"/>
  <c r="DM243" i="179"/>
  <c r="DL243" i="179"/>
  <c r="DK243" i="179"/>
  <c r="DJ243" i="179"/>
  <c r="DI243" i="179"/>
  <c r="DG243" i="179"/>
  <c r="DF243" i="179"/>
  <c r="DE243" i="179"/>
  <c r="DD243" i="179"/>
  <c r="DC243" i="179"/>
  <c r="DA243" i="179"/>
  <c r="CZ243" i="179"/>
  <c r="CY243" i="179"/>
  <c r="CX243" i="179"/>
  <c r="CW243" i="179"/>
  <c r="CU243" i="179"/>
  <c r="CT243" i="179"/>
  <c r="CS243" i="179"/>
  <c r="CR243" i="179"/>
  <c r="CQ243" i="179"/>
  <c r="CO243" i="179"/>
  <c r="CN243" i="179"/>
  <c r="CM243" i="179"/>
  <c r="CL243" i="179"/>
  <c r="CK243" i="179"/>
  <c r="CI243" i="179"/>
  <c r="CH243" i="179"/>
  <c r="CG243" i="179"/>
  <c r="CF243" i="179"/>
  <c r="CE243" i="179"/>
  <c r="CC243" i="179"/>
  <c r="CB243" i="179"/>
  <c r="CA243" i="179"/>
  <c r="BZ243" i="179"/>
  <c r="BY243" i="179"/>
  <c r="BW243" i="179"/>
  <c r="BV243" i="179"/>
  <c r="BU243" i="179"/>
  <c r="BT243" i="179"/>
  <c r="BS243" i="179"/>
  <c r="BQ243" i="179"/>
  <c r="BP243" i="179"/>
  <c r="BO243" i="179"/>
  <c r="BN243" i="179"/>
  <c r="BM243" i="179"/>
  <c r="BK243" i="179"/>
  <c r="BJ243" i="179"/>
  <c r="BI243" i="179"/>
  <c r="BH243" i="179"/>
  <c r="BG243" i="179"/>
  <c r="BE243" i="179"/>
  <c r="BD243" i="179"/>
  <c r="BC243" i="179"/>
  <c r="BB243" i="179"/>
  <c r="BA243" i="179"/>
  <c r="AY243" i="179"/>
  <c r="AX243" i="179"/>
  <c r="AW243" i="179"/>
  <c r="AV243" i="179"/>
  <c r="AU243" i="179"/>
  <c r="HE242" i="179"/>
  <c r="HD242" i="179"/>
  <c r="HC242" i="179"/>
  <c r="HB242" i="179"/>
  <c r="HA242" i="179"/>
  <c r="GY242" i="179"/>
  <c r="GX242" i="179"/>
  <c r="GW242" i="179"/>
  <c r="GV242" i="179"/>
  <c r="GU242" i="179"/>
  <c r="GS242" i="179"/>
  <c r="GR242" i="179"/>
  <c r="GQ242" i="179"/>
  <c r="GP242" i="179"/>
  <c r="GO242" i="179"/>
  <c r="GM242" i="179"/>
  <c r="GL242" i="179"/>
  <c r="GK242" i="179"/>
  <c r="GJ242" i="179"/>
  <c r="GI242" i="179"/>
  <c r="GG242" i="179"/>
  <c r="GF242" i="179"/>
  <c r="GE242" i="179"/>
  <c r="GD242" i="179"/>
  <c r="GC242" i="179"/>
  <c r="GA242" i="179"/>
  <c r="FZ242" i="179"/>
  <c r="FY242" i="179"/>
  <c r="FX242" i="179"/>
  <c r="FW242" i="179"/>
  <c r="FU242" i="179"/>
  <c r="FT242" i="179"/>
  <c r="FS242" i="179"/>
  <c r="FR242" i="179"/>
  <c r="FQ242" i="179"/>
  <c r="FO242" i="179"/>
  <c r="FN242" i="179"/>
  <c r="FM242" i="179"/>
  <c r="FL242" i="179"/>
  <c r="FK242" i="179"/>
  <c r="FI242" i="179"/>
  <c r="FH242" i="179"/>
  <c r="FG242" i="179"/>
  <c r="FF242" i="179"/>
  <c r="FE242" i="179"/>
  <c r="FC242" i="179"/>
  <c r="FB242" i="179"/>
  <c r="FA242" i="179"/>
  <c r="EZ242" i="179"/>
  <c r="EY242" i="179"/>
  <c r="EW242" i="179"/>
  <c r="EV242" i="179"/>
  <c r="EU242" i="179"/>
  <c r="ET242" i="179"/>
  <c r="ES242" i="179"/>
  <c r="EQ242" i="179"/>
  <c r="EP242" i="179"/>
  <c r="EO242" i="179"/>
  <c r="EN242" i="179"/>
  <c r="EM242" i="179"/>
  <c r="EK242" i="179"/>
  <c r="EJ242" i="179"/>
  <c r="EI242" i="179"/>
  <c r="EH242" i="179"/>
  <c r="EG242" i="179"/>
  <c r="EE242" i="179"/>
  <c r="ED242" i="179"/>
  <c r="EC242" i="179"/>
  <c r="EB242" i="179"/>
  <c r="EA242" i="179"/>
  <c r="DY242" i="179"/>
  <c r="DX242" i="179"/>
  <c r="DW242" i="179"/>
  <c r="DV242" i="179"/>
  <c r="DU242" i="179"/>
  <c r="DS242" i="179"/>
  <c r="DR242" i="179"/>
  <c r="DQ242" i="179"/>
  <c r="DP242" i="179"/>
  <c r="DO242" i="179"/>
  <c r="DM242" i="179"/>
  <c r="DL242" i="179"/>
  <c r="DK242" i="179"/>
  <c r="DJ242" i="179"/>
  <c r="DI242" i="179"/>
  <c r="DG242" i="179"/>
  <c r="DF242" i="179"/>
  <c r="DE242" i="179"/>
  <c r="DD242" i="179"/>
  <c r="DC242" i="179"/>
  <c r="DA242" i="179"/>
  <c r="CZ242" i="179"/>
  <c r="CY242" i="179"/>
  <c r="CX242" i="179"/>
  <c r="CW242" i="179"/>
  <c r="CU242" i="179"/>
  <c r="CT242" i="179"/>
  <c r="CS242" i="179"/>
  <c r="CR242" i="179"/>
  <c r="CQ242" i="179"/>
  <c r="CO242" i="179"/>
  <c r="CN242" i="179"/>
  <c r="CM242" i="179"/>
  <c r="CL242" i="179"/>
  <c r="CK242" i="179"/>
  <c r="CI242" i="179"/>
  <c r="CH242" i="179"/>
  <c r="CG242" i="179"/>
  <c r="CF242" i="179"/>
  <c r="CE242" i="179"/>
  <c r="CC242" i="179"/>
  <c r="CB242" i="179"/>
  <c r="CA242" i="179"/>
  <c r="BZ242" i="179"/>
  <c r="BY242" i="179"/>
  <c r="BW242" i="179"/>
  <c r="BV242" i="179"/>
  <c r="BU242" i="179"/>
  <c r="BT242" i="179"/>
  <c r="BS242" i="179"/>
  <c r="BQ242" i="179"/>
  <c r="BP242" i="179"/>
  <c r="BO242" i="179"/>
  <c r="BN242" i="179"/>
  <c r="BM242" i="179"/>
  <c r="BK242" i="179"/>
  <c r="BJ242" i="179"/>
  <c r="BI242" i="179"/>
  <c r="BH242" i="179"/>
  <c r="BG242" i="179"/>
  <c r="BE242" i="179"/>
  <c r="BD242" i="179"/>
  <c r="BC242" i="179"/>
  <c r="BB242" i="179"/>
  <c r="BA242" i="179"/>
  <c r="AY242" i="179"/>
  <c r="AX242" i="179"/>
  <c r="AW242" i="179"/>
  <c r="AV242" i="179"/>
  <c r="AU242" i="179"/>
  <c r="AN240" i="179"/>
  <c r="AH240" i="179"/>
  <c r="AB240" i="179"/>
  <c r="V240" i="179"/>
  <c r="U240" i="179"/>
  <c r="HE237" i="179"/>
  <c r="HD237" i="179"/>
  <c r="HC237" i="179"/>
  <c r="HB237" i="179"/>
  <c r="HA237" i="179"/>
  <c r="GY235" i="179"/>
  <c r="GX235" i="179"/>
  <c r="GW235" i="179"/>
  <c r="GV235" i="179"/>
  <c r="GU235" i="179"/>
  <c r="GS235" i="179"/>
  <c r="GR235" i="179"/>
  <c r="GQ235" i="179"/>
  <c r="GP235" i="179"/>
  <c r="GO235" i="179"/>
  <c r="GM235" i="179"/>
  <c r="GL235" i="179"/>
  <c r="GK235" i="179"/>
  <c r="GJ235" i="179"/>
  <c r="GI235" i="179"/>
  <c r="GG235" i="179"/>
  <c r="GF235" i="179"/>
  <c r="GE235" i="179"/>
  <c r="GD235" i="179"/>
  <c r="GC235" i="179"/>
  <c r="GA235" i="179"/>
  <c r="FZ235" i="179"/>
  <c r="FY235" i="179"/>
  <c r="FX235" i="179"/>
  <c r="FW235" i="179"/>
  <c r="FU235" i="179"/>
  <c r="FT235" i="179"/>
  <c r="FS235" i="179"/>
  <c r="FR235" i="179"/>
  <c r="FQ235" i="179"/>
  <c r="FO235" i="179"/>
  <c r="FN235" i="179"/>
  <c r="FM235" i="179"/>
  <c r="FL235" i="179"/>
  <c r="FK235" i="179"/>
  <c r="FI235" i="179"/>
  <c r="FH235" i="179"/>
  <c r="FG235" i="179"/>
  <c r="FF235" i="179"/>
  <c r="FE235" i="179"/>
  <c r="FC235" i="179"/>
  <c r="FB235" i="179"/>
  <c r="FA235" i="179"/>
  <c r="EZ235" i="179"/>
  <c r="EY235" i="179"/>
  <c r="EW235" i="179"/>
  <c r="EV235" i="179"/>
  <c r="EU235" i="179"/>
  <c r="ET235" i="179"/>
  <c r="ES235" i="179"/>
  <c r="EQ235" i="179"/>
  <c r="EP235" i="179"/>
  <c r="EO235" i="179"/>
  <c r="EN235" i="179"/>
  <c r="EM235" i="179"/>
  <c r="EK235" i="179"/>
  <c r="EJ235" i="179"/>
  <c r="EI235" i="179"/>
  <c r="EH235" i="179"/>
  <c r="EG235" i="179"/>
  <c r="EE235" i="179"/>
  <c r="ED235" i="179"/>
  <c r="EC235" i="179"/>
  <c r="EB235" i="179"/>
  <c r="EA235" i="179"/>
  <c r="DY235" i="179"/>
  <c r="DX235" i="179"/>
  <c r="DW235" i="179"/>
  <c r="DV235" i="179"/>
  <c r="DU235" i="179"/>
  <c r="DS235" i="179"/>
  <c r="DR235" i="179"/>
  <c r="DQ235" i="179"/>
  <c r="DP235" i="179"/>
  <c r="DO235" i="179"/>
  <c r="DM235" i="179"/>
  <c r="DL235" i="179"/>
  <c r="DL237" i="179" s="1"/>
  <c r="DK235" i="179"/>
  <c r="DJ235" i="179"/>
  <c r="DI235" i="179"/>
  <c r="DG235" i="179"/>
  <c r="DF235" i="179"/>
  <c r="DE235" i="179"/>
  <c r="DD235" i="179"/>
  <c r="DC235" i="179"/>
  <c r="DA235" i="179"/>
  <c r="CZ235" i="179"/>
  <c r="CY235" i="179"/>
  <c r="CX235" i="179"/>
  <c r="CW235" i="179"/>
  <c r="CU235" i="179"/>
  <c r="CT235" i="179"/>
  <c r="CS235" i="179"/>
  <c r="CR235" i="179"/>
  <c r="CQ235" i="179"/>
  <c r="CO235" i="179"/>
  <c r="CN235" i="179"/>
  <c r="CM235" i="179"/>
  <c r="CL235" i="179"/>
  <c r="CK235" i="179"/>
  <c r="CI235" i="179"/>
  <c r="CH235" i="179"/>
  <c r="CG235" i="179"/>
  <c r="CF235" i="179"/>
  <c r="CE235" i="179"/>
  <c r="CC235" i="179"/>
  <c r="CB235" i="179"/>
  <c r="CA235" i="179"/>
  <c r="BZ235" i="179"/>
  <c r="BY235" i="179"/>
  <c r="BW235" i="179"/>
  <c r="BV235" i="179"/>
  <c r="BU235" i="179"/>
  <c r="BT235" i="179"/>
  <c r="BS235" i="179"/>
  <c r="BQ235" i="179"/>
  <c r="BP235" i="179"/>
  <c r="BO235" i="179"/>
  <c r="BN235" i="179"/>
  <c r="BM235" i="179"/>
  <c r="BK235" i="179"/>
  <c r="BJ235" i="179"/>
  <c r="BI235" i="179"/>
  <c r="BH235" i="179"/>
  <c r="BG235" i="179"/>
  <c r="BE235" i="179"/>
  <c r="BD235" i="179"/>
  <c r="BC235" i="179"/>
  <c r="BB235" i="179"/>
  <c r="BA235" i="179"/>
  <c r="AY235" i="179"/>
  <c r="AX235" i="179"/>
  <c r="AW235" i="179"/>
  <c r="AV235" i="179"/>
  <c r="AU235" i="179"/>
  <c r="AN235" i="179"/>
  <c r="AH235" i="179"/>
  <c r="AB235" i="179"/>
  <c r="V235" i="179"/>
  <c r="U235" i="179"/>
  <c r="GZ234" i="179"/>
  <c r="GY234" i="179"/>
  <c r="GX234" i="179"/>
  <c r="GW234" i="179"/>
  <c r="GV234" i="179"/>
  <c r="GU234" i="179"/>
  <c r="GT234" i="179"/>
  <c r="GS234" i="179"/>
  <c r="GR234" i="179"/>
  <c r="GQ234" i="179"/>
  <c r="GP234" i="179"/>
  <c r="GO234" i="179"/>
  <c r="GN234" i="179"/>
  <c r="GM234" i="179"/>
  <c r="GL234" i="179"/>
  <c r="GK234" i="179"/>
  <c r="GJ234" i="179"/>
  <c r="GI234" i="179"/>
  <c r="GH234" i="179"/>
  <c r="GG234" i="179"/>
  <c r="GF234" i="179"/>
  <c r="GE234" i="179"/>
  <c r="GD234" i="179"/>
  <c r="FX234" i="179"/>
  <c r="FW234" i="179"/>
  <c r="FV234" i="179"/>
  <c r="FU234" i="179"/>
  <c r="FT234" i="179"/>
  <c r="FS234" i="179"/>
  <c r="FR234" i="179"/>
  <c r="FQ234" i="179"/>
  <c r="FP234" i="179"/>
  <c r="FO234" i="179"/>
  <c r="FN234" i="179"/>
  <c r="FM234" i="179"/>
  <c r="FL234" i="179"/>
  <c r="FK234" i="179"/>
  <c r="FJ234" i="179"/>
  <c r="FI234" i="179"/>
  <c r="FH234" i="179"/>
  <c r="FG234" i="179"/>
  <c r="FF234" i="179"/>
  <c r="FE234" i="179"/>
  <c r="FD234" i="179"/>
  <c r="FC234" i="179"/>
  <c r="FB234" i="179"/>
  <c r="FA234" i="179"/>
  <c r="EZ234" i="179"/>
  <c r="ET234" i="179"/>
  <c r="ES234" i="179"/>
  <c r="ER234" i="179"/>
  <c r="EQ234" i="179"/>
  <c r="EP234" i="179"/>
  <c r="EO234" i="179"/>
  <c r="EN234" i="179"/>
  <c r="EM234" i="179"/>
  <c r="EL234" i="179"/>
  <c r="EK234" i="179"/>
  <c r="EJ234" i="179"/>
  <c r="EI234" i="179"/>
  <c r="EH234" i="179"/>
  <c r="EG234" i="179"/>
  <c r="EF234" i="179"/>
  <c r="EE234" i="179"/>
  <c r="ED234" i="179"/>
  <c r="EC234" i="179"/>
  <c r="EB234" i="179"/>
  <c r="EA234" i="179"/>
  <c r="DZ234" i="179"/>
  <c r="DY234" i="179"/>
  <c r="DX234" i="179"/>
  <c r="DW234" i="179"/>
  <c r="DV234" i="179"/>
  <c r="DP234" i="179"/>
  <c r="DO234" i="179"/>
  <c r="DN234" i="179"/>
  <c r="DM234" i="179"/>
  <c r="DL234" i="179"/>
  <c r="DK234" i="179"/>
  <c r="DJ234" i="179"/>
  <c r="DI234" i="179"/>
  <c r="DH234" i="179"/>
  <c r="DG234" i="179"/>
  <c r="DF234" i="179"/>
  <c r="DE234" i="179"/>
  <c r="DD234" i="179"/>
  <c r="DC234" i="179"/>
  <c r="DB234" i="179"/>
  <c r="DA234" i="179"/>
  <c r="CZ234" i="179"/>
  <c r="CY234" i="179"/>
  <c r="CX234" i="179"/>
  <c r="CW234" i="179"/>
  <c r="CV234" i="179"/>
  <c r="CU234" i="179"/>
  <c r="CT234" i="179"/>
  <c r="CS234" i="179"/>
  <c r="CR234" i="179"/>
  <c r="CL234" i="179"/>
  <c r="CF234" i="179"/>
  <c r="BZ234" i="179"/>
  <c r="BT234" i="179"/>
  <c r="BN234" i="179"/>
  <c r="BH234" i="179"/>
  <c r="BB234" i="179"/>
  <c r="AV234" i="179"/>
  <c r="GY232" i="179"/>
  <c r="GX232" i="179"/>
  <c r="GW232" i="179"/>
  <c r="GV232" i="179"/>
  <c r="GU232" i="179"/>
  <c r="GS232" i="179"/>
  <c r="GR232" i="179"/>
  <c r="GQ232" i="179"/>
  <c r="GP232" i="179"/>
  <c r="GO232" i="179"/>
  <c r="GM232" i="179"/>
  <c r="GL232" i="179"/>
  <c r="GK232" i="179"/>
  <c r="GJ232" i="179"/>
  <c r="GI232" i="179"/>
  <c r="GG232" i="179"/>
  <c r="GF232" i="179"/>
  <c r="GE232" i="179"/>
  <c r="GD232" i="179"/>
  <c r="GC232" i="179"/>
  <c r="GA232" i="179"/>
  <c r="FZ232" i="179"/>
  <c r="FY232" i="179"/>
  <c r="FX232" i="179"/>
  <c r="FW232" i="179"/>
  <c r="FU232" i="179"/>
  <c r="FT232" i="179"/>
  <c r="FS232" i="179"/>
  <c r="FR232" i="179"/>
  <c r="FQ232" i="179"/>
  <c r="FO232" i="179"/>
  <c r="FN232" i="179"/>
  <c r="FM232" i="179"/>
  <c r="FL232" i="179"/>
  <c r="FK232" i="179"/>
  <c r="FI232" i="179"/>
  <c r="FH232" i="179"/>
  <c r="FG232" i="179"/>
  <c r="FF232" i="179"/>
  <c r="FE232" i="179"/>
  <c r="FC232" i="179"/>
  <c r="FB232" i="179"/>
  <c r="FA232" i="179"/>
  <c r="EZ232" i="179"/>
  <c r="EY232" i="179"/>
  <c r="EW232" i="179"/>
  <c r="EV232" i="179"/>
  <c r="EU232" i="179"/>
  <c r="ET232" i="179"/>
  <c r="ES232" i="179"/>
  <c r="EQ232" i="179"/>
  <c r="EP232" i="179"/>
  <c r="EO232" i="179"/>
  <c r="EN232" i="179"/>
  <c r="EM232" i="179"/>
  <c r="EK232" i="179"/>
  <c r="EJ232" i="179"/>
  <c r="EI232" i="179"/>
  <c r="EH232" i="179"/>
  <c r="EG232" i="179"/>
  <c r="EE232" i="179"/>
  <c r="ED232" i="179"/>
  <c r="EC232" i="179"/>
  <c r="EB232" i="179"/>
  <c r="EA232" i="179"/>
  <c r="DY232" i="179"/>
  <c r="DX232" i="179"/>
  <c r="DW232" i="179"/>
  <c r="DV232" i="179"/>
  <c r="DU232" i="179"/>
  <c r="DS232" i="179"/>
  <c r="DR232" i="179"/>
  <c r="DQ232" i="179"/>
  <c r="DP232" i="179"/>
  <c r="DO232" i="179"/>
  <c r="DM232" i="179"/>
  <c r="DL232" i="179"/>
  <c r="DK232" i="179"/>
  <c r="DJ232" i="179"/>
  <c r="DI232" i="179"/>
  <c r="DG232" i="179"/>
  <c r="DF232" i="179"/>
  <c r="DE232" i="179"/>
  <c r="DD232" i="179"/>
  <c r="DC232" i="179"/>
  <c r="DA232" i="179"/>
  <c r="CZ232" i="179"/>
  <c r="CY232" i="179"/>
  <c r="CX232" i="179"/>
  <c r="CW232" i="179"/>
  <c r="CU232" i="179"/>
  <c r="CT232" i="179"/>
  <c r="CS232" i="179"/>
  <c r="CR232" i="179"/>
  <c r="CQ232" i="179"/>
  <c r="CO232" i="179"/>
  <c r="CN232" i="179"/>
  <c r="CM232" i="179"/>
  <c r="CL232" i="179"/>
  <c r="CK232" i="179"/>
  <c r="CI232" i="179"/>
  <c r="CH232" i="179"/>
  <c r="CG232" i="179"/>
  <c r="CF232" i="179"/>
  <c r="CE232" i="179"/>
  <c r="CC232" i="179"/>
  <c r="CB232" i="179"/>
  <c r="CA232" i="179"/>
  <c r="BZ232" i="179"/>
  <c r="BY232" i="179"/>
  <c r="BW232" i="179"/>
  <c r="BV232" i="179"/>
  <c r="BU232" i="179"/>
  <c r="BT232" i="179"/>
  <c r="BS232" i="179"/>
  <c r="BQ232" i="179"/>
  <c r="BP232" i="179"/>
  <c r="BO232" i="179"/>
  <c r="BN232" i="179"/>
  <c r="BM232" i="179"/>
  <c r="BK232" i="179"/>
  <c r="BJ232" i="179"/>
  <c r="BI232" i="179"/>
  <c r="BH232" i="179"/>
  <c r="BG232" i="179"/>
  <c r="BE232" i="179"/>
  <c r="BD232" i="179"/>
  <c r="BC232" i="179"/>
  <c r="BB232" i="179"/>
  <c r="BA232" i="179"/>
  <c r="AY232" i="179"/>
  <c r="AX232" i="179"/>
  <c r="AW232" i="179"/>
  <c r="AV232" i="179"/>
  <c r="AU232" i="179"/>
  <c r="AN232" i="179"/>
  <c r="AH232" i="179"/>
  <c r="AB232" i="179"/>
  <c r="V232" i="179"/>
  <c r="U232" i="179"/>
  <c r="GT231" i="179"/>
  <c r="GN231" i="179"/>
  <c r="GH231" i="179"/>
  <c r="FP231" i="179"/>
  <c r="FJ231" i="179"/>
  <c r="FD231" i="179"/>
  <c r="EL231" i="179"/>
  <c r="EF231" i="179"/>
  <c r="DZ231" i="179"/>
  <c r="DH231" i="179"/>
  <c r="DB231" i="179"/>
  <c r="CV231" i="179"/>
  <c r="GY229" i="179"/>
  <c r="GX229" i="179"/>
  <c r="GW229" i="179"/>
  <c r="GV229" i="179"/>
  <c r="GU229" i="179"/>
  <c r="GS229" i="179"/>
  <c r="GR229" i="179"/>
  <c r="GQ229" i="179"/>
  <c r="GP229" i="179"/>
  <c r="GO229" i="179"/>
  <c r="GO244" i="179" s="1"/>
  <c r="GM229" i="179"/>
  <c r="GL229" i="179"/>
  <c r="GK229" i="179"/>
  <c r="GJ229" i="179"/>
  <c r="GI229" i="179"/>
  <c r="GG229" i="179"/>
  <c r="GF229" i="179"/>
  <c r="GE229" i="179"/>
  <c r="GD229" i="179"/>
  <c r="GC229" i="179"/>
  <c r="GA229" i="179"/>
  <c r="FZ229" i="179"/>
  <c r="FZ237" i="179" s="1"/>
  <c r="FY229" i="179"/>
  <c r="FX229" i="179"/>
  <c r="FW229" i="179"/>
  <c r="FU229" i="179"/>
  <c r="FT229" i="179"/>
  <c r="FS229" i="179"/>
  <c r="FR229" i="179"/>
  <c r="FQ229" i="179"/>
  <c r="FO229" i="179"/>
  <c r="FN229" i="179"/>
  <c r="FM229" i="179"/>
  <c r="FL229" i="179"/>
  <c r="FL237" i="179" s="1"/>
  <c r="FK229" i="179"/>
  <c r="FI229" i="179"/>
  <c r="FH229" i="179"/>
  <c r="FG229" i="179"/>
  <c r="FF229" i="179"/>
  <c r="FE229" i="179"/>
  <c r="FC229" i="179"/>
  <c r="FB229" i="179"/>
  <c r="FA229" i="179"/>
  <c r="EZ229" i="179"/>
  <c r="EY229" i="179"/>
  <c r="EW229" i="179"/>
  <c r="EV229" i="179"/>
  <c r="EU229" i="179"/>
  <c r="ET229" i="179"/>
  <c r="ES229" i="179"/>
  <c r="EQ229" i="179"/>
  <c r="EQ244" i="179" s="1"/>
  <c r="EP229" i="179"/>
  <c r="EO229" i="179"/>
  <c r="EN229" i="179"/>
  <c r="EM229" i="179"/>
  <c r="EK229" i="179"/>
  <c r="EJ229" i="179"/>
  <c r="EI229" i="179"/>
  <c r="EH229" i="179"/>
  <c r="EG229" i="179"/>
  <c r="EE229" i="179"/>
  <c r="ED229" i="179"/>
  <c r="EC229" i="179"/>
  <c r="EB229" i="179"/>
  <c r="EA229" i="179"/>
  <c r="DY229" i="179"/>
  <c r="DX229" i="179"/>
  <c r="DW229" i="179"/>
  <c r="DV229" i="179"/>
  <c r="DU229" i="179"/>
  <c r="DU244" i="179" s="1"/>
  <c r="DS229" i="179"/>
  <c r="DR229" i="179"/>
  <c r="DQ229" i="179"/>
  <c r="DP229" i="179"/>
  <c r="DO229" i="179"/>
  <c r="DM229" i="179"/>
  <c r="DL229" i="179"/>
  <c r="DK229" i="179"/>
  <c r="DJ229" i="179"/>
  <c r="DI229" i="179"/>
  <c r="DG229" i="179"/>
  <c r="DF229" i="179"/>
  <c r="DF237" i="179" s="1"/>
  <c r="DE229" i="179"/>
  <c r="DD229" i="179"/>
  <c r="DC229" i="179"/>
  <c r="DA229" i="179"/>
  <c r="CZ229" i="179"/>
  <c r="CY229" i="179"/>
  <c r="CX229" i="179"/>
  <c r="CW229" i="179"/>
  <c r="CU229" i="179"/>
  <c r="CU244" i="179" s="1"/>
  <c r="CT229" i="179"/>
  <c r="CS229" i="179"/>
  <c r="CR229" i="179"/>
  <c r="CR237" i="179" s="1"/>
  <c r="CQ229" i="179"/>
  <c r="CO229" i="179"/>
  <c r="CN229" i="179"/>
  <c r="CM229" i="179"/>
  <c r="CL229" i="179"/>
  <c r="CK229" i="179"/>
  <c r="CI229" i="179"/>
  <c r="CH229" i="179"/>
  <c r="CG229" i="179"/>
  <c r="CF229" i="179"/>
  <c r="CE229" i="179"/>
  <c r="CC229" i="179"/>
  <c r="CB229" i="179"/>
  <c r="CA229" i="179"/>
  <c r="BZ229" i="179"/>
  <c r="BY229" i="179"/>
  <c r="BW229" i="179"/>
  <c r="BW244" i="179" s="1"/>
  <c r="BV229" i="179"/>
  <c r="BU229" i="179"/>
  <c r="BT229" i="179"/>
  <c r="BS229" i="179"/>
  <c r="BQ229" i="179"/>
  <c r="BP229" i="179"/>
  <c r="BO229" i="179"/>
  <c r="BN229" i="179"/>
  <c r="BM229" i="179"/>
  <c r="BK229" i="179"/>
  <c r="BJ229" i="179"/>
  <c r="BI229" i="179"/>
  <c r="BI237" i="179" s="1"/>
  <c r="BH229" i="179"/>
  <c r="BG229" i="179"/>
  <c r="BE229" i="179"/>
  <c r="BD229" i="179"/>
  <c r="BC229" i="179"/>
  <c r="BB229" i="179"/>
  <c r="BA229" i="179"/>
  <c r="BA244" i="179" s="1"/>
  <c r="AY229" i="179"/>
  <c r="AX229" i="179"/>
  <c r="AW229" i="179"/>
  <c r="AV229" i="179"/>
  <c r="AU229" i="179"/>
  <c r="AN229" i="179"/>
  <c r="AH229" i="179"/>
  <c r="AB229" i="179"/>
  <c r="V229" i="179"/>
  <c r="U229" i="179"/>
  <c r="GZ228" i="179"/>
  <c r="GT228" i="179"/>
  <c r="GN228" i="179"/>
  <c r="GH228" i="179"/>
  <c r="FV228" i="179"/>
  <c r="FP228" i="179"/>
  <c r="FJ228" i="179"/>
  <c r="FD228" i="179"/>
  <c r="ER228" i="179"/>
  <c r="EL228" i="179"/>
  <c r="EF228" i="179"/>
  <c r="DZ228" i="179"/>
  <c r="DN228" i="179"/>
  <c r="DH228" i="179"/>
  <c r="DB228" i="179"/>
  <c r="CV228" i="179"/>
  <c r="GZ225" i="179"/>
  <c r="GT225" i="179"/>
  <c r="GN225" i="179"/>
  <c r="GH225" i="179"/>
  <c r="FV225" i="179"/>
  <c r="FP225" i="179"/>
  <c r="FJ225" i="179"/>
  <c r="FD225" i="179"/>
  <c r="ER225" i="179"/>
  <c r="EL225" i="179"/>
  <c r="EF225" i="179"/>
  <c r="DZ225" i="179"/>
  <c r="DN225" i="179"/>
  <c r="DH225" i="179"/>
  <c r="DB225" i="179"/>
  <c r="CV225" i="179"/>
  <c r="GT223" i="179"/>
  <c r="GN223" i="179"/>
  <c r="GH223" i="179"/>
  <c r="FP223" i="179"/>
  <c r="FJ223" i="179"/>
  <c r="FD223" i="179"/>
  <c r="EL223" i="179"/>
  <c r="EF223" i="179"/>
  <c r="DZ223" i="179"/>
  <c r="DH223" i="179"/>
  <c r="DB223" i="179"/>
  <c r="CV223" i="179"/>
  <c r="GZ221" i="179"/>
  <c r="GT221" i="179"/>
  <c r="GN221" i="179"/>
  <c r="GH221" i="179"/>
  <c r="GB221" i="179"/>
  <c r="FV221" i="179"/>
  <c r="FP221" i="179"/>
  <c r="FJ221" i="179"/>
  <c r="FD221" i="179"/>
  <c r="EX221" i="179"/>
  <c r="ER221" i="179"/>
  <c r="EL221" i="179"/>
  <c r="EF221" i="179"/>
  <c r="DZ221" i="179"/>
  <c r="DT221" i="179"/>
  <c r="DN221" i="179"/>
  <c r="DH221" i="179"/>
  <c r="DB221" i="179"/>
  <c r="CV221" i="179"/>
  <c r="CP221" i="179"/>
  <c r="CJ221" i="179"/>
  <c r="CD221" i="179"/>
  <c r="BX221" i="179"/>
  <c r="BR221" i="179"/>
  <c r="BL221" i="179"/>
  <c r="BF221" i="179"/>
  <c r="AZ221" i="179"/>
  <c r="AT221" i="179"/>
  <c r="AN221" i="179"/>
  <c r="AH221" i="179"/>
  <c r="AB221" i="179"/>
  <c r="V221" i="179"/>
  <c r="U221" i="179"/>
  <c r="HI216" i="179"/>
  <c r="HI70" i="179"/>
  <c r="HI69" i="179"/>
  <c r="HI68" i="179"/>
  <c r="HI66" i="179"/>
  <c r="HI65" i="179"/>
  <c r="HI64" i="179"/>
  <c r="HI63" i="179"/>
  <c r="HI62" i="179"/>
  <c r="HI61" i="179"/>
  <c r="HI60" i="179"/>
  <c r="HI59" i="179"/>
  <c r="HI58" i="179"/>
  <c r="HI57" i="179"/>
  <c r="HI56" i="179"/>
  <c r="HI55" i="179"/>
  <c r="HI54" i="179"/>
  <c r="HI53" i="179"/>
  <c r="HI52" i="179"/>
  <c r="HI51" i="179"/>
  <c r="HI50" i="179"/>
  <c r="HI49" i="179"/>
  <c r="HI48" i="179"/>
  <c r="HI47" i="179"/>
  <c r="HI46" i="179"/>
  <c r="HI45" i="179"/>
  <c r="HI44" i="179"/>
  <c r="HD44" i="179"/>
  <c r="HB44" i="179"/>
  <c r="GZ231" i="179" s="1"/>
  <c r="FV231" i="179"/>
  <c r="ER231" i="179"/>
  <c r="DN231" i="179"/>
  <c r="C39" i="179"/>
  <c r="CJ38" i="179"/>
  <c r="CI38" i="179"/>
  <c r="CH38" i="179"/>
  <c r="CG38" i="179"/>
  <c r="CF38" i="179"/>
  <c r="CE38" i="179"/>
  <c r="CD38" i="179"/>
  <c r="CC38" i="179"/>
  <c r="CB38" i="179"/>
  <c r="CA38" i="179"/>
  <c r="BZ38" i="179"/>
  <c r="BY38" i="179"/>
  <c r="BX38" i="179"/>
  <c r="BW38" i="179"/>
  <c r="BV38" i="179"/>
  <c r="BU38" i="179"/>
  <c r="BT38" i="179"/>
  <c r="BS38" i="179"/>
  <c r="BR38" i="179"/>
  <c r="BQ38" i="179"/>
  <c r="BP38" i="179"/>
  <c r="BO38" i="179"/>
  <c r="BN38" i="179"/>
  <c r="BM38" i="179"/>
  <c r="BL38" i="179"/>
  <c r="BK38" i="179"/>
  <c r="BJ38" i="179"/>
  <c r="BI38" i="179"/>
  <c r="BH38" i="179"/>
  <c r="BG38" i="179"/>
  <c r="BF38" i="179"/>
  <c r="BE38" i="179"/>
  <c r="BD38" i="179"/>
  <c r="BC38" i="179"/>
  <c r="BB38" i="179"/>
  <c r="BA38" i="179"/>
  <c r="AZ38" i="179"/>
  <c r="AY38" i="179"/>
  <c r="AX38" i="179"/>
  <c r="AW38" i="179"/>
  <c r="AV38" i="179"/>
  <c r="AU38" i="179"/>
  <c r="AT38" i="179"/>
  <c r="AS38" i="179"/>
  <c r="AR38" i="179"/>
  <c r="AQ38" i="179"/>
  <c r="AP38" i="179"/>
  <c r="AO38" i="179"/>
  <c r="AN38" i="179"/>
  <c r="AN244" i="179" s="1"/>
  <c r="AM38" i="179"/>
  <c r="AL38" i="179"/>
  <c r="AK38" i="179"/>
  <c r="AJ38" i="179"/>
  <c r="AI38" i="179"/>
  <c r="AH38" i="179"/>
  <c r="AH244" i="179" s="1"/>
  <c r="AG38" i="179"/>
  <c r="AF38" i="179"/>
  <c r="AE38" i="179"/>
  <c r="AD38" i="179"/>
  <c r="AC38" i="179"/>
  <c r="AB38" i="179"/>
  <c r="AB244" i="179" s="1"/>
  <c r="AA38" i="179"/>
  <c r="Z38" i="179"/>
  <c r="Y38" i="179"/>
  <c r="X38" i="179"/>
  <c r="W38" i="179"/>
  <c r="V38" i="179"/>
  <c r="V244" i="179" s="1"/>
  <c r="U38" i="179"/>
  <c r="U244" i="179" s="1"/>
  <c r="C38" i="179"/>
  <c r="C37" i="179"/>
  <c r="CI35" i="179"/>
  <c r="CH35" i="179"/>
  <c r="CG35" i="179"/>
  <c r="CF35" i="179"/>
  <c r="CE35" i="179"/>
  <c r="CC35" i="179"/>
  <c r="CB35" i="179"/>
  <c r="CA35" i="179"/>
  <c r="BZ35" i="179"/>
  <c r="BY35" i="179"/>
  <c r="BW35" i="179"/>
  <c r="BV35" i="179"/>
  <c r="BU35" i="179"/>
  <c r="BT35" i="179"/>
  <c r="BS35" i="179"/>
  <c r="BQ35" i="179"/>
  <c r="BP35" i="179"/>
  <c r="BO35" i="179"/>
  <c r="BN35" i="179"/>
  <c r="BM35" i="179"/>
  <c r="BK35" i="179"/>
  <c r="BJ35" i="179"/>
  <c r="BI35" i="179"/>
  <c r="BH35" i="179"/>
  <c r="BG35" i="179"/>
  <c r="BE35" i="179"/>
  <c r="BD35" i="179"/>
  <c r="BC35" i="179"/>
  <c r="BB35" i="179"/>
  <c r="BA35" i="179"/>
  <c r="AY35" i="179"/>
  <c r="AX35" i="179"/>
  <c r="AW35" i="179"/>
  <c r="AV35" i="179"/>
  <c r="AU35" i="179"/>
  <c r="AM35" i="179"/>
  <c r="AL35" i="179"/>
  <c r="AK35" i="179"/>
  <c r="AJ35" i="179"/>
  <c r="AI35" i="179"/>
  <c r="AG35" i="179"/>
  <c r="AF35" i="179"/>
  <c r="AE35" i="179"/>
  <c r="AD35" i="179"/>
  <c r="AC35" i="179"/>
  <c r="AA35" i="179"/>
  <c r="Z35" i="179"/>
  <c r="Y35" i="179"/>
  <c r="X35" i="179"/>
  <c r="W35" i="179"/>
  <c r="C35" i="179"/>
  <c r="CJ34" i="179"/>
  <c r="CI34" i="179"/>
  <c r="CH34" i="179"/>
  <c r="CG34" i="179"/>
  <c r="CF34" i="179"/>
  <c r="CE34" i="179"/>
  <c r="CD34" i="179"/>
  <c r="CC34" i="179"/>
  <c r="CB34" i="179"/>
  <c r="CA34" i="179"/>
  <c r="BZ34" i="179"/>
  <c r="BY34" i="179"/>
  <c r="BX34" i="179"/>
  <c r="BW34" i="179"/>
  <c r="BV34" i="179"/>
  <c r="BU34" i="179"/>
  <c r="BT34" i="179"/>
  <c r="BS34" i="179"/>
  <c r="BR34" i="179"/>
  <c r="BQ34" i="179"/>
  <c r="BP34" i="179"/>
  <c r="BO34" i="179"/>
  <c r="BN34" i="179"/>
  <c r="BM34" i="179"/>
  <c r="BL34" i="179"/>
  <c r="BK34" i="179"/>
  <c r="BJ34" i="179"/>
  <c r="BI34" i="179"/>
  <c r="BH34" i="179"/>
  <c r="BG34" i="179"/>
  <c r="BF34" i="179"/>
  <c r="BE34" i="179"/>
  <c r="BD34" i="179"/>
  <c r="BC34" i="179"/>
  <c r="BB34" i="179"/>
  <c r="BA34" i="179"/>
  <c r="AZ34" i="179"/>
  <c r="AY34" i="179"/>
  <c r="AX34" i="179"/>
  <c r="AW34" i="179"/>
  <c r="AV34" i="179"/>
  <c r="AU34" i="179"/>
  <c r="AT34" i="179"/>
  <c r="AS34" i="179"/>
  <c r="AR34" i="179"/>
  <c r="AQ34" i="179"/>
  <c r="AP34" i="179"/>
  <c r="AO34" i="179"/>
  <c r="AN34" i="179"/>
  <c r="AN237" i="179" s="1"/>
  <c r="AM34" i="179"/>
  <c r="AL34" i="179"/>
  <c r="AK34" i="179"/>
  <c r="AJ34" i="179"/>
  <c r="AI34" i="179"/>
  <c r="AH34" i="179"/>
  <c r="AH237" i="179" s="1"/>
  <c r="AG34" i="179"/>
  <c r="AF34" i="179"/>
  <c r="AE34" i="179"/>
  <c r="AD34" i="179"/>
  <c r="AC34" i="179"/>
  <c r="AB34" i="179"/>
  <c r="AB237" i="179" s="1"/>
  <c r="AA34" i="179"/>
  <c r="Z34" i="179"/>
  <c r="Y34" i="179"/>
  <c r="X34" i="179"/>
  <c r="W34" i="179"/>
  <c r="V34" i="179"/>
  <c r="V237" i="179" s="1"/>
  <c r="U34" i="179"/>
  <c r="U237" i="179" s="1"/>
  <c r="C20" i="179"/>
  <c r="C19" i="179"/>
  <c r="C18" i="179"/>
  <c r="U247" i="179" s="1"/>
  <c r="E2" i="179"/>
  <c r="AH1" i="179" s="1"/>
  <c r="E1" i="179" s="1"/>
  <c r="BJ237" i="182" l="1"/>
  <c r="DA244" i="182"/>
  <c r="ED237" i="182"/>
  <c r="ES237" i="182"/>
  <c r="FU244" i="182"/>
  <c r="GX237" i="182"/>
  <c r="AY237" i="182"/>
  <c r="CB244" i="182"/>
  <c r="DE237" i="182"/>
  <c r="DS237" i="182"/>
  <c r="EV244" i="182"/>
  <c r="FK244" i="182"/>
  <c r="FY237" i="182"/>
  <c r="GM237" i="182"/>
  <c r="CC244" i="182"/>
  <c r="DF237" i="182"/>
  <c r="EW244" i="182"/>
  <c r="FZ237" i="182"/>
  <c r="GO237" i="182"/>
  <c r="EK237" i="182"/>
  <c r="FO244" i="179"/>
  <c r="AV237" i="179"/>
  <c r="CZ237" i="180"/>
  <c r="BB237" i="180"/>
  <c r="BP244" i="180"/>
  <c r="CS244" i="180"/>
  <c r="DG244" i="180"/>
  <c r="DV237" i="180"/>
  <c r="EJ244" i="180"/>
  <c r="FM244" i="180"/>
  <c r="GA244" i="180"/>
  <c r="GP237" i="180"/>
  <c r="DF237" i="180"/>
  <c r="FZ237" i="180"/>
  <c r="BD237" i="180"/>
  <c r="GR237" i="180"/>
  <c r="BP237" i="179"/>
  <c r="BJ237" i="179"/>
  <c r="CG237" i="179"/>
  <c r="DJ244" i="179"/>
  <c r="DX237" i="179"/>
  <c r="FA237" i="179"/>
  <c r="GD244" i="179"/>
  <c r="BT237" i="179"/>
  <c r="CH237" i="179"/>
  <c r="CW244" i="179"/>
  <c r="EN237" i="179"/>
  <c r="FB237" i="179"/>
  <c r="CL244" i="179"/>
  <c r="EC237" i="179"/>
  <c r="FF244" i="179"/>
  <c r="GW237" i="179"/>
  <c r="BY244" i="179"/>
  <c r="GX237" i="179"/>
  <c r="EP244" i="179"/>
  <c r="FH237" i="179"/>
  <c r="ET237" i="179"/>
  <c r="AN253" i="180"/>
  <c r="FT237" i="179"/>
  <c r="DX237" i="180"/>
  <c r="FT237" i="180"/>
  <c r="CG237" i="181"/>
  <c r="CQ237" i="181"/>
  <c r="EM237" i="181"/>
  <c r="FY237" i="181"/>
  <c r="EK244" i="181"/>
  <c r="DL237" i="182"/>
  <c r="FH237" i="182"/>
  <c r="BO237" i="183"/>
  <c r="ES237" i="179"/>
  <c r="GO237" i="179"/>
  <c r="DR244" i="179"/>
  <c r="AX244" i="180"/>
  <c r="BH237" i="180"/>
  <c r="BQ237" i="180"/>
  <c r="CA237" i="180"/>
  <c r="CK237" i="180"/>
  <c r="CT244" i="180"/>
  <c r="DD237" i="180"/>
  <c r="DM237" i="180"/>
  <c r="DW237" i="180"/>
  <c r="EG237" i="180"/>
  <c r="EP244" i="180"/>
  <c r="EZ237" i="180"/>
  <c r="FI237" i="180"/>
  <c r="FS237" i="180"/>
  <c r="GC237" i="180"/>
  <c r="GL244" i="180"/>
  <c r="GV237" i="180"/>
  <c r="FS237" i="181"/>
  <c r="BH244" i="182"/>
  <c r="EZ244" i="182"/>
  <c r="GV244" i="182"/>
  <c r="CF244" i="182"/>
  <c r="BY237" i="179"/>
  <c r="AN247" i="180"/>
  <c r="N202" i="179"/>
  <c r="N203" i="179"/>
  <c r="N159" i="179"/>
  <c r="N168" i="179"/>
  <c r="N137" i="179"/>
  <c r="N112" i="179"/>
  <c r="N92" i="179"/>
  <c r="N95" i="179"/>
  <c r="N75" i="179"/>
  <c r="N109" i="179"/>
  <c r="N170" i="179"/>
  <c r="N120" i="179"/>
  <c r="N191" i="179"/>
  <c r="N81" i="179"/>
  <c r="N178" i="179"/>
  <c r="N161" i="179"/>
  <c r="N195" i="179"/>
  <c r="N140" i="179"/>
  <c r="N52" i="179"/>
  <c r="N143" i="179"/>
  <c r="N163" i="179"/>
  <c r="N111" i="179"/>
  <c r="N190" i="179"/>
  <c r="N84" i="179"/>
  <c r="N160" i="179"/>
  <c r="N186" i="179"/>
  <c r="N199" i="179"/>
  <c r="N208" i="179"/>
  <c r="N54" i="179"/>
  <c r="N141" i="179"/>
  <c r="N93" i="179"/>
  <c r="N125" i="179"/>
  <c r="N45" i="179"/>
  <c r="N117" i="179"/>
  <c r="N89" i="179"/>
  <c r="N151" i="179"/>
  <c r="N76" i="179"/>
  <c r="N82" i="179"/>
  <c r="N145" i="179"/>
  <c r="N119" i="179"/>
  <c r="N128" i="179"/>
  <c r="N214" i="179"/>
  <c r="N114" i="179"/>
  <c r="N212" i="179"/>
  <c r="N157" i="179"/>
  <c r="N59" i="179"/>
  <c r="N130" i="179"/>
  <c r="N74" i="179"/>
  <c r="N126" i="179"/>
  <c r="N197" i="179"/>
  <c r="N139" i="179"/>
  <c r="N193" i="179"/>
  <c r="N156" i="179"/>
  <c r="N147" i="179"/>
  <c r="N65" i="179"/>
  <c r="N79" i="179"/>
  <c r="N98" i="179"/>
  <c r="N106" i="179"/>
  <c r="N67" i="179"/>
  <c r="N148" i="179"/>
  <c r="N64" i="179"/>
  <c r="N174" i="179"/>
  <c r="N149" i="179"/>
  <c r="N200" i="179"/>
  <c r="N49" i="179"/>
  <c r="N123" i="179"/>
  <c r="N162" i="179"/>
  <c r="N185" i="179"/>
  <c r="N209" i="179"/>
  <c r="N134" i="179"/>
  <c r="N80" i="179"/>
  <c r="N150" i="179"/>
  <c r="N61" i="179"/>
  <c r="N69" i="179"/>
  <c r="N213" i="179"/>
  <c r="N73" i="179"/>
  <c r="N55" i="179"/>
  <c r="N135" i="179"/>
  <c r="N47" i="179"/>
  <c r="N201" i="179"/>
  <c r="N198" i="179"/>
  <c r="N196" i="179"/>
  <c r="N97" i="179"/>
  <c r="N104" i="179"/>
  <c r="N167" i="179"/>
  <c r="N50" i="179"/>
  <c r="N110" i="179"/>
  <c r="N66" i="179"/>
  <c r="N83" i="179"/>
  <c r="N210" i="179"/>
  <c r="N57" i="179"/>
  <c r="N87" i="179"/>
  <c r="N152" i="179"/>
  <c r="N60" i="179"/>
  <c r="N180" i="179"/>
  <c r="N107" i="179"/>
  <c r="N192" i="179"/>
  <c r="N108" i="179"/>
  <c r="N103" i="179"/>
  <c r="N144" i="179"/>
  <c r="N136" i="179"/>
  <c r="N179" i="179"/>
  <c r="N70" i="179"/>
  <c r="N100" i="179"/>
  <c r="N86" i="179"/>
  <c r="N154" i="179"/>
  <c r="N177" i="179"/>
  <c r="N194" i="179"/>
  <c r="N48" i="179"/>
  <c r="N187" i="179"/>
  <c r="N99" i="179"/>
  <c r="N56" i="179"/>
  <c r="N116" i="179"/>
  <c r="N96" i="179"/>
  <c r="N173" i="179"/>
  <c r="N46" i="179"/>
  <c r="N165" i="179"/>
  <c r="N62" i="179"/>
  <c r="N155" i="179"/>
  <c r="N172" i="179"/>
  <c r="N205" i="179"/>
  <c r="N189" i="179"/>
  <c r="N138" i="179"/>
  <c r="N121" i="179"/>
  <c r="N204" i="179"/>
  <c r="N105" i="179"/>
  <c r="N94" i="179"/>
  <c r="N146" i="179"/>
  <c r="N171" i="179"/>
  <c r="N101" i="179"/>
  <c r="N206" i="179"/>
  <c r="N72" i="179"/>
  <c r="N153" i="179"/>
  <c r="N176" i="179"/>
  <c r="N131" i="179"/>
  <c r="N85" i="179"/>
  <c r="N88" i="179"/>
  <c r="N129" i="179"/>
  <c r="N77" i="179"/>
  <c r="N102" i="179"/>
  <c r="N71" i="179"/>
  <c r="N211" i="179"/>
  <c r="N78" i="179"/>
  <c r="N133" i="179"/>
  <c r="N113" i="179"/>
  <c r="N158" i="179"/>
  <c r="N169" i="179"/>
  <c r="N68" i="179"/>
  <c r="N207" i="179"/>
  <c r="N124" i="179"/>
  <c r="N115" i="179"/>
  <c r="N215" i="179"/>
  <c r="N164" i="179"/>
  <c r="N63" i="179"/>
  <c r="N53" i="179"/>
  <c r="N51" i="179"/>
  <c r="N175" i="179"/>
  <c r="N58" i="179"/>
  <c r="N118" i="179"/>
  <c r="N181" i="179"/>
  <c r="N127" i="179"/>
  <c r="N188" i="179"/>
  <c r="N166" i="179"/>
  <c r="N91" i="179"/>
  <c r="N122" i="179"/>
  <c r="N132" i="179"/>
  <c r="N142" i="179"/>
  <c r="BB244" i="179"/>
  <c r="BK244" i="179"/>
  <c r="BU237" i="179"/>
  <c r="CN244" i="179"/>
  <c r="CX244" i="179"/>
  <c r="DQ237" i="179"/>
  <c r="ET244" i="179"/>
  <c r="FM237" i="179"/>
  <c r="GP244" i="179"/>
  <c r="GY244" i="179"/>
  <c r="GF237" i="179"/>
  <c r="EV237" i="179"/>
  <c r="N203" i="180"/>
  <c r="N202" i="180"/>
  <c r="N62" i="180"/>
  <c r="N79" i="180"/>
  <c r="N72" i="180"/>
  <c r="N153" i="180"/>
  <c r="N102" i="180"/>
  <c r="N111" i="180"/>
  <c r="N104" i="180"/>
  <c r="N168" i="180"/>
  <c r="N87" i="180"/>
  <c r="N76" i="180"/>
  <c r="N107" i="180"/>
  <c r="N201" i="180"/>
  <c r="N92" i="180"/>
  <c r="N207" i="180"/>
  <c r="N103" i="180"/>
  <c r="N208" i="180"/>
  <c r="N169" i="180"/>
  <c r="N141" i="180"/>
  <c r="N64" i="180"/>
  <c r="N97" i="180"/>
  <c r="N179" i="180"/>
  <c r="N99" i="180"/>
  <c r="N139" i="180"/>
  <c r="N144" i="180"/>
  <c r="N94" i="180"/>
  <c r="N206" i="180"/>
  <c r="N123" i="180"/>
  <c r="N105" i="180"/>
  <c r="N158" i="180"/>
  <c r="N88" i="180"/>
  <c r="N119" i="180"/>
  <c r="N125" i="180"/>
  <c r="N198" i="180"/>
  <c r="N66" i="180"/>
  <c r="N96" i="180"/>
  <c r="N180" i="180"/>
  <c r="N70" i="180"/>
  <c r="N122" i="180"/>
  <c r="N149" i="180"/>
  <c r="N71" i="180"/>
  <c r="N116" i="180"/>
  <c r="N196" i="180"/>
  <c r="N170" i="180"/>
  <c r="N110" i="180"/>
  <c r="N185" i="180"/>
  <c r="N75" i="180"/>
  <c r="N78" i="180"/>
  <c r="N80" i="180"/>
  <c r="N85" i="180"/>
  <c r="N167" i="180"/>
  <c r="N155" i="180"/>
  <c r="N130" i="180"/>
  <c r="N171" i="180"/>
  <c r="N120" i="180"/>
  <c r="N143" i="180"/>
  <c r="N178" i="180"/>
  <c r="N112" i="180"/>
  <c r="N142" i="180"/>
  <c r="N93" i="180"/>
  <c r="N73" i="180"/>
  <c r="N101" i="180"/>
  <c r="N159" i="180"/>
  <c r="N135" i="180"/>
  <c r="N211" i="180"/>
  <c r="N98" i="180"/>
  <c r="N68" i="180"/>
  <c r="N45" i="180"/>
  <c r="N200" i="180"/>
  <c r="N140" i="180"/>
  <c r="N187" i="180"/>
  <c r="N162" i="180"/>
  <c r="N53" i="180"/>
  <c r="N195" i="180"/>
  <c r="N214" i="180"/>
  <c r="N65" i="180"/>
  <c r="N100" i="180"/>
  <c r="N205" i="180"/>
  <c r="N74" i="180"/>
  <c r="N197" i="180"/>
  <c r="N131" i="180"/>
  <c r="N175" i="180"/>
  <c r="N173" i="180"/>
  <c r="N165" i="180"/>
  <c r="N210" i="180"/>
  <c r="N51" i="180"/>
  <c r="N212" i="180"/>
  <c r="N213" i="180"/>
  <c r="N150" i="180"/>
  <c r="N176" i="180"/>
  <c r="N204" i="180"/>
  <c r="N46" i="180"/>
  <c r="N83" i="180"/>
  <c r="N114" i="180"/>
  <c r="N115" i="180"/>
  <c r="N166" i="180"/>
  <c r="N186" i="180"/>
  <c r="N133" i="180"/>
  <c r="N113" i="180"/>
  <c r="N172" i="180"/>
  <c r="N146" i="180"/>
  <c r="N156" i="180"/>
  <c r="N57" i="180"/>
  <c r="N126" i="180"/>
  <c r="N138" i="180"/>
  <c r="N160" i="180"/>
  <c r="N108" i="180"/>
  <c r="N192" i="180"/>
  <c r="N60" i="180"/>
  <c r="N151" i="180"/>
  <c r="N95" i="180"/>
  <c r="N136" i="180"/>
  <c r="N117" i="180"/>
  <c r="N91" i="180"/>
  <c r="N48" i="180"/>
  <c r="N129" i="180"/>
  <c r="N190" i="180"/>
  <c r="N199" i="180"/>
  <c r="N67" i="180"/>
  <c r="N106" i="180"/>
  <c r="N63" i="180"/>
  <c r="N89" i="180"/>
  <c r="N188" i="180"/>
  <c r="N154" i="180"/>
  <c r="N157" i="180"/>
  <c r="N49" i="180"/>
  <c r="N52" i="180"/>
  <c r="N215" i="180"/>
  <c r="N147" i="180"/>
  <c r="N121" i="180"/>
  <c r="N69" i="180"/>
  <c r="N86" i="180"/>
  <c r="N191" i="180"/>
  <c r="N134" i="180"/>
  <c r="N84" i="180"/>
  <c r="N124" i="180"/>
  <c r="N163" i="180"/>
  <c r="N82" i="180"/>
  <c r="N164" i="180"/>
  <c r="N209" i="180"/>
  <c r="N148" i="180"/>
  <c r="N58" i="180"/>
  <c r="N56" i="180"/>
  <c r="N193" i="180"/>
  <c r="N177" i="180"/>
  <c r="N81" i="180"/>
  <c r="N174" i="180"/>
  <c r="N47" i="180"/>
  <c r="N109" i="180"/>
  <c r="N50" i="180"/>
  <c r="N137" i="180"/>
  <c r="N194" i="180"/>
  <c r="N61" i="180"/>
  <c r="N181" i="180"/>
  <c r="N118" i="180"/>
  <c r="N152" i="180"/>
  <c r="N128" i="180"/>
  <c r="N54" i="180"/>
  <c r="N145" i="180"/>
  <c r="N55" i="180"/>
  <c r="N189" i="180"/>
  <c r="N127" i="180"/>
  <c r="N59" i="180"/>
  <c r="N77" i="180"/>
  <c r="N161" i="180"/>
  <c r="N132" i="180"/>
  <c r="AY244" i="180"/>
  <c r="BI244" i="180"/>
  <c r="BS237" i="180"/>
  <c r="CB244" i="180"/>
  <c r="CU244" i="180"/>
  <c r="DE244" i="180"/>
  <c r="DO237" i="180"/>
  <c r="DX244" i="180"/>
  <c r="EH237" i="180"/>
  <c r="EQ244" i="180"/>
  <c r="FA244" i="180"/>
  <c r="FT244" i="180"/>
  <c r="GD237" i="180"/>
  <c r="GM244" i="180"/>
  <c r="GW244" i="180"/>
  <c r="CX244" i="180"/>
  <c r="EJ237" i="180"/>
  <c r="GF237" i="180"/>
  <c r="CB237" i="182"/>
  <c r="FT237" i="182"/>
  <c r="BA237" i="179"/>
  <c r="BV244" i="179"/>
  <c r="BM244" i="179"/>
  <c r="BV237" i="179"/>
  <c r="CF237" i="179"/>
  <c r="DI244" i="179"/>
  <c r="DR237" i="179"/>
  <c r="EB237" i="179"/>
  <c r="FE244" i="179"/>
  <c r="FN237" i="179"/>
  <c r="FX237" i="179"/>
  <c r="BM237" i="179"/>
  <c r="DI237" i="179"/>
  <c r="FE237" i="179"/>
  <c r="CR244" i="179"/>
  <c r="BA237" i="180"/>
  <c r="BJ244" i="180"/>
  <c r="BT237" i="180"/>
  <c r="CC237" i="180"/>
  <c r="CM237" i="180"/>
  <c r="CW237" i="180"/>
  <c r="DF244" i="180"/>
  <c r="DP237" i="180"/>
  <c r="DY237" i="180"/>
  <c r="EI237" i="180"/>
  <c r="ES237" i="180"/>
  <c r="FB244" i="180"/>
  <c r="FL237" i="180"/>
  <c r="FU237" i="180"/>
  <c r="GE237" i="180"/>
  <c r="GO237" i="180"/>
  <c r="GX244" i="180"/>
  <c r="BV237" i="180"/>
  <c r="DR237" i="180"/>
  <c r="FN237" i="180"/>
  <c r="CB237" i="180"/>
  <c r="BQ237" i="181"/>
  <c r="DW244" i="181"/>
  <c r="AX237" i="182"/>
  <c r="BQ244" i="182"/>
  <c r="CT237" i="182"/>
  <c r="DD237" i="182"/>
  <c r="EZ237" i="182"/>
  <c r="FI244" i="182"/>
  <c r="GL237" i="182"/>
  <c r="CC237" i="182"/>
  <c r="FU237" i="182"/>
  <c r="BZ244" i="183"/>
  <c r="DL237" i="183"/>
  <c r="FH237" i="183"/>
  <c r="CL237" i="183"/>
  <c r="DX237" i="183"/>
  <c r="CN237" i="180"/>
  <c r="BS237" i="181"/>
  <c r="FA237" i="181"/>
  <c r="FK237" i="181"/>
  <c r="CN237" i="182"/>
  <c r="GF237" i="182"/>
  <c r="BP237" i="182"/>
  <c r="DM237" i="183"/>
  <c r="DF244" i="183"/>
  <c r="BK237" i="183"/>
  <c r="AW237" i="179"/>
  <c r="BZ244" i="179"/>
  <c r="CI244" i="179"/>
  <c r="CS237" i="179"/>
  <c r="DV244" i="179"/>
  <c r="EO237" i="179"/>
  <c r="FH244" i="179"/>
  <c r="GK237" i="179"/>
  <c r="GD237" i="179"/>
  <c r="AU237" i="180"/>
  <c r="BD244" i="180"/>
  <c r="BN237" i="180"/>
  <c r="BW244" i="180"/>
  <c r="CG244" i="180"/>
  <c r="CZ244" i="180"/>
  <c r="DJ237" i="180"/>
  <c r="DS244" i="180"/>
  <c r="EC244" i="180"/>
  <c r="EM237" i="180"/>
  <c r="EV244" i="180"/>
  <c r="FO244" i="180"/>
  <c r="FY244" i="180"/>
  <c r="GI237" i="180"/>
  <c r="GR244" i="180"/>
  <c r="BP237" i="180"/>
  <c r="DL237" i="180"/>
  <c r="FH237" i="180"/>
  <c r="N203" i="181"/>
  <c r="N202" i="181"/>
  <c r="N129" i="181"/>
  <c r="N97" i="181"/>
  <c r="N210" i="181"/>
  <c r="N163" i="181"/>
  <c r="N113" i="181"/>
  <c r="N209" i="181"/>
  <c r="N150" i="181"/>
  <c r="N192" i="181"/>
  <c r="N89" i="181"/>
  <c r="N63" i="181"/>
  <c r="N93" i="181"/>
  <c r="N174" i="181"/>
  <c r="N110" i="181"/>
  <c r="N55" i="181"/>
  <c r="N62" i="181"/>
  <c r="N125" i="181"/>
  <c r="N75" i="181"/>
  <c r="N152" i="181"/>
  <c r="N70" i="181"/>
  <c r="N85" i="181"/>
  <c r="N151" i="181"/>
  <c r="N51" i="181"/>
  <c r="N109" i="181"/>
  <c r="N168" i="181"/>
  <c r="N61" i="181"/>
  <c r="N73" i="181"/>
  <c r="N60" i="181"/>
  <c r="N214" i="181"/>
  <c r="N176" i="181"/>
  <c r="N83" i="181"/>
  <c r="N165" i="181"/>
  <c r="N69" i="181"/>
  <c r="N180" i="181"/>
  <c r="N68" i="181"/>
  <c r="N122" i="181"/>
  <c r="N77" i="181"/>
  <c r="N104" i="181"/>
  <c r="N148" i="181"/>
  <c r="N88" i="181"/>
  <c r="N124" i="181"/>
  <c r="N115" i="181"/>
  <c r="N54" i="181"/>
  <c r="N207" i="181"/>
  <c r="N160" i="181"/>
  <c r="N161" i="181"/>
  <c r="N188" i="181"/>
  <c r="N153" i="181"/>
  <c r="N134" i="181"/>
  <c r="N120" i="181"/>
  <c r="N131" i="181"/>
  <c r="N76" i="181"/>
  <c r="N107" i="181"/>
  <c r="N65" i="181"/>
  <c r="N201" i="181"/>
  <c r="N58" i="181"/>
  <c r="N102" i="181"/>
  <c r="N162" i="181"/>
  <c r="N80" i="181"/>
  <c r="N138" i="181"/>
  <c r="N154" i="181"/>
  <c r="N196" i="181"/>
  <c r="N87" i="181"/>
  <c r="N169" i="181"/>
  <c r="N166" i="181"/>
  <c r="N204" i="181"/>
  <c r="N50" i="181"/>
  <c r="N128" i="181"/>
  <c r="N82" i="181"/>
  <c r="N100" i="181"/>
  <c r="N49" i="181"/>
  <c r="N137" i="181"/>
  <c r="N52" i="181"/>
  <c r="N213" i="181"/>
  <c r="N139" i="181"/>
  <c r="N72" i="181"/>
  <c r="N149" i="181"/>
  <c r="N143" i="181"/>
  <c r="N67" i="181"/>
  <c r="N46" i="181"/>
  <c r="N145" i="181"/>
  <c r="N215" i="181"/>
  <c r="N71" i="181"/>
  <c r="N105" i="181"/>
  <c r="N135" i="181"/>
  <c r="N121" i="181"/>
  <c r="N119" i="181"/>
  <c r="N157" i="181"/>
  <c r="N106" i="181"/>
  <c r="N208" i="181"/>
  <c r="N156" i="181"/>
  <c r="N211" i="181"/>
  <c r="N56" i="181"/>
  <c r="N112" i="181"/>
  <c r="N144" i="181"/>
  <c r="N94" i="181"/>
  <c r="N136" i="181"/>
  <c r="N99" i="181"/>
  <c r="N92" i="181"/>
  <c r="N200" i="181"/>
  <c r="N111" i="181"/>
  <c r="N190" i="181"/>
  <c r="N212" i="181"/>
  <c r="N141" i="181"/>
  <c r="N118" i="181"/>
  <c r="N45" i="181"/>
  <c r="N47" i="181"/>
  <c r="N133" i="181"/>
  <c r="N199" i="181"/>
  <c r="N59" i="181"/>
  <c r="N95" i="181"/>
  <c r="N177" i="181"/>
  <c r="N114" i="181"/>
  <c r="N194" i="181"/>
  <c r="N98" i="181"/>
  <c r="N78" i="181"/>
  <c r="N197" i="181"/>
  <c r="N205" i="181"/>
  <c r="N127" i="181"/>
  <c r="N181" i="181"/>
  <c r="N48" i="181"/>
  <c r="N91" i="181"/>
  <c r="N140" i="181"/>
  <c r="N103" i="181"/>
  <c r="N86" i="181"/>
  <c r="N179" i="181"/>
  <c r="N101" i="181"/>
  <c r="N159" i="181"/>
  <c r="N172" i="181"/>
  <c r="N79" i="181"/>
  <c r="N81" i="181"/>
  <c r="N191" i="181"/>
  <c r="N198" i="181"/>
  <c r="N66" i="181"/>
  <c r="N178" i="181"/>
  <c r="N164" i="181"/>
  <c r="N123" i="181"/>
  <c r="N147" i="181"/>
  <c r="N189" i="181"/>
  <c r="N126" i="181"/>
  <c r="N108" i="181"/>
  <c r="N96" i="181"/>
  <c r="N74" i="181"/>
  <c r="N155" i="181"/>
  <c r="N170" i="181"/>
  <c r="N173" i="181"/>
  <c r="N57" i="181"/>
  <c r="N167" i="181"/>
  <c r="N130" i="181"/>
  <c r="N171" i="181"/>
  <c r="N158" i="181"/>
  <c r="N146" i="181"/>
  <c r="N187" i="181"/>
  <c r="N116" i="181"/>
  <c r="N175" i="181"/>
  <c r="N53" i="181"/>
  <c r="N185" i="181"/>
  <c r="N117" i="181"/>
  <c r="N195" i="181"/>
  <c r="N64" i="181"/>
  <c r="N206" i="181"/>
  <c r="N84" i="181"/>
  <c r="N186" i="181"/>
  <c r="N193" i="181"/>
  <c r="N142" i="181"/>
  <c r="N132" i="181"/>
  <c r="FW237" i="181"/>
  <c r="N203" i="182"/>
  <c r="N202" i="182"/>
  <c r="N99" i="182"/>
  <c r="N180" i="182"/>
  <c r="N196" i="182"/>
  <c r="N63" i="182"/>
  <c r="N48" i="182"/>
  <c r="N117" i="182"/>
  <c r="N169" i="182"/>
  <c r="N146" i="182"/>
  <c r="N188" i="182"/>
  <c r="N165" i="182"/>
  <c r="N190" i="182"/>
  <c r="N72" i="182"/>
  <c r="N175" i="182"/>
  <c r="N191" i="182"/>
  <c r="N95" i="182"/>
  <c r="N116" i="182"/>
  <c r="N174" i="182"/>
  <c r="N205" i="182"/>
  <c r="N93" i="182"/>
  <c r="N51" i="182"/>
  <c r="N208" i="182"/>
  <c r="N145" i="182"/>
  <c r="N137" i="182"/>
  <c r="N192" i="182"/>
  <c r="N103" i="182"/>
  <c r="N151" i="182"/>
  <c r="N53" i="182"/>
  <c r="N88" i="182"/>
  <c r="N108" i="182"/>
  <c r="N131" i="182"/>
  <c r="N49" i="182"/>
  <c r="N140" i="182"/>
  <c r="N186" i="182"/>
  <c r="N179" i="182"/>
  <c r="N52" i="182"/>
  <c r="N54" i="182"/>
  <c r="N138" i="182"/>
  <c r="N161" i="182"/>
  <c r="N168" i="182"/>
  <c r="N130" i="182"/>
  <c r="N78" i="182"/>
  <c r="N57" i="182"/>
  <c r="N134" i="182"/>
  <c r="N87" i="182"/>
  <c r="N46" i="182"/>
  <c r="N147" i="182"/>
  <c r="N79" i="182"/>
  <c r="N89" i="182"/>
  <c r="N69" i="182"/>
  <c r="N167" i="182"/>
  <c r="N111" i="182"/>
  <c r="N80" i="182"/>
  <c r="N181" i="182"/>
  <c r="N119" i="182"/>
  <c r="N84" i="182"/>
  <c r="N96" i="182"/>
  <c r="N166" i="182"/>
  <c r="N81" i="182"/>
  <c r="N209" i="182"/>
  <c r="N211" i="182"/>
  <c r="N56" i="182"/>
  <c r="N141" i="182"/>
  <c r="N64" i="182"/>
  <c r="N60" i="182"/>
  <c r="N59" i="182"/>
  <c r="N62" i="182"/>
  <c r="N152" i="182"/>
  <c r="N98" i="182"/>
  <c r="N215" i="182"/>
  <c r="N156" i="182"/>
  <c r="N68" i="182"/>
  <c r="N101" i="182"/>
  <c r="N164" i="182"/>
  <c r="N126" i="182"/>
  <c r="N148" i="182"/>
  <c r="N198" i="182"/>
  <c r="N76" i="182"/>
  <c r="N97" i="182"/>
  <c r="N45" i="182"/>
  <c r="N142" i="182"/>
  <c r="N170" i="182"/>
  <c r="N160" i="182"/>
  <c r="N213" i="182"/>
  <c r="N154" i="182"/>
  <c r="N92" i="182"/>
  <c r="N125" i="182"/>
  <c r="N143" i="182"/>
  <c r="N136" i="182"/>
  <c r="N210" i="182"/>
  <c r="N133" i="182"/>
  <c r="N123" i="182"/>
  <c r="N55" i="182"/>
  <c r="N195" i="182"/>
  <c r="N200" i="182"/>
  <c r="N104" i="182"/>
  <c r="N155" i="182"/>
  <c r="N204" i="182"/>
  <c r="N121" i="182"/>
  <c r="N212" i="182"/>
  <c r="N70" i="182"/>
  <c r="N106" i="182"/>
  <c r="N163" i="182"/>
  <c r="N105" i="182"/>
  <c r="N110" i="182"/>
  <c r="N118" i="182"/>
  <c r="N171" i="182"/>
  <c r="N75" i="182"/>
  <c r="N139" i="182"/>
  <c r="N94" i="182"/>
  <c r="N176" i="182"/>
  <c r="N73" i="182"/>
  <c r="N144" i="182"/>
  <c r="N189" i="182"/>
  <c r="N86" i="182"/>
  <c r="N197" i="182"/>
  <c r="N150" i="182"/>
  <c r="N77" i="182"/>
  <c r="N58" i="182"/>
  <c r="N66" i="182"/>
  <c r="N115" i="182"/>
  <c r="N162" i="182"/>
  <c r="N135" i="182"/>
  <c r="N91" i="182"/>
  <c r="N172" i="182"/>
  <c r="N47" i="182"/>
  <c r="N201" i="182"/>
  <c r="N50" i="182"/>
  <c r="N83" i="182"/>
  <c r="N114" i="182"/>
  <c r="N107" i="182"/>
  <c r="N149" i="182"/>
  <c r="N109" i="182"/>
  <c r="N74" i="182"/>
  <c r="N82" i="182"/>
  <c r="N113" i="182"/>
  <c r="N122" i="182"/>
  <c r="N159" i="182"/>
  <c r="N178" i="182"/>
  <c r="N61" i="182"/>
  <c r="N185" i="182"/>
  <c r="N177" i="182"/>
  <c r="N206" i="182"/>
  <c r="N127" i="182"/>
  <c r="N187" i="182"/>
  <c r="N214" i="182"/>
  <c r="N100" i="182"/>
  <c r="N173" i="182"/>
  <c r="N199" i="182"/>
  <c r="N112" i="182"/>
  <c r="N124" i="182"/>
  <c r="N157" i="182"/>
  <c r="N194" i="182"/>
  <c r="N65" i="182"/>
  <c r="N153" i="182"/>
  <c r="N129" i="182"/>
  <c r="N102" i="182"/>
  <c r="N207" i="182"/>
  <c r="N120" i="182"/>
  <c r="N85" i="182"/>
  <c r="N128" i="182"/>
  <c r="N67" i="182"/>
  <c r="N193" i="182"/>
  <c r="N71" i="182"/>
  <c r="N132" i="182"/>
  <c r="N158" i="182"/>
  <c r="CZ237" i="182"/>
  <c r="EV237" i="182"/>
  <c r="GR237" i="182"/>
  <c r="DX237" i="182"/>
  <c r="FE237" i="183"/>
  <c r="BJ244" i="183"/>
  <c r="DU237" i="179"/>
  <c r="U253" i="179"/>
  <c r="AX237" i="179"/>
  <c r="BH237" i="179"/>
  <c r="CK244" i="179"/>
  <c r="CT237" i="179"/>
  <c r="EP237" i="179"/>
  <c r="GC244" i="179"/>
  <c r="GL237" i="179"/>
  <c r="GV237" i="179"/>
  <c r="CK237" i="179"/>
  <c r="GC237" i="179"/>
  <c r="DF244" i="179"/>
  <c r="DP244" i="179"/>
  <c r="AV237" i="180"/>
  <c r="BE237" i="180"/>
  <c r="BO237" i="180"/>
  <c r="BY237" i="180"/>
  <c r="CH244" i="180"/>
  <c r="CR237" i="180"/>
  <c r="DA237" i="180"/>
  <c r="DK237" i="180"/>
  <c r="DU237" i="180"/>
  <c r="ED244" i="180"/>
  <c r="EN237" i="180"/>
  <c r="EW237" i="180"/>
  <c r="FG237" i="180"/>
  <c r="FQ237" i="180"/>
  <c r="FZ244" i="180"/>
  <c r="GJ237" i="180"/>
  <c r="GS237" i="180"/>
  <c r="AX237" i="180"/>
  <c r="CT237" i="180"/>
  <c r="EP237" i="180"/>
  <c r="GL237" i="180"/>
  <c r="BC244" i="181"/>
  <c r="EK237" i="181"/>
  <c r="GQ244" i="181"/>
  <c r="EA244" i="181"/>
  <c r="CF237" i="182"/>
  <c r="CO244" i="182"/>
  <c r="DR237" i="182"/>
  <c r="EK244" i="182"/>
  <c r="FN237" i="182"/>
  <c r="FX237" i="182"/>
  <c r="DA237" i="182"/>
  <c r="EW237" i="182"/>
  <c r="N202" i="183"/>
  <c r="N203" i="183"/>
  <c r="N118" i="183"/>
  <c r="N165" i="183"/>
  <c r="N148" i="183"/>
  <c r="N128" i="183"/>
  <c r="N51" i="183"/>
  <c r="N143" i="183"/>
  <c r="N185" i="183"/>
  <c r="N75" i="183"/>
  <c r="N163" i="183"/>
  <c r="N120" i="183"/>
  <c r="N113" i="183"/>
  <c r="N139" i="183"/>
  <c r="N204" i="183"/>
  <c r="N66" i="183"/>
  <c r="N111" i="183"/>
  <c r="N155" i="183"/>
  <c r="N101" i="183"/>
  <c r="N92" i="183"/>
  <c r="N207" i="183"/>
  <c r="N89" i="183"/>
  <c r="N196" i="183"/>
  <c r="N50" i="183"/>
  <c r="N180" i="183"/>
  <c r="N134" i="183"/>
  <c r="N81" i="183"/>
  <c r="N116" i="183"/>
  <c r="N45" i="183"/>
  <c r="N63" i="183"/>
  <c r="N133" i="183"/>
  <c r="N178" i="183"/>
  <c r="N160" i="183"/>
  <c r="N193" i="183"/>
  <c r="N109" i="183"/>
  <c r="N199" i="183"/>
  <c r="N102" i="183"/>
  <c r="N87" i="183"/>
  <c r="N153" i="183"/>
  <c r="N146" i="183"/>
  <c r="N106" i="183"/>
  <c r="N103" i="183"/>
  <c r="N86" i="183"/>
  <c r="N197" i="183"/>
  <c r="N166" i="183"/>
  <c r="N67" i="183"/>
  <c r="N77" i="183"/>
  <c r="N174" i="183"/>
  <c r="N56" i="183"/>
  <c r="N57" i="183"/>
  <c r="N205" i="183"/>
  <c r="N131" i="183"/>
  <c r="N124" i="183"/>
  <c r="N91" i="183"/>
  <c r="N48" i="183"/>
  <c r="N167" i="183"/>
  <c r="N181" i="183"/>
  <c r="N194" i="183"/>
  <c r="N104" i="183"/>
  <c r="N130" i="183"/>
  <c r="N192" i="183"/>
  <c r="N112" i="183"/>
  <c r="N138" i="183"/>
  <c r="N177" i="183"/>
  <c r="N137" i="183"/>
  <c r="N213" i="183"/>
  <c r="N78" i="183"/>
  <c r="N85" i="183"/>
  <c r="N110" i="183"/>
  <c r="N158" i="183"/>
  <c r="N47" i="183"/>
  <c r="N107" i="183"/>
  <c r="N191" i="183"/>
  <c r="N123" i="183"/>
  <c r="N168" i="183"/>
  <c r="N211" i="183"/>
  <c r="N157" i="183"/>
  <c r="N65" i="183"/>
  <c r="N61" i="183"/>
  <c r="N198" i="183"/>
  <c r="N195" i="183"/>
  <c r="N206" i="183"/>
  <c r="N80" i="183"/>
  <c r="N127" i="183"/>
  <c r="N119" i="183"/>
  <c r="N140" i="183"/>
  <c r="N172" i="183"/>
  <c r="N97" i="183"/>
  <c r="N151" i="183"/>
  <c r="N125" i="183"/>
  <c r="N210" i="183"/>
  <c r="N175" i="183"/>
  <c r="N98" i="183"/>
  <c r="N173" i="183"/>
  <c r="N114" i="183"/>
  <c r="N187" i="183"/>
  <c r="N71" i="183"/>
  <c r="N170" i="183"/>
  <c r="N144" i="183"/>
  <c r="N189" i="183"/>
  <c r="N208" i="183"/>
  <c r="N59" i="183"/>
  <c r="N201" i="183"/>
  <c r="N105" i="183"/>
  <c r="N145" i="183"/>
  <c r="N84" i="183"/>
  <c r="N156" i="183"/>
  <c r="N129" i="183"/>
  <c r="N73" i="183"/>
  <c r="N68" i="183"/>
  <c r="N136" i="183"/>
  <c r="N76" i="183"/>
  <c r="N169" i="183"/>
  <c r="N94" i="183"/>
  <c r="N179" i="183"/>
  <c r="N79" i="183"/>
  <c r="N135" i="183"/>
  <c r="N122" i="183"/>
  <c r="N46" i="183"/>
  <c r="N152" i="183"/>
  <c r="N154" i="183"/>
  <c r="N150" i="183"/>
  <c r="N55" i="183"/>
  <c r="N162" i="183"/>
  <c r="N58" i="183"/>
  <c r="N159" i="183"/>
  <c r="N200" i="183"/>
  <c r="N212" i="183"/>
  <c r="N70" i="183"/>
  <c r="N54" i="183"/>
  <c r="N126" i="183"/>
  <c r="N83" i="183"/>
  <c r="N209" i="183"/>
  <c r="N190" i="183"/>
  <c r="N100" i="183"/>
  <c r="N214" i="183"/>
  <c r="N176" i="183"/>
  <c r="N72" i="183"/>
  <c r="N117" i="183"/>
  <c r="N141" i="183"/>
  <c r="N186" i="183"/>
  <c r="N93" i="183"/>
  <c r="N52" i="183"/>
  <c r="N74" i="183"/>
  <c r="N164" i="183"/>
  <c r="N64" i="183"/>
  <c r="N121" i="183"/>
  <c r="N115" i="183"/>
  <c r="N96" i="183"/>
  <c r="N188" i="183"/>
  <c r="N49" i="183"/>
  <c r="N161" i="183"/>
  <c r="N53" i="183"/>
  <c r="N88" i="183"/>
  <c r="N147" i="183"/>
  <c r="N60" i="183"/>
  <c r="N69" i="183"/>
  <c r="N215" i="183"/>
  <c r="N82" i="183"/>
  <c r="N108" i="183"/>
  <c r="N99" i="183"/>
  <c r="N95" i="183"/>
  <c r="N149" i="183"/>
  <c r="N171" i="183"/>
  <c r="N62" i="183"/>
  <c r="N132" i="183"/>
  <c r="N142" i="183"/>
  <c r="BK244" i="183"/>
  <c r="CN237" i="183"/>
  <c r="CX237" i="183"/>
  <c r="ET244" i="183"/>
  <c r="GF237" i="183"/>
  <c r="BD244" i="183"/>
  <c r="DJ244" i="183"/>
  <c r="GI237" i="183"/>
  <c r="DI244" i="183"/>
  <c r="DF237" i="183"/>
  <c r="CK244" i="183"/>
  <c r="CY244" i="183"/>
  <c r="FE244" i="183"/>
  <c r="FS244" i="183"/>
  <c r="BW244" i="183"/>
  <c r="CZ244" i="183"/>
  <c r="FF237" i="183"/>
  <c r="FT244" i="183"/>
  <c r="GI244" i="183"/>
  <c r="BE244" i="182"/>
  <c r="BT237" i="182"/>
  <c r="CH237" i="182"/>
  <c r="FB237" i="182"/>
  <c r="FQ237" i="182"/>
  <c r="BG244" i="182"/>
  <c r="BU237" i="182"/>
  <c r="CI237" i="182"/>
  <c r="DL244" i="182"/>
  <c r="EO237" i="182"/>
  <c r="FC237" i="182"/>
  <c r="FR237" i="182"/>
  <c r="GF244" i="182"/>
  <c r="BH237" i="182"/>
  <c r="BV237" i="182"/>
  <c r="DM244" i="182"/>
  <c r="EB237" i="182"/>
  <c r="EP237" i="182"/>
  <c r="GG244" i="182"/>
  <c r="GV237" i="182"/>
  <c r="AW237" i="182"/>
  <c r="BK237" i="182"/>
  <c r="CN244" i="182"/>
  <c r="DC244" i="182"/>
  <c r="DQ237" i="182"/>
  <c r="EE237" i="182"/>
  <c r="ET237" i="182"/>
  <c r="FH244" i="182"/>
  <c r="FW244" i="182"/>
  <c r="GK237" i="182"/>
  <c r="GY237" i="182"/>
  <c r="BD244" i="182"/>
  <c r="BS244" i="182"/>
  <c r="CG237" i="182"/>
  <c r="CU237" i="182"/>
  <c r="DX244" i="182"/>
  <c r="FA237" i="182"/>
  <c r="FO237" i="182"/>
  <c r="GR244" i="182"/>
  <c r="BU237" i="181"/>
  <c r="EA237" i="181"/>
  <c r="EO237" i="181"/>
  <c r="FS244" i="181"/>
  <c r="BI237" i="181"/>
  <c r="DO237" i="181"/>
  <c r="EC237" i="181"/>
  <c r="GW237" i="181"/>
  <c r="CA244" i="181"/>
  <c r="CO244" i="181"/>
  <c r="CE237" i="181"/>
  <c r="CS237" i="181"/>
  <c r="EY237" i="181"/>
  <c r="FM237" i="181"/>
  <c r="BE237" i="181"/>
  <c r="DK244" i="181"/>
  <c r="GE244" i="181"/>
  <c r="AY244" i="179"/>
  <c r="BN244" i="179"/>
  <c r="CB237" i="179"/>
  <c r="DE237" i="179"/>
  <c r="EH244" i="179"/>
  <c r="EV244" i="179"/>
  <c r="FY237" i="179"/>
  <c r="GM244" i="179"/>
  <c r="CW237" i="179"/>
  <c r="FQ237" i="179"/>
  <c r="GH222" i="179"/>
  <c r="DN222" i="179"/>
  <c r="AT222" i="179"/>
  <c r="GB222" i="179"/>
  <c r="DH222" i="179"/>
  <c r="AN222" i="179"/>
  <c r="FV222" i="179"/>
  <c r="DB222" i="179"/>
  <c r="AH222" i="179"/>
  <c r="FJ222" i="179"/>
  <c r="CP222" i="179"/>
  <c r="V222" i="179"/>
  <c r="DT222" i="179"/>
  <c r="CV222" i="179"/>
  <c r="GZ222" i="179"/>
  <c r="CJ222" i="179"/>
  <c r="GT222" i="179"/>
  <c r="CD222" i="179"/>
  <c r="GN222" i="179"/>
  <c r="BX222" i="179"/>
  <c r="FP222" i="179"/>
  <c r="BR222" i="179"/>
  <c r="FD222" i="179"/>
  <c r="BL222" i="179"/>
  <c r="EX222" i="179"/>
  <c r="BF222" i="179"/>
  <c r="ER222" i="179"/>
  <c r="AZ222" i="179"/>
  <c r="EL222" i="179"/>
  <c r="AB222" i="179"/>
  <c r="DZ222" i="179"/>
  <c r="U222" i="179"/>
  <c r="HD249" i="179"/>
  <c r="GR249" i="179"/>
  <c r="GF249" i="179"/>
  <c r="FT249" i="179"/>
  <c r="FH249" i="179"/>
  <c r="EV249" i="179"/>
  <c r="EJ249" i="179"/>
  <c r="DX249" i="179"/>
  <c r="DL249" i="179"/>
  <c r="CZ249" i="179"/>
  <c r="CN249" i="179"/>
  <c r="CB249" i="179"/>
  <c r="BP249" i="179"/>
  <c r="BD249" i="179"/>
  <c r="AH249" i="179"/>
  <c r="HB249" i="179"/>
  <c r="GP249" i="179"/>
  <c r="GD249" i="179"/>
  <c r="FR249" i="179"/>
  <c r="FF249" i="179"/>
  <c r="ET249" i="179"/>
  <c r="EH249" i="179"/>
  <c r="DV249" i="179"/>
  <c r="DJ249" i="179"/>
  <c r="CX249" i="179"/>
  <c r="CL249" i="179"/>
  <c r="BZ249" i="179"/>
  <c r="BN249" i="179"/>
  <c r="BB249" i="179"/>
  <c r="V249" i="179"/>
  <c r="EY249" i="179"/>
  <c r="CE249" i="179"/>
  <c r="EW249" i="179"/>
  <c r="CC249" i="179"/>
  <c r="EM249" i="179"/>
  <c r="BS249" i="179"/>
  <c r="HE249" i="179"/>
  <c r="EK249" i="179"/>
  <c r="BQ249" i="179"/>
  <c r="GU249" i="179"/>
  <c r="EA249" i="179"/>
  <c r="BG249" i="179"/>
  <c r="GS249" i="179"/>
  <c r="DY249" i="179"/>
  <c r="BE249" i="179"/>
  <c r="GI249" i="179"/>
  <c r="DO249" i="179"/>
  <c r="AU249" i="179"/>
  <c r="GG249" i="179"/>
  <c r="DM249" i="179"/>
  <c r="AN249" i="179"/>
  <c r="FW249" i="179"/>
  <c r="DC249" i="179"/>
  <c r="FU249" i="179"/>
  <c r="DA249" i="179"/>
  <c r="FI249" i="179"/>
  <c r="CO249" i="179"/>
  <c r="FK249" i="179"/>
  <c r="CQ249" i="179"/>
  <c r="EF222" i="179"/>
  <c r="ED237" i="179"/>
  <c r="ED244" i="179"/>
  <c r="DD237" i="179"/>
  <c r="DD244" i="179"/>
  <c r="CQ244" i="179"/>
  <c r="CQ237" i="179"/>
  <c r="DG237" i="179"/>
  <c r="DG249" i="179"/>
  <c r="FM249" i="179"/>
  <c r="GA237" i="179"/>
  <c r="GA249" i="179"/>
  <c r="CT249" i="179"/>
  <c r="BQ244" i="179"/>
  <c r="BQ237" i="179"/>
  <c r="CG249" i="179"/>
  <c r="BD244" i="179"/>
  <c r="BD237" i="179"/>
  <c r="EZ244" i="179"/>
  <c r="V248" i="179"/>
  <c r="BT249" i="179"/>
  <c r="AB253" i="179"/>
  <c r="AB247" i="179"/>
  <c r="GR244" i="179"/>
  <c r="GR237" i="179"/>
  <c r="GE237" i="179"/>
  <c r="GE244" i="179"/>
  <c r="AH248" i="179"/>
  <c r="FR244" i="179"/>
  <c r="FR237" i="179"/>
  <c r="V253" i="179"/>
  <c r="V247" i="179"/>
  <c r="BC237" i="179"/>
  <c r="BC244" i="179"/>
  <c r="BP244" i="179"/>
  <c r="CC244" i="179"/>
  <c r="CC237" i="179"/>
  <c r="DC244" i="179"/>
  <c r="DC237" i="179"/>
  <c r="DP237" i="179"/>
  <c r="FC244" i="179"/>
  <c r="FQ244" i="179"/>
  <c r="GQ237" i="179"/>
  <c r="GQ244" i="179"/>
  <c r="CF249" i="179"/>
  <c r="CS249" i="179"/>
  <c r="DF249" i="179"/>
  <c r="DU249" i="179"/>
  <c r="EI249" i="179"/>
  <c r="FL249" i="179"/>
  <c r="FZ249" i="179"/>
  <c r="GO249" i="179"/>
  <c r="BN237" i="179"/>
  <c r="DJ237" i="179"/>
  <c r="FF237" i="179"/>
  <c r="HC249" i="179"/>
  <c r="BT244" i="179"/>
  <c r="EN244" i="179"/>
  <c r="AH253" i="179"/>
  <c r="AH247" i="179"/>
  <c r="AH250" i="179" s="1"/>
  <c r="BE244" i="179"/>
  <c r="BE237" i="179"/>
  <c r="CE244" i="179"/>
  <c r="CE237" i="179"/>
  <c r="EE244" i="179"/>
  <c r="ES244" i="179"/>
  <c r="FS237" i="179"/>
  <c r="FS244" i="179"/>
  <c r="GF244" i="179"/>
  <c r="GS244" i="179"/>
  <c r="GS237" i="179"/>
  <c r="BH249" i="179"/>
  <c r="BU249" i="179"/>
  <c r="CH249" i="179"/>
  <c r="CU237" i="179"/>
  <c r="CU249" i="179"/>
  <c r="DI249" i="179"/>
  <c r="DW249" i="179"/>
  <c r="EZ249" i="179"/>
  <c r="FN249" i="179"/>
  <c r="GC249" i="179"/>
  <c r="GQ249" i="179"/>
  <c r="CF244" i="179"/>
  <c r="AN253" i="179"/>
  <c r="AN247" i="179"/>
  <c r="BS244" i="179"/>
  <c r="BS237" i="179"/>
  <c r="DS244" i="179"/>
  <c r="EG244" i="179"/>
  <c r="FG237" i="179"/>
  <c r="FG244" i="179"/>
  <c r="FT244" i="179"/>
  <c r="GG244" i="179"/>
  <c r="GG237" i="179"/>
  <c r="AV249" i="179"/>
  <c r="BI249" i="179"/>
  <c r="BV249" i="179"/>
  <c r="CI237" i="179"/>
  <c r="CI249" i="179"/>
  <c r="FA249" i="179"/>
  <c r="FO237" i="179"/>
  <c r="FO249" i="179"/>
  <c r="BZ237" i="179"/>
  <c r="DV237" i="179"/>
  <c r="CH244" i="179"/>
  <c r="FB244" i="179"/>
  <c r="BG244" i="179"/>
  <c r="BG237" i="179"/>
  <c r="DG244" i="179"/>
  <c r="EU237" i="179"/>
  <c r="EU244" i="179"/>
  <c r="FU244" i="179"/>
  <c r="FU237" i="179"/>
  <c r="GU244" i="179"/>
  <c r="GU237" i="179"/>
  <c r="AW249" i="179"/>
  <c r="BJ249" i="179"/>
  <c r="BW237" i="179"/>
  <c r="BW249" i="179"/>
  <c r="CW249" i="179"/>
  <c r="DK249" i="179"/>
  <c r="EN249" i="179"/>
  <c r="FB249" i="179"/>
  <c r="FQ249" i="179"/>
  <c r="GE249" i="179"/>
  <c r="FL244" i="179"/>
  <c r="AU244" i="179"/>
  <c r="AU237" i="179"/>
  <c r="EI237" i="179"/>
  <c r="EI244" i="179"/>
  <c r="FI244" i="179"/>
  <c r="FI237" i="179"/>
  <c r="GI244" i="179"/>
  <c r="GI237" i="179"/>
  <c r="AX249" i="179"/>
  <c r="BK237" i="179"/>
  <c r="BK249" i="179"/>
  <c r="CK249" i="179"/>
  <c r="EO249" i="179"/>
  <c r="FC237" i="179"/>
  <c r="FC249" i="179"/>
  <c r="CT244" i="179"/>
  <c r="FN244" i="179"/>
  <c r="DW237" i="179"/>
  <c r="DW244" i="179"/>
  <c r="EJ244" i="179"/>
  <c r="EW244" i="179"/>
  <c r="EW237" i="179"/>
  <c r="FW244" i="179"/>
  <c r="FW237" i="179"/>
  <c r="GJ237" i="179"/>
  <c r="AY237" i="179"/>
  <c r="AY249" i="179"/>
  <c r="BY249" i="179"/>
  <c r="CY249" i="179"/>
  <c r="EB249" i="179"/>
  <c r="EP249" i="179"/>
  <c r="FE249" i="179"/>
  <c r="FS249" i="179"/>
  <c r="GV249" i="179"/>
  <c r="CL237" i="179"/>
  <c r="EH237" i="179"/>
  <c r="FX244" i="179"/>
  <c r="DK237" i="179"/>
  <c r="DK244" i="179"/>
  <c r="DX244" i="179"/>
  <c r="EK244" i="179"/>
  <c r="EK237" i="179"/>
  <c r="FK244" i="179"/>
  <c r="FK237" i="179"/>
  <c r="U248" i="179"/>
  <c r="EG237" i="179"/>
  <c r="BM249" i="179"/>
  <c r="CM249" i="179"/>
  <c r="EC249" i="179"/>
  <c r="EQ237" i="179"/>
  <c r="EQ249" i="179"/>
  <c r="GW249" i="179"/>
  <c r="CN237" i="179"/>
  <c r="EJ237" i="179"/>
  <c r="FZ244" i="179"/>
  <c r="CY237" i="179"/>
  <c r="CY244" i="179"/>
  <c r="DL244" i="179"/>
  <c r="DY244" i="179"/>
  <c r="DY237" i="179"/>
  <c r="EY244" i="179"/>
  <c r="EY237" i="179"/>
  <c r="BA249" i="179"/>
  <c r="CA249" i="179"/>
  <c r="DP249" i="179"/>
  <c r="ED249" i="179"/>
  <c r="ES249" i="179"/>
  <c r="FG249" i="179"/>
  <c r="GJ249" i="179"/>
  <c r="GX249" i="179"/>
  <c r="AV244" i="179"/>
  <c r="GJ244" i="179"/>
  <c r="CM237" i="179"/>
  <c r="CM244" i="179"/>
  <c r="CZ244" i="179"/>
  <c r="DM244" i="179"/>
  <c r="DM237" i="179"/>
  <c r="EM244" i="179"/>
  <c r="EM237" i="179"/>
  <c r="EZ237" i="179"/>
  <c r="AB248" i="179"/>
  <c r="U249" i="179"/>
  <c r="BO249" i="179"/>
  <c r="DQ249" i="179"/>
  <c r="EE237" i="179"/>
  <c r="EE249" i="179"/>
  <c r="GK249" i="179"/>
  <c r="GY237" i="179"/>
  <c r="GY249" i="179"/>
  <c r="BB237" i="179"/>
  <c r="CX237" i="179"/>
  <c r="GP237" i="179"/>
  <c r="AX244" i="179"/>
  <c r="GL244" i="179"/>
  <c r="CA237" i="179"/>
  <c r="CA244" i="179"/>
  <c r="DA244" i="179"/>
  <c r="DA237" i="179"/>
  <c r="EA244" i="179"/>
  <c r="EA237" i="179"/>
  <c r="GA244" i="179"/>
  <c r="BC249" i="179"/>
  <c r="DD249" i="179"/>
  <c r="DR249" i="179"/>
  <c r="EG249" i="179"/>
  <c r="EU249" i="179"/>
  <c r="FX249" i="179"/>
  <c r="GL249" i="179"/>
  <c r="CZ237" i="179"/>
  <c r="HA249" i="179"/>
  <c r="BH244" i="179"/>
  <c r="EB244" i="179"/>
  <c r="GV244" i="179"/>
  <c r="BO237" i="179"/>
  <c r="BO244" i="179"/>
  <c r="CB244" i="179"/>
  <c r="CO244" i="179"/>
  <c r="CO237" i="179"/>
  <c r="DO244" i="179"/>
  <c r="DO237" i="179"/>
  <c r="AN248" i="179"/>
  <c r="AB249" i="179"/>
  <c r="CR249" i="179"/>
  <c r="DE249" i="179"/>
  <c r="DS237" i="179"/>
  <c r="DS249" i="179"/>
  <c r="FY249" i="179"/>
  <c r="GM237" i="179"/>
  <c r="GM249" i="179"/>
  <c r="BJ244" i="179"/>
  <c r="GX244" i="179"/>
  <c r="AW244" i="179"/>
  <c r="BI244" i="179"/>
  <c r="BU244" i="179"/>
  <c r="CG244" i="179"/>
  <c r="CS244" i="179"/>
  <c r="DE244" i="179"/>
  <c r="DQ244" i="179"/>
  <c r="EC244" i="179"/>
  <c r="EO244" i="179"/>
  <c r="FA244" i="179"/>
  <c r="FM244" i="179"/>
  <c r="FY244" i="179"/>
  <c r="GK244" i="179"/>
  <c r="GW244" i="179"/>
  <c r="GB222" i="180"/>
  <c r="DH222" i="180"/>
  <c r="AN222" i="180"/>
  <c r="FV222" i="180"/>
  <c r="DB222" i="180"/>
  <c r="AH222" i="180"/>
  <c r="FP222" i="180"/>
  <c r="CV222" i="180"/>
  <c r="AB222" i="180"/>
  <c r="FJ222" i="180"/>
  <c r="CP222" i="180"/>
  <c r="V222" i="180"/>
  <c r="FD222" i="180"/>
  <c r="CJ222" i="180"/>
  <c r="U222" i="180"/>
  <c r="EX222" i="180"/>
  <c r="CD222" i="180"/>
  <c r="ER222" i="180"/>
  <c r="BX222" i="180"/>
  <c r="EL222" i="180"/>
  <c r="BR222" i="180"/>
  <c r="GZ222" i="180"/>
  <c r="EF222" i="180"/>
  <c r="BL222" i="180"/>
  <c r="GT222" i="180"/>
  <c r="DZ222" i="180"/>
  <c r="BF222" i="180"/>
  <c r="GH222" i="180"/>
  <c r="DN222" i="180"/>
  <c r="AT222" i="180"/>
  <c r="GN222" i="180"/>
  <c r="DT222" i="180"/>
  <c r="AZ222" i="180"/>
  <c r="DN223" i="180"/>
  <c r="FV223" i="180"/>
  <c r="GV249" i="180"/>
  <c r="GJ249" i="180"/>
  <c r="FX249" i="180"/>
  <c r="FL249" i="180"/>
  <c r="EZ249" i="180"/>
  <c r="EN249" i="180"/>
  <c r="EB249" i="180"/>
  <c r="DP249" i="180"/>
  <c r="DD249" i="180"/>
  <c r="CR249" i="180"/>
  <c r="CF249" i="180"/>
  <c r="BT249" i="180"/>
  <c r="BH249" i="180"/>
  <c r="AV249" i="180"/>
  <c r="HE249" i="180"/>
  <c r="GS249" i="180"/>
  <c r="GG249" i="180"/>
  <c r="FU249" i="180"/>
  <c r="FI249" i="180"/>
  <c r="EW249" i="180"/>
  <c r="EK249" i="180"/>
  <c r="DY249" i="180"/>
  <c r="DM249" i="180"/>
  <c r="DA249" i="180"/>
  <c r="CO249" i="180"/>
  <c r="CC249" i="180"/>
  <c r="BQ249" i="180"/>
  <c r="BE249" i="180"/>
  <c r="AN249" i="180"/>
  <c r="HB249" i="180"/>
  <c r="CU249" i="180"/>
  <c r="CI249" i="180"/>
  <c r="BW249" i="180"/>
  <c r="GY249" i="180"/>
  <c r="BK249" i="180"/>
  <c r="GM249" i="180"/>
  <c r="AY249" i="180"/>
  <c r="GA249" i="180"/>
  <c r="FO249" i="180"/>
  <c r="FC249" i="180"/>
  <c r="EQ249" i="180"/>
  <c r="EE249" i="180"/>
  <c r="DG249" i="180"/>
  <c r="DS249" i="180"/>
  <c r="AB247" i="180"/>
  <c r="U249" i="180"/>
  <c r="BC249" i="180"/>
  <c r="CT249" i="180"/>
  <c r="DI249" i="180"/>
  <c r="DW249" i="180"/>
  <c r="FN249" i="180"/>
  <c r="GC249" i="180"/>
  <c r="GQ249" i="180"/>
  <c r="CL237" i="180"/>
  <c r="CL244" i="180"/>
  <c r="FF237" i="180"/>
  <c r="FF244" i="180"/>
  <c r="AN248" i="180"/>
  <c r="AH248" i="180"/>
  <c r="BB249" i="180"/>
  <c r="BP249" i="180"/>
  <c r="CE249" i="180"/>
  <c r="CS249" i="180"/>
  <c r="DV249" i="180"/>
  <c r="EJ249" i="180"/>
  <c r="EY249" i="180"/>
  <c r="FM249" i="180"/>
  <c r="GP249" i="180"/>
  <c r="HA249" i="180"/>
  <c r="V249" i="180"/>
  <c r="BD249" i="180"/>
  <c r="BS249" i="180"/>
  <c r="CG249" i="180"/>
  <c r="DJ249" i="180"/>
  <c r="DX249" i="180"/>
  <c r="EM249" i="180"/>
  <c r="FA249" i="180"/>
  <c r="GD249" i="180"/>
  <c r="GR249" i="180"/>
  <c r="HC249" i="180"/>
  <c r="DJ244" i="180"/>
  <c r="AB249" i="180"/>
  <c r="CH249" i="180"/>
  <c r="CW249" i="180"/>
  <c r="DK249" i="180"/>
  <c r="FB249" i="180"/>
  <c r="FQ249" i="180"/>
  <c r="GE249" i="180"/>
  <c r="HD249" i="180"/>
  <c r="DV244" i="180"/>
  <c r="AH249" i="180"/>
  <c r="BG249" i="180"/>
  <c r="BU249" i="180"/>
  <c r="CX249" i="180"/>
  <c r="DL249" i="180"/>
  <c r="EA249" i="180"/>
  <c r="EO249" i="180"/>
  <c r="FR249" i="180"/>
  <c r="GF249" i="180"/>
  <c r="GU249" i="180"/>
  <c r="EH244" i="180"/>
  <c r="CQ237" i="180"/>
  <c r="FK237" i="180"/>
  <c r="BV249" i="180"/>
  <c r="CK249" i="180"/>
  <c r="CY249" i="180"/>
  <c r="EP249" i="180"/>
  <c r="FE249" i="180"/>
  <c r="FS249" i="180"/>
  <c r="ET244" i="180"/>
  <c r="AU249" i="180"/>
  <c r="BI249" i="180"/>
  <c r="CL249" i="180"/>
  <c r="CZ249" i="180"/>
  <c r="DO249" i="180"/>
  <c r="EC249" i="180"/>
  <c r="FF249" i="180"/>
  <c r="FT249" i="180"/>
  <c r="GI249" i="180"/>
  <c r="GW249" i="180"/>
  <c r="CE237" i="180"/>
  <c r="EY237" i="180"/>
  <c r="BJ249" i="180"/>
  <c r="BY249" i="180"/>
  <c r="CM249" i="180"/>
  <c r="ED249" i="180"/>
  <c r="ES249" i="180"/>
  <c r="FG249" i="180"/>
  <c r="GX249" i="180"/>
  <c r="FR244" i="180"/>
  <c r="AW249" i="180"/>
  <c r="BZ249" i="180"/>
  <c r="CN249" i="180"/>
  <c r="DC249" i="180"/>
  <c r="DQ249" i="180"/>
  <c r="ET249" i="180"/>
  <c r="FH249" i="180"/>
  <c r="FW249" i="180"/>
  <c r="GK249" i="180"/>
  <c r="GD244" i="180"/>
  <c r="V253" i="180"/>
  <c r="V247" i="180"/>
  <c r="U248" i="180"/>
  <c r="AX249" i="180"/>
  <c r="BM249" i="180"/>
  <c r="CA249" i="180"/>
  <c r="DR249" i="180"/>
  <c r="EG249" i="180"/>
  <c r="EU249" i="180"/>
  <c r="GL249" i="180"/>
  <c r="BB244" i="180"/>
  <c r="GP244" i="180"/>
  <c r="V248" i="180"/>
  <c r="BN249" i="180"/>
  <c r="CB249" i="180"/>
  <c r="CQ249" i="180"/>
  <c r="DE249" i="180"/>
  <c r="EH249" i="180"/>
  <c r="EV249" i="180"/>
  <c r="FK249" i="180"/>
  <c r="FY249" i="180"/>
  <c r="AH247" i="180"/>
  <c r="AB248" i="180"/>
  <c r="BA249" i="180"/>
  <c r="BO249" i="180"/>
  <c r="DF249" i="180"/>
  <c r="DU249" i="180"/>
  <c r="EI249" i="180"/>
  <c r="FZ249" i="180"/>
  <c r="GO249" i="180"/>
  <c r="BZ244" i="180"/>
  <c r="AW237" i="180"/>
  <c r="BI237" i="180"/>
  <c r="BU237" i="180"/>
  <c r="CG237" i="180"/>
  <c r="CS237" i="180"/>
  <c r="DE237" i="180"/>
  <c r="DQ237" i="180"/>
  <c r="EC237" i="180"/>
  <c r="EO237" i="180"/>
  <c r="FA237" i="180"/>
  <c r="FM237" i="180"/>
  <c r="FY237" i="180"/>
  <c r="GK237" i="180"/>
  <c r="GW237" i="180"/>
  <c r="BA244" i="180"/>
  <c r="BM244" i="180"/>
  <c r="BY244" i="180"/>
  <c r="CK244" i="180"/>
  <c r="CW244" i="180"/>
  <c r="DI244" i="180"/>
  <c r="DU244" i="180"/>
  <c r="EG244" i="180"/>
  <c r="ES244" i="180"/>
  <c r="FE244" i="180"/>
  <c r="FQ244" i="180"/>
  <c r="GC244" i="180"/>
  <c r="GO244" i="180"/>
  <c r="AB253" i="180"/>
  <c r="GY249" i="181"/>
  <c r="GM249" i="181"/>
  <c r="GA249" i="181"/>
  <c r="FO249" i="181"/>
  <c r="FC249" i="181"/>
  <c r="EQ249" i="181"/>
  <c r="EE249" i="181"/>
  <c r="DS249" i="181"/>
  <c r="DG249" i="181"/>
  <c r="CU249" i="181"/>
  <c r="CI249" i="181"/>
  <c r="BW249" i="181"/>
  <c r="BK249" i="181"/>
  <c r="AY249" i="181"/>
  <c r="HE249" i="181"/>
  <c r="ET249" i="181"/>
  <c r="BZ249" i="181"/>
  <c r="HD249" i="181"/>
  <c r="EJ249" i="181"/>
  <c r="BP249" i="181"/>
  <c r="HB249" i="181"/>
  <c r="EH249" i="181"/>
  <c r="BN249" i="181"/>
  <c r="GR249" i="181"/>
  <c r="DX249" i="181"/>
  <c r="BD249" i="181"/>
  <c r="GP249" i="181"/>
  <c r="DV249" i="181"/>
  <c r="BB249" i="181"/>
  <c r="GF249" i="181"/>
  <c r="DL249" i="181"/>
  <c r="AH249" i="181"/>
  <c r="GD249" i="181"/>
  <c r="DJ249" i="181"/>
  <c r="V249" i="181"/>
  <c r="FT249" i="181"/>
  <c r="CZ249" i="181"/>
  <c r="FR249" i="181"/>
  <c r="CX249" i="181"/>
  <c r="FH249" i="181"/>
  <c r="CN249" i="181"/>
  <c r="EV249" i="181"/>
  <c r="CB249" i="181"/>
  <c r="FF249" i="181"/>
  <c r="CL249" i="181"/>
  <c r="AY237" i="180"/>
  <c r="BK237" i="180"/>
  <c r="BW237" i="180"/>
  <c r="CI237" i="180"/>
  <c r="CU237" i="180"/>
  <c r="DG237" i="180"/>
  <c r="DS237" i="180"/>
  <c r="EE237" i="180"/>
  <c r="EQ237" i="180"/>
  <c r="FC237" i="180"/>
  <c r="FO237" i="180"/>
  <c r="GA237" i="180"/>
  <c r="GM237" i="180"/>
  <c r="GY237" i="180"/>
  <c r="BC244" i="180"/>
  <c r="BO244" i="180"/>
  <c r="CA244" i="180"/>
  <c r="CM244" i="180"/>
  <c r="CY244" i="180"/>
  <c r="DK244" i="180"/>
  <c r="DW244" i="180"/>
  <c r="EI244" i="180"/>
  <c r="EU244" i="180"/>
  <c r="FG244" i="180"/>
  <c r="FS244" i="180"/>
  <c r="GE244" i="180"/>
  <c r="GQ244" i="180"/>
  <c r="BE244" i="180"/>
  <c r="BQ244" i="180"/>
  <c r="CC244" i="180"/>
  <c r="CO244" i="180"/>
  <c r="DA244" i="180"/>
  <c r="DM244" i="180"/>
  <c r="DY244" i="180"/>
  <c r="EK244" i="180"/>
  <c r="EW244" i="180"/>
  <c r="FI244" i="180"/>
  <c r="FU244" i="180"/>
  <c r="GG244" i="180"/>
  <c r="GS244" i="180"/>
  <c r="AU244" i="180"/>
  <c r="BG244" i="180"/>
  <c r="BS244" i="180"/>
  <c r="CE244" i="180"/>
  <c r="CQ244" i="180"/>
  <c r="DC244" i="180"/>
  <c r="DO244" i="180"/>
  <c r="EA244" i="180"/>
  <c r="EM244" i="180"/>
  <c r="EY244" i="180"/>
  <c r="FK244" i="180"/>
  <c r="FW244" i="180"/>
  <c r="GI244" i="180"/>
  <c r="GU244" i="180"/>
  <c r="AV244" i="180"/>
  <c r="BH244" i="180"/>
  <c r="BT244" i="180"/>
  <c r="CF244" i="180"/>
  <c r="CR244" i="180"/>
  <c r="DD244" i="180"/>
  <c r="DP244" i="180"/>
  <c r="EB244" i="180"/>
  <c r="EN244" i="180"/>
  <c r="EZ244" i="180"/>
  <c r="FL244" i="180"/>
  <c r="FX244" i="180"/>
  <c r="GJ244" i="180"/>
  <c r="GV244" i="180"/>
  <c r="FJ222" i="181"/>
  <c r="ER222" i="181"/>
  <c r="BX222" i="181"/>
  <c r="GB222" i="181"/>
  <c r="CV222" i="181"/>
  <c r="V222" i="181"/>
  <c r="FV222" i="181"/>
  <c r="CP222" i="181"/>
  <c r="U222" i="181"/>
  <c r="FP222" i="181"/>
  <c r="CJ222" i="181"/>
  <c r="FD222" i="181"/>
  <c r="CD222" i="181"/>
  <c r="EX222" i="181"/>
  <c r="BR222" i="181"/>
  <c r="EL222" i="181"/>
  <c r="BL222" i="181"/>
  <c r="EF222" i="181"/>
  <c r="BF222" i="181"/>
  <c r="DZ222" i="181"/>
  <c r="AZ222" i="181"/>
  <c r="GZ222" i="181"/>
  <c r="DT222" i="181"/>
  <c r="AT222" i="181"/>
  <c r="GT222" i="181"/>
  <c r="DN222" i="181"/>
  <c r="AN222" i="181"/>
  <c r="GN222" i="181"/>
  <c r="GH222" i="181"/>
  <c r="DH222" i="181"/>
  <c r="DB222" i="181"/>
  <c r="AB222" i="181"/>
  <c r="AH222" i="181"/>
  <c r="U247" i="180"/>
  <c r="DU244" i="181"/>
  <c r="DU237" i="181"/>
  <c r="CT237" i="181"/>
  <c r="CT244" i="181"/>
  <c r="ET244" i="181"/>
  <c r="ET237" i="181"/>
  <c r="FH244" i="181"/>
  <c r="FH237" i="181"/>
  <c r="CE249" i="181"/>
  <c r="EG244" i="181"/>
  <c r="EG237" i="181"/>
  <c r="EU244" i="181"/>
  <c r="EU237" i="181"/>
  <c r="BQ249" i="181"/>
  <c r="DG237" i="181"/>
  <c r="DG244" i="181"/>
  <c r="EH244" i="181"/>
  <c r="EH237" i="181"/>
  <c r="AB249" i="181"/>
  <c r="GE249" i="181"/>
  <c r="BM237" i="181"/>
  <c r="FG244" i="181"/>
  <c r="FG237" i="181"/>
  <c r="FU237" i="181"/>
  <c r="FU244" i="181"/>
  <c r="CU237" i="181"/>
  <c r="CU244" i="181"/>
  <c r="BT237" i="181"/>
  <c r="BT244" i="181"/>
  <c r="CH237" i="181"/>
  <c r="CH244" i="181"/>
  <c r="FE249" i="181"/>
  <c r="BG237" i="181"/>
  <c r="BG244" i="181"/>
  <c r="AN253" i="181"/>
  <c r="AN247" i="181"/>
  <c r="BH237" i="181"/>
  <c r="BH244" i="181"/>
  <c r="U248" i="181"/>
  <c r="AU237" i="181"/>
  <c r="AU244" i="181"/>
  <c r="GU237" i="181"/>
  <c r="GU244" i="181"/>
  <c r="V248" i="181"/>
  <c r="DR249" i="181"/>
  <c r="HC249" i="181"/>
  <c r="FE237" i="181"/>
  <c r="GG237" i="181"/>
  <c r="GG244" i="181"/>
  <c r="GV237" i="181"/>
  <c r="GV244" i="181"/>
  <c r="DE249" i="181"/>
  <c r="FT244" i="181"/>
  <c r="FT237" i="181"/>
  <c r="GI237" i="181"/>
  <c r="GI244" i="181"/>
  <c r="CR249" i="181"/>
  <c r="BC249" i="181"/>
  <c r="CC249" i="181"/>
  <c r="CQ249" i="181"/>
  <c r="DD249" i="181"/>
  <c r="DQ249" i="181"/>
  <c r="ED249" i="181"/>
  <c r="FQ249" i="181"/>
  <c r="GQ249" i="181"/>
  <c r="AV237" i="181"/>
  <c r="AV244" i="181"/>
  <c r="BV237" i="181"/>
  <c r="BV244" i="181"/>
  <c r="CI237" i="181"/>
  <c r="CI244" i="181"/>
  <c r="DI244" i="181"/>
  <c r="DV244" i="181"/>
  <c r="DV237" i="181"/>
  <c r="EV244" i="181"/>
  <c r="EV237" i="181"/>
  <c r="FI237" i="181"/>
  <c r="GJ237" i="181"/>
  <c r="GJ244" i="181"/>
  <c r="AB248" i="181"/>
  <c r="BE249" i="181"/>
  <c r="BS249" i="181"/>
  <c r="CF249" i="181"/>
  <c r="CS249" i="181"/>
  <c r="DF249" i="181"/>
  <c r="ES249" i="181"/>
  <c r="FS249" i="181"/>
  <c r="GS249" i="181"/>
  <c r="DK237" i="181"/>
  <c r="GE237" i="181"/>
  <c r="BS244" i="181"/>
  <c r="EM244" i="181"/>
  <c r="BJ237" i="181"/>
  <c r="BJ244" i="181"/>
  <c r="BW237" i="181"/>
  <c r="BW244" i="181"/>
  <c r="CW244" i="181"/>
  <c r="DJ244" i="181"/>
  <c r="DJ237" i="181"/>
  <c r="EJ244" i="181"/>
  <c r="EJ237" i="181"/>
  <c r="FX237" i="181"/>
  <c r="FX244" i="181"/>
  <c r="GX237" i="181"/>
  <c r="GX244" i="181"/>
  <c r="AH248" i="181"/>
  <c r="AN249" i="181"/>
  <c r="BG249" i="181"/>
  <c r="BT249" i="181"/>
  <c r="CG249" i="181"/>
  <c r="CT249" i="181"/>
  <c r="EG249" i="181"/>
  <c r="FG249" i="181"/>
  <c r="GG249" i="181"/>
  <c r="GU249" i="181"/>
  <c r="EW244" i="181"/>
  <c r="AX237" i="181"/>
  <c r="AX244" i="181"/>
  <c r="BK237" i="181"/>
  <c r="BK244" i="181"/>
  <c r="CK244" i="181"/>
  <c r="CX244" i="181"/>
  <c r="CX237" i="181"/>
  <c r="DX244" i="181"/>
  <c r="DX237" i="181"/>
  <c r="FL237" i="181"/>
  <c r="FL244" i="181"/>
  <c r="GL237" i="181"/>
  <c r="GL244" i="181"/>
  <c r="GY237" i="181"/>
  <c r="GY244" i="181"/>
  <c r="AN248" i="181"/>
  <c r="AU249" i="181"/>
  <c r="BH249" i="181"/>
  <c r="BU249" i="181"/>
  <c r="CH249" i="181"/>
  <c r="DU249" i="181"/>
  <c r="EU249" i="181"/>
  <c r="FU249" i="181"/>
  <c r="GI249" i="181"/>
  <c r="GV249" i="181"/>
  <c r="BC237" i="181"/>
  <c r="DW237" i="181"/>
  <c r="GQ237" i="181"/>
  <c r="CE244" i="181"/>
  <c r="EY244" i="181"/>
  <c r="AY237" i="181"/>
  <c r="AY244" i="181"/>
  <c r="BY244" i="181"/>
  <c r="CL244" i="181"/>
  <c r="CL237" i="181"/>
  <c r="CY244" i="181"/>
  <c r="DL244" i="181"/>
  <c r="DL237" i="181"/>
  <c r="DY237" i="181"/>
  <c r="EZ237" i="181"/>
  <c r="EZ244" i="181"/>
  <c r="FZ237" i="181"/>
  <c r="FZ244" i="181"/>
  <c r="GM237" i="181"/>
  <c r="GM244" i="181"/>
  <c r="AV249" i="181"/>
  <c r="BI249" i="181"/>
  <c r="BV249" i="181"/>
  <c r="DI249" i="181"/>
  <c r="EI249" i="181"/>
  <c r="FI249" i="181"/>
  <c r="FW249" i="181"/>
  <c r="GJ249" i="181"/>
  <c r="GW249" i="181"/>
  <c r="FI244" i="181"/>
  <c r="BM244" i="181"/>
  <c r="BZ244" i="181"/>
  <c r="BZ237" i="181"/>
  <c r="CZ244" i="181"/>
  <c r="CZ237" i="181"/>
  <c r="DM237" i="181"/>
  <c r="EN237" i="181"/>
  <c r="EN244" i="181"/>
  <c r="FN237" i="181"/>
  <c r="FN244" i="181"/>
  <c r="GA237" i="181"/>
  <c r="GA244" i="181"/>
  <c r="AW249" i="181"/>
  <c r="BJ249" i="181"/>
  <c r="CW249" i="181"/>
  <c r="DW249" i="181"/>
  <c r="EW249" i="181"/>
  <c r="FK249" i="181"/>
  <c r="FX249" i="181"/>
  <c r="GK249" i="181"/>
  <c r="GX249" i="181"/>
  <c r="BO237" i="181"/>
  <c r="EI237" i="181"/>
  <c r="CQ244" i="181"/>
  <c r="FK244" i="181"/>
  <c r="FV223" i="182"/>
  <c r="DN223" i="182"/>
  <c r="HA44" i="182"/>
  <c r="GZ223" i="182" s="1"/>
  <c r="ER223" i="182"/>
  <c r="BA244" i="181"/>
  <c r="BN244" i="181"/>
  <c r="BN237" i="181"/>
  <c r="CN244" i="181"/>
  <c r="CN237" i="181"/>
  <c r="DA237" i="181"/>
  <c r="EB237" i="181"/>
  <c r="EB244" i="181"/>
  <c r="FB237" i="181"/>
  <c r="FB244" i="181"/>
  <c r="FO237" i="181"/>
  <c r="FO244" i="181"/>
  <c r="GO244" i="181"/>
  <c r="AX249" i="181"/>
  <c r="CK249" i="181"/>
  <c r="DK249" i="181"/>
  <c r="EK249" i="181"/>
  <c r="EY249" i="181"/>
  <c r="FL249" i="181"/>
  <c r="FY249" i="181"/>
  <c r="GL249" i="181"/>
  <c r="BY237" i="181"/>
  <c r="DA244" i="181"/>
  <c r="U253" i="181"/>
  <c r="U247" i="181"/>
  <c r="BB244" i="181"/>
  <c r="BB237" i="181"/>
  <c r="CB244" i="181"/>
  <c r="CB237" i="181"/>
  <c r="CO237" i="181"/>
  <c r="DP237" i="181"/>
  <c r="DP244" i="181"/>
  <c r="EP237" i="181"/>
  <c r="EP244" i="181"/>
  <c r="FC237" i="181"/>
  <c r="FC244" i="181"/>
  <c r="GC244" i="181"/>
  <c r="GP244" i="181"/>
  <c r="GP237" i="181"/>
  <c r="BY249" i="181"/>
  <c r="CY249" i="181"/>
  <c r="DY249" i="181"/>
  <c r="EM249" i="181"/>
  <c r="EZ249" i="181"/>
  <c r="FM249" i="181"/>
  <c r="FZ249" i="181"/>
  <c r="CA237" i="181"/>
  <c r="DC244" i="181"/>
  <c r="FW244" i="181"/>
  <c r="V253" i="181"/>
  <c r="V247" i="181"/>
  <c r="BP244" i="181"/>
  <c r="BP237" i="181"/>
  <c r="CC237" i="181"/>
  <c r="DD237" i="181"/>
  <c r="DD244" i="181"/>
  <c r="DQ237" i="181"/>
  <c r="ED237" i="181"/>
  <c r="ED244" i="181"/>
  <c r="EQ237" i="181"/>
  <c r="EQ244" i="181"/>
  <c r="FQ244" i="181"/>
  <c r="GD244" i="181"/>
  <c r="GD237" i="181"/>
  <c r="BM249" i="181"/>
  <c r="CM249" i="181"/>
  <c r="DM249" i="181"/>
  <c r="EA249" i="181"/>
  <c r="EN249" i="181"/>
  <c r="FA249" i="181"/>
  <c r="FN249" i="181"/>
  <c r="CK237" i="181"/>
  <c r="DM244" i="181"/>
  <c r="AB253" i="181"/>
  <c r="AB247" i="181"/>
  <c r="BD244" i="181"/>
  <c r="BD237" i="181"/>
  <c r="CR237" i="181"/>
  <c r="CR244" i="181"/>
  <c r="DE237" i="181"/>
  <c r="DR237" i="181"/>
  <c r="DR244" i="181"/>
  <c r="EE237" i="181"/>
  <c r="EE244" i="181"/>
  <c r="FE244" i="181"/>
  <c r="FR244" i="181"/>
  <c r="FR237" i="181"/>
  <c r="GR244" i="181"/>
  <c r="GR237" i="181"/>
  <c r="BA249" i="181"/>
  <c r="CA249" i="181"/>
  <c r="DA249" i="181"/>
  <c r="DO249" i="181"/>
  <c r="EB249" i="181"/>
  <c r="EO249" i="181"/>
  <c r="FB249" i="181"/>
  <c r="GO249" i="181"/>
  <c r="CM237" i="181"/>
  <c r="DO244" i="181"/>
  <c r="AH253" i="181"/>
  <c r="AH247" i="181"/>
  <c r="AH250" i="181" s="1"/>
  <c r="CF237" i="181"/>
  <c r="CF244" i="181"/>
  <c r="DF237" i="181"/>
  <c r="DF244" i="181"/>
  <c r="DS237" i="181"/>
  <c r="DS244" i="181"/>
  <c r="ES244" i="181"/>
  <c r="FF244" i="181"/>
  <c r="FF237" i="181"/>
  <c r="GF244" i="181"/>
  <c r="GF237" i="181"/>
  <c r="GS237" i="181"/>
  <c r="U249" i="181"/>
  <c r="BO249" i="181"/>
  <c r="CO249" i="181"/>
  <c r="DC249" i="181"/>
  <c r="DP249" i="181"/>
  <c r="EC249" i="181"/>
  <c r="EP249" i="181"/>
  <c r="GC249" i="181"/>
  <c r="CW237" i="181"/>
  <c r="FQ237" i="181"/>
  <c r="HA249" i="181"/>
  <c r="BE244" i="181"/>
  <c r="DY244" i="181"/>
  <c r="GS244" i="181"/>
  <c r="AW244" i="181"/>
  <c r="BI244" i="181"/>
  <c r="BU244" i="181"/>
  <c r="CG244" i="181"/>
  <c r="CS244" i="181"/>
  <c r="DE244" i="181"/>
  <c r="DQ244" i="181"/>
  <c r="EC244" i="181"/>
  <c r="EO244" i="181"/>
  <c r="FA244" i="181"/>
  <c r="FM244" i="181"/>
  <c r="FY244" i="181"/>
  <c r="GK244" i="181"/>
  <c r="GW244" i="181"/>
  <c r="EX222" i="182"/>
  <c r="FJ222" i="182"/>
  <c r="CJ222" i="182"/>
  <c r="U222" i="182"/>
  <c r="FD222" i="182"/>
  <c r="CD222" i="182"/>
  <c r="EL222" i="182"/>
  <c r="BR222" i="182"/>
  <c r="EF222" i="182"/>
  <c r="BL222" i="182"/>
  <c r="GZ222" i="182"/>
  <c r="DZ222" i="182"/>
  <c r="BF222" i="182"/>
  <c r="GT222" i="182"/>
  <c r="DT222" i="182"/>
  <c r="AZ222" i="182"/>
  <c r="GN222" i="182"/>
  <c r="DN222" i="182"/>
  <c r="AT222" i="182"/>
  <c r="GH222" i="182"/>
  <c r="DH222" i="182"/>
  <c r="AN222" i="182"/>
  <c r="GB222" i="182"/>
  <c r="DB222" i="182"/>
  <c r="AH222" i="182"/>
  <c r="FP222" i="182"/>
  <c r="CP222" i="182"/>
  <c r="V222" i="182"/>
  <c r="CV222" i="182"/>
  <c r="BX222" i="182"/>
  <c r="AB222" i="182"/>
  <c r="ER222" i="182"/>
  <c r="FV222" i="182"/>
  <c r="V248" i="182"/>
  <c r="FI249" i="182"/>
  <c r="CO249" i="182"/>
  <c r="HE249" i="182"/>
  <c r="EK249" i="182"/>
  <c r="BQ249" i="182"/>
  <c r="GS249" i="182"/>
  <c r="DY249" i="182"/>
  <c r="BE249" i="182"/>
  <c r="GG249" i="182"/>
  <c r="DM249" i="182"/>
  <c r="AN249" i="182"/>
  <c r="EW249" i="182"/>
  <c r="DA249" i="182"/>
  <c r="CC249" i="182"/>
  <c r="FU249" i="182"/>
  <c r="V253" i="182"/>
  <c r="V247" i="182"/>
  <c r="AB248" i="182"/>
  <c r="DY244" i="182"/>
  <c r="DY237" i="182"/>
  <c r="EN237" i="182"/>
  <c r="EN244" i="182"/>
  <c r="GE237" i="182"/>
  <c r="GE244" i="182"/>
  <c r="GS244" i="182"/>
  <c r="GS237" i="182"/>
  <c r="CY237" i="182"/>
  <c r="CY244" i="182"/>
  <c r="CL237" i="182"/>
  <c r="CL244" i="182"/>
  <c r="HA249" i="182"/>
  <c r="BZ237" i="182"/>
  <c r="BZ244" i="182"/>
  <c r="AY249" i="182"/>
  <c r="BN249" i="182"/>
  <c r="CB249" i="182"/>
  <c r="CQ249" i="182"/>
  <c r="DE249" i="182"/>
  <c r="DS249" i="182"/>
  <c r="EH249" i="182"/>
  <c r="EV249" i="182"/>
  <c r="FK249" i="182"/>
  <c r="FY249" i="182"/>
  <c r="GM249" i="182"/>
  <c r="BN237" i="182"/>
  <c r="BN244" i="182"/>
  <c r="BB237" i="182"/>
  <c r="BB244" i="182"/>
  <c r="DU237" i="182"/>
  <c r="DU244" i="182"/>
  <c r="EI237" i="182"/>
  <c r="EI244" i="182"/>
  <c r="FL237" i="182"/>
  <c r="FL244" i="182"/>
  <c r="V249" i="182"/>
  <c r="BD249" i="182"/>
  <c r="BS249" i="182"/>
  <c r="CG249" i="182"/>
  <c r="CU249" i="182"/>
  <c r="DJ249" i="182"/>
  <c r="DX249" i="182"/>
  <c r="EM249" i="182"/>
  <c r="FA249" i="182"/>
  <c r="FO249" i="182"/>
  <c r="GD249" i="182"/>
  <c r="GR249" i="182"/>
  <c r="U253" i="182"/>
  <c r="U247" i="182"/>
  <c r="BA237" i="182"/>
  <c r="BA244" i="182"/>
  <c r="BM237" i="182"/>
  <c r="BM244" i="182"/>
  <c r="BY237" i="182"/>
  <c r="BY244" i="182"/>
  <c r="CK237" i="182"/>
  <c r="CK244" i="182"/>
  <c r="CX237" i="182"/>
  <c r="CX244" i="182"/>
  <c r="DK237" i="182"/>
  <c r="DK244" i="182"/>
  <c r="EM244" i="182"/>
  <c r="GD237" i="182"/>
  <c r="U249" i="182"/>
  <c r="BC249" i="182"/>
  <c r="CF249" i="182"/>
  <c r="CT249" i="182"/>
  <c r="DI249" i="182"/>
  <c r="DW249" i="182"/>
  <c r="EZ249" i="182"/>
  <c r="FN249" i="182"/>
  <c r="GC249" i="182"/>
  <c r="GQ249" i="182"/>
  <c r="HD249" i="182"/>
  <c r="BU244" i="182"/>
  <c r="EO244" i="182"/>
  <c r="AB253" i="182"/>
  <c r="AB247" i="182"/>
  <c r="BC237" i="182"/>
  <c r="BC244" i="182"/>
  <c r="BO237" i="182"/>
  <c r="BO244" i="182"/>
  <c r="CA237" i="182"/>
  <c r="CA244" i="182"/>
  <c r="CM237" i="182"/>
  <c r="CM244" i="182"/>
  <c r="EA244" i="182"/>
  <c r="GU244" i="182"/>
  <c r="AH248" i="182"/>
  <c r="AB249" i="182"/>
  <c r="BT249" i="182"/>
  <c r="CH249" i="182"/>
  <c r="CW249" i="182"/>
  <c r="DK249" i="182"/>
  <c r="EN249" i="182"/>
  <c r="FB249" i="182"/>
  <c r="FQ249" i="182"/>
  <c r="GE249" i="182"/>
  <c r="CG244" i="182"/>
  <c r="FA244" i="182"/>
  <c r="AH253" i="182"/>
  <c r="AH247" i="182"/>
  <c r="FE237" i="182"/>
  <c r="FS237" i="182"/>
  <c r="FS244" i="182"/>
  <c r="AN248" i="182"/>
  <c r="AH249" i="182"/>
  <c r="BG249" i="182"/>
  <c r="BU249" i="182"/>
  <c r="CI249" i="182"/>
  <c r="CX249" i="182"/>
  <c r="DL249" i="182"/>
  <c r="EA249" i="182"/>
  <c r="EO249" i="182"/>
  <c r="FC249" i="182"/>
  <c r="FR249" i="182"/>
  <c r="GF249" i="182"/>
  <c r="GU249" i="182"/>
  <c r="DM237" i="182"/>
  <c r="GG237" i="182"/>
  <c r="CR244" i="182"/>
  <c r="AN253" i="182"/>
  <c r="AN247" i="182"/>
  <c r="AN250" i="182" s="1"/>
  <c r="BH249" i="182"/>
  <c r="BV249" i="182"/>
  <c r="CK249" i="182"/>
  <c r="CY249" i="182"/>
  <c r="EB249" i="182"/>
  <c r="EP249" i="182"/>
  <c r="FE249" i="182"/>
  <c r="FS249" i="182"/>
  <c r="GV249" i="182"/>
  <c r="BD237" i="182"/>
  <c r="CS244" i="182"/>
  <c r="FM244" i="182"/>
  <c r="CQ244" i="182"/>
  <c r="FG237" i="182"/>
  <c r="FG244" i="182"/>
  <c r="AU249" i="182"/>
  <c r="BI249" i="182"/>
  <c r="BW249" i="182"/>
  <c r="CL249" i="182"/>
  <c r="CZ249" i="182"/>
  <c r="DO249" i="182"/>
  <c r="EC249" i="182"/>
  <c r="EQ249" i="182"/>
  <c r="FF249" i="182"/>
  <c r="FT249" i="182"/>
  <c r="GI249" i="182"/>
  <c r="GW249" i="182"/>
  <c r="BE237" i="182"/>
  <c r="DD244" i="182"/>
  <c r="FX244" i="182"/>
  <c r="AV249" i="182"/>
  <c r="BJ249" i="182"/>
  <c r="BY249" i="182"/>
  <c r="CM249" i="182"/>
  <c r="DP249" i="182"/>
  <c r="ED249" i="182"/>
  <c r="ES249" i="182"/>
  <c r="FG249" i="182"/>
  <c r="GJ249" i="182"/>
  <c r="GX249" i="182"/>
  <c r="DE244" i="182"/>
  <c r="FY244" i="182"/>
  <c r="EG237" i="182"/>
  <c r="EU237" i="182"/>
  <c r="EU244" i="182"/>
  <c r="AW249" i="182"/>
  <c r="BK249" i="182"/>
  <c r="BZ249" i="182"/>
  <c r="CN249" i="182"/>
  <c r="DC249" i="182"/>
  <c r="DQ249" i="182"/>
  <c r="EE249" i="182"/>
  <c r="ET249" i="182"/>
  <c r="FH249" i="182"/>
  <c r="FW249" i="182"/>
  <c r="GK249" i="182"/>
  <c r="GY249" i="182"/>
  <c r="BQ237" i="182"/>
  <c r="AV244" i="182"/>
  <c r="DP244" i="182"/>
  <c r="GJ244" i="182"/>
  <c r="EH237" i="182"/>
  <c r="AX249" i="182"/>
  <c r="BM249" i="182"/>
  <c r="CA249" i="182"/>
  <c r="DD249" i="182"/>
  <c r="DR249" i="182"/>
  <c r="EG249" i="182"/>
  <c r="EU249" i="182"/>
  <c r="FX249" i="182"/>
  <c r="GL249" i="182"/>
  <c r="AW244" i="182"/>
  <c r="DQ244" i="182"/>
  <c r="GK244" i="182"/>
  <c r="DI237" i="182"/>
  <c r="DI244" i="182"/>
  <c r="BA249" i="182"/>
  <c r="BO249" i="182"/>
  <c r="CR249" i="182"/>
  <c r="DF249" i="182"/>
  <c r="DU249" i="182"/>
  <c r="EI249" i="182"/>
  <c r="FL249" i="182"/>
  <c r="FZ249" i="182"/>
  <c r="GO249" i="182"/>
  <c r="HB249" i="182"/>
  <c r="BI244" i="182"/>
  <c r="EC244" i="182"/>
  <c r="GW244" i="182"/>
  <c r="GN222" i="183"/>
  <c r="DT222" i="183"/>
  <c r="AZ222" i="183"/>
  <c r="GB222" i="183"/>
  <c r="DH222" i="183"/>
  <c r="AN222" i="183"/>
  <c r="FV222" i="183"/>
  <c r="DB222" i="183"/>
  <c r="AH222" i="183"/>
  <c r="ER222" i="183"/>
  <c r="BX222" i="183"/>
  <c r="EL222" i="183"/>
  <c r="BR222" i="183"/>
  <c r="GZ222" i="183"/>
  <c r="EF222" i="183"/>
  <c r="GT222" i="183"/>
  <c r="DZ222" i="183"/>
  <c r="BF222" i="183"/>
  <c r="CV222" i="183"/>
  <c r="FJ222" i="183"/>
  <c r="U222" i="183"/>
  <c r="FD222" i="183"/>
  <c r="DN222" i="183"/>
  <c r="AT222" i="183"/>
  <c r="AB222" i="183"/>
  <c r="V222" i="183"/>
  <c r="CP222" i="183"/>
  <c r="CJ222" i="183"/>
  <c r="CD222" i="183"/>
  <c r="BL222" i="183"/>
  <c r="FP222" i="183"/>
  <c r="EX222" i="183"/>
  <c r="GH222" i="183"/>
  <c r="CW237" i="182"/>
  <c r="CW244" i="182"/>
  <c r="DJ237" i="182"/>
  <c r="DJ244" i="182"/>
  <c r="DW237" i="182"/>
  <c r="DW244" i="182"/>
  <c r="GC237" i="182"/>
  <c r="GQ237" i="182"/>
  <c r="GQ244" i="182"/>
  <c r="U248" i="182"/>
  <c r="BB249" i="182"/>
  <c r="BP249" i="182"/>
  <c r="CE249" i="182"/>
  <c r="CS249" i="182"/>
  <c r="DG249" i="182"/>
  <c r="DV249" i="182"/>
  <c r="EJ249" i="182"/>
  <c r="EY249" i="182"/>
  <c r="FM249" i="182"/>
  <c r="GA249" i="182"/>
  <c r="GP249" i="182"/>
  <c r="CO237" i="182"/>
  <c r="FI237" i="182"/>
  <c r="HC249" i="182"/>
  <c r="BT244" i="182"/>
  <c r="AX244" i="182"/>
  <c r="BJ244" i="182"/>
  <c r="BV244" i="182"/>
  <c r="CH244" i="182"/>
  <c r="CT244" i="182"/>
  <c r="DF244" i="182"/>
  <c r="DR244" i="182"/>
  <c r="ED244" i="182"/>
  <c r="EP244" i="182"/>
  <c r="FB244" i="182"/>
  <c r="FN244" i="182"/>
  <c r="FZ244" i="182"/>
  <c r="GL244" i="182"/>
  <c r="GX244" i="182"/>
  <c r="AU237" i="182"/>
  <c r="BG237" i="182"/>
  <c r="BS237" i="182"/>
  <c r="CE237" i="182"/>
  <c r="CQ237" i="182"/>
  <c r="DC237" i="182"/>
  <c r="DO237" i="182"/>
  <c r="EA237" i="182"/>
  <c r="EM237" i="182"/>
  <c r="EY237" i="182"/>
  <c r="FK237" i="182"/>
  <c r="FW237" i="182"/>
  <c r="GI237" i="182"/>
  <c r="GU237" i="182"/>
  <c r="AY244" i="182"/>
  <c r="BK244" i="182"/>
  <c r="BW244" i="182"/>
  <c r="CI244" i="182"/>
  <c r="CU244" i="182"/>
  <c r="DG244" i="182"/>
  <c r="DS244" i="182"/>
  <c r="EE244" i="182"/>
  <c r="EQ244" i="182"/>
  <c r="FC244" i="182"/>
  <c r="FO244" i="182"/>
  <c r="GA244" i="182"/>
  <c r="GM244" i="182"/>
  <c r="GY244" i="182"/>
  <c r="AH248" i="183"/>
  <c r="U248" i="183"/>
  <c r="EG244" i="182"/>
  <c r="ES244" i="182"/>
  <c r="FE244" i="182"/>
  <c r="FQ244" i="182"/>
  <c r="GC244" i="182"/>
  <c r="GO244" i="182"/>
  <c r="DV244" i="182"/>
  <c r="EH244" i="182"/>
  <c r="ET244" i="182"/>
  <c r="FF244" i="182"/>
  <c r="FR244" i="182"/>
  <c r="GD244" i="182"/>
  <c r="GP244" i="182"/>
  <c r="HB249" i="183"/>
  <c r="GM249" i="183"/>
  <c r="FC249" i="183"/>
  <c r="DS249" i="183"/>
  <c r="CI249" i="183"/>
  <c r="AY249" i="183"/>
  <c r="EG249" i="183"/>
  <c r="GF249" i="183"/>
  <c r="EE249" i="183"/>
  <c r="ED249" i="183"/>
  <c r="GC249" i="183"/>
  <c r="BY249" i="183"/>
  <c r="HA249" i="183"/>
  <c r="CW249" i="183"/>
  <c r="GY249" i="183"/>
  <c r="CU249" i="183"/>
  <c r="AH249" i="183"/>
  <c r="GX249" i="183"/>
  <c r="CT249" i="183"/>
  <c r="AB249" i="183"/>
  <c r="ES249" i="183"/>
  <c r="U249" i="183"/>
  <c r="FQ249" i="183"/>
  <c r="FO249" i="183"/>
  <c r="FN249" i="183"/>
  <c r="FK249" i="183"/>
  <c r="BM249" i="183"/>
  <c r="BK249" i="183"/>
  <c r="BJ249" i="183"/>
  <c r="BG249" i="183"/>
  <c r="DO249" i="183"/>
  <c r="DL249" i="183"/>
  <c r="DK249" i="183"/>
  <c r="DI249" i="183"/>
  <c r="BE249" i="183"/>
  <c r="EA249" i="183"/>
  <c r="FR249" i="183"/>
  <c r="FE249" i="183"/>
  <c r="CF237" i="183"/>
  <c r="CF244" i="183"/>
  <c r="CT237" i="183"/>
  <c r="CT244" i="183"/>
  <c r="EZ237" i="183"/>
  <c r="EZ244" i="183"/>
  <c r="FN237" i="183"/>
  <c r="FN244" i="183"/>
  <c r="BS244" i="183"/>
  <c r="BS237" i="183"/>
  <c r="CG244" i="183"/>
  <c r="CG237" i="183"/>
  <c r="EM237" i="183"/>
  <c r="EM244" i="183"/>
  <c r="FA244" i="183"/>
  <c r="FA237" i="183"/>
  <c r="HC249" i="183"/>
  <c r="BT237" i="183"/>
  <c r="BT244" i="183"/>
  <c r="CH244" i="183"/>
  <c r="CH237" i="183"/>
  <c r="EN237" i="183"/>
  <c r="EN244" i="183"/>
  <c r="FB237" i="183"/>
  <c r="FB244" i="183"/>
  <c r="BG237" i="183"/>
  <c r="BG244" i="183"/>
  <c r="BU244" i="183"/>
  <c r="BU237" i="183"/>
  <c r="EA244" i="183"/>
  <c r="EA237" i="183"/>
  <c r="EO244" i="183"/>
  <c r="EO237" i="183"/>
  <c r="GU237" i="183"/>
  <c r="GU244" i="183"/>
  <c r="BO249" i="183"/>
  <c r="CC249" i="183"/>
  <c r="CR249" i="183"/>
  <c r="DF249" i="183"/>
  <c r="CQ237" i="183"/>
  <c r="CQ244" i="183"/>
  <c r="DE244" i="183"/>
  <c r="DE237" i="183"/>
  <c r="FK237" i="183"/>
  <c r="FK244" i="183"/>
  <c r="FY244" i="183"/>
  <c r="FY237" i="183"/>
  <c r="AN248" i="183"/>
  <c r="BB249" i="183"/>
  <c r="CE249" i="183"/>
  <c r="CS249" i="183"/>
  <c r="BC249" i="183"/>
  <c r="BQ249" i="183"/>
  <c r="CF249" i="183"/>
  <c r="EY249" i="183"/>
  <c r="GP249" i="183"/>
  <c r="CA249" i="183"/>
  <c r="EU249" i="183"/>
  <c r="EU237" i="183"/>
  <c r="V249" i="183"/>
  <c r="BD249" i="183"/>
  <c r="BS249" i="183"/>
  <c r="GQ249" i="183"/>
  <c r="CB249" i="183"/>
  <c r="EV249" i="183"/>
  <c r="GU249" i="183"/>
  <c r="BH244" i="183"/>
  <c r="BH237" i="183"/>
  <c r="BV237" i="183"/>
  <c r="BV244" i="183"/>
  <c r="EB237" i="183"/>
  <c r="EB244" i="183"/>
  <c r="EP237" i="183"/>
  <c r="EP244" i="183"/>
  <c r="GV237" i="183"/>
  <c r="GV244" i="183"/>
  <c r="AU237" i="183"/>
  <c r="AU244" i="183"/>
  <c r="BI244" i="183"/>
  <c r="BI237" i="183"/>
  <c r="DO237" i="183"/>
  <c r="DO244" i="183"/>
  <c r="EC244" i="183"/>
  <c r="EC237" i="183"/>
  <c r="GW244" i="183"/>
  <c r="GW237" i="183"/>
  <c r="DC249" i="183"/>
  <c r="DQ249" i="183"/>
  <c r="AV244" i="183"/>
  <c r="AV237" i="183"/>
  <c r="DP237" i="183"/>
  <c r="DP244" i="183"/>
  <c r="ED237" i="183"/>
  <c r="ED244" i="183"/>
  <c r="GJ237" i="183"/>
  <c r="GJ244" i="183"/>
  <c r="GX237" i="183"/>
  <c r="GX244" i="183"/>
  <c r="AX244" i="183"/>
  <c r="AX237" i="183"/>
  <c r="DD237" i="183"/>
  <c r="DD244" i="183"/>
  <c r="FX237" i="183"/>
  <c r="FX244" i="183"/>
  <c r="GL244" i="183"/>
  <c r="GL237" i="183"/>
  <c r="DP249" i="183"/>
  <c r="EQ249" i="183"/>
  <c r="GS249" i="183"/>
  <c r="DR237" i="183"/>
  <c r="CR237" i="183"/>
  <c r="CR244" i="183"/>
  <c r="FL237" i="183"/>
  <c r="FL244" i="183"/>
  <c r="FZ237" i="183"/>
  <c r="FZ244" i="183"/>
  <c r="CO249" i="183"/>
  <c r="DD249" i="183"/>
  <c r="DR249" i="183"/>
  <c r="FF249" i="183"/>
  <c r="FS249" i="183"/>
  <c r="GE249" i="183"/>
  <c r="CE237" i="183"/>
  <c r="CE244" i="183"/>
  <c r="CS244" i="183"/>
  <c r="CS237" i="183"/>
  <c r="EY237" i="183"/>
  <c r="EY244" i="183"/>
  <c r="FM244" i="183"/>
  <c r="FM237" i="183"/>
  <c r="CQ249" i="183"/>
  <c r="DE249" i="183"/>
  <c r="GI249" i="183"/>
  <c r="AW244" i="183"/>
  <c r="AW237" i="183"/>
  <c r="DC244" i="183"/>
  <c r="DC237" i="183"/>
  <c r="DQ244" i="183"/>
  <c r="DQ237" i="183"/>
  <c r="FW244" i="183"/>
  <c r="FW237" i="183"/>
  <c r="GK244" i="183"/>
  <c r="GK237" i="183"/>
  <c r="AU249" i="183"/>
  <c r="EC249" i="183"/>
  <c r="EP249" i="183"/>
  <c r="GD249" i="183"/>
  <c r="GR249" i="183"/>
  <c r="BP249" i="183"/>
  <c r="EJ249" i="183"/>
  <c r="HD249" i="183"/>
  <c r="AB247" i="183"/>
  <c r="AB253" i="183"/>
  <c r="BO244" i="183"/>
  <c r="CA244" i="183"/>
  <c r="CA237" i="183"/>
  <c r="CM244" i="183"/>
  <c r="CM237" i="183"/>
  <c r="DK244" i="183"/>
  <c r="DK237" i="183"/>
  <c r="DW244" i="183"/>
  <c r="DW237" i="183"/>
  <c r="EI244" i="183"/>
  <c r="EI237" i="183"/>
  <c r="EU244" i="183"/>
  <c r="FG244" i="183"/>
  <c r="FG237" i="183"/>
  <c r="GE244" i="183"/>
  <c r="GE237" i="183"/>
  <c r="GQ244" i="183"/>
  <c r="GQ237" i="183"/>
  <c r="AX249" i="183"/>
  <c r="CK249" i="183"/>
  <c r="CX249" i="183"/>
  <c r="DX249" i="183"/>
  <c r="EK249" i="183"/>
  <c r="FL249" i="183"/>
  <c r="FY249" i="183"/>
  <c r="GL249" i="183"/>
  <c r="BY237" i="183"/>
  <c r="CZ237" i="183"/>
  <c r="FS237" i="183"/>
  <c r="CN244" i="183"/>
  <c r="GR244" i="183"/>
  <c r="AH253" i="183"/>
  <c r="AH247" i="183"/>
  <c r="AH250" i="183" s="1"/>
  <c r="BP244" i="183"/>
  <c r="BP237" i="183"/>
  <c r="EJ237" i="183"/>
  <c r="EJ244" i="183"/>
  <c r="EV237" i="183"/>
  <c r="V248" i="183"/>
  <c r="CL249" i="183"/>
  <c r="CY249" i="183"/>
  <c r="DY249" i="183"/>
  <c r="EM249" i="183"/>
  <c r="EZ249" i="183"/>
  <c r="FM249" i="183"/>
  <c r="FZ249" i="183"/>
  <c r="BC237" i="183"/>
  <c r="CB237" i="183"/>
  <c r="FT237" i="183"/>
  <c r="CZ249" i="183"/>
  <c r="FT249" i="183"/>
  <c r="ES244" i="183"/>
  <c r="AN253" i="183"/>
  <c r="AN247" i="183"/>
  <c r="BE244" i="183"/>
  <c r="BQ244" i="183"/>
  <c r="CC244" i="183"/>
  <c r="CC237" i="183"/>
  <c r="CO244" i="183"/>
  <c r="DA237" i="183"/>
  <c r="DA244" i="183"/>
  <c r="DM244" i="183"/>
  <c r="DY244" i="183"/>
  <c r="DY237" i="183"/>
  <c r="EK237" i="183"/>
  <c r="EK244" i="183"/>
  <c r="EW244" i="183"/>
  <c r="EW237" i="183"/>
  <c r="FI244" i="183"/>
  <c r="FU237" i="183"/>
  <c r="FU244" i="183"/>
  <c r="GG244" i="183"/>
  <c r="GS237" i="183"/>
  <c r="GS244" i="183"/>
  <c r="AB248" i="183"/>
  <c r="BZ249" i="183"/>
  <c r="CM249" i="183"/>
  <c r="DM249" i="183"/>
  <c r="EN249" i="183"/>
  <c r="FA249" i="183"/>
  <c r="GA249" i="183"/>
  <c r="BE237" i="183"/>
  <c r="BA249" i="183"/>
  <c r="BN249" i="183"/>
  <c r="CN249" i="183"/>
  <c r="DA249" i="183"/>
  <c r="EB249" i="183"/>
  <c r="EO249" i="183"/>
  <c r="FB249" i="183"/>
  <c r="GO249" i="183"/>
  <c r="GD237" i="183"/>
  <c r="EV244" i="183"/>
  <c r="CI237" i="183"/>
  <c r="CI244" i="183"/>
  <c r="CU237" i="183"/>
  <c r="CU244" i="183"/>
  <c r="DG237" i="183"/>
  <c r="DG244" i="183"/>
  <c r="DS237" i="183"/>
  <c r="DS244" i="183"/>
  <c r="EE237" i="183"/>
  <c r="EE244" i="183"/>
  <c r="EQ237" i="183"/>
  <c r="EQ244" i="183"/>
  <c r="FC237" i="183"/>
  <c r="FC244" i="183"/>
  <c r="FO237" i="183"/>
  <c r="FO244" i="183"/>
  <c r="GA237" i="183"/>
  <c r="GA244" i="183"/>
  <c r="GM237" i="183"/>
  <c r="GM244" i="183"/>
  <c r="GY237" i="183"/>
  <c r="GY244" i="183"/>
  <c r="AN249" i="183"/>
  <c r="BT249" i="183"/>
  <c r="CG249" i="183"/>
  <c r="DG249" i="183"/>
  <c r="ET249" i="183"/>
  <c r="FG249" i="183"/>
  <c r="GG249" i="183"/>
  <c r="BQ237" i="183"/>
  <c r="HE249" i="183"/>
  <c r="BH249" i="183"/>
  <c r="BU249" i="183"/>
  <c r="CH249" i="183"/>
  <c r="DU249" i="183"/>
  <c r="EH249" i="183"/>
  <c r="FH249" i="183"/>
  <c r="FU249" i="183"/>
  <c r="GV249" i="183"/>
  <c r="FI237" i="183"/>
  <c r="GC244" i="183"/>
  <c r="BA237" i="183"/>
  <c r="BA244" i="183"/>
  <c r="BM237" i="183"/>
  <c r="BM244" i="183"/>
  <c r="CW237" i="183"/>
  <c r="CW244" i="183"/>
  <c r="DU244" i="183"/>
  <c r="DU237" i="183"/>
  <c r="FQ237" i="183"/>
  <c r="FQ244" i="183"/>
  <c r="GO244" i="183"/>
  <c r="GO237" i="183"/>
  <c r="AV249" i="183"/>
  <c r="BI249" i="183"/>
  <c r="BV249" i="183"/>
  <c r="DV249" i="183"/>
  <c r="EI249" i="183"/>
  <c r="FI249" i="183"/>
  <c r="FW249" i="183"/>
  <c r="GJ249" i="183"/>
  <c r="GW249" i="183"/>
  <c r="BW237" i="183"/>
  <c r="V253" i="183"/>
  <c r="V247" i="183"/>
  <c r="V250" i="183" s="1"/>
  <c r="BB244" i="183"/>
  <c r="BB237" i="183"/>
  <c r="BN244" i="183"/>
  <c r="BN237" i="183"/>
  <c r="BZ237" i="183"/>
  <c r="CL244" i="183"/>
  <c r="CX244" i="183"/>
  <c r="DV244" i="183"/>
  <c r="DV237" i="183"/>
  <c r="EH237" i="183"/>
  <c r="EH244" i="183"/>
  <c r="ET237" i="183"/>
  <c r="FF244" i="183"/>
  <c r="FR244" i="183"/>
  <c r="GP244" i="183"/>
  <c r="GP237" i="183"/>
  <c r="AW249" i="183"/>
  <c r="BW249" i="183"/>
  <c r="DJ249" i="183"/>
  <c r="DW249" i="183"/>
  <c r="EW249" i="183"/>
  <c r="FX249" i="183"/>
  <c r="GK249" i="183"/>
  <c r="AY237" i="183"/>
  <c r="CY237" i="183"/>
  <c r="EG237" i="183"/>
  <c r="FR237" i="183"/>
  <c r="GF244" i="183"/>
  <c r="U247" i="183"/>
  <c r="AA257" i="178"/>
  <c r="Z257" i="178"/>
  <c r="Y257" i="178"/>
  <c r="X257" i="178"/>
  <c r="W257" i="178"/>
  <c r="GY255" i="178"/>
  <c r="GX255" i="178"/>
  <c r="GW255" i="178"/>
  <c r="GV255" i="178"/>
  <c r="GU255" i="178"/>
  <c r="GS255" i="178"/>
  <c r="GR255" i="178"/>
  <c r="GQ255" i="178"/>
  <c r="GP255" i="178"/>
  <c r="GO255" i="178"/>
  <c r="GM255" i="178"/>
  <c r="GL255" i="178"/>
  <c r="GK255" i="178"/>
  <c r="GJ255" i="178"/>
  <c r="GI255" i="178"/>
  <c r="GG255" i="178"/>
  <c r="GF255" i="178"/>
  <c r="GE255" i="178"/>
  <c r="GD255" i="178"/>
  <c r="GC255" i="178"/>
  <c r="GA255" i="178"/>
  <c r="FZ255" i="178"/>
  <c r="FY255" i="178"/>
  <c r="FX255" i="178"/>
  <c r="FW255" i="178"/>
  <c r="FU255" i="178"/>
  <c r="FT255" i="178"/>
  <c r="FS255" i="178"/>
  <c r="FR255" i="178"/>
  <c r="FQ255" i="178"/>
  <c r="FO255" i="178"/>
  <c r="FN255" i="178"/>
  <c r="FM255" i="178"/>
  <c r="FL255" i="178"/>
  <c r="FK255" i="178"/>
  <c r="FI255" i="178"/>
  <c r="FH255" i="178"/>
  <c r="FG255" i="178"/>
  <c r="FF255" i="178"/>
  <c r="FE255" i="178"/>
  <c r="FC255" i="178"/>
  <c r="FB255" i="178"/>
  <c r="FA255" i="178"/>
  <c r="EZ255" i="178"/>
  <c r="EY255" i="178"/>
  <c r="EW255" i="178"/>
  <c r="EV255" i="178"/>
  <c r="EU255" i="178"/>
  <c r="ET255" i="178"/>
  <c r="ES255" i="178"/>
  <c r="EQ255" i="178"/>
  <c r="EP255" i="178"/>
  <c r="EO255" i="178"/>
  <c r="EN255" i="178"/>
  <c r="EM255" i="178"/>
  <c r="EK255" i="178"/>
  <c r="EJ255" i="178"/>
  <c r="EI255" i="178"/>
  <c r="EH255" i="178"/>
  <c r="EG255" i="178"/>
  <c r="EE255" i="178"/>
  <c r="ED255" i="178"/>
  <c r="EC255" i="178"/>
  <c r="EB255" i="178"/>
  <c r="EA255" i="178"/>
  <c r="DY255" i="178"/>
  <c r="DX255" i="178"/>
  <c r="DW255" i="178"/>
  <c r="DV255" i="178"/>
  <c r="DU255" i="178"/>
  <c r="DS255" i="178"/>
  <c r="DR255" i="178"/>
  <c r="DQ255" i="178"/>
  <c r="DP255" i="178"/>
  <c r="DO255" i="178"/>
  <c r="DM255" i="178"/>
  <c r="DL255" i="178"/>
  <c r="DK255" i="178"/>
  <c r="DJ255" i="178"/>
  <c r="DI255" i="178"/>
  <c r="DG255" i="178"/>
  <c r="DF255" i="178"/>
  <c r="DE255" i="178"/>
  <c r="DD255" i="178"/>
  <c r="DC255" i="178"/>
  <c r="DA255" i="178"/>
  <c r="CZ255" i="178"/>
  <c r="CY255" i="178"/>
  <c r="CX255" i="178"/>
  <c r="CW255" i="178"/>
  <c r="CU255" i="178"/>
  <c r="CT255" i="178"/>
  <c r="CS255" i="178"/>
  <c r="CR255" i="178"/>
  <c r="CQ255" i="178"/>
  <c r="CO255" i="178"/>
  <c r="CN255" i="178"/>
  <c r="CM255" i="178"/>
  <c r="CL255" i="178"/>
  <c r="CK255" i="178"/>
  <c r="CI255" i="178"/>
  <c r="CH255" i="178"/>
  <c r="CG255" i="178"/>
  <c r="CF255" i="178"/>
  <c r="CE255" i="178"/>
  <c r="CC255" i="178"/>
  <c r="CB255" i="178"/>
  <c r="CA255" i="178"/>
  <c r="BZ255" i="178"/>
  <c r="BY255" i="178"/>
  <c r="BW255" i="178"/>
  <c r="BV255" i="178"/>
  <c r="BU255" i="178"/>
  <c r="BT255" i="178"/>
  <c r="BS255" i="178"/>
  <c r="BQ255" i="178"/>
  <c r="BP255" i="178"/>
  <c r="BO255" i="178"/>
  <c r="BN255" i="178"/>
  <c r="BM255" i="178"/>
  <c r="BK255" i="178"/>
  <c r="BJ255" i="178"/>
  <c r="BI255" i="178"/>
  <c r="BH255" i="178"/>
  <c r="BG255" i="178"/>
  <c r="BE255" i="178"/>
  <c r="BD255" i="178"/>
  <c r="BC255" i="178"/>
  <c r="BB255" i="178"/>
  <c r="BA255" i="178"/>
  <c r="AY255" i="178"/>
  <c r="AX255" i="178"/>
  <c r="AW255" i="178"/>
  <c r="AV255" i="178"/>
  <c r="AU255" i="178"/>
  <c r="AS255" i="178"/>
  <c r="AR255" i="178"/>
  <c r="AQ255" i="178"/>
  <c r="AP255" i="178"/>
  <c r="AO255" i="178"/>
  <c r="AM255" i="178"/>
  <c r="AL255" i="178"/>
  <c r="AK255" i="178"/>
  <c r="AJ255" i="178"/>
  <c r="AI255" i="178"/>
  <c r="AG255" i="178"/>
  <c r="AF255" i="178"/>
  <c r="AE255" i="178"/>
  <c r="AD255" i="178"/>
  <c r="AC255" i="178"/>
  <c r="AA255" i="178"/>
  <c r="Z255" i="178"/>
  <c r="Y255" i="178"/>
  <c r="X255" i="178"/>
  <c r="W255" i="178"/>
  <c r="GY243" i="178"/>
  <c r="GX243" i="178"/>
  <c r="GW243" i="178"/>
  <c r="GV243" i="178"/>
  <c r="GU243" i="178"/>
  <c r="GS243" i="178"/>
  <c r="GR243" i="178"/>
  <c r="GQ243" i="178"/>
  <c r="GP243" i="178"/>
  <c r="GO243" i="178"/>
  <c r="GM243" i="178"/>
  <c r="GL243" i="178"/>
  <c r="GK243" i="178"/>
  <c r="GJ243" i="178"/>
  <c r="GI243" i="178"/>
  <c r="GG243" i="178"/>
  <c r="GF243" i="178"/>
  <c r="GE243" i="178"/>
  <c r="GD243" i="178"/>
  <c r="GC243" i="178"/>
  <c r="GA243" i="178"/>
  <c r="FZ243" i="178"/>
  <c r="FY243" i="178"/>
  <c r="FX243" i="178"/>
  <c r="FW243" i="178"/>
  <c r="FU243" i="178"/>
  <c r="FT243" i="178"/>
  <c r="FS243" i="178"/>
  <c r="FR243" i="178"/>
  <c r="FQ243" i="178"/>
  <c r="FO243" i="178"/>
  <c r="FN243" i="178"/>
  <c r="FM243" i="178"/>
  <c r="FL243" i="178"/>
  <c r="FK243" i="178"/>
  <c r="FI243" i="178"/>
  <c r="FH243" i="178"/>
  <c r="FG243" i="178"/>
  <c r="FF243" i="178"/>
  <c r="FE243" i="178"/>
  <c r="FC243" i="178"/>
  <c r="FB243" i="178"/>
  <c r="FA243" i="178"/>
  <c r="EZ243" i="178"/>
  <c r="EY243" i="178"/>
  <c r="EW243" i="178"/>
  <c r="EV243" i="178"/>
  <c r="EU243" i="178"/>
  <c r="ET243" i="178"/>
  <c r="ES243" i="178"/>
  <c r="EQ243" i="178"/>
  <c r="EP243" i="178"/>
  <c r="EO243" i="178"/>
  <c r="EN243" i="178"/>
  <c r="EM243" i="178"/>
  <c r="EK243" i="178"/>
  <c r="EJ243" i="178"/>
  <c r="EI243" i="178"/>
  <c r="EH243" i="178"/>
  <c r="EG243" i="178"/>
  <c r="EE243" i="178"/>
  <c r="ED243" i="178"/>
  <c r="EC243" i="178"/>
  <c r="EB243" i="178"/>
  <c r="EA243" i="178"/>
  <c r="DY243" i="178"/>
  <c r="DX243" i="178"/>
  <c r="DW243" i="178"/>
  <c r="DV243" i="178"/>
  <c r="DU243" i="178"/>
  <c r="DS243" i="178"/>
  <c r="DR243" i="178"/>
  <c r="DQ243" i="178"/>
  <c r="DP243" i="178"/>
  <c r="DO243" i="178"/>
  <c r="DM243" i="178"/>
  <c r="DL243" i="178"/>
  <c r="DK243" i="178"/>
  <c r="DJ243" i="178"/>
  <c r="DI243" i="178"/>
  <c r="DG243" i="178"/>
  <c r="DF243" i="178"/>
  <c r="DE243" i="178"/>
  <c r="DD243" i="178"/>
  <c r="DC243" i="178"/>
  <c r="DA243" i="178"/>
  <c r="CZ243" i="178"/>
  <c r="CY243" i="178"/>
  <c r="CX243" i="178"/>
  <c r="CW243" i="178"/>
  <c r="CU243" i="178"/>
  <c r="CT243" i="178"/>
  <c r="CS243" i="178"/>
  <c r="CR243" i="178"/>
  <c r="CQ243" i="178"/>
  <c r="CO243" i="178"/>
  <c r="CN243" i="178"/>
  <c r="CM243" i="178"/>
  <c r="CL243" i="178"/>
  <c r="CK243" i="178"/>
  <c r="CI243" i="178"/>
  <c r="CH243" i="178"/>
  <c r="CG243" i="178"/>
  <c r="CF243" i="178"/>
  <c r="CE243" i="178"/>
  <c r="CC243" i="178"/>
  <c r="CB243" i="178"/>
  <c r="CA243" i="178"/>
  <c r="BZ243" i="178"/>
  <c r="BY243" i="178"/>
  <c r="BW243" i="178"/>
  <c r="BV243" i="178"/>
  <c r="BU243" i="178"/>
  <c r="BT243" i="178"/>
  <c r="BS243" i="178"/>
  <c r="BQ243" i="178"/>
  <c r="BP243" i="178"/>
  <c r="BO243" i="178"/>
  <c r="BN243" i="178"/>
  <c r="BM243" i="178"/>
  <c r="BK243" i="178"/>
  <c r="BJ243" i="178"/>
  <c r="BI243" i="178"/>
  <c r="BH243" i="178"/>
  <c r="BG243" i="178"/>
  <c r="BE243" i="178"/>
  <c r="BD243" i="178"/>
  <c r="BC243" i="178"/>
  <c r="BB243" i="178"/>
  <c r="BA243" i="178"/>
  <c r="AY243" i="178"/>
  <c r="AX243" i="178"/>
  <c r="AW243" i="178"/>
  <c r="AV243" i="178"/>
  <c r="AU243" i="178"/>
  <c r="HE242" i="178"/>
  <c r="HD242" i="178"/>
  <c r="HC242" i="178"/>
  <c r="HB242" i="178"/>
  <c r="HA242" i="178"/>
  <c r="GY242" i="178"/>
  <c r="GX242" i="178"/>
  <c r="GW242" i="178"/>
  <c r="GV242" i="178"/>
  <c r="GU242" i="178"/>
  <c r="GS242" i="178"/>
  <c r="GR242" i="178"/>
  <c r="GQ242" i="178"/>
  <c r="GP242" i="178"/>
  <c r="GO242" i="178"/>
  <c r="GM242" i="178"/>
  <c r="GL242" i="178"/>
  <c r="GK242" i="178"/>
  <c r="GJ242" i="178"/>
  <c r="GI242" i="178"/>
  <c r="GG242" i="178"/>
  <c r="GF242" i="178"/>
  <c r="GE242" i="178"/>
  <c r="GD242" i="178"/>
  <c r="GC242" i="178"/>
  <c r="GA242" i="178"/>
  <c r="FZ242" i="178"/>
  <c r="FY242" i="178"/>
  <c r="FX242" i="178"/>
  <c r="FW242" i="178"/>
  <c r="FU242" i="178"/>
  <c r="FT242" i="178"/>
  <c r="FS242" i="178"/>
  <c r="FR242" i="178"/>
  <c r="FQ242" i="178"/>
  <c r="FO242" i="178"/>
  <c r="FN242" i="178"/>
  <c r="FM242" i="178"/>
  <c r="FL242" i="178"/>
  <c r="FK242" i="178"/>
  <c r="FI242" i="178"/>
  <c r="FH242" i="178"/>
  <c r="FG242" i="178"/>
  <c r="FF242" i="178"/>
  <c r="FE242" i="178"/>
  <c r="FC242" i="178"/>
  <c r="FB242" i="178"/>
  <c r="FA242" i="178"/>
  <c r="EZ242" i="178"/>
  <c r="EY242" i="178"/>
  <c r="EW242" i="178"/>
  <c r="EV242" i="178"/>
  <c r="EU242" i="178"/>
  <c r="ET242" i="178"/>
  <c r="ES242" i="178"/>
  <c r="EQ242" i="178"/>
  <c r="EP242" i="178"/>
  <c r="EO242" i="178"/>
  <c r="EN242" i="178"/>
  <c r="EM242" i="178"/>
  <c r="EK242" i="178"/>
  <c r="EJ242" i="178"/>
  <c r="EI242" i="178"/>
  <c r="EH242" i="178"/>
  <c r="EG242" i="178"/>
  <c r="EE242" i="178"/>
  <c r="ED242" i="178"/>
  <c r="EC242" i="178"/>
  <c r="EB242" i="178"/>
  <c r="EA242" i="178"/>
  <c r="DY242" i="178"/>
  <c r="DX242" i="178"/>
  <c r="DW242" i="178"/>
  <c r="DV242" i="178"/>
  <c r="DU242" i="178"/>
  <c r="DS242" i="178"/>
  <c r="DR242" i="178"/>
  <c r="DQ242" i="178"/>
  <c r="DP242" i="178"/>
  <c r="DO242" i="178"/>
  <c r="DM242" i="178"/>
  <c r="DL242" i="178"/>
  <c r="DK242" i="178"/>
  <c r="DJ242" i="178"/>
  <c r="DI242" i="178"/>
  <c r="DG242" i="178"/>
  <c r="DF242" i="178"/>
  <c r="DE242" i="178"/>
  <c r="DD242" i="178"/>
  <c r="DC242" i="178"/>
  <c r="DA242" i="178"/>
  <c r="CZ242" i="178"/>
  <c r="CY242" i="178"/>
  <c r="CX242" i="178"/>
  <c r="CW242" i="178"/>
  <c r="CU242" i="178"/>
  <c r="CT242" i="178"/>
  <c r="CS242" i="178"/>
  <c r="CR242" i="178"/>
  <c r="CQ242" i="178"/>
  <c r="CO242" i="178"/>
  <c r="CN242" i="178"/>
  <c r="CM242" i="178"/>
  <c r="CL242" i="178"/>
  <c r="CK242" i="178"/>
  <c r="CI242" i="178"/>
  <c r="CH242" i="178"/>
  <c r="CG242" i="178"/>
  <c r="CF242" i="178"/>
  <c r="CE242" i="178"/>
  <c r="CC242" i="178"/>
  <c r="CB242" i="178"/>
  <c r="CA242" i="178"/>
  <c r="BZ242" i="178"/>
  <c r="BY242" i="178"/>
  <c r="BW242" i="178"/>
  <c r="BV242" i="178"/>
  <c r="BU242" i="178"/>
  <c r="BT242" i="178"/>
  <c r="BS242" i="178"/>
  <c r="BQ242" i="178"/>
  <c r="BP242" i="178"/>
  <c r="BO242" i="178"/>
  <c r="BN242" i="178"/>
  <c r="BM242" i="178"/>
  <c r="BK242" i="178"/>
  <c r="BJ242" i="178"/>
  <c r="BI242" i="178"/>
  <c r="BH242" i="178"/>
  <c r="BG242" i="178"/>
  <c r="BE242" i="178"/>
  <c r="BD242" i="178"/>
  <c r="BC242" i="178"/>
  <c r="BB242" i="178"/>
  <c r="BA242" i="178"/>
  <c r="AY242" i="178"/>
  <c r="AX242" i="178"/>
  <c r="AW242" i="178"/>
  <c r="AV242" i="178"/>
  <c r="AU242" i="178"/>
  <c r="AN240" i="178"/>
  <c r="AH240" i="178"/>
  <c r="AB240" i="178"/>
  <c r="V240" i="178"/>
  <c r="U240" i="178"/>
  <c r="HE237" i="178"/>
  <c r="HD237" i="178"/>
  <c r="HC237" i="178"/>
  <c r="HB237" i="178"/>
  <c r="HA237" i="178"/>
  <c r="GY235" i="178"/>
  <c r="GX235" i="178"/>
  <c r="GW235" i="178"/>
  <c r="GV235" i="178"/>
  <c r="GU235" i="178"/>
  <c r="GS235" i="178"/>
  <c r="GR235" i="178"/>
  <c r="GQ235" i="178"/>
  <c r="GP235" i="178"/>
  <c r="GO235" i="178"/>
  <c r="GM235" i="178"/>
  <c r="GL235" i="178"/>
  <c r="GK235" i="178"/>
  <c r="GJ235" i="178"/>
  <c r="GI235" i="178"/>
  <c r="GG235" i="178"/>
  <c r="GF235" i="178"/>
  <c r="GE235" i="178"/>
  <c r="GD235" i="178"/>
  <c r="GC235" i="178"/>
  <c r="GA235" i="178"/>
  <c r="FZ235" i="178"/>
  <c r="FY235" i="178"/>
  <c r="FX235" i="178"/>
  <c r="FW235" i="178"/>
  <c r="FU235" i="178"/>
  <c r="FT235" i="178"/>
  <c r="FS235" i="178"/>
  <c r="FR235" i="178"/>
  <c r="FQ235" i="178"/>
  <c r="FO235" i="178"/>
  <c r="FN235" i="178"/>
  <c r="FM235" i="178"/>
  <c r="FL235" i="178"/>
  <c r="FK235" i="178"/>
  <c r="FI235" i="178"/>
  <c r="FH235" i="178"/>
  <c r="FG235" i="178"/>
  <c r="FF235" i="178"/>
  <c r="FE235" i="178"/>
  <c r="FC235" i="178"/>
  <c r="FB235" i="178"/>
  <c r="FA235" i="178"/>
  <c r="EZ235" i="178"/>
  <c r="EY235" i="178"/>
  <c r="EW235" i="178"/>
  <c r="EV235" i="178"/>
  <c r="EU235" i="178"/>
  <c r="ET235" i="178"/>
  <c r="ES235" i="178"/>
  <c r="EQ235" i="178"/>
  <c r="EP235" i="178"/>
  <c r="EO235" i="178"/>
  <c r="EN235" i="178"/>
  <c r="EM235" i="178"/>
  <c r="EK235" i="178"/>
  <c r="EJ235" i="178"/>
  <c r="EI235" i="178"/>
  <c r="EH235" i="178"/>
  <c r="EG235" i="178"/>
  <c r="EE235" i="178"/>
  <c r="ED235" i="178"/>
  <c r="EC235" i="178"/>
  <c r="EB235" i="178"/>
  <c r="EA235" i="178"/>
  <c r="DY235" i="178"/>
  <c r="DX235" i="178"/>
  <c r="DW235" i="178"/>
  <c r="DV235" i="178"/>
  <c r="DU235" i="178"/>
  <c r="DS235" i="178"/>
  <c r="DR235" i="178"/>
  <c r="DQ235" i="178"/>
  <c r="DP235" i="178"/>
  <c r="DO235" i="178"/>
  <c r="DM235" i="178"/>
  <c r="DL235" i="178"/>
  <c r="DK235" i="178"/>
  <c r="DJ235" i="178"/>
  <c r="DI235" i="178"/>
  <c r="DG235" i="178"/>
  <c r="DF235" i="178"/>
  <c r="DE235" i="178"/>
  <c r="DD235" i="178"/>
  <c r="DC235" i="178"/>
  <c r="DA235" i="178"/>
  <c r="CZ235" i="178"/>
  <c r="CY235" i="178"/>
  <c r="CX235" i="178"/>
  <c r="CW235" i="178"/>
  <c r="CU235" i="178"/>
  <c r="CT235" i="178"/>
  <c r="CS235" i="178"/>
  <c r="CR235" i="178"/>
  <c r="CQ235" i="178"/>
  <c r="CO235" i="178"/>
  <c r="CN235" i="178"/>
  <c r="CM235" i="178"/>
  <c r="CL235" i="178"/>
  <c r="CK235" i="178"/>
  <c r="CI235" i="178"/>
  <c r="CH235" i="178"/>
  <c r="CG235" i="178"/>
  <c r="CF235" i="178"/>
  <c r="CE235" i="178"/>
  <c r="CC235" i="178"/>
  <c r="CB235" i="178"/>
  <c r="CA235" i="178"/>
  <c r="BZ235" i="178"/>
  <c r="BY235" i="178"/>
  <c r="BW235" i="178"/>
  <c r="BV235" i="178"/>
  <c r="BU235" i="178"/>
  <c r="BT235" i="178"/>
  <c r="BS235" i="178"/>
  <c r="BQ235" i="178"/>
  <c r="BP235" i="178"/>
  <c r="BO235" i="178"/>
  <c r="BN235" i="178"/>
  <c r="BM235" i="178"/>
  <c r="BK235" i="178"/>
  <c r="BJ235" i="178"/>
  <c r="BI235" i="178"/>
  <c r="BH235" i="178"/>
  <c r="BG235" i="178"/>
  <c r="BE235" i="178"/>
  <c r="BD235" i="178"/>
  <c r="BC235" i="178"/>
  <c r="BB235" i="178"/>
  <c r="BA235" i="178"/>
  <c r="AY235" i="178"/>
  <c r="AX235" i="178"/>
  <c r="AW235" i="178"/>
  <c r="AV235" i="178"/>
  <c r="AU235" i="178"/>
  <c r="AN235" i="178"/>
  <c r="AH235" i="178"/>
  <c r="AB235" i="178"/>
  <c r="V235" i="178"/>
  <c r="U235" i="178"/>
  <c r="GZ234" i="178"/>
  <c r="GY234" i="178"/>
  <c r="GX234" i="178"/>
  <c r="GW234" i="178"/>
  <c r="GV234" i="178"/>
  <c r="GU234" i="178"/>
  <c r="GT234" i="178"/>
  <c r="GS234" i="178"/>
  <c r="GR234" i="178"/>
  <c r="GQ234" i="178"/>
  <c r="GP234" i="178"/>
  <c r="GO234" i="178"/>
  <c r="GN234" i="178"/>
  <c r="GM234" i="178"/>
  <c r="GL234" i="178"/>
  <c r="GK234" i="178"/>
  <c r="GJ234" i="178"/>
  <c r="GI234" i="178"/>
  <c r="GH234" i="178"/>
  <c r="GG234" i="178"/>
  <c r="GF234" i="178"/>
  <c r="GE234" i="178"/>
  <c r="GD234" i="178"/>
  <c r="FX234" i="178"/>
  <c r="FW234" i="178"/>
  <c r="FV234" i="178"/>
  <c r="FU234" i="178"/>
  <c r="FT234" i="178"/>
  <c r="FS234" i="178"/>
  <c r="FR234" i="178"/>
  <c r="FQ234" i="178"/>
  <c r="FP234" i="178"/>
  <c r="FO234" i="178"/>
  <c r="FN234" i="178"/>
  <c r="FM234" i="178"/>
  <c r="FL234" i="178"/>
  <c r="FK234" i="178"/>
  <c r="FJ234" i="178"/>
  <c r="FI234" i="178"/>
  <c r="FH234" i="178"/>
  <c r="FG234" i="178"/>
  <c r="FF234" i="178"/>
  <c r="FE234" i="178"/>
  <c r="FD234" i="178"/>
  <c r="FC234" i="178"/>
  <c r="FB234" i="178"/>
  <c r="FA234" i="178"/>
  <c r="EZ234" i="178"/>
  <c r="ET234" i="178"/>
  <c r="ES234" i="178"/>
  <c r="ER234" i="178"/>
  <c r="EQ234" i="178"/>
  <c r="EP234" i="178"/>
  <c r="EO234" i="178"/>
  <c r="EN234" i="178"/>
  <c r="EM234" i="178"/>
  <c r="EL234" i="178"/>
  <c r="EK234" i="178"/>
  <c r="EJ234" i="178"/>
  <c r="EI234" i="178"/>
  <c r="EH234" i="178"/>
  <c r="EG234" i="178"/>
  <c r="EF234" i="178"/>
  <c r="EE234" i="178"/>
  <c r="ED234" i="178"/>
  <c r="EC234" i="178"/>
  <c r="EB234" i="178"/>
  <c r="EA234" i="178"/>
  <c r="DZ234" i="178"/>
  <c r="DY234" i="178"/>
  <c r="DX234" i="178"/>
  <c r="DW234" i="178"/>
  <c r="DV234" i="178"/>
  <c r="DP234" i="178"/>
  <c r="DO234" i="178"/>
  <c r="DN234" i="178"/>
  <c r="DM234" i="178"/>
  <c r="DL234" i="178"/>
  <c r="DK234" i="178"/>
  <c r="DJ234" i="178"/>
  <c r="DI234" i="178"/>
  <c r="DH234" i="178"/>
  <c r="DG234" i="178"/>
  <c r="DF234" i="178"/>
  <c r="DE234" i="178"/>
  <c r="DD234" i="178"/>
  <c r="DC234" i="178"/>
  <c r="DB234" i="178"/>
  <c r="DA234" i="178"/>
  <c r="CZ234" i="178"/>
  <c r="CY234" i="178"/>
  <c r="CX234" i="178"/>
  <c r="CW234" i="178"/>
  <c r="CV234" i="178"/>
  <c r="CU234" i="178"/>
  <c r="CT234" i="178"/>
  <c r="CS234" i="178"/>
  <c r="CR234" i="178"/>
  <c r="CL234" i="178"/>
  <c r="CF234" i="178"/>
  <c r="BZ234" i="178"/>
  <c r="BT234" i="178"/>
  <c r="BN234" i="178"/>
  <c r="BH234" i="178"/>
  <c r="BB234" i="178"/>
  <c r="AV234" i="178"/>
  <c r="GY232" i="178"/>
  <c r="GX232" i="178"/>
  <c r="GW232" i="178"/>
  <c r="GV232" i="178"/>
  <c r="GU232" i="178"/>
  <c r="GS232" i="178"/>
  <c r="GR232" i="178"/>
  <c r="GQ232" i="178"/>
  <c r="GP232" i="178"/>
  <c r="GO232" i="178"/>
  <c r="GM232" i="178"/>
  <c r="GL232" i="178"/>
  <c r="GK232" i="178"/>
  <c r="GJ232" i="178"/>
  <c r="GI232" i="178"/>
  <c r="GG232" i="178"/>
  <c r="GF232" i="178"/>
  <c r="GE232" i="178"/>
  <c r="GD232" i="178"/>
  <c r="GC232" i="178"/>
  <c r="GA232" i="178"/>
  <c r="FZ232" i="178"/>
  <c r="FY232" i="178"/>
  <c r="FX232" i="178"/>
  <c r="FW232" i="178"/>
  <c r="FU232" i="178"/>
  <c r="FT232" i="178"/>
  <c r="FS232" i="178"/>
  <c r="FR232" i="178"/>
  <c r="FQ232" i="178"/>
  <c r="FO232" i="178"/>
  <c r="FN232" i="178"/>
  <c r="FM232" i="178"/>
  <c r="FL232" i="178"/>
  <c r="FK232" i="178"/>
  <c r="FI232" i="178"/>
  <c r="FH232" i="178"/>
  <c r="FG232" i="178"/>
  <c r="FF232" i="178"/>
  <c r="FE232" i="178"/>
  <c r="FC232" i="178"/>
  <c r="FB232" i="178"/>
  <c r="FA232" i="178"/>
  <c r="EZ232" i="178"/>
  <c r="EY232" i="178"/>
  <c r="EW232" i="178"/>
  <c r="EV232" i="178"/>
  <c r="EU232" i="178"/>
  <c r="ET232" i="178"/>
  <c r="ES232" i="178"/>
  <c r="EQ232" i="178"/>
  <c r="EP232" i="178"/>
  <c r="EO232" i="178"/>
  <c r="EN232" i="178"/>
  <c r="EM232" i="178"/>
  <c r="EK232" i="178"/>
  <c r="EJ232" i="178"/>
  <c r="EI232" i="178"/>
  <c r="EH232" i="178"/>
  <c r="EG232" i="178"/>
  <c r="EE232" i="178"/>
  <c r="ED232" i="178"/>
  <c r="EC232" i="178"/>
  <c r="EB232" i="178"/>
  <c r="EA232" i="178"/>
  <c r="DY232" i="178"/>
  <c r="DX232" i="178"/>
  <c r="DW232" i="178"/>
  <c r="DV232" i="178"/>
  <c r="DU232" i="178"/>
  <c r="DS232" i="178"/>
  <c r="DR232" i="178"/>
  <c r="DQ232" i="178"/>
  <c r="DP232" i="178"/>
  <c r="DO232" i="178"/>
  <c r="DM232" i="178"/>
  <c r="DL232" i="178"/>
  <c r="DK232" i="178"/>
  <c r="DJ232" i="178"/>
  <c r="DI232" i="178"/>
  <c r="DG232" i="178"/>
  <c r="DF232" i="178"/>
  <c r="DE232" i="178"/>
  <c r="DD232" i="178"/>
  <c r="DC232" i="178"/>
  <c r="DA232" i="178"/>
  <c r="CZ232" i="178"/>
  <c r="CY232" i="178"/>
  <c r="CX232" i="178"/>
  <c r="CW232" i="178"/>
  <c r="CU232" i="178"/>
  <c r="CT232" i="178"/>
  <c r="CS232" i="178"/>
  <c r="CR232" i="178"/>
  <c r="CQ232" i="178"/>
  <c r="CO232" i="178"/>
  <c r="CN232" i="178"/>
  <c r="CM232" i="178"/>
  <c r="CL232" i="178"/>
  <c r="CK232" i="178"/>
  <c r="CI232" i="178"/>
  <c r="CH232" i="178"/>
  <c r="CG232" i="178"/>
  <c r="CF232" i="178"/>
  <c r="CE232" i="178"/>
  <c r="CC232" i="178"/>
  <c r="CB232" i="178"/>
  <c r="CA232" i="178"/>
  <c r="BZ232" i="178"/>
  <c r="BY232" i="178"/>
  <c r="BW232" i="178"/>
  <c r="BV232" i="178"/>
  <c r="BU232" i="178"/>
  <c r="BT232" i="178"/>
  <c r="BS232" i="178"/>
  <c r="BQ232" i="178"/>
  <c r="BP232" i="178"/>
  <c r="BO232" i="178"/>
  <c r="BN232" i="178"/>
  <c r="BM232" i="178"/>
  <c r="BK232" i="178"/>
  <c r="BJ232" i="178"/>
  <c r="BI232" i="178"/>
  <c r="BH232" i="178"/>
  <c r="BG232" i="178"/>
  <c r="BE232" i="178"/>
  <c r="BD232" i="178"/>
  <c r="BC232" i="178"/>
  <c r="BB232" i="178"/>
  <c r="BA232" i="178"/>
  <c r="AY232" i="178"/>
  <c r="AX232" i="178"/>
  <c r="AW232" i="178"/>
  <c r="AV232" i="178"/>
  <c r="AU232" i="178"/>
  <c r="AN232" i="178"/>
  <c r="AH232" i="178"/>
  <c r="AB232" i="178"/>
  <c r="V232" i="178"/>
  <c r="U232" i="178"/>
  <c r="GT231" i="178"/>
  <c r="GN231" i="178"/>
  <c r="GH231" i="178"/>
  <c r="FP231" i="178"/>
  <c r="FJ231" i="178"/>
  <c r="FD231" i="178"/>
  <c r="EL231" i="178"/>
  <c r="EF231" i="178"/>
  <c r="DZ231" i="178"/>
  <c r="DH231" i="178"/>
  <c r="DB231" i="178"/>
  <c r="CV231" i="178"/>
  <c r="GY229" i="178"/>
  <c r="GX229" i="178"/>
  <c r="GW229" i="178"/>
  <c r="GV229" i="178"/>
  <c r="GU229" i="178"/>
  <c r="GS229" i="178"/>
  <c r="GR229" i="178"/>
  <c r="GQ229" i="178"/>
  <c r="GP229" i="178"/>
  <c r="GO229" i="178"/>
  <c r="GM229" i="178"/>
  <c r="GL229" i="178"/>
  <c r="GK229" i="178"/>
  <c r="GJ229" i="178"/>
  <c r="GI229" i="178"/>
  <c r="GG229" i="178"/>
  <c r="GF229" i="178"/>
  <c r="GE229" i="178"/>
  <c r="GD229" i="178"/>
  <c r="GC229" i="178"/>
  <c r="GA229" i="178"/>
  <c r="FZ229" i="178"/>
  <c r="FY229" i="178"/>
  <c r="FX229" i="178"/>
  <c r="FW229" i="178"/>
  <c r="FU229" i="178"/>
  <c r="FT229" i="178"/>
  <c r="FS229" i="178"/>
  <c r="FR229" i="178"/>
  <c r="FQ229" i="178"/>
  <c r="FO229" i="178"/>
  <c r="FN229" i="178"/>
  <c r="FM229" i="178"/>
  <c r="FL229" i="178"/>
  <c r="FK229" i="178"/>
  <c r="FI229" i="178"/>
  <c r="FH229" i="178"/>
  <c r="FG229" i="178"/>
  <c r="FF229" i="178"/>
  <c r="FE229" i="178"/>
  <c r="FC229" i="178"/>
  <c r="FB229" i="178"/>
  <c r="FA229" i="178"/>
  <c r="EZ229" i="178"/>
  <c r="EY229" i="178"/>
  <c r="EW229" i="178"/>
  <c r="EV229" i="178"/>
  <c r="EU229" i="178"/>
  <c r="ET229" i="178"/>
  <c r="ES229" i="178"/>
  <c r="EQ229" i="178"/>
  <c r="EP229" i="178"/>
  <c r="EO229" i="178"/>
  <c r="EN229" i="178"/>
  <c r="EM229" i="178"/>
  <c r="EK229" i="178"/>
  <c r="EJ229" i="178"/>
  <c r="EI229" i="178"/>
  <c r="EH229" i="178"/>
  <c r="EG229" i="178"/>
  <c r="EE229" i="178"/>
  <c r="ED229" i="178"/>
  <c r="EC229" i="178"/>
  <c r="EB229" i="178"/>
  <c r="EA229" i="178"/>
  <c r="DY229" i="178"/>
  <c r="DX229" i="178"/>
  <c r="DW229" i="178"/>
  <c r="DV229" i="178"/>
  <c r="DU229" i="178"/>
  <c r="DS229" i="178"/>
  <c r="DR229" i="178"/>
  <c r="DQ229" i="178"/>
  <c r="DP229" i="178"/>
  <c r="DO229" i="178"/>
  <c r="DM229" i="178"/>
  <c r="DL229" i="178"/>
  <c r="DK229" i="178"/>
  <c r="DJ229" i="178"/>
  <c r="DI229" i="178"/>
  <c r="DG229" i="178"/>
  <c r="DF229" i="178"/>
  <c r="DE229" i="178"/>
  <c r="DD229" i="178"/>
  <c r="DC229" i="178"/>
  <c r="DA229" i="178"/>
  <c r="CZ229" i="178"/>
  <c r="CY229" i="178"/>
  <c r="CX229" i="178"/>
  <c r="CW229" i="178"/>
  <c r="CU229" i="178"/>
  <c r="CT229" i="178"/>
  <c r="CS229" i="178"/>
  <c r="CR229" i="178"/>
  <c r="CQ229" i="178"/>
  <c r="CO229" i="178"/>
  <c r="CN229" i="178"/>
  <c r="CM229" i="178"/>
  <c r="CL229" i="178"/>
  <c r="CK229" i="178"/>
  <c r="CI229" i="178"/>
  <c r="CH229" i="178"/>
  <c r="CG229" i="178"/>
  <c r="CF229" i="178"/>
  <c r="CE229" i="178"/>
  <c r="CC229" i="178"/>
  <c r="CB229" i="178"/>
  <c r="CA229" i="178"/>
  <c r="BZ229" i="178"/>
  <c r="BY229" i="178"/>
  <c r="BW229" i="178"/>
  <c r="BV229" i="178"/>
  <c r="BU229" i="178"/>
  <c r="BT229" i="178"/>
  <c r="BS229" i="178"/>
  <c r="BQ229" i="178"/>
  <c r="BP229" i="178"/>
  <c r="BO229" i="178"/>
  <c r="BN229" i="178"/>
  <c r="BM229" i="178"/>
  <c r="BK229" i="178"/>
  <c r="BJ229" i="178"/>
  <c r="BI229" i="178"/>
  <c r="BH229" i="178"/>
  <c r="BG229" i="178"/>
  <c r="BE229" i="178"/>
  <c r="BD229" i="178"/>
  <c r="BC229" i="178"/>
  <c r="BB229" i="178"/>
  <c r="BA229" i="178"/>
  <c r="AY229" i="178"/>
  <c r="AX229" i="178"/>
  <c r="AW229" i="178"/>
  <c r="AV229" i="178"/>
  <c r="AU229" i="178"/>
  <c r="AN229" i="178"/>
  <c r="AH229" i="178"/>
  <c r="AB229" i="178"/>
  <c r="V229" i="178"/>
  <c r="U229" i="178"/>
  <c r="GZ228" i="178"/>
  <c r="GT228" i="178"/>
  <c r="GN228" i="178"/>
  <c r="GH228" i="178"/>
  <c r="FV228" i="178"/>
  <c r="FP228" i="178"/>
  <c r="FJ228" i="178"/>
  <c r="FD228" i="178"/>
  <c r="ER228" i="178"/>
  <c r="EL228" i="178"/>
  <c r="EF228" i="178"/>
  <c r="DZ228" i="178"/>
  <c r="DN228" i="178"/>
  <c r="DH228" i="178"/>
  <c r="DB228" i="178"/>
  <c r="CV228" i="178"/>
  <c r="GZ225" i="178"/>
  <c r="GT225" i="178"/>
  <c r="GN225" i="178"/>
  <c r="GH225" i="178"/>
  <c r="FV225" i="178"/>
  <c r="FP225" i="178"/>
  <c r="FJ225" i="178"/>
  <c r="FD225" i="178"/>
  <c r="ER225" i="178"/>
  <c r="EL225" i="178"/>
  <c r="EF225" i="178"/>
  <c r="DZ225" i="178"/>
  <c r="DN225" i="178"/>
  <c r="DH225" i="178"/>
  <c r="DB225" i="178"/>
  <c r="CV225" i="178"/>
  <c r="GT223" i="178"/>
  <c r="GN223" i="178"/>
  <c r="GH223" i="178"/>
  <c r="FP223" i="178"/>
  <c r="FJ223" i="178"/>
  <c r="FD223" i="178"/>
  <c r="EL223" i="178"/>
  <c r="EF223" i="178"/>
  <c r="DZ223" i="178"/>
  <c r="DH223" i="178"/>
  <c r="DB223" i="178"/>
  <c r="CV223" i="178"/>
  <c r="GZ221" i="178"/>
  <c r="GT221" i="178"/>
  <c r="GN221" i="178"/>
  <c r="GH221" i="178"/>
  <c r="GB221" i="178"/>
  <c r="FV221" i="178"/>
  <c r="FP221" i="178"/>
  <c r="FJ221" i="178"/>
  <c r="FD221" i="178"/>
  <c r="EX221" i="178"/>
  <c r="ER221" i="178"/>
  <c r="EL221" i="178"/>
  <c r="EF221" i="178"/>
  <c r="DZ221" i="178"/>
  <c r="DT221" i="178"/>
  <c r="DN221" i="178"/>
  <c r="DH221" i="178"/>
  <c r="DB221" i="178"/>
  <c r="CV221" i="178"/>
  <c r="CP221" i="178"/>
  <c r="CJ221" i="178"/>
  <c r="CD221" i="178"/>
  <c r="BX221" i="178"/>
  <c r="BR221" i="178"/>
  <c r="BL221" i="178"/>
  <c r="BF221" i="178"/>
  <c r="AZ221" i="178"/>
  <c r="AT221" i="178"/>
  <c r="AN221" i="178"/>
  <c r="AH221" i="178"/>
  <c r="AB221" i="178"/>
  <c r="V221" i="178"/>
  <c r="U221" i="178"/>
  <c r="HI216" i="178"/>
  <c r="GD215" i="178"/>
  <c r="EZ215" i="178"/>
  <c r="DV215" i="178"/>
  <c r="CR215" i="178"/>
  <c r="CL215" i="178"/>
  <c r="CF215" i="178"/>
  <c r="BZ215" i="178"/>
  <c r="BT215" i="178"/>
  <c r="BN215" i="178"/>
  <c r="BH215" i="178"/>
  <c r="BB215" i="178"/>
  <c r="AV215" i="178"/>
  <c r="AP215" i="178"/>
  <c r="AJ215" i="178"/>
  <c r="AD215" i="178"/>
  <c r="X215" i="178"/>
  <c r="T215" i="178"/>
  <c r="I215" i="178"/>
  <c r="GD214" i="178"/>
  <c r="EZ214" i="178"/>
  <c r="DV214" i="178"/>
  <c r="CR214" i="178"/>
  <c r="CL214" i="178"/>
  <c r="CF214" i="178"/>
  <c r="BZ214" i="178"/>
  <c r="BT214" i="178"/>
  <c r="BN214" i="178"/>
  <c r="BH214" i="178"/>
  <c r="BB214" i="178"/>
  <c r="AV214" i="178"/>
  <c r="AP214" i="178"/>
  <c r="AJ214" i="178"/>
  <c r="AD214" i="178"/>
  <c r="X214" i="178"/>
  <c r="T214" i="178"/>
  <c r="I214" i="178"/>
  <c r="T213" i="178"/>
  <c r="I213" i="178"/>
  <c r="GD212" i="178"/>
  <c r="EZ212" i="178"/>
  <c r="DV212" i="178"/>
  <c r="CR212" i="178"/>
  <c r="CL212" i="178"/>
  <c r="CF212" i="178"/>
  <c r="BZ212" i="178"/>
  <c r="BT212" i="178"/>
  <c r="BN212" i="178"/>
  <c r="BH212" i="178"/>
  <c r="BB212" i="178"/>
  <c r="AV212" i="178"/>
  <c r="AP212" i="178"/>
  <c r="AJ212" i="178"/>
  <c r="AD212" i="178"/>
  <c r="X212" i="178"/>
  <c r="T212" i="178"/>
  <c r="I212" i="178"/>
  <c r="GD211" i="178"/>
  <c r="EZ211" i="178"/>
  <c r="DV211" i="178"/>
  <c r="CR211" i="178"/>
  <c r="CL211" i="178"/>
  <c r="CF211" i="178"/>
  <c r="BZ211" i="178"/>
  <c r="BT211" i="178"/>
  <c r="BN211" i="178"/>
  <c r="BH211" i="178"/>
  <c r="BB211" i="178"/>
  <c r="AV211" i="178"/>
  <c r="AP211" i="178"/>
  <c r="AJ211" i="178"/>
  <c r="AD211" i="178"/>
  <c r="X211" i="178"/>
  <c r="T211" i="178"/>
  <c r="I211" i="178"/>
  <c r="GD210" i="178"/>
  <c r="EZ210" i="178"/>
  <c r="DV210" i="178"/>
  <c r="CR210" i="178"/>
  <c r="CL210" i="178"/>
  <c r="CF210" i="178"/>
  <c r="BZ210" i="178"/>
  <c r="BT210" i="178"/>
  <c r="BN210" i="178"/>
  <c r="BH210" i="178"/>
  <c r="BB210" i="178"/>
  <c r="AV210" i="178"/>
  <c r="AP210" i="178"/>
  <c r="AJ210" i="178"/>
  <c r="AD210" i="178"/>
  <c r="X210" i="178"/>
  <c r="T210" i="178"/>
  <c r="I210" i="178"/>
  <c r="GD209" i="178"/>
  <c r="EZ209" i="178"/>
  <c r="DV209" i="178"/>
  <c r="CR209" i="178"/>
  <c r="CL209" i="178"/>
  <c r="CF209" i="178"/>
  <c r="BZ209" i="178"/>
  <c r="BT209" i="178"/>
  <c r="BN209" i="178"/>
  <c r="BH209" i="178"/>
  <c r="BB209" i="178"/>
  <c r="AV209" i="178"/>
  <c r="AP209" i="178"/>
  <c r="AJ209" i="178"/>
  <c r="AD209" i="178"/>
  <c r="X209" i="178"/>
  <c r="T209" i="178"/>
  <c r="I209" i="178"/>
  <c r="GD208" i="178"/>
  <c r="EZ208" i="178"/>
  <c r="DV208" i="178"/>
  <c r="CR208" i="178"/>
  <c r="CL208" i="178"/>
  <c r="CF208" i="178"/>
  <c r="BZ208" i="178"/>
  <c r="BT208" i="178"/>
  <c r="BN208" i="178"/>
  <c r="BH208" i="178"/>
  <c r="BB208" i="178"/>
  <c r="AV208" i="178"/>
  <c r="AP208" i="178"/>
  <c r="AJ208" i="178"/>
  <c r="AD208" i="178"/>
  <c r="X208" i="178"/>
  <c r="T208" i="178"/>
  <c r="I208" i="178"/>
  <c r="GD207" i="178"/>
  <c r="EZ207" i="178"/>
  <c r="DV207" i="178"/>
  <c r="CR207" i="178"/>
  <c r="CL207" i="178"/>
  <c r="CF207" i="178"/>
  <c r="BZ207" i="178"/>
  <c r="BT207" i="178"/>
  <c r="BN207" i="178"/>
  <c r="BH207" i="178"/>
  <c r="BB207" i="178"/>
  <c r="AV207" i="178"/>
  <c r="AP207" i="178"/>
  <c r="AJ207" i="178"/>
  <c r="AD207" i="178"/>
  <c r="X207" i="178"/>
  <c r="T207" i="178"/>
  <c r="I207" i="178"/>
  <c r="T206" i="178"/>
  <c r="I206" i="178"/>
  <c r="T205" i="178"/>
  <c r="I205" i="178"/>
  <c r="T204" i="178"/>
  <c r="I204" i="178"/>
  <c r="GF203" i="178"/>
  <c r="GE203" i="178"/>
  <c r="GD203" i="178"/>
  <c r="GC203" i="178"/>
  <c r="FB203" i="178"/>
  <c r="FA203" i="178"/>
  <c r="EZ203" i="178"/>
  <c r="EY203" i="178"/>
  <c r="DX203" i="178"/>
  <c r="DW203" i="178"/>
  <c r="DV203" i="178"/>
  <c r="DU203" i="178"/>
  <c r="CT203" i="178"/>
  <c r="CS203" i="178"/>
  <c r="CR203" i="178"/>
  <c r="CQ203" i="178"/>
  <c r="CN203" i="178"/>
  <c r="CM203" i="178"/>
  <c r="CL203" i="178"/>
  <c r="CK203" i="178"/>
  <c r="CH203" i="178"/>
  <c r="CG203" i="178"/>
  <c r="CF203" i="178"/>
  <c r="CE203" i="178"/>
  <c r="CB203" i="178"/>
  <c r="CA203" i="178"/>
  <c r="BZ203" i="178"/>
  <c r="BY203" i="178"/>
  <c r="BV203" i="178"/>
  <c r="BU203" i="178"/>
  <c r="BT203" i="178"/>
  <c r="BS203" i="178"/>
  <c r="BP203" i="178"/>
  <c r="BO203" i="178"/>
  <c r="BN203" i="178"/>
  <c r="BM203" i="178"/>
  <c r="BJ203" i="178"/>
  <c r="BI203" i="178"/>
  <c r="BH203" i="178"/>
  <c r="BG203" i="178"/>
  <c r="BD203" i="178"/>
  <c r="BC203" i="178"/>
  <c r="BB203" i="178"/>
  <c r="BA203" i="178"/>
  <c r="AX203" i="178"/>
  <c r="AW203" i="178"/>
  <c r="AV203" i="178"/>
  <c r="AU203" i="178"/>
  <c r="AR203" i="178"/>
  <c r="AQ203" i="178"/>
  <c r="AP203" i="178"/>
  <c r="AO203" i="178"/>
  <c r="AL203" i="178"/>
  <c r="AK203" i="178"/>
  <c r="AJ203" i="178"/>
  <c r="AI203" i="178"/>
  <c r="AF203" i="178"/>
  <c r="AE203" i="178"/>
  <c r="AD203" i="178"/>
  <c r="AC203" i="178"/>
  <c r="Z203" i="178"/>
  <c r="Y203" i="178"/>
  <c r="X203" i="178"/>
  <c r="W203" i="178"/>
  <c r="T203" i="178"/>
  <c r="I203" i="178"/>
  <c r="GF202" i="178"/>
  <c r="GE202" i="178"/>
  <c r="GD202" i="178"/>
  <c r="GC202" i="178"/>
  <c r="FB202" i="178"/>
  <c r="FA202" i="178"/>
  <c r="EZ202" i="178"/>
  <c r="EY202" i="178"/>
  <c r="DX202" i="178"/>
  <c r="DW202" i="178"/>
  <c r="DV202" i="178"/>
  <c r="DU202" i="178"/>
  <c r="CT202" i="178"/>
  <c r="CS202" i="178"/>
  <c r="CR202" i="178"/>
  <c r="CQ202" i="178"/>
  <c r="CN202" i="178"/>
  <c r="CM202" i="178"/>
  <c r="CL202" i="178"/>
  <c r="CK202" i="178"/>
  <c r="CH202" i="178"/>
  <c r="CG202" i="178"/>
  <c r="CF202" i="178"/>
  <c r="CE202" i="178"/>
  <c r="CB202" i="178"/>
  <c r="CA202" i="178"/>
  <c r="BZ202" i="178"/>
  <c r="BY202" i="178"/>
  <c r="BV202" i="178"/>
  <c r="BU202" i="178"/>
  <c r="BT202" i="178"/>
  <c r="BS202" i="178"/>
  <c r="BP202" i="178"/>
  <c r="BO202" i="178"/>
  <c r="BN202" i="178"/>
  <c r="BM202" i="178"/>
  <c r="BJ202" i="178"/>
  <c r="BI202" i="178"/>
  <c r="BH202" i="178"/>
  <c r="BG202" i="178"/>
  <c r="BD202" i="178"/>
  <c r="BC202" i="178"/>
  <c r="BB202" i="178"/>
  <c r="BA202" i="178"/>
  <c r="AX202" i="178"/>
  <c r="AW202" i="178"/>
  <c r="AV202" i="178"/>
  <c r="AU202" i="178"/>
  <c r="AR202" i="178"/>
  <c r="AQ202" i="178"/>
  <c r="AP202" i="178"/>
  <c r="AO202" i="178"/>
  <c r="AL202" i="178"/>
  <c r="AK202" i="178"/>
  <c r="AJ202" i="178"/>
  <c r="AI202" i="178"/>
  <c r="AF202" i="178"/>
  <c r="AE202" i="178"/>
  <c r="AD202" i="178"/>
  <c r="AC202" i="178"/>
  <c r="Z202" i="178"/>
  <c r="Y202" i="178"/>
  <c r="X202" i="178"/>
  <c r="W202" i="178"/>
  <c r="U202" i="178" s="1"/>
  <c r="T202" i="178"/>
  <c r="I202" i="178"/>
  <c r="T201" i="178"/>
  <c r="I201" i="178"/>
  <c r="T200" i="178"/>
  <c r="I200" i="178"/>
  <c r="T199" i="178"/>
  <c r="I199" i="178"/>
  <c r="T198" i="178"/>
  <c r="I198" i="178"/>
  <c r="T197" i="178"/>
  <c r="I197" i="178"/>
  <c r="T196" i="178"/>
  <c r="I196" i="178"/>
  <c r="T195" i="178"/>
  <c r="I195" i="178"/>
  <c r="T194" i="178"/>
  <c r="I194" i="178"/>
  <c r="T193" i="178"/>
  <c r="I193" i="178"/>
  <c r="T192" i="178"/>
  <c r="I192" i="178"/>
  <c r="T191" i="178"/>
  <c r="I191" i="178"/>
  <c r="T190" i="178"/>
  <c r="I190" i="178"/>
  <c r="T189" i="178"/>
  <c r="I189" i="178"/>
  <c r="T188" i="178"/>
  <c r="I188" i="178"/>
  <c r="T187" i="178"/>
  <c r="I187" i="178"/>
  <c r="T186" i="178"/>
  <c r="I186" i="178"/>
  <c r="T185" i="178"/>
  <c r="I185" i="178"/>
  <c r="GG184" i="178"/>
  <c r="GF184" i="178"/>
  <c r="GE184" i="178"/>
  <c r="GD184" i="178"/>
  <c r="GC184" i="178"/>
  <c r="FC184" i="178"/>
  <c r="FB184" i="178"/>
  <c r="FA184" i="178"/>
  <c r="EZ184" i="178"/>
  <c r="EY184" i="178"/>
  <c r="DY184" i="178"/>
  <c r="DX184" i="178"/>
  <c r="DW184" i="178"/>
  <c r="DV184" i="178"/>
  <c r="DU184" i="178"/>
  <c r="CU184" i="178"/>
  <c r="CT184" i="178"/>
  <c r="CS184" i="178"/>
  <c r="CR184" i="178"/>
  <c r="CQ184" i="178"/>
  <c r="CO184" i="178"/>
  <c r="CN184" i="178"/>
  <c r="CM184" i="178"/>
  <c r="CL184" i="178"/>
  <c r="CK184" i="178"/>
  <c r="CI184" i="178"/>
  <c r="CH184" i="178"/>
  <c r="CG184" i="178"/>
  <c r="CF184" i="178"/>
  <c r="CE184" i="178"/>
  <c r="CC184" i="178"/>
  <c r="CB184" i="178"/>
  <c r="CA184" i="178"/>
  <c r="BZ184" i="178"/>
  <c r="BY184" i="178"/>
  <c r="BW184" i="178"/>
  <c r="BV184" i="178"/>
  <c r="BU184" i="178"/>
  <c r="BT184" i="178"/>
  <c r="BS184" i="178"/>
  <c r="BQ184" i="178"/>
  <c r="BP184" i="178"/>
  <c r="BO184" i="178"/>
  <c r="BN184" i="178"/>
  <c r="BM184" i="178"/>
  <c r="BK184" i="178"/>
  <c r="BJ184" i="178"/>
  <c r="BI184" i="178"/>
  <c r="BH184" i="178"/>
  <c r="BG184" i="178"/>
  <c r="BE184" i="178"/>
  <c r="BD184" i="178"/>
  <c r="BC184" i="178"/>
  <c r="BB184" i="178"/>
  <c r="BA184" i="178"/>
  <c r="AY184" i="178"/>
  <c r="AX184" i="178"/>
  <c r="AW184" i="178"/>
  <c r="AV184" i="178"/>
  <c r="AU184" i="178"/>
  <c r="AS184" i="178"/>
  <c r="AR184" i="178"/>
  <c r="AQ184" i="178"/>
  <c r="AP184" i="178"/>
  <c r="AO184" i="178"/>
  <c r="AM184" i="178"/>
  <c r="AL184" i="178"/>
  <c r="AK184" i="178"/>
  <c r="AJ184" i="178"/>
  <c r="AI184" i="178"/>
  <c r="AG184" i="178"/>
  <c r="AF184" i="178"/>
  <c r="AE184" i="178"/>
  <c r="AD184" i="178"/>
  <c r="AC184" i="178"/>
  <c r="AA184" i="178"/>
  <c r="Z184" i="178"/>
  <c r="Y184" i="178"/>
  <c r="X184" i="178"/>
  <c r="W184" i="178"/>
  <c r="T184" i="178"/>
  <c r="I184" i="178"/>
  <c r="GG183" i="178"/>
  <c r="GF183" i="178"/>
  <c r="GE183" i="178"/>
  <c r="GD183" i="178"/>
  <c r="GC183" i="178"/>
  <c r="FC183" i="178"/>
  <c r="FB183" i="178"/>
  <c r="FA183" i="178"/>
  <c r="EZ183" i="178"/>
  <c r="EY183" i="178"/>
  <c r="DY183" i="178"/>
  <c r="DX183" i="178"/>
  <c r="DW183" i="178"/>
  <c r="DV183" i="178"/>
  <c r="DU183" i="178"/>
  <c r="CU183" i="178"/>
  <c r="CT183" i="178"/>
  <c r="CS183" i="178"/>
  <c r="CR183" i="178"/>
  <c r="CQ183" i="178"/>
  <c r="CO183" i="178"/>
  <c r="CN183" i="178"/>
  <c r="CM183" i="178"/>
  <c r="CL183" i="178"/>
  <c r="CK183" i="178"/>
  <c r="CI183" i="178"/>
  <c r="CH183" i="178"/>
  <c r="CG183" i="178"/>
  <c r="CF183" i="178"/>
  <c r="CE183" i="178"/>
  <c r="CC183" i="178"/>
  <c r="CB183" i="178"/>
  <c r="CA183" i="178"/>
  <c r="BZ183" i="178"/>
  <c r="BY183" i="178"/>
  <c r="BW183" i="178"/>
  <c r="BV183" i="178"/>
  <c r="BU183" i="178"/>
  <c r="BT183" i="178"/>
  <c r="BS183" i="178"/>
  <c r="BQ183" i="178"/>
  <c r="BP183" i="178"/>
  <c r="BO183" i="178"/>
  <c r="BN183" i="178"/>
  <c r="BM183" i="178"/>
  <c r="BK183" i="178"/>
  <c r="BJ183" i="178"/>
  <c r="BI183" i="178"/>
  <c r="BH183" i="178"/>
  <c r="BG183" i="178"/>
  <c r="BE183" i="178"/>
  <c r="BD183" i="178"/>
  <c r="BC183" i="178"/>
  <c r="BB183" i="178"/>
  <c r="BA183" i="178"/>
  <c r="AY183" i="178"/>
  <c r="AX183" i="178"/>
  <c r="AW183" i="178"/>
  <c r="AV183" i="178"/>
  <c r="AU183" i="178"/>
  <c r="AS183" i="178"/>
  <c r="AR183" i="178"/>
  <c r="AQ183" i="178"/>
  <c r="AP183" i="178"/>
  <c r="AO183" i="178"/>
  <c r="AM183" i="178"/>
  <c r="AL183" i="178"/>
  <c r="AK183" i="178"/>
  <c r="AJ183" i="178"/>
  <c r="AI183" i="178"/>
  <c r="AG183" i="178"/>
  <c r="AF183" i="178"/>
  <c r="AE183" i="178"/>
  <c r="AD183" i="178"/>
  <c r="AC183" i="178"/>
  <c r="AA183" i="178"/>
  <c r="Z183" i="178"/>
  <c r="Y183" i="178"/>
  <c r="X183" i="178"/>
  <c r="W183" i="178"/>
  <c r="T183" i="178"/>
  <c r="I183" i="178"/>
  <c r="GG182" i="178"/>
  <c r="GF182" i="178"/>
  <c r="GE182" i="178"/>
  <c r="GD182" i="178"/>
  <c r="GC182" i="178"/>
  <c r="FC182" i="178"/>
  <c r="FB182" i="178"/>
  <c r="FA182" i="178"/>
  <c r="EZ182" i="178"/>
  <c r="EY182" i="178"/>
  <c r="DY182" i="178"/>
  <c r="DX182" i="178"/>
  <c r="DW182" i="178"/>
  <c r="DV182" i="178"/>
  <c r="DU182" i="178"/>
  <c r="CU182" i="178"/>
  <c r="CT182" i="178"/>
  <c r="CS182" i="178"/>
  <c r="CR182" i="178"/>
  <c r="CQ182" i="178"/>
  <c r="CO182" i="178"/>
  <c r="CN182" i="178"/>
  <c r="CM182" i="178"/>
  <c r="CL182" i="178"/>
  <c r="CK182" i="178"/>
  <c r="CI182" i="178"/>
  <c r="CH182" i="178"/>
  <c r="CG182" i="178"/>
  <c r="CF182" i="178"/>
  <c r="CE182" i="178"/>
  <c r="CC182" i="178"/>
  <c r="CB182" i="178"/>
  <c r="CA182" i="178"/>
  <c r="BZ182" i="178"/>
  <c r="BY182" i="178"/>
  <c r="BW182" i="178"/>
  <c r="BV182" i="178"/>
  <c r="BU182" i="178"/>
  <c r="BT182" i="178"/>
  <c r="BS182" i="178"/>
  <c r="BQ182" i="178"/>
  <c r="BP182" i="178"/>
  <c r="BO182" i="178"/>
  <c r="BN182" i="178"/>
  <c r="BM182" i="178"/>
  <c r="BK182" i="178"/>
  <c r="BJ182" i="178"/>
  <c r="BI182" i="178"/>
  <c r="BH182" i="178"/>
  <c r="BG182" i="178"/>
  <c r="BE182" i="178"/>
  <c r="BD182" i="178"/>
  <c r="BC182" i="178"/>
  <c r="BB182" i="178"/>
  <c r="BA182" i="178"/>
  <c r="AY182" i="178"/>
  <c r="AX182" i="178"/>
  <c r="AW182" i="178"/>
  <c r="AV182" i="178"/>
  <c r="AU182" i="178"/>
  <c r="AS182" i="178"/>
  <c r="AR182" i="178"/>
  <c r="AQ182" i="178"/>
  <c r="AP182" i="178"/>
  <c r="AO182" i="178"/>
  <c r="AM182" i="178"/>
  <c r="AL182" i="178"/>
  <c r="AK182" i="178"/>
  <c r="AJ182" i="178"/>
  <c r="AI182" i="178"/>
  <c r="AG182" i="178"/>
  <c r="AF182" i="178"/>
  <c r="AE182" i="178"/>
  <c r="AD182" i="178"/>
  <c r="AC182" i="178"/>
  <c r="AA182" i="178"/>
  <c r="Z182" i="178"/>
  <c r="Y182" i="178"/>
  <c r="X182" i="178"/>
  <c r="W182" i="178"/>
  <c r="T182" i="178"/>
  <c r="I182" i="178"/>
  <c r="GD181" i="178"/>
  <c r="EZ181" i="178"/>
  <c r="DV181" i="178"/>
  <c r="CR181" i="178"/>
  <c r="CL181" i="178"/>
  <c r="CF181" i="178"/>
  <c r="BZ181" i="178"/>
  <c r="BT181" i="178"/>
  <c r="BN181" i="178"/>
  <c r="BH181" i="178"/>
  <c r="BB181" i="178"/>
  <c r="AV181" i="178"/>
  <c r="AP181" i="178"/>
  <c r="AJ181" i="178"/>
  <c r="AD181" i="178"/>
  <c r="X181" i="178"/>
  <c r="T181" i="178"/>
  <c r="I181" i="178"/>
  <c r="GD180" i="178"/>
  <c r="EZ180" i="178"/>
  <c r="DV180" i="178"/>
  <c r="CR180" i="178"/>
  <c r="CL180" i="178"/>
  <c r="CF180" i="178"/>
  <c r="BZ180" i="178"/>
  <c r="BT180" i="178"/>
  <c r="BN180" i="178"/>
  <c r="BH180" i="178"/>
  <c r="BB180" i="178"/>
  <c r="AV180" i="178"/>
  <c r="AP180" i="178"/>
  <c r="AJ180" i="178"/>
  <c r="AD180" i="178"/>
  <c r="X180" i="178"/>
  <c r="T180" i="178"/>
  <c r="I180" i="178"/>
  <c r="T179" i="178"/>
  <c r="I179" i="178"/>
  <c r="T178" i="178"/>
  <c r="I178" i="178"/>
  <c r="T177" i="178"/>
  <c r="I177" i="178"/>
  <c r="T176" i="178"/>
  <c r="I176" i="178"/>
  <c r="GD175" i="178"/>
  <c r="EZ175" i="178"/>
  <c r="DV175" i="178"/>
  <c r="CR175" i="178"/>
  <c r="CL175" i="178"/>
  <c r="CF175" i="178"/>
  <c r="BZ175" i="178"/>
  <c r="BT175" i="178"/>
  <c r="BN175" i="178"/>
  <c r="BH175" i="178"/>
  <c r="BB175" i="178"/>
  <c r="AV175" i="178"/>
  <c r="AP175" i="178"/>
  <c r="AJ175" i="178"/>
  <c r="AD175" i="178"/>
  <c r="X175" i="178"/>
  <c r="T175" i="178"/>
  <c r="I175" i="178"/>
  <c r="GD174" i="178"/>
  <c r="EZ174" i="178"/>
  <c r="DV174" i="178"/>
  <c r="CR174" i="178"/>
  <c r="CL174" i="178"/>
  <c r="CF174" i="178"/>
  <c r="BZ174" i="178"/>
  <c r="BT174" i="178"/>
  <c r="BN174" i="178"/>
  <c r="BH174" i="178"/>
  <c r="BB174" i="178"/>
  <c r="AV174" i="178"/>
  <c r="AP174" i="178"/>
  <c r="AJ174" i="178"/>
  <c r="AD174" i="178"/>
  <c r="X174" i="178"/>
  <c r="T174" i="178"/>
  <c r="I174" i="178"/>
  <c r="T173" i="178"/>
  <c r="I173" i="178"/>
  <c r="T172" i="178"/>
  <c r="I172" i="178"/>
  <c r="T171" i="178"/>
  <c r="I171" i="178"/>
  <c r="T170" i="178"/>
  <c r="I170" i="178"/>
  <c r="T169" i="178"/>
  <c r="I169" i="178"/>
  <c r="T168" i="178"/>
  <c r="I168" i="178"/>
  <c r="T167" i="178"/>
  <c r="I167" i="178"/>
  <c r="GD166" i="178"/>
  <c r="EZ166" i="178"/>
  <c r="DV166" i="178"/>
  <c r="CR166" i="178"/>
  <c r="CL166" i="178"/>
  <c r="CF166" i="178"/>
  <c r="BZ166" i="178"/>
  <c r="BT166" i="178"/>
  <c r="BN166" i="178"/>
  <c r="BH166" i="178"/>
  <c r="BB166" i="178"/>
  <c r="AV166" i="178"/>
  <c r="AP166" i="178"/>
  <c r="AJ166" i="178"/>
  <c r="AD166" i="178"/>
  <c r="X166" i="178"/>
  <c r="T166" i="178"/>
  <c r="I166" i="178"/>
  <c r="T165" i="178"/>
  <c r="I165" i="178"/>
  <c r="GD164" i="178"/>
  <c r="EZ164" i="178"/>
  <c r="DV164" i="178"/>
  <c r="CR164" i="178"/>
  <c r="CL164" i="178"/>
  <c r="CF164" i="178"/>
  <c r="BZ164" i="178"/>
  <c r="BT164" i="178"/>
  <c r="BN164" i="178"/>
  <c r="BH164" i="178"/>
  <c r="BB164" i="178"/>
  <c r="AV164" i="178"/>
  <c r="AP164" i="178"/>
  <c r="AJ164" i="178"/>
  <c r="AD164" i="178"/>
  <c r="X164" i="178"/>
  <c r="T164" i="178"/>
  <c r="I164" i="178"/>
  <c r="T163" i="178"/>
  <c r="I163" i="178"/>
  <c r="GD162" i="178"/>
  <c r="EZ162" i="178"/>
  <c r="DV162" i="178"/>
  <c r="CR162" i="178"/>
  <c r="CL162" i="178"/>
  <c r="CF162" i="178"/>
  <c r="BZ162" i="178"/>
  <c r="BT162" i="178"/>
  <c r="BN162" i="178"/>
  <c r="BH162" i="178"/>
  <c r="BB162" i="178"/>
  <c r="AV162" i="178"/>
  <c r="AP162" i="178"/>
  <c r="AJ162" i="178"/>
  <c r="AD162" i="178"/>
  <c r="X162" i="178"/>
  <c r="T162" i="178"/>
  <c r="I162" i="178"/>
  <c r="T161" i="178"/>
  <c r="I161" i="178"/>
  <c r="T160" i="178"/>
  <c r="I160" i="178"/>
  <c r="GE159" i="178"/>
  <c r="FA159" i="178"/>
  <c r="DW159" i="178"/>
  <c r="CS159" i="178"/>
  <c r="CM159" i="178"/>
  <c r="CG159" i="178"/>
  <c r="CA159" i="178"/>
  <c r="BU159" i="178"/>
  <c r="BO159" i="178"/>
  <c r="BI159" i="178"/>
  <c r="BC159" i="178"/>
  <c r="AW159" i="178"/>
  <c r="AQ159" i="178"/>
  <c r="AK159" i="178"/>
  <c r="AE159" i="178"/>
  <c r="Y159" i="178"/>
  <c r="T159" i="178"/>
  <c r="I159" i="178"/>
  <c r="T158" i="178"/>
  <c r="I158" i="178"/>
  <c r="GE157" i="178"/>
  <c r="FA157" i="178"/>
  <c r="DW157" i="178"/>
  <c r="CS157" i="178"/>
  <c r="CM157" i="178"/>
  <c r="CG157" i="178"/>
  <c r="CA157" i="178"/>
  <c r="BU157" i="178"/>
  <c r="BO157" i="178"/>
  <c r="BI157" i="178"/>
  <c r="BC157" i="178"/>
  <c r="AW157" i="178"/>
  <c r="AQ157" i="178"/>
  <c r="AK157" i="178"/>
  <c r="AE157" i="178"/>
  <c r="Y157" i="178"/>
  <c r="T157" i="178"/>
  <c r="I157" i="178"/>
  <c r="GE156" i="178"/>
  <c r="FA156" i="178"/>
  <c r="DW156" i="178"/>
  <c r="CS156" i="178"/>
  <c r="CM156" i="178"/>
  <c r="CG156" i="178"/>
  <c r="CA156" i="178"/>
  <c r="BU156" i="178"/>
  <c r="BO156" i="178"/>
  <c r="BI156" i="178"/>
  <c r="BC156" i="178"/>
  <c r="AW156" i="178"/>
  <c r="AQ156" i="178"/>
  <c r="AK156" i="178"/>
  <c r="AE156" i="178"/>
  <c r="Y156" i="178"/>
  <c r="T156" i="178"/>
  <c r="I156" i="178"/>
  <c r="T155" i="178"/>
  <c r="I155" i="178"/>
  <c r="GE154" i="178"/>
  <c r="FA154" i="178"/>
  <c r="DW154" i="178"/>
  <c r="CS154" i="178"/>
  <c r="CM154" i="178"/>
  <c r="CG154" i="178"/>
  <c r="CA154" i="178"/>
  <c r="BU154" i="178"/>
  <c r="BO154" i="178"/>
  <c r="BI154" i="178"/>
  <c r="BC154" i="178"/>
  <c r="AW154" i="178"/>
  <c r="AQ154" i="178"/>
  <c r="AK154" i="178"/>
  <c r="AE154" i="178"/>
  <c r="Y154" i="178"/>
  <c r="T154" i="178"/>
  <c r="I154" i="178"/>
  <c r="T153" i="178"/>
  <c r="I153" i="178"/>
  <c r="T152" i="178"/>
  <c r="I152" i="178"/>
  <c r="T151" i="178"/>
  <c r="I151" i="178"/>
  <c r="T150" i="178"/>
  <c r="I150" i="178"/>
  <c r="T149" i="178"/>
  <c r="I149" i="178"/>
  <c r="T148" i="178"/>
  <c r="I148" i="178"/>
  <c r="T147" i="178"/>
  <c r="I147" i="178"/>
  <c r="T146" i="178"/>
  <c r="I146" i="178"/>
  <c r="T145" i="178"/>
  <c r="I145" i="178"/>
  <c r="GE144" i="178"/>
  <c r="FA144" i="178"/>
  <c r="DW144" i="178"/>
  <c r="CS144" i="178"/>
  <c r="CM144" i="178"/>
  <c r="CG144" i="178"/>
  <c r="CA144" i="178"/>
  <c r="BU144" i="178"/>
  <c r="BO144" i="178"/>
  <c r="BI144" i="178"/>
  <c r="BC144" i="178"/>
  <c r="AW144" i="178"/>
  <c r="AQ144" i="178"/>
  <c r="AK144" i="178"/>
  <c r="AE144" i="178"/>
  <c r="Y144" i="178"/>
  <c r="T144" i="178"/>
  <c r="I144" i="178"/>
  <c r="T143" i="178"/>
  <c r="I143" i="178"/>
  <c r="T142" i="178"/>
  <c r="I142" i="178"/>
  <c r="GE141" i="178"/>
  <c r="FA141" i="178"/>
  <c r="DW141" i="178"/>
  <c r="CS141" i="178"/>
  <c r="CM141" i="178"/>
  <c r="CG141" i="178"/>
  <c r="CA141" i="178"/>
  <c r="BU141" i="178"/>
  <c r="BO141" i="178"/>
  <c r="BI141" i="178"/>
  <c r="BC141" i="178"/>
  <c r="AW141" i="178"/>
  <c r="AQ141" i="178"/>
  <c r="AK141" i="178"/>
  <c r="AE141" i="178"/>
  <c r="Y141" i="178"/>
  <c r="T141" i="178"/>
  <c r="I141" i="178"/>
  <c r="GE140" i="178"/>
  <c r="FA140" i="178"/>
  <c r="DW140" i="178"/>
  <c r="CS140" i="178"/>
  <c r="CM140" i="178"/>
  <c r="CG140" i="178"/>
  <c r="CA140" i="178"/>
  <c r="BU140" i="178"/>
  <c r="BO140" i="178"/>
  <c r="BI140" i="178"/>
  <c r="BC140" i="178"/>
  <c r="AW140" i="178"/>
  <c r="AQ140" i="178"/>
  <c r="AK140" i="178"/>
  <c r="AE140" i="178"/>
  <c r="Y140" i="178"/>
  <c r="T140" i="178"/>
  <c r="I140" i="178"/>
  <c r="GE139" i="178"/>
  <c r="FA139" i="178"/>
  <c r="DW139" i="178"/>
  <c r="CS139" i="178"/>
  <c r="CM139" i="178"/>
  <c r="CG139" i="178"/>
  <c r="CA139" i="178"/>
  <c r="BU139" i="178"/>
  <c r="BO139" i="178"/>
  <c r="BI139" i="178"/>
  <c r="BC139" i="178"/>
  <c r="AW139" i="178"/>
  <c r="AQ139" i="178"/>
  <c r="AK139" i="178"/>
  <c r="AE139" i="178"/>
  <c r="Y139" i="178"/>
  <c r="T139" i="178"/>
  <c r="I139" i="178"/>
  <c r="T138" i="178"/>
  <c r="I138" i="178"/>
  <c r="T137" i="178"/>
  <c r="I137" i="178"/>
  <c r="GE136" i="178"/>
  <c r="FA136" i="178"/>
  <c r="DW136" i="178"/>
  <c r="CS136" i="178"/>
  <c r="CM136" i="178"/>
  <c r="CG136" i="178"/>
  <c r="CA136" i="178"/>
  <c r="BU136" i="178"/>
  <c r="BO136" i="178"/>
  <c r="BI136" i="178"/>
  <c r="BC136" i="178"/>
  <c r="AW136" i="178"/>
  <c r="AQ136" i="178"/>
  <c r="AK136" i="178"/>
  <c r="AE136" i="178"/>
  <c r="Y136" i="178"/>
  <c r="T136" i="178"/>
  <c r="I136" i="178"/>
  <c r="GE135" i="178"/>
  <c r="FA135" i="178"/>
  <c r="DW135" i="178"/>
  <c r="CS135" i="178"/>
  <c r="CM135" i="178"/>
  <c r="CG135" i="178"/>
  <c r="CA135" i="178"/>
  <c r="BU135" i="178"/>
  <c r="BO135" i="178"/>
  <c r="BI135" i="178"/>
  <c r="BC135" i="178"/>
  <c r="AW135" i="178"/>
  <c r="AQ135" i="178"/>
  <c r="AK135" i="178"/>
  <c r="AE135" i="178"/>
  <c r="Y135" i="178"/>
  <c r="T135" i="178"/>
  <c r="I135" i="178"/>
  <c r="GE134" i="178"/>
  <c r="FA134" i="178"/>
  <c r="DW134" i="178"/>
  <c r="CS134" i="178"/>
  <c r="CM134" i="178"/>
  <c r="CG134" i="178"/>
  <c r="CA134" i="178"/>
  <c r="BU134" i="178"/>
  <c r="BO134" i="178"/>
  <c r="BI134" i="178"/>
  <c r="BC134" i="178"/>
  <c r="AW134" i="178"/>
  <c r="AQ134" i="178"/>
  <c r="AK134" i="178"/>
  <c r="AE134" i="178"/>
  <c r="Y134" i="178"/>
  <c r="T134" i="178"/>
  <c r="I134" i="178"/>
  <c r="GE133" i="178"/>
  <c r="FA133" i="178"/>
  <c r="DW133" i="178"/>
  <c r="CS133" i="178"/>
  <c r="CM133" i="178"/>
  <c r="CG133" i="178"/>
  <c r="CA133" i="178"/>
  <c r="BU133" i="178"/>
  <c r="BO133" i="178"/>
  <c r="BI133" i="178"/>
  <c r="BC133" i="178"/>
  <c r="AW133" i="178"/>
  <c r="AQ133" i="178"/>
  <c r="AK133" i="178"/>
  <c r="AE133" i="178"/>
  <c r="Y133" i="178"/>
  <c r="T133" i="178"/>
  <c r="I133" i="178"/>
  <c r="T132" i="178"/>
  <c r="I132" i="178"/>
  <c r="GE131" i="178"/>
  <c r="FA131" i="178"/>
  <c r="DW131" i="178"/>
  <c r="CS131" i="178"/>
  <c r="CM131" i="178"/>
  <c r="CG131" i="178"/>
  <c r="CA131" i="178"/>
  <c r="BU131" i="178"/>
  <c r="BO131" i="178"/>
  <c r="BI131" i="178"/>
  <c r="BC131" i="178"/>
  <c r="AW131" i="178"/>
  <c r="AQ131" i="178"/>
  <c r="AK131" i="178"/>
  <c r="AE131" i="178"/>
  <c r="Y131" i="178"/>
  <c r="T131" i="178"/>
  <c r="I131" i="178"/>
  <c r="GE130" i="178"/>
  <c r="FA130" i="178"/>
  <c r="DW130" i="178"/>
  <c r="CS130" i="178"/>
  <c r="CM130" i="178"/>
  <c r="CG130" i="178"/>
  <c r="CA130" i="178"/>
  <c r="BU130" i="178"/>
  <c r="BO130" i="178"/>
  <c r="BI130" i="178"/>
  <c r="BC130" i="178"/>
  <c r="AW130" i="178"/>
  <c r="AQ130" i="178"/>
  <c r="AK130" i="178"/>
  <c r="AE130" i="178"/>
  <c r="Y130" i="178"/>
  <c r="T130" i="178"/>
  <c r="I130" i="178"/>
  <c r="GE129" i="178"/>
  <c r="FA129" i="178"/>
  <c r="DW129" i="178"/>
  <c r="CS129" i="178"/>
  <c r="CM129" i="178"/>
  <c r="CG129" i="178"/>
  <c r="CA129" i="178"/>
  <c r="BU129" i="178"/>
  <c r="BO129" i="178"/>
  <c r="BI129" i="178"/>
  <c r="BC129" i="178"/>
  <c r="AW129" i="178"/>
  <c r="AQ129" i="178"/>
  <c r="AK129" i="178"/>
  <c r="AE129" i="178"/>
  <c r="Y129" i="178"/>
  <c r="T129" i="178"/>
  <c r="I129" i="178"/>
  <c r="T128" i="178"/>
  <c r="I128" i="178"/>
  <c r="GE127" i="178"/>
  <c r="FA127" i="178"/>
  <c r="DW127" i="178"/>
  <c r="CS127" i="178"/>
  <c r="CM127" i="178"/>
  <c r="CG127" i="178"/>
  <c r="CA127" i="178"/>
  <c r="BU127" i="178"/>
  <c r="BO127" i="178"/>
  <c r="BI127" i="178"/>
  <c r="BC127" i="178"/>
  <c r="AW127" i="178"/>
  <c r="AQ127" i="178"/>
  <c r="AK127" i="178"/>
  <c r="AE127" i="178"/>
  <c r="Y127" i="178"/>
  <c r="T127" i="178"/>
  <c r="I127" i="178"/>
  <c r="T126" i="178"/>
  <c r="I126" i="178"/>
  <c r="GE125" i="178"/>
  <c r="FA125" i="178"/>
  <c r="DW125" i="178"/>
  <c r="CS125" i="178"/>
  <c r="CM125" i="178"/>
  <c r="CG125" i="178"/>
  <c r="CA125" i="178"/>
  <c r="BU125" i="178"/>
  <c r="BO125" i="178"/>
  <c r="BI125" i="178"/>
  <c r="BC125" i="178"/>
  <c r="AW125" i="178"/>
  <c r="AQ125" i="178"/>
  <c r="AK125" i="178"/>
  <c r="AE125" i="178"/>
  <c r="Y125" i="178"/>
  <c r="T125" i="178"/>
  <c r="I125" i="178"/>
  <c r="GE124" i="178"/>
  <c r="FA124" i="178"/>
  <c r="DW124" i="178"/>
  <c r="CS124" i="178"/>
  <c r="CM124" i="178"/>
  <c r="CG124" i="178"/>
  <c r="CA124" i="178"/>
  <c r="BU124" i="178"/>
  <c r="BO124" i="178"/>
  <c r="BI124" i="178"/>
  <c r="BC124" i="178"/>
  <c r="AW124" i="178"/>
  <c r="AQ124" i="178"/>
  <c r="AK124" i="178"/>
  <c r="AE124" i="178"/>
  <c r="Y124" i="178"/>
  <c r="T124" i="178"/>
  <c r="I124" i="178"/>
  <c r="T123" i="178"/>
  <c r="I123" i="178"/>
  <c r="T122" i="178"/>
  <c r="I122" i="178"/>
  <c r="T121" i="178"/>
  <c r="I121" i="178"/>
  <c r="GE120" i="178"/>
  <c r="FA120" i="178"/>
  <c r="DW120" i="178"/>
  <c r="CS120" i="178"/>
  <c r="CM120" i="178"/>
  <c r="CG120" i="178"/>
  <c r="CA120" i="178"/>
  <c r="BU120" i="178"/>
  <c r="BO120" i="178"/>
  <c r="BI120" i="178"/>
  <c r="BC120" i="178"/>
  <c r="AW120" i="178"/>
  <c r="AQ120" i="178"/>
  <c r="AK120" i="178"/>
  <c r="AE120" i="178"/>
  <c r="Y120" i="178"/>
  <c r="T120" i="178"/>
  <c r="I120" i="178"/>
  <c r="T119" i="178"/>
  <c r="I119" i="178"/>
  <c r="T118" i="178"/>
  <c r="I118" i="178"/>
  <c r="T117" i="178"/>
  <c r="I117" i="178"/>
  <c r="T116" i="178"/>
  <c r="I116" i="178"/>
  <c r="GE115" i="178"/>
  <c r="FA115" i="178"/>
  <c r="DW115" i="178"/>
  <c r="CS115" i="178"/>
  <c r="CM115" i="178"/>
  <c r="CG115" i="178"/>
  <c r="CA115" i="178"/>
  <c r="BU115" i="178"/>
  <c r="BO115" i="178"/>
  <c r="BI115" i="178"/>
  <c r="BC115" i="178"/>
  <c r="AW115" i="178"/>
  <c r="AQ115" i="178"/>
  <c r="AK115" i="178"/>
  <c r="AE115" i="178"/>
  <c r="Y115" i="178"/>
  <c r="T115" i="178"/>
  <c r="I115" i="178"/>
  <c r="T114" i="178"/>
  <c r="I114" i="178"/>
  <c r="GD113" i="178"/>
  <c r="EZ113" i="178"/>
  <c r="DV113" i="178"/>
  <c r="CR113" i="178"/>
  <c r="CL113" i="178"/>
  <c r="CF113" i="178"/>
  <c r="BZ113" i="178"/>
  <c r="BT113" i="178"/>
  <c r="BN113" i="178"/>
  <c r="BH113" i="178"/>
  <c r="BB113" i="178"/>
  <c r="AV113" i="178"/>
  <c r="AP113" i="178"/>
  <c r="AJ113" i="178"/>
  <c r="AD113" i="178"/>
  <c r="X113" i="178"/>
  <c r="T113" i="178"/>
  <c r="I113" i="178"/>
  <c r="GD112" i="178"/>
  <c r="EZ112" i="178"/>
  <c r="DV112" i="178"/>
  <c r="CR112" i="178"/>
  <c r="CL112" i="178"/>
  <c r="CF112" i="178"/>
  <c r="BZ112" i="178"/>
  <c r="BT112" i="178"/>
  <c r="BN112" i="178"/>
  <c r="BH112" i="178"/>
  <c r="BB112" i="178"/>
  <c r="AV112" i="178"/>
  <c r="AP112" i="178"/>
  <c r="AJ112" i="178"/>
  <c r="AD112" i="178"/>
  <c r="X112" i="178"/>
  <c r="T112" i="178"/>
  <c r="I112" i="178"/>
  <c r="GD111" i="178"/>
  <c r="EZ111" i="178"/>
  <c r="DV111" i="178"/>
  <c r="CR111" i="178"/>
  <c r="CL111" i="178"/>
  <c r="CF111" i="178"/>
  <c r="BZ111" i="178"/>
  <c r="BT111" i="178"/>
  <c r="BN111" i="178"/>
  <c r="BH111" i="178"/>
  <c r="BB111" i="178"/>
  <c r="AV111" i="178"/>
  <c r="AP111" i="178"/>
  <c r="AJ111" i="178"/>
  <c r="AD111" i="178"/>
  <c r="X111" i="178"/>
  <c r="T111" i="178"/>
  <c r="I111" i="178"/>
  <c r="GD110" i="178"/>
  <c r="EZ110" i="178"/>
  <c r="DV110" i="178"/>
  <c r="CR110" i="178"/>
  <c r="CL110" i="178"/>
  <c r="CF110" i="178"/>
  <c r="BZ110" i="178"/>
  <c r="BT110" i="178"/>
  <c r="BN110" i="178"/>
  <c r="BH110" i="178"/>
  <c r="BB110" i="178"/>
  <c r="AV110" i="178"/>
  <c r="AP110" i="178"/>
  <c r="AJ110" i="178"/>
  <c r="AD110" i="178"/>
  <c r="X110" i="178"/>
  <c r="T110" i="178"/>
  <c r="I110" i="178"/>
  <c r="GD109" i="178"/>
  <c r="EZ109" i="178"/>
  <c r="DV109" i="178"/>
  <c r="CR109" i="178"/>
  <c r="CL109" i="178"/>
  <c r="CF109" i="178"/>
  <c r="BZ109" i="178"/>
  <c r="BT109" i="178"/>
  <c r="BN109" i="178"/>
  <c r="BH109" i="178"/>
  <c r="BB109" i="178"/>
  <c r="AV109" i="178"/>
  <c r="AP109" i="178"/>
  <c r="AJ109" i="178"/>
  <c r="AD109" i="178"/>
  <c r="X109" i="178"/>
  <c r="T109" i="178"/>
  <c r="I109" i="178"/>
  <c r="GD108" i="178"/>
  <c r="EZ108" i="178"/>
  <c r="DV108" i="178"/>
  <c r="CR108" i="178"/>
  <c r="CL108" i="178"/>
  <c r="CF108" i="178"/>
  <c r="BZ108" i="178"/>
  <c r="BT108" i="178"/>
  <c r="BN108" i="178"/>
  <c r="BH108" i="178"/>
  <c r="BB108" i="178"/>
  <c r="AV108" i="178"/>
  <c r="AP108" i="178"/>
  <c r="AJ108" i="178"/>
  <c r="AD108" i="178"/>
  <c r="X108" i="178"/>
  <c r="T108" i="178"/>
  <c r="I108" i="178"/>
  <c r="T107" i="178"/>
  <c r="I107" i="178"/>
  <c r="GD106" i="178"/>
  <c r="EZ106" i="178"/>
  <c r="DV106" i="178"/>
  <c r="CR106" i="178"/>
  <c r="CL106" i="178"/>
  <c r="CF106" i="178"/>
  <c r="BZ106" i="178"/>
  <c r="BT106" i="178"/>
  <c r="BN106" i="178"/>
  <c r="BH106" i="178"/>
  <c r="BB106" i="178"/>
  <c r="AV106" i="178"/>
  <c r="AP106" i="178"/>
  <c r="AJ106" i="178"/>
  <c r="AD106" i="178"/>
  <c r="X106" i="178"/>
  <c r="T106" i="178"/>
  <c r="I106" i="178"/>
  <c r="GD105" i="178"/>
  <c r="EZ105" i="178"/>
  <c r="DV105" i="178"/>
  <c r="CR105" i="178"/>
  <c r="CL105" i="178"/>
  <c r="CF105" i="178"/>
  <c r="BZ105" i="178"/>
  <c r="BT105" i="178"/>
  <c r="BN105" i="178"/>
  <c r="BH105" i="178"/>
  <c r="BB105" i="178"/>
  <c r="AV105" i="178"/>
  <c r="AP105" i="178"/>
  <c r="AJ105" i="178"/>
  <c r="AD105" i="178"/>
  <c r="X105" i="178"/>
  <c r="T105" i="178"/>
  <c r="I105" i="178"/>
  <c r="T104" i="178"/>
  <c r="I104" i="178"/>
  <c r="T103" i="178"/>
  <c r="I103" i="178"/>
  <c r="T102" i="178"/>
  <c r="I102" i="178"/>
  <c r="T101" i="178"/>
  <c r="I101" i="178"/>
  <c r="T100" i="178"/>
  <c r="I100" i="178"/>
  <c r="T99" i="178"/>
  <c r="I99" i="178"/>
  <c r="T98" i="178"/>
  <c r="I98" i="178"/>
  <c r="T97" i="178"/>
  <c r="I97" i="178"/>
  <c r="T96" i="178"/>
  <c r="I96" i="178"/>
  <c r="T95" i="178"/>
  <c r="I95" i="178"/>
  <c r="T94" i="178"/>
  <c r="I94" i="178"/>
  <c r="T93" i="178"/>
  <c r="I93" i="178"/>
  <c r="GD92" i="178"/>
  <c r="EZ92" i="178"/>
  <c r="DV92" i="178"/>
  <c r="CR92" i="178"/>
  <c r="CL92" i="178"/>
  <c r="CF92" i="178"/>
  <c r="BZ92" i="178"/>
  <c r="BT92" i="178"/>
  <c r="BN92" i="178"/>
  <c r="BH92" i="178"/>
  <c r="BB92" i="178"/>
  <c r="AV92" i="178"/>
  <c r="AP92" i="178"/>
  <c r="AJ92" i="178"/>
  <c r="AD92" i="178"/>
  <c r="X92" i="178"/>
  <c r="T92" i="178"/>
  <c r="I92" i="178"/>
  <c r="GD91" i="178"/>
  <c r="EZ91" i="178"/>
  <c r="DV91" i="178"/>
  <c r="CR91" i="178"/>
  <c r="CL91" i="178"/>
  <c r="CF91" i="178"/>
  <c r="BZ91" i="178"/>
  <c r="BT91" i="178"/>
  <c r="BN91" i="178"/>
  <c r="BH91" i="178"/>
  <c r="BB91" i="178"/>
  <c r="AV91" i="178"/>
  <c r="AP91" i="178"/>
  <c r="AJ91" i="178"/>
  <c r="AD91" i="178"/>
  <c r="X91" i="178"/>
  <c r="T91" i="178"/>
  <c r="I91" i="178"/>
  <c r="GG90" i="178"/>
  <c r="GF90" i="178"/>
  <c r="GE90" i="178"/>
  <c r="GD90" i="178"/>
  <c r="GC90" i="178"/>
  <c r="FC90" i="178"/>
  <c r="FB90" i="178"/>
  <c r="FA90" i="178"/>
  <c r="EZ90" i="178"/>
  <c r="EY90" i="178"/>
  <c r="DY90" i="178"/>
  <c r="DX90" i="178"/>
  <c r="DW90" i="178"/>
  <c r="DV90" i="178"/>
  <c r="DU90" i="178"/>
  <c r="CU90" i="178"/>
  <c r="CT90" i="178"/>
  <c r="CS90" i="178"/>
  <c r="CR90" i="178"/>
  <c r="CQ90" i="178"/>
  <c r="CO90" i="178"/>
  <c r="CN90" i="178"/>
  <c r="CM90" i="178"/>
  <c r="CL90" i="178"/>
  <c r="CK90" i="178"/>
  <c r="CI90" i="178"/>
  <c r="CH90" i="178"/>
  <c r="CG90" i="178"/>
  <c r="CF90" i="178"/>
  <c r="CE90" i="178"/>
  <c r="CC90" i="178"/>
  <c r="CB90" i="178"/>
  <c r="CA90" i="178"/>
  <c r="BZ90" i="178"/>
  <c r="BY90" i="178"/>
  <c r="BW90" i="178"/>
  <c r="BV90" i="178"/>
  <c r="BU90" i="178"/>
  <c r="BT90" i="178"/>
  <c r="BS90" i="178"/>
  <c r="BQ90" i="178"/>
  <c r="BP90" i="178"/>
  <c r="BO90" i="178"/>
  <c r="BN90" i="178"/>
  <c r="BM90" i="178"/>
  <c r="BK90" i="178"/>
  <c r="BJ90" i="178"/>
  <c r="BI90" i="178"/>
  <c r="BH90" i="178"/>
  <c r="BG90" i="178"/>
  <c r="BE90" i="178"/>
  <c r="BD90" i="178"/>
  <c r="BC90" i="178"/>
  <c r="BB90" i="178"/>
  <c r="BA90" i="178"/>
  <c r="AY90" i="178"/>
  <c r="AX90" i="178"/>
  <c r="AW90" i="178"/>
  <c r="AV90" i="178"/>
  <c r="AU90" i="178"/>
  <c r="AS90" i="178"/>
  <c r="AR90" i="178"/>
  <c r="AQ90" i="178"/>
  <c r="AP90" i="178"/>
  <c r="AO90" i="178"/>
  <c r="AM90" i="178"/>
  <c r="AL90" i="178"/>
  <c r="AK90" i="178"/>
  <c r="AJ90" i="178"/>
  <c r="AI90" i="178"/>
  <c r="AG90" i="178"/>
  <c r="AF90" i="178"/>
  <c r="AE90" i="178"/>
  <c r="AD90" i="178"/>
  <c r="AC90" i="178"/>
  <c r="AA90" i="178"/>
  <c r="Z90" i="178"/>
  <c r="Y90" i="178"/>
  <c r="X90" i="178"/>
  <c r="W90" i="178"/>
  <c r="T90" i="178"/>
  <c r="I90" i="178"/>
  <c r="T89" i="178"/>
  <c r="I89" i="178"/>
  <c r="T88" i="178"/>
  <c r="I88" i="178"/>
  <c r="T87" i="178"/>
  <c r="I87" i="178"/>
  <c r="T86" i="178"/>
  <c r="I86" i="178"/>
  <c r="T85" i="178"/>
  <c r="I85" i="178"/>
  <c r="T84" i="178"/>
  <c r="I84" i="178"/>
  <c r="GD83" i="178"/>
  <c r="EZ83" i="178"/>
  <c r="DV83" i="178"/>
  <c r="CR83" i="178"/>
  <c r="CL83" i="178"/>
  <c r="CF83" i="178"/>
  <c r="BZ83" i="178"/>
  <c r="BT83" i="178"/>
  <c r="BN83" i="178"/>
  <c r="BH83" i="178"/>
  <c r="BB83" i="178"/>
  <c r="AV83" i="178"/>
  <c r="AP83" i="178"/>
  <c r="AJ83" i="178"/>
  <c r="AD83" i="178"/>
  <c r="X83" i="178"/>
  <c r="T83" i="178"/>
  <c r="I83" i="178"/>
  <c r="GD82" i="178"/>
  <c r="EZ82" i="178"/>
  <c r="DV82" i="178"/>
  <c r="CR82" i="178"/>
  <c r="CL82" i="178"/>
  <c r="CF82" i="178"/>
  <c r="BZ82" i="178"/>
  <c r="BT82" i="178"/>
  <c r="BN82" i="178"/>
  <c r="BH82" i="178"/>
  <c r="BB82" i="178"/>
  <c r="AV82" i="178"/>
  <c r="AP82" i="178"/>
  <c r="AJ82" i="178"/>
  <c r="AD82" i="178"/>
  <c r="X82" i="178"/>
  <c r="T82" i="178"/>
  <c r="I82" i="178"/>
  <c r="GD81" i="178"/>
  <c r="EZ81" i="178"/>
  <c r="DV81" i="178"/>
  <c r="CR81" i="178"/>
  <c r="CL81" i="178"/>
  <c r="CF81" i="178"/>
  <c r="BZ81" i="178"/>
  <c r="BT81" i="178"/>
  <c r="BN81" i="178"/>
  <c r="BH81" i="178"/>
  <c r="BB81" i="178"/>
  <c r="AV81" i="178"/>
  <c r="AP81" i="178"/>
  <c r="AJ81" i="178"/>
  <c r="AD81" i="178"/>
  <c r="X81" i="178"/>
  <c r="T81" i="178"/>
  <c r="I81" i="178"/>
  <c r="GD80" i="178"/>
  <c r="EZ80" i="178"/>
  <c r="DV80" i="178"/>
  <c r="CR80" i="178"/>
  <c r="CL80" i="178"/>
  <c r="CF80" i="178"/>
  <c r="BZ80" i="178"/>
  <c r="BT80" i="178"/>
  <c r="BN80" i="178"/>
  <c r="BH80" i="178"/>
  <c r="BB80" i="178"/>
  <c r="AV80" i="178"/>
  <c r="AP80" i="178"/>
  <c r="AJ80" i="178"/>
  <c r="AD80" i="178"/>
  <c r="X80" i="178"/>
  <c r="T80" i="178"/>
  <c r="I80" i="178"/>
  <c r="T79" i="178"/>
  <c r="I79" i="178"/>
  <c r="T78" i="178"/>
  <c r="I78" i="178"/>
  <c r="T77" i="178"/>
  <c r="I77" i="178"/>
  <c r="T76" i="178"/>
  <c r="I76" i="178"/>
  <c r="T75" i="178"/>
  <c r="I75" i="178"/>
  <c r="T74" i="178"/>
  <c r="I74" i="178"/>
  <c r="T73" i="178"/>
  <c r="I73" i="178"/>
  <c r="T72" i="178"/>
  <c r="I72" i="178"/>
  <c r="GD71" i="178"/>
  <c r="EZ71" i="178"/>
  <c r="DV71" i="178"/>
  <c r="CR71" i="178"/>
  <c r="CL71" i="178"/>
  <c r="CF71" i="178"/>
  <c r="BZ71" i="178"/>
  <c r="BT71" i="178"/>
  <c r="BN71" i="178"/>
  <c r="BH71" i="178"/>
  <c r="BB71" i="178"/>
  <c r="AV71" i="178"/>
  <c r="AP71" i="178"/>
  <c r="AJ71" i="178"/>
  <c r="AD71" i="178"/>
  <c r="X71" i="178"/>
  <c r="T71" i="178"/>
  <c r="I71" i="178"/>
  <c r="T70" i="178"/>
  <c r="HI70" i="178" s="1"/>
  <c r="I70" i="178"/>
  <c r="HI69" i="178"/>
  <c r="T69" i="178"/>
  <c r="I69" i="178"/>
  <c r="T68" i="178"/>
  <c r="HI68" i="178" s="1"/>
  <c r="I68" i="178"/>
  <c r="T67" i="178"/>
  <c r="I67" i="178"/>
  <c r="T66" i="178"/>
  <c r="HI66" i="178" s="1"/>
  <c r="I66" i="178"/>
  <c r="T65" i="178"/>
  <c r="HI65" i="178" s="1"/>
  <c r="I65" i="178"/>
  <c r="HI64" i="178"/>
  <c r="T64" i="178"/>
  <c r="I64" i="178"/>
  <c r="T63" i="178"/>
  <c r="HI63" i="178" s="1"/>
  <c r="I63" i="178"/>
  <c r="HI62" i="178"/>
  <c r="T62" i="178"/>
  <c r="I62" i="178"/>
  <c r="T61" i="178"/>
  <c r="HI61" i="178" s="1"/>
  <c r="I61" i="178"/>
  <c r="T60" i="178"/>
  <c r="HI60" i="178" s="1"/>
  <c r="I60" i="178"/>
  <c r="HI59" i="178"/>
  <c r="T59" i="178"/>
  <c r="I59" i="178"/>
  <c r="T58" i="178"/>
  <c r="HI58" i="178" s="1"/>
  <c r="I58" i="178"/>
  <c r="T57" i="178"/>
  <c r="HI57" i="178" s="1"/>
  <c r="I57" i="178"/>
  <c r="HI56" i="178"/>
  <c r="T56" i="178"/>
  <c r="I56" i="178"/>
  <c r="T55" i="178"/>
  <c r="HI55" i="178" s="1"/>
  <c r="I55" i="178"/>
  <c r="T54" i="178"/>
  <c r="HI54" i="178" s="1"/>
  <c r="I54" i="178"/>
  <c r="T53" i="178"/>
  <c r="HI53" i="178" s="1"/>
  <c r="I53" i="178"/>
  <c r="HI52" i="178"/>
  <c r="T52" i="178"/>
  <c r="I52" i="178"/>
  <c r="T51" i="178"/>
  <c r="HI51" i="178" s="1"/>
  <c r="I51" i="178"/>
  <c r="HI50" i="178"/>
  <c r="T50" i="178"/>
  <c r="I50" i="178"/>
  <c r="T49" i="178"/>
  <c r="HI49" i="178" s="1"/>
  <c r="I49" i="178"/>
  <c r="HI48" i="178"/>
  <c r="T48" i="178"/>
  <c r="I48" i="178"/>
  <c r="T47" i="178"/>
  <c r="HI47" i="178" s="1"/>
  <c r="I47" i="178"/>
  <c r="T46" i="178"/>
  <c r="HI46" i="178" s="1"/>
  <c r="I46" i="178"/>
  <c r="T45" i="178"/>
  <c r="HI45" i="178" s="1"/>
  <c r="I45" i="178"/>
  <c r="HD44" i="178"/>
  <c r="HB44" i="178"/>
  <c r="GZ231" i="178" s="1"/>
  <c r="GF44" i="178"/>
  <c r="GD44" i="178"/>
  <c r="FZ44" i="178"/>
  <c r="FX44" i="178"/>
  <c r="FV231" i="178" s="1"/>
  <c r="FB44" i="178"/>
  <c r="EZ44" i="178"/>
  <c r="EV44" i="178"/>
  <c r="ET44" i="178"/>
  <c r="ER231" i="178" s="1"/>
  <c r="DX44" i="178"/>
  <c r="DV44" i="178"/>
  <c r="DR44" i="178"/>
  <c r="DP44" i="178"/>
  <c r="DN231" i="178" s="1"/>
  <c r="CT44" i="178"/>
  <c r="CR44" i="178"/>
  <c r="CN44" i="178"/>
  <c r="CL44" i="178"/>
  <c r="CH44" i="178"/>
  <c r="CF44" i="178"/>
  <c r="CB44" i="178"/>
  <c r="BZ44" i="178"/>
  <c r="BV44" i="178"/>
  <c r="BT44" i="178"/>
  <c r="BP44" i="178"/>
  <c r="BN44" i="178"/>
  <c r="BJ44" i="178"/>
  <c r="BH44" i="178"/>
  <c r="BD44" i="178"/>
  <c r="BB44" i="178"/>
  <c r="AX44" i="178"/>
  <c r="AV44" i="178"/>
  <c r="AR44" i="178"/>
  <c r="AP44" i="178"/>
  <c r="AL44" i="178"/>
  <c r="AJ44" i="178"/>
  <c r="AF44" i="178"/>
  <c r="AD44" i="178"/>
  <c r="Z44" i="178"/>
  <c r="X44" i="178"/>
  <c r="T44" i="178"/>
  <c r="HI44" i="178" s="1"/>
  <c r="O44" i="178"/>
  <c r="I44" i="178"/>
  <c r="C39" i="178"/>
  <c r="CJ38" i="178"/>
  <c r="CI38" i="178"/>
  <c r="CH38" i="178"/>
  <c r="CG38" i="178"/>
  <c r="CF38" i="178"/>
  <c r="CE38" i="178"/>
  <c r="CD38" i="178"/>
  <c r="CC38" i="178"/>
  <c r="CB38" i="178"/>
  <c r="CA38" i="178"/>
  <c r="BZ38" i="178"/>
  <c r="BY38" i="178"/>
  <c r="BX38" i="178"/>
  <c r="BW38" i="178"/>
  <c r="BV38" i="178"/>
  <c r="BU38" i="178"/>
  <c r="BT38" i="178"/>
  <c r="BS38" i="178"/>
  <c r="BR38" i="178"/>
  <c r="BQ38" i="178"/>
  <c r="BP38" i="178"/>
  <c r="BO38" i="178"/>
  <c r="BN38" i="178"/>
  <c r="BM38" i="178"/>
  <c r="BL38" i="178"/>
  <c r="BK38" i="178"/>
  <c r="BJ38" i="178"/>
  <c r="BI38" i="178"/>
  <c r="BH38" i="178"/>
  <c r="BG38" i="178"/>
  <c r="BF38" i="178"/>
  <c r="BE38" i="178"/>
  <c r="BD38" i="178"/>
  <c r="BC38" i="178"/>
  <c r="BB38" i="178"/>
  <c r="BA38" i="178"/>
  <c r="AZ38" i="178"/>
  <c r="AY38" i="178"/>
  <c r="AX38" i="178"/>
  <c r="AW38" i="178"/>
  <c r="AV38" i="178"/>
  <c r="AU38" i="178"/>
  <c r="AT38" i="178"/>
  <c r="AS38" i="178"/>
  <c r="AR38" i="178"/>
  <c r="AQ38" i="178"/>
  <c r="AP38" i="178"/>
  <c r="AO38" i="178"/>
  <c r="AN38" i="178"/>
  <c r="AN244" i="178" s="1"/>
  <c r="AM38" i="178"/>
  <c r="AL38" i="178"/>
  <c r="AK38" i="178"/>
  <c r="AJ38" i="178"/>
  <c r="AI38" i="178"/>
  <c r="AH38" i="178"/>
  <c r="AH244" i="178" s="1"/>
  <c r="AG38" i="178"/>
  <c r="AF38" i="178"/>
  <c r="AE38" i="178"/>
  <c r="AD38" i="178"/>
  <c r="AC38" i="178"/>
  <c r="AB38" i="178"/>
  <c r="AB244" i="178" s="1"/>
  <c r="AA38" i="178"/>
  <c r="Z38" i="178"/>
  <c r="Y38" i="178"/>
  <c r="X38" i="178"/>
  <c r="W38" i="178"/>
  <c r="V38" i="178"/>
  <c r="V244" i="178" s="1"/>
  <c r="U38" i="178"/>
  <c r="U244" i="178" s="1"/>
  <c r="C38" i="178"/>
  <c r="C37" i="178"/>
  <c r="CI35" i="178"/>
  <c r="CH35" i="178"/>
  <c r="CG35" i="178"/>
  <c r="CF35" i="178"/>
  <c r="CE35" i="178"/>
  <c r="CC35" i="178"/>
  <c r="CB35" i="178"/>
  <c r="CA35" i="178"/>
  <c r="BZ35" i="178"/>
  <c r="BY35" i="178"/>
  <c r="BW35" i="178"/>
  <c r="BV35" i="178"/>
  <c r="BU35" i="178"/>
  <c r="BT35" i="178"/>
  <c r="BS35" i="178"/>
  <c r="BQ35" i="178"/>
  <c r="BP35" i="178"/>
  <c r="BO35" i="178"/>
  <c r="BN35" i="178"/>
  <c r="BM35" i="178"/>
  <c r="BK35" i="178"/>
  <c r="BJ35" i="178"/>
  <c r="BI35" i="178"/>
  <c r="BH35" i="178"/>
  <c r="BG35" i="178"/>
  <c r="BE35" i="178"/>
  <c r="BD35" i="178"/>
  <c r="BC35" i="178"/>
  <c r="BB35" i="178"/>
  <c r="BA35" i="178"/>
  <c r="AY35" i="178"/>
  <c r="AX35" i="178"/>
  <c r="AW35" i="178"/>
  <c r="AV35" i="178"/>
  <c r="AU35" i="178"/>
  <c r="AM35" i="178"/>
  <c r="AL35" i="178"/>
  <c r="AK35" i="178"/>
  <c r="AJ35" i="178"/>
  <c r="AI35" i="178"/>
  <c r="AG35" i="178"/>
  <c r="AF35" i="178"/>
  <c r="AE35" i="178"/>
  <c r="AD35" i="178"/>
  <c r="AC35" i="178"/>
  <c r="AA35" i="178"/>
  <c r="Z35" i="178"/>
  <c r="Y35" i="178"/>
  <c r="X35" i="178"/>
  <c r="W35" i="178"/>
  <c r="C35" i="178"/>
  <c r="CJ34" i="178"/>
  <c r="CI34" i="178"/>
  <c r="CH34" i="178"/>
  <c r="CG34" i="178"/>
  <c r="CF34" i="178"/>
  <c r="CE34" i="178"/>
  <c r="CD34" i="178"/>
  <c r="CC34" i="178"/>
  <c r="CB34" i="178"/>
  <c r="CA34" i="178"/>
  <c r="BZ34" i="178"/>
  <c r="BY34" i="178"/>
  <c r="BX34" i="178"/>
  <c r="BW34" i="178"/>
  <c r="BV34" i="178"/>
  <c r="BU34" i="178"/>
  <c r="BT34" i="178"/>
  <c r="BS34" i="178"/>
  <c r="BR34" i="178"/>
  <c r="BQ34" i="178"/>
  <c r="BP34" i="178"/>
  <c r="BO34" i="178"/>
  <c r="BN34" i="178"/>
  <c r="BM34" i="178"/>
  <c r="BL34" i="178"/>
  <c r="BK34" i="178"/>
  <c r="BJ34" i="178"/>
  <c r="BI34" i="178"/>
  <c r="BH34" i="178"/>
  <c r="BG34" i="178"/>
  <c r="BF34" i="178"/>
  <c r="BE34" i="178"/>
  <c r="BD34" i="178"/>
  <c r="BC34" i="178"/>
  <c r="BB34" i="178"/>
  <c r="BA34" i="178"/>
  <c r="AZ34" i="178"/>
  <c r="AY34" i="178"/>
  <c r="AX34" i="178"/>
  <c r="AW34" i="178"/>
  <c r="AV34" i="178"/>
  <c r="AU34" i="178"/>
  <c r="AT34" i="178"/>
  <c r="AS34" i="178"/>
  <c r="AR34" i="178"/>
  <c r="AQ34" i="178"/>
  <c r="AP34" i="178"/>
  <c r="AO34" i="178"/>
  <c r="AN34" i="178"/>
  <c r="AN237" i="178" s="1"/>
  <c r="AM34" i="178"/>
  <c r="AL34" i="178"/>
  <c r="AK34" i="178"/>
  <c r="AJ34" i="178"/>
  <c r="AI34" i="178"/>
  <c r="AH34" i="178"/>
  <c r="AH237" i="178" s="1"/>
  <c r="AG34" i="178"/>
  <c r="AF34" i="178"/>
  <c r="AE34" i="178"/>
  <c r="AD34" i="178"/>
  <c r="AC34" i="178"/>
  <c r="AB34" i="178"/>
  <c r="AB237" i="178" s="1"/>
  <c r="AA34" i="178"/>
  <c r="Z34" i="178"/>
  <c r="Y34" i="178"/>
  <c r="X34" i="178"/>
  <c r="W34" i="178"/>
  <c r="V34" i="178"/>
  <c r="V237" i="178" s="1"/>
  <c r="U34" i="178"/>
  <c r="U237" i="178" s="1"/>
  <c r="C20" i="178"/>
  <c r="C19" i="178"/>
  <c r="C18" i="178"/>
  <c r="C14" i="178"/>
  <c r="C5" i="178"/>
  <c r="L62" i="178" s="1"/>
  <c r="E2" i="178"/>
  <c r="AH1" i="178" s="1"/>
  <c r="E1" i="178" s="1"/>
  <c r="BQ132" i="183" l="1"/>
  <c r="BW132" i="183"/>
  <c r="FC132" i="183"/>
  <c r="O132" i="183"/>
  <c r="AM132" i="183"/>
  <c r="AS132" i="183"/>
  <c r="CC132" i="183"/>
  <c r="AY132" i="183"/>
  <c r="CO132" i="183"/>
  <c r="CI132" i="183"/>
  <c r="GG132" i="183"/>
  <c r="BK132" i="183"/>
  <c r="BE132" i="183"/>
  <c r="AG132" i="183"/>
  <c r="CU132" i="183"/>
  <c r="DY132" i="183"/>
  <c r="AA132" i="183"/>
  <c r="AS215" i="183"/>
  <c r="FC215" i="183"/>
  <c r="BE215" i="183"/>
  <c r="AM215" i="183"/>
  <c r="CU215" i="183"/>
  <c r="CO215" i="183"/>
  <c r="AA215" i="183"/>
  <c r="O215" i="183"/>
  <c r="BQ215" i="183"/>
  <c r="AY215" i="183"/>
  <c r="DY215" i="183"/>
  <c r="CC215" i="183"/>
  <c r="CI215" i="183"/>
  <c r="BW215" i="183"/>
  <c r="BK215" i="183"/>
  <c r="GG215" i="183"/>
  <c r="AG215" i="183"/>
  <c r="BW188" i="183"/>
  <c r="FC188" i="183"/>
  <c r="CI188" i="183"/>
  <c r="BK188" i="183"/>
  <c r="BQ188" i="183"/>
  <c r="BE188" i="183"/>
  <c r="CC188" i="183"/>
  <c r="CU188" i="183"/>
  <c r="AS188" i="183"/>
  <c r="AA188" i="183"/>
  <c r="GG188" i="183"/>
  <c r="DY188" i="183"/>
  <c r="CO188" i="183"/>
  <c r="O188" i="183"/>
  <c r="AY188" i="183"/>
  <c r="AG188" i="183"/>
  <c r="AM188" i="183"/>
  <c r="O93" i="183"/>
  <c r="AM93" i="183"/>
  <c r="BW93" i="183"/>
  <c r="AA93" i="183"/>
  <c r="CO93" i="183"/>
  <c r="BQ93" i="183"/>
  <c r="BK93" i="183"/>
  <c r="FC93" i="183"/>
  <c r="DY93" i="183"/>
  <c r="CU93" i="183"/>
  <c r="AG93" i="183"/>
  <c r="AY93" i="183"/>
  <c r="GG93" i="183"/>
  <c r="AS93" i="183"/>
  <c r="CC93" i="183"/>
  <c r="BE93" i="183"/>
  <c r="CI93" i="183"/>
  <c r="AM190" i="183"/>
  <c r="DY190" i="183"/>
  <c r="GG190" i="183"/>
  <c r="O190" i="183"/>
  <c r="AS190" i="183"/>
  <c r="BK190" i="183"/>
  <c r="CI190" i="183"/>
  <c r="CO190" i="183"/>
  <c r="CU190" i="183"/>
  <c r="BW190" i="183"/>
  <c r="AY190" i="183"/>
  <c r="AA190" i="183"/>
  <c r="CC190" i="183"/>
  <c r="FC190" i="183"/>
  <c r="AG190" i="183"/>
  <c r="BQ190" i="183"/>
  <c r="BE190" i="183"/>
  <c r="FC159" i="183"/>
  <c r="AA159" i="183"/>
  <c r="CO159" i="183"/>
  <c r="CC159" i="183"/>
  <c r="BE159" i="183"/>
  <c r="AS159" i="183"/>
  <c r="BK159" i="183"/>
  <c r="BW159" i="183"/>
  <c r="DY159" i="183"/>
  <c r="CU159" i="183"/>
  <c r="AG159" i="183"/>
  <c r="AY159" i="183"/>
  <c r="O159" i="183"/>
  <c r="CI159" i="183"/>
  <c r="BQ159" i="183"/>
  <c r="GG159" i="183"/>
  <c r="AM159" i="183"/>
  <c r="CC122" i="183"/>
  <c r="AS122" i="183"/>
  <c r="CU122" i="183"/>
  <c r="GG122" i="183"/>
  <c r="AY122" i="183"/>
  <c r="AM122" i="183"/>
  <c r="AA122" i="183"/>
  <c r="O122" i="183"/>
  <c r="BE122" i="183"/>
  <c r="BQ122" i="183"/>
  <c r="DY122" i="183"/>
  <c r="CO122" i="183"/>
  <c r="BK122" i="183"/>
  <c r="FC122" i="183"/>
  <c r="AG122" i="183"/>
  <c r="BW122" i="183"/>
  <c r="CI122" i="183"/>
  <c r="BE68" i="183"/>
  <c r="CO68" i="183"/>
  <c r="DY68" i="183"/>
  <c r="CU68" i="183"/>
  <c r="BK68" i="183"/>
  <c r="AG68" i="183"/>
  <c r="AA68" i="183"/>
  <c r="O68" i="183"/>
  <c r="BQ68" i="183"/>
  <c r="BW68" i="183"/>
  <c r="FC68" i="183"/>
  <c r="GG68" i="183"/>
  <c r="AM68" i="183"/>
  <c r="CI68" i="183"/>
  <c r="AY68" i="183"/>
  <c r="CC68" i="183"/>
  <c r="AS68" i="183"/>
  <c r="FC59" i="183"/>
  <c r="O59" i="183"/>
  <c r="AM59" i="183"/>
  <c r="BW59" i="183"/>
  <c r="CC59" i="183"/>
  <c r="GG59" i="183"/>
  <c r="AY59" i="183"/>
  <c r="AS59" i="183"/>
  <c r="CO59" i="183"/>
  <c r="CI59" i="183"/>
  <c r="CU59" i="183"/>
  <c r="BK59" i="183"/>
  <c r="BE59" i="183"/>
  <c r="BQ59" i="183"/>
  <c r="AG59" i="183"/>
  <c r="AA59" i="183"/>
  <c r="DY59" i="183"/>
  <c r="BW173" i="183"/>
  <c r="AA173" i="183"/>
  <c r="CI173" i="183"/>
  <c r="CO173" i="183"/>
  <c r="DY173" i="183"/>
  <c r="AY173" i="183"/>
  <c r="O173" i="183"/>
  <c r="FC173" i="183"/>
  <c r="AM173" i="183"/>
  <c r="CC173" i="183"/>
  <c r="GG173" i="183"/>
  <c r="AS173" i="183"/>
  <c r="BE173" i="183"/>
  <c r="BK173" i="183"/>
  <c r="BQ173" i="183"/>
  <c r="AG173" i="183"/>
  <c r="CU173" i="183"/>
  <c r="BE140" i="183"/>
  <c r="BQ140" i="183"/>
  <c r="CU140" i="183"/>
  <c r="GG140" i="183"/>
  <c r="AA140" i="183"/>
  <c r="CO140" i="183"/>
  <c r="BK140" i="183"/>
  <c r="AS140" i="183"/>
  <c r="CI140" i="183"/>
  <c r="BW140" i="183"/>
  <c r="FC140" i="183"/>
  <c r="AM140" i="183"/>
  <c r="DY140" i="183"/>
  <c r="AG140" i="183"/>
  <c r="O140" i="183"/>
  <c r="AY140" i="183"/>
  <c r="CC140" i="183"/>
  <c r="GG65" i="183"/>
  <c r="AM65" i="183"/>
  <c r="AY65" i="183"/>
  <c r="AS65" i="183"/>
  <c r="CC65" i="183"/>
  <c r="CO65" i="183"/>
  <c r="CI65" i="183"/>
  <c r="BK65" i="183"/>
  <c r="DY65" i="183"/>
  <c r="CU65" i="183"/>
  <c r="BW65" i="183"/>
  <c r="FC65" i="183"/>
  <c r="O65" i="183"/>
  <c r="BE65" i="183"/>
  <c r="AA65" i="183"/>
  <c r="BQ65" i="183"/>
  <c r="AG65" i="183"/>
  <c r="AY158" i="183"/>
  <c r="AG158" i="183"/>
  <c r="CC158" i="183"/>
  <c r="CO158" i="183"/>
  <c r="BW158" i="183"/>
  <c r="BK158" i="183"/>
  <c r="AS158" i="183"/>
  <c r="CU158" i="183"/>
  <c r="O158" i="183"/>
  <c r="AA158" i="183"/>
  <c r="CI158" i="183"/>
  <c r="BQ158" i="183"/>
  <c r="BE158" i="183"/>
  <c r="FC158" i="183"/>
  <c r="GG158" i="183"/>
  <c r="AM158" i="183"/>
  <c r="DY158" i="183"/>
  <c r="AM112" i="183"/>
  <c r="AS112" i="183"/>
  <c r="CU112" i="183"/>
  <c r="O112" i="183"/>
  <c r="BQ112" i="183"/>
  <c r="CO112" i="183"/>
  <c r="CC112" i="183"/>
  <c r="GG112" i="183"/>
  <c r="AY112" i="183"/>
  <c r="CI112" i="183"/>
  <c r="DY112" i="183"/>
  <c r="BE112" i="183"/>
  <c r="BK112" i="183"/>
  <c r="AA112" i="183"/>
  <c r="AG112" i="183"/>
  <c r="BW112" i="183"/>
  <c r="FC112" i="183"/>
  <c r="O91" i="183"/>
  <c r="CI91" i="183"/>
  <c r="BQ91" i="183"/>
  <c r="BW91" i="183"/>
  <c r="AM91" i="183"/>
  <c r="CC91" i="183"/>
  <c r="GG91" i="183"/>
  <c r="BK91" i="183"/>
  <c r="CU91" i="183"/>
  <c r="FC91" i="183"/>
  <c r="AY91" i="183"/>
  <c r="CO91" i="183"/>
  <c r="DY91" i="183"/>
  <c r="AG91" i="183"/>
  <c r="AS91" i="183"/>
  <c r="BE91" i="183"/>
  <c r="AA91" i="183"/>
  <c r="AS67" i="183"/>
  <c r="CC67" i="183"/>
  <c r="CI67" i="183"/>
  <c r="AY67" i="183"/>
  <c r="BK67" i="183"/>
  <c r="BE67" i="183"/>
  <c r="CO67" i="183"/>
  <c r="DY67" i="183"/>
  <c r="CU67" i="183"/>
  <c r="AG67" i="183"/>
  <c r="AA67" i="183"/>
  <c r="O67" i="183"/>
  <c r="BQ67" i="183"/>
  <c r="GG67" i="183"/>
  <c r="AM67" i="183"/>
  <c r="BW67" i="183"/>
  <c r="FC67" i="183"/>
  <c r="AY87" i="183"/>
  <c r="CI87" i="183"/>
  <c r="CO87" i="183"/>
  <c r="CU87" i="183"/>
  <c r="BK87" i="183"/>
  <c r="BW87" i="183"/>
  <c r="BE87" i="183"/>
  <c r="DY87" i="183"/>
  <c r="AA87" i="183"/>
  <c r="BQ87" i="183"/>
  <c r="AG87" i="183"/>
  <c r="FC87" i="183"/>
  <c r="O87" i="183"/>
  <c r="CC87" i="183"/>
  <c r="AS87" i="183"/>
  <c r="AM87" i="183"/>
  <c r="GG87" i="183"/>
  <c r="CO63" i="183"/>
  <c r="CI63" i="183"/>
  <c r="BK63" i="183"/>
  <c r="BE63" i="183"/>
  <c r="DY63" i="183"/>
  <c r="CU63" i="183"/>
  <c r="AG63" i="183"/>
  <c r="AA63" i="183"/>
  <c r="FC63" i="183"/>
  <c r="O63" i="183"/>
  <c r="BQ63" i="183"/>
  <c r="AM63" i="183"/>
  <c r="BW63" i="183"/>
  <c r="AY63" i="183"/>
  <c r="AS63" i="183"/>
  <c r="CC63" i="183"/>
  <c r="GG63" i="183"/>
  <c r="BQ89" i="183"/>
  <c r="BW89" i="183"/>
  <c r="CI89" i="183"/>
  <c r="CC89" i="183"/>
  <c r="GG89" i="183"/>
  <c r="AY89" i="183"/>
  <c r="AS89" i="183"/>
  <c r="CO89" i="183"/>
  <c r="BE89" i="183"/>
  <c r="BK89" i="183"/>
  <c r="CU89" i="183"/>
  <c r="DY89" i="183"/>
  <c r="AA89" i="183"/>
  <c r="AG89" i="183"/>
  <c r="O89" i="183"/>
  <c r="AM89" i="183"/>
  <c r="FC89" i="183"/>
  <c r="AG139" i="183"/>
  <c r="CC139" i="183"/>
  <c r="GG139" i="183"/>
  <c r="O139" i="183"/>
  <c r="BQ139" i="183"/>
  <c r="AS139" i="183"/>
  <c r="CU139" i="183"/>
  <c r="CI139" i="183"/>
  <c r="AA139" i="183"/>
  <c r="BE139" i="183"/>
  <c r="BW139" i="183"/>
  <c r="CO139" i="183"/>
  <c r="AY139" i="183"/>
  <c r="BK139" i="183"/>
  <c r="FC139" i="183"/>
  <c r="DY139" i="183"/>
  <c r="AM139" i="183"/>
  <c r="GG128" i="183"/>
  <c r="CO128" i="183"/>
  <c r="AS128" i="183"/>
  <c r="BE128" i="183"/>
  <c r="CU128" i="183"/>
  <c r="CI128" i="183"/>
  <c r="AG128" i="183"/>
  <c r="AA128" i="183"/>
  <c r="DY128" i="183"/>
  <c r="BQ128" i="183"/>
  <c r="O128" i="183"/>
  <c r="FC128" i="183"/>
  <c r="CC128" i="183"/>
  <c r="AM128" i="183"/>
  <c r="AY128" i="183"/>
  <c r="BW128" i="183"/>
  <c r="BK128" i="183"/>
  <c r="AM128" i="182"/>
  <c r="BW128" i="182"/>
  <c r="BE128" i="182"/>
  <c r="O128" i="182"/>
  <c r="BK128" i="182"/>
  <c r="CU128" i="182"/>
  <c r="FC128" i="182"/>
  <c r="AA128" i="182"/>
  <c r="CI128" i="182"/>
  <c r="BQ128" i="182"/>
  <c r="CC128" i="182"/>
  <c r="GG128" i="182"/>
  <c r="AG128" i="182"/>
  <c r="CO128" i="182"/>
  <c r="DY128" i="182"/>
  <c r="AS128" i="182"/>
  <c r="AY128" i="182"/>
  <c r="GG194" i="182"/>
  <c r="AM194" i="182"/>
  <c r="AS194" i="182"/>
  <c r="BQ194" i="182"/>
  <c r="FC194" i="182"/>
  <c r="BE194" i="182"/>
  <c r="AG194" i="182"/>
  <c r="O194" i="182"/>
  <c r="DY194" i="182"/>
  <c r="CI194" i="182"/>
  <c r="AA194" i="182"/>
  <c r="BW194" i="182"/>
  <c r="CC194" i="182"/>
  <c r="CU194" i="182"/>
  <c r="BK194" i="182"/>
  <c r="AY194" i="182"/>
  <c r="CO194" i="182"/>
  <c r="AM187" i="182"/>
  <c r="O187" i="182"/>
  <c r="CI187" i="182"/>
  <c r="DY187" i="182"/>
  <c r="BQ187" i="182"/>
  <c r="CU187" i="182"/>
  <c r="BE187" i="182"/>
  <c r="AY187" i="182"/>
  <c r="AG187" i="182"/>
  <c r="CC187" i="182"/>
  <c r="GG187" i="182"/>
  <c r="AS187" i="182"/>
  <c r="BK187" i="182"/>
  <c r="FC187" i="182"/>
  <c r="CO187" i="182"/>
  <c r="BW187" i="182"/>
  <c r="AA187" i="182"/>
  <c r="DY122" i="182"/>
  <c r="FC122" i="182"/>
  <c r="AG122" i="182"/>
  <c r="CI122" i="182"/>
  <c r="O122" i="182"/>
  <c r="BQ122" i="182"/>
  <c r="CC122" i="182"/>
  <c r="AY122" i="182"/>
  <c r="CO122" i="182"/>
  <c r="AS122" i="182"/>
  <c r="AA122" i="182"/>
  <c r="GG122" i="182"/>
  <c r="CU122" i="182"/>
  <c r="BE122" i="182"/>
  <c r="BK122" i="182"/>
  <c r="AM122" i="182"/>
  <c r="BW122" i="182"/>
  <c r="CO83" i="182"/>
  <c r="CU83" i="182"/>
  <c r="BK83" i="182"/>
  <c r="BQ83" i="182"/>
  <c r="AS83" i="182"/>
  <c r="AM83" i="182"/>
  <c r="BW83" i="182"/>
  <c r="DY83" i="182"/>
  <c r="AY83" i="182"/>
  <c r="FC83" i="182"/>
  <c r="AA83" i="182"/>
  <c r="CC83" i="182"/>
  <c r="BE83" i="182"/>
  <c r="O83" i="182"/>
  <c r="GG83" i="182"/>
  <c r="AG83" i="182"/>
  <c r="CI83" i="182"/>
  <c r="CI115" i="182"/>
  <c r="AS115" i="182"/>
  <c r="BQ115" i="182"/>
  <c r="CO115" i="182"/>
  <c r="AY115" i="182"/>
  <c r="BW115" i="182"/>
  <c r="GG115" i="182"/>
  <c r="AA115" i="182"/>
  <c r="CU115" i="182"/>
  <c r="BE115" i="182"/>
  <c r="FC115" i="182"/>
  <c r="AG115" i="182"/>
  <c r="DY115" i="182"/>
  <c r="AM115" i="182"/>
  <c r="O115" i="182"/>
  <c r="BK115" i="182"/>
  <c r="CC115" i="182"/>
  <c r="BE144" i="182"/>
  <c r="BK144" i="182"/>
  <c r="CU144" i="182"/>
  <c r="DY144" i="182"/>
  <c r="AA144" i="182"/>
  <c r="CC144" i="182"/>
  <c r="FC144" i="182"/>
  <c r="AG144" i="182"/>
  <c r="AM144" i="182"/>
  <c r="GG144" i="182"/>
  <c r="AY144" i="182"/>
  <c r="BQ144" i="182"/>
  <c r="CO144" i="182"/>
  <c r="AS144" i="182"/>
  <c r="CI144" i="182"/>
  <c r="BW144" i="182"/>
  <c r="O144" i="182"/>
  <c r="AY110" i="182"/>
  <c r="AS110" i="182"/>
  <c r="CO110" i="182"/>
  <c r="BE110" i="182"/>
  <c r="CU110" i="182"/>
  <c r="BK110" i="182"/>
  <c r="CI110" i="182"/>
  <c r="AA110" i="182"/>
  <c r="DY110" i="182"/>
  <c r="BQ110" i="182"/>
  <c r="AG110" i="182"/>
  <c r="FC110" i="182"/>
  <c r="O110" i="182"/>
  <c r="AM110" i="182"/>
  <c r="BW110" i="182"/>
  <c r="CC110" i="182"/>
  <c r="GG110" i="182"/>
  <c r="CC155" i="182"/>
  <c r="AA155" i="182"/>
  <c r="AM155" i="182"/>
  <c r="AY155" i="182"/>
  <c r="BQ155" i="182"/>
  <c r="BK155" i="182"/>
  <c r="CO155" i="182"/>
  <c r="GG155" i="182"/>
  <c r="DY155" i="182"/>
  <c r="CU155" i="182"/>
  <c r="BE155" i="182"/>
  <c r="AS155" i="182"/>
  <c r="CI155" i="182"/>
  <c r="FC155" i="182"/>
  <c r="AG155" i="182"/>
  <c r="O155" i="182"/>
  <c r="BW155" i="182"/>
  <c r="AS136" i="182"/>
  <c r="DY136" i="182"/>
  <c r="CI136" i="182"/>
  <c r="CU136" i="182"/>
  <c r="FC136" i="182"/>
  <c r="BE136" i="182"/>
  <c r="BK136" i="182"/>
  <c r="AM136" i="182"/>
  <c r="AA136" i="182"/>
  <c r="CC136" i="182"/>
  <c r="BQ136" i="182"/>
  <c r="AY136" i="182"/>
  <c r="O136" i="182"/>
  <c r="BW136" i="182"/>
  <c r="CO136" i="182"/>
  <c r="GG136" i="182"/>
  <c r="AG136" i="182"/>
  <c r="AS142" i="182"/>
  <c r="AA142" i="182"/>
  <c r="CI142" i="182"/>
  <c r="CO142" i="182"/>
  <c r="CC142" i="182"/>
  <c r="AG142" i="182"/>
  <c r="CU142" i="182"/>
  <c r="BK142" i="182"/>
  <c r="BE142" i="182"/>
  <c r="AY142" i="182"/>
  <c r="BW142" i="182"/>
  <c r="AM142" i="182"/>
  <c r="DY142" i="182"/>
  <c r="O142" i="182"/>
  <c r="BQ142" i="182"/>
  <c r="GG142" i="182"/>
  <c r="FC142" i="182"/>
  <c r="BK101" i="182"/>
  <c r="BQ101" i="182"/>
  <c r="GG101" i="182"/>
  <c r="AM101" i="182"/>
  <c r="AS101" i="182"/>
  <c r="CO101" i="182"/>
  <c r="CI101" i="182"/>
  <c r="AG101" i="182"/>
  <c r="BE101" i="182"/>
  <c r="AA101" i="182"/>
  <c r="BW101" i="182"/>
  <c r="DY101" i="182"/>
  <c r="CC101" i="182"/>
  <c r="O101" i="182"/>
  <c r="FC101" i="182"/>
  <c r="AY101" i="182"/>
  <c r="CU101" i="182"/>
  <c r="AA60" i="182"/>
  <c r="BK60" i="182"/>
  <c r="BQ60" i="182"/>
  <c r="CO60" i="182"/>
  <c r="FC60" i="182"/>
  <c r="AY60" i="182"/>
  <c r="GG60" i="182"/>
  <c r="AM60" i="182"/>
  <c r="O60" i="182"/>
  <c r="AS60" i="182"/>
  <c r="CC60" i="182"/>
  <c r="CI60" i="182"/>
  <c r="BW60" i="182"/>
  <c r="BE60" i="182"/>
  <c r="DY60" i="182"/>
  <c r="CU60" i="182"/>
  <c r="AG60" i="182"/>
  <c r="AM96" i="182"/>
  <c r="AS96" i="182"/>
  <c r="BQ96" i="182"/>
  <c r="BE96" i="182"/>
  <c r="GG96" i="182"/>
  <c r="AA96" i="182"/>
  <c r="AY96" i="182"/>
  <c r="FC96" i="182"/>
  <c r="CO96" i="182"/>
  <c r="CU96" i="182"/>
  <c r="BW96" i="182"/>
  <c r="BK96" i="182"/>
  <c r="AG96" i="182"/>
  <c r="DY96" i="182"/>
  <c r="O96" i="182"/>
  <c r="CI96" i="182"/>
  <c r="CC96" i="182"/>
  <c r="BE89" i="182"/>
  <c r="AG89" i="182"/>
  <c r="CU89" i="182"/>
  <c r="BK89" i="182"/>
  <c r="AA89" i="182"/>
  <c r="AY89" i="182"/>
  <c r="BQ89" i="182"/>
  <c r="DY89" i="182"/>
  <c r="FC89" i="182"/>
  <c r="CO89" i="182"/>
  <c r="GG89" i="182"/>
  <c r="AM89" i="182"/>
  <c r="O89" i="182"/>
  <c r="AS89" i="182"/>
  <c r="CC89" i="182"/>
  <c r="CI89" i="182"/>
  <c r="BW89" i="182"/>
  <c r="BW130" i="182"/>
  <c r="AS130" i="182"/>
  <c r="BE130" i="182"/>
  <c r="CI130" i="182"/>
  <c r="DY130" i="182"/>
  <c r="GG130" i="182"/>
  <c r="BQ130" i="182"/>
  <c r="AY130" i="182"/>
  <c r="CU130" i="182"/>
  <c r="FC130" i="182"/>
  <c r="AG130" i="182"/>
  <c r="AM130" i="182"/>
  <c r="BK130" i="182"/>
  <c r="CC130" i="182"/>
  <c r="AA130" i="182"/>
  <c r="CO130" i="182"/>
  <c r="O130" i="182"/>
  <c r="CO140" i="182"/>
  <c r="BQ140" i="182"/>
  <c r="FC140" i="182"/>
  <c r="BK140" i="182"/>
  <c r="AM140" i="182"/>
  <c r="AG140" i="182"/>
  <c r="CC140" i="182"/>
  <c r="O140" i="182"/>
  <c r="GG140" i="182"/>
  <c r="DY140" i="182"/>
  <c r="BE140" i="182"/>
  <c r="BW140" i="182"/>
  <c r="AY140" i="182"/>
  <c r="AA140" i="182"/>
  <c r="CI140" i="182"/>
  <c r="CU140" i="182"/>
  <c r="AS140" i="182"/>
  <c r="CU192" i="182"/>
  <c r="CI192" i="182"/>
  <c r="FC192" i="182"/>
  <c r="AA192" i="182"/>
  <c r="AM192" i="182"/>
  <c r="AY192" i="182"/>
  <c r="CC192" i="182"/>
  <c r="CO192" i="182"/>
  <c r="DY192" i="182"/>
  <c r="BW192" i="182"/>
  <c r="O192" i="182"/>
  <c r="AS192" i="182"/>
  <c r="BQ192" i="182"/>
  <c r="GG192" i="182"/>
  <c r="BK192" i="182"/>
  <c r="BE192" i="182"/>
  <c r="AG192" i="182"/>
  <c r="AG116" i="182"/>
  <c r="AS116" i="182"/>
  <c r="O116" i="182"/>
  <c r="AA116" i="182"/>
  <c r="CI116" i="182"/>
  <c r="FC116" i="182"/>
  <c r="BQ116" i="182"/>
  <c r="CO116" i="182"/>
  <c r="AY116" i="182"/>
  <c r="BW116" i="182"/>
  <c r="GG116" i="182"/>
  <c r="BE116" i="182"/>
  <c r="CC116" i="182"/>
  <c r="CU116" i="182"/>
  <c r="AM116" i="182"/>
  <c r="DY116" i="182"/>
  <c r="BK116" i="182"/>
  <c r="DY146" i="182"/>
  <c r="CI146" i="182"/>
  <c r="CU146" i="182"/>
  <c r="AG146" i="182"/>
  <c r="BW146" i="182"/>
  <c r="AA146" i="182"/>
  <c r="O146" i="182"/>
  <c r="BQ146" i="182"/>
  <c r="AS146" i="182"/>
  <c r="FC146" i="182"/>
  <c r="CC146" i="182"/>
  <c r="AM146" i="182"/>
  <c r="CO146" i="182"/>
  <c r="AY146" i="182"/>
  <c r="BE146" i="182"/>
  <c r="BK146" i="182"/>
  <c r="GG146" i="182"/>
  <c r="BK202" i="182"/>
  <c r="CC202" i="182"/>
  <c r="FC202" i="182"/>
  <c r="CI202" i="182"/>
  <c r="AS202" i="182"/>
  <c r="GG202" i="182"/>
  <c r="BW202" i="182"/>
  <c r="DY202" i="182"/>
  <c r="AY202" i="182"/>
  <c r="CO202" i="182"/>
  <c r="BE202" i="182"/>
  <c r="AM202" i="182"/>
  <c r="AA202" i="182"/>
  <c r="CU202" i="182"/>
  <c r="BQ202" i="182"/>
  <c r="O202" i="182"/>
  <c r="AG202" i="182"/>
  <c r="AY206" i="181"/>
  <c r="AM206" i="181"/>
  <c r="AG206" i="181"/>
  <c r="CO206" i="181"/>
  <c r="BK206" i="181"/>
  <c r="GG206" i="181"/>
  <c r="CC206" i="181"/>
  <c r="AS206" i="181"/>
  <c r="O206" i="181"/>
  <c r="CI206" i="181"/>
  <c r="DY206" i="181"/>
  <c r="CU206" i="181"/>
  <c r="BW206" i="181"/>
  <c r="AA206" i="181"/>
  <c r="BQ206" i="181"/>
  <c r="FC206" i="181"/>
  <c r="BE206" i="181"/>
  <c r="CI187" i="181"/>
  <c r="BQ187" i="181"/>
  <c r="CU187" i="181"/>
  <c r="GG187" i="181"/>
  <c r="CC187" i="181"/>
  <c r="AA187" i="181"/>
  <c r="AY187" i="181"/>
  <c r="BK187" i="181"/>
  <c r="AG187" i="181"/>
  <c r="FC187" i="181"/>
  <c r="AS187" i="181"/>
  <c r="AM187" i="181"/>
  <c r="CO187" i="181"/>
  <c r="DY187" i="181"/>
  <c r="BW187" i="181"/>
  <c r="O187" i="181"/>
  <c r="BE187" i="181"/>
  <c r="AS170" i="181"/>
  <c r="AM170" i="181"/>
  <c r="CI170" i="181"/>
  <c r="BK170" i="181"/>
  <c r="O170" i="181"/>
  <c r="AY170" i="181"/>
  <c r="CU170" i="181"/>
  <c r="BE170" i="181"/>
  <c r="FC170" i="181"/>
  <c r="AA170" i="181"/>
  <c r="AG170" i="181"/>
  <c r="CC170" i="181"/>
  <c r="DY170" i="181"/>
  <c r="BW170" i="181"/>
  <c r="BQ170" i="181"/>
  <c r="GG170" i="181"/>
  <c r="CO170" i="181"/>
  <c r="AM123" i="181"/>
  <c r="AG123" i="181"/>
  <c r="BW123" i="181"/>
  <c r="CC123" i="181"/>
  <c r="AA123" i="181"/>
  <c r="GG123" i="181"/>
  <c r="CO123" i="181"/>
  <c r="AS123" i="181"/>
  <c r="BK123" i="181"/>
  <c r="CI123" i="181"/>
  <c r="O123" i="181"/>
  <c r="BE123" i="181"/>
  <c r="AY123" i="181"/>
  <c r="BQ123" i="181"/>
  <c r="DY123" i="181"/>
  <c r="FC123" i="181"/>
  <c r="CU123" i="181"/>
  <c r="BE172" i="181"/>
  <c r="AS172" i="181"/>
  <c r="CU172" i="181"/>
  <c r="O172" i="181"/>
  <c r="FC172" i="181"/>
  <c r="AA172" i="181"/>
  <c r="AY172" i="181"/>
  <c r="AM172" i="181"/>
  <c r="GG172" i="181"/>
  <c r="CC172" i="181"/>
  <c r="DY172" i="181"/>
  <c r="CO172" i="181"/>
  <c r="BQ172" i="181"/>
  <c r="BW172" i="181"/>
  <c r="AG172" i="181"/>
  <c r="CI172" i="181"/>
  <c r="BK172" i="181"/>
  <c r="CC48" i="181"/>
  <c r="GG48" i="181"/>
  <c r="AY48" i="181"/>
  <c r="AS48" i="181"/>
  <c r="CO48" i="181"/>
  <c r="CI48" i="181"/>
  <c r="BK48" i="181"/>
  <c r="BE48" i="181"/>
  <c r="DY48" i="181"/>
  <c r="CU48" i="181"/>
  <c r="AG48" i="181"/>
  <c r="AA48" i="181"/>
  <c r="FC48" i="181"/>
  <c r="O48" i="181"/>
  <c r="BQ48" i="181"/>
  <c r="AM48" i="181"/>
  <c r="BW48" i="181"/>
  <c r="BE114" i="181"/>
  <c r="BK114" i="181"/>
  <c r="AG114" i="181"/>
  <c r="CU114" i="181"/>
  <c r="BW114" i="181"/>
  <c r="AA114" i="181"/>
  <c r="GG114" i="181"/>
  <c r="BQ114" i="181"/>
  <c r="AS114" i="181"/>
  <c r="FC114" i="181"/>
  <c r="O114" i="181"/>
  <c r="AM114" i="181"/>
  <c r="DY114" i="181"/>
  <c r="AY114" i="181"/>
  <c r="CI114" i="181"/>
  <c r="CO114" i="181"/>
  <c r="CC114" i="181"/>
  <c r="CC118" i="181"/>
  <c r="CU118" i="181"/>
  <c r="DY118" i="181"/>
  <c r="AY118" i="181"/>
  <c r="AA118" i="181"/>
  <c r="CO118" i="181"/>
  <c r="BQ118" i="181"/>
  <c r="BK118" i="181"/>
  <c r="AM118" i="181"/>
  <c r="BW118" i="181"/>
  <c r="AG118" i="181"/>
  <c r="GG118" i="181"/>
  <c r="O118" i="181"/>
  <c r="AS118" i="181"/>
  <c r="BE118" i="181"/>
  <c r="CI118" i="181"/>
  <c r="FC118" i="181"/>
  <c r="FC136" i="181"/>
  <c r="DY136" i="181"/>
  <c r="CC136" i="181"/>
  <c r="AM136" i="181"/>
  <c r="BQ136" i="181"/>
  <c r="CI136" i="181"/>
  <c r="AY136" i="181"/>
  <c r="BK136" i="181"/>
  <c r="O136" i="181"/>
  <c r="AS136" i="181"/>
  <c r="GG136" i="181"/>
  <c r="AA136" i="181"/>
  <c r="CU136" i="181"/>
  <c r="CO136" i="181"/>
  <c r="AG136" i="181"/>
  <c r="BE136" i="181"/>
  <c r="BW136" i="181"/>
  <c r="AS106" i="181"/>
  <c r="GG106" i="181"/>
  <c r="CO106" i="181"/>
  <c r="CC106" i="181"/>
  <c r="FC106" i="181"/>
  <c r="O106" i="181"/>
  <c r="BW106" i="181"/>
  <c r="AM106" i="181"/>
  <c r="DY106" i="181"/>
  <c r="BK106" i="181"/>
  <c r="CU106" i="181"/>
  <c r="CI106" i="181"/>
  <c r="BE106" i="181"/>
  <c r="AA106" i="181"/>
  <c r="AY106" i="181"/>
  <c r="BQ106" i="181"/>
  <c r="AG106" i="181"/>
  <c r="AM145" i="181"/>
  <c r="AG145" i="181"/>
  <c r="AY145" i="181"/>
  <c r="BQ145" i="181"/>
  <c r="CO145" i="181"/>
  <c r="DY145" i="181"/>
  <c r="BK145" i="181"/>
  <c r="O145" i="181"/>
  <c r="BE145" i="181"/>
  <c r="BW145" i="181"/>
  <c r="CI145" i="181"/>
  <c r="CU145" i="181"/>
  <c r="GG145" i="181"/>
  <c r="AA145" i="181"/>
  <c r="AS145" i="181"/>
  <c r="FC145" i="181"/>
  <c r="CC145" i="181"/>
  <c r="BK52" i="181"/>
  <c r="BE52" i="181"/>
  <c r="CO52" i="181"/>
  <c r="DY52" i="181"/>
  <c r="CU52" i="181"/>
  <c r="AG52" i="181"/>
  <c r="AA52" i="181"/>
  <c r="O52" i="181"/>
  <c r="BQ52" i="181"/>
  <c r="BW52" i="181"/>
  <c r="FC52" i="181"/>
  <c r="GG52" i="181"/>
  <c r="AM52" i="181"/>
  <c r="AS52" i="181"/>
  <c r="CC52" i="181"/>
  <c r="CI52" i="181"/>
  <c r="AY52" i="181"/>
  <c r="FC166" i="181"/>
  <c r="CO166" i="181"/>
  <c r="AA166" i="181"/>
  <c r="CI166" i="181"/>
  <c r="BE166" i="181"/>
  <c r="AG166" i="181"/>
  <c r="DY166" i="181"/>
  <c r="AY166" i="181"/>
  <c r="AM166" i="181"/>
  <c r="CU166" i="181"/>
  <c r="BW166" i="181"/>
  <c r="GG166" i="181"/>
  <c r="AS166" i="181"/>
  <c r="BK166" i="181"/>
  <c r="BQ166" i="181"/>
  <c r="CC166" i="181"/>
  <c r="O166" i="181"/>
  <c r="GG102" i="181"/>
  <c r="CO102" i="181"/>
  <c r="AS102" i="181"/>
  <c r="BK102" i="181"/>
  <c r="CI102" i="181"/>
  <c r="CU102" i="181"/>
  <c r="BE102" i="181"/>
  <c r="AG102" i="181"/>
  <c r="BQ102" i="181"/>
  <c r="AA102" i="181"/>
  <c r="FC102" i="181"/>
  <c r="O102" i="181"/>
  <c r="AM102" i="181"/>
  <c r="AY102" i="181"/>
  <c r="BW102" i="181"/>
  <c r="CC102" i="181"/>
  <c r="DY102" i="181"/>
  <c r="AS134" i="181"/>
  <c r="AY134" i="181"/>
  <c r="DY134" i="181"/>
  <c r="FC134" i="181"/>
  <c r="BW134" i="181"/>
  <c r="CC134" i="181"/>
  <c r="CI134" i="181"/>
  <c r="O134" i="181"/>
  <c r="CU134" i="181"/>
  <c r="BE134" i="181"/>
  <c r="AG134" i="181"/>
  <c r="AA134" i="181"/>
  <c r="GG134" i="181"/>
  <c r="CO134" i="181"/>
  <c r="AM134" i="181"/>
  <c r="BK134" i="181"/>
  <c r="BQ134" i="181"/>
  <c r="GG124" i="181"/>
  <c r="CC124" i="181"/>
  <c r="BQ124" i="181"/>
  <c r="AS124" i="181"/>
  <c r="AY124" i="181"/>
  <c r="CI124" i="181"/>
  <c r="BK124" i="181"/>
  <c r="BE124" i="181"/>
  <c r="DY124" i="181"/>
  <c r="CU124" i="181"/>
  <c r="AG124" i="181"/>
  <c r="AA124" i="181"/>
  <c r="O124" i="181"/>
  <c r="FC124" i="181"/>
  <c r="CO124" i="181"/>
  <c r="AM124" i="181"/>
  <c r="BW124" i="181"/>
  <c r="CI69" i="181"/>
  <c r="AY69" i="181"/>
  <c r="BK69" i="181"/>
  <c r="BE69" i="181"/>
  <c r="CO69" i="181"/>
  <c r="DY69" i="181"/>
  <c r="CU69" i="181"/>
  <c r="AG69" i="181"/>
  <c r="AA69" i="181"/>
  <c r="O69" i="181"/>
  <c r="BQ69" i="181"/>
  <c r="BW69" i="181"/>
  <c r="FC69" i="181"/>
  <c r="GG69" i="181"/>
  <c r="AM69" i="181"/>
  <c r="AS69" i="181"/>
  <c r="CC69" i="181"/>
  <c r="CC168" i="181"/>
  <c r="AG168" i="181"/>
  <c r="CI168" i="181"/>
  <c r="GG168" i="181"/>
  <c r="AA168" i="181"/>
  <c r="BK168" i="181"/>
  <c r="BE168" i="181"/>
  <c r="BW168" i="181"/>
  <c r="AM168" i="181"/>
  <c r="BQ168" i="181"/>
  <c r="O168" i="181"/>
  <c r="AY168" i="181"/>
  <c r="FC168" i="181"/>
  <c r="AS168" i="181"/>
  <c r="CO168" i="181"/>
  <c r="CU168" i="181"/>
  <c r="DY168" i="181"/>
  <c r="CC125" i="181"/>
  <c r="GG125" i="181"/>
  <c r="AY125" i="181"/>
  <c r="AS125" i="181"/>
  <c r="CO125" i="181"/>
  <c r="FC125" i="181"/>
  <c r="CI125" i="181"/>
  <c r="DY125" i="181"/>
  <c r="AM125" i="181"/>
  <c r="BE125" i="181"/>
  <c r="AG125" i="181"/>
  <c r="CU125" i="181"/>
  <c r="O125" i="181"/>
  <c r="AA125" i="181"/>
  <c r="BW125" i="181"/>
  <c r="BQ125" i="181"/>
  <c r="BK125" i="181"/>
  <c r="FC192" i="181"/>
  <c r="AS192" i="181"/>
  <c r="BQ192" i="181"/>
  <c r="AM192" i="181"/>
  <c r="DY192" i="181"/>
  <c r="CI192" i="181"/>
  <c r="AA192" i="181"/>
  <c r="GG192" i="181"/>
  <c r="CC192" i="181"/>
  <c r="CU192" i="181"/>
  <c r="CO192" i="181"/>
  <c r="AY192" i="181"/>
  <c r="BE192" i="181"/>
  <c r="AG192" i="181"/>
  <c r="O192" i="181"/>
  <c r="BK192" i="181"/>
  <c r="BW192" i="181"/>
  <c r="BK202" i="181"/>
  <c r="FC202" i="181"/>
  <c r="CC202" i="181"/>
  <c r="AY202" i="181"/>
  <c r="O202" i="181"/>
  <c r="BQ202" i="181"/>
  <c r="AS202" i="181"/>
  <c r="GG202" i="181"/>
  <c r="CI202" i="181"/>
  <c r="AM202" i="181"/>
  <c r="BE202" i="181"/>
  <c r="CO202" i="181"/>
  <c r="DY202" i="181"/>
  <c r="BW202" i="181"/>
  <c r="AG202" i="181"/>
  <c r="CU202" i="181"/>
  <c r="AA202" i="181"/>
  <c r="CC161" i="180"/>
  <c r="DY161" i="180"/>
  <c r="BK161" i="180"/>
  <c r="CI161" i="180"/>
  <c r="AS161" i="180"/>
  <c r="FC161" i="180"/>
  <c r="AA161" i="180"/>
  <c r="BE161" i="180"/>
  <c r="GG161" i="180"/>
  <c r="BW161" i="180"/>
  <c r="CU161" i="180"/>
  <c r="AG161" i="180"/>
  <c r="CO161" i="180"/>
  <c r="AM161" i="180"/>
  <c r="AY161" i="180"/>
  <c r="BQ161" i="180"/>
  <c r="O161" i="180"/>
  <c r="O128" i="180"/>
  <c r="BQ128" i="180"/>
  <c r="FC128" i="180"/>
  <c r="AY128" i="180"/>
  <c r="CI128" i="180"/>
  <c r="AS128" i="180"/>
  <c r="BW128" i="180"/>
  <c r="AM128" i="180"/>
  <c r="AA128" i="180"/>
  <c r="BK128" i="180"/>
  <c r="BE128" i="180"/>
  <c r="DY128" i="180"/>
  <c r="CU128" i="180"/>
  <c r="CO128" i="180"/>
  <c r="AG128" i="180"/>
  <c r="CC128" i="180"/>
  <c r="GG128" i="180"/>
  <c r="BQ109" i="180"/>
  <c r="FC109" i="180"/>
  <c r="AY109" i="180"/>
  <c r="BW109" i="180"/>
  <c r="AG109" i="180"/>
  <c r="BE109" i="180"/>
  <c r="CU109" i="180"/>
  <c r="O109" i="180"/>
  <c r="AM109" i="180"/>
  <c r="CO109" i="180"/>
  <c r="GG109" i="180"/>
  <c r="BK109" i="180"/>
  <c r="CC109" i="180"/>
  <c r="DY109" i="180"/>
  <c r="AS109" i="180"/>
  <c r="CI109" i="180"/>
  <c r="AA109" i="180"/>
  <c r="BE148" i="180"/>
  <c r="AY148" i="180"/>
  <c r="AA148" i="180"/>
  <c r="FC148" i="180"/>
  <c r="CU148" i="180"/>
  <c r="CI148" i="180"/>
  <c r="BQ148" i="180"/>
  <c r="O148" i="180"/>
  <c r="AS148" i="180"/>
  <c r="CC148" i="180"/>
  <c r="AM148" i="180"/>
  <c r="DY148" i="180"/>
  <c r="BK148" i="180"/>
  <c r="CO148" i="180"/>
  <c r="AG148" i="180"/>
  <c r="GG148" i="180"/>
  <c r="BW148" i="180"/>
  <c r="CI191" i="180"/>
  <c r="AA191" i="180"/>
  <c r="BQ191" i="180"/>
  <c r="GG191" i="180"/>
  <c r="BW191" i="180"/>
  <c r="AG191" i="180"/>
  <c r="BE191" i="180"/>
  <c r="AY191" i="180"/>
  <c r="BK191" i="180"/>
  <c r="AM191" i="180"/>
  <c r="AS191" i="180"/>
  <c r="FC191" i="180"/>
  <c r="CO191" i="180"/>
  <c r="CC191" i="180"/>
  <c r="O191" i="180"/>
  <c r="DY191" i="180"/>
  <c r="CU191" i="180"/>
  <c r="BK157" i="180"/>
  <c r="AG157" i="180"/>
  <c r="AS157" i="180"/>
  <c r="BE157" i="180"/>
  <c r="FC157" i="180"/>
  <c r="CI157" i="180"/>
  <c r="AA157" i="180"/>
  <c r="DY157" i="180"/>
  <c r="O157" i="180"/>
  <c r="AM157" i="180"/>
  <c r="CO157" i="180"/>
  <c r="BQ157" i="180"/>
  <c r="BW157" i="180"/>
  <c r="CC157" i="180"/>
  <c r="GG157" i="180"/>
  <c r="CU157" i="180"/>
  <c r="AY157" i="180"/>
  <c r="GG190" i="180"/>
  <c r="AM190" i="180"/>
  <c r="AA190" i="180"/>
  <c r="BK190" i="180"/>
  <c r="AG190" i="180"/>
  <c r="CO190" i="180"/>
  <c r="O190" i="180"/>
  <c r="DY190" i="180"/>
  <c r="BW190" i="180"/>
  <c r="CC190" i="180"/>
  <c r="FC190" i="180"/>
  <c r="CU190" i="180"/>
  <c r="BQ190" i="180"/>
  <c r="BE190" i="180"/>
  <c r="AY190" i="180"/>
  <c r="AS190" i="180"/>
  <c r="CI190" i="180"/>
  <c r="BK60" i="180"/>
  <c r="BE60" i="180"/>
  <c r="CO60" i="180"/>
  <c r="DY60" i="180"/>
  <c r="CU60" i="180"/>
  <c r="AG60" i="180"/>
  <c r="AA60" i="180"/>
  <c r="O60" i="180"/>
  <c r="BQ60" i="180"/>
  <c r="BW60" i="180"/>
  <c r="FC60" i="180"/>
  <c r="GG60" i="180"/>
  <c r="AM60" i="180"/>
  <c r="AS60" i="180"/>
  <c r="CC60" i="180"/>
  <c r="CI60" i="180"/>
  <c r="AY60" i="180"/>
  <c r="AA146" i="180"/>
  <c r="O146" i="180"/>
  <c r="CI146" i="180"/>
  <c r="FC146" i="180"/>
  <c r="BE146" i="180"/>
  <c r="CO146" i="180"/>
  <c r="BQ146" i="180"/>
  <c r="BW146" i="180"/>
  <c r="AY146" i="180"/>
  <c r="BK146" i="180"/>
  <c r="AG146" i="180"/>
  <c r="AS146" i="180"/>
  <c r="DY146" i="180"/>
  <c r="AM146" i="180"/>
  <c r="GG146" i="180"/>
  <c r="CC146" i="180"/>
  <c r="CU146" i="180"/>
  <c r="CI83" i="180"/>
  <c r="AY83" i="180"/>
  <c r="BE83" i="180"/>
  <c r="CO83" i="180"/>
  <c r="CU83" i="180"/>
  <c r="BK83" i="180"/>
  <c r="AA83" i="180"/>
  <c r="DY83" i="180"/>
  <c r="BW83" i="180"/>
  <c r="FC83" i="180"/>
  <c r="O83" i="180"/>
  <c r="AG83" i="180"/>
  <c r="GG83" i="180"/>
  <c r="BQ83" i="180"/>
  <c r="AM83" i="180"/>
  <c r="CC83" i="180"/>
  <c r="AS83" i="180"/>
  <c r="FC210" i="180"/>
  <c r="DY210" i="180"/>
  <c r="BE210" i="180"/>
  <c r="CO210" i="180"/>
  <c r="CU210" i="180"/>
  <c r="BQ210" i="180"/>
  <c r="AG210" i="180"/>
  <c r="CC210" i="180"/>
  <c r="O210" i="180"/>
  <c r="GG210" i="180"/>
  <c r="CI210" i="180"/>
  <c r="BK210" i="180"/>
  <c r="AY210" i="180"/>
  <c r="AS210" i="180"/>
  <c r="BW210" i="180"/>
  <c r="AM210" i="180"/>
  <c r="AA210" i="180"/>
  <c r="GG100" i="180"/>
  <c r="CO100" i="180"/>
  <c r="BE100" i="180"/>
  <c r="BK100" i="180"/>
  <c r="BW100" i="180"/>
  <c r="DY100" i="180"/>
  <c r="AS100" i="180"/>
  <c r="AG100" i="180"/>
  <c r="CI100" i="180"/>
  <c r="O100" i="180"/>
  <c r="AA100" i="180"/>
  <c r="CC100" i="180"/>
  <c r="BQ100" i="180"/>
  <c r="AY100" i="180"/>
  <c r="CU100" i="180"/>
  <c r="FC100" i="180"/>
  <c r="AM100" i="180"/>
  <c r="BE200" i="180"/>
  <c r="CO200" i="180"/>
  <c r="CU200" i="180"/>
  <c r="AM200" i="180"/>
  <c r="CC200" i="180"/>
  <c r="AA200" i="180"/>
  <c r="AS200" i="180"/>
  <c r="GG200" i="180"/>
  <c r="BK200" i="180"/>
  <c r="CI200" i="180"/>
  <c r="FC200" i="180"/>
  <c r="AY200" i="180"/>
  <c r="BW200" i="180"/>
  <c r="BQ200" i="180"/>
  <c r="AG200" i="180"/>
  <c r="DY200" i="180"/>
  <c r="O200" i="180"/>
  <c r="O73" i="180"/>
  <c r="BE73" i="180"/>
  <c r="AS73" i="180"/>
  <c r="AA73" i="180"/>
  <c r="CI73" i="180"/>
  <c r="BK73" i="180"/>
  <c r="BQ73" i="180"/>
  <c r="FC73" i="180"/>
  <c r="AM73" i="180"/>
  <c r="CC73" i="180"/>
  <c r="CU73" i="180"/>
  <c r="AG73" i="180"/>
  <c r="CO73" i="180"/>
  <c r="BW73" i="180"/>
  <c r="DY73" i="180"/>
  <c r="GG73" i="180"/>
  <c r="AY73" i="180"/>
  <c r="BW130" i="180"/>
  <c r="CO130" i="180"/>
  <c r="GG130" i="180"/>
  <c r="BQ130" i="180"/>
  <c r="AS130" i="180"/>
  <c r="AY130" i="180"/>
  <c r="CU130" i="180"/>
  <c r="AA130" i="180"/>
  <c r="CI130" i="180"/>
  <c r="CC130" i="180"/>
  <c r="AM130" i="180"/>
  <c r="DY130" i="180"/>
  <c r="BK130" i="180"/>
  <c r="AG130" i="180"/>
  <c r="BE130" i="180"/>
  <c r="O130" i="180"/>
  <c r="FC130" i="180"/>
  <c r="CU110" i="180"/>
  <c r="AA110" i="180"/>
  <c r="BE110" i="180"/>
  <c r="AM110" i="180"/>
  <c r="AS110" i="180"/>
  <c r="BQ110" i="180"/>
  <c r="GG110" i="180"/>
  <c r="BK110" i="180"/>
  <c r="BW110" i="180"/>
  <c r="DY110" i="180"/>
  <c r="CO110" i="180"/>
  <c r="AG110" i="180"/>
  <c r="FC110" i="180"/>
  <c r="O110" i="180"/>
  <c r="AY110" i="180"/>
  <c r="CC110" i="180"/>
  <c r="CI110" i="180"/>
  <c r="BQ180" i="180"/>
  <c r="CC180" i="180"/>
  <c r="DY180" i="180"/>
  <c r="CU180" i="180"/>
  <c r="BE180" i="180"/>
  <c r="AG180" i="180"/>
  <c r="AS180" i="180"/>
  <c r="O180" i="180"/>
  <c r="GG180" i="180"/>
  <c r="FC180" i="180"/>
  <c r="CO180" i="180"/>
  <c r="AA180" i="180"/>
  <c r="AM180" i="180"/>
  <c r="CI180" i="180"/>
  <c r="AY180" i="180"/>
  <c r="BK180" i="180"/>
  <c r="BW180" i="180"/>
  <c r="AM105" i="180"/>
  <c r="BW105" i="180"/>
  <c r="CC105" i="180"/>
  <c r="GG105" i="180"/>
  <c r="AY105" i="180"/>
  <c r="AS105" i="180"/>
  <c r="CO105" i="180"/>
  <c r="CI105" i="180"/>
  <c r="DY105" i="180"/>
  <c r="CU105" i="180"/>
  <c r="BQ105" i="180"/>
  <c r="AG105" i="180"/>
  <c r="AA105" i="180"/>
  <c r="O105" i="180"/>
  <c r="BE105" i="180"/>
  <c r="FC105" i="180"/>
  <c r="BK105" i="180"/>
  <c r="AM97" i="180"/>
  <c r="BE97" i="180"/>
  <c r="CC97" i="180"/>
  <c r="AA97" i="180"/>
  <c r="AY97" i="180"/>
  <c r="GG97" i="180"/>
  <c r="CO97" i="180"/>
  <c r="AS97" i="180"/>
  <c r="O97" i="180"/>
  <c r="BW97" i="180"/>
  <c r="BQ97" i="180"/>
  <c r="CI97" i="180"/>
  <c r="CU97" i="180"/>
  <c r="BK97" i="180"/>
  <c r="FC97" i="180"/>
  <c r="DY97" i="180"/>
  <c r="AG97" i="180"/>
  <c r="AY201" i="180"/>
  <c r="CU201" i="180"/>
  <c r="GG201" i="180"/>
  <c r="DY201" i="180"/>
  <c r="BE201" i="180"/>
  <c r="AA201" i="180"/>
  <c r="AM201" i="180"/>
  <c r="CC201" i="180"/>
  <c r="CO201" i="180"/>
  <c r="FC201" i="180"/>
  <c r="CI201" i="180"/>
  <c r="AG201" i="180"/>
  <c r="BQ201" i="180"/>
  <c r="O201" i="180"/>
  <c r="BK201" i="180"/>
  <c r="AS201" i="180"/>
  <c r="BW201" i="180"/>
  <c r="CO153" i="180"/>
  <c r="CC153" i="180"/>
  <c r="BQ153" i="180"/>
  <c r="AS153" i="180"/>
  <c r="AG153" i="180"/>
  <c r="DY153" i="180"/>
  <c r="BW153" i="180"/>
  <c r="AA153" i="180"/>
  <c r="FC153" i="180"/>
  <c r="CI153" i="180"/>
  <c r="CU153" i="180"/>
  <c r="AM153" i="180"/>
  <c r="AY153" i="180"/>
  <c r="BK153" i="180"/>
  <c r="O153" i="180"/>
  <c r="BE153" i="180"/>
  <c r="GG153" i="180"/>
  <c r="BQ127" i="179"/>
  <c r="AA127" i="179"/>
  <c r="DY127" i="179"/>
  <c r="AS127" i="179"/>
  <c r="CO127" i="179"/>
  <c r="AG127" i="179"/>
  <c r="CI127" i="179"/>
  <c r="O127" i="179"/>
  <c r="BK127" i="179"/>
  <c r="AM127" i="179"/>
  <c r="CU127" i="179"/>
  <c r="BW127" i="179"/>
  <c r="GG127" i="179"/>
  <c r="FC127" i="179"/>
  <c r="CC127" i="179"/>
  <c r="BE127" i="179"/>
  <c r="AY127" i="179"/>
  <c r="O164" i="179"/>
  <c r="CO164" i="179"/>
  <c r="BQ164" i="179"/>
  <c r="GG164" i="179"/>
  <c r="FC164" i="179"/>
  <c r="AY164" i="179"/>
  <c r="AM164" i="179"/>
  <c r="BW164" i="179"/>
  <c r="CC164" i="179"/>
  <c r="CU164" i="179"/>
  <c r="BK164" i="179"/>
  <c r="AA164" i="179"/>
  <c r="BE164" i="179"/>
  <c r="DY164" i="179"/>
  <c r="CI164" i="179"/>
  <c r="AG164" i="179"/>
  <c r="AS164" i="179"/>
  <c r="BQ113" i="179"/>
  <c r="BK113" i="179"/>
  <c r="AM113" i="179"/>
  <c r="BW113" i="179"/>
  <c r="CU113" i="179"/>
  <c r="AS113" i="179"/>
  <c r="CC113" i="179"/>
  <c r="DY113" i="179"/>
  <c r="FC113" i="179"/>
  <c r="AA113" i="179"/>
  <c r="AY113" i="179"/>
  <c r="AG113" i="179"/>
  <c r="BE113" i="179"/>
  <c r="GG113" i="179"/>
  <c r="O113" i="179"/>
  <c r="CO113" i="179"/>
  <c r="CI113" i="179"/>
  <c r="FC88" i="179"/>
  <c r="AY88" i="179"/>
  <c r="CO88" i="179"/>
  <c r="AG88" i="179"/>
  <c r="BE88" i="179"/>
  <c r="CU88" i="179"/>
  <c r="BW88" i="179"/>
  <c r="CC88" i="179"/>
  <c r="GG88" i="179"/>
  <c r="DY88" i="179"/>
  <c r="AA88" i="179"/>
  <c r="AS88" i="179"/>
  <c r="BQ88" i="179"/>
  <c r="CI88" i="179"/>
  <c r="AM88" i="179"/>
  <c r="O88" i="179"/>
  <c r="BK88" i="179"/>
  <c r="CI171" i="179"/>
  <c r="AG171" i="179"/>
  <c r="CU171" i="179"/>
  <c r="AA171" i="179"/>
  <c r="BQ171" i="179"/>
  <c r="BK171" i="179"/>
  <c r="O171" i="179"/>
  <c r="FC171" i="179"/>
  <c r="CC171" i="179"/>
  <c r="AM171" i="179"/>
  <c r="BE171" i="179"/>
  <c r="BW171" i="179"/>
  <c r="DY171" i="179"/>
  <c r="GG171" i="179"/>
  <c r="CO171" i="179"/>
  <c r="AS171" i="179"/>
  <c r="AY171" i="179"/>
  <c r="AY205" i="179"/>
  <c r="CU205" i="179"/>
  <c r="FC205" i="179"/>
  <c r="CO205" i="179"/>
  <c r="AA205" i="179"/>
  <c r="AM205" i="179"/>
  <c r="BW205" i="179"/>
  <c r="GG205" i="179"/>
  <c r="BE205" i="179"/>
  <c r="DY205" i="179"/>
  <c r="BK205" i="179"/>
  <c r="CI205" i="179"/>
  <c r="O205" i="179"/>
  <c r="BQ205" i="179"/>
  <c r="CC205" i="179"/>
  <c r="AG205" i="179"/>
  <c r="AS205" i="179"/>
  <c r="FC116" i="179"/>
  <c r="BQ116" i="179"/>
  <c r="GG116" i="179"/>
  <c r="AY116" i="179"/>
  <c r="CU116" i="179"/>
  <c r="CC116" i="179"/>
  <c r="AA116" i="179"/>
  <c r="BK116" i="179"/>
  <c r="AG116" i="179"/>
  <c r="CO116" i="179"/>
  <c r="O116" i="179"/>
  <c r="AM116" i="179"/>
  <c r="BW116" i="179"/>
  <c r="BE116" i="179"/>
  <c r="CI116" i="179"/>
  <c r="AS116" i="179"/>
  <c r="DY116" i="179"/>
  <c r="DY86" i="179"/>
  <c r="CC86" i="179"/>
  <c r="BW86" i="179"/>
  <c r="BE86" i="179"/>
  <c r="AY86" i="179"/>
  <c r="FC86" i="179"/>
  <c r="CI86" i="179"/>
  <c r="AG86" i="179"/>
  <c r="GG86" i="179"/>
  <c r="BK86" i="179"/>
  <c r="AM86" i="179"/>
  <c r="CO86" i="179"/>
  <c r="BQ86" i="179"/>
  <c r="AS86" i="179"/>
  <c r="CU86" i="179"/>
  <c r="AA86" i="179"/>
  <c r="O86" i="179"/>
  <c r="BE192" i="179"/>
  <c r="AS192" i="179"/>
  <c r="DY192" i="179"/>
  <c r="AM192" i="179"/>
  <c r="CI192" i="179"/>
  <c r="CU192" i="179"/>
  <c r="BK192" i="179"/>
  <c r="AA192" i="179"/>
  <c r="CC192" i="179"/>
  <c r="BQ192" i="179"/>
  <c r="GG192" i="179"/>
  <c r="AG192" i="179"/>
  <c r="FC192" i="179"/>
  <c r="AY192" i="179"/>
  <c r="O192" i="179"/>
  <c r="BW192" i="179"/>
  <c r="CO192" i="179"/>
  <c r="BE83" i="179"/>
  <c r="BK83" i="179"/>
  <c r="DY83" i="179"/>
  <c r="CU83" i="179"/>
  <c r="CO83" i="179"/>
  <c r="AG83" i="179"/>
  <c r="AA83" i="179"/>
  <c r="O83" i="179"/>
  <c r="BQ83" i="179"/>
  <c r="BW83" i="179"/>
  <c r="FC83" i="179"/>
  <c r="GG83" i="179"/>
  <c r="AM83" i="179"/>
  <c r="AS83" i="179"/>
  <c r="CC83" i="179"/>
  <c r="CI83" i="179"/>
  <c r="AY83" i="179"/>
  <c r="BE198" i="179"/>
  <c r="GG198" i="179"/>
  <c r="CU198" i="179"/>
  <c r="AM198" i="179"/>
  <c r="AA198" i="179"/>
  <c r="FC198" i="179"/>
  <c r="CO198" i="179"/>
  <c r="BW198" i="179"/>
  <c r="CC198" i="179"/>
  <c r="AS198" i="179"/>
  <c r="BK198" i="179"/>
  <c r="AY198" i="179"/>
  <c r="O198" i="179"/>
  <c r="AG198" i="179"/>
  <c r="CI198" i="179"/>
  <c r="BQ198" i="179"/>
  <c r="DY198" i="179"/>
  <c r="AS61" i="179"/>
  <c r="CC61" i="179"/>
  <c r="AY61" i="179"/>
  <c r="BK61" i="179"/>
  <c r="DY61" i="179"/>
  <c r="AA61" i="179"/>
  <c r="CI61" i="179"/>
  <c r="FC61" i="179"/>
  <c r="O61" i="179"/>
  <c r="CO61" i="179"/>
  <c r="BQ61" i="179"/>
  <c r="BE61" i="179"/>
  <c r="AG61" i="179"/>
  <c r="BW61" i="179"/>
  <c r="GG61" i="179"/>
  <c r="CU61" i="179"/>
  <c r="AM61" i="179"/>
  <c r="O49" i="179"/>
  <c r="AS49" i="179"/>
  <c r="GG49" i="179"/>
  <c r="AA49" i="179"/>
  <c r="BE49" i="179"/>
  <c r="CO49" i="179"/>
  <c r="CI49" i="179"/>
  <c r="CU49" i="179"/>
  <c r="AY49" i="179"/>
  <c r="AM49" i="179"/>
  <c r="BK49" i="179"/>
  <c r="CC49" i="179"/>
  <c r="BQ49" i="179"/>
  <c r="FC49" i="179"/>
  <c r="BW49" i="179"/>
  <c r="AG49" i="179"/>
  <c r="DY49" i="179"/>
  <c r="CC98" i="179"/>
  <c r="AS98" i="179"/>
  <c r="CI98" i="179"/>
  <c r="AY98" i="179"/>
  <c r="GG98" i="179"/>
  <c r="BE98" i="179"/>
  <c r="CO98" i="179"/>
  <c r="CU98" i="179"/>
  <c r="BK98" i="179"/>
  <c r="BQ98" i="179"/>
  <c r="AG98" i="179"/>
  <c r="FC98" i="179"/>
  <c r="O98" i="179"/>
  <c r="AA98" i="179"/>
  <c r="AM98" i="179"/>
  <c r="DY98" i="179"/>
  <c r="BW98" i="179"/>
  <c r="AM126" i="179"/>
  <c r="AG126" i="179"/>
  <c r="AS126" i="179"/>
  <c r="FC126" i="179"/>
  <c r="CO126" i="179"/>
  <c r="AA126" i="179"/>
  <c r="CI126" i="179"/>
  <c r="GG126" i="179"/>
  <c r="BW126" i="179"/>
  <c r="BQ126" i="179"/>
  <c r="BE126" i="179"/>
  <c r="CC126" i="179"/>
  <c r="O126" i="179"/>
  <c r="AY126" i="179"/>
  <c r="BK126" i="179"/>
  <c r="CU126" i="179"/>
  <c r="DY126" i="179"/>
  <c r="AS128" i="179"/>
  <c r="AM128" i="179"/>
  <c r="AA128" i="179"/>
  <c r="CI128" i="179"/>
  <c r="BW128" i="179"/>
  <c r="DY128" i="179"/>
  <c r="FC128" i="179"/>
  <c r="CC128" i="179"/>
  <c r="AY128" i="179"/>
  <c r="AG128" i="179"/>
  <c r="CO128" i="179"/>
  <c r="CU128" i="179"/>
  <c r="BQ128" i="179"/>
  <c r="BK128" i="179"/>
  <c r="O128" i="179"/>
  <c r="GG128" i="179"/>
  <c r="BE128" i="179"/>
  <c r="CI45" i="179"/>
  <c r="BK45" i="179"/>
  <c r="O45" i="179"/>
  <c r="BE45" i="179"/>
  <c r="AA45" i="179"/>
  <c r="AY45" i="179"/>
  <c r="AS45" i="179"/>
  <c r="AG45" i="179"/>
  <c r="FC45" i="179"/>
  <c r="GG45" i="179"/>
  <c r="BW45" i="179"/>
  <c r="CC45" i="179"/>
  <c r="AM45" i="179"/>
  <c r="BQ45" i="179"/>
  <c r="CU45" i="179"/>
  <c r="DY45" i="179"/>
  <c r="CO45" i="179"/>
  <c r="DY160" i="179"/>
  <c r="BW160" i="179"/>
  <c r="FC160" i="179"/>
  <c r="AY160" i="179"/>
  <c r="CO160" i="179"/>
  <c r="AM160" i="179"/>
  <c r="BQ160" i="179"/>
  <c r="CC160" i="179"/>
  <c r="AG160" i="179"/>
  <c r="AS160" i="179"/>
  <c r="BK160" i="179"/>
  <c r="CI160" i="179"/>
  <c r="AA160" i="179"/>
  <c r="BE160" i="179"/>
  <c r="CU160" i="179"/>
  <c r="O160" i="179"/>
  <c r="GG160" i="179"/>
  <c r="BW195" i="179"/>
  <c r="AY195" i="179"/>
  <c r="GG195" i="179"/>
  <c r="CI195" i="179"/>
  <c r="CU195" i="179"/>
  <c r="AS195" i="179"/>
  <c r="FC195" i="179"/>
  <c r="AA195" i="179"/>
  <c r="CC195" i="179"/>
  <c r="BQ195" i="179"/>
  <c r="BE195" i="179"/>
  <c r="DY195" i="179"/>
  <c r="CO195" i="179"/>
  <c r="AG195" i="179"/>
  <c r="AM195" i="179"/>
  <c r="O195" i="179"/>
  <c r="BK195" i="179"/>
  <c r="CU75" i="179"/>
  <c r="BK75" i="179"/>
  <c r="AA75" i="179"/>
  <c r="DY75" i="179"/>
  <c r="BQ75" i="179"/>
  <c r="AG75" i="179"/>
  <c r="FC75" i="179"/>
  <c r="O75" i="179"/>
  <c r="AM75" i="179"/>
  <c r="BW75" i="179"/>
  <c r="CC75" i="179"/>
  <c r="CI75" i="179"/>
  <c r="AY75" i="179"/>
  <c r="AS75" i="179"/>
  <c r="BE75" i="179"/>
  <c r="CO75" i="179"/>
  <c r="GG75" i="179"/>
  <c r="BQ202" i="179"/>
  <c r="CU202" i="179"/>
  <c r="BW202" i="179"/>
  <c r="AG202" i="179"/>
  <c r="CC202" i="179"/>
  <c r="DY202" i="179"/>
  <c r="CI202" i="179"/>
  <c r="GG202" i="179"/>
  <c r="BE202" i="179"/>
  <c r="AA202" i="179"/>
  <c r="AM202" i="179"/>
  <c r="AY202" i="179"/>
  <c r="AS202" i="179"/>
  <c r="O202" i="179"/>
  <c r="BK202" i="179"/>
  <c r="CO202" i="179"/>
  <c r="FC202" i="179"/>
  <c r="FC62" i="183"/>
  <c r="O62" i="183"/>
  <c r="AM62" i="183"/>
  <c r="BW62" i="183"/>
  <c r="CC62" i="183"/>
  <c r="GG62" i="183"/>
  <c r="AY62" i="183"/>
  <c r="AS62" i="183"/>
  <c r="BK62" i="183"/>
  <c r="BE62" i="183"/>
  <c r="DY62" i="183"/>
  <c r="CU62" i="183"/>
  <c r="BQ62" i="183"/>
  <c r="AG62" i="183"/>
  <c r="AA62" i="183"/>
  <c r="CO62" i="183"/>
  <c r="CI62" i="183"/>
  <c r="CU69" i="183"/>
  <c r="BK69" i="183"/>
  <c r="AA69" i="183"/>
  <c r="DY69" i="183"/>
  <c r="BQ69" i="183"/>
  <c r="AG69" i="183"/>
  <c r="BW69" i="183"/>
  <c r="FC69" i="183"/>
  <c r="O69" i="183"/>
  <c r="GG69" i="183"/>
  <c r="AM69" i="183"/>
  <c r="AS69" i="183"/>
  <c r="CC69" i="183"/>
  <c r="CI69" i="183"/>
  <c r="AY69" i="183"/>
  <c r="BE69" i="183"/>
  <c r="CO69" i="183"/>
  <c r="BK96" i="183"/>
  <c r="CU96" i="183"/>
  <c r="FC96" i="183"/>
  <c r="AA96" i="183"/>
  <c r="AG96" i="183"/>
  <c r="BQ96" i="183"/>
  <c r="O96" i="183"/>
  <c r="AM96" i="183"/>
  <c r="BW96" i="183"/>
  <c r="AY96" i="183"/>
  <c r="AS96" i="183"/>
  <c r="CO96" i="183"/>
  <c r="DY96" i="183"/>
  <c r="CI96" i="183"/>
  <c r="CC96" i="183"/>
  <c r="GG96" i="183"/>
  <c r="BE96" i="183"/>
  <c r="AS186" i="183"/>
  <c r="CC186" i="183"/>
  <c r="CO186" i="183"/>
  <c r="BE186" i="183"/>
  <c r="GG186" i="183"/>
  <c r="AM186" i="183"/>
  <c r="CI186" i="183"/>
  <c r="BQ186" i="183"/>
  <c r="BK186" i="183"/>
  <c r="FC186" i="183"/>
  <c r="BW186" i="183"/>
  <c r="AA186" i="183"/>
  <c r="O186" i="183"/>
  <c r="CU186" i="183"/>
  <c r="AG186" i="183"/>
  <c r="AY186" i="183"/>
  <c r="DY186" i="183"/>
  <c r="GG209" i="183"/>
  <c r="BE209" i="183"/>
  <c r="AS209" i="183"/>
  <c r="CU209" i="183"/>
  <c r="CC209" i="183"/>
  <c r="BW209" i="183"/>
  <c r="AY209" i="183"/>
  <c r="BK209" i="183"/>
  <c r="CO209" i="183"/>
  <c r="FC209" i="183"/>
  <c r="DY209" i="183"/>
  <c r="BQ209" i="183"/>
  <c r="CI209" i="183"/>
  <c r="O209" i="183"/>
  <c r="AM209" i="183"/>
  <c r="AG209" i="183"/>
  <c r="AA209" i="183"/>
  <c r="FC58" i="183"/>
  <c r="O58" i="183"/>
  <c r="CC58" i="183"/>
  <c r="GG58" i="183"/>
  <c r="CO58" i="183"/>
  <c r="BK58" i="183"/>
  <c r="BE58" i="183"/>
  <c r="DY58" i="183"/>
  <c r="CU58" i="183"/>
  <c r="AG58" i="183"/>
  <c r="AA58" i="183"/>
  <c r="BW58" i="183"/>
  <c r="BQ58" i="183"/>
  <c r="AS58" i="183"/>
  <c r="AY58" i="183"/>
  <c r="AM58" i="183"/>
  <c r="CI58" i="183"/>
  <c r="AS135" i="183"/>
  <c r="CI135" i="183"/>
  <c r="CO135" i="183"/>
  <c r="AY135" i="183"/>
  <c r="BE135" i="183"/>
  <c r="DY135" i="183"/>
  <c r="BK135" i="183"/>
  <c r="BQ135" i="183"/>
  <c r="O135" i="183"/>
  <c r="FC135" i="183"/>
  <c r="AA135" i="183"/>
  <c r="CC135" i="183"/>
  <c r="AM135" i="183"/>
  <c r="BW135" i="183"/>
  <c r="AG135" i="183"/>
  <c r="CU135" i="183"/>
  <c r="GG135" i="183"/>
  <c r="CO73" i="183"/>
  <c r="CI73" i="183"/>
  <c r="CU73" i="183"/>
  <c r="BK73" i="183"/>
  <c r="BE73" i="183"/>
  <c r="AA73" i="183"/>
  <c r="DY73" i="183"/>
  <c r="BQ73" i="183"/>
  <c r="AG73" i="183"/>
  <c r="FC73" i="183"/>
  <c r="O73" i="183"/>
  <c r="AM73" i="183"/>
  <c r="BW73" i="183"/>
  <c r="AY73" i="183"/>
  <c r="AS73" i="183"/>
  <c r="CC73" i="183"/>
  <c r="GG73" i="183"/>
  <c r="AM208" i="183"/>
  <c r="DY208" i="183"/>
  <c r="CC208" i="183"/>
  <c r="AS208" i="183"/>
  <c r="AY208" i="183"/>
  <c r="AG208" i="183"/>
  <c r="CU208" i="183"/>
  <c r="CI208" i="183"/>
  <c r="GG208" i="183"/>
  <c r="BQ208" i="183"/>
  <c r="O208" i="183"/>
  <c r="CO208" i="183"/>
  <c r="FC208" i="183"/>
  <c r="BE208" i="183"/>
  <c r="BK208" i="183"/>
  <c r="BW208" i="183"/>
  <c r="AA208" i="183"/>
  <c r="CO98" i="183"/>
  <c r="BE98" i="183"/>
  <c r="AY98" i="183"/>
  <c r="DY98" i="183"/>
  <c r="CU98" i="183"/>
  <c r="AG98" i="183"/>
  <c r="AA98" i="183"/>
  <c r="O98" i="183"/>
  <c r="BQ98" i="183"/>
  <c r="BW98" i="183"/>
  <c r="FC98" i="183"/>
  <c r="GG98" i="183"/>
  <c r="AM98" i="183"/>
  <c r="AS98" i="183"/>
  <c r="CI98" i="183"/>
  <c r="CC98" i="183"/>
  <c r="BK98" i="183"/>
  <c r="FC119" i="183"/>
  <c r="DY119" i="183"/>
  <c r="AM119" i="183"/>
  <c r="AY119" i="183"/>
  <c r="CC119" i="183"/>
  <c r="AA119" i="183"/>
  <c r="GG119" i="183"/>
  <c r="BK119" i="183"/>
  <c r="AS119" i="183"/>
  <c r="CU119" i="183"/>
  <c r="CI119" i="183"/>
  <c r="CO119" i="183"/>
  <c r="BE119" i="183"/>
  <c r="O119" i="183"/>
  <c r="BQ119" i="183"/>
  <c r="AG119" i="183"/>
  <c r="BW119" i="183"/>
  <c r="CC157" i="183"/>
  <c r="AS157" i="183"/>
  <c r="CI157" i="183"/>
  <c r="BW157" i="183"/>
  <c r="CU157" i="183"/>
  <c r="DY157" i="183"/>
  <c r="AA157" i="183"/>
  <c r="GG157" i="183"/>
  <c r="BQ157" i="183"/>
  <c r="FC157" i="183"/>
  <c r="O157" i="183"/>
  <c r="AM157" i="183"/>
  <c r="BK157" i="183"/>
  <c r="AY157" i="183"/>
  <c r="AG157" i="183"/>
  <c r="BE157" i="183"/>
  <c r="CO157" i="183"/>
  <c r="DY110" i="183"/>
  <c r="O110" i="183"/>
  <c r="AA110" i="183"/>
  <c r="AM110" i="183"/>
  <c r="CI110" i="183"/>
  <c r="CU110" i="183"/>
  <c r="BE110" i="183"/>
  <c r="GG110" i="183"/>
  <c r="FC110" i="183"/>
  <c r="CC110" i="183"/>
  <c r="AG110" i="183"/>
  <c r="AS110" i="183"/>
  <c r="CO110" i="183"/>
  <c r="BW110" i="183"/>
  <c r="AY110" i="183"/>
  <c r="BK110" i="183"/>
  <c r="BQ110" i="183"/>
  <c r="DY192" i="183"/>
  <c r="FC192" i="183"/>
  <c r="BK192" i="183"/>
  <c r="AG192" i="183"/>
  <c r="CI192" i="183"/>
  <c r="O192" i="183"/>
  <c r="AA192" i="183"/>
  <c r="BW192" i="183"/>
  <c r="CC192" i="183"/>
  <c r="GG192" i="183"/>
  <c r="AM192" i="183"/>
  <c r="AS192" i="183"/>
  <c r="CU192" i="183"/>
  <c r="BQ192" i="183"/>
  <c r="CO192" i="183"/>
  <c r="AY192" i="183"/>
  <c r="BE192" i="183"/>
  <c r="AY124" i="183"/>
  <c r="BQ124" i="183"/>
  <c r="CO124" i="183"/>
  <c r="AG124" i="183"/>
  <c r="BK124" i="183"/>
  <c r="DY124" i="183"/>
  <c r="CU124" i="183"/>
  <c r="O124" i="183"/>
  <c r="BW124" i="183"/>
  <c r="AA124" i="183"/>
  <c r="CC124" i="183"/>
  <c r="GG124" i="183"/>
  <c r="FC124" i="183"/>
  <c r="CI124" i="183"/>
  <c r="BE124" i="183"/>
  <c r="AS124" i="183"/>
  <c r="AM124" i="183"/>
  <c r="FC166" i="183"/>
  <c r="O166" i="183"/>
  <c r="CO166" i="183"/>
  <c r="DY166" i="183"/>
  <c r="AA166" i="183"/>
  <c r="AY166" i="183"/>
  <c r="BQ166" i="183"/>
  <c r="BE166" i="183"/>
  <c r="AM166" i="183"/>
  <c r="CC166" i="183"/>
  <c r="BW166" i="183"/>
  <c r="AG166" i="183"/>
  <c r="GG166" i="183"/>
  <c r="AS166" i="183"/>
  <c r="CU166" i="183"/>
  <c r="BK166" i="183"/>
  <c r="CI166" i="183"/>
  <c r="AA102" i="183"/>
  <c r="DY102" i="183"/>
  <c r="BQ102" i="183"/>
  <c r="AG102" i="183"/>
  <c r="FC102" i="183"/>
  <c r="O102" i="183"/>
  <c r="AM102" i="183"/>
  <c r="CI102" i="183"/>
  <c r="GG102" i="183"/>
  <c r="CC102" i="183"/>
  <c r="BW102" i="183"/>
  <c r="AS102" i="183"/>
  <c r="AY102" i="183"/>
  <c r="CU102" i="183"/>
  <c r="BK102" i="183"/>
  <c r="BE102" i="183"/>
  <c r="CO102" i="183"/>
  <c r="AM45" i="183"/>
  <c r="BW45" i="183"/>
  <c r="CC45" i="183"/>
  <c r="GG45" i="183"/>
  <c r="CI45" i="183"/>
  <c r="AY45" i="183"/>
  <c r="AS45" i="183"/>
  <c r="BE45" i="183"/>
  <c r="CO45" i="183"/>
  <c r="CU45" i="183"/>
  <c r="BK45" i="183"/>
  <c r="AA45" i="183"/>
  <c r="DY45" i="183"/>
  <c r="FC45" i="183"/>
  <c r="O45" i="183"/>
  <c r="BQ45" i="183"/>
  <c r="AG45" i="183"/>
  <c r="CC207" i="183"/>
  <c r="AA207" i="183"/>
  <c r="GG207" i="183"/>
  <c r="DY207" i="183"/>
  <c r="CU207" i="183"/>
  <c r="AG207" i="183"/>
  <c r="O207" i="183"/>
  <c r="AY207" i="183"/>
  <c r="CO207" i="183"/>
  <c r="BE207" i="183"/>
  <c r="CI207" i="183"/>
  <c r="BQ207" i="183"/>
  <c r="BW207" i="183"/>
  <c r="BK207" i="183"/>
  <c r="AS207" i="183"/>
  <c r="FC207" i="183"/>
  <c r="AM207" i="183"/>
  <c r="CI113" i="183"/>
  <c r="CU113" i="183"/>
  <c r="DY113" i="183"/>
  <c r="CC113" i="183"/>
  <c r="AY113" i="183"/>
  <c r="AG113" i="183"/>
  <c r="FC113" i="183"/>
  <c r="O113" i="183"/>
  <c r="GG113" i="183"/>
  <c r="BW113" i="183"/>
  <c r="CO113" i="183"/>
  <c r="AS113" i="183"/>
  <c r="AM113" i="183"/>
  <c r="BQ113" i="183"/>
  <c r="BE113" i="183"/>
  <c r="AA113" i="183"/>
  <c r="BK113" i="183"/>
  <c r="CC148" i="183"/>
  <c r="FC148" i="183"/>
  <c r="AY148" i="183"/>
  <c r="CU148" i="183"/>
  <c r="DY148" i="183"/>
  <c r="CO148" i="183"/>
  <c r="CI148" i="183"/>
  <c r="AG148" i="183"/>
  <c r="BE148" i="183"/>
  <c r="O148" i="183"/>
  <c r="AA148" i="183"/>
  <c r="BW148" i="183"/>
  <c r="BQ148" i="183"/>
  <c r="AS148" i="183"/>
  <c r="BK148" i="183"/>
  <c r="GG148" i="183"/>
  <c r="AM148" i="183"/>
  <c r="FC85" i="182"/>
  <c r="AM85" i="182"/>
  <c r="BK85" i="182"/>
  <c r="BQ85" i="182"/>
  <c r="CO85" i="182"/>
  <c r="AY85" i="182"/>
  <c r="AS85" i="182"/>
  <c r="GG85" i="182"/>
  <c r="BW85" i="182"/>
  <c r="CU85" i="182"/>
  <c r="AA85" i="182"/>
  <c r="O85" i="182"/>
  <c r="DY85" i="182"/>
  <c r="CC85" i="182"/>
  <c r="CI85" i="182"/>
  <c r="BE85" i="182"/>
  <c r="AG85" i="182"/>
  <c r="FC157" i="182"/>
  <c r="BQ157" i="182"/>
  <c r="CO157" i="182"/>
  <c r="AM157" i="182"/>
  <c r="AG157" i="182"/>
  <c r="BK157" i="182"/>
  <c r="CC157" i="182"/>
  <c r="BW157" i="182"/>
  <c r="DY157" i="182"/>
  <c r="CI157" i="182"/>
  <c r="AS157" i="182"/>
  <c r="BE157" i="182"/>
  <c r="GG157" i="182"/>
  <c r="CU157" i="182"/>
  <c r="O157" i="182"/>
  <c r="AA157" i="182"/>
  <c r="AY157" i="182"/>
  <c r="CI127" i="182"/>
  <c r="AG127" i="182"/>
  <c r="DY127" i="182"/>
  <c r="BE127" i="182"/>
  <c r="AY127" i="182"/>
  <c r="CU127" i="182"/>
  <c r="FC127" i="182"/>
  <c r="AA127" i="182"/>
  <c r="BQ127" i="182"/>
  <c r="AM127" i="182"/>
  <c r="CC127" i="182"/>
  <c r="O127" i="182"/>
  <c r="BK127" i="182"/>
  <c r="GG127" i="182"/>
  <c r="AS127" i="182"/>
  <c r="CO127" i="182"/>
  <c r="BW127" i="182"/>
  <c r="CU113" i="182"/>
  <c r="FC113" i="182"/>
  <c r="DY113" i="182"/>
  <c r="AA113" i="182"/>
  <c r="O113" i="182"/>
  <c r="GG113" i="182"/>
  <c r="BK113" i="182"/>
  <c r="CI113" i="182"/>
  <c r="AG113" i="182"/>
  <c r="BQ113" i="182"/>
  <c r="CO113" i="182"/>
  <c r="AM113" i="182"/>
  <c r="AS113" i="182"/>
  <c r="AY113" i="182"/>
  <c r="BW113" i="182"/>
  <c r="CC113" i="182"/>
  <c r="BE113" i="182"/>
  <c r="AA50" i="182"/>
  <c r="O50" i="182"/>
  <c r="BQ50" i="182"/>
  <c r="BE50" i="182"/>
  <c r="CC50" i="182"/>
  <c r="AG50" i="182"/>
  <c r="AY50" i="182"/>
  <c r="BW50" i="182"/>
  <c r="CI50" i="182"/>
  <c r="GG50" i="182"/>
  <c r="BK50" i="182"/>
  <c r="CO50" i="182"/>
  <c r="DY50" i="182"/>
  <c r="FC50" i="182"/>
  <c r="CU50" i="182"/>
  <c r="AM50" i="182"/>
  <c r="AS50" i="182"/>
  <c r="GG66" i="182"/>
  <c r="CC66" i="182"/>
  <c r="CU66" i="182"/>
  <c r="BK66" i="182"/>
  <c r="AA66" i="182"/>
  <c r="AM66" i="182"/>
  <c r="BQ66" i="182"/>
  <c r="CO66" i="182"/>
  <c r="FC66" i="182"/>
  <c r="BW66" i="182"/>
  <c r="DY66" i="182"/>
  <c r="AY66" i="182"/>
  <c r="BE66" i="182"/>
  <c r="AG66" i="182"/>
  <c r="CI66" i="182"/>
  <c r="O66" i="182"/>
  <c r="AS66" i="182"/>
  <c r="AG73" i="182"/>
  <c r="AA73" i="182"/>
  <c r="FC73" i="182"/>
  <c r="O73" i="182"/>
  <c r="BQ73" i="182"/>
  <c r="AM73" i="182"/>
  <c r="BW73" i="182"/>
  <c r="CC73" i="182"/>
  <c r="GG73" i="182"/>
  <c r="AY73" i="182"/>
  <c r="AS73" i="182"/>
  <c r="CO73" i="182"/>
  <c r="BE73" i="182"/>
  <c r="BK73" i="182"/>
  <c r="CU73" i="182"/>
  <c r="DY73" i="182"/>
  <c r="CI73" i="182"/>
  <c r="O105" i="182"/>
  <c r="BQ105" i="182"/>
  <c r="BW105" i="182"/>
  <c r="FC105" i="182"/>
  <c r="GG105" i="182"/>
  <c r="AM105" i="182"/>
  <c r="AS105" i="182"/>
  <c r="CC105" i="182"/>
  <c r="CI105" i="182"/>
  <c r="AY105" i="182"/>
  <c r="BE105" i="182"/>
  <c r="BK105" i="182"/>
  <c r="DY105" i="182"/>
  <c r="CU105" i="182"/>
  <c r="CO105" i="182"/>
  <c r="AG105" i="182"/>
  <c r="AA105" i="182"/>
  <c r="AG104" i="182"/>
  <c r="AA104" i="182"/>
  <c r="O104" i="182"/>
  <c r="BQ104" i="182"/>
  <c r="BW104" i="182"/>
  <c r="FC104" i="182"/>
  <c r="GG104" i="182"/>
  <c r="AM104" i="182"/>
  <c r="AS104" i="182"/>
  <c r="AY104" i="182"/>
  <c r="CI104" i="182"/>
  <c r="CO104" i="182"/>
  <c r="BK104" i="182"/>
  <c r="BE104" i="182"/>
  <c r="CC104" i="182"/>
  <c r="DY104" i="182"/>
  <c r="CU104" i="182"/>
  <c r="BE143" i="182"/>
  <c r="AG143" i="182"/>
  <c r="BQ143" i="182"/>
  <c r="FC143" i="182"/>
  <c r="CC143" i="182"/>
  <c r="AA143" i="182"/>
  <c r="CI143" i="182"/>
  <c r="O143" i="182"/>
  <c r="BK143" i="182"/>
  <c r="GG143" i="182"/>
  <c r="CO143" i="182"/>
  <c r="AS143" i="182"/>
  <c r="AY143" i="182"/>
  <c r="DY143" i="182"/>
  <c r="BW143" i="182"/>
  <c r="CU143" i="182"/>
  <c r="AM143" i="182"/>
  <c r="CI45" i="182"/>
  <c r="CC45" i="182"/>
  <c r="AS45" i="182"/>
  <c r="BE45" i="182"/>
  <c r="AY45" i="182"/>
  <c r="CU45" i="182"/>
  <c r="CO45" i="182"/>
  <c r="AA45" i="182"/>
  <c r="DY45" i="182"/>
  <c r="BQ45" i="182"/>
  <c r="AG45" i="182"/>
  <c r="FC45" i="182"/>
  <c r="O45" i="182"/>
  <c r="AM45" i="182"/>
  <c r="GG45" i="182"/>
  <c r="BK45" i="182"/>
  <c r="BW45" i="182"/>
  <c r="CC68" i="182"/>
  <c r="AY68" i="182"/>
  <c r="GG68" i="182"/>
  <c r="DY68" i="182"/>
  <c r="AA68" i="182"/>
  <c r="AS68" i="182"/>
  <c r="O68" i="182"/>
  <c r="CI68" i="182"/>
  <c r="BW68" i="182"/>
  <c r="BE68" i="182"/>
  <c r="CU68" i="182"/>
  <c r="BQ68" i="182"/>
  <c r="CO68" i="182"/>
  <c r="FC68" i="182"/>
  <c r="BK68" i="182"/>
  <c r="AM68" i="182"/>
  <c r="AG68" i="182"/>
  <c r="BQ64" i="182"/>
  <c r="AA64" i="182"/>
  <c r="O64" i="182"/>
  <c r="AS64" i="182"/>
  <c r="AY64" i="182"/>
  <c r="FC64" i="182"/>
  <c r="AG64" i="182"/>
  <c r="BW64" i="182"/>
  <c r="CU64" i="182"/>
  <c r="AM64" i="182"/>
  <c r="CI64" i="182"/>
  <c r="GG64" i="182"/>
  <c r="CO64" i="182"/>
  <c r="BE64" i="182"/>
  <c r="CC64" i="182"/>
  <c r="DY64" i="182"/>
  <c r="BK64" i="182"/>
  <c r="AM84" i="182"/>
  <c r="BK84" i="182"/>
  <c r="BQ84" i="182"/>
  <c r="CO84" i="182"/>
  <c r="CU84" i="182"/>
  <c r="BW84" i="182"/>
  <c r="AY84" i="182"/>
  <c r="AA84" i="182"/>
  <c r="CC84" i="182"/>
  <c r="BE84" i="182"/>
  <c r="O84" i="182"/>
  <c r="DY84" i="182"/>
  <c r="GG84" i="182"/>
  <c r="FC84" i="182"/>
  <c r="CI84" i="182"/>
  <c r="AS84" i="182"/>
  <c r="AG84" i="182"/>
  <c r="AY79" i="182"/>
  <c r="AG79" i="182"/>
  <c r="BE79" i="182"/>
  <c r="CI79" i="182"/>
  <c r="FC79" i="182"/>
  <c r="GG79" i="182"/>
  <c r="BK79" i="182"/>
  <c r="AM79" i="182"/>
  <c r="CO79" i="182"/>
  <c r="BQ79" i="182"/>
  <c r="BW79" i="182"/>
  <c r="CU79" i="182"/>
  <c r="DY79" i="182"/>
  <c r="O79" i="182"/>
  <c r="AA79" i="182"/>
  <c r="CC79" i="182"/>
  <c r="AS79" i="182"/>
  <c r="CO168" i="182"/>
  <c r="DY168" i="182"/>
  <c r="BW168" i="182"/>
  <c r="O168" i="182"/>
  <c r="GG168" i="182"/>
  <c r="CU168" i="182"/>
  <c r="AS168" i="182"/>
  <c r="BK168" i="182"/>
  <c r="CI168" i="182"/>
  <c r="BQ168" i="182"/>
  <c r="FC168" i="182"/>
  <c r="BE168" i="182"/>
  <c r="AG168" i="182"/>
  <c r="AM168" i="182"/>
  <c r="AA168" i="182"/>
  <c r="CC168" i="182"/>
  <c r="AY168" i="182"/>
  <c r="AA49" i="182"/>
  <c r="AY49" i="182"/>
  <c r="BK49" i="182"/>
  <c r="AG49" i="182"/>
  <c r="BE49" i="182"/>
  <c r="AS49" i="182"/>
  <c r="BQ49" i="182"/>
  <c r="FC49" i="182"/>
  <c r="CU49" i="182"/>
  <c r="AM49" i="182"/>
  <c r="GG49" i="182"/>
  <c r="CC49" i="182"/>
  <c r="O49" i="182"/>
  <c r="DY49" i="182"/>
  <c r="CO49" i="182"/>
  <c r="CI49" i="182"/>
  <c r="BW49" i="182"/>
  <c r="AY137" i="182"/>
  <c r="DY137" i="182"/>
  <c r="CO137" i="182"/>
  <c r="BQ137" i="182"/>
  <c r="GG137" i="182"/>
  <c r="AG137" i="182"/>
  <c r="AS137" i="182"/>
  <c r="O137" i="182"/>
  <c r="CI137" i="182"/>
  <c r="BW137" i="182"/>
  <c r="BE137" i="182"/>
  <c r="AM137" i="182"/>
  <c r="CU137" i="182"/>
  <c r="BK137" i="182"/>
  <c r="CC137" i="182"/>
  <c r="AA137" i="182"/>
  <c r="FC137" i="182"/>
  <c r="CO95" i="182"/>
  <c r="CU95" i="182"/>
  <c r="BK95" i="182"/>
  <c r="AA95" i="182"/>
  <c r="DY95" i="182"/>
  <c r="BE95" i="182"/>
  <c r="BQ95" i="182"/>
  <c r="AG95" i="182"/>
  <c r="CI95" i="182"/>
  <c r="FC95" i="182"/>
  <c r="O95" i="182"/>
  <c r="AM95" i="182"/>
  <c r="BW95" i="182"/>
  <c r="CC95" i="182"/>
  <c r="GG95" i="182"/>
  <c r="AY95" i="182"/>
  <c r="AS95" i="182"/>
  <c r="FC169" i="182"/>
  <c r="AM169" i="182"/>
  <c r="AY169" i="182"/>
  <c r="DY169" i="182"/>
  <c r="CO169" i="182"/>
  <c r="BW169" i="182"/>
  <c r="BK169" i="182"/>
  <c r="O169" i="182"/>
  <c r="AS169" i="182"/>
  <c r="AG169" i="182"/>
  <c r="CI169" i="182"/>
  <c r="AA169" i="182"/>
  <c r="GG169" i="182"/>
  <c r="CU169" i="182"/>
  <c r="CC169" i="182"/>
  <c r="BE169" i="182"/>
  <c r="BQ169" i="182"/>
  <c r="AG203" i="182"/>
  <c r="BE203" i="182"/>
  <c r="CC203" i="182"/>
  <c r="CI203" i="182"/>
  <c r="BW203" i="182"/>
  <c r="BK203" i="182"/>
  <c r="AS203" i="182"/>
  <c r="AY203" i="182"/>
  <c r="O203" i="182"/>
  <c r="CO203" i="182"/>
  <c r="CU203" i="182"/>
  <c r="AA203" i="182"/>
  <c r="GG203" i="182"/>
  <c r="AM203" i="182"/>
  <c r="BQ203" i="182"/>
  <c r="DY203" i="182"/>
  <c r="FC203" i="182"/>
  <c r="CC64" i="181"/>
  <c r="GG64" i="181"/>
  <c r="AY64" i="181"/>
  <c r="AS64" i="181"/>
  <c r="CO64" i="181"/>
  <c r="CI64" i="181"/>
  <c r="BK64" i="181"/>
  <c r="BE64" i="181"/>
  <c r="DY64" i="181"/>
  <c r="CU64" i="181"/>
  <c r="BQ64" i="181"/>
  <c r="AG64" i="181"/>
  <c r="AA64" i="181"/>
  <c r="FC64" i="181"/>
  <c r="O64" i="181"/>
  <c r="AM64" i="181"/>
  <c r="BW64" i="181"/>
  <c r="CU146" i="181"/>
  <c r="DY146" i="181"/>
  <c r="CC146" i="181"/>
  <c r="AY146" i="181"/>
  <c r="FC146" i="181"/>
  <c r="CO146" i="181"/>
  <c r="BK146" i="181"/>
  <c r="AM146" i="181"/>
  <c r="BE146" i="181"/>
  <c r="AG146" i="181"/>
  <c r="BQ146" i="181"/>
  <c r="AA146" i="181"/>
  <c r="O146" i="181"/>
  <c r="CI146" i="181"/>
  <c r="AS146" i="181"/>
  <c r="GG146" i="181"/>
  <c r="BW146" i="181"/>
  <c r="AA155" i="181"/>
  <c r="AS155" i="181"/>
  <c r="FC155" i="181"/>
  <c r="CC155" i="181"/>
  <c r="AM155" i="181"/>
  <c r="DY155" i="181"/>
  <c r="AY155" i="181"/>
  <c r="O155" i="181"/>
  <c r="CO155" i="181"/>
  <c r="AG155" i="181"/>
  <c r="BK155" i="181"/>
  <c r="BQ155" i="181"/>
  <c r="BE155" i="181"/>
  <c r="BW155" i="181"/>
  <c r="CI155" i="181"/>
  <c r="CU155" i="181"/>
  <c r="GG155" i="181"/>
  <c r="GG164" i="181"/>
  <c r="AS164" i="181"/>
  <c r="AM164" i="181"/>
  <c r="BQ164" i="181"/>
  <c r="BK164" i="181"/>
  <c r="CC164" i="181"/>
  <c r="FC164" i="181"/>
  <c r="CO164" i="181"/>
  <c r="AY164" i="181"/>
  <c r="DY164" i="181"/>
  <c r="CU164" i="181"/>
  <c r="BW164" i="181"/>
  <c r="AG164" i="181"/>
  <c r="CI164" i="181"/>
  <c r="AA164" i="181"/>
  <c r="BE164" i="181"/>
  <c r="O164" i="181"/>
  <c r="CI159" i="181"/>
  <c r="BQ159" i="181"/>
  <c r="CU159" i="181"/>
  <c r="BE159" i="181"/>
  <c r="DY159" i="181"/>
  <c r="AY159" i="181"/>
  <c r="AM159" i="181"/>
  <c r="FC159" i="181"/>
  <c r="BK159" i="181"/>
  <c r="AG159" i="181"/>
  <c r="CO159" i="181"/>
  <c r="O159" i="181"/>
  <c r="AA159" i="181"/>
  <c r="AS159" i="181"/>
  <c r="GG159" i="181"/>
  <c r="BW159" i="181"/>
  <c r="CC159" i="181"/>
  <c r="DY181" i="181"/>
  <c r="BE181" i="181"/>
  <c r="GG181" i="181"/>
  <c r="BW181" i="181"/>
  <c r="O181" i="181"/>
  <c r="AS181" i="181"/>
  <c r="AG181" i="181"/>
  <c r="CI181" i="181"/>
  <c r="BQ181" i="181"/>
  <c r="CU181" i="181"/>
  <c r="AA181" i="181"/>
  <c r="FC181" i="181"/>
  <c r="BK181" i="181"/>
  <c r="AM181" i="181"/>
  <c r="AY181" i="181"/>
  <c r="CO181" i="181"/>
  <c r="CC181" i="181"/>
  <c r="BW177" i="181"/>
  <c r="CU177" i="181"/>
  <c r="CO177" i="181"/>
  <c r="AA177" i="181"/>
  <c r="AS177" i="181"/>
  <c r="BQ177" i="181"/>
  <c r="DY177" i="181"/>
  <c r="AY177" i="181"/>
  <c r="AM177" i="181"/>
  <c r="O177" i="181"/>
  <c r="CI177" i="181"/>
  <c r="GG177" i="181"/>
  <c r="CC177" i="181"/>
  <c r="AG177" i="181"/>
  <c r="BK177" i="181"/>
  <c r="FC177" i="181"/>
  <c r="BE177" i="181"/>
  <c r="BE141" i="181"/>
  <c r="CI141" i="181"/>
  <c r="CC141" i="181"/>
  <c r="CO141" i="181"/>
  <c r="BK141" i="181"/>
  <c r="BW141" i="181"/>
  <c r="AM141" i="181"/>
  <c r="DY141" i="181"/>
  <c r="AY141" i="181"/>
  <c r="AG141" i="181"/>
  <c r="CU141" i="181"/>
  <c r="O141" i="181"/>
  <c r="AA141" i="181"/>
  <c r="GG141" i="181"/>
  <c r="BQ141" i="181"/>
  <c r="AS141" i="181"/>
  <c r="FC141" i="181"/>
  <c r="CO94" i="181"/>
  <c r="DY94" i="181"/>
  <c r="BK94" i="181"/>
  <c r="BE94" i="181"/>
  <c r="GG94" i="181"/>
  <c r="AY94" i="181"/>
  <c r="CU94" i="181"/>
  <c r="AS94" i="181"/>
  <c r="O94" i="181"/>
  <c r="AA94" i="181"/>
  <c r="CI94" i="181"/>
  <c r="BQ94" i="181"/>
  <c r="AM94" i="181"/>
  <c r="FC94" i="181"/>
  <c r="BW94" i="181"/>
  <c r="CC94" i="181"/>
  <c r="AG94" i="181"/>
  <c r="FC157" i="181"/>
  <c r="CI157" i="181"/>
  <c r="AM157" i="181"/>
  <c r="BE157" i="181"/>
  <c r="AY157" i="181"/>
  <c r="CO157" i="181"/>
  <c r="BK157" i="181"/>
  <c r="AA157" i="181"/>
  <c r="DY157" i="181"/>
  <c r="GG157" i="181"/>
  <c r="AG157" i="181"/>
  <c r="CC157" i="181"/>
  <c r="O157" i="181"/>
  <c r="AS157" i="181"/>
  <c r="BQ157" i="181"/>
  <c r="BW157" i="181"/>
  <c r="CU157" i="181"/>
  <c r="BQ46" i="181"/>
  <c r="AG46" i="181"/>
  <c r="FC46" i="181"/>
  <c r="O46" i="181"/>
  <c r="AM46" i="181"/>
  <c r="BW46" i="181"/>
  <c r="CC46" i="181"/>
  <c r="GG46" i="181"/>
  <c r="AY46" i="181"/>
  <c r="AS46" i="181"/>
  <c r="CO46" i="181"/>
  <c r="CI46" i="181"/>
  <c r="CU46" i="181"/>
  <c r="BK46" i="181"/>
  <c r="BE46" i="181"/>
  <c r="AA46" i="181"/>
  <c r="DY46" i="181"/>
  <c r="AM137" i="181"/>
  <c r="AY137" i="181"/>
  <c r="CC137" i="181"/>
  <c r="DY137" i="181"/>
  <c r="GG137" i="181"/>
  <c r="BE137" i="181"/>
  <c r="O137" i="181"/>
  <c r="BK137" i="181"/>
  <c r="AG137" i="181"/>
  <c r="AS137" i="181"/>
  <c r="CU137" i="181"/>
  <c r="AA137" i="181"/>
  <c r="CI137" i="181"/>
  <c r="FC137" i="181"/>
  <c r="BW137" i="181"/>
  <c r="CO137" i="181"/>
  <c r="BQ137" i="181"/>
  <c r="DY169" i="181"/>
  <c r="FC169" i="181"/>
  <c r="AG169" i="181"/>
  <c r="CO169" i="181"/>
  <c r="O169" i="181"/>
  <c r="BQ169" i="181"/>
  <c r="GG169" i="181"/>
  <c r="AY169" i="181"/>
  <c r="AS169" i="181"/>
  <c r="AA169" i="181"/>
  <c r="CU169" i="181"/>
  <c r="BW169" i="181"/>
  <c r="CC169" i="181"/>
  <c r="CI169" i="181"/>
  <c r="BE169" i="181"/>
  <c r="BK169" i="181"/>
  <c r="AM169" i="181"/>
  <c r="BQ58" i="181"/>
  <c r="BE58" i="181"/>
  <c r="DY58" i="181"/>
  <c r="AM58" i="181"/>
  <c r="BW58" i="181"/>
  <c r="AS58" i="181"/>
  <c r="O58" i="181"/>
  <c r="AY58" i="181"/>
  <c r="AA58" i="181"/>
  <c r="CO58" i="181"/>
  <c r="BK58" i="181"/>
  <c r="FC58" i="181"/>
  <c r="GG58" i="181"/>
  <c r="AG58" i="181"/>
  <c r="CU58" i="181"/>
  <c r="CI58" i="181"/>
  <c r="CC58" i="181"/>
  <c r="AM153" i="181"/>
  <c r="BW153" i="181"/>
  <c r="CC153" i="181"/>
  <c r="AY153" i="181"/>
  <c r="GG153" i="181"/>
  <c r="BK153" i="181"/>
  <c r="BQ153" i="181"/>
  <c r="AS153" i="181"/>
  <c r="DY153" i="181"/>
  <c r="CI153" i="181"/>
  <c r="AG153" i="181"/>
  <c r="CU153" i="181"/>
  <c r="O153" i="181"/>
  <c r="AA153" i="181"/>
  <c r="CO153" i="181"/>
  <c r="FC153" i="181"/>
  <c r="BE153" i="181"/>
  <c r="BE88" i="181"/>
  <c r="BK88" i="181"/>
  <c r="AA88" i="181"/>
  <c r="CO88" i="181"/>
  <c r="BQ88" i="181"/>
  <c r="AG88" i="181"/>
  <c r="GG88" i="181"/>
  <c r="CU88" i="181"/>
  <c r="O88" i="181"/>
  <c r="BW88" i="181"/>
  <c r="AM88" i="181"/>
  <c r="AS88" i="181"/>
  <c r="CC88" i="181"/>
  <c r="DY88" i="181"/>
  <c r="AY88" i="181"/>
  <c r="CI88" i="181"/>
  <c r="FC88" i="181"/>
  <c r="AY165" i="181"/>
  <c r="BW165" i="181"/>
  <c r="FC165" i="181"/>
  <c r="CU165" i="181"/>
  <c r="DY165" i="181"/>
  <c r="BK165" i="181"/>
  <c r="CC165" i="181"/>
  <c r="AG165" i="181"/>
  <c r="CO165" i="181"/>
  <c r="O165" i="181"/>
  <c r="AS165" i="181"/>
  <c r="GG165" i="181"/>
  <c r="AA165" i="181"/>
  <c r="AM165" i="181"/>
  <c r="BE165" i="181"/>
  <c r="BQ165" i="181"/>
  <c r="CI165" i="181"/>
  <c r="CC109" i="181"/>
  <c r="BE109" i="181"/>
  <c r="CU109" i="181"/>
  <c r="FC109" i="181"/>
  <c r="DY109" i="181"/>
  <c r="AA109" i="181"/>
  <c r="BW109" i="181"/>
  <c r="AG109" i="181"/>
  <c r="GG109" i="181"/>
  <c r="O109" i="181"/>
  <c r="CO109" i="181"/>
  <c r="AY109" i="181"/>
  <c r="BK109" i="181"/>
  <c r="AS109" i="181"/>
  <c r="AM109" i="181"/>
  <c r="CI109" i="181"/>
  <c r="BQ109" i="181"/>
  <c r="FC62" i="181"/>
  <c r="DY62" i="181"/>
  <c r="AM62" i="181"/>
  <c r="AG62" i="181"/>
  <c r="AY62" i="181"/>
  <c r="CI62" i="181"/>
  <c r="CO62" i="181"/>
  <c r="CC62" i="181"/>
  <c r="BE62" i="181"/>
  <c r="BK62" i="181"/>
  <c r="O62" i="181"/>
  <c r="CU62" i="181"/>
  <c r="BW62" i="181"/>
  <c r="AA62" i="181"/>
  <c r="GG62" i="181"/>
  <c r="BQ62" i="181"/>
  <c r="AS62" i="181"/>
  <c r="BK150" i="181"/>
  <c r="BE150" i="181"/>
  <c r="AS150" i="181"/>
  <c r="DY150" i="181"/>
  <c r="CU150" i="181"/>
  <c r="AG150" i="181"/>
  <c r="BW150" i="181"/>
  <c r="O150" i="181"/>
  <c r="GG150" i="181"/>
  <c r="CC150" i="181"/>
  <c r="CO150" i="181"/>
  <c r="AY150" i="181"/>
  <c r="AA150" i="181"/>
  <c r="FC150" i="181"/>
  <c r="BQ150" i="181"/>
  <c r="CI150" i="181"/>
  <c r="AM150" i="181"/>
  <c r="BQ203" i="181"/>
  <c r="FC203" i="181"/>
  <c r="CC203" i="181"/>
  <c r="AY203" i="181"/>
  <c r="CU203" i="181"/>
  <c r="AM203" i="181"/>
  <c r="CO203" i="181"/>
  <c r="CI203" i="181"/>
  <c r="BE203" i="181"/>
  <c r="AA203" i="181"/>
  <c r="BK203" i="181"/>
  <c r="BW203" i="181"/>
  <c r="AS203" i="181"/>
  <c r="DY203" i="181"/>
  <c r="O203" i="181"/>
  <c r="AG203" i="181"/>
  <c r="GG203" i="181"/>
  <c r="AM77" i="180"/>
  <c r="AA77" i="180"/>
  <c r="CC77" i="180"/>
  <c r="BQ77" i="180"/>
  <c r="BK77" i="180"/>
  <c r="CO77" i="180"/>
  <c r="DY77" i="180"/>
  <c r="AY77" i="180"/>
  <c r="O77" i="180"/>
  <c r="GG77" i="180"/>
  <c r="BE77" i="180"/>
  <c r="AS77" i="180"/>
  <c r="FC77" i="180"/>
  <c r="AG77" i="180"/>
  <c r="CU77" i="180"/>
  <c r="CI77" i="180"/>
  <c r="BW77" i="180"/>
  <c r="FC152" i="180"/>
  <c r="DY152" i="180"/>
  <c r="AG152" i="180"/>
  <c r="BE152" i="180"/>
  <c r="BK152" i="180"/>
  <c r="CI152" i="180"/>
  <c r="CO152" i="180"/>
  <c r="AM152" i="180"/>
  <c r="AA152" i="180"/>
  <c r="GG152" i="180"/>
  <c r="CC152" i="180"/>
  <c r="BQ152" i="180"/>
  <c r="CU152" i="180"/>
  <c r="O152" i="180"/>
  <c r="AS152" i="180"/>
  <c r="AY152" i="180"/>
  <c r="BW152" i="180"/>
  <c r="CI47" i="180"/>
  <c r="AG47" i="180"/>
  <c r="GG47" i="180"/>
  <c r="FC47" i="180"/>
  <c r="AM47" i="180"/>
  <c r="BK47" i="180"/>
  <c r="BQ47" i="180"/>
  <c r="AS47" i="180"/>
  <c r="CO47" i="180"/>
  <c r="CU47" i="180"/>
  <c r="BW47" i="180"/>
  <c r="DY47" i="180"/>
  <c r="AY47" i="180"/>
  <c r="AA47" i="180"/>
  <c r="O47" i="180"/>
  <c r="CC47" i="180"/>
  <c r="BE47" i="180"/>
  <c r="GG209" i="180"/>
  <c r="AA209" i="180"/>
  <c r="AM209" i="180"/>
  <c r="AS209" i="180"/>
  <c r="AY209" i="180"/>
  <c r="CI209" i="180"/>
  <c r="CO209" i="180"/>
  <c r="BE209" i="180"/>
  <c r="BQ209" i="180"/>
  <c r="DY209" i="180"/>
  <c r="FC209" i="180"/>
  <c r="AG209" i="180"/>
  <c r="BW209" i="180"/>
  <c r="BK209" i="180"/>
  <c r="O209" i="180"/>
  <c r="CU209" i="180"/>
  <c r="CC209" i="180"/>
  <c r="FC86" i="180"/>
  <c r="O86" i="180"/>
  <c r="AM86" i="180"/>
  <c r="BW86" i="180"/>
  <c r="CC86" i="180"/>
  <c r="GG86" i="180"/>
  <c r="AY86" i="180"/>
  <c r="AS86" i="180"/>
  <c r="CU86" i="180"/>
  <c r="BK86" i="180"/>
  <c r="AA86" i="180"/>
  <c r="DY86" i="180"/>
  <c r="BE86" i="180"/>
  <c r="BQ86" i="180"/>
  <c r="CO86" i="180"/>
  <c r="AG86" i="180"/>
  <c r="CI86" i="180"/>
  <c r="AA154" i="180"/>
  <c r="BW154" i="180"/>
  <c r="CI154" i="180"/>
  <c r="DY154" i="180"/>
  <c r="BQ154" i="180"/>
  <c r="BE154" i="180"/>
  <c r="AY154" i="180"/>
  <c r="BK154" i="180"/>
  <c r="FC154" i="180"/>
  <c r="GG154" i="180"/>
  <c r="CO154" i="180"/>
  <c r="AM154" i="180"/>
  <c r="AG154" i="180"/>
  <c r="CU154" i="180"/>
  <c r="O154" i="180"/>
  <c r="CC154" i="180"/>
  <c r="AS154" i="180"/>
  <c r="BK129" i="180"/>
  <c r="AM129" i="180"/>
  <c r="DY129" i="180"/>
  <c r="FC129" i="180"/>
  <c r="AG129" i="180"/>
  <c r="CO129" i="180"/>
  <c r="O129" i="180"/>
  <c r="BQ129" i="180"/>
  <c r="BW129" i="180"/>
  <c r="AY129" i="180"/>
  <c r="CU129" i="180"/>
  <c r="CI129" i="180"/>
  <c r="GG129" i="180"/>
  <c r="CC129" i="180"/>
  <c r="AA129" i="180"/>
  <c r="AS129" i="180"/>
  <c r="BE129" i="180"/>
  <c r="DY192" i="180"/>
  <c r="FC192" i="180"/>
  <c r="AM192" i="180"/>
  <c r="AG192" i="180"/>
  <c r="CI192" i="180"/>
  <c r="O192" i="180"/>
  <c r="BW192" i="180"/>
  <c r="GG192" i="180"/>
  <c r="CO192" i="180"/>
  <c r="AS192" i="180"/>
  <c r="BK192" i="180"/>
  <c r="CC192" i="180"/>
  <c r="AA192" i="180"/>
  <c r="AY192" i="180"/>
  <c r="BQ192" i="180"/>
  <c r="CU192" i="180"/>
  <c r="BE192" i="180"/>
  <c r="BW172" i="180"/>
  <c r="GG172" i="180"/>
  <c r="BE172" i="180"/>
  <c r="AY172" i="180"/>
  <c r="CC172" i="180"/>
  <c r="BQ172" i="180"/>
  <c r="O172" i="180"/>
  <c r="CU172" i="180"/>
  <c r="AG172" i="180"/>
  <c r="CO172" i="180"/>
  <c r="FC172" i="180"/>
  <c r="BK172" i="180"/>
  <c r="DY172" i="180"/>
  <c r="AS172" i="180"/>
  <c r="AA172" i="180"/>
  <c r="AM172" i="180"/>
  <c r="CI172" i="180"/>
  <c r="AG46" i="180"/>
  <c r="BE46" i="180"/>
  <c r="FC46" i="180"/>
  <c r="CI46" i="180"/>
  <c r="BK46" i="180"/>
  <c r="GG46" i="180"/>
  <c r="CO46" i="180"/>
  <c r="AM46" i="180"/>
  <c r="AS46" i="180"/>
  <c r="BQ46" i="180"/>
  <c r="AY46" i="180"/>
  <c r="BW46" i="180"/>
  <c r="CU46" i="180"/>
  <c r="O46" i="180"/>
  <c r="DY46" i="180"/>
  <c r="CC46" i="180"/>
  <c r="AA46" i="180"/>
  <c r="O165" i="180"/>
  <c r="CC165" i="180"/>
  <c r="BQ165" i="180"/>
  <c r="AM165" i="180"/>
  <c r="GG165" i="180"/>
  <c r="FC165" i="180"/>
  <c r="CU165" i="180"/>
  <c r="AS165" i="180"/>
  <c r="CI165" i="180"/>
  <c r="BK165" i="180"/>
  <c r="AA165" i="180"/>
  <c r="DY165" i="180"/>
  <c r="BW165" i="180"/>
  <c r="CO165" i="180"/>
  <c r="AG165" i="180"/>
  <c r="AY165" i="180"/>
  <c r="BE165" i="180"/>
  <c r="BQ65" i="180"/>
  <c r="AG65" i="180"/>
  <c r="FC65" i="180"/>
  <c r="O65" i="180"/>
  <c r="AM65" i="180"/>
  <c r="BW65" i="180"/>
  <c r="CC65" i="180"/>
  <c r="GG65" i="180"/>
  <c r="AY65" i="180"/>
  <c r="AS65" i="180"/>
  <c r="BE65" i="180"/>
  <c r="CO65" i="180"/>
  <c r="CI65" i="180"/>
  <c r="CU65" i="180"/>
  <c r="AA65" i="180"/>
  <c r="DY65" i="180"/>
  <c r="BK65" i="180"/>
  <c r="CC45" i="180"/>
  <c r="CU45" i="180"/>
  <c r="BW45" i="180"/>
  <c r="DY45" i="180"/>
  <c r="AY45" i="180"/>
  <c r="AA45" i="180"/>
  <c r="O45" i="180"/>
  <c r="BE45" i="180"/>
  <c r="AG45" i="180"/>
  <c r="CI45" i="180"/>
  <c r="FC45" i="180"/>
  <c r="GG45" i="180"/>
  <c r="BK45" i="180"/>
  <c r="AM45" i="180"/>
  <c r="CO45" i="180"/>
  <c r="BQ45" i="180"/>
  <c r="AS45" i="180"/>
  <c r="AA93" i="180"/>
  <c r="AM93" i="180"/>
  <c r="BW93" i="180"/>
  <c r="DY93" i="180"/>
  <c r="AY93" i="180"/>
  <c r="CC93" i="180"/>
  <c r="GG93" i="180"/>
  <c r="O93" i="180"/>
  <c r="BQ93" i="180"/>
  <c r="CO93" i="180"/>
  <c r="AG93" i="180"/>
  <c r="CI93" i="180"/>
  <c r="FC93" i="180"/>
  <c r="BE93" i="180"/>
  <c r="AS93" i="180"/>
  <c r="CU93" i="180"/>
  <c r="BK93" i="180"/>
  <c r="BQ155" i="180"/>
  <c r="AM155" i="180"/>
  <c r="CI155" i="180"/>
  <c r="DY155" i="180"/>
  <c r="AY155" i="180"/>
  <c r="O155" i="180"/>
  <c r="AG155" i="180"/>
  <c r="CO155" i="180"/>
  <c r="CU155" i="180"/>
  <c r="FC155" i="180"/>
  <c r="BK155" i="180"/>
  <c r="AS155" i="180"/>
  <c r="CC155" i="180"/>
  <c r="GG155" i="180"/>
  <c r="BE155" i="180"/>
  <c r="AA155" i="180"/>
  <c r="BW155" i="180"/>
  <c r="CU170" i="180"/>
  <c r="BW170" i="180"/>
  <c r="AA170" i="180"/>
  <c r="BQ170" i="180"/>
  <c r="FC170" i="180"/>
  <c r="GG170" i="180"/>
  <c r="AS170" i="180"/>
  <c r="AM170" i="180"/>
  <c r="AY170" i="180"/>
  <c r="CC170" i="180"/>
  <c r="DY170" i="180"/>
  <c r="CO170" i="180"/>
  <c r="O170" i="180"/>
  <c r="CI170" i="180"/>
  <c r="BK170" i="180"/>
  <c r="BE170" i="180"/>
  <c r="AG170" i="180"/>
  <c r="CC96" i="180"/>
  <c r="AG96" i="180"/>
  <c r="AA96" i="180"/>
  <c r="BW96" i="180"/>
  <c r="AS96" i="180"/>
  <c r="CU96" i="180"/>
  <c r="AY96" i="180"/>
  <c r="CI96" i="180"/>
  <c r="CO96" i="180"/>
  <c r="GG96" i="180"/>
  <c r="BK96" i="180"/>
  <c r="BQ96" i="180"/>
  <c r="O96" i="180"/>
  <c r="FC96" i="180"/>
  <c r="DY96" i="180"/>
  <c r="AM96" i="180"/>
  <c r="BE96" i="180"/>
  <c r="AY123" i="180"/>
  <c r="DY123" i="180"/>
  <c r="CO123" i="180"/>
  <c r="AA123" i="180"/>
  <c r="GG123" i="180"/>
  <c r="BW123" i="180"/>
  <c r="CI123" i="180"/>
  <c r="CU123" i="180"/>
  <c r="BE123" i="180"/>
  <c r="BQ123" i="180"/>
  <c r="AG123" i="180"/>
  <c r="AS123" i="180"/>
  <c r="FC123" i="180"/>
  <c r="O123" i="180"/>
  <c r="AM123" i="180"/>
  <c r="CC123" i="180"/>
  <c r="BK123" i="180"/>
  <c r="FC64" i="180"/>
  <c r="O64" i="180"/>
  <c r="AM64" i="180"/>
  <c r="BW64" i="180"/>
  <c r="CC64" i="180"/>
  <c r="GG64" i="180"/>
  <c r="CI64" i="180"/>
  <c r="AY64" i="180"/>
  <c r="AS64" i="180"/>
  <c r="BE64" i="180"/>
  <c r="CO64" i="180"/>
  <c r="CU64" i="180"/>
  <c r="BK64" i="180"/>
  <c r="AA64" i="180"/>
  <c r="DY64" i="180"/>
  <c r="BQ64" i="180"/>
  <c r="AG64" i="180"/>
  <c r="BW107" i="180"/>
  <c r="FC107" i="180"/>
  <c r="CC107" i="180"/>
  <c r="GG107" i="180"/>
  <c r="AM107" i="180"/>
  <c r="AY107" i="180"/>
  <c r="AS107" i="180"/>
  <c r="CO107" i="180"/>
  <c r="CI107" i="180"/>
  <c r="BK107" i="180"/>
  <c r="BE107" i="180"/>
  <c r="DY107" i="180"/>
  <c r="CU107" i="180"/>
  <c r="AG107" i="180"/>
  <c r="AA107" i="180"/>
  <c r="BQ107" i="180"/>
  <c r="O107" i="180"/>
  <c r="BW72" i="180"/>
  <c r="BQ72" i="180"/>
  <c r="AM72" i="180"/>
  <c r="FC72" i="180"/>
  <c r="GG72" i="180"/>
  <c r="CC72" i="180"/>
  <c r="CI72" i="180"/>
  <c r="AS72" i="180"/>
  <c r="BE72" i="180"/>
  <c r="DY72" i="180"/>
  <c r="AY72" i="180"/>
  <c r="AG72" i="180"/>
  <c r="AA72" i="180"/>
  <c r="BK72" i="180"/>
  <c r="O72" i="180"/>
  <c r="CU72" i="180"/>
  <c r="CO72" i="180"/>
  <c r="AM181" i="179"/>
  <c r="CI181" i="179"/>
  <c r="O181" i="179"/>
  <c r="AS181" i="179"/>
  <c r="AY181" i="179"/>
  <c r="BQ181" i="179"/>
  <c r="FC181" i="179"/>
  <c r="CO181" i="179"/>
  <c r="CC181" i="179"/>
  <c r="BE181" i="179"/>
  <c r="DY181" i="179"/>
  <c r="CU181" i="179"/>
  <c r="BW181" i="179"/>
  <c r="AA181" i="179"/>
  <c r="AG181" i="179"/>
  <c r="GG181" i="179"/>
  <c r="BK181" i="179"/>
  <c r="BQ215" i="179"/>
  <c r="AS215" i="179"/>
  <c r="AY215" i="179"/>
  <c r="FC215" i="179"/>
  <c r="CC215" i="179"/>
  <c r="AM215" i="179"/>
  <c r="AA215" i="179"/>
  <c r="DY215" i="179"/>
  <c r="CI215" i="179"/>
  <c r="O215" i="179"/>
  <c r="BK215" i="179"/>
  <c r="BW215" i="179"/>
  <c r="CU215" i="179"/>
  <c r="BE215" i="179"/>
  <c r="AG215" i="179"/>
  <c r="GG215" i="179"/>
  <c r="CO215" i="179"/>
  <c r="BE133" i="179"/>
  <c r="CC133" i="179"/>
  <c r="BW133" i="179"/>
  <c r="BK133" i="179"/>
  <c r="CO133" i="179"/>
  <c r="CU133" i="179"/>
  <c r="FC133" i="179"/>
  <c r="AY133" i="179"/>
  <c r="O133" i="179"/>
  <c r="AM133" i="179"/>
  <c r="AG133" i="179"/>
  <c r="GG133" i="179"/>
  <c r="BQ133" i="179"/>
  <c r="AS133" i="179"/>
  <c r="AA133" i="179"/>
  <c r="CI133" i="179"/>
  <c r="DY133" i="179"/>
  <c r="BE85" i="179"/>
  <c r="CO85" i="179"/>
  <c r="CU85" i="179"/>
  <c r="BK85" i="179"/>
  <c r="AA85" i="179"/>
  <c r="AG85" i="179"/>
  <c r="BQ85" i="179"/>
  <c r="O85" i="179"/>
  <c r="AS85" i="179"/>
  <c r="FC85" i="179"/>
  <c r="GG85" i="179"/>
  <c r="CC85" i="179"/>
  <c r="CI85" i="179"/>
  <c r="AM85" i="179"/>
  <c r="AY85" i="179"/>
  <c r="BW85" i="179"/>
  <c r="DY85" i="179"/>
  <c r="AM146" i="179"/>
  <c r="O146" i="179"/>
  <c r="AG146" i="179"/>
  <c r="CU146" i="179"/>
  <c r="DY146" i="179"/>
  <c r="AY146" i="179"/>
  <c r="AS146" i="179"/>
  <c r="CI146" i="179"/>
  <c r="BE146" i="179"/>
  <c r="CC146" i="179"/>
  <c r="FC146" i="179"/>
  <c r="GG146" i="179"/>
  <c r="CO146" i="179"/>
  <c r="BK146" i="179"/>
  <c r="AA146" i="179"/>
  <c r="BQ146" i="179"/>
  <c r="BW146" i="179"/>
  <c r="CC172" i="179"/>
  <c r="AS172" i="179"/>
  <c r="AY172" i="179"/>
  <c r="CI172" i="179"/>
  <c r="BW172" i="179"/>
  <c r="BE172" i="179"/>
  <c r="CU172" i="179"/>
  <c r="DY172" i="179"/>
  <c r="O172" i="179"/>
  <c r="AM172" i="179"/>
  <c r="AG172" i="179"/>
  <c r="BQ172" i="179"/>
  <c r="AA172" i="179"/>
  <c r="FC172" i="179"/>
  <c r="GG172" i="179"/>
  <c r="CO172" i="179"/>
  <c r="BK172" i="179"/>
  <c r="AY56" i="179"/>
  <c r="AS56" i="179"/>
  <c r="CO56" i="179"/>
  <c r="CI56" i="179"/>
  <c r="BK56" i="179"/>
  <c r="BE56" i="179"/>
  <c r="DY56" i="179"/>
  <c r="AA56" i="179"/>
  <c r="FC56" i="179"/>
  <c r="O56" i="179"/>
  <c r="BQ56" i="179"/>
  <c r="AM56" i="179"/>
  <c r="BW56" i="179"/>
  <c r="CC56" i="179"/>
  <c r="AG56" i="179"/>
  <c r="GG56" i="179"/>
  <c r="CU56" i="179"/>
  <c r="AA100" i="179"/>
  <c r="DY100" i="179"/>
  <c r="BQ100" i="179"/>
  <c r="AG100" i="179"/>
  <c r="FC100" i="179"/>
  <c r="O100" i="179"/>
  <c r="AM100" i="179"/>
  <c r="BW100" i="179"/>
  <c r="AY100" i="179"/>
  <c r="AS100" i="179"/>
  <c r="CO100" i="179"/>
  <c r="CI100" i="179"/>
  <c r="GG100" i="179"/>
  <c r="BE100" i="179"/>
  <c r="CU100" i="179"/>
  <c r="CC100" i="179"/>
  <c r="BK100" i="179"/>
  <c r="CI107" i="179"/>
  <c r="DY107" i="179"/>
  <c r="CC107" i="179"/>
  <c r="FC107" i="179"/>
  <c r="BE107" i="179"/>
  <c r="AG107" i="179"/>
  <c r="AA107" i="179"/>
  <c r="O107" i="179"/>
  <c r="AM107" i="179"/>
  <c r="CO107" i="179"/>
  <c r="BQ107" i="179"/>
  <c r="AS107" i="179"/>
  <c r="CU107" i="179"/>
  <c r="AY107" i="179"/>
  <c r="BK107" i="179"/>
  <c r="BW107" i="179"/>
  <c r="GG107" i="179"/>
  <c r="BE66" i="179"/>
  <c r="AA66" i="179"/>
  <c r="O66" i="179"/>
  <c r="CC66" i="179"/>
  <c r="FC66" i="179"/>
  <c r="CO66" i="179"/>
  <c r="BK66" i="179"/>
  <c r="AM66" i="179"/>
  <c r="BW66" i="179"/>
  <c r="GG66" i="179"/>
  <c r="AY66" i="179"/>
  <c r="AS66" i="179"/>
  <c r="AG66" i="179"/>
  <c r="CI66" i="179"/>
  <c r="BQ66" i="179"/>
  <c r="CU66" i="179"/>
  <c r="DY66" i="179"/>
  <c r="BE201" i="179"/>
  <c r="AY201" i="179"/>
  <c r="AM201" i="179"/>
  <c r="AG201" i="179"/>
  <c r="CU201" i="179"/>
  <c r="O201" i="179"/>
  <c r="BK201" i="179"/>
  <c r="CI201" i="179"/>
  <c r="AA201" i="179"/>
  <c r="GG201" i="179"/>
  <c r="CC201" i="179"/>
  <c r="BQ201" i="179"/>
  <c r="DY201" i="179"/>
  <c r="AS201" i="179"/>
  <c r="FC201" i="179"/>
  <c r="BW201" i="179"/>
  <c r="CO201" i="179"/>
  <c r="CC150" i="179"/>
  <c r="CO150" i="179"/>
  <c r="AG150" i="179"/>
  <c r="GG150" i="179"/>
  <c r="AY150" i="179"/>
  <c r="AS150" i="179"/>
  <c r="FC150" i="179"/>
  <c r="CI150" i="179"/>
  <c r="BW150" i="179"/>
  <c r="BQ150" i="179"/>
  <c r="O150" i="179"/>
  <c r="DY150" i="179"/>
  <c r="BE150" i="179"/>
  <c r="AA150" i="179"/>
  <c r="AM150" i="179"/>
  <c r="BK150" i="179"/>
  <c r="CU150" i="179"/>
  <c r="FC200" i="179"/>
  <c r="GG200" i="179"/>
  <c r="CI200" i="179"/>
  <c r="AM200" i="179"/>
  <c r="BE200" i="179"/>
  <c r="AY200" i="179"/>
  <c r="BQ200" i="179"/>
  <c r="DY200" i="179"/>
  <c r="CU200" i="179"/>
  <c r="O200" i="179"/>
  <c r="CC200" i="179"/>
  <c r="AS200" i="179"/>
  <c r="AG200" i="179"/>
  <c r="AA200" i="179"/>
  <c r="BW200" i="179"/>
  <c r="CO200" i="179"/>
  <c r="BK200" i="179"/>
  <c r="AG79" i="179"/>
  <c r="AA79" i="179"/>
  <c r="O79" i="179"/>
  <c r="BQ79" i="179"/>
  <c r="BW79" i="179"/>
  <c r="AM79" i="179"/>
  <c r="CC79" i="179"/>
  <c r="GG79" i="179"/>
  <c r="FC79" i="179"/>
  <c r="AY79" i="179"/>
  <c r="AS79" i="179"/>
  <c r="CO79" i="179"/>
  <c r="CI79" i="179"/>
  <c r="BK79" i="179"/>
  <c r="BE79" i="179"/>
  <c r="DY79" i="179"/>
  <c r="CU79" i="179"/>
  <c r="BQ74" i="179"/>
  <c r="AS74" i="179"/>
  <c r="FC74" i="179"/>
  <c r="AG74" i="179"/>
  <c r="AM74" i="179"/>
  <c r="GG74" i="179"/>
  <c r="CC74" i="179"/>
  <c r="O74" i="179"/>
  <c r="BE74" i="179"/>
  <c r="CO74" i="179"/>
  <c r="CU74" i="179"/>
  <c r="BK74" i="179"/>
  <c r="CI74" i="179"/>
  <c r="AA74" i="179"/>
  <c r="AY74" i="179"/>
  <c r="DY74" i="179"/>
  <c r="BW74" i="179"/>
  <c r="FC119" i="179"/>
  <c r="AS119" i="179"/>
  <c r="AM119" i="179"/>
  <c r="BW119" i="179"/>
  <c r="CO119" i="179"/>
  <c r="AG119" i="179"/>
  <c r="CI119" i="179"/>
  <c r="BK119" i="179"/>
  <c r="DY119" i="179"/>
  <c r="CU119" i="179"/>
  <c r="O119" i="179"/>
  <c r="AA119" i="179"/>
  <c r="CC119" i="179"/>
  <c r="BE119" i="179"/>
  <c r="BQ119" i="179"/>
  <c r="AY119" i="179"/>
  <c r="GG119" i="179"/>
  <c r="BW125" i="179"/>
  <c r="AM125" i="179"/>
  <c r="CU125" i="179"/>
  <c r="DY125" i="179"/>
  <c r="CC125" i="179"/>
  <c r="FC125" i="179"/>
  <c r="AS125" i="179"/>
  <c r="AY125" i="179"/>
  <c r="CI125" i="179"/>
  <c r="BK125" i="179"/>
  <c r="AA125" i="179"/>
  <c r="AG125" i="179"/>
  <c r="GG125" i="179"/>
  <c r="CO125" i="179"/>
  <c r="O125" i="179"/>
  <c r="BE125" i="179"/>
  <c r="BQ125" i="179"/>
  <c r="CI84" i="179"/>
  <c r="AY84" i="179"/>
  <c r="BE84" i="179"/>
  <c r="CO84" i="179"/>
  <c r="CU84" i="179"/>
  <c r="BK84" i="179"/>
  <c r="AA84" i="179"/>
  <c r="AG84" i="179"/>
  <c r="BQ84" i="179"/>
  <c r="DY84" i="179"/>
  <c r="BW84" i="179"/>
  <c r="FC84" i="179"/>
  <c r="O84" i="179"/>
  <c r="GG84" i="179"/>
  <c r="AM84" i="179"/>
  <c r="AS84" i="179"/>
  <c r="CC84" i="179"/>
  <c r="BE161" i="179"/>
  <c r="BW161" i="179"/>
  <c r="CU161" i="179"/>
  <c r="AM161" i="179"/>
  <c r="AA161" i="179"/>
  <c r="FC161" i="179"/>
  <c r="AS161" i="179"/>
  <c r="BQ161" i="179"/>
  <c r="O161" i="179"/>
  <c r="BK161" i="179"/>
  <c r="CC161" i="179"/>
  <c r="DY161" i="179"/>
  <c r="AG161" i="179"/>
  <c r="AY161" i="179"/>
  <c r="CO161" i="179"/>
  <c r="CI161" i="179"/>
  <c r="GG161" i="179"/>
  <c r="AM95" i="179"/>
  <c r="AG95" i="179"/>
  <c r="CC95" i="179"/>
  <c r="BE95" i="179"/>
  <c r="AY95" i="179"/>
  <c r="DY95" i="179"/>
  <c r="GG95" i="179"/>
  <c r="BQ95" i="179"/>
  <c r="BW95" i="179"/>
  <c r="CI95" i="179"/>
  <c r="AS95" i="179"/>
  <c r="CU95" i="179"/>
  <c r="CO95" i="179"/>
  <c r="AA95" i="179"/>
  <c r="O95" i="179"/>
  <c r="FC95" i="179"/>
  <c r="BK95" i="179"/>
  <c r="FC171" i="183"/>
  <c r="AG171" i="183"/>
  <c r="AY171" i="183"/>
  <c r="AM171" i="183"/>
  <c r="DY171" i="183"/>
  <c r="CO171" i="183"/>
  <c r="BE171" i="183"/>
  <c r="BK171" i="183"/>
  <c r="CI171" i="183"/>
  <c r="BW171" i="183"/>
  <c r="O171" i="183"/>
  <c r="CU171" i="183"/>
  <c r="GG171" i="183"/>
  <c r="BQ171" i="183"/>
  <c r="CC171" i="183"/>
  <c r="AS171" i="183"/>
  <c r="AA171" i="183"/>
  <c r="CU60" i="183"/>
  <c r="CO60" i="183"/>
  <c r="AA60" i="183"/>
  <c r="FC60" i="183"/>
  <c r="BK60" i="183"/>
  <c r="DY60" i="183"/>
  <c r="AG60" i="183"/>
  <c r="GG60" i="183"/>
  <c r="O60" i="183"/>
  <c r="BQ60" i="183"/>
  <c r="BW60" i="183"/>
  <c r="AM60" i="183"/>
  <c r="AS60" i="183"/>
  <c r="CC60" i="183"/>
  <c r="CI60" i="183"/>
  <c r="AY60" i="183"/>
  <c r="BE60" i="183"/>
  <c r="FC115" i="183"/>
  <c r="DY115" i="183"/>
  <c r="AM115" i="183"/>
  <c r="O115" i="183"/>
  <c r="BQ115" i="183"/>
  <c r="GG115" i="183"/>
  <c r="AG115" i="183"/>
  <c r="AS115" i="183"/>
  <c r="CC115" i="183"/>
  <c r="CI115" i="183"/>
  <c r="AA115" i="183"/>
  <c r="BK115" i="183"/>
  <c r="CU115" i="183"/>
  <c r="BE115" i="183"/>
  <c r="AY115" i="183"/>
  <c r="BW115" i="183"/>
  <c r="CO115" i="183"/>
  <c r="CU141" i="183"/>
  <c r="AS141" i="183"/>
  <c r="AA141" i="183"/>
  <c r="FC141" i="183"/>
  <c r="BQ141" i="183"/>
  <c r="AM141" i="183"/>
  <c r="DY141" i="183"/>
  <c r="CI141" i="183"/>
  <c r="AG141" i="183"/>
  <c r="BK141" i="183"/>
  <c r="O141" i="183"/>
  <c r="AY141" i="183"/>
  <c r="BW141" i="183"/>
  <c r="CO141" i="183"/>
  <c r="BE141" i="183"/>
  <c r="GG141" i="183"/>
  <c r="CC141" i="183"/>
  <c r="CU83" i="183"/>
  <c r="DY83" i="183"/>
  <c r="FC83" i="183"/>
  <c r="AY83" i="183"/>
  <c r="CC83" i="183"/>
  <c r="BK83" i="183"/>
  <c r="CO83" i="183"/>
  <c r="AG83" i="183"/>
  <c r="BE83" i="183"/>
  <c r="O83" i="183"/>
  <c r="AA83" i="183"/>
  <c r="BW83" i="183"/>
  <c r="CI83" i="183"/>
  <c r="AM83" i="183"/>
  <c r="BQ83" i="183"/>
  <c r="AS83" i="183"/>
  <c r="GG83" i="183"/>
  <c r="AY162" i="183"/>
  <c r="CU162" i="183"/>
  <c r="CO162" i="183"/>
  <c r="DY162" i="183"/>
  <c r="BK162" i="183"/>
  <c r="CC162" i="183"/>
  <c r="BW162" i="183"/>
  <c r="AG162" i="183"/>
  <c r="AA162" i="183"/>
  <c r="GG162" i="183"/>
  <c r="FC162" i="183"/>
  <c r="AS162" i="183"/>
  <c r="BE162" i="183"/>
  <c r="BQ162" i="183"/>
  <c r="O162" i="183"/>
  <c r="CI162" i="183"/>
  <c r="AM162" i="183"/>
  <c r="O79" i="183"/>
  <c r="BQ79" i="183"/>
  <c r="BW79" i="183"/>
  <c r="FC79" i="183"/>
  <c r="GG79" i="183"/>
  <c r="AM79" i="183"/>
  <c r="AS79" i="183"/>
  <c r="CC79" i="183"/>
  <c r="CI79" i="183"/>
  <c r="AY79" i="183"/>
  <c r="BK79" i="183"/>
  <c r="BE79" i="183"/>
  <c r="CO79" i="183"/>
  <c r="AG79" i="183"/>
  <c r="AA79" i="183"/>
  <c r="CU79" i="183"/>
  <c r="DY79" i="183"/>
  <c r="GG129" i="183"/>
  <c r="O129" i="183"/>
  <c r="AS129" i="183"/>
  <c r="BW129" i="183"/>
  <c r="CI129" i="183"/>
  <c r="AA129" i="183"/>
  <c r="BE129" i="183"/>
  <c r="BK129" i="183"/>
  <c r="BQ129" i="183"/>
  <c r="CO129" i="183"/>
  <c r="FC129" i="183"/>
  <c r="DY129" i="183"/>
  <c r="AM129" i="183"/>
  <c r="AG129" i="183"/>
  <c r="CC129" i="183"/>
  <c r="AY129" i="183"/>
  <c r="CU129" i="183"/>
  <c r="CU189" i="183"/>
  <c r="AY189" i="183"/>
  <c r="AA189" i="183"/>
  <c r="FC189" i="183"/>
  <c r="BW189" i="183"/>
  <c r="BK189" i="183"/>
  <c r="AS189" i="183"/>
  <c r="CO189" i="183"/>
  <c r="BE189" i="183"/>
  <c r="DY189" i="183"/>
  <c r="AM189" i="183"/>
  <c r="CC189" i="183"/>
  <c r="O189" i="183"/>
  <c r="BQ189" i="183"/>
  <c r="GG189" i="183"/>
  <c r="AG189" i="183"/>
  <c r="CI189" i="183"/>
  <c r="CI175" i="183"/>
  <c r="CC175" i="183"/>
  <c r="CU175" i="183"/>
  <c r="DY175" i="183"/>
  <c r="AA175" i="183"/>
  <c r="BE175" i="183"/>
  <c r="AY175" i="183"/>
  <c r="FC175" i="183"/>
  <c r="CO175" i="183"/>
  <c r="AM175" i="183"/>
  <c r="BW175" i="183"/>
  <c r="BK175" i="183"/>
  <c r="AG175" i="183"/>
  <c r="AS175" i="183"/>
  <c r="O175" i="183"/>
  <c r="GG175" i="183"/>
  <c r="BQ175" i="183"/>
  <c r="O127" i="183"/>
  <c r="AM127" i="183"/>
  <c r="BW127" i="183"/>
  <c r="BK127" i="183"/>
  <c r="BE127" i="183"/>
  <c r="GG127" i="183"/>
  <c r="CI127" i="183"/>
  <c r="BQ127" i="183"/>
  <c r="CC127" i="183"/>
  <c r="FC127" i="183"/>
  <c r="CU127" i="183"/>
  <c r="AA127" i="183"/>
  <c r="DY127" i="183"/>
  <c r="AG127" i="183"/>
  <c r="AS127" i="183"/>
  <c r="CO127" i="183"/>
  <c r="AY127" i="183"/>
  <c r="CO211" i="183"/>
  <c r="O211" i="183"/>
  <c r="BW211" i="183"/>
  <c r="CI211" i="183"/>
  <c r="CU211" i="183"/>
  <c r="AG211" i="183"/>
  <c r="CC211" i="183"/>
  <c r="FC211" i="183"/>
  <c r="GG211" i="183"/>
  <c r="AA211" i="183"/>
  <c r="BQ211" i="183"/>
  <c r="AS211" i="183"/>
  <c r="AM211" i="183"/>
  <c r="BE211" i="183"/>
  <c r="BK211" i="183"/>
  <c r="AY211" i="183"/>
  <c r="DY211" i="183"/>
  <c r="FC85" i="183"/>
  <c r="BW85" i="183"/>
  <c r="AM85" i="183"/>
  <c r="BK85" i="183"/>
  <c r="GG85" i="183"/>
  <c r="CC85" i="183"/>
  <c r="CI85" i="183"/>
  <c r="AS85" i="183"/>
  <c r="AY85" i="183"/>
  <c r="BE85" i="183"/>
  <c r="CO85" i="183"/>
  <c r="CU85" i="183"/>
  <c r="DY85" i="183"/>
  <c r="AA85" i="183"/>
  <c r="AG85" i="183"/>
  <c r="BQ85" i="183"/>
  <c r="O85" i="183"/>
  <c r="CU130" i="183"/>
  <c r="GG130" i="183"/>
  <c r="AA130" i="183"/>
  <c r="AS130" i="183"/>
  <c r="FC130" i="183"/>
  <c r="O130" i="183"/>
  <c r="AG130" i="183"/>
  <c r="AM130" i="183"/>
  <c r="BK130" i="183"/>
  <c r="CC130" i="183"/>
  <c r="BW130" i="183"/>
  <c r="AY130" i="183"/>
  <c r="CO130" i="183"/>
  <c r="BE130" i="183"/>
  <c r="BQ130" i="183"/>
  <c r="CI130" i="183"/>
  <c r="DY130" i="183"/>
  <c r="BQ131" i="183"/>
  <c r="BW131" i="183"/>
  <c r="DY131" i="183"/>
  <c r="AM131" i="183"/>
  <c r="CC131" i="183"/>
  <c r="AG131" i="183"/>
  <c r="FC131" i="183"/>
  <c r="AY131" i="183"/>
  <c r="GG131" i="183"/>
  <c r="AA131" i="183"/>
  <c r="CI131" i="183"/>
  <c r="BK131" i="183"/>
  <c r="CO131" i="183"/>
  <c r="BE131" i="183"/>
  <c r="CU131" i="183"/>
  <c r="O131" i="183"/>
  <c r="AS131" i="183"/>
  <c r="DY197" i="183"/>
  <c r="BQ197" i="183"/>
  <c r="BE197" i="183"/>
  <c r="AM197" i="183"/>
  <c r="CO197" i="183"/>
  <c r="CC197" i="183"/>
  <c r="AG197" i="183"/>
  <c r="AS197" i="183"/>
  <c r="FC197" i="183"/>
  <c r="GG197" i="183"/>
  <c r="O197" i="183"/>
  <c r="CI197" i="183"/>
  <c r="BW197" i="183"/>
  <c r="CU197" i="183"/>
  <c r="BK197" i="183"/>
  <c r="AA197" i="183"/>
  <c r="AY197" i="183"/>
  <c r="AY199" i="183"/>
  <c r="GG199" i="183"/>
  <c r="CO199" i="183"/>
  <c r="BW199" i="183"/>
  <c r="BE199" i="183"/>
  <c r="AS199" i="183"/>
  <c r="CU199" i="183"/>
  <c r="FC199" i="183"/>
  <c r="AA199" i="183"/>
  <c r="AM199" i="183"/>
  <c r="BQ199" i="183"/>
  <c r="DY199" i="183"/>
  <c r="CC199" i="183"/>
  <c r="AG199" i="183"/>
  <c r="O199" i="183"/>
  <c r="BK199" i="183"/>
  <c r="CI199" i="183"/>
  <c r="CO116" i="183"/>
  <c r="GG116" i="183"/>
  <c r="BQ116" i="183"/>
  <c r="BW116" i="183"/>
  <c r="BE116" i="183"/>
  <c r="FC116" i="183"/>
  <c r="CU116" i="183"/>
  <c r="AA116" i="183"/>
  <c r="DY116" i="183"/>
  <c r="BK116" i="183"/>
  <c r="O116" i="183"/>
  <c r="AM116" i="183"/>
  <c r="CI116" i="183"/>
  <c r="AG116" i="183"/>
  <c r="AY116" i="183"/>
  <c r="CC116" i="183"/>
  <c r="AS116" i="183"/>
  <c r="AY92" i="183"/>
  <c r="AS92" i="183"/>
  <c r="CO92" i="183"/>
  <c r="CI92" i="183"/>
  <c r="BK92" i="183"/>
  <c r="CU92" i="183"/>
  <c r="DY92" i="183"/>
  <c r="AA92" i="183"/>
  <c r="AG92" i="183"/>
  <c r="BQ92" i="183"/>
  <c r="O92" i="183"/>
  <c r="CC92" i="183"/>
  <c r="AM92" i="183"/>
  <c r="GG92" i="183"/>
  <c r="BW92" i="183"/>
  <c r="BE92" i="183"/>
  <c r="FC92" i="183"/>
  <c r="AA120" i="183"/>
  <c r="BK120" i="183"/>
  <c r="BQ120" i="183"/>
  <c r="CO120" i="183"/>
  <c r="FC120" i="183"/>
  <c r="AS120" i="183"/>
  <c r="O120" i="183"/>
  <c r="AM120" i="183"/>
  <c r="CU120" i="183"/>
  <c r="CC120" i="183"/>
  <c r="BW120" i="183"/>
  <c r="AY120" i="183"/>
  <c r="AG120" i="183"/>
  <c r="CI120" i="183"/>
  <c r="BE120" i="183"/>
  <c r="GG120" i="183"/>
  <c r="DY120" i="183"/>
  <c r="AA165" i="183"/>
  <c r="AS165" i="183"/>
  <c r="BQ165" i="183"/>
  <c r="FC165" i="183"/>
  <c r="AY165" i="183"/>
  <c r="AM165" i="183"/>
  <c r="DY165" i="183"/>
  <c r="CI165" i="183"/>
  <c r="CU165" i="183"/>
  <c r="GG165" i="183"/>
  <c r="CO165" i="183"/>
  <c r="CC165" i="183"/>
  <c r="BK165" i="183"/>
  <c r="BE165" i="183"/>
  <c r="AG165" i="183"/>
  <c r="BW165" i="183"/>
  <c r="O165" i="183"/>
  <c r="AY120" i="182"/>
  <c r="CI120" i="182"/>
  <c r="BK120" i="182"/>
  <c r="AM120" i="182"/>
  <c r="DY120" i="182"/>
  <c r="CC120" i="182"/>
  <c r="AG120" i="182"/>
  <c r="CU120" i="182"/>
  <c r="O120" i="182"/>
  <c r="AA120" i="182"/>
  <c r="BW120" i="182"/>
  <c r="GG120" i="182"/>
  <c r="BE120" i="182"/>
  <c r="AS120" i="182"/>
  <c r="BQ120" i="182"/>
  <c r="FC120" i="182"/>
  <c r="CO120" i="182"/>
  <c r="GG124" i="182"/>
  <c r="AY124" i="182"/>
  <c r="AS124" i="182"/>
  <c r="DY124" i="182"/>
  <c r="BK124" i="182"/>
  <c r="AA124" i="182"/>
  <c r="BE124" i="182"/>
  <c r="CO124" i="182"/>
  <c r="FC124" i="182"/>
  <c r="CC124" i="182"/>
  <c r="O124" i="182"/>
  <c r="AM124" i="182"/>
  <c r="CI124" i="182"/>
  <c r="CU124" i="182"/>
  <c r="BW124" i="182"/>
  <c r="BQ124" i="182"/>
  <c r="AG124" i="182"/>
  <c r="AY206" i="182"/>
  <c r="FC206" i="182"/>
  <c r="BE206" i="182"/>
  <c r="BW206" i="182"/>
  <c r="AM206" i="182"/>
  <c r="AG206" i="182"/>
  <c r="O206" i="182"/>
  <c r="CO206" i="182"/>
  <c r="CI206" i="182"/>
  <c r="AA206" i="182"/>
  <c r="GG206" i="182"/>
  <c r="BQ206" i="182"/>
  <c r="CU206" i="182"/>
  <c r="AS206" i="182"/>
  <c r="DY206" i="182"/>
  <c r="CC206" i="182"/>
  <c r="BK206" i="182"/>
  <c r="O82" i="182"/>
  <c r="AY82" i="182"/>
  <c r="BE82" i="182"/>
  <c r="CC82" i="182"/>
  <c r="AA82" i="182"/>
  <c r="FC82" i="182"/>
  <c r="CI82" i="182"/>
  <c r="CO82" i="182"/>
  <c r="GG82" i="182"/>
  <c r="BK82" i="182"/>
  <c r="BQ82" i="182"/>
  <c r="AS82" i="182"/>
  <c r="DY82" i="182"/>
  <c r="AM82" i="182"/>
  <c r="BW82" i="182"/>
  <c r="AG82" i="182"/>
  <c r="CU82" i="182"/>
  <c r="CI201" i="182"/>
  <c r="BW201" i="182"/>
  <c r="BE201" i="182"/>
  <c r="FC201" i="182"/>
  <c r="GG201" i="182"/>
  <c r="BK201" i="182"/>
  <c r="CO201" i="182"/>
  <c r="AG201" i="182"/>
  <c r="AY201" i="182"/>
  <c r="O201" i="182"/>
  <c r="BQ201" i="182"/>
  <c r="DY201" i="182"/>
  <c r="CC201" i="182"/>
  <c r="AA201" i="182"/>
  <c r="AS201" i="182"/>
  <c r="CU201" i="182"/>
  <c r="AM201" i="182"/>
  <c r="O58" i="182"/>
  <c r="BQ58" i="182"/>
  <c r="BW58" i="182"/>
  <c r="CC58" i="182"/>
  <c r="GG58" i="182"/>
  <c r="FC58" i="182"/>
  <c r="AS58" i="182"/>
  <c r="AM58" i="182"/>
  <c r="CI58" i="182"/>
  <c r="BK58" i="182"/>
  <c r="BE58" i="182"/>
  <c r="CO58" i="182"/>
  <c r="DY58" i="182"/>
  <c r="CU58" i="182"/>
  <c r="AY58" i="182"/>
  <c r="AG58" i="182"/>
  <c r="AA58" i="182"/>
  <c r="GG176" i="182"/>
  <c r="CU176" i="182"/>
  <c r="AM176" i="182"/>
  <c r="AA176" i="182"/>
  <c r="BK176" i="182"/>
  <c r="BQ176" i="182"/>
  <c r="O176" i="182"/>
  <c r="CO176" i="182"/>
  <c r="AY176" i="182"/>
  <c r="AS176" i="182"/>
  <c r="CC176" i="182"/>
  <c r="BW176" i="182"/>
  <c r="FC176" i="182"/>
  <c r="BE176" i="182"/>
  <c r="AG176" i="182"/>
  <c r="CI176" i="182"/>
  <c r="DY176" i="182"/>
  <c r="CU163" i="182"/>
  <c r="DY163" i="182"/>
  <c r="CC163" i="182"/>
  <c r="BW163" i="182"/>
  <c r="AY163" i="182"/>
  <c r="FC163" i="182"/>
  <c r="CO163" i="182"/>
  <c r="AA163" i="182"/>
  <c r="BQ163" i="182"/>
  <c r="O163" i="182"/>
  <c r="GG163" i="182"/>
  <c r="BK163" i="182"/>
  <c r="AG163" i="182"/>
  <c r="AS163" i="182"/>
  <c r="AM163" i="182"/>
  <c r="CI163" i="182"/>
  <c r="BE163" i="182"/>
  <c r="GG200" i="182"/>
  <c r="BQ200" i="182"/>
  <c r="BK200" i="182"/>
  <c r="AM200" i="182"/>
  <c r="CC200" i="182"/>
  <c r="BE200" i="182"/>
  <c r="BW200" i="182"/>
  <c r="AA200" i="182"/>
  <c r="AY200" i="182"/>
  <c r="AS200" i="182"/>
  <c r="FC200" i="182"/>
  <c r="O200" i="182"/>
  <c r="AG200" i="182"/>
  <c r="CO200" i="182"/>
  <c r="CU200" i="182"/>
  <c r="DY200" i="182"/>
  <c r="CI200" i="182"/>
  <c r="AS125" i="182"/>
  <c r="CO125" i="182"/>
  <c r="CI125" i="182"/>
  <c r="BK125" i="182"/>
  <c r="CC125" i="182"/>
  <c r="AA125" i="182"/>
  <c r="CU125" i="182"/>
  <c r="AY125" i="182"/>
  <c r="AM125" i="182"/>
  <c r="FC125" i="182"/>
  <c r="BE125" i="182"/>
  <c r="BQ125" i="182"/>
  <c r="BW125" i="182"/>
  <c r="O125" i="182"/>
  <c r="DY125" i="182"/>
  <c r="GG125" i="182"/>
  <c r="AG125" i="182"/>
  <c r="CO97" i="182"/>
  <c r="AY97" i="182"/>
  <c r="GG97" i="182"/>
  <c r="BK97" i="182"/>
  <c r="AS97" i="182"/>
  <c r="DY97" i="182"/>
  <c r="AA97" i="182"/>
  <c r="AG97" i="182"/>
  <c r="BW97" i="182"/>
  <c r="O97" i="182"/>
  <c r="BE97" i="182"/>
  <c r="FC97" i="182"/>
  <c r="AM97" i="182"/>
  <c r="CI97" i="182"/>
  <c r="CU97" i="182"/>
  <c r="BQ97" i="182"/>
  <c r="CC97" i="182"/>
  <c r="AS156" i="182"/>
  <c r="CU156" i="182"/>
  <c r="CI156" i="182"/>
  <c r="BK156" i="182"/>
  <c r="AY156" i="182"/>
  <c r="BE156" i="182"/>
  <c r="CC156" i="182"/>
  <c r="CO156" i="182"/>
  <c r="BQ156" i="182"/>
  <c r="DY156" i="182"/>
  <c r="FC156" i="182"/>
  <c r="AG156" i="182"/>
  <c r="AM156" i="182"/>
  <c r="O156" i="182"/>
  <c r="AA156" i="182"/>
  <c r="GG156" i="182"/>
  <c r="BW156" i="182"/>
  <c r="AG141" i="182"/>
  <c r="AA141" i="182"/>
  <c r="O141" i="182"/>
  <c r="CO141" i="182"/>
  <c r="AM141" i="182"/>
  <c r="BW141" i="182"/>
  <c r="CI141" i="182"/>
  <c r="CU141" i="182"/>
  <c r="BQ141" i="182"/>
  <c r="BE141" i="182"/>
  <c r="CC141" i="182"/>
  <c r="AY141" i="182"/>
  <c r="BK141" i="182"/>
  <c r="AS141" i="182"/>
  <c r="GG141" i="182"/>
  <c r="DY141" i="182"/>
  <c r="FC141" i="182"/>
  <c r="CI119" i="182"/>
  <c r="BQ119" i="182"/>
  <c r="CU119" i="182"/>
  <c r="GG119" i="182"/>
  <c r="AS119" i="182"/>
  <c r="AA119" i="182"/>
  <c r="CO119" i="182"/>
  <c r="CC119" i="182"/>
  <c r="AM119" i="182"/>
  <c r="BK119" i="182"/>
  <c r="FC119" i="182"/>
  <c r="DY119" i="182"/>
  <c r="BE119" i="182"/>
  <c r="AG119" i="182"/>
  <c r="BW119" i="182"/>
  <c r="O119" i="182"/>
  <c r="AY119" i="182"/>
  <c r="FC147" i="182"/>
  <c r="O147" i="182"/>
  <c r="AM147" i="182"/>
  <c r="CO147" i="182"/>
  <c r="DY147" i="182"/>
  <c r="BW147" i="182"/>
  <c r="CI147" i="182"/>
  <c r="BE147" i="182"/>
  <c r="CC147" i="182"/>
  <c r="AY147" i="182"/>
  <c r="CU147" i="182"/>
  <c r="BK147" i="182"/>
  <c r="AG147" i="182"/>
  <c r="AA147" i="182"/>
  <c r="AS147" i="182"/>
  <c r="BQ147" i="182"/>
  <c r="GG147" i="182"/>
  <c r="BW161" i="182"/>
  <c r="CC161" i="182"/>
  <c r="BQ161" i="182"/>
  <c r="BK161" i="182"/>
  <c r="BE161" i="182"/>
  <c r="AA161" i="182"/>
  <c r="FC161" i="182"/>
  <c r="CU161" i="182"/>
  <c r="CO161" i="182"/>
  <c r="AM161" i="182"/>
  <c r="DY161" i="182"/>
  <c r="CI161" i="182"/>
  <c r="GG161" i="182"/>
  <c r="AG161" i="182"/>
  <c r="AY161" i="182"/>
  <c r="O161" i="182"/>
  <c r="AS161" i="182"/>
  <c r="AY131" i="182"/>
  <c r="O131" i="182"/>
  <c r="CI131" i="182"/>
  <c r="CU131" i="182"/>
  <c r="DY131" i="182"/>
  <c r="BK131" i="182"/>
  <c r="GG131" i="182"/>
  <c r="AA131" i="182"/>
  <c r="BE131" i="182"/>
  <c r="AS131" i="182"/>
  <c r="BW131" i="182"/>
  <c r="FC131" i="182"/>
  <c r="CO131" i="182"/>
  <c r="AM131" i="182"/>
  <c r="AG131" i="182"/>
  <c r="CC131" i="182"/>
  <c r="BQ131" i="182"/>
  <c r="BE145" i="182"/>
  <c r="CI145" i="182"/>
  <c r="AM145" i="182"/>
  <c r="CU145" i="182"/>
  <c r="AY145" i="182"/>
  <c r="AA145" i="182"/>
  <c r="O145" i="182"/>
  <c r="BQ145" i="182"/>
  <c r="GG145" i="182"/>
  <c r="CC145" i="182"/>
  <c r="DY145" i="182"/>
  <c r="CO145" i="182"/>
  <c r="AG145" i="182"/>
  <c r="BK145" i="182"/>
  <c r="AS145" i="182"/>
  <c r="BW145" i="182"/>
  <c r="FC145" i="182"/>
  <c r="O191" i="182"/>
  <c r="GG191" i="182"/>
  <c r="BW191" i="182"/>
  <c r="FC191" i="182"/>
  <c r="CI191" i="182"/>
  <c r="AS191" i="182"/>
  <c r="BE191" i="182"/>
  <c r="AM191" i="182"/>
  <c r="CC191" i="182"/>
  <c r="CU191" i="182"/>
  <c r="AA191" i="182"/>
  <c r="AY191" i="182"/>
  <c r="BQ191" i="182"/>
  <c r="DY191" i="182"/>
  <c r="CO191" i="182"/>
  <c r="AG191" i="182"/>
  <c r="BK191" i="182"/>
  <c r="AY117" i="182"/>
  <c r="CI117" i="182"/>
  <c r="BW117" i="182"/>
  <c r="DY117" i="182"/>
  <c r="AM117" i="182"/>
  <c r="AS117" i="182"/>
  <c r="BE117" i="182"/>
  <c r="AA117" i="182"/>
  <c r="O117" i="182"/>
  <c r="BK117" i="182"/>
  <c r="CO117" i="182"/>
  <c r="CU117" i="182"/>
  <c r="FC117" i="182"/>
  <c r="CC117" i="182"/>
  <c r="BQ117" i="182"/>
  <c r="AG117" i="182"/>
  <c r="GG117" i="182"/>
  <c r="AS195" i="181"/>
  <c r="DY195" i="181"/>
  <c r="CO195" i="181"/>
  <c r="BE195" i="181"/>
  <c r="BW195" i="181"/>
  <c r="FC195" i="181"/>
  <c r="CI195" i="181"/>
  <c r="AM195" i="181"/>
  <c r="BQ195" i="181"/>
  <c r="GG195" i="181"/>
  <c r="AY195" i="181"/>
  <c r="CU195" i="181"/>
  <c r="AG195" i="181"/>
  <c r="CC195" i="181"/>
  <c r="AA195" i="181"/>
  <c r="BK195" i="181"/>
  <c r="O195" i="181"/>
  <c r="BK158" i="181"/>
  <c r="BQ158" i="181"/>
  <c r="BW158" i="181"/>
  <c r="AG158" i="181"/>
  <c r="O158" i="181"/>
  <c r="BE158" i="181"/>
  <c r="GG158" i="181"/>
  <c r="CO158" i="181"/>
  <c r="AS158" i="181"/>
  <c r="AM158" i="181"/>
  <c r="CI158" i="181"/>
  <c r="FC158" i="181"/>
  <c r="CC158" i="181"/>
  <c r="CU158" i="181"/>
  <c r="DY158" i="181"/>
  <c r="AY158" i="181"/>
  <c r="AA158" i="181"/>
  <c r="FC74" i="181"/>
  <c r="O74" i="181"/>
  <c r="AM74" i="181"/>
  <c r="BW74" i="181"/>
  <c r="CC74" i="181"/>
  <c r="GG74" i="181"/>
  <c r="AY74" i="181"/>
  <c r="AS74" i="181"/>
  <c r="BE74" i="181"/>
  <c r="CO74" i="181"/>
  <c r="CI74" i="181"/>
  <c r="CU74" i="181"/>
  <c r="BK74" i="181"/>
  <c r="AA74" i="181"/>
  <c r="DY74" i="181"/>
  <c r="BQ74" i="181"/>
  <c r="AG74" i="181"/>
  <c r="BK178" i="181"/>
  <c r="CI178" i="181"/>
  <c r="BQ178" i="181"/>
  <c r="FC178" i="181"/>
  <c r="O178" i="181"/>
  <c r="AM178" i="181"/>
  <c r="AA178" i="181"/>
  <c r="GG178" i="181"/>
  <c r="BE178" i="181"/>
  <c r="AS178" i="181"/>
  <c r="AY178" i="181"/>
  <c r="CO178" i="181"/>
  <c r="CU178" i="181"/>
  <c r="BW178" i="181"/>
  <c r="AG178" i="181"/>
  <c r="DY178" i="181"/>
  <c r="CC178" i="181"/>
  <c r="CI101" i="181"/>
  <c r="CC101" i="181"/>
  <c r="CU101" i="181"/>
  <c r="BK101" i="181"/>
  <c r="DY101" i="181"/>
  <c r="AA101" i="181"/>
  <c r="BE101" i="181"/>
  <c r="AG101" i="181"/>
  <c r="BQ101" i="181"/>
  <c r="O101" i="181"/>
  <c r="FC101" i="181"/>
  <c r="BW101" i="181"/>
  <c r="AM101" i="181"/>
  <c r="GG101" i="181"/>
  <c r="AY101" i="181"/>
  <c r="AS101" i="181"/>
  <c r="CO101" i="181"/>
  <c r="CC127" i="181"/>
  <c r="CI127" i="181"/>
  <c r="BK127" i="181"/>
  <c r="BE127" i="181"/>
  <c r="AY127" i="181"/>
  <c r="AS127" i="181"/>
  <c r="DY127" i="181"/>
  <c r="CU127" i="181"/>
  <c r="FC127" i="181"/>
  <c r="BQ127" i="181"/>
  <c r="CO127" i="181"/>
  <c r="O127" i="181"/>
  <c r="BW127" i="181"/>
  <c r="AG127" i="181"/>
  <c r="AA127" i="181"/>
  <c r="GG127" i="181"/>
  <c r="AM127" i="181"/>
  <c r="BQ95" i="181"/>
  <c r="O95" i="181"/>
  <c r="BW95" i="181"/>
  <c r="FC95" i="181"/>
  <c r="CI95" i="181"/>
  <c r="AM95" i="181"/>
  <c r="BE95" i="181"/>
  <c r="CC95" i="181"/>
  <c r="GG95" i="181"/>
  <c r="AY95" i="181"/>
  <c r="AA95" i="181"/>
  <c r="BK95" i="181"/>
  <c r="CU95" i="181"/>
  <c r="DY95" i="181"/>
  <c r="CO95" i="181"/>
  <c r="AG95" i="181"/>
  <c r="AS95" i="181"/>
  <c r="AY212" i="181"/>
  <c r="BW212" i="181"/>
  <c r="CO212" i="181"/>
  <c r="CU212" i="181"/>
  <c r="GG212" i="181"/>
  <c r="AA212" i="181"/>
  <c r="CI212" i="181"/>
  <c r="AS212" i="181"/>
  <c r="BK212" i="181"/>
  <c r="BQ212" i="181"/>
  <c r="O212" i="181"/>
  <c r="FC212" i="181"/>
  <c r="DY212" i="181"/>
  <c r="AM212" i="181"/>
  <c r="AG212" i="181"/>
  <c r="CC212" i="181"/>
  <c r="BE212" i="181"/>
  <c r="CC144" i="181"/>
  <c r="CU144" i="181"/>
  <c r="AY144" i="181"/>
  <c r="AM144" i="181"/>
  <c r="CO144" i="181"/>
  <c r="BK144" i="181"/>
  <c r="DY144" i="181"/>
  <c r="AA144" i="181"/>
  <c r="AG144" i="181"/>
  <c r="FC144" i="181"/>
  <c r="CI144" i="181"/>
  <c r="O144" i="181"/>
  <c r="GG144" i="181"/>
  <c r="BE144" i="181"/>
  <c r="BW144" i="181"/>
  <c r="BQ144" i="181"/>
  <c r="AS144" i="181"/>
  <c r="GG119" i="181"/>
  <c r="CC119" i="181"/>
  <c r="AS119" i="181"/>
  <c r="BW119" i="181"/>
  <c r="AY119" i="181"/>
  <c r="CI119" i="181"/>
  <c r="AA119" i="181"/>
  <c r="CO119" i="181"/>
  <c r="BE119" i="181"/>
  <c r="BK119" i="181"/>
  <c r="BQ119" i="181"/>
  <c r="DY119" i="181"/>
  <c r="FC119" i="181"/>
  <c r="AG119" i="181"/>
  <c r="AM119" i="181"/>
  <c r="O119" i="181"/>
  <c r="CU119" i="181"/>
  <c r="CO67" i="181"/>
  <c r="CI67" i="181"/>
  <c r="BK67" i="181"/>
  <c r="BE67" i="181"/>
  <c r="DY67" i="181"/>
  <c r="CU67" i="181"/>
  <c r="AG67" i="181"/>
  <c r="AA67" i="181"/>
  <c r="O67" i="181"/>
  <c r="BQ67" i="181"/>
  <c r="BW67" i="181"/>
  <c r="FC67" i="181"/>
  <c r="GG67" i="181"/>
  <c r="AM67" i="181"/>
  <c r="AY67" i="181"/>
  <c r="AS67" i="181"/>
  <c r="CC67" i="181"/>
  <c r="AY49" i="181"/>
  <c r="GG49" i="181"/>
  <c r="CO49" i="181"/>
  <c r="AS49" i="181"/>
  <c r="FC49" i="181"/>
  <c r="CI49" i="181"/>
  <c r="BK49" i="181"/>
  <c r="BE49" i="181"/>
  <c r="DY49" i="181"/>
  <c r="CU49" i="181"/>
  <c r="AG49" i="181"/>
  <c r="AA49" i="181"/>
  <c r="O49" i="181"/>
  <c r="AM49" i="181"/>
  <c r="CC49" i="181"/>
  <c r="BW49" i="181"/>
  <c r="BQ49" i="181"/>
  <c r="GG87" i="181"/>
  <c r="AM87" i="181"/>
  <c r="AS87" i="181"/>
  <c r="CC87" i="181"/>
  <c r="CI87" i="181"/>
  <c r="AY87" i="181"/>
  <c r="BE87" i="181"/>
  <c r="CO87" i="181"/>
  <c r="CU87" i="181"/>
  <c r="BK87" i="181"/>
  <c r="AA87" i="181"/>
  <c r="AG87" i="181"/>
  <c r="BQ87" i="181"/>
  <c r="O87" i="181"/>
  <c r="BW87" i="181"/>
  <c r="FC87" i="181"/>
  <c r="DY87" i="181"/>
  <c r="FC201" i="181"/>
  <c r="BK201" i="181"/>
  <c r="AG201" i="181"/>
  <c r="AY201" i="181"/>
  <c r="BE201" i="181"/>
  <c r="CO201" i="181"/>
  <c r="GG201" i="181"/>
  <c r="CI201" i="181"/>
  <c r="AS201" i="181"/>
  <c r="AM201" i="181"/>
  <c r="BW201" i="181"/>
  <c r="CU201" i="181"/>
  <c r="AA201" i="181"/>
  <c r="CC201" i="181"/>
  <c r="DY201" i="181"/>
  <c r="O201" i="181"/>
  <c r="BQ201" i="181"/>
  <c r="O188" i="181"/>
  <c r="FC188" i="181"/>
  <c r="BQ188" i="181"/>
  <c r="BW188" i="181"/>
  <c r="AY188" i="181"/>
  <c r="CI188" i="181"/>
  <c r="AG188" i="181"/>
  <c r="AS188" i="181"/>
  <c r="CO188" i="181"/>
  <c r="GG188" i="181"/>
  <c r="BE188" i="181"/>
  <c r="CC188" i="181"/>
  <c r="CU188" i="181"/>
  <c r="AM188" i="181"/>
  <c r="BK188" i="181"/>
  <c r="DY188" i="181"/>
  <c r="AA188" i="181"/>
  <c r="O148" i="181"/>
  <c r="CU148" i="181"/>
  <c r="AY148" i="181"/>
  <c r="AM148" i="181"/>
  <c r="AG148" i="181"/>
  <c r="CC148" i="181"/>
  <c r="CO148" i="181"/>
  <c r="DY148" i="181"/>
  <c r="AA148" i="181"/>
  <c r="BQ148" i="181"/>
  <c r="CI148" i="181"/>
  <c r="FC148" i="181"/>
  <c r="BK148" i="181"/>
  <c r="BW148" i="181"/>
  <c r="AS148" i="181"/>
  <c r="BE148" i="181"/>
  <c r="GG148" i="181"/>
  <c r="DY83" i="181"/>
  <c r="AA83" i="181"/>
  <c r="AG83" i="181"/>
  <c r="BQ83" i="181"/>
  <c r="O83" i="181"/>
  <c r="FC83" i="181"/>
  <c r="GG83" i="181"/>
  <c r="AM83" i="181"/>
  <c r="AS83" i="181"/>
  <c r="BW83" i="181"/>
  <c r="CI83" i="181"/>
  <c r="AY83" i="181"/>
  <c r="CO83" i="181"/>
  <c r="BE83" i="181"/>
  <c r="CC83" i="181"/>
  <c r="BK83" i="181"/>
  <c r="CU83" i="181"/>
  <c r="DY51" i="181"/>
  <c r="CU51" i="181"/>
  <c r="O51" i="181"/>
  <c r="BQ51" i="181"/>
  <c r="AS51" i="181"/>
  <c r="AY51" i="181"/>
  <c r="CO51" i="181"/>
  <c r="CI51" i="181"/>
  <c r="CC51" i="181"/>
  <c r="BK51" i="181"/>
  <c r="AG51" i="181"/>
  <c r="BW51" i="181"/>
  <c r="GG51" i="181"/>
  <c r="BE51" i="181"/>
  <c r="AA51" i="181"/>
  <c r="FC51" i="181"/>
  <c r="AM51" i="181"/>
  <c r="BQ55" i="181"/>
  <c r="DY55" i="181"/>
  <c r="FC55" i="181"/>
  <c r="AG55" i="181"/>
  <c r="GG55" i="181"/>
  <c r="AM55" i="181"/>
  <c r="O55" i="181"/>
  <c r="AS55" i="181"/>
  <c r="CC55" i="181"/>
  <c r="CI55" i="181"/>
  <c r="AY55" i="181"/>
  <c r="BE55" i="181"/>
  <c r="CO55" i="181"/>
  <c r="CU55" i="181"/>
  <c r="BK55" i="181"/>
  <c r="AA55" i="181"/>
  <c r="BW55" i="181"/>
  <c r="O209" i="181"/>
  <c r="CO209" i="181"/>
  <c r="BW209" i="181"/>
  <c r="AS209" i="181"/>
  <c r="CI209" i="181"/>
  <c r="GG209" i="181"/>
  <c r="CU209" i="181"/>
  <c r="FC209" i="181"/>
  <c r="AA209" i="181"/>
  <c r="AM209" i="181"/>
  <c r="BQ209" i="181"/>
  <c r="BK209" i="181"/>
  <c r="DY209" i="181"/>
  <c r="CC209" i="181"/>
  <c r="BE209" i="181"/>
  <c r="AG209" i="181"/>
  <c r="AY209" i="181"/>
  <c r="BW59" i="180"/>
  <c r="FC59" i="180"/>
  <c r="GG59" i="180"/>
  <c r="AM59" i="180"/>
  <c r="AS59" i="180"/>
  <c r="CC59" i="180"/>
  <c r="CO59" i="180"/>
  <c r="CI59" i="180"/>
  <c r="AY59" i="180"/>
  <c r="BK59" i="180"/>
  <c r="BE59" i="180"/>
  <c r="DY59" i="180"/>
  <c r="CU59" i="180"/>
  <c r="AG59" i="180"/>
  <c r="O59" i="180"/>
  <c r="BQ59" i="180"/>
  <c r="AA59" i="180"/>
  <c r="CO118" i="180"/>
  <c r="CC118" i="180"/>
  <c r="AM118" i="180"/>
  <c r="BK118" i="180"/>
  <c r="AS118" i="180"/>
  <c r="DY118" i="180"/>
  <c r="AA118" i="180"/>
  <c r="BQ118" i="180"/>
  <c r="FC118" i="180"/>
  <c r="AY118" i="180"/>
  <c r="CI118" i="180"/>
  <c r="GG118" i="180"/>
  <c r="O118" i="180"/>
  <c r="AG118" i="180"/>
  <c r="CU118" i="180"/>
  <c r="BW118" i="180"/>
  <c r="BE118" i="180"/>
  <c r="AS174" i="180"/>
  <c r="BK174" i="180"/>
  <c r="CI174" i="180"/>
  <c r="DY174" i="180"/>
  <c r="BE174" i="180"/>
  <c r="AA174" i="180"/>
  <c r="CC174" i="180"/>
  <c r="AM174" i="180"/>
  <c r="O174" i="180"/>
  <c r="CU174" i="180"/>
  <c r="AG174" i="180"/>
  <c r="GG174" i="180"/>
  <c r="AY174" i="180"/>
  <c r="FC174" i="180"/>
  <c r="BQ174" i="180"/>
  <c r="BW174" i="180"/>
  <c r="CO174" i="180"/>
  <c r="AM164" i="180"/>
  <c r="AS164" i="180"/>
  <c r="O164" i="180"/>
  <c r="CC164" i="180"/>
  <c r="DY164" i="180"/>
  <c r="AA164" i="180"/>
  <c r="BW164" i="180"/>
  <c r="CI164" i="180"/>
  <c r="CU164" i="180"/>
  <c r="AY164" i="180"/>
  <c r="AG164" i="180"/>
  <c r="BK164" i="180"/>
  <c r="BQ164" i="180"/>
  <c r="FC164" i="180"/>
  <c r="CO164" i="180"/>
  <c r="BE164" i="180"/>
  <c r="GG164" i="180"/>
  <c r="CO69" i="180"/>
  <c r="AY69" i="180"/>
  <c r="BK69" i="180"/>
  <c r="BW69" i="180"/>
  <c r="AG69" i="180"/>
  <c r="CC69" i="180"/>
  <c r="BE69" i="180"/>
  <c r="GG69" i="180"/>
  <c r="AM69" i="180"/>
  <c r="CU69" i="180"/>
  <c r="DY69" i="180"/>
  <c r="AS69" i="180"/>
  <c r="CI69" i="180"/>
  <c r="AA69" i="180"/>
  <c r="O69" i="180"/>
  <c r="FC69" i="180"/>
  <c r="BQ69" i="180"/>
  <c r="CI188" i="180"/>
  <c r="CC188" i="180"/>
  <c r="CO188" i="180"/>
  <c r="AM188" i="180"/>
  <c r="BK188" i="180"/>
  <c r="BW188" i="180"/>
  <c r="AG188" i="180"/>
  <c r="AY188" i="180"/>
  <c r="FC188" i="180"/>
  <c r="CU188" i="180"/>
  <c r="DY188" i="180"/>
  <c r="AA188" i="180"/>
  <c r="BE188" i="180"/>
  <c r="O188" i="180"/>
  <c r="GG188" i="180"/>
  <c r="AS188" i="180"/>
  <c r="BQ188" i="180"/>
  <c r="BW48" i="180"/>
  <c r="CU48" i="180"/>
  <c r="BK48" i="180"/>
  <c r="DY48" i="180"/>
  <c r="AY48" i="180"/>
  <c r="CC48" i="180"/>
  <c r="AA48" i="180"/>
  <c r="AG48" i="180"/>
  <c r="BE48" i="180"/>
  <c r="O48" i="180"/>
  <c r="CI48" i="180"/>
  <c r="FC48" i="180"/>
  <c r="GG48" i="180"/>
  <c r="CO48" i="180"/>
  <c r="AM48" i="180"/>
  <c r="AS48" i="180"/>
  <c r="BQ48" i="180"/>
  <c r="GG108" i="180"/>
  <c r="AM108" i="180"/>
  <c r="AY108" i="180"/>
  <c r="AS108" i="180"/>
  <c r="CC108" i="180"/>
  <c r="CO108" i="180"/>
  <c r="CI108" i="180"/>
  <c r="BK108" i="180"/>
  <c r="BE108" i="180"/>
  <c r="DY108" i="180"/>
  <c r="CU108" i="180"/>
  <c r="AG108" i="180"/>
  <c r="AA108" i="180"/>
  <c r="O108" i="180"/>
  <c r="BQ108" i="180"/>
  <c r="BW108" i="180"/>
  <c r="FC108" i="180"/>
  <c r="AY113" i="180"/>
  <c r="BE113" i="180"/>
  <c r="CO113" i="180"/>
  <c r="AG113" i="180"/>
  <c r="BK113" i="180"/>
  <c r="CC113" i="180"/>
  <c r="BW113" i="180"/>
  <c r="DY113" i="180"/>
  <c r="GG113" i="180"/>
  <c r="AA113" i="180"/>
  <c r="AS113" i="180"/>
  <c r="CU113" i="180"/>
  <c r="FC113" i="180"/>
  <c r="CI113" i="180"/>
  <c r="BQ113" i="180"/>
  <c r="AM113" i="180"/>
  <c r="O113" i="180"/>
  <c r="DY204" i="180"/>
  <c r="O204" i="180"/>
  <c r="CI204" i="180"/>
  <c r="CC204" i="180"/>
  <c r="AA204" i="180"/>
  <c r="AM204" i="180"/>
  <c r="GG204" i="180"/>
  <c r="FC204" i="180"/>
  <c r="BE204" i="180"/>
  <c r="CU204" i="180"/>
  <c r="AY204" i="180"/>
  <c r="AG204" i="180"/>
  <c r="CO204" i="180"/>
  <c r="BK204" i="180"/>
  <c r="BW204" i="180"/>
  <c r="BQ204" i="180"/>
  <c r="AS204" i="180"/>
  <c r="DY173" i="180"/>
  <c r="AM173" i="180"/>
  <c r="AA173" i="180"/>
  <c r="GG173" i="180"/>
  <c r="BE173" i="180"/>
  <c r="CO173" i="180"/>
  <c r="CC173" i="180"/>
  <c r="CI173" i="180"/>
  <c r="BK173" i="180"/>
  <c r="BQ173" i="180"/>
  <c r="FC173" i="180"/>
  <c r="CU173" i="180"/>
  <c r="O173" i="180"/>
  <c r="AY173" i="180"/>
  <c r="AS173" i="180"/>
  <c r="AG173" i="180"/>
  <c r="BW173" i="180"/>
  <c r="O214" i="180"/>
  <c r="CI214" i="180"/>
  <c r="CU214" i="180"/>
  <c r="BW214" i="180"/>
  <c r="BE214" i="180"/>
  <c r="FC214" i="180"/>
  <c r="GG214" i="180"/>
  <c r="CC214" i="180"/>
  <c r="AS214" i="180"/>
  <c r="BK214" i="180"/>
  <c r="AM214" i="180"/>
  <c r="DY214" i="180"/>
  <c r="AY214" i="180"/>
  <c r="AA214" i="180"/>
  <c r="CO214" i="180"/>
  <c r="AG214" i="180"/>
  <c r="BQ214" i="180"/>
  <c r="FC68" i="180"/>
  <c r="AG68" i="180"/>
  <c r="CI68" i="180"/>
  <c r="GG68" i="180"/>
  <c r="O68" i="180"/>
  <c r="AM68" i="180"/>
  <c r="CO68" i="180"/>
  <c r="BQ68" i="180"/>
  <c r="AS68" i="180"/>
  <c r="CU68" i="180"/>
  <c r="BW68" i="180"/>
  <c r="AY68" i="180"/>
  <c r="DY68" i="180"/>
  <c r="BK68" i="180"/>
  <c r="BE68" i="180"/>
  <c r="CC68" i="180"/>
  <c r="AA68" i="180"/>
  <c r="FC142" i="180"/>
  <c r="DY142" i="180"/>
  <c r="AG142" i="180"/>
  <c r="CO142" i="180"/>
  <c r="BK142" i="180"/>
  <c r="BE142" i="180"/>
  <c r="BW142" i="180"/>
  <c r="CI142" i="180"/>
  <c r="AS142" i="180"/>
  <c r="CU142" i="180"/>
  <c r="AM142" i="180"/>
  <c r="AY142" i="180"/>
  <c r="BQ142" i="180"/>
  <c r="GG142" i="180"/>
  <c r="AA142" i="180"/>
  <c r="O142" i="180"/>
  <c r="CC142" i="180"/>
  <c r="O167" i="180"/>
  <c r="BK167" i="180"/>
  <c r="BE167" i="180"/>
  <c r="BW167" i="180"/>
  <c r="CO167" i="180"/>
  <c r="CU167" i="180"/>
  <c r="GG167" i="180"/>
  <c r="AA167" i="180"/>
  <c r="AS167" i="180"/>
  <c r="AM167" i="180"/>
  <c r="BQ167" i="180"/>
  <c r="DY167" i="180"/>
  <c r="CI167" i="180"/>
  <c r="FC167" i="180"/>
  <c r="AG167" i="180"/>
  <c r="AY167" i="180"/>
  <c r="CC167" i="180"/>
  <c r="AY196" i="180"/>
  <c r="BE196" i="180"/>
  <c r="DY196" i="180"/>
  <c r="CO196" i="180"/>
  <c r="CI196" i="180"/>
  <c r="FC196" i="180"/>
  <c r="CC196" i="180"/>
  <c r="BQ196" i="180"/>
  <c r="GG196" i="180"/>
  <c r="AS196" i="180"/>
  <c r="AM196" i="180"/>
  <c r="O196" i="180"/>
  <c r="CU196" i="180"/>
  <c r="AA196" i="180"/>
  <c r="BW196" i="180"/>
  <c r="AG196" i="180"/>
  <c r="BK196" i="180"/>
  <c r="BQ66" i="180"/>
  <c r="AG66" i="180"/>
  <c r="FC66" i="180"/>
  <c r="O66" i="180"/>
  <c r="AM66" i="180"/>
  <c r="BW66" i="180"/>
  <c r="CC66" i="180"/>
  <c r="GG66" i="180"/>
  <c r="CO66" i="180"/>
  <c r="CI66" i="180"/>
  <c r="CU66" i="180"/>
  <c r="BK66" i="180"/>
  <c r="BE66" i="180"/>
  <c r="AA66" i="180"/>
  <c r="AY66" i="180"/>
  <c r="DY66" i="180"/>
  <c r="AS66" i="180"/>
  <c r="BW206" i="180"/>
  <c r="CU206" i="180"/>
  <c r="CC206" i="180"/>
  <c r="CI206" i="180"/>
  <c r="CO206" i="180"/>
  <c r="AY206" i="180"/>
  <c r="FC206" i="180"/>
  <c r="BQ206" i="180"/>
  <c r="AG206" i="180"/>
  <c r="DY206" i="180"/>
  <c r="AA206" i="180"/>
  <c r="AM206" i="180"/>
  <c r="GG206" i="180"/>
  <c r="BE206" i="180"/>
  <c r="AS206" i="180"/>
  <c r="O206" i="180"/>
  <c r="BK206" i="180"/>
  <c r="AA141" i="180"/>
  <c r="CU141" i="180"/>
  <c r="CI141" i="180"/>
  <c r="GG141" i="180"/>
  <c r="BK141" i="180"/>
  <c r="CC141" i="180"/>
  <c r="AY141" i="180"/>
  <c r="CO141" i="180"/>
  <c r="FC141" i="180"/>
  <c r="BW141" i="180"/>
  <c r="AG141" i="180"/>
  <c r="AS141" i="180"/>
  <c r="O141" i="180"/>
  <c r="DY141" i="180"/>
  <c r="AM141" i="180"/>
  <c r="BQ141" i="180"/>
  <c r="BE141" i="180"/>
  <c r="CO76" i="180"/>
  <c r="DY76" i="180"/>
  <c r="CI76" i="180"/>
  <c r="AG76" i="180"/>
  <c r="BE76" i="180"/>
  <c r="AY76" i="180"/>
  <c r="CU76" i="180"/>
  <c r="BW76" i="180"/>
  <c r="FC76" i="180"/>
  <c r="GG76" i="180"/>
  <c r="O76" i="180"/>
  <c r="BK76" i="180"/>
  <c r="AM76" i="180"/>
  <c r="BQ76" i="180"/>
  <c r="AA76" i="180"/>
  <c r="CC76" i="180"/>
  <c r="AS76" i="180"/>
  <c r="BW79" i="180"/>
  <c r="FC79" i="180"/>
  <c r="GG79" i="180"/>
  <c r="AM79" i="180"/>
  <c r="AY79" i="180"/>
  <c r="AS79" i="180"/>
  <c r="CC79" i="180"/>
  <c r="CO79" i="180"/>
  <c r="CI79" i="180"/>
  <c r="BK79" i="180"/>
  <c r="BE79" i="180"/>
  <c r="DY79" i="180"/>
  <c r="CU79" i="180"/>
  <c r="AG79" i="180"/>
  <c r="AA79" i="180"/>
  <c r="BQ79" i="180"/>
  <c r="O79" i="180"/>
  <c r="AY142" i="179"/>
  <c r="AA142" i="179"/>
  <c r="AG142" i="179"/>
  <c r="O142" i="179"/>
  <c r="CI142" i="179"/>
  <c r="CC142" i="179"/>
  <c r="AM142" i="179"/>
  <c r="CO142" i="179"/>
  <c r="BW142" i="179"/>
  <c r="CU142" i="179"/>
  <c r="FC142" i="179"/>
  <c r="GG142" i="179"/>
  <c r="AS142" i="179"/>
  <c r="BQ142" i="179"/>
  <c r="BK142" i="179"/>
  <c r="BE142" i="179"/>
  <c r="DY142" i="179"/>
  <c r="AA118" i="179"/>
  <c r="BE118" i="179"/>
  <c r="BQ118" i="179"/>
  <c r="FC118" i="179"/>
  <c r="AY118" i="179"/>
  <c r="CC118" i="179"/>
  <c r="CO118" i="179"/>
  <c r="DY118" i="179"/>
  <c r="GG118" i="179"/>
  <c r="BW118" i="179"/>
  <c r="O118" i="179"/>
  <c r="AS118" i="179"/>
  <c r="AM118" i="179"/>
  <c r="CI118" i="179"/>
  <c r="BK118" i="179"/>
  <c r="CU118" i="179"/>
  <c r="AG118" i="179"/>
  <c r="FC115" i="179"/>
  <c r="AA115" i="179"/>
  <c r="AG115" i="179"/>
  <c r="CI115" i="179"/>
  <c r="O115" i="179"/>
  <c r="BQ115" i="179"/>
  <c r="CO115" i="179"/>
  <c r="AM115" i="179"/>
  <c r="CU115" i="179"/>
  <c r="AS115" i="179"/>
  <c r="AY115" i="179"/>
  <c r="DY115" i="179"/>
  <c r="BW115" i="179"/>
  <c r="BE115" i="179"/>
  <c r="GG115" i="179"/>
  <c r="BK115" i="179"/>
  <c r="CC115" i="179"/>
  <c r="BK78" i="179"/>
  <c r="BE78" i="179"/>
  <c r="DY78" i="179"/>
  <c r="CU78" i="179"/>
  <c r="AG78" i="179"/>
  <c r="BQ78" i="179"/>
  <c r="FC78" i="179"/>
  <c r="O78" i="179"/>
  <c r="AA78" i="179"/>
  <c r="CC78" i="179"/>
  <c r="GG78" i="179"/>
  <c r="AY78" i="179"/>
  <c r="AS78" i="179"/>
  <c r="AM78" i="179"/>
  <c r="CO78" i="179"/>
  <c r="BW78" i="179"/>
  <c r="CI78" i="179"/>
  <c r="AM131" i="179"/>
  <c r="CC131" i="179"/>
  <c r="CO131" i="179"/>
  <c r="GG131" i="179"/>
  <c r="BE131" i="179"/>
  <c r="AS131" i="179"/>
  <c r="AY131" i="179"/>
  <c r="BK131" i="179"/>
  <c r="FC131" i="179"/>
  <c r="DY131" i="179"/>
  <c r="BQ131" i="179"/>
  <c r="AG131" i="179"/>
  <c r="CU131" i="179"/>
  <c r="O131" i="179"/>
  <c r="AA131" i="179"/>
  <c r="BW131" i="179"/>
  <c r="CI131" i="179"/>
  <c r="FC94" i="179"/>
  <c r="CO94" i="179"/>
  <c r="AM94" i="179"/>
  <c r="AA94" i="179"/>
  <c r="CC94" i="179"/>
  <c r="AS94" i="179"/>
  <c r="CU94" i="179"/>
  <c r="O94" i="179"/>
  <c r="BW94" i="179"/>
  <c r="CI94" i="179"/>
  <c r="BE94" i="179"/>
  <c r="AY94" i="179"/>
  <c r="BK94" i="179"/>
  <c r="BQ94" i="179"/>
  <c r="AG94" i="179"/>
  <c r="GG94" i="179"/>
  <c r="DY94" i="179"/>
  <c r="DY155" i="179"/>
  <c r="AS155" i="179"/>
  <c r="CC155" i="179"/>
  <c r="AG155" i="179"/>
  <c r="O155" i="179"/>
  <c r="FC155" i="179"/>
  <c r="CU155" i="179"/>
  <c r="BK155" i="179"/>
  <c r="AY155" i="179"/>
  <c r="CI155" i="179"/>
  <c r="BW155" i="179"/>
  <c r="GG155" i="179"/>
  <c r="AA155" i="179"/>
  <c r="AM155" i="179"/>
  <c r="CO155" i="179"/>
  <c r="BQ155" i="179"/>
  <c r="BE155" i="179"/>
  <c r="BQ99" i="179"/>
  <c r="AG99" i="179"/>
  <c r="FC99" i="179"/>
  <c r="O99" i="179"/>
  <c r="AM99" i="179"/>
  <c r="BW99" i="179"/>
  <c r="CC99" i="179"/>
  <c r="AS99" i="179"/>
  <c r="AY99" i="179"/>
  <c r="GG99" i="179"/>
  <c r="BE99" i="179"/>
  <c r="CO99" i="179"/>
  <c r="CI99" i="179"/>
  <c r="CU99" i="179"/>
  <c r="BK99" i="179"/>
  <c r="AA99" i="179"/>
  <c r="DY99" i="179"/>
  <c r="CO70" i="179"/>
  <c r="GG70" i="179"/>
  <c r="AG70" i="179"/>
  <c r="CU70" i="179"/>
  <c r="AY70" i="179"/>
  <c r="BE70" i="179"/>
  <c r="DY70" i="179"/>
  <c r="O70" i="179"/>
  <c r="BK70" i="179"/>
  <c r="CI70" i="179"/>
  <c r="BW70" i="179"/>
  <c r="BQ70" i="179"/>
  <c r="AS70" i="179"/>
  <c r="FC70" i="179"/>
  <c r="AA70" i="179"/>
  <c r="AM70" i="179"/>
  <c r="CC70" i="179"/>
  <c r="FC180" i="179"/>
  <c r="AA180" i="179"/>
  <c r="AG180" i="179"/>
  <c r="BW180" i="179"/>
  <c r="DY180" i="179"/>
  <c r="O180" i="179"/>
  <c r="CC180" i="179"/>
  <c r="AM180" i="179"/>
  <c r="CO180" i="179"/>
  <c r="AY180" i="179"/>
  <c r="GG180" i="179"/>
  <c r="CI180" i="179"/>
  <c r="CU180" i="179"/>
  <c r="BE180" i="179"/>
  <c r="BQ180" i="179"/>
  <c r="BK180" i="179"/>
  <c r="AS180" i="179"/>
  <c r="CO110" i="179"/>
  <c r="AM110" i="179"/>
  <c r="BQ110" i="179"/>
  <c r="BK110" i="179"/>
  <c r="GG110" i="179"/>
  <c r="CU110" i="179"/>
  <c r="AS110" i="179"/>
  <c r="AY110" i="179"/>
  <c r="DY110" i="179"/>
  <c r="CC110" i="179"/>
  <c r="AA110" i="179"/>
  <c r="O110" i="179"/>
  <c r="CI110" i="179"/>
  <c r="FC110" i="179"/>
  <c r="AG110" i="179"/>
  <c r="BW110" i="179"/>
  <c r="BE110" i="179"/>
  <c r="CU47" i="179"/>
  <c r="GG47" i="179"/>
  <c r="CO47" i="179"/>
  <c r="AA47" i="179"/>
  <c r="CC47" i="179"/>
  <c r="BQ47" i="179"/>
  <c r="BK47" i="179"/>
  <c r="DY47" i="179"/>
  <c r="AS47" i="179"/>
  <c r="O47" i="179"/>
  <c r="FC47" i="179"/>
  <c r="CI47" i="179"/>
  <c r="BW47" i="179"/>
  <c r="AY47" i="179"/>
  <c r="AM47" i="179"/>
  <c r="AG47" i="179"/>
  <c r="BE47" i="179"/>
  <c r="BK80" i="179"/>
  <c r="BE80" i="179"/>
  <c r="DY80" i="179"/>
  <c r="CU80" i="179"/>
  <c r="AG80" i="179"/>
  <c r="AA80" i="179"/>
  <c r="O80" i="179"/>
  <c r="BQ80" i="179"/>
  <c r="GG80" i="179"/>
  <c r="AM80" i="179"/>
  <c r="AY80" i="179"/>
  <c r="AS80" i="179"/>
  <c r="CC80" i="179"/>
  <c r="CI80" i="179"/>
  <c r="FC80" i="179"/>
  <c r="CO80" i="179"/>
  <c r="BW80" i="179"/>
  <c r="BW149" i="179"/>
  <c r="DY149" i="179"/>
  <c r="CI149" i="179"/>
  <c r="GG149" i="179"/>
  <c r="AY149" i="179"/>
  <c r="AS149" i="179"/>
  <c r="CU149" i="179"/>
  <c r="CC149" i="179"/>
  <c r="BQ149" i="179"/>
  <c r="AA149" i="179"/>
  <c r="CO149" i="179"/>
  <c r="FC149" i="179"/>
  <c r="AM149" i="179"/>
  <c r="BK149" i="179"/>
  <c r="BE149" i="179"/>
  <c r="O149" i="179"/>
  <c r="AG149" i="179"/>
  <c r="DY65" i="179"/>
  <c r="FC65" i="179"/>
  <c r="AA65" i="179"/>
  <c r="CO65" i="179"/>
  <c r="CC65" i="179"/>
  <c r="AY65" i="179"/>
  <c r="BQ65" i="179"/>
  <c r="BK65" i="179"/>
  <c r="AG65" i="179"/>
  <c r="GG65" i="179"/>
  <c r="AM65" i="179"/>
  <c r="AS65" i="179"/>
  <c r="BE65" i="179"/>
  <c r="BW65" i="179"/>
  <c r="CI65" i="179"/>
  <c r="CU65" i="179"/>
  <c r="O65" i="179"/>
  <c r="BK130" i="179"/>
  <c r="BQ130" i="179"/>
  <c r="DY130" i="179"/>
  <c r="AA130" i="179"/>
  <c r="AG130" i="179"/>
  <c r="GG130" i="179"/>
  <c r="O130" i="179"/>
  <c r="FC130" i="179"/>
  <c r="CC130" i="179"/>
  <c r="AM130" i="179"/>
  <c r="CI130" i="179"/>
  <c r="BW130" i="179"/>
  <c r="BE130" i="179"/>
  <c r="CO130" i="179"/>
  <c r="CU130" i="179"/>
  <c r="AY130" i="179"/>
  <c r="AS130" i="179"/>
  <c r="AS145" i="179"/>
  <c r="O145" i="179"/>
  <c r="CC145" i="179"/>
  <c r="GG145" i="179"/>
  <c r="BK145" i="179"/>
  <c r="CI145" i="179"/>
  <c r="CU145" i="179"/>
  <c r="AA145" i="179"/>
  <c r="CO145" i="179"/>
  <c r="AY145" i="179"/>
  <c r="BE145" i="179"/>
  <c r="AG145" i="179"/>
  <c r="AM145" i="179"/>
  <c r="BQ145" i="179"/>
  <c r="DY145" i="179"/>
  <c r="BW145" i="179"/>
  <c r="FC145" i="179"/>
  <c r="FC93" i="179"/>
  <c r="AG93" i="179"/>
  <c r="AM93" i="179"/>
  <c r="DY93" i="179"/>
  <c r="GG93" i="179"/>
  <c r="CI93" i="179"/>
  <c r="CO93" i="179"/>
  <c r="CC93" i="179"/>
  <c r="CU93" i="179"/>
  <c r="BE93" i="179"/>
  <c r="AS93" i="179"/>
  <c r="AA93" i="179"/>
  <c r="O93" i="179"/>
  <c r="BQ93" i="179"/>
  <c r="BW93" i="179"/>
  <c r="AY93" i="179"/>
  <c r="BK93" i="179"/>
  <c r="DY190" i="179"/>
  <c r="BE190" i="179"/>
  <c r="CO190" i="179"/>
  <c r="AG190" i="179"/>
  <c r="CU190" i="179"/>
  <c r="O190" i="179"/>
  <c r="GG190" i="179"/>
  <c r="BW190" i="179"/>
  <c r="AS190" i="179"/>
  <c r="FC190" i="179"/>
  <c r="BQ190" i="179"/>
  <c r="AM190" i="179"/>
  <c r="AA190" i="179"/>
  <c r="CC190" i="179"/>
  <c r="BK190" i="179"/>
  <c r="CI190" i="179"/>
  <c r="AY190" i="179"/>
  <c r="GG178" i="179"/>
  <c r="CO178" i="179"/>
  <c r="AS178" i="179"/>
  <c r="BQ178" i="179"/>
  <c r="CU178" i="179"/>
  <c r="AG178" i="179"/>
  <c r="BK178" i="179"/>
  <c r="DY178" i="179"/>
  <c r="AM178" i="179"/>
  <c r="CI178" i="179"/>
  <c r="O178" i="179"/>
  <c r="CC178" i="179"/>
  <c r="AY178" i="179"/>
  <c r="BE178" i="179"/>
  <c r="BW178" i="179"/>
  <c r="AA178" i="179"/>
  <c r="FC178" i="179"/>
  <c r="CU92" i="179"/>
  <c r="AY92" i="179"/>
  <c r="AA92" i="179"/>
  <c r="O92" i="179"/>
  <c r="CO92" i="179"/>
  <c r="GG92" i="179"/>
  <c r="BW92" i="179"/>
  <c r="CC92" i="179"/>
  <c r="DY92" i="179"/>
  <c r="BK92" i="179"/>
  <c r="CI92" i="179"/>
  <c r="FC92" i="179"/>
  <c r="AS92" i="179"/>
  <c r="BE92" i="179"/>
  <c r="AM92" i="179"/>
  <c r="BQ92" i="179"/>
  <c r="AG92" i="179"/>
  <c r="AS149" i="183"/>
  <c r="O149" i="183"/>
  <c r="CI149" i="183"/>
  <c r="CU149" i="183"/>
  <c r="AY149" i="183"/>
  <c r="BE149" i="183"/>
  <c r="CO149" i="183"/>
  <c r="CC149" i="183"/>
  <c r="BK149" i="183"/>
  <c r="BQ149" i="183"/>
  <c r="AM149" i="183"/>
  <c r="FC149" i="183"/>
  <c r="GG149" i="183"/>
  <c r="DY149" i="183"/>
  <c r="AA149" i="183"/>
  <c r="BW149" i="183"/>
  <c r="AG149" i="183"/>
  <c r="CC147" i="183"/>
  <c r="CI147" i="183"/>
  <c r="BK147" i="183"/>
  <c r="AY147" i="183"/>
  <c r="GG147" i="183"/>
  <c r="DY147" i="183"/>
  <c r="AS147" i="183"/>
  <c r="AG147" i="183"/>
  <c r="BE147" i="183"/>
  <c r="O147" i="183"/>
  <c r="AA147" i="183"/>
  <c r="BW147" i="183"/>
  <c r="CU147" i="183"/>
  <c r="FC147" i="183"/>
  <c r="BQ147" i="183"/>
  <c r="AM147" i="183"/>
  <c r="CO147" i="183"/>
  <c r="CO121" i="183"/>
  <c r="FC121" i="183"/>
  <c r="BE121" i="183"/>
  <c r="AS121" i="183"/>
  <c r="CU121" i="183"/>
  <c r="AM121" i="183"/>
  <c r="AA121" i="183"/>
  <c r="CI121" i="183"/>
  <c r="AG121" i="183"/>
  <c r="BW121" i="183"/>
  <c r="AY121" i="183"/>
  <c r="BK121" i="183"/>
  <c r="BQ121" i="183"/>
  <c r="O121" i="183"/>
  <c r="CC121" i="183"/>
  <c r="GG121" i="183"/>
  <c r="DY121" i="183"/>
  <c r="BW117" i="183"/>
  <c r="CC117" i="183"/>
  <c r="AG117" i="183"/>
  <c r="O117" i="183"/>
  <c r="GG117" i="183"/>
  <c r="AS117" i="183"/>
  <c r="AY117" i="183"/>
  <c r="CI117" i="183"/>
  <c r="BE117" i="183"/>
  <c r="CO117" i="183"/>
  <c r="FC117" i="183"/>
  <c r="CU117" i="183"/>
  <c r="BK117" i="183"/>
  <c r="AA117" i="183"/>
  <c r="AM117" i="183"/>
  <c r="BQ117" i="183"/>
  <c r="DY117" i="183"/>
  <c r="CU126" i="183"/>
  <c r="AM126" i="183"/>
  <c r="AA126" i="183"/>
  <c r="CC126" i="183"/>
  <c r="BK126" i="183"/>
  <c r="AY126" i="183"/>
  <c r="DY126" i="183"/>
  <c r="FC126" i="183"/>
  <c r="AG126" i="183"/>
  <c r="AS126" i="183"/>
  <c r="O126" i="183"/>
  <c r="CO126" i="183"/>
  <c r="BE126" i="183"/>
  <c r="BQ126" i="183"/>
  <c r="CI126" i="183"/>
  <c r="BW126" i="183"/>
  <c r="GG126" i="183"/>
  <c r="AA55" i="183"/>
  <c r="DY55" i="183"/>
  <c r="BQ55" i="183"/>
  <c r="AG55" i="183"/>
  <c r="BW55" i="183"/>
  <c r="FC55" i="183"/>
  <c r="O55" i="183"/>
  <c r="GG55" i="183"/>
  <c r="AM55" i="183"/>
  <c r="AS55" i="183"/>
  <c r="CC55" i="183"/>
  <c r="CI55" i="183"/>
  <c r="AY55" i="183"/>
  <c r="CU55" i="183"/>
  <c r="BK55" i="183"/>
  <c r="CO55" i="183"/>
  <c r="BE55" i="183"/>
  <c r="O179" i="183"/>
  <c r="BW179" i="183"/>
  <c r="BQ179" i="183"/>
  <c r="AS179" i="183"/>
  <c r="FC179" i="183"/>
  <c r="BE179" i="183"/>
  <c r="AM179" i="183"/>
  <c r="AA179" i="183"/>
  <c r="CO179" i="183"/>
  <c r="CC179" i="183"/>
  <c r="CI179" i="183"/>
  <c r="BK179" i="183"/>
  <c r="CU179" i="183"/>
  <c r="AG179" i="183"/>
  <c r="AY179" i="183"/>
  <c r="DY179" i="183"/>
  <c r="GG179" i="183"/>
  <c r="GG156" i="183"/>
  <c r="AG156" i="183"/>
  <c r="AS156" i="183"/>
  <c r="CO156" i="183"/>
  <c r="CI156" i="183"/>
  <c r="O156" i="183"/>
  <c r="BE156" i="183"/>
  <c r="AY156" i="183"/>
  <c r="BQ156" i="183"/>
  <c r="CU156" i="183"/>
  <c r="BK156" i="183"/>
  <c r="FC156" i="183"/>
  <c r="BW156" i="183"/>
  <c r="AM156" i="183"/>
  <c r="AA156" i="183"/>
  <c r="CC156" i="183"/>
  <c r="DY156" i="183"/>
  <c r="BQ144" i="183"/>
  <c r="AS144" i="183"/>
  <c r="DY144" i="183"/>
  <c r="BW144" i="183"/>
  <c r="CC144" i="183"/>
  <c r="AG144" i="183"/>
  <c r="O144" i="183"/>
  <c r="AY144" i="183"/>
  <c r="BK144" i="183"/>
  <c r="CO144" i="183"/>
  <c r="FC144" i="183"/>
  <c r="BE144" i="183"/>
  <c r="CI144" i="183"/>
  <c r="AA144" i="183"/>
  <c r="GG144" i="183"/>
  <c r="CU144" i="183"/>
  <c r="AM144" i="183"/>
  <c r="AY210" i="183"/>
  <c r="DY210" i="183"/>
  <c r="CC210" i="183"/>
  <c r="AA210" i="183"/>
  <c r="GG210" i="183"/>
  <c r="AM210" i="183"/>
  <c r="CI210" i="183"/>
  <c r="FC210" i="183"/>
  <c r="BW210" i="183"/>
  <c r="BK210" i="183"/>
  <c r="BE210" i="183"/>
  <c r="CO210" i="183"/>
  <c r="AG210" i="183"/>
  <c r="AS210" i="183"/>
  <c r="BQ210" i="183"/>
  <c r="CU210" i="183"/>
  <c r="O210" i="183"/>
  <c r="AS80" i="183"/>
  <c r="CC80" i="183"/>
  <c r="CI80" i="183"/>
  <c r="AY80" i="183"/>
  <c r="BE80" i="183"/>
  <c r="CO80" i="183"/>
  <c r="DY80" i="183"/>
  <c r="CU80" i="183"/>
  <c r="BK80" i="183"/>
  <c r="AG80" i="183"/>
  <c r="AA80" i="183"/>
  <c r="O80" i="183"/>
  <c r="BQ80" i="183"/>
  <c r="BW80" i="183"/>
  <c r="FC80" i="183"/>
  <c r="GG80" i="183"/>
  <c r="AM80" i="183"/>
  <c r="FC168" i="183"/>
  <c r="GG168" i="183"/>
  <c r="BQ168" i="183"/>
  <c r="AM168" i="183"/>
  <c r="BE168" i="183"/>
  <c r="CC168" i="183"/>
  <c r="CU168" i="183"/>
  <c r="AY168" i="183"/>
  <c r="AA168" i="183"/>
  <c r="DY168" i="183"/>
  <c r="AS168" i="183"/>
  <c r="AG168" i="183"/>
  <c r="BW168" i="183"/>
  <c r="O168" i="183"/>
  <c r="BK168" i="183"/>
  <c r="CI168" i="183"/>
  <c r="CO168" i="183"/>
  <c r="CO78" i="183"/>
  <c r="CI78" i="183"/>
  <c r="AY78" i="183"/>
  <c r="BK78" i="183"/>
  <c r="BE78" i="183"/>
  <c r="DY78" i="183"/>
  <c r="CU78" i="183"/>
  <c r="AG78" i="183"/>
  <c r="AA78" i="183"/>
  <c r="O78" i="183"/>
  <c r="BQ78" i="183"/>
  <c r="BW78" i="183"/>
  <c r="FC78" i="183"/>
  <c r="GG78" i="183"/>
  <c r="AM78" i="183"/>
  <c r="AS78" i="183"/>
  <c r="CC78" i="183"/>
  <c r="O104" i="183"/>
  <c r="AA104" i="183"/>
  <c r="FC104" i="183"/>
  <c r="BE104" i="183"/>
  <c r="AG104" i="183"/>
  <c r="CI104" i="183"/>
  <c r="BQ104" i="183"/>
  <c r="BK104" i="183"/>
  <c r="AM104" i="183"/>
  <c r="CU104" i="183"/>
  <c r="AS104" i="183"/>
  <c r="AY104" i="183"/>
  <c r="BW104" i="183"/>
  <c r="CC104" i="183"/>
  <c r="DY104" i="183"/>
  <c r="GG104" i="183"/>
  <c r="CO104" i="183"/>
  <c r="BQ205" i="183"/>
  <c r="AM205" i="183"/>
  <c r="CO205" i="183"/>
  <c r="DY205" i="183"/>
  <c r="BW205" i="183"/>
  <c r="AS205" i="183"/>
  <c r="BE205" i="183"/>
  <c r="FC205" i="183"/>
  <c r="AY205" i="183"/>
  <c r="CC205" i="183"/>
  <c r="AG205" i="183"/>
  <c r="CU205" i="183"/>
  <c r="CI205" i="183"/>
  <c r="GG205" i="183"/>
  <c r="O205" i="183"/>
  <c r="BK205" i="183"/>
  <c r="AA205" i="183"/>
  <c r="BQ86" i="183"/>
  <c r="GG86" i="183"/>
  <c r="FC86" i="183"/>
  <c r="AS86" i="183"/>
  <c r="AM86" i="183"/>
  <c r="AG86" i="183"/>
  <c r="CC86" i="183"/>
  <c r="DY86" i="183"/>
  <c r="AY86" i="183"/>
  <c r="O86" i="183"/>
  <c r="CI86" i="183"/>
  <c r="CO86" i="183"/>
  <c r="BE86" i="183"/>
  <c r="AA86" i="183"/>
  <c r="BW86" i="183"/>
  <c r="CU86" i="183"/>
  <c r="BK86" i="183"/>
  <c r="CU109" i="183"/>
  <c r="DY109" i="183"/>
  <c r="BE109" i="183"/>
  <c r="AY109" i="183"/>
  <c r="AG109" i="183"/>
  <c r="BQ109" i="183"/>
  <c r="AS109" i="183"/>
  <c r="AA109" i="183"/>
  <c r="FC109" i="183"/>
  <c r="CO109" i="183"/>
  <c r="BW109" i="183"/>
  <c r="GG109" i="183"/>
  <c r="BK109" i="183"/>
  <c r="CI109" i="183"/>
  <c r="CC109" i="183"/>
  <c r="AM109" i="183"/>
  <c r="O109" i="183"/>
  <c r="CU81" i="183"/>
  <c r="BK81" i="183"/>
  <c r="AA81" i="183"/>
  <c r="DY81" i="183"/>
  <c r="BQ81" i="183"/>
  <c r="AG81" i="183"/>
  <c r="BW81" i="183"/>
  <c r="FC81" i="183"/>
  <c r="O81" i="183"/>
  <c r="GG81" i="183"/>
  <c r="AM81" i="183"/>
  <c r="AS81" i="183"/>
  <c r="CC81" i="183"/>
  <c r="BE81" i="183"/>
  <c r="CO81" i="183"/>
  <c r="CI81" i="183"/>
  <c r="AY81" i="183"/>
  <c r="CI101" i="183"/>
  <c r="AY101" i="183"/>
  <c r="BE101" i="183"/>
  <c r="CO101" i="183"/>
  <c r="CU101" i="183"/>
  <c r="BK101" i="183"/>
  <c r="AA101" i="183"/>
  <c r="AS101" i="183"/>
  <c r="BQ101" i="183"/>
  <c r="AG101" i="183"/>
  <c r="FC101" i="183"/>
  <c r="GG101" i="183"/>
  <c r="BW101" i="183"/>
  <c r="CC101" i="183"/>
  <c r="O101" i="183"/>
  <c r="AM101" i="183"/>
  <c r="DY101" i="183"/>
  <c r="AM163" i="183"/>
  <c r="AY163" i="183"/>
  <c r="CO163" i="183"/>
  <c r="CC163" i="183"/>
  <c r="BK163" i="183"/>
  <c r="CU163" i="183"/>
  <c r="GG163" i="183"/>
  <c r="AS163" i="183"/>
  <c r="CI163" i="183"/>
  <c r="O163" i="183"/>
  <c r="AG163" i="183"/>
  <c r="BW163" i="183"/>
  <c r="BQ163" i="183"/>
  <c r="AA163" i="183"/>
  <c r="BE163" i="183"/>
  <c r="FC163" i="183"/>
  <c r="DY163" i="183"/>
  <c r="CU118" i="183"/>
  <c r="CI118" i="183"/>
  <c r="AY118" i="183"/>
  <c r="AA118" i="183"/>
  <c r="BK118" i="183"/>
  <c r="BQ118" i="183"/>
  <c r="CC118" i="183"/>
  <c r="FC118" i="183"/>
  <c r="BE118" i="183"/>
  <c r="AM118" i="183"/>
  <c r="AG118" i="183"/>
  <c r="BW118" i="183"/>
  <c r="CO118" i="183"/>
  <c r="GG118" i="183"/>
  <c r="O118" i="183"/>
  <c r="AS118" i="183"/>
  <c r="DY118" i="183"/>
  <c r="DY158" i="182"/>
  <c r="FC158" i="182"/>
  <c r="GG158" i="182"/>
  <c r="AG158" i="182"/>
  <c r="AM158" i="182"/>
  <c r="AY158" i="182"/>
  <c r="BW158" i="182"/>
  <c r="O158" i="182"/>
  <c r="CO158" i="182"/>
  <c r="CI158" i="182"/>
  <c r="CC158" i="182"/>
  <c r="CU158" i="182"/>
  <c r="BK158" i="182"/>
  <c r="AA158" i="182"/>
  <c r="BE158" i="182"/>
  <c r="BQ158" i="182"/>
  <c r="AS158" i="182"/>
  <c r="GG207" i="182"/>
  <c r="O207" i="182"/>
  <c r="DY207" i="182"/>
  <c r="AS207" i="182"/>
  <c r="BW207" i="182"/>
  <c r="CI207" i="182"/>
  <c r="CU207" i="182"/>
  <c r="AY207" i="182"/>
  <c r="AA207" i="182"/>
  <c r="CO207" i="182"/>
  <c r="FC207" i="182"/>
  <c r="BQ207" i="182"/>
  <c r="AG207" i="182"/>
  <c r="CC207" i="182"/>
  <c r="BK207" i="182"/>
  <c r="BE207" i="182"/>
  <c r="AM207" i="182"/>
  <c r="CO112" i="182"/>
  <c r="CI112" i="182"/>
  <c r="BK112" i="182"/>
  <c r="BE112" i="182"/>
  <c r="DY112" i="182"/>
  <c r="BQ112" i="182"/>
  <c r="FC112" i="182"/>
  <c r="O112" i="182"/>
  <c r="AA112" i="182"/>
  <c r="AM112" i="182"/>
  <c r="AY112" i="182"/>
  <c r="GG112" i="182"/>
  <c r="CC112" i="182"/>
  <c r="AG112" i="182"/>
  <c r="BW112" i="182"/>
  <c r="AS112" i="182"/>
  <c r="CU112" i="182"/>
  <c r="CC177" i="182"/>
  <c r="AM177" i="182"/>
  <c r="FC177" i="182"/>
  <c r="GG177" i="182"/>
  <c r="BK177" i="182"/>
  <c r="BE177" i="182"/>
  <c r="DY177" i="182"/>
  <c r="CO177" i="182"/>
  <c r="BW177" i="182"/>
  <c r="AG177" i="182"/>
  <c r="AS177" i="182"/>
  <c r="O177" i="182"/>
  <c r="AA177" i="182"/>
  <c r="BQ177" i="182"/>
  <c r="CI177" i="182"/>
  <c r="CU177" i="182"/>
  <c r="AY177" i="182"/>
  <c r="AY74" i="182"/>
  <c r="AS74" i="182"/>
  <c r="CO74" i="182"/>
  <c r="CI74" i="182"/>
  <c r="BK74" i="182"/>
  <c r="AM74" i="182"/>
  <c r="DY74" i="182"/>
  <c r="AA74" i="182"/>
  <c r="AG74" i="182"/>
  <c r="BQ74" i="182"/>
  <c r="O74" i="182"/>
  <c r="FC74" i="182"/>
  <c r="BW74" i="182"/>
  <c r="BE74" i="182"/>
  <c r="CC74" i="182"/>
  <c r="GG74" i="182"/>
  <c r="CU74" i="182"/>
  <c r="CU47" i="182"/>
  <c r="CO47" i="182"/>
  <c r="CI47" i="182"/>
  <c r="AA47" i="182"/>
  <c r="BK47" i="182"/>
  <c r="BQ47" i="182"/>
  <c r="DY47" i="182"/>
  <c r="FC47" i="182"/>
  <c r="AG47" i="182"/>
  <c r="AM47" i="182"/>
  <c r="O47" i="182"/>
  <c r="BW47" i="182"/>
  <c r="GG47" i="182"/>
  <c r="CC47" i="182"/>
  <c r="AS47" i="182"/>
  <c r="AY47" i="182"/>
  <c r="BE47" i="182"/>
  <c r="AM77" i="182"/>
  <c r="AG77" i="182"/>
  <c r="CI77" i="182"/>
  <c r="BK77" i="182"/>
  <c r="GG77" i="182"/>
  <c r="CO77" i="182"/>
  <c r="BQ77" i="182"/>
  <c r="BW77" i="182"/>
  <c r="CU77" i="182"/>
  <c r="BE77" i="182"/>
  <c r="AY77" i="182"/>
  <c r="AS77" i="182"/>
  <c r="CC77" i="182"/>
  <c r="DY77" i="182"/>
  <c r="FC77" i="182"/>
  <c r="O77" i="182"/>
  <c r="AA77" i="182"/>
  <c r="AY94" i="182"/>
  <c r="CI94" i="182"/>
  <c r="CO94" i="182"/>
  <c r="AS94" i="182"/>
  <c r="CU94" i="182"/>
  <c r="BK94" i="182"/>
  <c r="GG94" i="182"/>
  <c r="AA94" i="182"/>
  <c r="DY94" i="182"/>
  <c r="BQ94" i="182"/>
  <c r="AG94" i="182"/>
  <c r="FC94" i="182"/>
  <c r="O94" i="182"/>
  <c r="AM94" i="182"/>
  <c r="CC94" i="182"/>
  <c r="BE94" i="182"/>
  <c r="BW94" i="182"/>
  <c r="BQ106" i="182"/>
  <c r="DY106" i="182"/>
  <c r="BW106" i="182"/>
  <c r="FC106" i="182"/>
  <c r="O106" i="182"/>
  <c r="GG106" i="182"/>
  <c r="AM106" i="182"/>
  <c r="AS106" i="182"/>
  <c r="CC106" i="182"/>
  <c r="CI106" i="182"/>
  <c r="AY106" i="182"/>
  <c r="BE106" i="182"/>
  <c r="CO106" i="182"/>
  <c r="CU106" i="182"/>
  <c r="AG106" i="182"/>
  <c r="AA106" i="182"/>
  <c r="BK106" i="182"/>
  <c r="AA195" i="182"/>
  <c r="BE195" i="182"/>
  <c r="CU195" i="182"/>
  <c r="AM195" i="182"/>
  <c r="CC195" i="182"/>
  <c r="AG195" i="182"/>
  <c r="GG195" i="182"/>
  <c r="O195" i="182"/>
  <c r="AY195" i="182"/>
  <c r="BW195" i="182"/>
  <c r="AS195" i="182"/>
  <c r="CO195" i="182"/>
  <c r="BQ195" i="182"/>
  <c r="CI195" i="182"/>
  <c r="FC195" i="182"/>
  <c r="DY195" i="182"/>
  <c r="BK195" i="182"/>
  <c r="CI92" i="182"/>
  <c r="AY92" i="182"/>
  <c r="O92" i="182"/>
  <c r="BE92" i="182"/>
  <c r="CO92" i="182"/>
  <c r="CU92" i="182"/>
  <c r="BK92" i="182"/>
  <c r="AA92" i="182"/>
  <c r="GG92" i="182"/>
  <c r="BQ92" i="182"/>
  <c r="AS92" i="182"/>
  <c r="FC92" i="182"/>
  <c r="AG92" i="182"/>
  <c r="AM92" i="182"/>
  <c r="BW92" i="182"/>
  <c r="CC92" i="182"/>
  <c r="DY92" i="182"/>
  <c r="BK76" i="182"/>
  <c r="GG76" i="182"/>
  <c r="AG76" i="182"/>
  <c r="AA76" i="182"/>
  <c r="O76" i="182"/>
  <c r="CU76" i="182"/>
  <c r="BW76" i="182"/>
  <c r="AM76" i="182"/>
  <c r="DY76" i="182"/>
  <c r="FC76" i="182"/>
  <c r="AS76" i="182"/>
  <c r="AY76" i="182"/>
  <c r="CI76" i="182"/>
  <c r="CC76" i="182"/>
  <c r="CO76" i="182"/>
  <c r="BE76" i="182"/>
  <c r="BQ76" i="182"/>
  <c r="BQ215" i="182"/>
  <c r="BE215" i="182"/>
  <c r="CC215" i="182"/>
  <c r="FC215" i="182"/>
  <c r="DY215" i="182"/>
  <c r="AM215" i="182"/>
  <c r="BW215" i="182"/>
  <c r="AY215" i="182"/>
  <c r="O215" i="182"/>
  <c r="CO215" i="182"/>
  <c r="AG215" i="182"/>
  <c r="GG215" i="182"/>
  <c r="CU215" i="182"/>
  <c r="AS215" i="182"/>
  <c r="BK215" i="182"/>
  <c r="CI215" i="182"/>
  <c r="AA215" i="182"/>
  <c r="O56" i="182"/>
  <c r="CC56" i="182"/>
  <c r="BW56" i="182"/>
  <c r="FC56" i="182"/>
  <c r="GG56" i="182"/>
  <c r="AM56" i="182"/>
  <c r="AS56" i="182"/>
  <c r="BQ56" i="182"/>
  <c r="CO56" i="182"/>
  <c r="CI56" i="182"/>
  <c r="CU56" i="182"/>
  <c r="BK56" i="182"/>
  <c r="BE56" i="182"/>
  <c r="DY56" i="182"/>
  <c r="AA56" i="182"/>
  <c r="AG56" i="182"/>
  <c r="AY56" i="182"/>
  <c r="CO181" i="182"/>
  <c r="DY181" i="182"/>
  <c r="CI181" i="182"/>
  <c r="BW181" i="182"/>
  <c r="BE181" i="182"/>
  <c r="BQ181" i="182"/>
  <c r="FC181" i="182"/>
  <c r="AA181" i="182"/>
  <c r="AM181" i="182"/>
  <c r="AY181" i="182"/>
  <c r="CC181" i="182"/>
  <c r="O181" i="182"/>
  <c r="BK181" i="182"/>
  <c r="GG181" i="182"/>
  <c r="CU181" i="182"/>
  <c r="AS181" i="182"/>
  <c r="AG181" i="182"/>
  <c r="AG46" i="182"/>
  <c r="O46" i="182"/>
  <c r="CU46" i="182"/>
  <c r="AY46" i="182"/>
  <c r="AA46" i="182"/>
  <c r="CO46" i="182"/>
  <c r="BQ46" i="182"/>
  <c r="BK46" i="182"/>
  <c r="FC46" i="182"/>
  <c r="BW46" i="182"/>
  <c r="AM46" i="182"/>
  <c r="GG46" i="182"/>
  <c r="CC46" i="182"/>
  <c r="AS46" i="182"/>
  <c r="BE46" i="182"/>
  <c r="DY46" i="182"/>
  <c r="CI46" i="182"/>
  <c r="BE138" i="182"/>
  <c r="DY138" i="182"/>
  <c r="CU138" i="182"/>
  <c r="AM138" i="182"/>
  <c r="AA138" i="182"/>
  <c r="FC138" i="182"/>
  <c r="BQ138" i="182"/>
  <c r="BW138" i="182"/>
  <c r="AY138" i="182"/>
  <c r="AG138" i="182"/>
  <c r="AS138" i="182"/>
  <c r="CO138" i="182"/>
  <c r="O138" i="182"/>
  <c r="BK138" i="182"/>
  <c r="GG138" i="182"/>
  <c r="CI138" i="182"/>
  <c r="CC138" i="182"/>
  <c r="BQ108" i="182"/>
  <c r="AG108" i="182"/>
  <c r="FC108" i="182"/>
  <c r="O108" i="182"/>
  <c r="AM108" i="182"/>
  <c r="AS108" i="182"/>
  <c r="CC108" i="182"/>
  <c r="BW108" i="182"/>
  <c r="CI108" i="182"/>
  <c r="AY108" i="182"/>
  <c r="GG108" i="182"/>
  <c r="BE108" i="182"/>
  <c r="CO108" i="182"/>
  <c r="CU108" i="182"/>
  <c r="BK108" i="182"/>
  <c r="AA108" i="182"/>
  <c r="DY108" i="182"/>
  <c r="BE208" i="182"/>
  <c r="BW208" i="182"/>
  <c r="CO208" i="182"/>
  <c r="AY208" i="182"/>
  <c r="BK208" i="182"/>
  <c r="DY208" i="182"/>
  <c r="FC208" i="182"/>
  <c r="AM208" i="182"/>
  <c r="BQ208" i="182"/>
  <c r="CU208" i="182"/>
  <c r="GG208" i="182"/>
  <c r="CC208" i="182"/>
  <c r="AA208" i="182"/>
  <c r="AS208" i="182"/>
  <c r="O208" i="182"/>
  <c r="CI208" i="182"/>
  <c r="AG208" i="182"/>
  <c r="AM175" i="182"/>
  <c r="AS175" i="182"/>
  <c r="CU175" i="182"/>
  <c r="DY175" i="182"/>
  <c r="AY175" i="182"/>
  <c r="BW175" i="182"/>
  <c r="FC175" i="182"/>
  <c r="BQ175" i="182"/>
  <c r="CC175" i="182"/>
  <c r="AA175" i="182"/>
  <c r="CO175" i="182"/>
  <c r="O175" i="182"/>
  <c r="BE175" i="182"/>
  <c r="GG175" i="182"/>
  <c r="BK175" i="182"/>
  <c r="CI175" i="182"/>
  <c r="AG175" i="182"/>
  <c r="AY48" i="182"/>
  <c r="GG48" i="182"/>
  <c r="DY48" i="182"/>
  <c r="CO48" i="182"/>
  <c r="CU48" i="182"/>
  <c r="BE48" i="182"/>
  <c r="AS48" i="182"/>
  <c r="BW48" i="182"/>
  <c r="CI48" i="182"/>
  <c r="CC48" i="182"/>
  <c r="AA48" i="182"/>
  <c r="BQ48" i="182"/>
  <c r="BK48" i="182"/>
  <c r="FC48" i="182"/>
  <c r="AG48" i="182"/>
  <c r="AM48" i="182"/>
  <c r="O48" i="182"/>
  <c r="AM132" i="181"/>
  <c r="O132" i="181"/>
  <c r="BK132" i="181"/>
  <c r="GG132" i="181"/>
  <c r="CC132" i="181"/>
  <c r="CO132" i="181"/>
  <c r="AS132" i="181"/>
  <c r="AY132" i="181"/>
  <c r="CI132" i="181"/>
  <c r="BE132" i="181"/>
  <c r="DY132" i="181"/>
  <c r="CU132" i="181"/>
  <c r="AG132" i="181"/>
  <c r="AA132" i="181"/>
  <c r="BW132" i="181"/>
  <c r="FC132" i="181"/>
  <c r="BQ132" i="181"/>
  <c r="CC117" i="181"/>
  <c r="AS117" i="181"/>
  <c r="AY117" i="181"/>
  <c r="BE117" i="181"/>
  <c r="CO117" i="181"/>
  <c r="CU117" i="181"/>
  <c r="DY117" i="181"/>
  <c r="AA117" i="181"/>
  <c r="AG117" i="181"/>
  <c r="CI117" i="181"/>
  <c r="O117" i="181"/>
  <c r="BQ117" i="181"/>
  <c r="FC117" i="181"/>
  <c r="BW117" i="181"/>
  <c r="BK117" i="181"/>
  <c r="AM117" i="181"/>
  <c r="GG117" i="181"/>
  <c r="DY171" i="181"/>
  <c r="BW171" i="181"/>
  <c r="AG171" i="181"/>
  <c r="CU171" i="181"/>
  <c r="O171" i="181"/>
  <c r="BK171" i="181"/>
  <c r="GG171" i="181"/>
  <c r="AA171" i="181"/>
  <c r="BQ171" i="181"/>
  <c r="AS171" i="181"/>
  <c r="CO171" i="181"/>
  <c r="FC171" i="181"/>
  <c r="CI171" i="181"/>
  <c r="AM171" i="181"/>
  <c r="BE171" i="181"/>
  <c r="AY171" i="181"/>
  <c r="CC171" i="181"/>
  <c r="O96" i="181"/>
  <c r="BK96" i="181"/>
  <c r="FC96" i="181"/>
  <c r="BW96" i="181"/>
  <c r="CI96" i="181"/>
  <c r="AM96" i="181"/>
  <c r="GG96" i="181"/>
  <c r="CC96" i="181"/>
  <c r="AS96" i="181"/>
  <c r="AY96" i="181"/>
  <c r="BE96" i="181"/>
  <c r="CO96" i="181"/>
  <c r="CU96" i="181"/>
  <c r="DY96" i="181"/>
  <c r="AA96" i="181"/>
  <c r="AG96" i="181"/>
  <c r="BQ96" i="181"/>
  <c r="CC66" i="181"/>
  <c r="GG66" i="181"/>
  <c r="AM66" i="181"/>
  <c r="AY66" i="181"/>
  <c r="AS66" i="181"/>
  <c r="CO66" i="181"/>
  <c r="CI66" i="181"/>
  <c r="BK66" i="181"/>
  <c r="BE66" i="181"/>
  <c r="DY66" i="181"/>
  <c r="CU66" i="181"/>
  <c r="AG66" i="181"/>
  <c r="AA66" i="181"/>
  <c r="O66" i="181"/>
  <c r="BQ66" i="181"/>
  <c r="BW66" i="181"/>
  <c r="FC66" i="181"/>
  <c r="CC179" i="181"/>
  <c r="FC179" i="181"/>
  <c r="BQ179" i="181"/>
  <c r="AS179" i="181"/>
  <c r="AY179" i="181"/>
  <c r="CO179" i="181"/>
  <c r="CU179" i="181"/>
  <c r="BW179" i="181"/>
  <c r="AA179" i="181"/>
  <c r="CI179" i="181"/>
  <c r="DY179" i="181"/>
  <c r="BE179" i="181"/>
  <c r="BK179" i="181"/>
  <c r="AG179" i="181"/>
  <c r="AM179" i="181"/>
  <c r="O179" i="181"/>
  <c r="GG179" i="181"/>
  <c r="BQ205" i="181"/>
  <c r="CO205" i="181"/>
  <c r="AA205" i="181"/>
  <c r="DY205" i="181"/>
  <c r="FC205" i="181"/>
  <c r="AM205" i="181"/>
  <c r="CI205" i="181"/>
  <c r="CU205" i="181"/>
  <c r="CC205" i="181"/>
  <c r="BK205" i="181"/>
  <c r="BW205" i="181"/>
  <c r="GG205" i="181"/>
  <c r="O205" i="181"/>
  <c r="AS205" i="181"/>
  <c r="AY205" i="181"/>
  <c r="BE205" i="181"/>
  <c r="AG205" i="181"/>
  <c r="BK59" i="181"/>
  <c r="AG59" i="181"/>
  <c r="CU59" i="181"/>
  <c r="CI59" i="181"/>
  <c r="CC59" i="181"/>
  <c r="BQ59" i="181"/>
  <c r="BE59" i="181"/>
  <c r="AY59" i="181"/>
  <c r="AM59" i="181"/>
  <c r="DY59" i="181"/>
  <c r="GG59" i="181"/>
  <c r="BW59" i="181"/>
  <c r="AA59" i="181"/>
  <c r="AS59" i="181"/>
  <c r="O59" i="181"/>
  <c r="CO59" i="181"/>
  <c r="FC59" i="181"/>
  <c r="BW190" i="181"/>
  <c r="BE190" i="181"/>
  <c r="CI190" i="181"/>
  <c r="GG190" i="181"/>
  <c r="CU190" i="181"/>
  <c r="AY190" i="181"/>
  <c r="CO190" i="181"/>
  <c r="FC190" i="181"/>
  <c r="BQ190" i="181"/>
  <c r="AA190" i="181"/>
  <c r="DY190" i="181"/>
  <c r="AS190" i="181"/>
  <c r="CC190" i="181"/>
  <c r="AG190" i="181"/>
  <c r="BK190" i="181"/>
  <c r="O190" i="181"/>
  <c r="AM190" i="181"/>
  <c r="CU112" i="181"/>
  <c r="O112" i="181"/>
  <c r="AA112" i="181"/>
  <c r="AY112" i="181"/>
  <c r="FC112" i="181"/>
  <c r="BQ112" i="181"/>
  <c r="AM112" i="181"/>
  <c r="CO112" i="181"/>
  <c r="GG112" i="181"/>
  <c r="CC112" i="181"/>
  <c r="BW112" i="181"/>
  <c r="AS112" i="181"/>
  <c r="BK112" i="181"/>
  <c r="CI112" i="181"/>
  <c r="DY112" i="181"/>
  <c r="BE112" i="181"/>
  <c r="AG112" i="181"/>
  <c r="AS121" i="181"/>
  <c r="AM121" i="181"/>
  <c r="BE121" i="181"/>
  <c r="CO121" i="181"/>
  <c r="BK121" i="181"/>
  <c r="CU121" i="181"/>
  <c r="CI121" i="181"/>
  <c r="DY121" i="181"/>
  <c r="AA121" i="181"/>
  <c r="AG121" i="181"/>
  <c r="BQ121" i="181"/>
  <c r="O121" i="181"/>
  <c r="CC121" i="181"/>
  <c r="BW121" i="181"/>
  <c r="AY121" i="181"/>
  <c r="GG121" i="181"/>
  <c r="FC121" i="181"/>
  <c r="FC143" i="181"/>
  <c r="BQ143" i="181"/>
  <c r="AM143" i="181"/>
  <c r="BE143" i="181"/>
  <c r="CC143" i="181"/>
  <c r="CO143" i="181"/>
  <c r="GG143" i="181"/>
  <c r="AY143" i="181"/>
  <c r="BW143" i="181"/>
  <c r="AS143" i="181"/>
  <c r="BK143" i="181"/>
  <c r="CI143" i="181"/>
  <c r="DY143" i="181"/>
  <c r="CU143" i="181"/>
  <c r="AG143" i="181"/>
  <c r="AA143" i="181"/>
  <c r="O143" i="181"/>
  <c r="AG100" i="181"/>
  <c r="BQ100" i="181"/>
  <c r="O100" i="181"/>
  <c r="CC100" i="181"/>
  <c r="BW100" i="181"/>
  <c r="AY100" i="181"/>
  <c r="GG100" i="181"/>
  <c r="CI100" i="181"/>
  <c r="AS100" i="181"/>
  <c r="FC100" i="181"/>
  <c r="BE100" i="181"/>
  <c r="AM100" i="181"/>
  <c r="BK100" i="181"/>
  <c r="CU100" i="181"/>
  <c r="CO100" i="181"/>
  <c r="DY100" i="181"/>
  <c r="AA100" i="181"/>
  <c r="AS196" i="181"/>
  <c r="O196" i="181"/>
  <c r="CU196" i="181"/>
  <c r="FC196" i="181"/>
  <c r="CC196" i="181"/>
  <c r="AM196" i="181"/>
  <c r="AY196" i="181"/>
  <c r="AA196" i="181"/>
  <c r="AG196" i="181"/>
  <c r="BW196" i="181"/>
  <c r="BK196" i="181"/>
  <c r="CO196" i="181"/>
  <c r="BE196" i="181"/>
  <c r="DY196" i="181"/>
  <c r="BQ196" i="181"/>
  <c r="GG196" i="181"/>
  <c r="CI196" i="181"/>
  <c r="CO65" i="181"/>
  <c r="CI65" i="181"/>
  <c r="BK65" i="181"/>
  <c r="BE65" i="181"/>
  <c r="DY65" i="181"/>
  <c r="CU65" i="181"/>
  <c r="AG65" i="181"/>
  <c r="AA65" i="181"/>
  <c r="FC65" i="181"/>
  <c r="O65" i="181"/>
  <c r="BQ65" i="181"/>
  <c r="AM65" i="181"/>
  <c r="BW65" i="181"/>
  <c r="CC65" i="181"/>
  <c r="GG65" i="181"/>
  <c r="AY65" i="181"/>
  <c r="AS65" i="181"/>
  <c r="AM161" i="181"/>
  <c r="AY161" i="181"/>
  <c r="CU161" i="181"/>
  <c r="AG161" i="181"/>
  <c r="AA161" i="181"/>
  <c r="AS161" i="181"/>
  <c r="BW161" i="181"/>
  <c r="GG161" i="181"/>
  <c r="BE161" i="181"/>
  <c r="CC161" i="181"/>
  <c r="BK161" i="181"/>
  <c r="CO161" i="181"/>
  <c r="DY161" i="181"/>
  <c r="CI161" i="181"/>
  <c r="O161" i="181"/>
  <c r="FC161" i="181"/>
  <c r="BQ161" i="181"/>
  <c r="BQ104" i="181"/>
  <c r="GG104" i="181"/>
  <c r="CC104" i="181"/>
  <c r="FC104" i="181"/>
  <c r="AY104" i="181"/>
  <c r="AS104" i="181"/>
  <c r="CO104" i="181"/>
  <c r="AM104" i="181"/>
  <c r="CI104" i="181"/>
  <c r="DY104" i="181"/>
  <c r="BK104" i="181"/>
  <c r="BE104" i="181"/>
  <c r="AG104" i="181"/>
  <c r="CU104" i="181"/>
  <c r="O104" i="181"/>
  <c r="AA104" i="181"/>
  <c r="BW104" i="181"/>
  <c r="DY176" i="181"/>
  <c r="BK176" i="181"/>
  <c r="AA176" i="181"/>
  <c r="CO176" i="181"/>
  <c r="BE176" i="181"/>
  <c r="AS176" i="181"/>
  <c r="GG176" i="181"/>
  <c r="CI176" i="181"/>
  <c r="AM176" i="181"/>
  <c r="CC176" i="181"/>
  <c r="CU176" i="181"/>
  <c r="AG176" i="181"/>
  <c r="O176" i="181"/>
  <c r="BQ176" i="181"/>
  <c r="AY176" i="181"/>
  <c r="FC176" i="181"/>
  <c r="BW176" i="181"/>
  <c r="CO151" i="181"/>
  <c r="BE151" i="181"/>
  <c r="DY151" i="181"/>
  <c r="FC151" i="181"/>
  <c r="AS151" i="181"/>
  <c r="AG151" i="181"/>
  <c r="AA151" i="181"/>
  <c r="O151" i="181"/>
  <c r="CU151" i="181"/>
  <c r="BW151" i="181"/>
  <c r="AM151" i="181"/>
  <c r="CI151" i="181"/>
  <c r="BK151" i="181"/>
  <c r="BQ151" i="181"/>
  <c r="GG151" i="181"/>
  <c r="AY151" i="181"/>
  <c r="CC151" i="181"/>
  <c r="CI110" i="181"/>
  <c r="AS110" i="181"/>
  <c r="BQ110" i="181"/>
  <c r="CC110" i="181"/>
  <c r="AY110" i="181"/>
  <c r="AA110" i="181"/>
  <c r="CO110" i="181"/>
  <c r="GG110" i="181"/>
  <c r="DY110" i="181"/>
  <c r="BK110" i="181"/>
  <c r="FC110" i="181"/>
  <c r="AG110" i="181"/>
  <c r="AM110" i="181"/>
  <c r="O110" i="181"/>
  <c r="BE110" i="181"/>
  <c r="BW110" i="181"/>
  <c r="CU110" i="181"/>
  <c r="CO113" i="181"/>
  <c r="FC113" i="181"/>
  <c r="CI113" i="181"/>
  <c r="DY113" i="181"/>
  <c r="AM113" i="181"/>
  <c r="BE113" i="181"/>
  <c r="AG113" i="181"/>
  <c r="CU113" i="181"/>
  <c r="O113" i="181"/>
  <c r="AA113" i="181"/>
  <c r="BW113" i="181"/>
  <c r="BQ113" i="181"/>
  <c r="GG113" i="181"/>
  <c r="CC113" i="181"/>
  <c r="AS113" i="181"/>
  <c r="AY113" i="181"/>
  <c r="BK113" i="181"/>
  <c r="DY127" i="180"/>
  <c r="CU127" i="180"/>
  <c r="FC127" i="180"/>
  <c r="AG127" i="180"/>
  <c r="CC127" i="180"/>
  <c r="O127" i="180"/>
  <c r="BK127" i="180"/>
  <c r="AY127" i="180"/>
  <c r="AS127" i="180"/>
  <c r="CI127" i="180"/>
  <c r="AA127" i="180"/>
  <c r="BQ127" i="180"/>
  <c r="CO127" i="180"/>
  <c r="BW127" i="180"/>
  <c r="AM127" i="180"/>
  <c r="BE127" i="180"/>
  <c r="GG127" i="180"/>
  <c r="O181" i="180"/>
  <c r="BK181" i="180"/>
  <c r="CU181" i="180"/>
  <c r="AA181" i="180"/>
  <c r="AY181" i="180"/>
  <c r="FC181" i="180"/>
  <c r="CC181" i="180"/>
  <c r="AM181" i="180"/>
  <c r="CO181" i="180"/>
  <c r="BQ181" i="180"/>
  <c r="BW181" i="180"/>
  <c r="BE181" i="180"/>
  <c r="CI181" i="180"/>
  <c r="GG181" i="180"/>
  <c r="DY181" i="180"/>
  <c r="AS181" i="180"/>
  <c r="AG181" i="180"/>
  <c r="AS81" i="180"/>
  <c r="CC81" i="180"/>
  <c r="CI81" i="180"/>
  <c r="AY81" i="180"/>
  <c r="BK81" i="180"/>
  <c r="BE81" i="180"/>
  <c r="CO81" i="180"/>
  <c r="DY81" i="180"/>
  <c r="CU81" i="180"/>
  <c r="AG81" i="180"/>
  <c r="AA81" i="180"/>
  <c r="O81" i="180"/>
  <c r="BQ81" i="180"/>
  <c r="GG81" i="180"/>
  <c r="FC81" i="180"/>
  <c r="BW81" i="180"/>
  <c r="AM81" i="180"/>
  <c r="BE82" i="180"/>
  <c r="CO82" i="180"/>
  <c r="DY82" i="180"/>
  <c r="CU82" i="180"/>
  <c r="BK82" i="180"/>
  <c r="AG82" i="180"/>
  <c r="AA82" i="180"/>
  <c r="O82" i="180"/>
  <c r="BQ82" i="180"/>
  <c r="GG82" i="180"/>
  <c r="AM82" i="180"/>
  <c r="AS82" i="180"/>
  <c r="CC82" i="180"/>
  <c r="BW82" i="180"/>
  <c r="CI82" i="180"/>
  <c r="FC82" i="180"/>
  <c r="AY82" i="180"/>
  <c r="CC121" i="180"/>
  <c r="O121" i="180"/>
  <c r="BW121" i="180"/>
  <c r="BK121" i="180"/>
  <c r="BQ121" i="180"/>
  <c r="GG121" i="180"/>
  <c r="AA121" i="180"/>
  <c r="AS121" i="180"/>
  <c r="FC121" i="180"/>
  <c r="CI121" i="180"/>
  <c r="CO121" i="180"/>
  <c r="AY121" i="180"/>
  <c r="BE121" i="180"/>
  <c r="AG121" i="180"/>
  <c r="AM121" i="180"/>
  <c r="CU121" i="180"/>
  <c r="DY121" i="180"/>
  <c r="AG89" i="180"/>
  <c r="CO89" i="180"/>
  <c r="CU89" i="180"/>
  <c r="BW89" i="180"/>
  <c r="GG89" i="180"/>
  <c r="AM89" i="180"/>
  <c r="CC89" i="180"/>
  <c r="DY89" i="180"/>
  <c r="AA89" i="180"/>
  <c r="O89" i="180"/>
  <c r="BE89" i="180"/>
  <c r="AS89" i="180"/>
  <c r="AY89" i="180"/>
  <c r="FC89" i="180"/>
  <c r="BQ89" i="180"/>
  <c r="CI89" i="180"/>
  <c r="BK89" i="180"/>
  <c r="AY91" i="180"/>
  <c r="FC91" i="180"/>
  <c r="AG91" i="180"/>
  <c r="AM91" i="180"/>
  <c r="BE91" i="180"/>
  <c r="CU91" i="180"/>
  <c r="CO91" i="180"/>
  <c r="BW91" i="180"/>
  <c r="AA91" i="180"/>
  <c r="CI91" i="180"/>
  <c r="GG91" i="180"/>
  <c r="O91" i="180"/>
  <c r="CC91" i="180"/>
  <c r="DY91" i="180"/>
  <c r="AS91" i="180"/>
  <c r="BQ91" i="180"/>
  <c r="BK91" i="180"/>
  <c r="FC160" i="180"/>
  <c r="AS160" i="180"/>
  <c r="AM160" i="180"/>
  <c r="GG160" i="180"/>
  <c r="BQ160" i="180"/>
  <c r="O160" i="180"/>
  <c r="CO160" i="180"/>
  <c r="AG160" i="180"/>
  <c r="BW160" i="180"/>
  <c r="DY160" i="180"/>
  <c r="AY160" i="180"/>
  <c r="CI160" i="180"/>
  <c r="BK160" i="180"/>
  <c r="CU160" i="180"/>
  <c r="BE160" i="180"/>
  <c r="CC160" i="180"/>
  <c r="AA160" i="180"/>
  <c r="CC133" i="180"/>
  <c r="AG133" i="180"/>
  <c r="AY133" i="180"/>
  <c r="BW133" i="180"/>
  <c r="CO133" i="180"/>
  <c r="AS133" i="180"/>
  <c r="BE133" i="180"/>
  <c r="BK133" i="180"/>
  <c r="CU133" i="180"/>
  <c r="CI133" i="180"/>
  <c r="AA133" i="180"/>
  <c r="O133" i="180"/>
  <c r="FC133" i="180"/>
  <c r="AM133" i="180"/>
  <c r="BQ133" i="180"/>
  <c r="DY133" i="180"/>
  <c r="GG133" i="180"/>
  <c r="BW176" i="180"/>
  <c r="BE176" i="180"/>
  <c r="BQ176" i="180"/>
  <c r="DY176" i="180"/>
  <c r="AG176" i="180"/>
  <c r="O176" i="180"/>
  <c r="CU176" i="180"/>
  <c r="GG176" i="180"/>
  <c r="CC176" i="180"/>
  <c r="AA176" i="180"/>
  <c r="CI176" i="180"/>
  <c r="AY176" i="180"/>
  <c r="AS176" i="180"/>
  <c r="FC176" i="180"/>
  <c r="BK176" i="180"/>
  <c r="CO176" i="180"/>
  <c r="AM176" i="180"/>
  <c r="DY175" i="180"/>
  <c r="BK175" i="180"/>
  <c r="BQ175" i="180"/>
  <c r="GG175" i="180"/>
  <c r="AY175" i="180"/>
  <c r="CI175" i="180"/>
  <c r="O175" i="180"/>
  <c r="BE175" i="180"/>
  <c r="FC175" i="180"/>
  <c r="AS175" i="180"/>
  <c r="BW175" i="180"/>
  <c r="AM175" i="180"/>
  <c r="AA175" i="180"/>
  <c r="CO175" i="180"/>
  <c r="CU175" i="180"/>
  <c r="AG175" i="180"/>
  <c r="CC175" i="180"/>
  <c r="DY195" i="180"/>
  <c r="O195" i="180"/>
  <c r="BW195" i="180"/>
  <c r="CI195" i="180"/>
  <c r="BE195" i="180"/>
  <c r="AY195" i="180"/>
  <c r="AM195" i="180"/>
  <c r="AG195" i="180"/>
  <c r="GG195" i="180"/>
  <c r="BQ195" i="180"/>
  <c r="BK195" i="180"/>
  <c r="CO195" i="180"/>
  <c r="AS195" i="180"/>
  <c r="CC195" i="180"/>
  <c r="CU195" i="180"/>
  <c r="FC195" i="180"/>
  <c r="AA195" i="180"/>
  <c r="CI98" i="180"/>
  <c r="FC98" i="180"/>
  <c r="BK98" i="180"/>
  <c r="BE98" i="180"/>
  <c r="CU98" i="180"/>
  <c r="DY98" i="180"/>
  <c r="CC98" i="180"/>
  <c r="AG98" i="180"/>
  <c r="AY98" i="180"/>
  <c r="BW98" i="180"/>
  <c r="AM98" i="180"/>
  <c r="GG98" i="180"/>
  <c r="AA98" i="180"/>
  <c r="BQ98" i="180"/>
  <c r="O98" i="180"/>
  <c r="AS98" i="180"/>
  <c r="CO98" i="180"/>
  <c r="AS112" i="180"/>
  <c r="BK112" i="180"/>
  <c r="CU112" i="180"/>
  <c r="DY112" i="180"/>
  <c r="BE112" i="180"/>
  <c r="AM112" i="180"/>
  <c r="BQ112" i="180"/>
  <c r="AG112" i="180"/>
  <c r="O112" i="180"/>
  <c r="CC112" i="180"/>
  <c r="AY112" i="180"/>
  <c r="CO112" i="180"/>
  <c r="AA112" i="180"/>
  <c r="BW112" i="180"/>
  <c r="FC112" i="180"/>
  <c r="CI112" i="180"/>
  <c r="GG112" i="180"/>
  <c r="AM85" i="180"/>
  <c r="BW85" i="180"/>
  <c r="CC85" i="180"/>
  <c r="GG85" i="180"/>
  <c r="CI85" i="180"/>
  <c r="AY85" i="180"/>
  <c r="AS85" i="180"/>
  <c r="BE85" i="180"/>
  <c r="CO85" i="180"/>
  <c r="AA85" i="180"/>
  <c r="DY85" i="180"/>
  <c r="BQ85" i="180"/>
  <c r="AG85" i="180"/>
  <c r="O85" i="180"/>
  <c r="CU85" i="180"/>
  <c r="FC85" i="180"/>
  <c r="BK85" i="180"/>
  <c r="DY116" i="180"/>
  <c r="CU116" i="180"/>
  <c r="AG116" i="180"/>
  <c r="AA116" i="180"/>
  <c r="O116" i="180"/>
  <c r="BQ116" i="180"/>
  <c r="BW116" i="180"/>
  <c r="FC116" i="180"/>
  <c r="AS116" i="180"/>
  <c r="BK116" i="180"/>
  <c r="CI116" i="180"/>
  <c r="AY116" i="180"/>
  <c r="CO116" i="180"/>
  <c r="GG116" i="180"/>
  <c r="BE116" i="180"/>
  <c r="AM116" i="180"/>
  <c r="CC116" i="180"/>
  <c r="AS198" i="180"/>
  <c r="AG198" i="180"/>
  <c r="AY198" i="180"/>
  <c r="BE198" i="180"/>
  <c r="O198" i="180"/>
  <c r="AM198" i="180"/>
  <c r="DY198" i="180"/>
  <c r="CU198" i="180"/>
  <c r="BQ198" i="180"/>
  <c r="CC198" i="180"/>
  <c r="AA198" i="180"/>
  <c r="GG198" i="180"/>
  <c r="FC198" i="180"/>
  <c r="BK198" i="180"/>
  <c r="BW198" i="180"/>
  <c r="CO198" i="180"/>
  <c r="CI198" i="180"/>
  <c r="FC94" i="180"/>
  <c r="AM94" i="180"/>
  <c r="GG94" i="180"/>
  <c r="BE94" i="180"/>
  <c r="CO94" i="180"/>
  <c r="CU94" i="180"/>
  <c r="AS94" i="180"/>
  <c r="AA94" i="180"/>
  <c r="CI94" i="180"/>
  <c r="BQ94" i="180"/>
  <c r="BK94" i="180"/>
  <c r="AG94" i="180"/>
  <c r="DY94" i="180"/>
  <c r="BW94" i="180"/>
  <c r="CC94" i="180"/>
  <c r="AY94" i="180"/>
  <c r="O94" i="180"/>
  <c r="AS169" i="180"/>
  <c r="O169" i="180"/>
  <c r="CI169" i="180"/>
  <c r="AA169" i="180"/>
  <c r="BE169" i="180"/>
  <c r="AG169" i="180"/>
  <c r="BQ169" i="180"/>
  <c r="BW169" i="180"/>
  <c r="CC169" i="180"/>
  <c r="FC169" i="180"/>
  <c r="CU169" i="180"/>
  <c r="AM169" i="180"/>
  <c r="CO169" i="180"/>
  <c r="AY169" i="180"/>
  <c r="BK169" i="180"/>
  <c r="GG169" i="180"/>
  <c r="DY169" i="180"/>
  <c r="GG87" i="180"/>
  <c r="CO87" i="180"/>
  <c r="BE87" i="180"/>
  <c r="AA87" i="180"/>
  <c r="BK87" i="180"/>
  <c r="CU87" i="180"/>
  <c r="AG87" i="180"/>
  <c r="BQ87" i="180"/>
  <c r="O87" i="180"/>
  <c r="CC87" i="180"/>
  <c r="DY87" i="180"/>
  <c r="FC87" i="180"/>
  <c r="AS87" i="180"/>
  <c r="AM87" i="180"/>
  <c r="AY87" i="180"/>
  <c r="BW87" i="180"/>
  <c r="CI87" i="180"/>
  <c r="BE62" i="180"/>
  <c r="CO62" i="180"/>
  <c r="CU62" i="180"/>
  <c r="BK62" i="180"/>
  <c r="AA62" i="180"/>
  <c r="DY62" i="180"/>
  <c r="BQ62" i="180"/>
  <c r="AG62" i="180"/>
  <c r="BW62" i="180"/>
  <c r="FC62" i="180"/>
  <c r="O62" i="180"/>
  <c r="GG62" i="180"/>
  <c r="AM62" i="180"/>
  <c r="AS62" i="180"/>
  <c r="CC62" i="180"/>
  <c r="CI62" i="180"/>
  <c r="AY62" i="180"/>
  <c r="AG132" i="179"/>
  <c r="AY132" i="179"/>
  <c r="BE132" i="179"/>
  <c r="CO132" i="179"/>
  <c r="CU132" i="179"/>
  <c r="AA132" i="179"/>
  <c r="BQ132" i="179"/>
  <c r="FC132" i="179"/>
  <c r="O132" i="179"/>
  <c r="BK132" i="179"/>
  <c r="AM132" i="179"/>
  <c r="DY132" i="179"/>
  <c r="CC132" i="179"/>
  <c r="GG132" i="179"/>
  <c r="AS132" i="179"/>
  <c r="BW132" i="179"/>
  <c r="CI132" i="179"/>
  <c r="CO58" i="179"/>
  <c r="CI58" i="179"/>
  <c r="BK58" i="179"/>
  <c r="BE58" i="179"/>
  <c r="DY58" i="179"/>
  <c r="CU58" i="179"/>
  <c r="AG58" i="179"/>
  <c r="AA58" i="179"/>
  <c r="O58" i="179"/>
  <c r="BQ58" i="179"/>
  <c r="BW58" i="179"/>
  <c r="AM58" i="179"/>
  <c r="GG58" i="179"/>
  <c r="FC58" i="179"/>
  <c r="AY58" i="179"/>
  <c r="AS58" i="179"/>
  <c r="CC58" i="179"/>
  <c r="CO124" i="179"/>
  <c r="CI124" i="179"/>
  <c r="BK124" i="179"/>
  <c r="BE124" i="179"/>
  <c r="DY124" i="179"/>
  <c r="CU124" i="179"/>
  <c r="AG124" i="179"/>
  <c r="AA124" i="179"/>
  <c r="BW124" i="179"/>
  <c r="BQ124" i="179"/>
  <c r="CC124" i="179"/>
  <c r="GG124" i="179"/>
  <c r="FC124" i="179"/>
  <c r="AY124" i="179"/>
  <c r="O124" i="179"/>
  <c r="AS124" i="179"/>
  <c r="AM124" i="179"/>
  <c r="CI211" i="179"/>
  <c r="O211" i="179"/>
  <c r="CC211" i="179"/>
  <c r="BQ211" i="179"/>
  <c r="AY211" i="179"/>
  <c r="DY211" i="179"/>
  <c r="BW211" i="179"/>
  <c r="AA211" i="179"/>
  <c r="CO211" i="179"/>
  <c r="BE211" i="179"/>
  <c r="AG211" i="179"/>
  <c r="AM211" i="179"/>
  <c r="GG211" i="179"/>
  <c r="BK211" i="179"/>
  <c r="FC211" i="179"/>
  <c r="AS211" i="179"/>
  <c r="CU211" i="179"/>
  <c r="AS176" i="179"/>
  <c r="AY176" i="179"/>
  <c r="BW176" i="179"/>
  <c r="AA176" i="179"/>
  <c r="BE176" i="179"/>
  <c r="BQ176" i="179"/>
  <c r="BK176" i="179"/>
  <c r="AM176" i="179"/>
  <c r="GG176" i="179"/>
  <c r="DY176" i="179"/>
  <c r="FC176" i="179"/>
  <c r="AG176" i="179"/>
  <c r="CO176" i="179"/>
  <c r="O176" i="179"/>
  <c r="CI176" i="179"/>
  <c r="CC176" i="179"/>
  <c r="CU176" i="179"/>
  <c r="BK105" i="179"/>
  <c r="BE105" i="179"/>
  <c r="DY105" i="179"/>
  <c r="CU105" i="179"/>
  <c r="AG105" i="179"/>
  <c r="AA105" i="179"/>
  <c r="O105" i="179"/>
  <c r="BQ105" i="179"/>
  <c r="GG105" i="179"/>
  <c r="AM105" i="179"/>
  <c r="AS105" i="179"/>
  <c r="AY105" i="179"/>
  <c r="CI105" i="179"/>
  <c r="FC105" i="179"/>
  <c r="CC105" i="179"/>
  <c r="CO105" i="179"/>
  <c r="BW105" i="179"/>
  <c r="O62" i="179"/>
  <c r="AS62" i="179"/>
  <c r="BQ62" i="179"/>
  <c r="AA62" i="179"/>
  <c r="AY62" i="179"/>
  <c r="BE62" i="179"/>
  <c r="AG62" i="179"/>
  <c r="FC62" i="179"/>
  <c r="CI62" i="179"/>
  <c r="CU62" i="179"/>
  <c r="BW62" i="179"/>
  <c r="CO62" i="179"/>
  <c r="GG62" i="179"/>
  <c r="AM62" i="179"/>
  <c r="CC62" i="179"/>
  <c r="DY62" i="179"/>
  <c r="BK62" i="179"/>
  <c r="BE187" i="179"/>
  <c r="AM187" i="179"/>
  <c r="CU187" i="179"/>
  <c r="BQ187" i="179"/>
  <c r="AA187" i="179"/>
  <c r="CC187" i="179"/>
  <c r="GG187" i="179"/>
  <c r="FC187" i="179"/>
  <c r="CI187" i="179"/>
  <c r="AG187" i="179"/>
  <c r="BK187" i="179"/>
  <c r="BW187" i="179"/>
  <c r="AY187" i="179"/>
  <c r="DY187" i="179"/>
  <c r="AS187" i="179"/>
  <c r="CO187" i="179"/>
  <c r="O187" i="179"/>
  <c r="FC179" i="179"/>
  <c r="BE179" i="179"/>
  <c r="BW179" i="179"/>
  <c r="AM179" i="179"/>
  <c r="AA179" i="179"/>
  <c r="GG179" i="179"/>
  <c r="CO179" i="179"/>
  <c r="AS179" i="179"/>
  <c r="BQ179" i="179"/>
  <c r="AY179" i="179"/>
  <c r="O179" i="179"/>
  <c r="AG179" i="179"/>
  <c r="DY179" i="179"/>
  <c r="CI179" i="179"/>
  <c r="CU179" i="179"/>
  <c r="BK179" i="179"/>
  <c r="CC179" i="179"/>
  <c r="BW60" i="179"/>
  <c r="AM60" i="179"/>
  <c r="AS60" i="179"/>
  <c r="FC60" i="179"/>
  <c r="GG60" i="179"/>
  <c r="CC60" i="179"/>
  <c r="CI60" i="179"/>
  <c r="CO60" i="179"/>
  <c r="DY60" i="179"/>
  <c r="CU60" i="179"/>
  <c r="AG60" i="179"/>
  <c r="AA60" i="179"/>
  <c r="BQ60" i="179"/>
  <c r="AY60" i="179"/>
  <c r="BK60" i="179"/>
  <c r="O60" i="179"/>
  <c r="BE60" i="179"/>
  <c r="FC50" i="179"/>
  <c r="AG50" i="179"/>
  <c r="CI50" i="179"/>
  <c r="BW50" i="179"/>
  <c r="BK50" i="179"/>
  <c r="CO50" i="179"/>
  <c r="CU50" i="179"/>
  <c r="O50" i="179"/>
  <c r="AS50" i="179"/>
  <c r="BQ50" i="179"/>
  <c r="DY50" i="179"/>
  <c r="CC50" i="179"/>
  <c r="GG50" i="179"/>
  <c r="AA50" i="179"/>
  <c r="AY50" i="179"/>
  <c r="AM50" i="179"/>
  <c r="BE50" i="179"/>
  <c r="AA135" i="179"/>
  <c r="GG135" i="179"/>
  <c r="BQ135" i="179"/>
  <c r="O135" i="179"/>
  <c r="CI135" i="179"/>
  <c r="CO135" i="179"/>
  <c r="DY135" i="179"/>
  <c r="BW135" i="179"/>
  <c r="AY135" i="179"/>
  <c r="AS135" i="179"/>
  <c r="AG135" i="179"/>
  <c r="BE135" i="179"/>
  <c r="CC135" i="179"/>
  <c r="CU135" i="179"/>
  <c r="BK135" i="179"/>
  <c r="AM135" i="179"/>
  <c r="FC135" i="179"/>
  <c r="CU134" i="179"/>
  <c r="GG134" i="179"/>
  <c r="AA134" i="179"/>
  <c r="CO134" i="179"/>
  <c r="BQ134" i="179"/>
  <c r="BW134" i="179"/>
  <c r="DY134" i="179"/>
  <c r="FC134" i="179"/>
  <c r="AS134" i="179"/>
  <c r="AY134" i="179"/>
  <c r="CC134" i="179"/>
  <c r="BK134" i="179"/>
  <c r="AG134" i="179"/>
  <c r="CI134" i="179"/>
  <c r="AM134" i="179"/>
  <c r="BE134" i="179"/>
  <c r="O134" i="179"/>
  <c r="CC174" i="179"/>
  <c r="DY174" i="179"/>
  <c r="AS174" i="179"/>
  <c r="AM174" i="179"/>
  <c r="AA174" i="179"/>
  <c r="CI174" i="179"/>
  <c r="BK174" i="179"/>
  <c r="AG174" i="179"/>
  <c r="BW174" i="179"/>
  <c r="AY174" i="179"/>
  <c r="BE174" i="179"/>
  <c r="GG174" i="179"/>
  <c r="CO174" i="179"/>
  <c r="O174" i="179"/>
  <c r="CU174" i="179"/>
  <c r="BQ174" i="179"/>
  <c r="FC174" i="179"/>
  <c r="DY147" i="179"/>
  <c r="AS147" i="179"/>
  <c r="CI147" i="179"/>
  <c r="AG147" i="179"/>
  <c r="BK147" i="179"/>
  <c r="CU147" i="179"/>
  <c r="AA147" i="179"/>
  <c r="FC147" i="179"/>
  <c r="CC147" i="179"/>
  <c r="AM147" i="179"/>
  <c r="BE147" i="179"/>
  <c r="BQ147" i="179"/>
  <c r="CO147" i="179"/>
  <c r="GG147" i="179"/>
  <c r="AY147" i="179"/>
  <c r="BW147" i="179"/>
  <c r="O147" i="179"/>
  <c r="AG59" i="179"/>
  <c r="AA59" i="179"/>
  <c r="O59" i="179"/>
  <c r="BQ59" i="179"/>
  <c r="BW59" i="179"/>
  <c r="FC59" i="179"/>
  <c r="GG59" i="179"/>
  <c r="AM59" i="179"/>
  <c r="AS59" i="179"/>
  <c r="CC59" i="179"/>
  <c r="CO59" i="179"/>
  <c r="CI59" i="179"/>
  <c r="AY59" i="179"/>
  <c r="BK59" i="179"/>
  <c r="BE59" i="179"/>
  <c r="DY59" i="179"/>
  <c r="CU59" i="179"/>
  <c r="DY82" i="179"/>
  <c r="AG82" i="179"/>
  <c r="BW82" i="179"/>
  <c r="GG82" i="179"/>
  <c r="AA82" i="179"/>
  <c r="BQ82" i="179"/>
  <c r="BK82" i="179"/>
  <c r="FC82" i="179"/>
  <c r="O82" i="179"/>
  <c r="AM82" i="179"/>
  <c r="AS82" i="179"/>
  <c r="CC82" i="179"/>
  <c r="CI82" i="179"/>
  <c r="AY82" i="179"/>
  <c r="BE82" i="179"/>
  <c r="CO82" i="179"/>
  <c r="CU82" i="179"/>
  <c r="AG141" i="179"/>
  <c r="BQ141" i="179"/>
  <c r="CO141" i="179"/>
  <c r="AM141" i="179"/>
  <c r="BK141" i="179"/>
  <c r="O141" i="179"/>
  <c r="CC141" i="179"/>
  <c r="FC141" i="179"/>
  <c r="CU141" i="179"/>
  <c r="DY141" i="179"/>
  <c r="AY141" i="179"/>
  <c r="AA141" i="179"/>
  <c r="BW141" i="179"/>
  <c r="CI141" i="179"/>
  <c r="AS141" i="179"/>
  <c r="BE141" i="179"/>
  <c r="GG141" i="179"/>
  <c r="GG111" i="179"/>
  <c r="CO111" i="179"/>
  <c r="BQ111" i="179"/>
  <c r="BW111" i="179"/>
  <c r="FC111" i="179"/>
  <c r="CU111" i="179"/>
  <c r="AS111" i="179"/>
  <c r="AM111" i="179"/>
  <c r="CC111" i="179"/>
  <c r="DY111" i="179"/>
  <c r="AY111" i="179"/>
  <c r="BE111" i="179"/>
  <c r="O111" i="179"/>
  <c r="AA111" i="179"/>
  <c r="BK111" i="179"/>
  <c r="CI111" i="179"/>
  <c r="AG111" i="179"/>
  <c r="DY81" i="179"/>
  <c r="CU81" i="179"/>
  <c r="AG81" i="179"/>
  <c r="AA81" i="179"/>
  <c r="O81" i="179"/>
  <c r="BQ81" i="179"/>
  <c r="BW81" i="179"/>
  <c r="FC81" i="179"/>
  <c r="GG81" i="179"/>
  <c r="AM81" i="179"/>
  <c r="AS81" i="179"/>
  <c r="AY81" i="179"/>
  <c r="CO81" i="179"/>
  <c r="CI81" i="179"/>
  <c r="CC81" i="179"/>
  <c r="BK81" i="179"/>
  <c r="BE81" i="179"/>
  <c r="O112" i="179"/>
  <c r="GG112" i="179"/>
  <c r="BK112" i="179"/>
  <c r="CI112" i="179"/>
  <c r="CO112" i="179"/>
  <c r="AM112" i="179"/>
  <c r="AS112" i="179"/>
  <c r="CU112" i="179"/>
  <c r="DY112" i="179"/>
  <c r="BQ112" i="179"/>
  <c r="CC112" i="179"/>
  <c r="BW112" i="179"/>
  <c r="AY112" i="179"/>
  <c r="FC112" i="179"/>
  <c r="AA112" i="179"/>
  <c r="AG112" i="179"/>
  <c r="BE112" i="179"/>
  <c r="U203" i="178"/>
  <c r="CO95" i="183"/>
  <c r="CI95" i="183"/>
  <c r="FC95" i="183"/>
  <c r="BK95" i="183"/>
  <c r="BE95" i="183"/>
  <c r="DY95" i="183"/>
  <c r="CU95" i="183"/>
  <c r="AG95" i="183"/>
  <c r="AA95" i="183"/>
  <c r="BW95" i="183"/>
  <c r="CC95" i="183"/>
  <c r="GG95" i="183"/>
  <c r="AY95" i="183"/>
  <c r="AS95" i="183"/>
  <c r="AM95" i="183"/>
  <c r="O95" i="183"/>
  <c r="BQ95" i="183"/>
  <c r="AY88" i="183"/>
  <c r="BE88" i="183"/>
  <c r="CO88" i="183"/>
  <c r="BQ88" i="183"/>
  <c r="BK88" i="183"/>
  <c r="AS88" i="183"/>
  <c r="CU88" i="183"/>
  <c r="DY88" i="183"/>
  <c r="GG88" i="183"/>
  <c r="AA88" i="183"/>
  <c r="AG88" i="183"/>
  <c r="FC88" i="183"/>
  <c r="O88" i="183"/>
  <c r="AM88" i="183"/>
  <c r="BW88" i="183"/>
  <c r="CC88" i="183"/>
  <c r="CI88" i="183"/>
  <c r="BK64" i="183"/>
  <c r="BE64" i="183"/>
  <c r="DY64" i="183"/>
  <c r="CU64" i="183"/>
  <c r="AG64" i="183"/>
  <c r="AA64" i="183"/>
  <c r="O64" i="183"/>
  <c r="BQ64" i="183"/>
  <c r="BW64" i="183"/>
  <c r="FC64" i="183"/>
  <c r="CC64" i="183"/>
  <c r="GG64" i="183"/>
  <c r="AM64" i="183"/>
  <c r="AY64" i="183"/>
  <c r="AS64" i="183"/>
  <c r="CO64" i="183"/>
  <c r="CI64" i="183"/>
  <c r="AA72" i="183"/>
  <c r="DY72" i="183"/>
  <c r="BQ72" i="183"/>
  <c r="AG72" i="183"/>
  <c r="FC72" i="183"/>
  <c r="O72" i="183"/>
  <c r="AM72" i="183"/>
  <c r="BW72" i="183"/>
  <c r="CC72" i="183"/>
  <c r="GG72" i="183"/>
  <c r="AY72" i="183"/>
  <c r="AS72" i="183"/>
  <c r="BE72" i="183"/>
  <c r="CO72" i="183"/>
  <c r="CI72" i="183"/>
  <c r="CU72" i="183"/>
  <c r="BK72" i="183"/>
  <c r="O54" i="183"/>
  <c r="BQ54" i="183"/>
  <c r="BW54" i="183"/>
  <c r="FC54" i="183"/>
  <c r="GG54" i="183"/>
  <c r="AM54" i="183"/>
  <c r="AS54" i="183"/>
  <c r="CC54" i="183"/>
  <c r="CI54" i="183"/>
  <c r="AY54" i="183"/>
  <c r="BE54" i="183"/>
  <c r="CO54" i="183"/>
  <c r="AG54" i="183"/>
  <c r="AA54" i="183"/>
  <c r="DY54" i="183"/>
  <c r="BK54" i="183"/>
  <c r="CU54" i="183"/>
  <c r="CO150" i="183"/>
  <c r="AA150" i="183"/>
  <c r="BW150" i="183"/>
  <c r="BQ150" i="183"/>
  <c r="CU150" i="183"/>
  <c r="AY150" i="183"/>
  <c r="BK150" i="183"/>
  <c r="AM150" i="183"/>
  <c r="GG150" i="183"/>
  <c r="AG150" i="183"/>
  <c r="DY150" i="183"/>
  <c r="CC150" i="183"/>
  <c r="O150" i="183"/>
  <c r="FC150" i="183"/>
  <c r="BE150" i="183"/>
  <c r="AS150" i="183"/>
  <c r="CI150" i="183"/>
  <c r="BK94" i="183"/>
  <c r="BE94" i="183"/>
  <c r="DY94" i="183"/>
  <c r="CU94" i="183"/>
  <c r="AG94" i="183"/>
  <c r="AA94" i="183"/>
  <c r="O94" i="183"/>
  <c r="FC94" i="183"/>
  <c r="BW94" i="183"/>
  <c r="AM94" i="183"/>
  <c r="GG94" i="183"/>
  <c r="CC94" i="183"/>
  <c r="CO94" i="183"/>
  <c r="CI94" i="183"/>
  <c r="AY94" i="183"/>
  <c r="AS94" i="183"/>
  <c r="BQ94" i="183"/>
  <c r="CC84" i="183"/>
  <c r="GG84" i="183"/>
  <c r="CI84" i="183"/>
  <c r="AY84" i="183"/>
  <c r="O84" i="183"/>
  <c r="BE84" i="183"/>
  <c r="BK84" i="183"/>
  <c r="CU84" i="183"/>
  <c r="DY84" i="183"/>
  <c r="AA84" i="183"/>
  <c r="CO84" i="183"/>
  <c r="BQ84" i="183"/>
  <c r="AS84" i="183"/>
  <c r="AM84" i="183"/>
  <c r="BW84" i="183"/>
  <c r="FC84" i="183"/>
  <c r="AG84" i="183"/>
  <c r="BQ170" i="183"/>
  <c r="GG170" i="183"/>
  <c r="CC170" i="183"/>
  <c r="CI170" i="183"/>
  <c r="AS170" i="183"/>
  <c r="CO170" i="183"/>
  <c r="BW170" i="183"/>
  <c r="BE170" i="183"/>
  <c r="BK170" i="183"/>
  <c r="AA170" i="183"/>
  <c r="O170" i="183"/>
  <c r="AG170" i="183"/>
  <c r="AY170" i="183"/>
  <c r="DY170" i="183"/>
  <c r="CU170" i="183"/>
  <c r="FC170" i="183"/>
  <c r="AM170" i="183"/>
  <c r="AS125" i="183"/>
  <c r="BQ125" i="183"/>
  <c r="CI125" i="183"/>
  <c r="CU125" i="183"/>
  <c r="BE125" i="183"/>
  <c r="AA125" i="183"/>
  <c r="CO125" i="183"/>
  <c r="BW125" i="183"/>
  <c r="BK125" i="183"/>
  <c r="AY125" i="183"/>
  <c r="GG125" i="183"/>
  <c r="O125" i="183"/>
  <c r="CC125" i="183"/>
  <c r="DY125" i="183"/>
  <c r="AG125" i="183"/>
  <c r="FC125" i="183"/>
  <c r="AM125" i="183"/>
  <c r="CU206" i="183"/>
  <c r="CI206" i="183"/>
  <c r="AA206" i="183"/>
  <c r="BK206" i="183"/>
  <c r="BQ206" i="183"/>
  <c r="DY206" i="183"/>
  <c r="FC206" i="183"/>
  <c r="O206" i="183"/>
  <c r="AM206" i="183"/>
  <c r="CC206" i="183"/>
  <c r="AY206" i="183"/>
  <c r="BW206" i="183"/>
  <c r="AS206" i="183"/>
  <c r="BE206" i="183"/>
  <c r="AG206" i="183"/>
  <c r="CO206" i="183"/>
  <c r="GG206" i="183"/>
  <c r="CC123" i="183"/>
  <c r="AA123" i="183"/>
  <c r="AY123" i="183"/>
  <c r="CU123" i="183"/>
  <c r="DY123" i="183"/>
  <c r="CO123" i="183"/>
  <c r="BQ123" i="183"/>
  <c r="AG123" i="183"/>
  <c r="FC123" i="183"/>
  <c r="O123" i="183"/>
  <c r="BK123" i="183"/>
  <c r="BW123" i="183"/>
  <c r="CI123" i="183"/>
  <c r="GG123" i="183"/>
  <c r="BE123" i="183"/>
  <c r="AS123" i="183"/>
  <c r="AM123" i="183"/>
  <c r="CU213" i="183"/>
  <c r="FC213" i="183"/>
  <c r="AY213" i="183"/>
  <c r="O213" i="183"/>
  <c r="BE213" i="183"/>
  <c r="BW213" i="183"/>
  <c r="AA213" i="183"/>
  <c r="BQ213" i="183"/>
  <c r="CC213" i="183"/>
  <c r="BK213" i="183"/>
  <c r="AG213" i="183"/>
  <c r="GG213" i="183"/>
  <c r="DY213" i="183"/>
  <c r="CI213" i="183"/>
  <c r="AM213" i="183"/>
  <c r="CO213" i="183"/>
  <c r="AS213" i="183"/>
  <c r="CI194" i="183"/>
  <c r="BQ194" i="183"/>
  <c r="BE194" i="183"/>
  <c r="AM194" i="183"/>
  <c r="CU194" i="183"/>
  <c r="CC194" i="183"/>
  <c r="AA194" i="183"/>
  <c r="AY194" i="183"/>
  <c r="BK194" i="183"/>
  <c r="BW194" i="183"/>
  <c r="DY194" i="183"/>
  <c r="CO194" i="183"/>
  <c r="GG194" i="183"/>
  <c r="AG194" i="183"/>
  <c r="FC194" i="183"/>
  <c r="AS194" i="183"/>
  <c r="O194" i="183"/>
  <c r="BE57" i="183"/>
  <c r="CO57" i="183"/>
  <c r="AA57" i="183"/>
  <c r="DY57" i="183"/>
  <c r="BQ57" i="183"/>
  <c r="BW57" i="183"/>
  <c r="FC57" i="183"/>
  <c r="GG57" i="183"/>
  <c r="AM57" i="183"/>
  <c r="AS57" i="183"/>
  <c r="CC57" i="183"/>
  <c r="AY57" i="183"/>
  <c r="BK57" i="183"/>
  <c r="CU57" i="183"/>
  <c r="O57" i="183"/>
  <c r="CI57" i="183"/>
  <c r="AG57" i="183"/>
  <c r="AA103" i="183"/>
  <c r="BQ103" i="183"/>
  <c r="CO103" i="183"/>
  <c r="AY103" i="183"/>
  <c r="BW103" i="183"/>
  <c r="CC103" i="183"/>
  <c r="DY103" i="183"/>
  <c r="O103" i="183"/>
  <c r="BE103" i="183"/>
  <c r="FC103" i="183"/>
  <c r="CI103" i="183"/>
  <c r="AG103" i="183"/>
  <c r="CU103" i="183"/>
  <c r="GG103" i="183"/>
  <c r="AS103" i="183"/>
  <c r="BK103" i="183"/>
  <c r="AM103" i="183"/>
  <c r="CO193" i="183"/>
  <c r="DY193" i="183"/>
  <c r="BK193" i="183"/>
  <c r="CC193" i="183"/>
  <c r="AG193" i="183"/>
  <c r="FC193" i="183"/>
  <c r="BW193" i="183"/>
  <c r="AA193" i="183"/>
  <c r="AY193" i="183"/>
  <c r="GG193" i="183"/>
  <c r="CU193" i="183"/>
  <c r="AS193" i="183"/>
  <c r="O193" i="183"/>
  <c r="CI193" i="183"/>
  <c r="BQ193" i="183"/>
  <c r="BE193" i="183"/>
  <c r="AM193" i="183"/>
  <c r="GG134" i="183"/>
  <c r="BK134" i="183"/>
  <c r="AS134" i="183"/>
  <c r="AM134" i="183"/>
  <c r="AY134" i="183"/>
  <c r="CI134" i="183"/>
  <c r="DY134" i="183"/>
  <c r="CO134" i="183"/>
  <c r="AG134" i="183"/>
  <c r="CU134" i="183"/>
  <c r="BW134" i="183"/>
  <c r="FC134" i="183"/>
  <c r="O134" i="183"/>
  <c r="CC134" i="183"/>
  <c r="AA134" i="183"/>
  <c r="BQ134" i="183"/>
  <c r="BE134" i="183"/>
  <c r="BW155" i="183"/>
  <c r="AY155" i="183"/>
  <c r="GG155" i="183"/>
  <c r="CO155" i="183"/>
  <c r="CU155" i="183"/>
  <c r="CI155" i="183"/>
  <c r="BK155" i="183"/>
  <c r="BQ155" i="183"/>
  <c r="O155" i="183"/>
  <c r="AM155" i="183"/>
  <c r="CC155" i="183"/>
  <c r="AA155" i="183"/>
  <c r="FC155" i="183"/>
  <c r="AS155" i="183"/>
  <c r="DY155" i="183"/>
  <c r="BE155" i="183"/>
  <c r="AG155" i="183"/>
  <c r="CC75" i="183"/>
  <c r="GG75" i="183"/>
  <c r="AY75" i="183"/>
  <c r="AS75" i="183"/>
  <c r="CO75" i="183"/>
  <c r="CI75" i="183"/>
  <c r="BK75" i="183"/>
  <c r="BE75" i="183"/>
  <c r="DY75" i="183"/>
  <c r="CU75" i="183"/>
  <c r="AG75" i="183"/>
  <c r="AM75" i="183"/>
  <c r="BW75" i="183"/>
  <c r="FC75" i="183"/>
  <c r="O75" i="183"/>
  <c r="BQ75" i="183"/>
  <c r="AA75" i="183"/>
  <c r="DY203" i="183"/>
  <c r="CO203" i="183"/>
  <c r="BK203" i="183"/>
  <c r="FC203" i="183"/>
  <c r="CC203" i="183"/>
  <c r="AY203" i="183"/>
  <c r="CU203" i="183"/>
  <c r="BQ203" i="183"/>
  <c r="AM203" i="183"/>
  <c r="AA203" i="183"/>
  <c r="CI203" i="183"/>
  <c r="BE203" i="183"/>
  <c r="BW203" i="183"/>
  <c r="AS203" i="183"/>
  <c r="O203" i="183"/>
  <c r="AG203" i="183"/>
  <c r="GG203" i="183"/>
  <c r="FC132" i="182"/>
  <c r="BQ132" i="182"/>
  <c r="CI132" i="182"/>
  <c r="CC132" i="182"/>
  <c r="BW132" i="182"/>
  <c r="BE132" i="182"/>
  <c r="AS132" i="182"/>
  <c r="CU132" i="182"/>
  <c r="O132" i="182"/>
  <c r="AA132" i="182"/>
  <c r="AG132" i="182"/>
  <c r="AY132" i="182"/>
  <c r="GG132" i="182"/>
  <c r="CO132" i="182"/>
  <c r="AM132" i="182"/>
  <c r="BK132" i="182"/>
  <c r="DY132" i="182"/>
  <c r="BK102" i="182"/>
  <c r="CU102" i="182"/>
  <c r="DY102" i="182"/>
  <c r="AA102" i="182"/>
  <c r="AG102" i="182"/>
  <c r="BW102" i="182"/>
  <c r="O102" i="182"/>
  <c r="BQ102" i="182"/>
  <c r="GG102" i="182"/>
  <c r="FC102" i="182"/>
  <c r="AS102" i="182"/>
  <c r="CC102" i="182"/>
  <c r="AY102" i="182"/>
  <c r="CI102" i="182"/>
  <c r="AM102" i="182"/>
  <c r="CO102" i="182"/>
  <c r="BE102" i="182"/>
  <c r="AA199" i="182"/>
  <c r="BQ199" i="182"/>
  <c r="CO199" i="182"/>
  <c r="BK199" i="182"/>
  <c r="CC199" i="182"/>
  <c r="CI199" i="182"/>
  <c r="AS199" i="182"/>
  <c r="BE199" i="182"/>
  <c r="GG199" i="182"/>
  <c r="O199" i="182"/>
  <c r="AM199" i="182"/>
  <c r="BW199" i="182"/>
  <c r="FC199" i="182"/>
  <c r="AG199" i="182"/>
  <c r="CU199" i="182"/>
  <c r="DY199" i="182"/>
  <c r="AY199" i="182"/>
  <c r="BW185" i="182"/>
  <c r="AY185" i="182"/>
  <c r="DY185" i="182"/>
  <c r="GG185" i="182"/>
  <c r="AM185" i="182"/>
  <c r="AS185" i="182"/>
  <c r="AG185" i="182"/>
  <c r="BE185" i="182"/>
  <c r="BK185" i="182"/>
  <c r="CU185" i="182"/>
  <c r="CO185" i="182"/>
  <c r="AA185" i="182"/>
  <c r="CI185" i="182"/>
  <c r="BQ185" i="182"/>
  <c r="O185" i="182"/>
  <c r="CC185" i="182"/>
  <c r="FC185" i="182"/>
  <c r="FC109" i="182"/>
  <c r="O109" i="182"/>
  <c r="AM109" i="182"/>
  <c r="BW109" i="182"/>
  <c r="CC109" i="182"/>
  <c r="GG109" i="182"/>
  <c r="AY109" i="182"/>
  <c r="CI109" i="182"/>
  <c r="BE109" i="182"/>
  <c r="CO109" i="182"/>
  <c r="AS109" i="182"/>
  <c r="CU109" i="182"/>
  <c r="BK109" i="182"/>
  <c r="AA109" i="182"/>
  <c r="DY109" i="182"/>
  <c r="BQ109" i="182"/>
  <c r="AG109" i="182"/>
  <c r="CI172" i="182"/>
  <c r="AA172" i="182"/>
  <c r="FC172" i="182"/>
  <c r="AS172" i="182"/>
  <c r="AY172" i="182"/>
  <c r="AM172" i="182"/>
  <c r="BQ172" i="182"/>
  <c r="CC172" i="182"/>
  <c r="GG172" i="182"/>
  <c r="O172" i="182"/>
  <c r="BK172" i="182"/>
  <c r="AG172" i="182"/>
  <c r="BE172" i="182"/>
  <c r="CO172" i="182"/>
  <c r="DY172" i="182"/>
  <c r="BW172" i="182"/>
  <c r="CU172" i="182"/>
  <c r="CC150" i="182"/>
  <c r="AG150" i="182"/>
  <c r="AY150" i="182"/>
  <c r="GG150" i="182"/>
  <c r="CO150" i="182"/>
  <c r="AS150" i="182"/>
  <c r="DY150" i="182"/>
  <c r="AM150" i="182"/>
  <c r="O150" i="182"/>
  <c r="AA150" i="182"/>
  <c r="CI150" i="182"/>
  <c r="BW150" i="182"/>
  <c r="FC150" i="182"/>
  <c r="BE150" i="182"/>
  <c r="CU150" i="182"/>
  <c r="BQ150" i="182"/>
  <c r="BK150" i="182"/>
  <c r="BK139" i="182"/>
  <c r="FC139" i="182"/>
  <c r="DY139" i="182"/>
  <c r="AM139" i="182"/>
  <c r="AG139" i="182"/>
  <c r="CI139" i="182"/>
  <c r="O139" i="182"/>
  <c r="AS139" i="182"/>
  <c r="BE139" i="182"/>
  <c r="CC139" i="182"/>
  <c r="CU139" i="182"/>
  <c r="GG139" i="182"/>
  <c r="AA139" i="182"/>
  <c r="BW139" i="182"/>
  <c r="CO139" i="182"/>
  <c r="BQ139" i="182"/>
  <c r="AY139" i="182"/>
  <c r="CC70" i="182"/>
  <c r="AS70" i="182"/>
  <c r="AY70" i="182"/>
  <c r="AG70" i="182"/>
  <c r="BE70" i="182"/>
  <c r="CO70" i="182"/>
  <c r="CI70" i="182"/>
  <c r="CU70" i="182"/>
  <c r="BK70" i="182"/>
  <c r="AA70" i="182"/>
  <c r="BW70" i="182"/>
  <c r="BQ70" i="182"/>
  <c r="GG70" i="182"/>
  <c r="FC70" i="182"/>
  <c r="DY70" i="182"/>
  <c r="AM70" i="182"/>
  <c r="O70" i="182"/>
  <c r="O55" i="182"/>
  <c r="AM55" i="182"/>
  <c r="BW55" i="182"/>
  <c r="CU55" i="182"/>
  <c r="GG55" i="182"/>
  <c r="AA55" i="182"/>
  <c r="CO55" i="182"/>
  <c r="CI55" i="182"/>
  <c r="AG55" i="182"/>
  <c r="FC55" i="182"/>
  <c r="AY55" i="182"/>
  <c r="BK55" i="182"/>
  <c r="DY55" i="182"/>
  <c r="AS55" i="182"/>
  <c r="CC55" i="182"/>
  <c r="BQ55" i="182"/>
  <c r="BE55" i="182"/>
  <c r="DY154" i="182"/>
  <c r="CI154" i="182"/>
  <c r="AG154" i="182"/>
  <c r="AA154" i="182"/>
  <c r="O154" i="182"/>
  <c r="AY154" i="182"/>
  <c r="BW154" i="182"/>
  <c r="BQ154" i="182"/>
  <c r="FC154" i="182"/>
  <c r="GG154" i="182"/>
  <c r="BK154" i="182"/>
  <c r="AM154" i="182"/>
  <c r="AS154" i="182"/>
  <c r="CC154" i="182"/>
  <c r="BE154" i="182"/>
  <c r="CO154" i="182"/>
  <c r="CU154" i="182"/>
  <c r="BE198" i="182"/>
  <c r="AA198" i="182"/>
  <c r="AY198" i="182"/>
  <c r="AM198" i="182"/>
  <c r="CO198" i="182"/>
  <c r="GG198" i="182"/>
  <c r="FC198" i="182"/>
  <c r="AS198" i="182"/>
  <c r="BQ198" i="182"/>
  <c r="CI198" i="182"/>
  <c r="AG198" i="182"/>
  <c r="BK198" i="182"/>
  <c r="DY198" i="182"/>
  <c r="CU198" i="182"/>
  <c r="O198" i="182"/>
  <c r="CC198" i="182"/>
  <c r="BW198" i="182"/>
  <c r="O98" i="182"/>
  <c r="AM98" i="182"/>
  <c r="BW98" i="182"/>
  <c r="CI98" i="182"/>
  <c r="AS98" i="182"/>
  <c r="BQ98" i="182"/>
  <c r="AA98" i="182"/>
  <c r="AY98" i="182"/>
  <c r="GG98" i="182"/>
  <c r="CO98" i="182"/>
  <c r="BK98" i="182"/>
  <c r="CU98" i="182"/>
  <c r="FC98" i="182"/>
  <c r="DY98" i="182"/>
  <c r="CC98" i="182"/>
  <c r="AG98" i="182"/>
  <c r="BE98" i="182"/>
  <c r="CI211" i="182"/>
  <c r="AG211" i="182"/>
  <c r="CU211" i="182"/>
  <c r="CO211" i="182"/>
  <c r="AA211" i="182"/>
  <c r="O211" i="182"/>
  <c r="DY211" i="182"/>
  <c r="AM211" i="182"/>
  <c r="AS211" i="182"/>
  <c r="AY211" i="182"/>
  <c r="BQ211" i="182"/>
  <c r="BK211" i="182"/>
  <c r="CC211" i="182"/>
  <c r="BW211" i="182"/>
  <c r="FC211" i="182"/>
  <c r="BE211" i="182"/>
  <c r="GG211" i="182"/>
  <c r="CO80" i="182"/>
  <c r="AM80" i="182"/>
  <c r="O80" i="182"/>
  <c r="AS80" i="182"/>
  <c r="BQ80" i="182"/>
  <c r="BW80" i="182"/>
  <c r="AY80" i="182"/>
  <c r="DY80" i="182"/>
  <c r="FC80" i="182"/>
  <c r="BE80" i="182"/>
  <c r="AG80" i="182"/>
  <c r="AA80" i="182"/>
  <c r="BK80" i="182"/>
  <c r="GG80" i="182"/>
  <c r="CU80" i="182"/>
  <c r="CI80" i="182"/>
  <c r="CC80" i="182"/>
  <c r="AA87" i="182"/>
  <c r="AS87" i="182"/>
  <c r="BK87" i="182"/>
  <c r="BQ87" i="182"/>
  <c r="GG87" i="182"/>
  <c r="AM87" i="182"/>
  <c r="FC87" i="182"/>
  <c r="CO87" i="182"/>
  <c r="BW87" i="182"/>
  <c r="CC87" i="182"/>
  <c r="O87" i="182"/>
  <c r="CI87" i="182"/>
  <c r="AG87" i="182"/>
  <c r="BE87" i="182"/>
  <c r="DY87" i="182"/>
  <c r="CU87" i="182"/>
  <c r="AY87" i="182"/>
  <c r="O54" i="182"/>
  <c r="AM54" i="182"/>
  <c r="BW54" i="182"/>
  <c r="BQ54" i="182"/>
  <c r="CC54" i="182"/>
  <c r="GG54" i="182"/>
  <c r="CU54" i="182"/>
  <c r="AY54" i="182"/>
  <c r="AS54" i="182"/>
  <c r="CO54" i="182"/>
  <c r="AA54" i="182"/>
  <c r="BK54" i="182"/>
  <c r="BE54" i="182"/>
  <c r="DY54" i="182"/>
  <c r="CI54" i="182"/>
  <c r="AG54" i="182"/>
  <c r="FC54" i="182"/>
  <c r="CU88" i="182"/>
  <c r="BW88" i="182"/>
  <c r="AA88" i="182"/>
  <c r="BK88" i="182"/>
  <c r="BQ88" i="182"/>
  <c r="CO88" i="182"/>
  <c r="FC88" i="182"/>
  <c r="AY88" i="182"/>
  <c r="GG88" i="182"/>
  <c r="AM88" i="182"/>
  <c r="CC88" i="182"/>
  <c r="AS88" i="182"/>
  <c r="DY88" i="182"/>
  <c r="CI88" i="182"/>
  <c r="AG88" i="182"/>
  <c r="BE88" i="182"/>
  <c r="O88" i="182"/>
  <c r="AY51" i="182"/>
  <c r="BK51" i="182"/>
  <c r="CO51" i="182"/>
  <c r="GG51" i="182"/>
  <c r="DY51" i="182"/>
  <c r="CI51" i="182"/>
  <c r="CU51" i="182"/>
  <c r="AA51" i="182"/>
  <c r="BE51" i="182"/>
  <c r="BQ51" i="182"/>
  <c r="BW51" i="182"/>
  <c r="FC51" i="182"/>
  <c r="AS51" i="182"/>
  <c r="AM51" i="182"/>
  <c r="O51" i="182"/>
  <c r="CC51" i="182"/>
  <c r="AG51" i="182"/>
  <c r="AY72" i="182"/>
  <c r="AA72" i="182"/>
  <c r="CO72" i="182"/>
  <c r="AS72" i="182"/>
  <c r="BK72" i="182"/>
  <c r="CU72" i="182"/>
  <c r="DY72" i="182"/>
  <c r="CI72" i="182"/>
  <c r="BQ72" i="182"/>
  <c r="AG72" i="182"/>
  <c r="BE72" i="182"/>
  <c r="FC72" i="182"/>
  <c r="O72" i="182"/>
  <c r="AM72" i="182"/>
  <c r="BW72" i="182"/>
  <c r="CC72" i="182"/>
  <c r="GG72" i="182"/>
  <c r="AM63" i="182"/>
  <c r="BW63" i="182"/>
  <c r="CC63" i="182"/>
  <c r="DY63" i="182"/>
  <c r="AY63" i="182"/>
  <c r="BE63" i="182"/>
  <c r="GG63" i="182"/>
  <c r="FC63" i="182"/>
  <c r="AS63" i="182"/>
  <c r="CI63" i="182"/>
  <c r="BK63" i="182"/>
  <c r="AA63" i="182"/>
  <c r="CO63" i="182"/>
  <c r="BQ63" i="182"/>
  <c r="AG63" i="182"/>
  <c r="CU63" i="182"/>
  <c r="O63" i="182"/>
  <c r="AM142" i="181"/>
  <c r="CU142" i="181"/>
  <c r="BW142" i="181"/>
  <c r="CC142" i="181"/>
  <c r="DY142" i="181"/>
  <c r="O142" i="181"/>
  <c r="CO142" i="181"/>
  <c r="GG142" i="181"/>
  <c r="BK142" i="181"/>
  <c r="AS142" i="181"/>
  <c r="CI142" i="181"/>
  <c r="BE142" i="181"/>
  <c r="AY142" i="181"/>
  <c r="BQ142" i="181"/>
  <c r="AG142" i="181"/>
  <c r="FC142" i="181"/>
  <c r="AA142" i="181"/>
  <c r="O185" i="181"/>
  <c r="BQ185" i="181"/>
  <c r="AG185" i="181"/>
  <c r="BK185" i="181"/>
  <c r="CO185" i="181"/>
  <c r="CU185" i="181"/>
  <c r="BW185" i="181"/>
  <c r="AY185" i="181"/>
  <c r="DY185" i="181"/>
  <c r="AS185" i="181"/>
  <c r="FC185" i="181"/>
  <c r="AA185" i="181"/>
  <c r="BE185" i="181"/>
  <c r="AM185" i="181"/>
  <c r="CI185" i="181"/>
  <c r="CC185" i="181"/>
  <c r="GG185" i="181"/>
  <c r="O130" i="181"/>
  <c r="CO130" i="181"/>
  <c r="GG130" i="181"/>
  <c r="AM130" i="181"/>
  <c r="AS130" i="181"/>
  <c r="CI130" i="181"/>
  <c r="BE130" i="181"/>
  <c r="FC130" i="181"/>
  <c r="CU130" i="181"/>
  <c r="BW130" i="181"/>
  <c r="BK130" i="181"/>
  <c r="BQ130" i="181"/>
  <c r="AA130" i="181"/>
  <c r="DY130" i="181"/>
  <c r="CC130" i="181"/>
  <c r="AG130" i="181"/>
  <c r="AY130" i="181"/>
  <c r="FC108" i="181"/>
  <c r="AY108" i="181"/>
  <c r="AM108" i="181"/>
  <c r="BQ108" i="181"/>
  <c r="CC108" i="181"/>
  <c r="GG108" i="181"/>
  <c r="CO108" i="181"/>
  <c r="CU108" i="181"/>
  <c r="BW108" i="181"/>
  <c r="AS108" i="181"/>
  <c r="BE108" i="181"/>
  <c r="AA108" i="181"/>
  <c r="O108" i="181"/>
  <c r="AG108" i="181"/>
  <c r="BK108" i="181"/>
  <c r="CI108" i="181"/>
  <c r="DY108" i="181"/>
  <c r="AY198" i="181"/>
  <c r="CI198" i="181"/>
  <c r="BW198" i="181"/>
  <c r="CO198" i="181"/>
  <c r="CU198" i="181"/>
  <c r="GG198" i="181"/>
  <c r="BK198" i="181"/>
  <c r="AS198" i="181"/>
  <c r="CC198" i="181"/>
  <c r="BE198" i="181"/>
  <c r="AG198" i="181"/>
  <c r="BQ198" i="181"/>
  <c r="AA198" i="181"/>
  <c r="FC198" i="181"/>
  <c r="DY198" i="181"/>
  <c r="AM198" i="181"/>
  <c r="O198" i="181"/>
  <c r="GG86" i="181"/>
  <c r="AM86" i="181"/>
  <c r="AS86" i="181"/>
  <c r="CC86" i="181"/>
  <c r="CI86" i="181"/>
  <c r="AY86" i="181"/>
  <c r="BE86" i="181"/>
  <c r="CO86" i="181"/>
  <c r="DY86" i="181"/>
  <c r="CU86" i="181"/>
  <c r="BK86" i="181"/>
  <c r="AG86" i="181"/>
  <c r="AA86" i="181"/>
  <c r="O86" i="181"/>
  <c r="BQ86" i="181"/>
  <c r="BW86" i="181"/>
  <c r="FC86" i="181"/>
  <c r="BW197" i="181"/>
  <c r="CC197" i="181"/>
  <c r="CI197" i="181"/>
  <c r="AS197" i="181"/>
  <c r="CU197" i="181"/>
  <c r="FC197" i="181"/>
  <c r="AA197" i="181"/>
  <c r="AM197" i="181"/>
  <c r="BQ197" i="181"/>
  <c r="BE197" i="181"/>
  <c r="DY197" i="181"/>
  <c r="AY197" i="181"/>
  <c r="BK197" i="181"/>
  <c r="AG197" i="181"/>
  <c r="CO197" i="181"/>
  <c r="O197" i="181"/>
  <c r="GG197" i="181"/>
  <c r="GG199" i="181"/>
  <c r="CO199" i="181"/>
  <c r="BW199" i="181"/>
  <c r="AS199" i="181"/>
  <c r="BK199" i="181"/>
  <c r="CI199" i="181"/>
  <c r="AG199" i="181"/>
  <c r="CU199" i="181"/>
  <c r="O199" i="181"/>
  <c r="AA199" i="181"/>
  <c r="BE199" i="181"/>
  <c r="AM199" i="181"/>
  <c r="BQ199" i="181"/>
  <c r="FC199" i="181"/>
  <c r="DY199" i="181"/>
  <c r="CC199" i="181"/>
  <c r="AY199" i="181"/>
  <c r="BW111" i="181"/>
  <c r="CU111" i="181"/>
  <c r="AG111" i="181"/>
  <c r="GG111" i="181"/>
  <c r="AA111" i="181"/>
  <c r="AS111" i="181"/>
  <c r="AY111" i="181"/>
  <c r="BE111" i="181"/>
  <c r="BQ111" i="181"/>
  <c r="FC111" i="181"/>
  <c r="O111" i="181"/>
  <c r="CO111" i="181"/>
  <c r="CC111" i="181"/>
  <c r="AM111" i="181"/>
  <c r="BK111" i="181"/>
  <c r="CI111" i="181"/>
  <c r="DY111" i="181"/>
  <c r="CC56" i="181"/>
  <c r="BW56" i="181"/>
  <c r="CI56" i="181"/>
  <c r="AY56" i="181"/>
  <c r="AS56" i="181"/>
  <c r="BE56" i="181"/>
  <c r="CO56" i="181"/>
  <c r="CU56" i="181"/>
  <c r="BK56" i="181"/>
  <c r="AA56" i="181"/>
  <c r="DY56" i="181"/>
  <c r="BQ56" i="181"/>
  <c r="AG56" i="181"/>
  <c r="FC56" i="181"/>
  <c r="O56" i="181"/>
  <c r="AM56" i="181"/>
  <c r="GG56" i="181"/>
  <c r="CO135" i="181"/>
  <c r="BK135" i="181"/>
  <c r="BQ135" i="181"/>
  <c r="BW135" i="181"/>
  <c r="DY135" i="181"/>
  <c r="GG135" i="181"/>
  <c r="AS135" i="181"/>
  <c r="CU135" i="181"/>
  <c r="BE135" i="181"/>
  <c r="CC135" i="181"/>
  <c r="AA135" i="181"/>
  <c r="AY135" i="181"/>
  <c r="CI135" i="181"/>
  <c r="FC135" i="181"/>
  <c r="AM135" i="181"/>
  <c r="O135" i="181"/>
  <c r="AG135" i="181"/>
  <c r="CC149" i="181"/>
  <c r="O149" i="181"/>
  <c r="DY149" i="181"/>
  <c r="AG149" i="181"/>
  <c r="CI149" i="181"/>
  <c r="AY149" i="181"/>
  <c r="BQ149" i="181"/>
  <c r="AS149" i="181"/>
  <c r="GG149" i="181"/>
  <c r="CO149" i="181"/>
  <c r="BK149" i="181"/>
  <c r="CU149" i="181"/>
  <c r="AA149" i="181"/>
  <c r="FC149" i="181"/>
  <c r="BW149" i="181"/>
  <c r="AM149" i="181"/>
  <c r="BE149" i="181"/>
  <c r="BW82" i="181"/>
  <c r="BK82" i="181"/>
  <c r="GG82" i="181"/>
  <c r="O82" i="181"/>
  <c r="AS82" i="181"/>
  <c r="AM82" i="181"/>
  <c r="CU82" i="181"/>
  <c r="DY82" i="181"/>
  <c r="AA82" i="181"/>
  <c r="CC82" i="181"/>
  <c r="BQ82" i="181"/>
  <c r="BE82" i="181"/>
  <c r="CI82" i="181"/>
  <c r="AG82" i="181"/>
  <c r="AY82" i="181"/>
  <c r="FC82" i="181"/>
  <c r="CO82" i="181"/>
  <c r="CI154" i="181"/>
  <c r="O154" i="181"/>
  <c r="CU154" i="181"/>
  <c r="BQ154" i="181"/>
  <c r="FC154" i="181"/>
  <c r="CO154" i="181"/>
  <c r="BK154" i="181"/>
  <c r="DY154" i="181"/>
  <c r="GG154" i="181"/>
  <c r="AA154" i="181"/>
  <c r="BE154" i="181"/>
  <c r="CC154" i="181"/>
  <c r="AY154" i="181"/>
  <c r="AG154" i="181"/>
  <c r="BW154" i="181"/>
  <c r="AS154" i="181"/>
  <c r="AM154" i="181"/>
  <c r="BK107" i="181"/>
  <c r="BW107" i="181"/>
  <c r="AS107" i="181"/>
  <c r="BE107" i="181"/>
  <c r="CO107" i="181"/>
  <c r="AA107" i="181"/>
  <c r="AY107" i="181"/>
  <c r="BQ107" i="181"/>
  <c r="GG107" i="181"/>
  <c r="FC107" i="181"/>
  <c r="CU107" i="181"/>
  <c r="AM107" i="181"/>
  <c r="O107" i="181"/>
  <c r="DY107" i="181"/>
  <c r="AG107" i="181"/>
  <c r="CI107" i="181"/>
  <c r="CC107" i="181"/>
  <c r="BW160" i="181"/>
  <c r="FC160" i="181"/>
  <c r="CO160" i="181"/>
  <c r="BE160" i="181"/>
  <c r="DY160" i="181"/>
  <c r="BQ160" i="181"/>
  <c r="AM160" i="181"/>
  <c r="GG160" i="181"/>
  <c r="CI160" i="181"/>
  <c r="CU160" i="181"/>
  <c r="AY160" i="181"/>
  <c r="CC160" i="181"/>
  <c r="AG160" i="181"/>
  <c r="BK160" i="181"/>
  <c r="AS160" i="181"/>
  <c r="AA160" i="181"/>
  <c r="O160" i="181"/>
  <c r="AG77" i="181"/>
  <c r="BQ77" i="181"/>
  <c r="O77" i="181"/>
  <c r="AY77" i="181"/>
  <c r="BW77" i="181"/>
  <c r="GG77" i="181"/>
  <c r="FC77" i="181"/>
  <c r="CU77" i="181"/>
  <c r="CO77" i="181"/>
  <c r="CC77" i="181"/>
  <c r="BE77" i="181"/>
  <c r="AS77" i="181"/>
  <c r="AM77" i="181"/>
  <c r="BK77" i="181"/>
  <c r="DY77" i="181"/>
  <c r="CI77" i="181"/>
  <c r="AA77" i="181"/>
  <c r="CU214" i="181"/>
  <c r="O214" i="181"/>
  <c r="BE214" i="181"/>
  <c r="AA214" i="181"/>
  <c r="GG214" i="181"/>
  <c r="CC214" i="181"/>
  <c r="AS214" i="181"/>
  <c r="AY214" i="181"/>
  <c r="CI214" i="181"/>
  <c r="CO214" i="181"/>
  <c r="AM214" i="181"/>
  <c r="BK214" i="181"/>
  <c r="FC214" i="181"/>
  <c r="DY214" i="181"/>
  <c r="BW214" i="181"/>
  <c r="AG214" i="181"/>
  <c r="BQ214" i="181"/>
  <c r="BW85" i="181"/>
  <c r="FC85" i="181"/>
  <c r="GG85" i="181"/>
  <c r="AM85" i="181"/>
  <c r="AS85" i="181"/>
  <c r="CC85" i="181"/>
  <c r="CI85" i="181"/>
  <c r="AY85" i="181"/>
  <c r="BK85" i="181"/>
  <c r="BE85" i="181"/>
  <c r="CO85" i="181"/>
  <c r="DY85" i="181"/>
  <c r="CU85" i="181"/>
  <c r="AG85" i="181"/>
  <c r="AA85" i="181"/>
  <c r="O85" i="181"/>
  <c r="BQ85" i="181"/>
  <c r="GG174" i="181"/>
  <c r="CC174" i="181"/>
  <c r="AS174" i="181"/>
  <c r="BW174" i="181"/>
  <c r="CI174" i="181"/>
  <c r="BK174" i="181"/>
  <c r="AY174" i="181"/>
  <c r="CU174" i="181"/>
  <c r="BE174" i="181"/>
  <c r="CO174" i="181"/>
  <c r="AA174" i="181"/>
  <c r="DY174" i="181"/>
  <c r="BQ174" i="181"/>
  <c r="AG174" i="181"/>
  <c r="FC174" i="181"/>
  <c r="O174" i="181"/>
  <c r="AM174" i="181"/>
  <c r="BQ163" i="181"/>
  <c r="AS163" i="181"/>
  <c r="FC163" i="181"/>
  <c r="AG163" i="181"/>
  <c r="AY163" i="181"/>
  <c r="GG163" i="181"/>
  <c r="DY163" i="181"/>
  <c r="CO163" i="181"/>
  <c r="O163" i="181"/>
  <c r="BW163" i="181"/>
  <c r="AM163" i="181"/>
  <c r="CI163" i="181"/>
  <c r="BK163" i="181"/>
  <c r="CU163" i="181"/>
  <c r="BE163" i="181"/>
  <c r="AA163" i="181"/>
  <c r="CC163" i="181"/>
  <c r="BK189" i="180"/>
  <c r="BQ189" i="180"/>
  <c r="DY189" i="180"/>
  <c r="FC189" i="180"/>
  <c r="AG189" i="180"/>
  <c r="AS189" i="180"/>
  <c r="O189" i="180"/>
  <c r="GG189" i="180"/>
  <c r="CC189" i="180"/>
  <c r="AM189" i="180"/>
  <c r="AY189" i="180"/>
  <c r="BW189" i="180"/>
  <c r="CI189" i="180"/>
  <c r="AA189" i="180"/>
  <c r="CO189" i="180"/>
  <c r="BE189" i="180"/>
  <c r="CU189" i="180"/>
  <c r="O61" i="180"/>
  <c r="BQ61" i="180"/>
  <c r="BW61" i="180"/>
  <c r="FC61" i="180"/>
  <c r="GG61" i="180"/>
  <c r="AM61" i="180"/>
  <c r="AS61" i="180"/>
  <c r="CC61" i="180"/>
  <c r="CI61" i="180"/>
  <c r="AY61" i="180"/>
  <c r="BE61" i="180"/>
  <c r="CO61" i="180"/>
  <c r="DY61" i="180"/>
  <c r="CU61" i="180"/>
  <c r="BK61" i="180"/>
  <c r="AG61" i="180"/>
  <c r="AA61" i="180"/>
  <c r="BQ177" i="180"/>
  <c r="AA177" i="180"/>
  <c r="AG177" i="180"/>
  <c r="FC177" i="180"/>
  <c r="GG177" i="180"/>
  <c r="AM177" i="180"/>
  <c r="CU177" i="180"/>
  <c r="BK177" i="180"/>
  <c r="AY177" i="180"/>
  <c r="BE177" i="180"/>
  <c r="BW177" i="180"/>
  <c r="CO177" i="180"/>
  <c r="CC177" i="180"/>
  <c r="DY177" i="180"/>
  <c r="O177" i="180"/>
  <c r="CI177" i="180"/>
  <c r="AS177" i="180"/>
  <c r="CC163" i="180"/>
  <c r="CI163" i="180"/>
  <c r="CO163" i="180"/>
  <c r="BQ163" i="180"/>
  <c r="AS163" i="180"/>
  <c r="BE163" i="180"/>
  <c r="AA163" i="180"/>
  <c r="FC163" i="180"/>
  <c r="BK163" i="180"/>
  <c r="AM163" i="180"/>
  <c r="DY163" i="180"/>
  <c r="GG163" i="180"/>
  <c r="BW163" i="180"/>
  <c r="AG163" i="180"/>
  <c r="CU163" i="180"/>
  <c r="O163" i="180"/>
  <c r="AY163" i="180"/>
  <c r="DY147" i="180"/>
  <c r="O147" i="180"/>
  <c r="BQ147" i="180"/>
  <c r="CC147" i="180"/>
  <c r="BW147" i="180"/>
  <c r="CI147" i="180"/>
  <c r="AM147" i="180"/>
  <c r="BE147" i="180"/>
  <c r="GG147" i="180"/>
  <c r="CU147" i="180"/>
  <c r="CO147" i="180"/>
  <c r="AA147" i="180"/>
  <c r="AY147" i="180"/>
  <c r="FC147" i="180"/>
  <c r="BK147" i="180"/>
  <c r="AS147" i="180"/>
  <c r="AG147" i="180"/>
  <c r="GG63" i="180"/>
  <c r="AM63" i="180"/>
  <c r="BW63" i="180"/>
  <c r="AS63" i="180"/>
  <c r="CC63" i="180"/>
  <c r="CI63" i="180"/>
  <c r="AY63" i="180"/>
  <c r="BE63" i="180"/>
  <c r="CO63" i="180"/>
  <c r="AA63" i="180"/>
  <c r="DY63" i="180"/>
  <c r="BQ63" i="180"/>
  <c r="AG63" i="180"/>
  <c r="CU63" i="180"/>
  <c r="FC63" i="180"/>
  <c r="BK63" i="180"/>
  <c r="O63" i="180"/>
  <c r="BE117" i="180"/>
  <c r="AY117" i="180"/>
  <c r="CU117" i="180"/>
  <c r="DY117" i="180"/>
  <c r="AA117" i="180"/>
  <c r="CO117" i="180"/>
  <c r="BK117" i="180"/>
  <c r="BQ117" i="180"/>
  <c r="AG117" i="180"/>
  <c r="AS117" i="180"/>
  <c r="FC117" i="180"/>
  <c r="GG117" i="180"/>
  <c r="CC117" i="180"/>
  <c r="BW117" i="180"/>
  <c r="CI117" i="180"/>
  <c r="AM117" i="180"/>
  <c r="O117" i="180"/>
  <c r="CI138" i="180"/>
  <c r="FC138" i="180"/>
  <c r="BE138" i="180"/>
  <c r="CU138" i="180"/>
  <c r="DY138" i="180"/>
  <c r="AY138" i="180"/>
  <c r="BQ138" i="180"/>
  <c r="AG138" i="180"/>
  <c r="CO138" i="180"/>
  <c r="O138" i="180"/>
  <c r="BK138" i="180"/>
  <c r="BW138" i="180"/>
  <c r="AM138" i="180"/>
  <c r="GG138" i="180"/>
  <c r="AS138" i="180"/>
  <c r="CC138" i="180"/>
  <c r="AA138" i="180"/>
  <c r="AG186" i="180"/>
  <c r="CU186" i="180"/>
  <c r="O186" i="180"/>
  <c r="CO186" i="180"/>
  <c r="BW186" i="180"/>
  <c r="FC186" i="180"/>
  <c r="CC186" i="180"/>
  <c r="GG186" i="180"/>
  <c r="AY186" i="180"/>
  <c r="AS186" i="180"/>
  <c r="AA186" i="180"/>
  <c r="BK186" i="180"/>
  <c r="AM186" i="180"/>
  <c r="BQ186" i="180"/>
  <c r="DY186" i="180"/>
  <c r="BE186" i="180"/>
  <c r="CI186" i="180"/>
  <c r="O150" i="180"/>
  <c r="CU150" i="180"/>
  <c r="FC150" i="180"/>
  <c r="AY150" i="180"/>
  <c r="AG150" i="180"/>
  <c r="AM150" i="180"/>
  <c r="BK150" i="180"/>
  <c r="BW150" i="180"/>
  <c r="AS150" i="180"/>
  <c r="BE150" i="180"/>
  <c r="CI150" i="180"/>
  <c r="GG150" i="180"/>
  <c r="AA150" i="180"/>
  <c r="CO150" i="180"/>
  <c r="BQ150" i="180"/>
  <c r="DY150" i="180"/>
  <c r="CC150" i="180"/>
  <c r="FC131" i="180"/>
  <c r="BK131" i="180"/>
  <c r="CO131" i="180"/>
  <c r="CU131" i="180"/>
  <c r="BE131" i="180"/>
  <c r="BQ131" i="180"/>
  <c r="AM131" i="180"/>
  <c r="BW131" i="180"/>
  <c r="AY131" i="180"/>
  <c r="GG131" i="180"/>
  <c r="AG131" i="180"/>
  <c r="AS131" i="180"/>
  <c r="AA131" i="180"/>
  <c r="CI131" i="180"/>
  <c r="DY131" i="180"/>
  <c r="O131" i="180"/>
  <c r="CC131" i="180"/>
  <c r="CC53" i="180"/>
  <c r="AY53" i="180"/>
  <c r="BK53" i="180"/>
  <c r="AG53" i="180"/>
  <c r="AM53" i="180"/>
  <c r="AA53" i="180"/>
  <c r="BE53" i="180"/>
  <c r="O53" i="180"/>
  <c r="DY53" i="180"/>
  <c r="AS53" i="180"/>
  <c r="CO53" i="180"/>
  <c r="CI53" i="180"/>
  <c r="BW53" i="180"/>
  <c r="GG53" i="180"/>
  <c r="CU53" i="180"/>
  <c r="FC53" i="180"/>
  <c r="BQ53" i="180"/>
  <c r="AG211" i="180"/>
  <c r="AS211" i="180"/>
  <c r="BQ211" i="180"/>
  <c r="CO211" i="180"/>
  <c r="CU211" i="180"/>
  <c r="CI211" i="180"/>
  <c r="DY211" i="180"/>
  <c r="AA211" i="180"/>
  <c r="GG211" i="180"/>
  <c r="FC211" i="180"/>
  <c r="O211" i="180"/>
  <c r="AM211" i="180"/>
  <c r="BW211" i="180"/>
  <c r="AY211" i="180"/>
  <c r="BE211" i="180"/>
  <c r="BK211" i="180"/>
  <c r="CC211" i="180"/>
  <c r="CI178" i="180"/>
  <c r="CC178" i="180"/>
  <c r="O178" i="180"/>
  <c r="DY178" i="180"/>
  <c r="BQ178" i="180"/>
  <c r="AA178" i="180"/>
  <c r="AG178" i="180"/>
  <c r="AY178" i="180"/>
  <c r="CU178" i="180"/>
  <c r="FC178" i="180"/>
  <c r="CO178" i="180"/>
  <c r="AS178" i="180"/>
  <c r="BW178" i="180"/>
  <c r="BK178" i="180"/>
  <c r="GG178" i="180"/>
  <c r="BE178" i="180"/>
  <c r="AM178" i="180"/>
  <c r="BW80" i="180"/>
  <c r="FC80" i="180"/>
  <c r="GG80" i="180"/>
  <c r="AM80" i="180"/>
  <c r="AS80" i="180"/>
  <c r="CC80" i="180"/>
  <c r="CO80" i="180"/>
  <c r="CI80" i="180"/>
  <c r="AY80" i="180"/>
  <c r="DY80" i="180"/>
  <c r="CU80" i="180"/>
  <c r="AG80" i="180"/>
  <c r="AA80" i="180"/>
  <c r="BK80" i="180"/>
  <c r="O80" i="180"/>
  <c r="BE80" i="180"/>
  <c r="BQ80" i="180"/>
  <c r="BW71" i="180"/>
  <c r="GG71" i="180"/>
  <c r="BQ71" i="180"/>
  <c r="CO71" i="180"/>
  <c r="CU71" i="180"/>
  <c r="BK71" i="180"/>
  <c r="CC71" i="180"/>
  <c r="DY71" i="180"/>
  <c r="BE71" i="180"/>
  <c r="AG71" i="180"/>
  <c r="AM71" i="180"/>
  <c r="O71" i="180"/>
  <c r="FC71" i="180"/>
  <c r="AS71" i="180"/>
  <c r="AY71" i="180"/>
  <c r="CI71" i="180"/>
  <c r="AA71" i="180"/>
  <c r="AA125" i="180"/>
  <c r="AY125" i="180"/>
  <c r="CI125" i="180"/>
  <c r="O125" i="180"/>
  <c r="BE125" i="180"/>
  <c r="AG125" i="180"/>
  <c r="GG125" i="180"/>
  <c r="BK125" i="180"/>
  <c r="CO125" i="180"/>
  <c r="AM125" i="180"/>
  <c r="AS125" i="180"/>
  <c r="FC125" i="180"/>
  <c r="CU125" i="180"/>
  <c r="DY125" i="180"/>
  <c r="BQ125" i="180"/>
  <c r="BW125" i="180"/>
  <c r="CC125" i="180"/>
  <c r="CU144" i="180"/>
  <c r="CC144" i="180"/>
  <c r="CI144" i="180"/>
  <c r="AY144" i="180"/>
  <c r="AA144" i="180"/>
  <c r="BW144" i="180"/>
  <c r="CO144" i="180"/>
  <c r="GG144" i="180"/>
  <c r="BE144" i="180"/>
  <c r="AM144" i="180"/>
  <c r="FC144" i="180"/>
  <c r="DY144" i="180"/>
  <c r="AS144" i="180"/>
  <c r="BQ144" i="180"/>
  <c r="O144" i="180"/>
  <c r="AG144" i="180"/>
  <c r="BK144" i="180"/>
  <c r="BW208" i="180"/>
  <c r="BQ208" i="180"/>
  <c r="AM208" i="180"/>
  <c r="CI208" i="180"/>
  <c r="AS208" i="180"/>
  <c r="CO208" i="180"/>
  <c r="CC208" i="180"/>
  <c r="BK208" i="180"/>
  <c r="AY208" i="180"/>
  <c r="AG208" i="180"/>
  <c r="GG208" i="180"/>
  <c r="DY208" i="180"/>
  <c r="FC208" i="180"/>
  <c r="AA208" i="180"/>
  <c r="BE208" i="180"/>
  <c r="O208" i="180"/>
  <c r="CU208" i="180"/>
  <c r="CU168" i="180"/>
  <c r="BK168" i="180"/>
  <c r="DY168" i="180"/>
  <c r="AA168" i="180"/>
  <c r="AG168" i="180"/>
  <c r="BQ168" i="180"/>
  <c r="BE168" i="180"/>
  <c r="CC168" i="180"/>
  <c r="FC168" i="180"/>
  <c r="GG168" i="180"/>
  <c r="AM168" i="180"/>
  <c r="AS168" i="180"/>
  <c r="CO168" i="180"/>
  <c r="O168" i="180"/>
  <c r="BW168" i="180"/>
  <c r="CI168" i="180"/>
  <c r="AY168" i="180"/>
  <c r="DY202" i="180"/>
  <c r="BW202" i="180"/>
  <c r="AS202" i="180"/>
  <c r="BK202" i="180"/>
  <c r="AG202" i="180"/>
  <c r="CO202" i="180"/>
  <c r="BE202" i="180"/>
  <c r="AY202" i="180"/>
  <c r="GG202" i="180"/>
  <c r="AA202" i="180"/>
  <c r="CU202" i="180"/>
  <c r="BQ202" i="180"/>
  <c r="O202" i="180"/>
  <c r="CI202" i="180"/>
  <c r="FC202" i="180"/>
  <c r="AM202" i="180"/>
  <c r="CC202" i="180"/>
  <c r="BK122" i="179"/>
  <c r="BE122" i="179"/>
  <c r="DY122" i="179"/>
  <c r="CU122" i="179"/>
  <c r="BQ122" i="179"/>
  <c r="AG122" i="179"/>
  <c r="CI122" i="179"/>
  <c r="FC122" i="179"/>
  <c r="O122" i="179"/>
  <c r="AM122" i="179"/>
  <c r="BW122" i="179"/>
  <c r="CC122" i="179"/>
  <c r="GG122" i="179"/>
  <c r="AY122" i="179"/>
  <c r="AS122" i="179"/>
  <c r="CO122" i="179"/>
  <c r="AA122" i="179"/>
  <c r="AY175" i="179"/>
  <c r="AG175" i="179"/>
  <c r="DY175" i="179"/>
  <c r="AS175" i="179"/>
  <c r="CI175" i="179"/>
  <c r="AM175" i="179"/>
  <c r="CC175" i="179"/>
  <c r="BK175" i="179"/>
  <c r="BQ175" i="179"/>
  <c r="AA175" i="179"/>
  <c r="CO175" i="179"/>
  <c r="GG175" i="179"/>
  <c r="CU175" i="179"/>
  <c r="FC175" i="179"/>
  <c r="BE175" i="179"/>
  <c r="BW175" i="179"/>
  <c r="CO207" i="179"/>
  <c r="GG207" i="179"/>
  <c r="AS207" i="179"/>
  <c r="O207" i="179"/>
  <c r="AY207" i="179"/>
  <c r="AA207" i="179"/>
  <c r="BQ207" i="179"/>
  <c r="BE207" i="179"/>
  <c r="FC207" i="179"/>
  <c r="DY207" i="179"/>
  <c r="CU207" i="179"/>
  <c r="CI207" i="179"/>
  <c r="AG207" i="179"/>
  <c r="AM207" i="179"/>
  <c r="BK207" i="179"/>
  <c r="BW207" i="179"/>
  <c r="CC207" i="179"/>
  <c r="AM71" i="179"/>
  <c r="CO71" i="179"/>
  <c r="CC71" i="179"/>
  <c r="AY71" i="179"/>
  <c r="BK71" i="179"/>
  <c r="BQ71" i="179"/>
  <c r="DY71" i="179"/>
  <c r="AS71" i="179"/>
  <c r="CI71" i="179"/>
  <c r="O71" i="179"/>
  <c r="BW71" i="179"/>
  <c r="CU71" i="179"/>
  <c r="BE71" i="179"/>
  <c r="AG71" i="179"/>
  <c r="FC71" i="179"/>
  <c r="AA71" i="179"/>
  <c r="GG71" i="179"/>
  <c r="AA153" i="179"/>
  <c r="BK153" i="179"/>
  <c r="BE153" i="179"/>
  <c r="AM153" i="179"/>
  <c r="O153" i="179"/>
  <c r="BW153" i="179"/>
  <c r="CU153" i="179"/>
  <c r="FC153" i="179"/>
  <c r="CO153" i="179"/>
  <c r="AG153" i="179"/>
  <c r="BQ153" i="179"/>
  <c r="AY153" i="179"/>
  <c r="GG153" i="179"/>
  <c r="CC153" i="179"/>
  <c r="CI153" i="179"/>
  <c r="DY153" i="179"/>
  <c r="AS153" i="179"/>
  <c r="AG204" i="179"/>
  <c r="DY204" i="179"/>
  <c r="O204" i="179"/>
  <c r="AY204" i="179"/>
  <c r="CO204" i="179"/>
  <c r="CU204" i="179"/>
  <c r="BQ204" i="179"/>
  <c r="AM204" i="179"/>
  <c r="CI204" i="179"/>
  <c r="AA204" i="179"/>
  <c r="AS204" i="179"/>
  <c r="FC204" i="179"/>
  <c r="CC204" i="179"/>
  <c r="BE204" i="179"/>
  <c r="BK204" i="179"/>
  <c r="GG204" i="179"/>
  <c r="BW204" i="179"/>
  <c r="AG165" i="179"/>
  <c r="BE165" i="179"/>
  <c r="O165" i="179"/>
  <c r="BQ165" i="179"/>
  <c r="BW165" i="179"/>
  <c r="AA165" i="179"/>
  <c r="FC165" i="179"/>
  <c r="BK165" i="179"/>
  <c r="AM165" i="179"/>
  <c r="GG165" i="179"/>
  <c r="CC165" i="179"/>
  <c r="CO165" i="179"/>
  <c r="AY165" i="179"/>
  <c r="CI165" i="179"/>
  <c r="DY165" i="179"/>
  <c r="CU165" i="179"/>
  <c r="AS165" i="179"/>
  <c r="AM48" i="179"/>
  <c r="CC48" i="179"/>
  <c r="BE48" i="179"/>
  <c r="CU48" i="179"/>
  <c r="CI48" i="179"/>
  <c r="BK48" i="179"/>
  <c r="AY48" i="179"/>
  <c r="AS48" i="179"/>
  <c r="O48" i="179"/>
  <c r="BW48" i="179"/>
  <c r="BQ48" i="179"/>
  <c r="AG48" i="179"/>
  <c r="AA48" i="179"/>
  <c r="FC48" i="179"/>
  <c r="DY48" i="179"/>
  <c r="GG48" i="179"/>
  <c r="CO48" i="179"/>
  <c r="GG136" i="179"/>
  <c r="O136" i="179"/>
  <c r="CO136" i="179"/>
  <c r="BE136" i="179"/>
  <c r="AS136" i="179"/>
  <c r="CU136" i="179"/>
  <c r="BW136" i="179"/>
  <c r="AA136" i="179"/>
  <c r="AG136" i="179"/>
  <c r="FC136" i="179"/>
  <c r="DY136" i="179"/>
  <c r="AM136" i="179"/>
  <c r="CI136" i="179"/>
  <c r="CC136" i="179"/>
  <c r="AY136" i="179"/>
  <c r="BK136" i="179"/>
  <c r="BQ136" i="179"/>
  <c r="AA152" i="179"/>
  <c r="AY152" i="179"/>
  <c r="BK152" i="179"/>
  <c r="DY152" i="179"/>
  <c r="AS152" i="179"/>
  <c r="CI152" i="179"/>
  <c r="CC152" i="179"/>
  <c r="GG152" i="179"/>
  <c r="CO152" i="179"/>
  <c r="FC152" i="179"/>
  <c r="AM152" i="179"/>
  <c r="BE152" i="179"/>
  <c r="AG152" i="179"/>
  <c r="BW152" i="179"/>
  <c r="CU152" i="179"/>
  <c r="O152" i="179"/>
  <c r="BQ152" i="179"/>
  <c r="CO167" i="179"/>
  <c r="BQ167" i="179"/>
  <c r="BK167" i="179"/>
  <c r="O167" i="179"/>
  <c r="BE167" i="179"/>
  <c r="AA167" i="179"/>
  <c r="AG167" i="179"/>
  <c r="CU167" i="179"/>
  <c r="GG167" i="179"/>
  <c r="DY167" i="179"/>
  <c r="BW167" i="179"/>
  <c r="AS167" i="179"/>
  <c r="CC167" i="179"/>
  <c r="CI167" i="179"/>
  <c r="AM167" i="179"/>
  <c r="AY167" i="179"/>
  <c r="FC167" i="179"/>
  <c r="CC55" i="179"/>
  <c r="GG55" i="179"/>
  <c r="AY55" i="179"/>
  <c r="AS55" i="179"/>
  <c r="CO55" i="179"/>
  <c r="CI55" i="179"/>
  <c r="BK55" i="179"/>
  <c r="BE55" i="179"/>
  <c r="BQ55" i="179"/>
  <c r="AG55" i="179"/>
  <c r="CU55" i="179"/>
  <c r="FC55" i="179"/>
  <c r="O55" i="179"/>
  <c r="AM55" i="179"/>
  <c r="DY55" i="179"/>
  <c r="BW55" i="179"/>
  <c r="AA55" i="179"/>
  <c r="BK209" i="179"/>
  <c r="AA209" i="179"/>
  <c r="CI209" i="179"/>
  <c r="BQ209" i="179"/>
  <c r="AS209" i="179"/>
  <c r="FC209" i="179"/>
  <c r="CO209" i="179"/>
  <c r="AM209" i="179"/>
  <c r="AG209" i="179"/>
  <c r="GG209" i="179"/>
  <c r="AY209" i="179"/>
  <c r="O209" i="179"/>
  <c r="BW209" i="179"/>
  <c r="CC209" i="179"/>
  <c r="BE209" i="179"/>
  <c r="DY209" i="179"/>
  <c r="CU209" i="179"/>
  <c r="AA64" i="179"/>
  <c r="BQ64" i="179"/>
  <c r="DY64" i="179"/>
  <c r="AY64" i="179"/>
  <c r="AG64" i="179"/>
  <c r="CI64" i="179"/>
  <c r="O64" i="179"/>
  <c r="AS64" i="179"/>
  <c r="BW64" i="179"/>
  <c r="CC64" i="179"/>
  <c r="BE64" i="179"/>
  <c r="BK64" i="179"/>
  <c r="FC64" i="179"/>
  <c r="GG64" i="179"/>
  <c r="CU64" i="179"/>
  <c r="CO64" i="179"/>
  <c r="AM64" i="179"/>
  <c r="AS156" i="179"/>
  <c r="O156" i="179"/>
  <c r="BW156" i="179"/>
  <c r="GG156" i="179"/>
  <c r="BQ156" i="179"/>
  <c r="CU156" i="179"/>
  <c r="AA156" i="179"/>
  <c r="AG156" i="179"/>
  <c r="CO156" i="179"/>
  <c r="BK156" i="179"/>
  <c r="AM156" i="179"/>
  <c r="CC156" i="179"/>
  <c r="BE156" i="179"/>
  <c r="CI156" i="179"/>
  <c r="AY156" i="179"/>
  <c r="FC156" i="179"/>
  <c r="DY156" i="179"/>
  <c r="AY157" i="179"/>
  <c r="AA157" i="179"/>
  <c r="CO157" i="179"/>
  <c r="CI157" i="179"/>
  <c r="BW157" i="179"/>
  <c r="BK157" i="179"/>
  <c r="O157" i="179"/>
  <c r="DY157" i="179"/>
  <c r="CC157" i="179"/>
  <c r="BE157" i="179"/>
  <c r="AG157" i="179"/>
  <c r="AM157" i="179"/>
  <c r="CU157" i="179"/>
  <c r="FC157" i="179"/>
  <c r="GG157" i="179"/>
  <c r="BQ157" i="179"/>
  <c r="AS157" i="179"/>
  <c r="BQ76" i="179"/>
  <c r="AG76" i="179"/>
  <c r="FC76" i="179"/>
  <c r="O76" i="179"/>
  <c r="AM76" i="179"/>
  <c r="BW76" i="179"/>
  <c r="CC76" i="179"/>
  <c r="GG76" i="179"/>
  <c r="CO76" i="179"/>
  <c r="BE76" i="179"/>
  <c r="CU76" i="179"/>
  <c r="BK76" i="179"/>
  <c r="CI76" i="179"/>
  <c r="AA76" i="179"/>
  <c r="AY76" i="179"/>
  <c r="DY76" i="179"/>
  <c r="AS76" i="179"/>
  <c r="AA54" i="179"/>
  <c r="DY54" i="179"/>
  <c r="BQ54" i="179"/>
  <c r="AG54" i="179"/>
  <c r="FC54" i="179"/>
  <c r="O54" i="179"/>
  <c r="AM54" i="179"/>
  <c r="BW54" i="179"/>
  <c r="AY54" i="179"/>
  <c r="AS54" i="179"/>
  <c r="CO54" i="179"/>
  <c r="CI54" i="179"/>
  <c r="GG54" i="179"/>
  <c r="BE54" i="179"/>
  <c r="CU54" i="179"/>
  <c r="CC54" i="179"/>
  <c r="BK54" i="179"/>
  <c r="BQ163" i="179"/>
  <c r="O163" i="179"/>
  <c r="FC163" i="179"/>
  <c r="CI163" i="179"/>
  <c r="AM163" i="179"/>
  <c r="BW163" i="179"/>
  <c r="AS163" i="179"/>
  <c r="GG163" i="179"/>
  <c r="BK163" i="179"/>
  <c r="CC163" i="179"/>
  <c r="CU163" i="179"/>
  <c r="BE163" i="179"/>
  <c r="AY163" i="179"/>
  <c r="AG163" i="179"/>
  <c r="CO163" i="179"/>
  <c r="AA163" i="179"/>
  <c r="DY163" i="179"/>
  <c r="CU191" i="179"/>
  <c r="BQ191" i="179"/>
  <c r="CC191" i="179"/>
  <c r="BW191" i="179"/>
  <c r="DY191" i="179"/>
  <c r="AG191" i="179"/>
  <c r="AY191" i="179"/>
  <c r="FC191" i="179"/>
  <c r="O191" i="179"/>
  <c r="BK191" i="179"/>
  <c r="AS191" i="179"/>
  <c r="CI191" i="179"/>
  <c r="AA191" i="179"/>
  <c r="GG191" i="179"/>
  <c r="CO191" i="179"/>
  <c r="AM191" i="179"/>
  <c r="BE191" i="179"/>
  <c r="CU137" i="179"/>
  <c r="GG137" i="179"/>
  <c r="AM137" i="179"/>
  <c r="AA137" i="179"/>
  <c r="O137" i="179"/>
  <c r="AS137" i="179"/>
  <c r="CC137" i="179"/>
  <c r="FC137" i="179"/>
  <c r="BE137" i="179"/>
  <c r="DY137" i="179"/>
  <c r="BW137" i="179"/>
  <c r="AG137" i="179"/>
  <c r="CI137" i="179"/>
  <c r="BK137" i="179"/>
  <c r="AY137" i="179"/>
  <c r="BQ137" i="179"/>
  <c r="CO137" i="179"/>
  <c r="AS99" i="183"/>
  <c r="CC99" i="183"/>
  <c r="CI99" i="183"/>
  <c r="AY99" i="183"/>
  <c r="BE99" i="183"/>
  <c r="AG99" i="183"/>
  <c r="CU99" i="183"/>
  <c r="DY99" i="183"/>
  <c r="AA99" i="183"/>
  <c r="CO99" i="183"/>
  <c r="BK99" i="183"/>
  <c r="BQ99" i="183"/>
  <c r="O99" i="183"/>
  <c r="GG99" i="183"/>
  <c r="AM99" i="183"/>
  <c r="BW99" i="183"/>
  <c r="FC99" i="183"/>
  <c r="O53" i="183"/>
  <c r="BQ53" i="183"/>
  <c r="BW53" i="183"/>
  <c r="FC53" i="183"/>
  <c r="GG53" i="183"/>
  <c r="AM53" i="183"/>
  <c r="AS53" i="183"/>
  <c r="CC53" i="183"/>
  <c r="CI53" i="183"/>
  <c r="AY53" i="183"/>
  <c r="BK53" i="183"/>
  <c r="BE53" i="183"/>
  <c r="CO53" i="183"/>
  <c r="DY53" i="183"/>
  <c r="CU53" i="183"/>
  <c r="AG53" i="183"/>
  <c r="AA53" i="183"/>
  <c r="BE164" i="183"/>
  <c r="BW164" i="183"/>
  <c r="CU164" i="183"/>
  <c r="FC164" i="183"/>
  <c r="AA164" i="183"/>
  <c r="BQ164" i="183"/>
  <c r="CC164" i="183"/>
  <c r="AM164" i="183"/>
  <c r="BK164" i="183"/>
  <c r="AS164" i="183"/>
  <c r="DY164" i="183"/>
  <c r="GG164" i="183"/>
  <c r="AG164" i="183"/>
  <c r="CO164" i="183"/>
  <c r="CI164" i="183"/>
  <c r="O164" i="183"/>
  <c r="AY164" i="183"/>
  <c r="AS176" i="183"/>
  <c r="AY176" i="183"/>
  <c r="GG176" i="183"/>
  <c r="AM176" i="183"/>
  <c r="DY176" i="183"/>
  <c r="FC176" i="183"/>
  <c r="CC176" i="183"/>
  <c r="AA176" i="183"/>
  <c r="BK176" i="183"/>
  <c r="BW176" i="183"/>
  <c r="AG176" i="183"/>
  <c r="BQ176" i="183"/>
  <c r="CI176" i="183"/>
  <c r="O176" i="183"/>
  <c r="BE176" i="183"/>
  <c r="CU176" i="183"/>
  <c r="CO176" i="183"/>
  <c r="AA70" i="183"/>
  <c r="DY70" i="183"/>
  <c r="FC70" i="183"/>
  <c r="O70" i="183"/>
  <c r="GG70" i="183"/>
  <c r="AM70" i="183"/>
  <c r="CU70" i="183"/>
  <c r="BK70" i="183"/>
  <c r="AS70" i="183"/>
  <c r="AG70" i="183"/>
  <c r="CI70" i="183"/>
  <c r="BW70" i="183"/>
  <c r="BE70" i="183"/>
  <c r="BQ70" i="183"/>
  <c r="CC70" i="183"/>
  <c r="CO70" i="183"/>
  <c r="AY70" i="183"/>
  <c r="AG154" i="183"/>
  <c r="BK154" i="183"/>
  <c r="O154" i="183"/>
  <c r="CO154" i="183"/>
  <c r="BW154" i="183"/>
  <c r="FC154" i="183"/>
  <c r="BE154" i="183"/>
  <c r="GG154" i="183"/>
  <c r="AM154" i="183"/>
  <c r="CU154" i="183"/>
  <c r="AS154" i="183"/>
  <c r="AA154" i="183"/>
  <c r="AY154" i="183"/>
  <c r="DY154" i="183"/>
  <c r="CI154" i="183"/>
  <c r="BQ154" i="183"/>
  <c r="CC154" i="183"/>
  <c r="FC169" i="183"/>
  <c r="BQ169" i="183"/>
  <c r="CO169" i="183"/>
  <c r="AM169" i="183"/>
  <c r="BK169" i="183"/>
  <c r="CC169" i="183"/>
  <c r="AG169" i="183"/>
  <c r="CI169" i="183"/>
  <c r="AY169" i="183"/>
  <c r="BE169" i="183"/>
  <c r="GG169" i="183"/>
  <c r="CU169" i="183"/>
  <c r="O169" i="183"/>
  <c r="BW169" i="183"/>
  <c r="AS169" i="183"/>
  <c r="AA169" i="183"/>
  <c r="DY169" i="183"/>
  <c r="FC145" i="183"/>
  <c r="O145" i="183"/>
  <c r="AM145" i="183"/>
  <c r="CI145" i="183"/>
  <c r="AY145" i="183"/>
  <c r="BE145" i="183"/>
  <c r="BW145" i="183"/>
  <c r="CO145" i="183"/>
  <c r="CC145" i="183"/>
  <c r="BK145" i="183"/>
  <c r="DY145" i="183"/>
  <c r="CU145" i="183"/>
  <c r="AG145" i="183"/>
  <c r="BQ145" i="183"/>
  <c r="AS145" i="183"/>
  <c r="AA145" i="183"/>
  <c r="GG145" i="183"/>
  <c r="AM71" i="183"/>
  <c r="BW71" i="183"/>
  <c r="CC71" i="183"/>
  <c r="GG71" i="183"/>
  <c r="CI71" i="183"/>
  <c r="AY71" i="183"/>
  <c r="AS71" i="183"/>
  <c r="BE71" i="183"/>
  <c r="CO71" i="183"/>
  <c r="CU71" i="183"/>
  <c r="BK71" i="183"/>
  <c r="AA71" i="183"/>
  <c r="DY71" i="183"/>
  <c r="AG71" i="183"/>
  <c r="O71" i="183"/>
  <c r="BQ71" i="183"/>
  <c r="FC71" i="183"/>
  <c r="AA151" i="183"/>
  <c r="O151" i="183"/>
  <c r="BW151" i="183"/>
  <c r="FC151" i="183"/>
  <c r="AM151" i="183"/>
  <c r="GG151" i="183"/>
  <c r="CC151" i="183"/>
  <c r="AS151" i="183"/>
  <c r="BE151" i="183"/>
  <c r="AY151" i="183"/>
  <c r="DY151" i="183"/>
  <c r="CO151" i="183"/>
  <c r="CU151" i="183"/>
  <c r="BK151" i="183"/>
  <c r="BQ151" i="183"/>
  <c r="CI151" i="183"/>
  <c r="AG151" i="183"/>
  <c r="BQ195" i="183"/>
  <c r="CO195" i="183"/>
  <c r="AG195" i="183"/>
  <c r="AS195" i="183"/>
  <c r="CU195" i="183"/>
  <c r="BK195" i="183"/>
  <c r="AA195" i="183"/>
  <c r="GG195" i="183"/>
  <c r="DY195" i="183"/>
  <c r="AM195" i="183"/>
  <c r="O195" i="183"/>
  <c r="BW195" i="183"/>
  <c r="FC195" i="183"/>
  <c r="CI195" i="183"/>
  <c r="CC195" i="183"/>
  <c r="BE195" i="183"/>
  <c r="AY195" i="183"/>
  <c r="CI191" i="183"/>
  <c r="CO191" i="183"/>
  <c r="GG191" i="183"/>
  <c r="FC191" i="183"/>
  <c r="BE191" i="183"/>
  <c r="DY191" i="183"/>
  <c r="CU191" i="183"/>
  <c r="O191" i="183"/>
  <c r="AY191" i="183"/>
  <c r="BQ191" i="183"/>
  <c r="AG191" i="183"/>
  <c r="AM191" i="183"/>
  <c r="AA191" i="183"/>
  <c r="CC191" i="183"/>
  <c r="BW191" i="183"/>
  <c r="AS191" i="183"/>
  <c r="BK191" i="183"/>
  <c r="AG137" i="183"/>
  <c r="CU137" i="183"/>
  <c r="O137" i="183"/>
  <c r="BQ137" i="183"/>
  <c r="BW137" i="183"/>
  <c r="FC137" i="183"/>
  <c r="GG137" i="183"/>
  <c r="AM137" i="183"/>
  <c r="AS137" i="183"/>
  <c r="BK137" i="183"/>
  <c r="CC137" i="183"/>
  <c r="BE137" i="183"/>
  <c r="DY137" i="183"/>
  <c r="CO137" i="183"/>
  <c r="AA137" i="183"/>
  <c r="AY137" i="183"/>
  <c r="CI137" i="183"/>
  <c r="BW181" i="183"/>
  <c r="FC181" i="183"/>
  <c r="GG181" i="183"/>
  <c r="AM181" i="183"/>
  <c r="AS181" i="183"/>
  <c r="BE181" i="183"/>
  <c r="CC181" i="183"/>
  <c r="BQ181" i="183"/>
  <c r="DY181" i="183"/>
  <c r="CO181" i="183"/>
  <c r="CU181" i="183"/>
  <c r="AG181" i="183"/>
  <c r="CI181" i="183"/>
  <c r="O181" i="183"/>
  <c r="BK181" i="183"/>
  <c r="AY181" i="183"/>
  <c r="AA181" i="183"/>
  <c r="GG56" i="183"/>
  <c r="AM56" i="183"/>
  <c r="BW56" i="183"/>
  <c r="AS56" i="183"/>
  <c r="CC56" i="183"/>
  <c r="CI56" i="183"/>
  <c r="AY56" i="183"/>
  <c r="BE56" i="183"/>
  <c r="CO56" i="183"/>
  <c r="CU56" i="183"/>
  <c r="BK56" i="183"/>
  <c r="AA56" i="183"/>
  <c r="DY56" i="183"/>
  <c r="FC56" i="183"/>
  <c r="O56" i="183"/>
  <c r="BQ56" i="183"/>
  <c r="AG56" i="183"/>
  <c r="CC106" i="183"/>
  <c r="BQ106" i="183"/>
  <c r="AM106" i="183"/>
  <c r="CI106" i="183"/>
  <c r="BE106" i="183"/>
  <c r="AA106" i="183"/>
  <c r="CU106" i="183"/>
  <c r="O106" i="183"/>
  <c r="BK106" i="183"/>
  <c r="AS106" i="183"/>
  <c r="BW106" i="183"/>
  <c r="GG106" i="183"/>
  <c r="CO106" i="183"/>
  <c r="DY106" i="183"/>
  <c r="FC106" i="183"/>
  <c r="AY106" i="183"/>
  <c r="AG106" i="183"/>
  <c r="CC160" i="183"/>
  <c r="CI160" i="183"/>
  <c r="BK160" i="183"/>
  <c r="AY160" i="183"/>
  <c r="AA160" i="183"/>
  <c r="DY160" i="183"/>
  <c r="CU160" i="183"/>
  <c r="AG160" i="183"/>
  <c r="BQ160" i="183"/>
  <c r="O160" i="183"/>
  <c r="AS160" i="183"/>
  <c r="BW160" i="183"/>
  <c r="CO160" i="183"/>
  <c r="AM160" i="183"/>
  <c r="BE160" i="183"/>
  <c r="FC160" i="183"/>
  <c r="GG160" i="183"/>
  <c r="O180" i="183"/>
  <c r="AS180" i="183"/>
  <c r="BW180" i="183"/>
  <c r="BQ180" i="183"/>
  <c r="FC180" i="183"/>
  <c r="CI180" i="183"/>
  <c r="AM180" i="183"/>
  <c r="CU180" i="183"/>
  <c r="CC180" i="183"/>
  <c r="AA180" i="183"/>
  <c r="BK180" i="183"/>
  <c r="AY180" i="183"/>
  <c r="BE180" i="183"/>
  <c r="AG180" i="183"/>
  <c r="CO180" i="183"/>
  <c r="DY180" i="183"/>
  <c r="GG180" i="183"/>
  <c r="O111" i="183"/>
  <c r="GG111" i="183"/>
  <c r="CO111" i="183"/>
  <c r="FC111" i="183"/>
  <c r="AA111" i="183"/>
  <c r="CC111" i="183"/>
  <c r="CI111" i="183"/>
  <c r="BK111" i="183"/>
  <c r="BE111" i="183"/>
  <c r="AG111" i="183"/>
  <c r="BW111" i="183"/>
  <c r="AM111" i="183"/>
  <c r="AS111" i="183"/>
  <c r="BQ111" i="183"/>
  <c r="DY111" i="183"/>
  <c r="CU111" i="183"/>
  <c r="AY111" i="183"/>
  <c r="O185" i="183"/>
  <c r="CI185" i="183"/>
  <c r="BQ185" i="183"/>
  <c r="BE185" i="183"/>
  <c r="FC185" i="183"/>
  <c r="AA185" i="183"/>
  <c r="AM185" i="183"/>
  <c r="GG185" i="183"/>
  <c r="CO185" i="183"/>
  <c r="CC185" i="183"/>
  <c r="AY185" i="183"/>
  <c r="BK185" i="183"/>
  <c r="BW185" i="183"/>
  <c r="DY185" i="183"/>
  <c r="AS185" i="183"/>
  <c r="AG185" i="183"/>
  <c r="CU185" i="183"/>
  <c r="BK202" i="183"/>
  <c r="CO202" i="183"/>
  <c r="AM202" i="183"/>
  <c r="FC202" i="183"/>
  <c r="BQ202" i="183"/>
  <c r="AA202" i="183"/>
  <c r="CU202" i="183"/>
  <c r="BE202" i="183"/>
  <c r="AS202" i="183"/>
  <c r="GG202" i="183"/>
  <c r="CI202" i="183"/>
  <c r="AY202" i="183"/>
  <c r="CC202" i="183"/>
  <c r="BW202" i="183"/>
  <c r="O202" i="183"/>
  <c r="DY202" i="183"/>
  <c r="AG202" i="183"/>
  <c r="CO71" i="182"/>
  <c r="GG71" i="182"/>
  <c r="CU71" i="182"/>
  <c r="BK71" i="182"/>
  <c r="BE71" i="182"/>
  <c r="AA71" i="182"/>
  <c r="DY71" i="182"/>
  <c r="BQ71" i="182"/>
  <c r="AG71" i="182"/>
  <c r="FC71" i="182"/>
  <c r="O71" i="182"/>
  <c r="AM71" i="182"/>
  <c r="BW71" i="182"/>
  <c r="CC71" i="182"/>
  <c r="AS71" i="182"/>
  <c r="AY71" i="182"/>
  <c r="CI71" i="182"/>
  <c r="BQ129" i="182"/>
  <c r="AS129" i="182"/>
  <c r="FC129" i="182"/>
  <c r="O129" i="182"/>
  <c r="AM129" i="182"/>
  <c r="AG129" i="182"/>
  <c r="DY129" i="182"/>
  <c r="GG129" i="182"/>
  <c r="CI129" i="182"/>
  <c r="BE129" i="182"/>
  <c r="CC129" i="182"/>
  <c r="BW129" i="182"/>
  <c r="CU129" i="182"/>
  <c r="BK129" i="182"/>
  <c r="AY129" i="182"/>
  <c r="AA129" i="182"/>
  <c r="CO129" i="182"/>
  <c r="CU173" i="182"/>
  <c r="O173" i="182"/>
  <c r="AY173" i="182"/>
  <c r="AS173" i="182"/>
  <c r="CC173" i="182"/>
  <c r="FC173" i="182"/>
  <c r="CO173" i="182"/>
  <c r="DY173" i="182"/>
  <c r="BK173" i="182"/>
  <c r="AA173" i="182"/>
  <c r="BW173" i="182"/>
  <c r="BE173" i="182"/>
  <c r="BQ173" i="182"/>
  <c r="GG173" i="182"/>
  <c r="CI173" i="182"/>
  <c r="AM173" i="182"/>
  <c r="AG173" i="182"/>
  <c r="CC61" i="182"/>
  <c r="CO61" i="182"/>
  <c r="CI61" i="182"/>
  <c r="AY61" i="182"/>
  <c r="O61" i="182"/>
  <c r="BE61" i="182"/>
  <c r="GG61" i="182"/>
  <c r="CU61" i="182"/>
  <c r="AS61" i="182"/>
  <c r="AA61" i="182"/>
  <c r="BW61" i="182"/>
  <c r="BQ61" i="182"/>
  <c r="DY61" i="182"/>
  <c r="FC61" i="182"/>
  <c r="AG61" i="182"/>
  <c r="AM61" i="182"/>
  <c r="BK61" i="182"/>
  <c r="CC149" i="182"/>
  <c r="BW149" i="182"/>
  <c r="GG149" i="182"/>
  <c r="AY149" i="182"/>
  <c r="BQ149" i="182"/>
  <c r="AS149" i="182"/>
  <c r="CO149" i="182"/>
  <c r="CI149" i="182"/>
  <c r="BK149" i="182"/>
  <c r="CU149" i="182"/>
  <c r="AG149" i="182"/>
  <c r="AA149" i="182"/>
  <c r="BE149" i="182"/>
  <c r="FC149" i="182"/>
  <c r="DY149" i="182"/>
  <c r="AM149" i="182"/>
  <c r="O149" i="182"/>
  <c r="BQ91" i="182"/>
  <c r="O91" i="182"/>
  <c r="FC91" i="182"/>
  <c r="BK91" i="182"/>
  <c r="GG91" i="182"/>
  <c r="AM91" i="182"/>
  <c r="AG91" i="182"/>
  <c r="AS91" i="182"/>
  <c r="CC91" i="182"/>
  <c r="CI91" i="182"/>
  <c r="CO91" i="182"/>
  <c r="BE91" i="182"/>
  <c r="BW91" i="182"/>
  <c r="CU91" i="182"/>
  <c r="DY91" i="182"/>
  <c r="AA91" i="182"/>
  <c r="AY91" i="182"/>
  <c r="GG197" i="182"/>
  <c r="BE197" i="182"/>
  <c r="FC197" i="182"/>
  <c r="CO197" i="182"/>
  <c r="CU197" i="182"/>
  <c r="BK197" i="182"/>
  <c r="AY197" i="182"/>
  <c r="AG197" i="182"/>
  <c r="BQ197" i="182"/>
  <c r="O197" i="182"/>
  <c r="CI197" i="182"/>
  <c r="DY197" i="182"/>
  <c r="CC197" i="182"/>
  <c r="AS197" i="182"/>
  <c r="AM197" i="182"/>
  <c r="AA197" i="182"/>
  <c r="BW197" i="182"/>
  <c r="AY75" i="182"/>
  <c r="AS75" i="182"/>
  <c r="CC75" i="182"/>
  <c r="CO75" i="182"/>
  <c r="CI75" i="182"/>
  <c r="BK75" i="182"/>
  <c r="BE75" i="182"/>
  <c r="DY75" i="182"/>
  <c r="BQ75" i="182"/>
  <c r="AG75" i="182"/>
  <c r="FC75" i="182"/>
  <c r="O75" i="182"/>
  <c r="CU75" i="182"/>
  <c r="BW75" i="182"/>
  <c r="AM75" i="182"/>
  <c r="GG75" i="182"/>
  <c r="AA75" i="182"/>
  <c r="BW212" i="182"/>
  <c r="AG212" i="182"/>
  <c r="DY212" i="182"/>
  <c r="CO212" i="182"/>
  <c r="BK212" i="182"/>
  <c r="AS212" i="182"/>
  <c r="CI212" i="182"/>
  <c r="CC212" i="182"/>
  <c r="CU212" i="182"/>
  <c r="BE212" i="182"/>
  <c r="O212" i="182"/>
  <c r="BQ212" i="182"/>
  <c r="AA212" i="182"/>
  <c r="FC212" i="182"/>
  <c r="GG212" i="182"/>
  <c r="AM212" i="182"/>
  <c r="AY212" i="182"/>
  <c r="AM123" i="182"/>
  <c r="BK123" i="182"/>
  <c r="DY123" i="182"/>
  <c r="BE123" i="182"/>
  <c r="GG123" i="182"/>
  <c r="AG123" i="182"/>
  <c r="CO123" i="182"/>
  <c r="O123" i="182"/>
  <c r="AY123" i="182"/>
  <c r="BW123" i="182"/>
  <c r="BQ123" i="182"/>
  <c r="CU123" i="182"/>
  <c r="AA123" i="182"/>
  <c r="FC123" i="182"/>
  <c r="CI123" i="182"/>
  <c r="CC123" i="182"/>
  <c r="AS123" i="182"/>
  <c r="CC213" i="182"/>
  <c r="BK213" i="182"/>
  <c r="GG213" i="182"/>
  <c r="O213" i="182"/>
  <c r="AS213" i="182"/>
  <c r="CI213" i="182"/>
  <c r="BE213" i="182"/>
  <c r="BW213" i="182"/>
  <c r="CO213" i="182"/>
  <c r="CU213" i="182"/>
  <c r="AG213" i="182"/>
  <c r="AA213" i="182"/>
  <c r="AY213" i="182"/>
  <c r="FC213" i="182"/>
  <c r="BQ213" i="182"/>
  <c r="AM213" i="182"/>
  <c r="DY213" i="182"/>
  <c r="CI148" i="182"/>
  <c r="CO148" i="182"/>
  <c r="GG148" i="182"/>
  <c r="DY148" i="182"/>
  <c r="BK148" i="182"/>
  <c r="AS148" i="182"/>
  <c r="O148" i="182"/>
  <c r="BQ148" i="182"/>
  <c r="BE148" i="182"/>
  <c r="FC148" i="182"/>
  <c r="CU148" i="182"/>
  <c r="AM148" i="182"/>
  <c r="AG148" i="182"/>
  <c r="CC148" i="182"/>
  <c r="BW148" i="182"/>
  <c r="AA148" i="182"/>
  <c r="AY148" i="182"/>
  <c r="DY152" i="182"/>
  <c r="BW152" i="182"/>
  <c r="AG152" i="182"/>
  <c r="CI152" i="182"/>
  <c r="CU152" i="182"/>
  <c r="O152" i="182"/>
  <c r="AM152" i="182"/>
  <c r="AA152" i="182"/>
  <c r="GG152" i="182"/>
  <c r="BQ152" i="182"/>
  <c r="AS152" i="182"/>
  <c r="CC152" i="182"/>
  <c r="BE152" i="182"/>
  <c r="CO152" i="182"/>
  <c r="AY152" i="182"/>
  <c r="BK152" i="182"/>
  <c r="FC152" i="182"/>
  <c r="DY209" i="182"/>
  <c r="CO209" i="182"/>
  <c r="AG209" i="182"/>
  <c r="BW209" i="182"/>
  <c r="O209" i="182"/>
  <c r="BQ209" i="182"/>
  <c r="CI209" i="182"/>
  <c r="GG209" i="182"/>
  <c r="FC209" i="182"/>
  <c r="BE209" i="182"/>
  <c r="AY209" i="182"/>
  <c r="CU209" i="182"/>
  <c r="CC209" i="182"/>
  <c r="AA209" i="182"/>
  <c r="AS209" i="182"/>
  <c r="BK209" i="182"/>
  <c r="AM209" i="182"/>
  <c r="BQ111" i="182"/>
  <c r="AG111" i="182"/>
  <c r="CU111" i="182"/>
  <c r="FC111" i="182"/>
  <c r="O111" i="182"/>
  <c r="AM111" i="182"/>
  <c r="BW111" i="182"/>
  <c r="CC111" i="182"/>
  <c r="GG111" i="182"/>
  <c r="AY111" i="182"/>
  <c r="AS111" i="182"/>
  <c r="CO111" i="182"/>
  <c r="CI111" i="182"/>
  <c r="BK111" i="182"/>
  <c r="AA111" i="182"/>
  <c r="DY111" i="182"/>
  <c r="BE111" i="182"/>
  <c r="AG134" i="182"/>
  <c r="BE134" i="182"/>
  <c r="CU134" i="182"/>
  <c r="O134" i="182"/>
  <c r="CC134" i="182"/>
  <c r="AA134" i="182"/>
  <c r="BW134" i="182"/>
  <c r="BQ134" i="182"/>
  <c r="GG134" i="182"/>
  <c r="FC134" i="182"/>
  <c r="AY134" i="182"/>
  <c r="AM134" i="182"/>
  <c r="CO134" i="182"/>
  <c r="BK134" i="182"/>
  <c r="AS134" i="182"/>
  <c r="DY134" i="182"/>
  <c r="CI134" i="182"/>
  <c r="CO52" i="182"/>
  <c r="O52" i="182"/>
  <c r="BK52" i="182"/>
  <c r="AS52" i="182"/>
  <c r="GG52" i="182"/>
  <c r="CU52" i="182"/>
  <c r="BQ52" i="182"/>
  <c r="CI52" i="182"/>
  <c r="AG52" i="182"/>
  <c r="FC52" i="182"/>
  <c r="BE52" i="182"/>
  <c r="AM52" i="182"/>
  <c r="AA52" i="182"/>
  <c r="CC52" i="182"/>
  <c r="DY52" i="182"/>
  <c r="AY52" i="182"/>
  <c r="BW52" i="182"/>
  <c r="AM53" i="182"/>
  <c r="CU53" i="182"/>
  <c r="CC53" i="182"/>
  <c r="BQ53" i="182"/>
  <c r="AY53" i="182"/>
  <c r="AA53" i="182"/>
  <c r="CO53" i="182"/>
  <c r="GG53" i="182"/>
  <c r="BK53" i="182"/>
  <c r="CI53" i="182"/>
  <c r="DY53" i="182"/>
  <c r="BE53" i="182"/>
  <c r="AG53" i="182"/>
  <c r="AS53" i="182"/>
  <c r="FC53" i="182"/>
  <c r="O53" i="182"/>
  <c r="BW53" i="182"/>
  <c r="AM93" i="182"/>
  <c r="CC93" i="182"/>
  <c r="BW93" i="182"/>
  <c r="AY93" i="182"/>
  <c r="AS93" i="182"/>
  <c r="BE93" i="182"/>
  <c r="CO93" i="182"/>
  <c r="GG93" i="182"/>
  <c r="CU93" i="182"/>
  <c r="BK93" i="182"/>
  <c r="AA93" i="182"/>
  <c r="BQ93" i="182"/>
  <c r="CI93" i="182"/>
  <c r="FC93" i="182"/>
  <c r="DY93" i="182"/>
  <c r="AG93" i="182"/>
  <c r="O93" i="182"/>
  <c r="CI190" i="182"/>
  <c r="O190" i="182"/>
  <c r="FC190" i="182"/>
  <c r="BE190" i="182"/>
  <c r="CO190" i="182"/>
  <c r="AM190" i="182"/>
  <c r="AG190" i="182"/>
  <c r="CC190" i="182"/>
  <c r="AY190" i="182"/>
  <c r="BK190" i="182"/>
  <c r="AA190" i="182"/>
  <c r="DY190" i="182"/>
  <c r="BW190" i="182"/>
  <c r="GG190" i="182"/>
  <c r="CU190" i="182"/>
  <c r="AS190" i="182"/>
  <c r="BQ190" i="182"/>
  <c r="GG196" i="182"/>
  <c r="CC196" i="182"/>
  <c r="AM196" i="182"/>
  <c r="AY196" i="182"/>
  <c r="AG196" i="182"/>
  <c r="AS196" i="182"/>
  <c r="FC196" i="182"/>
  <c r="BW196" i="182"/>
  <c r="CI196" i="182"/>
  <c r="BQ196" i="182"/>
  <c r="CO196" i="182"/>
  <c r="DY196" i="182"/>
  <c r="O196" i="182"/>
  <c r="BK196" i="182"/>
  <c r="AA196" i="182"/>
  <c r="BE196" i="182"/>
  <c r="CU196" i="182"/>
  <c r="BK193" i="181"/>
  <c r="GG193" i="181"/>
  <c r="FC193" i="181"/>
  <c r="AY193" i="181"/>
  <c r="CO193" i="181"/>
  <c r="O193" i="181"/>
  <c r="BW193" i="181"/>
  <c r="AS193" i="181"/>
  <c r="DY193" i="181"/>
  <c r="AM193" i="181"/>
  <c r="BE193" i="181"/>
  <c r="AG193" i="181"/>
  <c r="CC193" i="181"/>
  <c r="CI193" i="181"/>
  <c r="AA193" i="181"/>
  <c r="CU193" i="181"/>
  <c r="BQ193" i="181"/>
  <c r="AS53" i="181"/>
  <c r="CC53" i="181"/>
  <c r="CI53" i="181"/>
  <c r="AY53" i="181"/>
  <c r="BE53" i="181"/>
  <c r="CO53" i="181"/>
  <c r="DY53" i="181"/>
  <c r="CU53" i="181"/>
  <c r="BK53" i="181"/>
  <c r="AG53" i="181"/>
  <c r="AA53" i="181"/>
  <c r="O53" i="181"/>
  <c r="BQ53" i="181"/>
  <c r="BW53" i="181"/>
  <c r="FC53" i="181"/>
  <c r="GG53" i="181"/>
  <c r="AM53" i="181"/>
  <c r="GG167" i="181"/>
  <c r="FC167" i="181"/>
  <c r="BE167" i="181"/>
  <c r="AS167" i="181"/>
  <c r="AM167" i="181"/>
  <c r="DY167" i="181"/>
  <c r="CI167" i="181"/>
  <c r="AG167" i="181"/>
  <c r="AY167" i="181"/>
  <c r="O167" i="181"/>
  <c r="BW167" i="181"/>
  <c r="CC167" i="181"/>
  <c r="BQ167" i="181"/>
  <c r="BK167" i="181"/>
  <c r="CU167" i="181"/>
  <c r="AA167" i="181"/>
  <c r="CO167" i="181"/>
  <c r="CC126" i="181"/>
  <c r="AY126" i="181"/>
  <c r="DY126" i="181"/>
  <c r="CU126" i="181"/>
  <c r="FC126" i="181"/>
  <c r="CI126" i="181"/>
  <c r="CO126" i="181"/>
  <c r="BE126" i="181"/>
  <c r="BK126" i="181"/>
  <c r="AA126" i="181"/>
  <c r="BW126" i="181"/>
  <c r="BQ126" i="181"/>
  <c r="AS126" i="181"/>
  <c r="GG126" i="181"/>
  <c r="AG126" i="181"/>
  <c r="AM126" i="181"/>
  <c r="O126" i="181"/>
  <c r="BE191" i="181"/>
  <c r="AS191" i="181"/>
  <c r="CC191" i="181"/>
  <c r="AG191" i="181"/>
  <c r="AY191" i="181"/>
  <c r="GG191" i="181"/>
  <c r="FC191" i="181"/>
  <c r="O191" i="181"/>
  <c r="BQ191" i="181"/>
  <c r="DY191" i="181"/>
  <c r="AM191" i="181"/>
  <c r="BK191" i="181"/>
  <c r="CU191" i="181"/>
  <c r="CO191" i="181"/>
  <c r="AA191" i="181"/>
  <c r="BW191" i="181"/>
  <c r="CI191" i="181"/>
  <c r="CU103" i="181"/>
  <c r="AG103" i="181"/>
  <c r="AA103" i="181"/>
  <c r="O103" i="181"/>
  <c r="FC103" i="181"/>
  <c r="CO103" i="181"/>
  <c r="AM103" i="181"/>
  <c r="BW103" i="181"/>
  <c r="GG103" i="181"/>
  <c r="CC103" i="181"/>
  <c r="BQ103" i="181"/>
  <c r="AS103" i="181"/>
  <c r="AY103" i="181"/>
  <c r="CI103" i="181"/>
  <c r="BK103" i="181"/>
  <c r="BE103" i="181"/>
  <c r="DY103" i="181"/>
  <c r="BE78" i="181"/>
  <c r="CU78" i="181"/>
  <c r="AM78" i="181"/>
  <c r="CC78" i="181"/>
  <c r="CI78" i="181"/>
  <c r="BK78" i="181"/>
  <c r="BW78" i="181"/>
  <c r="DY78" i="181"/>
  <c r="AA78" i="181"/>
  <c r="GG78" i="181"/>
  <c r="BQ78" i="181"/>
  <c r="AS78" i="181"/>
  <c r="O78" i="181"/>
  <c r="FC78" i="181"/>
  <c r="AY78" i="181"/>
  <c r="CO78" i="181"/>
  <c r="AG78" i="181"/>
  <c r="GG133" i="181"/>
  <c r="AY133" i="181"/>
  <c r="AM133" i="181"/>
  <c r="CI133" i="181"/>
  <c r="AG133" i="181"/>
  <c r="BE133" i="181"/>
  <c r="O133" i="181"/>
  <c r="AA133" i="181"/>
  <c r="BW133" i="181"/>
  <c r="CU133" i="181"/>
  <c r="DY133" i="181"/>
  <c r="BQ133" i="181"/>
  <c r="BK133" i="181"/>
  <c r="CC133" i="181"/>
  <c r="AS133" i="181"/>
  <c r="FC133" i="181"/>
  <c r="CO133" i="181"/>
  <c r="BK200" i="181"/>
  <c r="AM200" i="181"/>
  <c r="AS200" i="181"/>
  <c r="CC200" i="181"/>
  <c r="DY200" i="181"/>
  <c r="BW200" i="181"/>
  <c r="BE200" i="181"/>
  <c r="AA200" i="181"/>
  <c r="GG200" i="181"/>
  <c r="O200" i="181"/>
  <c r="CI200" i="181"/>
  <c r="BQ200" i="181"/>
  <c r="CO200" i="181"/>
  <c r="FC200" i="181"/>
  <c r="CU200" i="181"/>
  <c r="AG200" i="181"/>
  <c r="AY200" i="181"/>
  <c r="CC211" i="181"/>
  <c r="BK211" i="181"/>
  <c r="GG211" i="181"/>
  <c r="AS211" i="181"/>
  <c r="AG211" i="181"/>
  <c r="AA211" i="181"/>
  <c r="DY211" i="181"/>
  <c r="BQ211" i="181"/>
  <c r="O211" i="181"/>
  <c r="FC211" i="181"/>
  <c r="AY211" i="181"/>
  <c r="AM211" i="181"/>
  <c r="BW211" i="181"/>
  <c r="CU211" i="181"/>
  <c r="BE211" i="181"/>
  <c r="CO211" i="181"/>
  <c r="CI211" i="181"/>
  <c r="AM105" i="181"/>
  <c r="DY105" i="181"/>
  <c r="AY105" i="181"/>
  <c r="AG105" i="181"/>
  <c r="CO105" i="181"/>
  <c r="O105" i="181"/>
  <c r="BE105" i="181"/>
  <c r="BK105" i="181"/>
  <c r="CI105" i="181"/>
  <c r="CU105" i="181"/>
  <c r="BW105" i="181"/>
  <c r="AA105" i="181"/>
  <c r="AS105" i="181"/>
  <c r="BQ105" i="181"/>
  <c r="CC105" i="181"/>
  <c r="FC105" i="181"/>
  <c r="GG105" i="181"/>
  <c r="BE72" i="181"/>
  <c r="CO72" i="181"/>
  <c r="CU72" i="181"/>
  <c r="BK72" i="181"/>
  <c r="AA72" i="181"/>
  <c r="DY72" i="181"/>
  <c r="BQ72" i="181"/>
  <c r="AG72" i="181"/>
  <c r="FC72" i="181"/>
  <c r="O72" i="181"/>
  <c r="GG72" i="181"/>
  <c r="AM72" i="181"/>
  <c r="BW72" i="181"/>
  <c r="AS72" i="181"/>
  <c r="CC72" i="181"/>
  <c r="CI72" i="181"/>
  <c r="AY72" i="181"/>
  <c r="CO128" i="181"/>
  <c r="DY128" i="181"/>
  <c r="AS128" i="181"/>
  <c r="BQ128" i="181"/>
  <c r="CI128" i="181"/>
  <c r="FC128" i="181"/>
  <c r="CC128" i="181"/>
  <c r="AM128" i="181"/>
  <c r="GG128" i="181"/>
  <c r="O128" i="181"/>
  <c r="AA128" i="181"/>
  <c r="BW128" i="181"/>
  <c r="CU128" i="181"/>
  <c r="BE128" i="181"/>
  <c r="AY128" i="181"/>
  <c r="AG128" i="181"/>
  <c r="BK128" i="181"/>
  <c r="BW138" i="181"/>
  <c r="DY138" i="181"/>
  <c r="AY138" i="181"/>
  <c r="BE138" i="181"/>
  <c r="O138" i="181"/>
  <c r="CU138" i="181"/>
  <c r="AM138" i="181"/>
  <c r="AA138" i="181"/>
  <c r="CI138" i="181"/>
  <c r="GG138" i="181"/>
  <c r="BQ138" i="181"/>
  <c r="CC138" i="181"/>
  <c r="AG138" i="181"/>
  <c r="BK138" i="181"/>
  <c r="FC138" i="181"/>
  <c r="AS138" i="181"/>
  <c r="CO138" i="181"/>
  <c r="BK76" i="181"/>
  <c r="BQ76" i="181"/>
  <c r="BW76" i="181"/>
  <c r="DY76" i="181"/>
  <c r="AY76" i="181"/>
  <c r="AG76" i="181"/>
  <c r="GG76" i="181"/>
  <c r="O76" i="181"/>
  <c r="CU76" i="181"/>
  <c r="CO76" i="181"/>
  <c r="CC76" i="181"/>
  <c r="BE76" i="181"/>
  <c r="AS76" i="181"/>
  <c r="AM76" i="181"/>
  <c r="AA76" i="181"/>
  <c r="CI76" i="181"/>
  <c r="FC76" i="181"/>
  <c r="AM207" i="181"/>
  <c r="AG207" i="181"/>
  <c r="CO207" i="181"/>
  <c r="CC207" i="181"/>
  <c r="O207" i="181"/>
  <c r="BK207" i="181"/>
  <c r="AA207" i="181"/>
  <c r="BW207" i="181"/>
  <c r="GG207" i="181"/>
  <c r="CI207" i="181"/>
  <c r="AY207" i="181"/>
  <c r="BE207" i="181"/>
  <c r="DY207" i="181"/>
  <c r="BQ207" i="181"/>
  <c r="AS207" i="181"/>
  <c r="FC207" i="181"/>
  <c r="CU207" i="181"/>
  <c r="O122" i="181"/>
  <c r="FC122" i="181"/>
  <c r="BW122" i="181"/>
  <c r="AM122" i="181"/>
  <c r="GG122" i="181"/>
  <c r="AY122" i="181"/>
  <c r="AS122" i="181"/>
  <c r="CO122" i="181"/>
  <c r="CI122" i="181"/>
  <c r="BK122" i="181"/>
  <c r="CU122" i="181"/>
  <c r="BE122" i="181"/>
  <c r="DY122" i="181"/>
  <c r="AA122" i="181"/>
  <c r="CC122" i="181"/>
  <c r="AG122" i="181"/>
  <c r="BQ122" i="181"/>
  <c r="BE60" i="181"/>
  <c r="AY60" i="181"/>
  <c r="BK60" i="181"/>
  <c r="AA60" i="181"/>
  <c r="DY60" i="181"/>
  <c r="BQ60" i="181"/>
  <c r="AG60" i="181"/>
  <c r="CO60" i="181"/>
  <c r="O60" i="181"/>
  <c r="AS60" i="181"/>
  <c r="CC60" i="181"/>
  <c r="FC60" i="181"/>
  <c r="GG60" i="181"/>
  <c r="CU60" i="181"/>
  <c r="AM60" i="181"/>
  <c r="CI60" i="181"/>
  <c r="BW60" i="181"/>
  <c r="CI70" i="181"/>
  <c r="AY70" i="181"/>
  <c r="DY70" i="181"/>
  <c r="CU70" i="181"/>
  <c r="AG70" i="181"/>
  <c r="AA70" i="181"/>
  <c r="O70" i="181"/>
  <c r="BQ70" i="181"/>
  <c r="GG70" i="181"/>
  <c r="AM70" i="181"/>
  <c r="BW70" i="181"/>
  <c r="AS70" i="181"/>
  <c r="BE70" i="181"/>
  <c r="FC70" i="181"/>
  <c r="CC70" i="181"/>
  <c r="CO70" i="181"/>
  <c r="BK70" i="181"/>
  <c r="FC93" i="181"/>
  <c r="CI93" i="181"/>
  <c r="AM93" i="181"/>
  <c r="CC93" i="181"/>
  <c r="AY93" i="181"/>
  <c r="DY93" i="181"/>
  <c r="BW93" i="181"/>
  <c r="O93" i="181"/>
  <c r="GG93" i="181"/>
  <c r="BQ93" i="181"/>
  <c r="BE93" i="181"/>
  <c r="AS93" i="181"/>
  <c r="CO93" i="181"/>
  <c r="CU93" i="181"/>
  <c r="BK93" i="181"/>
  <c r="AA93" i="181"/>
  <c r="AG93" i="181"/>
  <c r="BE210" i="181"/>
  <c r="DY210" i="181"/>
  <c r="AA210" i="181"/>
  <c r="CU210" i="181"/>
  <c r="CI210" i="181"/>
  <c r="FC210" i="181"/>
  <c r="BQ210" i="181"/>
  <c r="GG210" i="181"/>
  <c r="AY210" i="181"/>
  <c r="BK210" i="181"/>
  <c r="CC210" i="181"/>
  <c r="CO210" i="181"/>
  <c r="AS210" i="181"/>
  <c r="BW210" i="181"/>
  <c r="AG210" i="181"/>
  <c r="AM210" i="181"/>
  <c r="O210" i="181"/>
  <c r="AA55" i="180"/>
  <c r="CO55" i="180"/>
  <c r="BQ55" i="180"/>
  <c r="AG55" i="180"/>
  <c r="BK55" i="180"/>
  <c r="FC55" i="180"/>
  <c r="CC55" i="180"/>
  <c r="AM55" i="180"/>
  <c r="GG55" i="180"/>
  <c r="AY55" i="180"/>
  <c r="O55" i="180"/>
  <c r="CI55" i="180"/>
  <c r="DY55" i="180"/>
  <c r="BE55" i="180"/>
  <c r="BW55" i="180"/>
  <c r="CU55" i="180"/>
  <c r="AS55" i="180"/>
  <c r="CO194" i="180"/>
  <c r="GG194" i="180"/>
  <c r="BE194" i="180"/>
  <c r="O194" i="180"/>
  <c r="CC194" i="180"/>
  <c r="DY194" i="180"/>
  <c r="AY194" i="180"/>
  <c r="CI194" i="180"/>
  <c r="BW194" i="180"/>
  <c r="BQ194" i="180"/>
  <c r="CU194" i="180"/>
  <c r="AA194" i="180"/>
  <c r="AM194" i="180"/>
  <c r="AS194" i="180"/>
  <c r="AG194" i="180"/>
  <c r="FC194" i="180"/>
  <c r="BK194" i="180"/>
  <c r="CC193" i="180"/>
  <c r="AA193" i="180"/>
  <c r="CU193" i="180"/>
  <c r="BK193" i="180"/>
  <c r="AM193" i="180"/>
  <c r="AS193" i="180"/>
  <c r="DY193" i="180"/>
  <c r="GG193" i="180"/>
  <c r="CI193" i="180"/>
  <c r="BE193" i="180"/>
  <c r="O193" i="180"/>
  <c r="CO193" i="180"/>
  <c r="AG193" i="180"/>
  <c r="BW193" i="180"/>
  <c r="FC193" i="180"/>
  <c r="AY193" i="180"/>
  <c r="BQ193" i="180"/>
  <c r="AG124" i="180"/>
  <c r="O124" i="180"/>
  <c r="CO124" i="180"/>
  <c r="FC124" i="180"/>
  <c r="AY124" i="180"/>
  <c r="AS124" i="180"/>
  <c r="BE124" i="180"/>
  <c r="GG124" i="180"/>
  <c r="BW124" i="180"/>
  <c r="BQ124" i="180"/>
  <c r="AM124" i="180"/>
  <c r="CU124" i="180"/>
  <c r="AA124" i="180"/>
  <c r="CI124" i="180"/>
  <c r="BK124" i="180"/>
  <c r="DY124" i="180"/>
  <c r="CC124" i="180"/>
  <c r="AM215" i="180"/>
  <c r="BW215" i="180"/>
  <c r="CC215" i="180"/>
  <c r="GG215" i="180"/>
  <c r="AY215" i="180"/>
  <c r="AS215" i="180"/>
  <c r="CO215" i="180"/>
  <c r="CI215" i="180"/>
  <c r="BK215" i="180"/>
  <c r="CU215" i="180"/>
  <c r="DY215" i="180"/>
  <c r="BE215" i="180"/>
  <c r="BQ215" i="180"/>
  <c r="AG215" i="180"/>
  <c r="AA215" i="180"/>
  <c r="FC215" i="180"/>
  <c r="O215" i="180"/>
  <c r="CO106" i="180"/>
  <c r="CI106" i="180"/>
  <c r="BK106" i="180"/>
  <c r="BE106" i="180"/>
  <c r="DY106" i="180"/>
  <c r="CU106" i="180"/>
  <c r="AG106" i="180"/>
  <c r="AA106" i="180"/>
  <c r="AM106" i="180"/>
  <c r="BW106" i="180"/>
  <c r="CC106" i="180"/>
  <c r="GG106" i="180"/>
  <c r="O106" i="180"/>
  <c r="AS106" i="180"/>
  <c r="BQ106" i="180"/>
  <c r="FC106" i="180"/>
  <c r="AY106" i="180"/>
  <c r="DY136" i="180"/>
  <c r="CC136" i="180"/>
  <c r="AG136" i="180"/>
  <c r="AY136" i="180"/>
  <c r="O136" i="180"/>
  <c r="CU136" i="180"/>
  <c r="BW136" i="180"/>
  <c r="BQ136" i="180"/>
  <c r="GG136" i="180"/>
  <c r="CI136" i="180"/>
  <c r="AS136" i="180"/>
  <c r="BE136" i="180"/>
  <c r="FC136" i="180"/>
  <c r="AM136" i="180"/>
  <c r="AA136" i="180"/>
  <c r="CO136" i="180"/>
  <c r="BK136" i="180"/>
  <c r="CI126" i="180"/>
  <c r="AA126" i="180"/>
  <c r="O126" i="180"/>
  <c r="AM126" i="180"/>
  <c r="BQ126" i="180"/>
  <c r="BW126" i="180"/>
  <c r="AY126" i="180"/>
  <c r="FC126" i="180"/>
  <c r="BK126" i="180"/>
  <c r="AG126" i="180"/>
  <c r="CO126" i="180"/>
  <c r="CC126" i="180"/>
  <c r="GG126" i="180"/>
  <c r="BE126" i="180"/>
  <c r="CU126" i="180"/>
  <c r="DY126" i="180"/>
  <c r="AS126" i="180"/>
  <c r="AG166" i="180"/>
  <c r="AS166" i="180"/>
  <c r="O166" i="180"/>
  <c r="CC166" i="180"/>
  <c r="BW166" i="180"/>
  <c r="FC166" i="180"/>
  <c r="CI166" i="180"/>
  <c r="CU166" i="180"/>
  <c r="AM166" i="180"/>
  <c r="BE166" i="180"/>
  <c r="BQ166" i="180"/>
  <c r="AA166" i="180"/>
  <c r="GG166" i="180"/>
  <c r="CO166" i="180"/>
  <c r="BK166" i="180"/>
  <c r="DY166" i="180"/>
  <c r="AY166" i="180"/>
  <c r="DY213" i="180"/>
  <c r="AA213" i="180"/>
  <c r="AG213" i="180"/>
  <c r="CC213" i="180"/>
  <c r="O213" i="180"/>
  <c r="CI213" i="180"/>
  <c r="FC213" i="180"/>
  <c r="BW213" i="180"/>
  <c r="BE213" i="180"/>
  <c r="AM213" i="180"/>
  <c r="CU213" i="180"/>
  <c r="AY213" i="180"/>
  <c r="BQ213" i="180"/>
  <c r="CO213" i="180"/>
  <c r="GG213" i="180"/>
  <c r="BK213" i="180"/>
  <c r="AS213" i="180"/>
  <c r="BE197" i="180"/>
  <c r="GG197" i="180"/>
  <c r="AM197" i="180"/>
  <c r="CO197" i="180"/>
  <c r="O197" i="180"/>
  <c r="BW197" i="180"/>
  <c r="FC197" i="180"/>
  <c r="CI197" i="180"/>
  <c r="AY197" i="180"/>
  <c r="BK197" i="180"/>
  <c r="AG197" i="180"/>
  <c r="BQ197" i="180"/>
  <c r="AS197" i="180"/>
  <c r="DY197" i="180"/>
  <c r="CU197" i="180"/>
  <c r="AA197" i="180"/>
  <c r="CC197" i="180"/>
  <c r="O162" i="180"/>
  <c r="CI162" i="180"/>
  <c r="DY162" i="180"/>
  <c r="GG162" i="180"/>
  <c r="BQ162" i="180"/>
  <c r="CC162" i="180"/>
  <c r="CO162" i="180"/>
  <c r="AA162" i="180"/>
  <c r="BK162" i="180"/>
  <c r="BW162" i="180"/>
  <c r="CU162" i="180"/>
  <c r="FC162" i="180"/>
  <c r="BE162" i="180"/>
  <c r="AM162" i="180"/>
  <c r="AS162" i="180"/>
  <c r="AY162" i="180"/>
  <c r="AG162" i="180"/>
  <c r="BQ135" i="180"/>
  <c r="AS135" i="180"/>
  <c r="AY135" i="180"/>
  <c r="FC135" i="180"/>
  <c r="CU135" i="180"/>
  <c r="CO135" i="180"/>
  <c r="AM135" i="180"/>
  <c r="BK135" i="180"/>
  <c r="CC135" i="180"/>
  <c r="AG135" i="180"/>
  <c r="CI135" i="180"/>
  <c r="DY135" i="180"/>
  <c r="O135" i="180"/>
  <c r="BW135" i="180"/>
  <c r="BE135" i="180"/>
  <c r="AA135" i="180"/>
  <c r="GG135" i="180"/>
  <c r="BW143" i="180"/>
  <c r="AA143" i="180"/>
  <c r="CC143" i="180"/>
  <c r="BE143" i="180"/>
  <c r="O143" i="180"/>
  <c r="CI143" i="180"/>
  <c r="CU143" i="180"/>
  <c r="AM143" i="180"/>
  <c r="AY143" i="180"/>
  <c r="GG143" i="180"/>
  <c r="BQ143" i="180"/>
  <c r="AG143" i="180"/>
  <c r="AS143" i="180"/>
  <c r="FC143" i="180"/>
  <c r="DY143" i="180"/>
  <c r="BK143" i="180"/>
  <c r="CO143" i="180"/>
  <c r="DY78" i="180"/>
  <c r="AA78" i="180"/>
  <c r="AG78" i="180"/>
  <c r="BQ78" i="180"/>
  <c r="O78" i="180"/>
  <c r="FC78" i="180"/>
  <c r="BW78" i="180"/>
  <c r="AM78" i="180"/>
  <c r="CC78" i="180"/>
  <c r="GG78" i="180"/>
  <c r="BE78" i="180"/>
  <c r="AY78" i="180"/>
  <c r="AS78" i="180"/>
  <c r="CO78" i="180"/>
  <c r="BK78" i="180"/>
  <c r="CI78" i="180"/>
  <c r="CU78" i="180"/>
  <c r="CI149" i="180"/>
  <c r="FC149" i="180"/>
  <c r="CU149" i="180"/>
  <c r="AG149" i="180"/>
  <c r="CO149" i="180"/>
  <c r="BK149" i="180"/>
  <c r="BW149" i="180"/>
  <c r="BQ149" i="180"/>
  <c r="GG149" i="180"/>
  <c r="AA149" i="180"/>
  <c r="AM149" i="180"/>
  <c r="AS149" i="180"/>
  <c r="AY149" i="180"/>
  <c r="DY149" i="180"/>
  <c r="CC149" i="180"/>
  <c r="BE149" i="180"/>
  <c r="O149" i="180"/>
  <c r="CU119" i="180"/>
  <c r="CO119" i="180"/>
  <c r="BK119" i="180"/>
  <c r="CC119" i="180"/>
  <c r="CI119" i="180"/>
  <c r="DY119" i="180"/>
  <c r="AS119" i="180"/>
  <c r="AG119" i="180"/>
  <c r="AA119" i="180"/>
  <c r="BQ119" i="180"/>
  <c r="BW119" i="180"/>
  <c r="AY119" i="180"/>
  <c r="BE119" i="180"/>
  <c r="O119" i="180"/>
  <c r="GG119" i="180"/>
  <c r="FC119" i="180"/>
  <c r="AM119" i="180"/>
  <c r="AS139" i="180"/>
  <c r="AG139" i="180"/>
  <c r="CU139" i="180"/>
  <c r="CC139" i="180"/>
  <c r="CO139" i="180"/>
  <c r="AM139" i="180"/>
  <c r="CI139" i="180"/>
  <c r="BQ139" i="180"/>
  <c r="BE139" i="180"/>
  <c r="AA139" i="180"/>
  <c r="BK139" i="180"/>
  <c r="O139" i="180"/>
  <c r="BW139" i="180"/>
  <c r="FC139" i="180"/>
  <c r="AY139" i="180"/>
  <c r="GG139" i="180"/>
  <c r="DY139" i="180"/>
  <c r="AM103" i="180"/>
  <c r="BW103" i="180"/>
  <c r="CC103" i="180"/>
  <c r="GG103" i="180"/>
  <c r="AY103" i="180"/>
  <c r="AS103" i="180"/>
  <c r="BE103" i="180"/>
  <c r="CO103" i="180"/>
  <c r="CI103" i="180"/>
  <c r="AA103" i="180"/>
  <c r="DY103" i="180"/>
  <c r="BK103" i="180"/>
  <c r="AG103" i="180"/>
  <c r="O103" i="180"/>
  <c r="CU103" i="180"/>
  <c r="BQ103" i="180"/>
  <c r="FC103" i="180"/>
  <c r="CC104" i="180"/>
  <c r="GG104" i="180"/>
  <c r="AY104" i="180"/>
  <c r="AS104" i="180"/>
  <c r="CO104" i="180"/>
  <c r="CI104" i="180"/>
  <c r="CU104" i="180"/>
  <c r="BK104" i="180"/>
  <c r="BE104" i="180"/>
  <c r="BQ104" i="180"/>
  <c r="AG104" i="180"/>
  <c r="FC104" i="180"/>
  <c r="O104" i="180"/>
  <c r="AA104" i="180"/>
  <c r="AM104" i="180"/>
  <c r="DY104" i="180"/>
  <c r="BW104" i="180"/>
  <c r="BQ203" i="180"/>
  <c r="CI203" i="180"/>
  <c r="AS203" i="180"/>
  <c r="BW203" i="180"/>
  <c r="AG203" i="180"/>
  <c r="GG203" i="180"/>
  <c r="BK203" i="180"/>
  <c r="DY203" i="180"/>
  <c r="O203" i="180"/>
  <c r="BE203" i="180"/>
  <c r="AA203" i="180"/>
  <c r="FC203" i="180"/>
  <c r="CU203" i="180"/>
  <c r="CC203" i="180"/>
  <c r="AY203" i="180"/>
  <c r="AM203" i="180"/>
  <c r="CO203" i="180"/>
  <c r="FC91" i="179"/>
  <c r="BQ91" i="179"/>
  <c r="BK91" i="179"/>
  <c r="AY91" i="179"/>
  <c r="AS91" i="179"/>
  <c r="O91" i="179"/>
  <c r="AA91" i="179"/>
  <c r="GG91" i="179"/>
  <c r="BW91" i="179"/>
  <c r="AG91" i="179"/>
  <c r="CI91" i="179"/>
  <c r="AM91" i="179"/>
  <c r="CC91" i="179"/>
  <c r="BE91" i="179"/>
  <c r="CO91" i="179"/>
  <c r="DY91" i="179"/>
  <c r="CU91" i="179"/>
  <c r="BE51" i="179"/>
  <c r="BW51" i="179"/>
  <c r="CU51" i="179"/>
  <c r="DY51" i="179"/>
  <c r="AA51" i="179"/>
  <c r="AG51" i="179"/>
  <c r="BQ51" i="179"/>
  <c r="BK51" i="179"/>
  <c r="AM51" i="179"/>
  <c r="CC51" i="179"/>
  <c r="GG51" i="179"/>
  <c r="AY51" i="179"/>
  <c r="CI51" i="179"/>
  <c r="FC51" i="179"/>
  <c r="CO51" i="179"/>
  <c r="O51" i="179"/>
  <c r="AS51" i="179"/>
  <c r="AA68" i="179"/>
  <c r="O68" i="179"/>
  <c r="DY68" i="179"/>
  <c r="CO68" i="179"/>
  <c r="CI68" i="179"/>
  <c r="BW68" i="179"/>
  <c r="BK68" i="179"/>
  <c r="FC68" i="179"/>
  <c r="AS68" i="179"/>
  <c r="AG68" i="179"/>
  <c r="AY68" i="179"/>
  <c r="CC68" i="179"/>
  <c r="BQ68" i="179"/>
  <c r="BE68" i="179"/>
  <c r="GG68" i="179"/>
  <c r="CU68" i="179"/>
  <c r="AM68" i="179"/>
  <c r="CO102" i="179"/>
  <c r="CI102" i="179"/>
  <c r="BK102" i="179"/>
  <c r="BE102" i="179"/>
  <c r="DY102" i="179"/>
  <c r="AA102" i="179"/>
  <c r="AG102" i="179"/>
  <c r="CU102" i="179"/>
  <c r="FC102" i="179"/>
  <c r="O102" i="179"/>
  <c r="BQ102" i="179"/>
  <c r="AM102" i="179"/>
  <c r="BW102" i="179"/>
  <c r="CC102" i="179"/>
  <c r="GG102" i="179"/>
  <c r="AY102" i="179"/>
  <c r="AS102" i="179"/>
  <c r="AS72" i="179"/>
  <c r="DY72" i="179"/>
  <c r="CI72" i="179"/>
  <c r="AM72" i="179"/>
  <c r="BE72" i="179"/>
  <c r="CU72" i="179"/>
  <c r="BQ72" i="179"/>
  <c r="BK72" i="179"/>
  <c r="CC72" i="179"/>
  <c r="CO72" i="179"/>
  <c r="AY72" i="179"/>
  <c r="AG72" i="179"/>
  <c r="BW72" i="179"/>
  <c r="FC72" i="179"/>
  <c r="AA72" i="179"/>
  <c r="GG72" i="179"/>
  <c r="O72" i="179"/>
  <c r="CU121" i="179"/>
  <c r="DY121" i="179"/>
  <c r="AS121" i="179"/>
  <c r="AA121" i="179"/>
  <c r="AG121" i="179"/>
  <c r="BQ121" i="179"/>
  <c r="O121" i="179"/>
  <c r="FC121" i="179"/>
  <c r="BW121" i="179"/>
  <c r="CC121" i="179"/>
  <c r="GG121" i="179"/>
  <c r="AY121" i="179"/>
  <c r="BE121" i="179"/>
  <c r="CI121" i="179"/>
  <c r="CO121" i="179"/>
  <c r="AM121" i="179"/>
  <c r="BK121" i="179"/>
  <c r="BE46" i="179"/>
  <c r="AG46" i="179"/>
  <c r="AM46" i="179"/>
  <c r="CU46" i="179"/>
  <c r="GG46" i="179"/>
  <c r="AA46" i="179"/>
  <c r="CC46" i="179"/>
  <c r="DY46" i="179"/>
  <c r="BK46" i="179"/>
  <c r="BQ46" i="179"/>
  <c r="AS46" i="179"/>
  <c r="O46" i="179"/>
  <c r="FC46" i="179"/>
  <c r="CI46" i="179"/>
  <c r="CO46" i="179"/>
  <c r="AY46" i="179"/>
  <c r="BW46" i="179"/>
  <c r="AY194" i="179"/>
  <c r="AS194" i="179"/>
  <c r="DY194" i="179"/>
  <c r="BQ194" i="179"/>
  <c r="BE194" i="179"/>
  <c r="AM194" i="179"/>
  <c r="CI194" i="179"/>
  <c r="CU194" i="179"/>
  <c r="CC194" i="179"/>
  <c r="AA194" i="179"/>
  <c r="O194" i="179"/>
  <c r="BK194" i="179"/>
  <c r="FC194" i="179"/>
  <c r="BW194" i="179"/>
  <c r="AG194" i="179"/>
  <c r="GG194" i="179"/>
  <c r="CO194" i="179"/>
  <c r="CI144" i="179"/>
  <c r="AA144" i="179"/>
  <c r="BQ144" i="179"/>
  <c r="BW144" i="179"/>
  <c r="GG144" i="179"/>
  <c r="AG144" i="179"/>
  <c r="O144" i="179"/>
  <c r="FC144" i="179"/>
  <c r="BK144" i="179"/>
  <c r="AM144" i="179"/>
  <c r="AY144" i="179"/>
  <c r="AS144" i="179"/>
  <c r="CU144" i="179"/>
  <c r="BE144" i="179"/>
  <c r="CC144" i="179"/>
  <c r="CO144" i="179"/>
  <c r="DY144" i="179"/>
  <c r="GG87" i="179"/>
  <c r="BQ87" i="179"/>
  <c r="AS87" i="179"/>
  <c r="O87" i="179"/>
  <c r="FC87" i="179"/>
  <c r="AY87" i="179"/>
  <c r="CO87" i="179"/>
  <c r="AG87" i="179"/>
  <c r="AM87" i="179"/>
  <c r="CC87" i="179"/>
  <c r="CI87" i="179"/>
  <c r="BK87" i="179"/>
  <c r="CU87" i="179"/>
  <c r="AA87" i="179"/>
  <c r="BW87" i="179"/>
  <c r="BE87" i="179"/>
  <c r="DY87" i="179"/>
  <c r="DY104" i="179"/>
  <c r="CU104" i="179"/>
  <c r="AG104" i="179"/>
  <c r="AA104" i="179"/>
  <c r="O104" i="179"/>
  <c r="BQ104" i="179"/>
  <c r="BW104" i="179"/>
  <c r="CC104" i="179"/>
  <c r="GG104" i="179"/>
  <c r="AM104" i="179"/>
  <c r="AY104" i="179"/>
  <c r="AS104" i="179"/>
  <c r="FC104" i="179"/>
  <c r="CO104" i="179"/>
  <c r="CI104" i="179"/>
  <c r="BK104" i="179"/>
  <c r="BE104" i="179"/>
  <c r="CI73" i="179"/>
  <c r="CO73" i="179"/>
  <c r="BE73" i="179"/>
  <c r="BW73" i="179"/>
  <c r="CU73" i="179"/>
  <c r="BQ73" i="179"/>
  <c r="AA73" i="179"/>
  <c r="AG73" i="179"/>
  <c r="AM73" i="179"/>
  <c r="DY73" i="179"/>
  <c r="GG73" i="179"/>
  <c r="CC73" i="179"/>
  <c r="O73" i="179"/>
  <c r="AY73" i="179"/>
  <c r="BK73" i="179"/>
  <c r="AS73" i="179"/>
  <c r="FC73" i="179"/>
  <c r="FC185" i="179"/>
  <c r="BW185" i="179"/>
  <c r="BK185" i="179"/>
  <c r="AM185" i="179"/>
  <c r="AY185" i="179"/>
  <c r="CC185" i="179"/>
  <c r="CO185" i="179"/>
  <c r="GG185" i="179"/>
  <c r="AA185" i="179"/>
  <c r="AS185" i="179"/>
  <c r="CU185" i="179"/>
  <c r="CI185" i="179"/>
  <c r="AG185" i="179"/>
  <c r="DY185" i="179"/>
  <c r="BE185" i="179"/>
  <c r="O185" i="179"/>
  <c r="BQ185" i="179"/>
  <c r="DY148" i="179"/>
  <c r="BE148" i="179"/>
  <c r="AS148" i="179"/>
  <c r="AG148" i="179"/>
  <c r="CU148" i="179"/>
  <c r="O148" i="179"/>
  <c r="AY148" i="179"/>
  <c r="BW148" i="179"/>
  <c r="CO148" i="179"/>
  <c r="BK148" i="179"/>
  <c r="AA148" i="179"/>
  <c r="FC148" i="179"/>
  <c r="BQ148" i="179"/>
  <c r="AM148" i="179"/>
  <c r="GG148" i="179"/>
  <c r="CC148" i="179"/>
  <c r="CI148" i="179"/>
  <c r="CO193" i="179"/>
  <c r="AA193" i="179"/>
  <c r="BW193" i="179"/>
  <c r="AY193" i="179"/>
  <c r="AM193" i="179"/>
  <c r="DY193" i="179"/>
  <c r="FC193" i="179"/>
  <c r="BE193" i="179"/>
  <c r="CU193" i="179"/>
  <c r="BQ193" i="179"/>
  <c r="CC193" i="179"/>
  <c r="AG193" i="179"/>
  <c r="GG193" i="179"/>
  <c r="O193" i="179"/>
  <c r="CI193" i="179"/>
  <c r="BK193" i="179"/>
  <c r="AS193" i="179"/>
  <c r="AY212" i="179"/>
  <c r="CC212" i="179"/>
  <c r="BK212" i="179"/>
  <c r="AA212" i="179"/>
  <c r="BW212" i="179"/>
  <c r="AG212" i="179"/>
  <c r="DY212" i="179"/>
  <c r="AS212" i="179"/>
  <c r="CI212" i="179"/>
  <c r="AM212" i="179"/>
  <c r="CU212" i="179"/>
  <c r="O212" i="179"/>
  <c r="FC212" i="179"/>
  <c r="BQ212" i="179"/>
  <c r="BE212" i="179"/>
  <c r="CO212" i="179"/>
  <c r="GG212" i="179"/>
  <c r="CI151" i="179"/>
  <c r="CU151" i="179"/>
  <c r="BE151" i="179"/>
  <c r="CO151" i="179"/>
  <c r="BQ151" i="179"/>
  <c r="BW151" i="179"/>
  <c r="BK151" i="179"/>
  <c r="FC151" i="179"/>
  <c r="AS151" i="179"/>
  <c r="AG151" i="179"/>
  <c r="GG151" i="179"/>
  <c r="AA151" i="179"/>
  <c r="AM151" i="179"/>
  <c r="DY151" i="179"/>
  <c r="AY151" i="179"/>
  <c r="O151" i="179"/>
  <c r="CC151" i="179"/>
  <c r="AA208" i="179"/>
  <c r="BK208" i="179"/>
  <c r="BQ208" i="179"/>
  <c r="GG208" i="179"/>
  <c r="FC208" i="179"/>
  <c r="BW208" i="179"/>
  <c r="AM208" i="179"/>
  <c r="CI208" i="179"/>
  <c r="CC208" i="179"/>
  <c r="DY208" i="179"/>
  <c r="AY208" i="179"/>
  <c r="AS208" i="179"/>
  <c r="CO208" i="179"/>
  <c r="AG208" i="179"/>
  <c r="O208" i="179"/>
  <c r="CU208" i="179"/>
  <c r="BE208" i="179"/>
  <c r="O143" i="179"/>
  <c r="BE143" i="179"/>
  <c r="BQ143" i="179"/>
  <c r="BK143" i="179"/>
  <c r="AY143" i="179"/>
  <c r="AS143" i="179"/>
  <c r="GG143" i="179"/>
  <c r="AM143" i="179"/>
  <c r="CC143" i="179"/>
  <c r="FC143" i="179"/>
  <c r="AA143" i="179"/>
  <c r="CI143" i="179"/>
  <c r="CO143" i="179"/>
  <c r="DY143" i="179"/>
  <c r="CU143" i="179"/>
  <c r="BW143" i="179"/>
  <c r="AG143" i="179"/>
  <c r="CC120" i="179"/>
  <c r="CO120" i="179"/>
  <c r="BK120" i="179"/>
  <c r="GG120" i="179"/>
  <c r="BE120" i="179"/>
  <c r="DY120" i="179"/>
  <c r="CI120" i="179"/>
  <c r="CU120" i="179"/>
  <c r="AG120" i="179"/>
  <c r="AA120" i="179"/>
  <c r="O120" i="179"/>
  <c r="BQ120" i="179"/>
  <c r="AY120" i="179"/>
  <c r="FC120" i="179"/>
  <c r="BW120" i="179"/>
  <c r="AM120" i="179"/>
  <c r="AS120" i="179"/>
  <c r="AM168" i="179"/>
  <c r="FC168" i="179"/>
  <c r="CI168" i="179"/>
  <c r="AA168" i="179"/>
  <c r="CC168" i="179"/>
  <c r="BE168" i="179"/>
  <c r="CU168" i="179"/>
  <c r="CO168" i="179"/>
  <c r="BW168" i="179"/>
  <c r="DY168" i="179"/>
  <c r="AS168" i="179"/>
  <c r="AG168" i="179"/>
  <c r="GG168" i="179"/>
  <c r="BK168" i="179"/>
  <c r="O168" i="179"/>
  <c r="AY168" i="179"/>
  <c r="BQ168" i="179"/>
  <c r="AM108" i="183"/>
  <c r="AG108" i="183"/>
  <c r="CC108" i="183"/>
  <c r="GG108" i="183"/>
  <c r="AY108" i="183"/>
  <c r="BQ108" i="183"/>
  <c r="CI108" i="183"/>
  <c r="AA108" i="183"/>
  <c r="CO108" i="183"/>
  <c r="BK108" i="183"/>
  <c r="AS108" i="183"/>
  <c r="DY108" i="183"/>
  <c r="FC108" i="183"/>
  <c r="BW108" i="183"/>
  <c r="BE108" i="183"/>
  <c r="CU108" i="183"/>
  <c r="O108" i="183"/>
  <c r="AY161" i="183"/>
  <c r="AM161" i="183"/>
  <c r="DY161" i="183"/>
  <c r="CO161" i="183"/>
  <c r="AA161" i="183"/>
  <c r="AG161" i="183"/>
  <c r="FC161" i="183"/>
  <c r="O161" i="183"/>
  <c r="BK161" i="183"/>
  <c r="BW161" i="183"/>
  <c r="CI161" i="183"/>
  <c r="GG161" i="183"/>
  <c r="BE161" i="183"/>
  <c r="AS161" i="183"/>
  <c r="CU161" i="183"/>
  <c r="CC161" i="183"/>
  <c r="BQ161" i="183"/>
  <c r="DY74" i="183"/>
  <c r="CU74" i="183"/>
  <c r="BQ74" i="183"/>
  <c r="AG74" i="183"/>
  <c r="AA74" i="183"/>
  <c r="AM74" i="183"/>
  <c r="BW74" i="183"/>
  <c r="CO74" i="183"/>
  <c r="CI74" i="183"/>
  <c r="O74" i="183"/>
  <c r="GG74" i="183"/>
  <c r="AS74" i="183"/>
  <c r="BE74" i="183"/>
  <c r="FC74" i="183"/>
  <c r="CC74" i="183"/>
  <c r="BK74" i="183"/>
  <c r="AY74" i="183"/>
  <c r="O214" i="183"/>
  <c r="BQ214" i="183"/>
  <c r="CI214" i="183"/>
  <c r="BW214" i="183"/>
  <c r="CU214" i="183"/>
  <c r="BE214" i="183"/>
  <c r="AY214" i="183"/>
  <c r="AA214" i="183"/>
  <c r="AS214" i="183"/>
  <c r="FC214" i="183"/>
  <c r="BK214" i="183"/>
  <c r="AM214" i="183"/>
  <c r="CC214" i="183"/>
  <c r="DY214" i="183"/>
  <c r="GG214" i="183"/>
  <c r="AG214" i="183"/>
  <c r="CO214" i="183"/>
  <c r="AA212" i="183"/>
  <c r="O212" i="183"/>
  <c r="GG212" i="183"/>
  <c r="CC212" i="183"/>
  <c r="BE212" i="183"/>
  <c r="CI212" i="183"/>
  <c r="BW212" i="183"/>
  <c r="CU212" i="183"/>
  <c r="DY212" i="183"/>
  <c r="CO212" i="183"/>
  <c r="FC212" i="183"/>
  <c r="AS212" i="183"/>
  <c r="BK212" i="183"/>
  <c r="BQ212" i="183"/>
  <c r="AM212" i="183"/>
  <c r="AG212" i="183"/>
  <c r="AY212" i="183"/>
  <c r="CI152" i="183"/>
  <c r="CU152" i="183"/>
  <c r="BE152" i="183"/>
  <c r="BQ152" i="183"/>
  <c r="CO152" i="183"/>
  <c r="AM152" i="183"/>
  <c r="BK152" i="183"/>
  <c r="FC152" i="183"/>
  <c r="DY152" i="183"/>
  <c r="AY152" i="183"/>
  <c r="AG152" i="183"/>
  <c r="BW152" i="183"/>
  <c r="AS152" i="183"/>
  <c r="AA152" i="183"/>
  <c r="GG152" i="183"/>
  <c r="O152" i="183"/>
  <c r="CC152" i="183"/>
  <c r="BK76" i="183"/>
  <c r="BE76" i="183"/>
  <c r="DY76" i="183"/>
  <c r="CU76" i="183"/>
  <c r="AG76" i="183"/>
  <c r="AA76" i="183"/>
  <c r="O76" i="183"/>
  <c r="BQ76" i="183"/>
  <c r="BW76" i="183"/>
  <c r="FC76" i="183"/>
  <c r="CC76" i="183"/>
  <c r="GG76" i="183"/>
  <c r="AM76" i="183"/>
  <c r="CO76" i="183"/>
  <c r="CI76" i="183"/>
  <c r="AY76" i="183"/>
  <c r="AS76" i="183"/>
  <c r="AA105" i="183"/>
  <c r="BK105" i="183"/>
  <c r="DY105" i="183"/>
  <c r="AG105" i="183"/>
  <c r="CI105" i="183"/>
  <c r="CO105" i="183"/>
  <c r="FC105" i="183"/>
  <c r="BQ105" i="183"/>
  <c r="AS105" i="183"/>
  <c r="AM105" i="183"/>
  <c r="GG105" i="183"/>
  <c r="CC105" i="183"/>
  <c r="AY105" i="183"/>
  <c r="BE105" i="183"/>
  <c r="O105" i="183"/>
  <c r="CU105" i="183"/>
  <c r="BW105" i="183"/>
  <c r="DY187" i="183"/>
  <c r="BW187" i="183"/>
  <c r="AG187" i="183"/>
  <c r="CO187" i="183"/>
  <c r="O187" i="183"/>
  <c r="CC187" i="183"/>
  <c r="GG187" i="183"/>
  <c r="AM187" i="183"/>
  <c r="AA187" i="183"/>
  <c r="AS187" i="183"/>
  <c r="FC187" i="183"/>
  <c r="CI187" i="183"/>
  <c r="BQ187" i="183"/>
  <c r="BE187" i="183"/>
  <c r="BK187" i="183"/>
  <c r="CU187" i="183"/>
  <c r="AY187" i="183"/>
  <c r="BW97" i="183"/>
  <c r="FC97" i="183"/>
  <c r="GG97" i="183"/>
  <c r="AM97" i="183"/>
  <c r="AS97" i="183"/>
  <c r="CO97" i="183"/>
  <c r="AY97" i="183"/>
  <c r="CI97" i="183"/>
  <c r="CC97" i="183"/>
  <c r="DY97" i="183"/>
  <c r="CU97" i="183"/>
  <c r="AG97" i="183"/>
  <c r="AA97" i="183"/>
  <c r="O97" i="183"/>
  <c r="BQ97" i="183"/>
  <c r="BK97" i="183"/>
  <c r="BE97" i="183"/>
  <c r="FC198" i="183"/>
  <c r="BK198" i="183"/>
  <c r="AG198" i="183"/>
  <c r="AM198" i="183"/>
  <c r="O198" i="183"/>
  <c r="CC198" i="183"/>
  <c r="CO198" i="183"/>
  <c r="CI198" i="183"/>
  <c r="BQ198" i="183"/>
  <c r="BE198" i="183"/>
  <c r="AY198" i="183"/>
  <c r="CU198" i="183"/>
  <c r="GG198" i="183"/>
  <c r="AA198" i="183"/>
  <c r="DY198" i="183"/>
  <c r="AS198" i="183"/>
  <c r="BW198" i="183"/>
  <c r="AM107" i="183"/>
  <c r="O107" i="183"/>
  <c r="GG107" i="183"/>
  <c r="DY107" i="183"/>
  <c r="CU107" i="183"/>
  <c r="AA107" i="183"/>
  <c r="CC107" i="183"/>
  <c r="AS107" i="183"/>
  <c r="CO107" i="183"/>
  <c r="FC107" i="183"/>
  <c r="CI107" i="183"/>
  <c r="BQ107" i="183"/>
  <c r="BK107" i="183"/>
  <c r="BE107" i="183"/>
  <c r="AY107" i="183"/>
  <c r="AG107" i="183"/>
  <c r="BW107" i="183"/>
  <c r="BE177" i="183"/>
  <c r="CO177" i="183"/>
  <c r="CU177" i="183"/>
  <c r="FC177" i="183"/>
  <c r="AA177" i="183"/>
  <c r="DY177" i="183"/>
  <c r="BQ177" i="183"/>
  <c r="AM177" i="183"/>
  <c r="BW177" i="183"/>
  <c r="O177" i="183"/>
  <c r="AY177" i="183"/>
  <c r="CI177" i="183"/>
  <c r="CC177" i="183"/>
  <c r="GG177" i="183"/>
  <c r="BK177" i="183"/>
  <c r="AG177" i="183"/>
  <c r="AS177" i="183"/>
  <c r="AS167" i="183"/>
  <c r="AA167" i="183"/>
  <c r="CI167" i="183"/>
  <c r="DY167" i="183"/>
  <c r="BQ167" i="183"/>
  <c r="BE167" i="183"/>
  <c r="CO167" i="183"/>
  <c r="FC167" i="183"/>
  <c r="BW167" i="183"/>
  <c r="AM167" i="183"/>
  <c r="AY167" i="183"/>
  <c r="CC167" i="183"/>
  <c r="O167" i="183"/>
  <c r="GG167" i="183"/>
  <c r="CU167" i="183"/>
  <c r="BK167" i="183"/>
  <c r="AG167" i="183"/>
  <c r="CC174" i="183"/>
  <c r="CI174" i="183"/>
  <c r="AG174" i="183"/>
  <c r="CO174" i="183"/>
  <c r="AS174" i="183"/>
  <c r="BK174" i="183"/>
  <c r="BE174" i="183"/>
  <c r="AY174" i="183"/>
  <c r="BQ174" i="183"/>
  <c r="DY174" i="183"/>
  <c r="AM174" i="183"/>
  <c r="O174" i="183"/>
  <c r="CU174" i="183"/>
  <c r="GG174" i="183"/>
  <c r="AA174" i="183"/>
  <c r="BW174" i="183"/>
  <c r="FC174" i="183"/>
  <c r="AG146" i="183"/>
  <c r="AY146" i="183"/>
  <c r="O146" i="183"/>
  <c r="BW146" i="183"/>
  <c r="BQ146" i="183"/>
  <c r="CU146" i="183"/>
  <c r="FC146" i="183"/>
  <c r="CI146" i="183"/>
  <c r="AM146" i="183"/>
  <c r="BE146" i="183"/>
  <c r="CO146" i="183"/>
  <c r="CC146" i="183"/>
  <c r="AA146" i="183"/>
  <c r="DY146" i="183"/>
  <c r="AS146" i="183"/>
  <c r="GG146" i="183"/>
  <c r="BK146" i="183"/>
  <c r="AA178" i="183"/>
  <c r="CO178" i="183"/>
  <c r="BQ178" i="183"/>
  <c r="AS178" i="183"/>
  <c r="FC178" i="183"/>
  <c r="AG178" i="183"/>
  <c r="AM178" i="183"/>
  <c r="BW178" i="183"/>
  <c r="AY178" i="183"/>
  <c r="CI178" i="183"/>
  <c r="O178" i="183"/>
  <c r="BK178" i="183"/>
  <c r="DY178" i="183"/>
  <c r="CU178" i="183"/>
  <c r="CC178" i="183"/>
  <c r="GG178" i="183"/>
  <c r="BE178" i="183"/>
  <c r="BK50" i="183"/>
  <c r="BE50" i="183"/>
  <c r="DY50" i="183"/>
  <c r="CU50" i="183"/>
  <c r="O50" i="183"/>
  <c r="BQ50" i="183"/>
  <c r="CC50" i="183"/>
  <c r="GG50" i="183"/>
  <c r="AM50" i="183"/>
  <c r="CO50" i="183"/>
  <c r="CI50" i="183"/>
  <c r="AS50" i="183"/>
  <c r="AA50" i="183"/>
  <c r="FC50" i="183"/>
  <c r="AY50" i="183"/>
  <c r="AG50" i="183"/>
  <c r="BW50" i="183"/>
  <c r="BW66" i="183"/>
  <c r="FC66" i="183"/>
  <c r="GG66" i="183"/>
  <c r="AM66" i="183"/>
  <c r="AS66" i="183"/>
  <c r="CC66" i="183"/>
  <c r="CO66" i="183"/>
  <c r="CI66" i="183"/>
  <c r="AY66" i="183"/>
  <c r="BK66" i="183"/>
  <c r="BE66" i="183"/>
  <c r="DY66" i="183"/>
  <c r="CU66" i="183"/>
  <c r="O66" i="183"/>
  <c r="BQ66" i="183"/>
  <c r="AA66" i="183"/>
  <c r="AG66" i="183"/>
  <c r="CC143" i="183"/>
  <c r="BW143" i="183"/>
  <c r="AY143" i="183"/>
  <c r="GG143" i="183"/>
  <c r="CI143" i="183"/>
  <c r="CO143" i="183"/>
  <c r="AA143" i="183"/>
  <c r="AG143" i="183"/>
  <c r="BE143" i="183"/>
  <c r="CU143" i="183"/>
  <c r="DY143" i="183"/>
  <c r="O143" i="183"/>
  <c r="BK143" i="183"/>
  <c r="AS143" i="183"/>
  <c r="FC143" i="183"/>
  <c r="BQ143" i="183"/>
  <c r="AM143" i="183"/>
  <c r="O193" i="182"/>
  <c r="AY193" i="182"/>
  <c r="FC193" i="182"/>
  <c r="CI193" i="182"/>
  <c r="BE193" i="182"/>
  <c r="AM193" i="182"/>
  <c r="BQ193" i="182"/>
  <c r="CC193" i="182"/>
  <c r="AS193" i="182"/>
  <c r="BW193" i="182"/>
  <c r="AG193" i="182"/>
  <c r="GG193" i="182"/>
  <c r="DY193" i="182"/>
  <c r="CU193" i="182"/>
  <c r="BK193" i="182"/>
  <c r="CO193" i="182"/>
  <c r="AA193" i="182"/>
  <c r="AY153" i="182"/>
  <c r="AA153" i="182"/>
  <c r="BK153" i="182"/>
  <c r="GG153" i="182"/>
  <c r="DY153" i="182"/>
  <c r="CC153" i="182"/>
  <c r="AG153" i="182"/>
  <c r="AS153" i="182"/>
  <c r="O153" i="182"/>
  <c r="CO153" i="182"/>
  <c r="BQ153" i="182"/>
  <c r="BW153" i="182"/>
  <c r="BE153" i="182"/>
  <c r="FC153" i="182"/>
  <c r="CI153" i="182"/>
  <c r="AM153" i="182"/>
  <c r="CU153" i="182"/>
  <c r="AS100" i="182"/>
  <c r="DY100" i="182"/>
  <c r="CI100" i="182"/>
  <c r="BQ100" i="182"/>
  <c r="AM100" i="182"/>
  <c r="O100" i="182"/>
  <c r="FC100" i="182"/>
  <c r="BK100" i="182"/>
  <c r="CU100" i="182"/>
  <c r="CC100" i="182"/>
  <c r="BE100" i="182"/>
  <c r="CO100" i="182"/>
  <c r="AG100" i="182"/>
  <c r="BW100" i="182"/>
  <c r="AA100" i="182"/>
  <c r="GG100" i="182"/>
  <c r="AY100" i="182"/>
  <c r="FC178" i="182"/>
  <c r="BK178" i="182"/>
  <c r="AM178" i="182"/>
  <c r="BE178" i="182"/>
  <c r="AY178" i="182"/>
  <c r="CO178" i="182"/>
  <c r="AG178" i="182"/>
  <c r="CI178" i="182"/>
  <c r="BQ178" i="182"/>
  <c r="GG178" i="182"/>
  <c r="BW178" i="182"/>
  <c r="DY178" i="182"/>
  <c r="O178" i="182"/>
  <c r="CU178" i="182"/>
  <c r="AS178" i="182"/>
  <c r="AA178" i="182"/>
  <c r="CC178" i="182"/>
  <c r="AA107" i="182"/>
  <c r="DY107" i="182"/>
  <c r="BQ107" i="182"/>
  <c r="O107" i="182"/>
  <c r="FC107" i="182"/>
  <c r="BW107" i="182"/>
  <c r="GG107" i="182"/>
  <c r="AM107" i="182"/>
  <c r="AG107" i="182"/>
  <c r="AS107" i="182"/>
  <c r="CC107" i="182"/>
  <c r="CI107" i="182"/>
  <c r="AY107" i="182"/>
  <c r="BE107" i="182"/>
  <c r="CO107" i="182"/>
  <c r="CU107" i="182"/>
  <c r="BK107" i="182"/>
  <c r="O135" i="182"/>
  <c r="AA135" i="182"/>
  <c r="BW135" i="182"/>
  <c r="BE135" i="182"/>
  <c r="BQ135" i="182"/>
  <c r="GG135" i="182"/>
  <c r="CU135" i="182"/>
  <c r="FC135" i="182"/>
  <c r="AS135" i="182"/>
  <c r="AM135" i="182"/>
  <c r="CI135" i="182"/>
  <c r="CC135" i="182"/>
  <c r="AY135" i="182"/>
  <c r="DY135" i="182"/>
  <c r="CO135" i="182"/>
  <c r="AG135" i="182"/>
  <c r="BK135" i="182"/>
  <c r="BE86" i="182"/>
  <c r="DY86" i="182"/>
  <c r="CO86" i="182"/>
  <c r="AY86" i="182"/>
  <c r="BW86" i="182"/>
  <c r="AG86" i="182"/>
  <c r="FC86" i="182"/>
  <c r="CU86" i="182"/>
  <c r="AM86" i="182"/>
  <c r="AA86" i="182"/>
  <c r="O86" i="182"/>
  <c r="CC86" i="182"/>
  <c r="CI86" i="182"/>
  <c r="BK86" i="182"/>
  <c r="GG86" i="182"/>
  <c r="BQ86" i="182"/>
  <c r="AS86" i="182"/>
  <c r="DY171" i="182"/>
  <c r="FC171" i="182"/>
  <c r="O171" i="182"/>
  <c r="BW171" i="182"/>
  <c r="CI171" i="182"/>
  <c r="AS171" i="182"/>
  <c r="BK171" i="182"/>
  <c r="GG171" i="182"/>
  <c r="AM171" i="182"/>
  <c r="CU171" i="182"/>
  <c r="AA171" i="182"/>
  <c r="BQ171" i="182"/>
  <c r="BE171" i="182"/>
  <c r="AY171" i="182"/>
  <c r="CO171" i="182"/>
  <c r="AG171" i="182"/>
  <c r="CC171" i="182"/>
  <c r="DY121" i="182"/>
  <c r="BW121" i="182"/>
  <c r="CI121" i="182"/>
  <c r="GG121" i="182"/>
  <c r="O121" i="182"/>
  <c r="FC121" i="182"/>
  <c r="BQ121" i="182"/>
  <c r="CU121" i="182"/>
  <c r="CO121" i="182"/>
  <c r="AG121" i="182"/>
  <c r="BE121" i="182"/>
  <c r="BK121" i="182"/>
  <c r="AY121" i="182"/>
  <c r="AA121" i="182"/>
  <c r="CC121" i="182"/>
  <c r="AM121" i="182"/>
  <c r="AS121" i="182"/>
  <c r="AG133" i="182"/>
  <c r="FC133" i="182"/>
  <c r="BE133" i="182"/>
  <c r="O133" i="182"/>
  <c r="CI133" i="182"/>
  <c r="CU133" i="182"/>
  <c r="CC133" i="182"/>
  <c r="AA133" i="182"/>
  <c r="BW133" i="182"/>
  <c r="BQ133" i="182"/>
  <c r="AY133" i="182"/>
  <c r="CO133" i="182"/>
  <c r="GG133" i="182"/>
  <c r="BK133" i="182"/>
  <c r="AS133" i="182"/>
  <c r="DY133" i="182"/>
  <c r="AM133" i="182"/>
  <c r="BE160" i="182"/>
  <c r="CC160" i="182"/>
  <c r="AM160" i="182"/>
  <c r="BW160" i="182"/>
  <c r="CI160" i="182"/>
  <c r="BQ160" i="182"/>
  <c r="BK160" i="182"/>
  <c r="AY160" i="182"/>
  <c r="FC160" i="182"/>
  <c r="DY160" i="182"/>
  <c r="GG160" i="182"/>
  <c r="AG160" i="182"/>
  <c r="CU160" i="182"/>
  <c r="O160" i="182"/>
  <c r="AA160" i="182"/>
  <c r="CO160" i="182"/>
  <c r="AS160" i="182"/>
  <c r="BW126" i="182"/>
  <c r="AY126" i="182"/>
  <c r="FC126" i="182"/>
  <c r="AA126" i="182"/>
  <c r="AS126" i="182"/>
  <c r="CU126" i="182"/>
  <c r="CI126" i="182"/>
  <c r="AG126" i="182"/>
  <c r="BE126" i="182"/>
  <c r="CO126" i="182"/>
  <c r="AM126" i="182"/>
  <c r="BQ126" i="182"/>
  <c r="O126" i="182"/>
  <c r="BK126" i="182"/>
  <c r="DY126" i="182"/>
  <c r="GG126" i="182"/>
  <c r="CC126" i="182"/>
  <c r="BE62" i="182"/>
  <c r="CO62" i="182"/>
  <c r="O62" i="182"/>
  <c r="CU62" i="182"/>
  <c r="BK62" i="182"/>
  <c r="AA62" i="182"/>
  <c r="AS62" i="182"/>
  <c r="BQ62" i="182"/>
  <c r="CI62" i="182"/>
  <c r="FC62" i="182"/>
  <c r="AG62" i="182"/>
  <c r="AM62" i="182"/>
  <c r="BW62" i="182"/>
  <c r="CC62" i="182"/>
  <c r="GG62" i="182"/>
  <c r="AY62" i="182"/>
  <c r="DY62" i="182"/>
  <c r="FC81" i="182"/>
  <c r="GG81" i="182"/>
  <c r="AG81" i="182"/>
  <c r="CI81" i="182"/>
  <c r="O81" i="182"/>
  <c r="AM81" i="182"/>
  <c r="CO81" i="182"/>
  <c r="CU81" i="182"/>
  <c r="AS81" i="182"/>
  <c r="BQ81" i="182"/>
  <c r="BK81" i="182"/>
  <c r="DY81" i="182"/>
  <c r="BE81" i="182"/>
  <c r="CC81" i="182"/>
  <c r="BW81" i="182"/>
  <c r="AY81" i="182"/>
  <c r="AA81" i="182"/>
  <c r="O167" i="182"/>
  <c r="AA167" i="182"/>
  <c r="BW167" i="182"/>
  <c r="CC167" i="182"/>
  <c r="BQ167" i="182"/>
  <c r="GG167" i="182"/>
  <c r="BE167" i="182"/>
  <c r="FC167" i="182"/>
  <c r="AS167" i="182"/>
  <c r="AM167" i="182"/>
  <c r="CU167" i="182"/>
  <c r="AY167" i="182"/>
  <c r="CO167" i="182"/>
  <c r="DY167" i="182"/>
  <c r="BK167" i="182"/>
  <c r="AG167" i="182"/>
  <c r="CI167" i="182"/>
  <c r="AS57" i="182"/>
  <c r="AM57" i="182"/>
  <c r="CI57" i="182"/>
  <c r="BQ57" i="182"/>
  <c r="BK57" i="182"/>
  <c r="BE57" i="182"/>
  <c r="CO57" i="182"/>
  <c r="DY57" i="182"/>
  <c r="CU57" i="182"/>
  <c r="AG57" i="182"/>
  <c r="AA57" i="182"/>
  <c r="O57" i="182"/>
  <c r="AY57" i="182"/>
  <c r="BW57" i="182"/>
  <c r="CC57" i="182"/>
  <c r="GG57" i="182"/>
  <c r="FC57" i="182"/>
  <c r="BK179" i="182"/>
  <c r="AA179" i="182"/>
  <c r="AM179" i="182"/>
  <c r="AY179" i="182"/>
  <c r="BE179" i="182"/>
  <c r="CI179" i="182"/>
  <c r="O179" i="182"/>
  <c r="AG179" i="182"/>
  <c r="GG179" i="182"/>
  <c r="CO179" i="182"/>
  <c r="DY179" i="182"/>
  <c r="AS179" i="182"/>
  <c r="BW179" i="182"/>
  <c r="BQ179" i="182"/>
  <c r="FC179" i="182"/>
  <c r="CC179" i="182"/>
  <c r="CU179" i="182"/>
  <c r="BK151" i="182"/>
  <c r="CC151" i="182"/>
  <c r="BE151" i="182"/>
  <c r="BW151" i="182"/>
  <c r="AS151" i="182"/>
  <c r="CU151" i="182"/>
  <c r="DY151" i="182"/>
  <c r="AA151" i="182"/>
  <c r="BQ151" i="182"/>
  <c r="FC151" i="182"/>
  <c r="AG151" i="182"/>
  <c r="AM151" i="182"/>
  <c r="CI151" i="182"/>
  <c r="AY151" i="182"/>
  <c r="O151" i="182"/>
  <c r="CO151" i="182"/>
  <c r="GG151" i="182"/>
  <c r="AY205" i="182"/>
  <c r="CU205" i="182"/>
  <c r="AS205" i="182"/>
  <c r="CO205" i="182"/>
  <c r="AA205" i="182"/>
  <c r="BK205" i="182"/>
  <c r="BW205" i="182"/>
  <c r="DY205" i="182"/>
  <c r="FC205" i="182"/>
  <c r="GG205" i="182"/>
  <c r="AG205" i="182"/>
  <c r="AM205" i="182"/>
  <c r="BE205" i="182"/>
  <c r="CC205" i="182"/>
  <c r="O205" i="182"/>
  <c r="CI205" i="182"/>
  <c r="BQ205" i="182"/>
  <c r="CU165" i="182"/>
  <c r="GG165" i="182"/>
  <c r="AA165" i="182"/>
  <c r="AG165" i="182"/>
  <c r="FC165" i="182"/>
  <c r="CI165" i="182"/>
  <c r="AM165" i="182"/>
  <c r="CC165" i="182"/>
  <c r="CO165" i="182"/>
  <c r="AY165" i="182"/>
  <c r="BK165" i="182"/>
  <c r="BW165" i="182"/>
  <c r="DY165" i="182"/>
  <c r="BQ165" i="182"/>
  <c r="BE165" i="182"/>
  <c r="AS165" i="182"/>
  <c r="O165" i="182"/>
  <c r="AS180" i="182"/>
  <c r="BW180" i="182"/>
  <c r="CI180" i="182"/>
  <c r="AG180" i="182"/>
  <c r="BQ180" i="182"/>
  <c r="CO180" i="182"/>
  <c r="FC180" i="182"/>
  <c r="DY180" i="182"/>
  <c r="AM180" i="182"/>
  <c r="AA180" i="182"/>
  <c r="AY180" i="182"/>
  <c r="BK180" i="182"/>
  <c r="O180" i="182"/>
  <c r="CU180" i="182"/>
  <c r="GG180" i="182"/>
  <c r="BE180" i="182"/>
  <c r="CC180" i="182"/>
  <c r="AM186" i="181"/>
  <c r="BW186" i="181"/>
  <c r="CU186" i="181"/>
  <c r="AG186" i="181"/>
  <c r="AY186" i="181"/>
  <c r="CI186" i="181"/>
  <c r="CC186" i="181"/>
  <c r="O186" i="181"/>
  <c r="BQ186" i="181"/>
  <c r="DY186" i="181"/>
  <c r="FC186" i="181"/>
  <c r="AA186" i="181"/>
  <c r="BK186" i="181"/>
  <c r="BE186" i="181"/>
  <c r="CO186" i="181"/>
  <c r="GG186" i="181"/>
  <c r="AS186" i="181"/>
  <c r="BW175" i="181"/>
  <c r="AG175" i="181"/>
  <c r="BK175" i="181"/>
  <c r="AS175" i="181"/>
  <c r="CI175" i="181"/>
  <c r="AM175" i="181"/>
  <c r="FC175" i="181"/>
  <c r="CC175" i="181"/>
  <c r="CO175" i="181"/>
  <c r="AY175" i="181"/>
  <c r="AA175" i="181"/>
  <c r="DY175" i="181"/>
  <c r="CU175" i="181"/>
  <c r="BE175" i="181"/>
  <c r="O175" i="181"/>
  <c r="GG175" i="181"/>
  <c r="BQ175" i="181"/>
  <c r="BW57" i="181"/>
  <c r="GG57" i="181"/>
  <c r="FC57" i="181"/>
  <c r="CU57" i="181"/>
  <c r="DY57" i="181"/>
  <c r="BE57" i="181"/>
  <c r="BK57" i="181"/>
  <c r="CC57" i="181"/>
  <c r="AM57" i="181"/>
  <c r="AY57" i="181"/>
  <c r="CI57" i="181"/>
  <c r="AS57" i="181"/>
  <c r="BQ57" i="181"/>
  <c r="AA57" i="181"/>
  <c r="AG57" i="181"/>
  <c r="CO57" i="181"/>
  <c r="O57" i="181"/>
  <c r="BK189" i="181"/>
  <c r="BQ189" i="181"/>
  <c r="O189" i="181"/>
  <c r="DY189" i="181"/>
  <c r="AG189" i="181"/>
  <c r="GG189" i="181"/>
  <c r="CC189" i="181"/>
  <c r="AY189" i="181"/>
  <c r="AA189" i="181"/>
  <c r="AM189" i="181"/>
  <c r="CU189" i="181"/>
  <c r="CO189" i="181"/>
  <c r="BW189" i="181"/>
  <c r="FC189" i="181"/>
  <c r="BE189" i="181"/>
  <c r="CI189" i="181"/>
  <c r="AS189" i="181"/>
  <c r="CU81" i="181"/>
  <c r="BK81" i="181"/>
  <c r="AA81" i="181"/>
  <c r="AS81" i="181"/>
  <c r="AY81" i="181"/>
  <c r="FC81" i="181"/>
  <c r="DY81" i="181"/>
  <c r="CO81" i="181"/>
  <c r="BQ81" i="181"/>
  <c r="BW81" i="181"/>
  <c r="AG81" i="181"/>
  <c r="AM81" i="181"/>
  <c r="CC81" i="181"/>
  <c r="CI81" i="181"/>
  <c r="O81" i="181"/>
  <c r="BE81" i="181"/>
  <c r="GG81" i="181"/>
  <c r="CO140" i="181"/>
  <c r="AY140" i="181"/>
  <c r="DY140" i="181"/>
  <c r="BK140" i="181"/>
  <c r="AG140" i="181"/>
  <c r="BW140" i="181"/>
  <c r="CC140" i="181"/>
  <c r="CI140" i="181"/>
  <c r="AS140" i="181"/>
  <c r="FC140" i="181"/>
  <c r="AA140" i="181"/>
  <c r="AM140" i="181"/>
  <c r="CU140" i="181"/>
  <c r="O140" i="181"/>
  <c r="BE140" i="181"/>
  <c r="BQ140" i="181"/>
  <c r="GG140" i="181"/>
  <c r="AG98" i="181"/>
  <c r="AM98" i="181"/>
  <c r="O98" i="181"/>
  <c r="BW98" i="181"/>
  <c r="GG98" i="181"/>
  <c r="CU98" i="181"/>
  <c r="AS98" i="181"/>
  <c r="AA98" i="181"/>
  <c r="AY98" i="181"/>
  <c r="CI98" i="181"/>
  <c r="CC98" i="181"/>
  <c r="CO98" i="181"/>
  <c r="BE98" i="181"/>
  <c r="BK98" i="181"/>
  <c r="BQ98" i="181"/>
  <c r="DY98" i="181"/>
  <c r="FC98" i="181"/>
  <c r="CO47" i="181"/>
  <c r="CI47" i="181"/>
  <c r="BK47" i="181"/>
  <c r="CU47" i="181"/>
  <c r="DY47" i="181"/>
  <c r="BE47" i="181"/>
  <c r="BQ47" i="181"/>
  <c r="AG47" i="181"/>
  <c r="AA47" i="181"/>
  <c r="FC47" i="181"/>
  <c r="O47" i="181"/>
  <c r="AM47" i="181"/>
  <c r="BW47" i="181"/>
  <c r="CC47" i="181"/>
  <c r="AY47" i="181"/>
  <c r="AS47" i="181"/>
  <c r="GG47" i="181"/>
  <c r="CC92" i="181"/>
  <c r="BK92" i="181"/>
  <c r="DY92" i="181"/>
  <c r="AM92" i="181"/>
  <c r="AG92" i="181"/>
  <c r="CU92" i="181"/>
  <c r="O92" i="181"/>
  <c r="GG92" i="181"/>
  <c r="BW92" i="181"/>
  <c r="AY92" i="181"/>
  <c r="FC92" i="181"/>
  <c r="CO92" i="181"/>
  <c r="BE92" i="181"/>
  <c r="AS92" i="181"/>
  <c r="AA92" i="181"/>
  <c r="BQ92" i="181"/>
  <c r="CI92" i="181"/>
  <c r="CC156" i="181"/>
  <c r="CI156" i="181"/>
  <c r="CO156" i="181"/>
  <c r="FC156" i="181"/>
  <c r="BK156" i="181"/>
  <c r="AY156" i="181"/>
  <c r="DY156" i="181"/>
  <c r="BW156" i="181"/>
  <c r="AG156" i="181"/>
  <c r="AM156" i="181"/>
  <c r="CU156" i="181"/>
  <c r="O156" i="181"/>
  <c r="BE156" i="181"/>
  <c r="AA156" i="181"/>
  <c r="GG156" i="181"/>
  <c r="BQ156" i="181"/>
  <c r="AS156" i="181"/>
  <c r="AS71" i="181"/>
  <c r="CC71" i="181"/>
  <c r="CI71" i="181"/>
  <c r="AY71" i="181"/>
  <c r="BE71" i="181"/>
  <c r="CO71" i="181"/>
  <c r="CU71" i="181"/>
  <c r="BK71" i="181"/>
  <c r="AA71" i="181"/>
  <c r="AG71" i="181"/>
  <c r="BQ71" i="181"/>
  <c r="O71" i="181"/>
  <c r="BW71" i="181"/>
  <c r="FC71" i="181"/>
  <c r="DY71" i="181"/>
  <c r="GG71" i="181"/>
  <c r="AM71" i="181"/>
  <c r="CC139" i="181"/>
  <c r="CI139" i="181"/>
  <c r="BK139" i="181"/>
  <c r="AY139" i="181"/>
  <c r="AS139" i="181"/>
  <c r="AG139" i="181"/>
  <c r="CO139" i="181"/>
  <c r="FC139" i="181"/>
  <c r="AA139" i="181"/>
  <c r="DY139" i="181"/>
  <c r="BW139" i="181"/>
  <c r="BQ139" i="181"/>
  <c r="BE139" i="181"/>
  <c r="GG139" i="181"/>
  <c r="AM139" i="181"/>
  <c r="CU139" i="181"/>
  <c r="O139" i="181"/>
  <c r="AY50" i="181"/>
  <c r="AS50" i="181"/>
  <c r="AM50" i="181"/>
  <c r="CO50" i="181"/>
  <c r="CI50" i="181"/>
  <c r="BK50" i="181"/>
  <c r="BE50" i="181"/>
  <c r="DY50" i="181"/>
  <c r="CU50" i="181"/>
  <c r="AG50" i="181"/>
  <c r="AA50" i="181"/>
  <c r="O50" i="181"/>
  <c r="BQ50" i="181"/>
  <c r="BW50" i="181"/>
  <c r="CC50" i="181"/>
  <c r="GG50" i="181"/>
  <c r="FC50" i="181"/>
  <c r="CU80" i="181"/>
  <c r="DY80" i="181"/>
  <c r="BK80" i="181"/>
  <c r="BQ80" i="181"/>
  <c r="AA80" i="181"/>
  <c r="AY80" i="181"/>
  <c r="FC80" i="181"/>
  <c r="GG80" i="181"/>
  <c r="AG80" i="181"/>
  <c r="AM80" i="181"/>
  <c r="AS80" i="181"/>
  <c r="CI80" i="181"/>
  <c r="CO80" i="181"/>
  <c r="BE80" i="181"/>
  <c r="BW80" i="181"/>
  <c r="CC80" i="181"/>
  <c r="O80" i="181"/>
  <c r="AS131" i="181"/>
  <c r="CO131" i="181"/>
  <c r="CI131" i="181"/>
  <c r="BE131" i="181"/>
  <c r="CU131" i="181"/>
  <c r="CC131" i="181"/>
  <c r="DY131" i="181"/>
  <c r="AA131" i="181"/>
  <c r="BK131" i="181"/>
  <c r="AG131" i="181"/>
  <c r="BQ131" i="181"/>
  <c r="O131" i="181"/>
  <c r="FC131" i="181"/>
  <c r="BW131" i="181"/>
  <c r="AM131" i="181"/>
  <c r="GG131" i="181"/>
  <c r="AY131" i="181"/>
  <c r="CI54" i="181"/>
  <c r="AY54" i="181"/>
  <c r="BE54" i="181"/>
  <c r="CO54" i="181"/>
  <c r="CU54" i="181"/>
  <c r="AG54" i="181"/>
  <c r="AA54" i="181"/>
  <c r="BK54" i="181"/>
  <c r="BW54" i="181"/>
  <c r="BQ54" i="181"/>
  <c r="O54" i="181"/>
  <c r="GG54" i="181"/>
  <c r="FC54" i="181"/>
  <c r="AS54" i="181"/>
  <c r="AM54" i="181"/>
  <c r="DY54" i="181"/>
  <c r="CC54" i="181"/>
  <c r="AS68" i="181"/>
  <c r="CC68" i="181"/>
  <c r="CO68" i="181"/>
  <c r="CI68" i="181"/>
  <c r="AY68" i="181"/>
  <c r="BK68" i="181"/>
  <c r="BE68" i="181"/>
  <c r="DY68" i="181"/>
  <c r="CU68" i="181"/>
  <c r="AG68" i="181"/>
  <c r="AA68" i="181"/>
  <c r="O68" i="181"/>
  <c r="BQ68" i="181"/>
  <c r="BW68" i="181"/>
  <c r="FC68" i="181"/>
  <c r="GG68" i="181"/>
  <c r="AM68" i="181"/>
  <c r="CC73" i="181"/>
  <c r="GG73" i="181"/>
  <c r="CI73" i="181"/>
  <c r="AY73" i="181"/>
  <c r="AS73" i="181"/>
  <c r="BE73" i="181"/>
  <c r="CO73" i="181"/>
  <c r="CU73" i="181"/>
  <c r="BK73" i="181"/>
  <c r="AA73" i="181"/>
  <c r="DY73" i="181"/>
  <c r="BQ73" i="181"/>
  <c r="AG73" i="181"/>
  <c r="FC73" i="181"/>
  <c r="O73" i="181"/>
  <c r="AM73" i="181"/>
  <c r="BW73" i="181"/>
  <c r="BK152" i="181"/>
  <c r="O152" i="181"/>
  <c r="BW152" i="181"/>
  <c r="AG152" i="181"/>
  <c r="CU152" i="181"/>
  <c r="GG152" i="181"/>
  <c r="CI152" i="181"/>
  <c r="AS152" i="181"/>
  <c r="AA152" i="181"/>
  <c r="BE152" i="181"/>
  <c r="CC152" i="181"/>
  <c r="FC152" i="181"/>
  <c r="AY152" i="181"/>
  <c r="AM152" i="181"/>
  <c r="DY152" i="181"/>
  <c r="CO152" i="181"/>
  <c r="BQ152" i="181"/>
  <c r="BQ63" i="181"/>
  <c r="AG63" i="181"/>
  <c r="FC63" i="181"/>
  <c r="O63" i="181"/>
  <c r="AM63" i="181"/>
  <c r="GG63" i="181"/>
  <c r="CC63" i="181"/>
  <c r="AS63" i="181"/>
  <c r="AY63" i="181"/>
  <c r="CI63" i="181"/>
  <c r="CO63" i="181"/>
  <c r="BW63" i="181"/>
  <c r="CU63" i="181"/>
  <c r="BK63" i="181"/>
  <c r="BE63" i="181"/>
  <c r="AA63" i="181"/>
  <c r="DY63" i="181"/>
  <c r="BW97" i="181"/>
  <c r="BE97" i="181"/>
  <c r="GG97" i="181"/>
  <c r="FC97" i="181"/>
  <c r="AS97" i="181"/>
  <c r="DY97" i="181"/>
  <c r="CI97" i="181"/>
  <c r="AM97" i="181"/>
  <c r="CC97" i="181"/>
  <c r="CU97" i="181"/>
  <c r="AG97" i="181"/>
  <c r="AY97" i="181"/>
  <c r="AA97" i="181"/>
  <c r="CO97" i="181"/>
  <c r="BQ97" i="181"/>
  <c r="BK97" i="181"/>
  <c r="O97" i="181"/>
  <c r="GG145" i="180"/>
  <c r="CU145" i="180"/>
  <c r="AS145" i="180"/>
  <c r="CC145" i="180"/>
  <c r="CI145" i="180"/>
  <c r="BK145" i="180"/>
  <c r="AM145" i="180"/>
  <c r="AY145" i="180"/>
  <c r="O145" i="180"/>
  <c r="DY145" i="180"/>
  <c r="FC145" i="180"/>
  <c r="AG145" i="180"/>
  <c r="BE145" i="180"/>
  <c r="CO145" i="180"/>
  <c r="BW145" i="180"/>
  <c r="AA145" i="180"/>
  <c r="BQ145" i="180"/>
  <c r="GG137" i="180"/>
  <c r="BQ137" i="180"/>
  <c r="AS137" i="180"/>
  <c r="FC137" i="180"/>
  <c r="CI137" i="180"/>
  <c r="BE137" i="180"/>
  <c r="BK137" i="180"/>
  <c r="CC137" i="180"/>
  <c r="CU137" i="180"/>
  <c r="DY137" i="180"/>
  <c r="AY137" i="180"/>
  <c r="AG137" i="180"/>
  <c r="CO137" i="180"/>
  <c r="BW137" i="180"/>
  <c r="AM137" i="180"/>
  <c r="O137" i="180"/>
  <c r="AA137" i="180"/>
  <c r="AY56" i="180"/>
  <c r="GG56" i="180"/>
  <c r="CO56" i="180"/>
  <c r="O56" i="180"/>
  <c r="BK56" i="180"/>
  <c r="AS56" i="180"/>
  <c r="DY56" i="180"/>
  <c r="CI56" i="180"/>
  <c r="BE56" i="180"/>
  <c r="BW56" i="180"/>
  <c r="FC56" i="180"/>
  <c r="CU56" i="180"/>
  <c r="AG56" i="180"/>
  <c r="AM56" i="180"/>
  <c r="AA56" i="180"/>
  <c r="CC56" i="180"/>
  <c r="BQ56" i="180"/>
  <c r="FC84" i="180"/>
  <c r="O84" i="180"/>
  <c r="GG84" i="180"/>
  <c r="AM84" i="180"/>
  <c r="BW84" i="180"/>
  <c r="AS84" i="180"/>
  <c r="CC84" i="180"/>
  <c r="CI84" i="180"/>
  <c r="AY84" i="180"/>
  <c r="CU84" i="180"/>
  <c r="BK84" i="180"/>
  <c r="AA84" i="180"/>
  <c r="DY84" i="180"/>
  <c r="CO84" i="180"/>
  <c r="AG84" i="180"/>
  <c r="BE84" i="180"/>
  <c r="BQ84" i="180"/>
  <c r="BW52" i="180"/>
  <c r="CU52" i="180"/>
  <c r="GG52" i="180"/>
  <c r="CC52" i="180"/>
  <c r="AS52" i="180"/>
  <c r="BK52" i="180"/>
  <c r="BQ52" i="180"/>
  <c r="BE52" i="180"/>
  <c r="AY52" i="180"/>
  <c r="AM52" i="180"/>
  <c r="AG52" i="180"/>
  <c r="O52" i="180"/>
  <c r="AA52" i="180"/>
  <c r="FC52" i="180"/>
  <c r="CI52" i="180"/>
  <c r="DY52" i="180"/>
  <c r="CO52" i="180"/>
  <c r="FC67" i="180"/>
  <c r="O67" i="180"/>
  <c r="AM67" i="180"/>
  <c r="BW67" i="180"/>
  <c r="CC67" i="180"/>
  <c r="GG67" i="180"/>
  <c r="AY67" i="180"/>
  <c r="AS67" i="180"/>
  <c r="CO67" i="180"/>
  <c r="CI67" i="180"/>
  <c r="BK67" i="180"/>
  <c r="BE67" i="180"/>
  <c r="DY67" i="180"/>
  <c r="CU67" i="180"/>
  <c r="BQ67" i="180"/>
  <c r="AG67" i="180"/>
  <c r="AA67" i="180"/>
  <c r="CC95" i="180"/>
  <c r="DY95" i="180"/>
  <c r="AS95" i="180"/>
  <c r="CU95" i="180"/>
  <c r="O95" i="180"/>
  <c r="AA95" i="180"/>
  <c r="BE95" i="180"/>
  <c r="BQ95" i="180"/>
  <c r="AG95" i="180"/>
  <c r="AM95" i="180"/>
  <c r="AY95" i="180"/>
  <c r="CI95" i="180"/>
  <c r="GG95" i="180"/>
  <c r="FC95" i="180"/>
  <c r="BK95" i="180"/>
  <c r="BW95" i="180"/>
  <c r="CO95" i="180"/>
  <c r="BK57" i="180"/>
  <c r="AA57" i="180"/>
  <c r="DY57" i="180"/>
  <c r="BQ57" i="180"/>
  <c r="AG57" i="180"/>
  <c r="FC57" i="180"/>
  <c r="O57" i="180"/>
  <c r="AM57" i="180"/>
  <c r="BW57" i="180"/>
  <c r="BE57" i="180"/>
  <c r="CC57" i="180"/>
  <c r="GG57" i="180"/>
  <c r="AS57" i="180"/>
  <c r="AY57" i="180"/>
  <c r="CI57" i="180"/>
  <c r="CO57" i="180"/>
  <c r="CU57" i="180"/>
  <c r="GG115" i="180"/>
  <c r="FC115" i="180"/>
  <c r="AS115" i="180"/>
  <c r="AM115" i="180"/>
  <c r="AY115" i="180"/>
  <c r="CI115" i="180"/>
  <c r="CO115" i="180"/>
  <c r="BK115" i="180"/>
  <c r="BE115" i="180"/>
  <c r="DY115" i="180"/>
  <c r="CU115" i="180"/>
  <c r="AG115" i="180"/>
  <c r="AA115" i="180"/>
  <c r="O115" i="180"/>
  <c r="BQ115" i="180"/>
  <c r="BW115" i="180"/>
  <c r="CC115" i="180"/>
  <c r="CC212" i="180"/>
  <c r="FC212" i="180"/>
  <c r="CO212" i="180"/>
  <c r="AS212" i="180"/>
  <c r="BK212" i="180"/>
  <c r="BE212" i="180"/>
  <c r="DY212" i="180"/>
  <c r="CU212" i="180"/>
  <c r="AG212" i="180"/>
  <c r="BW212" i="180"/>
  <c r="O212" i="180"/>
  <c r="AM212" i="180"/>
  <c r="AY212" i="180"/>
  <c r="CI212" i="180"/>
  <c r="BQ212" i="180"/>
  <c r="AA212" i="180"/>
  <c r="GG212" i="180"/>
  <c r="CO74" i="180"/>
  <c r="CU74" i="180"/>
  <c r="BE74" i="180"/>
  <c r="BQ74" i="180"/>
  <c r="AG74" i="180"/>
  <c r="BW74" i="180"/>
  <c r="FC74" i="180"/>
  <c r="GG74" i="180"/>
  <c r="BK74" i="180"/>
  <c r="AS74" i="180"/>
  <c r="AM74" i="180"/>
  <c r="CI74" i="180"/>
  <c r="DY74" i="180"/>
  <c r="AA74" i="180"/>
  <c r="CC74" i="180"/>
  <c r="O74" i="180"/>
  <c r="AY74" i="180"/>
  <c r="CO187" i="180"/>
  <c r="CI187" i="180"/>
  <c r="BK187" i="180"/>
  <c r="CC187" i="180"/>
  <c r="DY187" i="180"/>
  <c r="BE187" i="180"/>
  <c r="O187" i="180"/>
  <c r="FC187" i="180"/>
  <c r="GG187" i="180"/>
  <c r="BQ187" i="180"/>
  <c r="AS187" i="180"/>
  <c r="CU187" i="180"/>
  <c r="AM187" i="180"/>
  <c r="AA187" i="180"/>
  <c r="AG187" i="180"/>
  <c r="BW187" i="180"/>
  <c r="AY187" i="180"/>
  <c r="DY159" i="180"/>
  <c r="AY159" i="180"/>
  <c r="AG159" i="180"/>
  <c r="CO159" i="180"/>
  <c r="CC159" i="180"/>
  <c r="CU159" i="180"/>
  <c r="GG159" i="180"/>
  <c r="BE159" i="180"/>
  <c r="BW159" i="180"/>
  <c r="FC159" i="180"/>
  <c r="CI159" i="180"/>
  <c r="AM159" i="180"/>
  <c r="BK159" i="180"/>
  <c r="AS159" i="180"/>
  <c r="O159" i="180"/>
  <c r="BQ159" i="180"/>
  <c r="AA159" i="180"/>
  <c r="BW120" i="180"/>
  <c r="AS120" i="180"/>
  <c r="AM120" i="180"/>
  <c r="FC120" i="180"/>
  <c r="BQ120" i="180"/>
  <c r="AA120" i="180"/>
  <c r="GG120" i="180"/>
  <c r="CO120" i="180"/>
  <c r="CU120" i="180"/>
  <c r="BE120" i="180"/>
  <c r="DY120" i="180"/>
  <c r="AY120" i="180"/>
  <c r="CI120" i="180"/>
  <c r="AG120" i="180"/>
  <c r="CC120" i="180"/>
  <c r="O120" i="180"/>
  <c r="BK120" i="180"/>
  <c r="BE75" i="180"/>
  <c r="AM75" i="180"/>
  <c r="AG75" i="180"/>
  <c r="DY75" i="180"/>
  <c r="BW75" i="180"/>
  <c r="CC75" i="180"/>
  <c r="CU75" i="180"/>
  <c r="AY75" i="180"/>
  <c r="O75" i="180"/>
  <c r="AA75" i="180"/>
  <c r="CO75" i="180"/>
  <c r="GG75" i="180"/>
  <c r="BQ75" i="180"/>
  <c r="AS75" i="180"/>
  <c r="FC75" i="180"/>
  <c r="CI75" i="180"/>
  <c r="BK75" i="180"/>
  <c r="AS122" i="180"/>
  <c r="AA122" i="180"/>
  <c r="CI122" i="180"/>
  <c r="BK122" i="180"/>
  <c r="CO122" i="180"/>
  <c r="CC122" i="180"/>
  <c r="BW122" i="180"/>
  <c r="CU122" i="180"/>
  <c r="FC122" i="180"/>
  <c r="BE122" i="180"/>
  <c r="BQ122" i="180"/>
  <c r="AM122" i="180"/>
  <c r="AY122" i="180"/>
  <c r="AG122" i="180"/>
  <c r="O122" i="180"/>
  <c r="GG122" i="180"/>
  <c r="DY122" i="180"/>
  <c r="AA88" i="180"/>
  <c r="O88" i="180"/>
  <c r="FC88" i="180"/>
  <c r="AY88" i="180"/>
  <c r="CI88" i="180"/>
  <c r="CO88" i="180"/>
  <c r="AG88" i="180"/>
  <c r="GG88" i="180"/>
  <c r="BE88" i="180"/>
  <c r="CU88" i="180"/>
  <c r="AM88" i="180"/>
  <c r="CC88" i="180"/>
  <c r="DY88" i="180"/>
  <c r="AS88" i="180"/>
  <c r="BK88" i="180"/>
  <c r="BW88" i="180"/>
  <c r="BQ88" i="180"/>
  <c r="AG99" i="180"/>
  <c r="AA99" i="180"/>
  <c r="O99" i="180"/>
  <c r="AY99" i="180"/>
  <c r="BW99" i="180"/>
  <c r="CO99" i="180"/>
  <c r="GG99" i="180"/>
  <c r="BK99" i="180"/>
  <c r="CI99" i="180"/>
  <c r="CC99" i="180"/>
  <c r="BE99" i="180"/>
  <c r="BQ99" i="180"/>
  <c r="FC99" i="180"/>
  <c r="DY99" i="180"/>
  <c r="AS99" i="180"/>
  <c r="CU99" i="180"/>
  <c r="AM99" i="180"/>
  <c r="AS207" i="180"/>
  <c r="CI207" i="180"/>
  <c r="CU207" i="180"/>
  <c r="CO207" i="180"/>
  <c r="CC207" i="180"/>
  <c r="FC207" i="180"/>
  <c r="AG207" i="180"/>
  <c r="AA207" i="180"/>
  <c r="AM207" i="180"/>
  <c r="BE207" i="180"/>
  <c r="BQ207" i="180"/>
  <c r="DY207" i="180"/>
  <c r="BW207" i="180"/>
  <c r="GG207" i="180"/>
  <c r="AY207" i="180"/>
  <c r="O207" i="180"/>
  <c r="BK207" i="180"/>
  <c r="DY111" i="180"/>
  <c r="BQ111" i="180"/>
  <c r="AG111" i="180"/>
  <c r="CI111" i="180"/>
  <c r="O111" i="180"/>
  <c r="AS111" i="180"/>
  <c r="BW111" i="180"/>
  <c r="BK111" i="180"/>
  <c r="AA111" i="180"/>
  <c r="BE111" i="180"/>
  <c r="FC111" i="180"/>
  <c r="CO111" i="180"/>
  <c r="AY111" i="180"/>
  <c r="CC111" i="180"/>
  <c r="CU111" i="180"/>
  <c r="AM111" i="180"/>
  <c r="GG111" i="180"/>
  <c r="GG166" i="179"/>
  <c r="BQ166" i="179"/>
  <c r="AS166" i="179"/>
  <c r="CU166" i="179"/>
  <c r="CC166" i="179"/>
  <c r="AM166" i="179"/>
  <c r="AY166" i="179"/>
  <c r="BK166" i="179"/>
  <c r="DY166" i="179"/>
  <c r="AG166" i="179"/>
  <c r="O166" i="179"/>
  <c r="FC166" i="179"/>
  <c r="BW166" i="179"/>
  <c r="CO166" i="179"/>
  <c r="AA166" i="179"/>
  <c r="CI166" i="179"/>
  <c r="BE166" i="179"/>
  <c r="FC53" i="179"/>
  <c r="O53" i="179"/>
  <c r="AM53" i="179"/>
  <c r="GG53" i="179"/>
  <c r="CC53" i="179"/>
  <c r="AS53" i="179"/>
  <c r="AY53" i="179"/>
  <c r="CI53" i="179"/>
  <c r="CU53" i="179"/>
  <c r="BK53" i="179"/>
  <c r="AA53" i="179"/>
  <c r="DY53" i="179"/>
  <c r="BE53" i="179"/>
  <c r="BQ53" i="179"/>
  <c r="CO53" i="179"/>
  <c r="AG53" i="179"/>
  <c r="BW53" i="179"/>
  <c r="BK169" i="179"/>
  <c r="FC169" i="179"/>
  <c r="DY169" i="179"/>
  <c r="AY169" i="179"/>
  <c r="AG169" i="179"/>
  <c r="CI169" i="179"/>
  <c r="O169" i="179"/>
  <c r="CC169" i="179"/>
  <c r="BE169" i="179"/>
  <c r="BQ169" i="179"/>
  <c r="CO169" i="179"/>
  <c r="CU169" i="179"/>
  <c r="AS169" i="179"/>
  <c r="AM169" i="179"/>
  <c r="AA169" i="179"/>
  <c r="BW169" i="179"/>
  <c r="GG169" i="179"/>
  <c r="FC77" i="179"/>
  <c r="O77" i="179"/>
  <c r="AM77" i="179"/>
  <c r="CC77" i="179"/>
  <c r="GG77" i="179"/>
  <c r="AY77" i="179"/>
  <c r="AS77" i="179"/>
  <c r="BK77" i="179"/>
  <c r="AA77" i="179"/>
  <c r="DY77" i="179"/>
  <c r="CU77" i="179"/>
  <c r="CI77" i="179"/>
  <c r="BE77" i="179"/>
  <c r="BQ77" i="179"/>
  <c r="CO77" i="179"/>
  <c r="AG77" i="179"/>
  <c r="BW77" i="179"/>
  <c r="CI206" i="179"/>
  <c r="AM206" i="179"/>
  <c r="DY206" i="179"/>
  <c r="BW206" i="179"/>
  <c r="O206" i="179"/>
  <c r="AY206" i="179"/>
  <c r="AS206" i="179"/>
  <c r="BQ206" i="179"/>
  <c r="AA206" i="179"/>
  <c r="BK206" i="179"/>
  <c r="FC206" i="179"/>
  <c r="AG206" i="179"/>
  <c r="CO206" i="179"/>
  <c r="GG206" i="179"/>
  <c r="CC206" i="179"/>
  <c r="CU206" i="179"/>
  <c r="BE206" i="179"/>
  <c r="BQ138" i="179"/>
  <c r="O138" i="179"/>
  <c r="BW138" i="179"/>
  <c r="FC138" i="179"/>
  <c r="AA138" i="179"/>
  <c r="AM138" i="179"/>
  <c r="DY138" i="179"/>
  <c r="BK138" i="179"/>
  <c r="BE138" i="179"/>
  <c r="CC138" i="179"/>
  <c r="AY138" i="179"/>
  <c r="AG138" i="179"/>
  <c r="GG138" i="179"/>
  <c r="CO138" i="179"/>
  <c r="CU138" i="179"/>
  <c r="AS138" i="179"/>
  <c r="CI138" i="179"/>
  <c r="CO173" i="179"/>
  <c r="DY173" i="179"/>
  <c r="BW173" i="179"/>
  <c r="CC173" i="179"/>
  <c r="AY173" i="179"/>
  <c r="BE173" i="179"/>
  <c r="AS173" i="179"/>
  <c r="FC173" i="179"/>
  <c r="GG173" i="179"/>
  <c r="CI173" i="179"/>
  <c r="CU173" i="179"/>
  <c r="O173" i="179"/>
  <c r="AM173" i="179"/>
  <c r="BK173" i="179"/>
  <c r="BQ173" i="179"/>
  <c r="AA173" i="179"/>
  <c r="AG173" i="179"/>
  <c r="DY177" i="179"/>
  <c r="AS177" i="179"/>
  <c r="CC177" i="179"/>
  <c r="AG177" i="179"/>
  <c r="AA177" i="179"/>
  <c r="O177" i="179"/>
  <c r="FC177" i="179"/>
  <c r="BW177" i="179"/>
  <c r="BK177" i="179"/>
  <c r="CI177" i="179"/>
  <c r="BE177" i="179"/>
  <c r="BQ177" i="179"/>
  <c r="GG177" i="179"/>
  <c r="CU177" i="179"/>
  <c r="AY177" i="179"/>
  <c r="AM177" i="179"/>
  <c r="CO177" i="179"/>
  <c r="CO103" i="179"/>
  <c r="CI103" i="179"/>
  <c r="BK103" i="179"/>
  <c r="BE103" i="179"/>
  <c r="DY103" i="179"/>
  <c r="CU103" i="179"/>
  <c r="AG103" i="179"/>
  <c r="AA103" i="179"/>
  <c r="BW103" i="179"/>
  <c r="BQ103" i="179"/>
  <c r="CC103" i="179"/>
  <c r="GG103" i="179"/>
  <c r="AM103" i="179"/>
  <c r="AS103" i="179"/>
  <c r="FC103" i="179"/>
  <c r="AY103" i="179"/>
  <c r="O103" i="179"/>
  <c r="BW57" i="179"/>
  <c r="FC57" i="179"/>
  <c r="CC57" i="179"/>
  <c r="GG57" i="179"/>
  <c r="AM57" i="179"/>
  <c r="AY57" i="179"/>
  <c r="AS57" i="179"/>
  <c r="CO57" i="179"/>
  <c r="CI57" i="179"/>
  <c r="DY57" i="179"/>
  <c r="CU57" i="179"/>
  <c r="AG57" i="179"/>
  <c r="AA57" i="179"/>
  <c r="BK57" i="179"/>
  <c r="O57" i="179"/>
  <c r="BE57" i="179"/>
  <c r="BQ57" i="179"/>
  <c r="AS97" i="179"/>
  <c r="CC97" i="179"/>
  <c r="CI97" i="179"/>
  <c r="AY97" i="179"/>
  <c r="BE97" i="179"/>
  <c r="CO97" i="179"/>
  <c r="CU97" i="179"/>
  <c r="BK97" i="179"/>
  <c r="AA97" i="179"/>
  <c r="O97" i="179"/>
  <c r="BQ97" i="179"/>
  <c r="BW97" i="179"/>
  <c r="FC97" i="179"/>
  <c r="AG97" i="179"/>
  <c r="GG97" i="179"/>
  <c r="AM97" i="179"/>
  <c r="DY97" i="179"/>
  <c r="O213" i="179"/>
  <c r="GG213" i="179"/>
  <c r="BE213" i="179"/>
  <c r="AM213" i="179"/>
  <c r="BW213" i="179"/>
  <c r="CU213" i="179"/>
  <c r="FC213" i="179"/>
  <c r="AA213" i="179"/>
  <c r="CI213" i="179"/>
  <c r="BK213" i="179"/>
  <c r="BQ213" i="179"/>
  <c r="DY213" i="179"/>
  <c r="AS213" i="179"/>
  <c r="CO213" i="179"/>
  <c r="AG213" i="179"/>
  <c r="AY213" i="179"/>
  <c r="CC213" i="179"/>
  <c r="FC162" i="179"/>
  <c r="DY162" i="179"/>
  <c r="AY162" i="179"/>
  <c r="AS162" i="179"/>
  <c r="O162" i="179"/>
  <c r="CO162" i="179"/>
  <c r="AM162" i="179"/>
  <c r="BE162" i="179"/>
  <c r="BK162" i="179"/>
  <c r="AA162" i="179"/>
  <c r="CI162" i="179"/>
  <c r="BQ162" i="179"/>
  <c r="GG162" i="179"/>
  <c r="BW162" i="179"/>
  <c r="CU162" i="179"/>
  <c r="CC162" i="179"/>
  <c r="AG162" i="179"/>
  <c r="AG67" i="179"/>
  <c r="AM67" i="179"/>
  <c r="CC67" i="179"/>
  <c r="BQ67" i="179"/>
  <c r="O67" i="179"/>
  <c r="CI67" i="179"/>
  <c r="DY67" i="179"/>
  <c r="BE67" i="179"/>
  <c r="AA67" i="179"/>
  <c r="CO67" i="179"/>
  <c r="BK67" i="179"/>
  <c r="BW67" i="179"/>
  <c r="AS67" i="179"/>
  <c r="FC67" i="179"/>
  <c r="CU67" i="179"/>
  <c r="AY67" i="179"/>
  <c r="GG67" i="179"/>
  <c r="AM139" i="179"/>
  <c r="AS139" i="179"/>
  <c r="CU139" i="179"/>
  <c r="DY139" i="179"/>
  <c r="BW139" i="179"/>
  <c r="BK139" i="179"/>
  <c r="CI139" i="179"/>
  <c r="AG139" i="179"/>
  <c r="BE139" i="179"/>
  <c r="AY139" i="179"/>
  <c r="GG139" i="179"/>
  <c r="FC139" i="179"/>
  <c r="AA139" i="179"/>
  <c r="O139" i="179"/>
  <c r="CO139" i="179"/>
  <c r="BQ139" i="179"/>
  <c r="CC139" i="179"/>
  <c r="AA114" i="179"/>
  <c r="O114" i="179"/>
  <c r="BE114" i="179"/>
  <c r="AG114" i="179"/>
  <c r="CI114" i="179"/>
  <c r="FC114" i="179"/>
  <c r="GG114" i="179"/>
  <c r="CC114" i="179"/>
  <c r="AS114" i="179"/>
  <c r="BQ114" i="179"/>
  <c r="BW114" i="179"/>
  <c r="CU114" i="179"/>
  <c r="CO114" i="179"/>
  <c r="DY114" i="179"/>
  <c r="AM114" i="179"/>
  <c r="AY114" i="179"/>
  <c r="BK114" i="179"/>
  <c r="BE89" i="179"/>
  <c r="O89" i="179"/>
  <c r="AS89" i="179"/>
  <c r="AY89" i="179"/>
  <c r="FC89" i="179"/>
  <c r="AG89" i="179"/>
  <c r="CO89" i="179"/>
  <c r="CU89" i="179"/>
  <c r="AM89" i="179"/>
  <c r="AA89" i="179"/>
  <c r="DY89" i="179"/>
  <c r="GG89" i="179"/>
  <c r="CI89" i="179"/>
  <c r="BW89" i="179"/>
  <c r="BQ89" i="179"/>
  <c r="BK89" i="179"/>
  <c r="CC89" i="179"/>
  <c r="BW199" i="179"/>
  <c r="BK199" i="179"/>
  <c r="BQ199" i="179"/>
  <c r="AA199" i="179"/>
  <c r="AG199" i="179"/>
  <c r="CC199" i="179"/>
  <c r="AY199" i="179"/>
  <c r="DY199" i="179"/>
  <c r="GG199" i="179"/>
  <c r="CI199" i="179"/>
  <c r="BE199" i="179"/>
  <c r="AS199" i="179"/>
  <c r="O199" i="179"/>
  <c r="FC199" i="179"/>
  <c r="AM199" i="179"/>
  <c r="CO199" i="179"/>
  <c r="CU199" i="179"/>
  <c r="CU52" i="179"/>
  <c r="BW52" i="179"/>
  <c r="AA52" i="179"/>
  <c r="AG52" i="179"/>
  <c r="BQ52" i="179"/>
  <c r="GG52" i="179"/>
  <c r="FC52" i="179"/>
  <c r="DY52" i="179"/>
  <c r="AM52" i="179"/>
  <c r="AY52" i="179"/>
  <c r="CC52" i="179"/>
  <c r="O52" i="179"/>
  <c r="CI52" i="179"/>
  <c r="CO52" i="179"/>
  <c r="AS52" i="179"/>
  <c r="BE52" i="179"/>
  <c r="BK52" i="179"/>
  <c r="BW170" i="179"/>
  <c r="BK170" i="179"/>
  <c r="GG170" i="179"/>
  <c r="BE170" i="179"/>
  <c r="CU170" i="179"/>
  <c r="AS170" i="179"/>
  <c r="AY170" i="179"/>
  <c r="AA170" i="179"/>
  <c r="CO170" i="179"/>
  <c r="BQ170" i="179"/>
  <c r="AM170" i="179"/>
  <c r="DY170" i="179"/>
  <c r="FC170" i="179"/>
  <c r="AG170" i="179"/>
  <c r="CI170" i="179"/>
  <c r="O170" i="179"/>
  <c r="CC170" i="179"/>
  <c r="AM159" i="179"/>
  <c r="CC159" i="179"/>
  <c r="BQ159" i="179"/>
  <c r="BE159" i="179"/>
  <c r="DY159" i="179"/>
  <c r="BW159" i="179"/>
  <c r="O159" i="179"/>
  <c r="GG159" i="179"/>
  <c r="AA159" i="179"/>
  <c r="AS159" i="179"/>
  <c r="CO159" i="179"/>
  <c r="CI159" i="179"/>
  <c r="FC159" i="179"/>
  <c r="AY159" i="179"/>
  <c r="BK159" i="179"/>
  <c r="CU159" i="179"/>
  <c r="AG159" i="179"/>
  <c r="CC142" i="183"/>
  <c r="DY142" i="183"/>
  <c r="GG142" i="183"/>
  <c r="BW142" i="183"/>
  <c r="AS142" i="183"/>
  <c r="O142" i="183"/>
  <c r="CI142" i="183"/>
  <c r="CU142" i="183"/>
  <c r="BE142" i="183"/>
  <c r="AA142" i="183"/>
  <c r="BQ142" i="183"/>
  <c r="CO142" i="183"/>
  <c r="AY142" i="183"/>
  <c r="AM142" i="183"/>
  <c r="AG142" i="183"/>
  <c r="FC142" i="183"/>
  <c r="BK142" i="183"/>
  <c r="CU82" i="183"/>
  <c r="BK82" i="183"/>
  <c r="AA82" i="183"/>
  <c r="DY82" i="183"/>
  <c r="BQ82" i="183"/>
  <c r="AG82" i="183"/>
  <c r="FC82" i="183"/>
  <c r="O82" i="183"/>
  <c r="GG82" i="183"/>
  <c r="AM82" i="183"/>
  <c r="BW82" i="183"/>
  <c r="AS82" i="183"/>
  <c r="CC82" i="183"/>
  <c r="BE82" i="183"/>
  <c r="CO82" i="183"/>
  <c r="CI82" i="183"/>
  <c r="AY82" i="183"/>
  <c r="DY49" i="183"/>
  <c r="CU49" i="183"/>
  <c r="AG49" i="183"/>
  <c r="AA49" i="183"/>
  <c r="FC49" i="183"/>
  <c r="O49" i="183"/>
  <c r="BQ49" i="183"/>
  <c r="AM49" i="183"/>
  <c r="BW49" i="183"/>
  <c r="AY49" i="183"/>
  <c r="AS49" i="183"/>
  <c r="CO49" i="183"/>
  <c r="CI49" i="183"/>
  <c r="BK49" i="183"/>
  <c r="BE49" i="183"/>
  <c r="GG49" i="183"/>
  <c r="CC49" i="183"/>
  <c r="GG52" i="183"/>
  <c r="AM52" i="183"/>
  <c r="AS52" i="183"/>
  <c r="CC52" i="183"/>
  <c r="BK52" i="183"/>
  <c r="O52" i="183"/>
  <c r="CI52" i="183"/>
  <c r="BE52" i="183"/>
  <c r="CU52" i="183"/>
  <c r="AA52" i="183"/>
  <c r="CO52" i="183"/>
  <c r="BQ52" i="183"/>
  <c r="DY52" i="183"/>
  <c r="FC52" i="183"/>
  <c r="BW52" i="183"/>
  <c r="AG52" i="183"/>
  <c r="AY52" i="183"/>
  <c r="CI100" i="183"/>
  <c r="AY100" i="183"/>
  <c r="BE100" i="183"/>
  <c r="CO100" i="183"/>
  <c r="CU100" i="183"/>
  <c r="BW100" i="183"/>
  <c r="DY100" i="183"/>
  <c r="AA100" i="183"/>
  <c r="BK100" i="183"/>
  <c r="AG100" i="183"/>
  <c r="BQ100" i="183"/>
  <c r="O100" i="183"/>
  <c r="FC100" i="183"/>
  <c r="AS100" i="183"/>
  <c r="CC100" i="183"/>
  <c r="GG100" i="183"/>
  <c r="AM100" i="183"/>
  <c r="AM200" i="183"/>
  <c r="DY200" i="183"/>
  <c r="AY200" i="183"/>
  <c r="BW200" i="183"/>
  <c r="AG200" i="183"/>
  <c r="CO200" i="183"/>
  <c r="O200" i="183"/>
  <c r="BK200" i="183"/>
  <c r="AS200" i="183"/>
  <c r="CU200" i="183"/>
  <c r="CI200" i="183"/>
  <c r="AA200" i="183"/>
  <c r="BE200" i="183"/>
  <c r="FC200" i="183"/>
  <c r="GG200" i="183"/>
  <c r="BQ200" i="183"/>
  <c r="CC200" i="183"/>
  <c r="CU46" i="183"/>
  <c r="BK46" i="183"/>
  <c r="AA46" i="183"/>
  <c r="DY46" i="183"/>
  <c r="BQ46" i="183"/>
  <c r="AG46" i="183"/>
  <c r="FC46" i="183"/>
  <c r="O46" i="183"/>
  <c r="AM46" i="183"/>
  <c r="BW46" i="183"/>
  <c r="CC46" i="183"/>
  <c r="GG46" i="183"/>
  <c r="BE46" i="183"/>
  <c r="CO46" i="183"/>
  <c r="CI46" i="183"/>
  <c r="AY46" i="183"/>
  <c r="AS46" i="183"/>
  <c r="AG136" i="183"/>
  <c r="AS136" i="183"/>
  <c r="O136" i="183"/>
  <c r="CO136" i="183"/>
  <c r="BW136" i="183"/>
  <c r="BQ136" i="183"/>
  <c r="FC136" i="183"/>
  <c r="CU136" i="183"/>
  <c r="AM136" i="183"/>
  <c r="AA136" i="183"/>
  <c r="CC136" i="183"/>
  <c r="BE136" i="183"/>
  <c r="DY136" i="183"/>
  <c r="GG136" i="183"/>
  <c r="BK136" i="183"/>
  <c r="AY136" i="183"/>
  <c r="CI136" i="183"/>
  <c r="O201" i="183"/>
  <c r="AY201" i="183"/>
  <c r="BQ201" i="183"/>
  <c r="CU201" i="183"/>
  <c r="FC201" i="183"/>
  <c r="BW201" i="183"/>
  <c r="AM201" i="183"/>
  <c r="GG201" i="183"/>
  <c r="CO201" i="183"/>
  <c r="CC201" i="183"/>
  <c r="AS201" i="183"/>
  <c r="BK201" i="183"/>
  <c r="CI201" i="183"/>
  <c r="AG201" i="183"/>
  <c r="AA201" i="183"/>
  <c r="DY201" i="183"/>
  <c r="BE201" i="183"/>
  <c r="BQ114" i="183"/>
  <c r="BK114" i="183"/>
  <c r="AY114" i="183"/>
  <c r="CU114" i="183"/>
  <c r="GG114" i="183"/>
  <c r="AG114" i="183"/>
  <c r="CO114" i="183"/>
  <c r="CC114" i="183"/>
  <c r="CI114" i="183"/>
  <c r="DY114" i="183"/>
  <c r="BW114" i="183"/>
  <c r="AS114" i="183"/>
  <c r="FC114" i="183"/>
  <c r="O114" i="183"/>
  <c r="BE114" i="183"/>
  <c r="AM114" i="183"/>
  <c r="AA114" i="183"/>
  <c r="AG172" i="183"/>
  <c r="AY172" i="183"/>
  <c r="O172" i="183"/>
  <c r="CU172" i="183"/>
  <c r="GG172" i="183"/>
  <c r="AA172" i="183"/>
  <c r="AS172" i="183"/>
  <c r="BE172" i="183"/>
  <c r="CO172" i="183"/>
  <c r="FC172" i="183"/>
  <c r="BK172" i="183"/>
  <c r="DY172" i="183"/>
  <c r="CC172" i="183"/>
  <c r="BQ172" i="183"/>
  <c r="AM172" i="183"/>
  <c r="CI172" i="183"/>
  <c r="BW172" i="183"/>
  <c r="CO61" i="183"/>
  <c r="CI61" i="183"/>
  <c r="CU61" i="183"/>
  <c r="BK61" i="183"/>
  <c r="BE61" i="183"/>
  <c r="AA61" i="183"/>
  <c r="DY61" i="183"/>
  <c r="BQ61" i="183"/>
  <c r="AG61" i="183"/>
  <c r="FC61" i="183"/>
  <c r="O61" i="183"/>
  <c r="AM61" i="183"/>
  <c r="BW61" i="183"/>
  <c r="CC61" i="183"/>
  <c r="GG61" i="183"/>
  <c r="AY61" i="183"/>
  <c r="AS61" i="183"/>
  <c r="FC47" i="183"/>
  <c r="O47" i="183"/>
  <c r="AM47" i="183"/>
  <c r="BW47" i="183"/>
  <c r="CC47" i="183"/>
  <c r="GG47" i="183"/>
  <c r="AY47" i="183"/>
  <c r="AS47" i="183"/>
  <c r="CO47" i="183"/>
  <c r="CI47" i="183"/>
  <c r="CU47" i="183"/>
  <c r="BK47" i="183"/>
  <c r="BE47" i="183"/>
  <c r="AA47" i="183"/>
  <c r="DY47" i="183"/>
  <c r="BQ47" i="183"/>
  <c r="AG47" i="183"/>
  <c r="FC138" i="183"/>
  <c r="O138" i="183"/>
  <c r="BW138" i="183"/>
  <c r="CC138" i="183"/>
  <c r="AM138" i="183"/>
  <c r="GG138" i="183"/>
  <c r="DY138" i="183"/>
  <c r="AS138" i="183"/>
  <c r="AG138" i="183"/>
  <c r="CI138" i="183"/>
  <c r="BE138" i="183"/>
  <c r="AY138" i="183"/>
  <c r="AA138" i="183"/>
  <c r="CO138" i="183"/>
  <c r="CU138" i="183"/>
  <c r="BK138" i="183"/>
  <c r="BQ138" i="183"/>
  <c r="CO48" i="183"/>
  <c r="CI48" i="183"/>
  <c r="BK48" i="183"/>
  <c r="BE48" i="183"/>
  <c r="DY48" i="183"/>
  <c r="CU48" i="183"/>
  <c r="BQ48" i="183"/>
  <c r="AG48" i="183"/>
  <c r="AA48" i="183"/>
  <c r="FC48" i="183"/>
  <c r="O48" i="183"/>
  <c r="AM48" i="183"/>
  <c r="BW48" i="183"/>
  <c r="AY48" i="183"/>
  <c r="AS48" i="183"/>
  <c r="CC48" i="183"/>
  <c r="GG48" i="183"/>
  <c r="O77" i="183"/>
  <c r="BQ77" i="183"/>
  <c r="GG77" i="183"/>
  <c r="AM77" i="183"/>
  <c r="DY77" i="183"/>
  <c r="FC77" i="183"/>
  <c r="AG77" i="183"/>
  <c r="CC77" i="183"/>
  <c r="BW77" i="183"/>
  <c r="AS77" i="183"/>
  <c r="CI77" i="183"/>
  <c r="AY77" i="183"/>
  <c r="BE77" i="183"/>
  <c r="BK77" i="183"/>
  <c r="AA77" i="183"/>
  <c r="CO77" i="183"/>
  <c r="CU77" i="183"/>
  <c r="AG153" i="183"/>
  <c r="AY153" i="183"/>
  <c r="O153" i="183"/>
  <c r="GG153" i="183"/>
  <c r="CI153" i="183"/>
  <c r="BW153" i="183"/>
  <c r="CO153" i="183"/>
  <c r="BE153" i="183"/>
  <c r="AS153" i="183"/>
  <c r="CU153" i="183"/>
  <c r="BQ153" i="183"/>
  <c r="AA153" i="183"/>
  <c r="AM153" i="183"/>
  <c r="DY153" i="183"/>
  <c r="CC153" i="183"/>
  <c r="BK153" i="183"/>
  <c r="FC153" i="183"/>
  <c r="O133" i="183"/>
  <c r="BQ133" i="183"/>
  <c r="BW133" i="183"/>
  <c r="CU133" i="183"/>
  <c r="FC133" i="183"/>
  <c r="AA133" i="183"/>
  <c r="AM133" i="183"/>
  <c r="AS133" i="183"/>
  <c r="CC133" i="183"/>
  <c r="CI133" i="183"/>
  <c r="BK133" i="183"/>
  <c r="AY133" i="183"/>
  <c r="GG133" i="183"/>
  <c r="DY133" i="183"/>
  <c r="BE133" i="183"/>
  <c r="AG133" i="183"/>
  <c r="CO133" i="183"/>
  <c r="AA196" i="183"/>
  <c r="BK196" i="183"/>
  <c r="BQ196" i="183"/>
  <c r="DY196" i="183"/>
  <c r="FC196" i="183"/>
  <c r="O196" i="183"/>
  <c r="AM196" i="183"/>
  <c r="AG196" i="183"/>
  <c r="BW196" i="183"/>
  <c r="CI196" i="183"/>
  <c r="GG196" i="183"/>
  <c r="CC196" i="183"/>
  <c r="CU196" i="183"/>
  <c r="CO196" i="183"/>
  <c r="BE196" i="183"/>
  <c r="AS196" i="183"/>
  <c r="AY196" i="183"/>
  <c r="BK204" i="183"/>
  <c r="AG204" i="183"/>
  <c r="GG204" i="183"/>
  <c r="CC204" i="183"/>
  <c r="AS204" i="183"/>
  <c r="O204" i="183"/>
  <c r="DY204" i="183"/>
  <c r="BW204" i="183"/>
  <c r="CI204" i="183"/>
  <c r="BE204" i="183"/>
  <c r="AY204" i="183"/>
  <c r="AA204" i="183"/>
  <c r="FC204" i="183"/>
  <c r="CU204" i="183"/>
  <c r="AM204" i="183"/>
  <c r="BQ204" i="183"/>
  <c r="CO204" i="183"/>
  <c r="AY51" i="183"/>
  <c r="AS51" i="183"/>
  <c r="CC51" i="183"/>
  <c r="CO51" i="183"/>
  <c r="CI51" i="183"/>
  <c r="BK51" i="183"/>
  <c r="BE51" i="183"/>
  <c r="DY51" i="183"/>
  <c r="CU51" i="183"/>
  <c r="AG51" i="183"/>
  <c r="AA51" i="183"/>
  <c r="GG51" i="183"/>
  <c r="AM51" i="183"/>
  <c r="O51" i="183"/>
  <c r="BW51" i="183"/>
  <c r="FC51" i="183"/>
  <c r="BQ51" i="183"/>
  <c r="AY67" i="182"/>
  <c r="O67" i="182"/>
  <c r="BW67" i="182"/>
  <c r="CO67" i="182"/>
  <c r="BE67" i="182"/>
  <c r="GG67" i="182"/>
  <c r="AA67" i="182"/>
  <c r="CI67" i="182"/>
  <c r="AS67" i="182"/>
  <c r="BQ67" i="182"/>
  <c r="BK67" i="182"/>
  <c r="FC67" i="182"/>
  <c r="DY67" i="182"/>
  <c r="AM67" i="182"/>
  <c r="CU67" i="182"/>
  <c r="AG67" i="182"/>
  <c r="CC67" i="182"/>
  <c r="FC65" i="182"/>
  <c r="GG65" i="182"/>
  <c r="CO65" i="182"/>
  <c r="AS65" i="182"/>
  <c r="BK65" i="182"/>
  <c r="AG65" i="182"/>
  <c r="CC65" i="182"/>
  <c r="BE65" i="182"/>
  <c r="BQ65" i="182"/>
  <c r="CU65" i="182"/>
  <c r="AY65" i="182"/>
  <c r="AA65" i="182"/>
  <c r="DY65" i="182"/>
  <c r="BW65" i="182"/>
  <c r="CI65" i="182"/>
  <c r="O65" i="182"/>
  <c r="AM65" i="182"/>
  <c r="BQ214" i="182"/>
  <c r="BE214" i="182"/>
  <c r="CC214" i="182"/>
  <c r="CO214" i="182"/>
  <c r="AY214" i="182"/>
  <c r="FC214" i="182"/>
  <c r="BW214" i="182"/>
  <c r="AM214" i="182"/>
  <c r="GG214" i="182"/>
  <c r="DY214" i="182"/>
  <c r="AS214" i="182"/>
  <c r="AG214" i="182"/>
  <c r="CU214" i="182"/>
  <c r="CI214" i="182"/>
  <c r="BK214" i="182"/>
  <c r="AA214" i="182"/>
  <c r="O214" i="182"/>
  <c r="GG159" i="182"/>
  <c r="CU159" i="182"/>
  <c r="BQ159" i="182"/>
  <c r="AG159" i="182"/>
  <c r="AM159" i="182"/>
  <c r="AA159" i="182"/>
  <c r="AY159" i="182"/>
  <c r="BW159" i="182"/>
  <c r="BK159" i="182"/>
  <c r="CC159" i="182"/>
  <c r="BE159" i="182"/>
  <c r="CO159" i="182"/>
  <c r="FC159" i="182"/>
  <c r="DY159" i="182"/>
  <c r="O159" i="182"/>
  <c r="CI159" i="182"/>
  <c r="AS159" i="182"/>
  <c r="BE114" i="182"/>
  <c r="AG114" i="182"/>
  <c r="CI114" i="182"/>
  <c r="FC114" i="182"/>
  <c r="BQ114" i="182"/>
  <c r="AM114" i="182"/>
  <c r="BK114" i="182"/>
  <c r="CO114" i="182"/>
  <c r="GG114" i="182"/>
  <c r="AS114" i="182"/>
  <c r="CU114" i="182"/>
  <c r="BW114" i="182"/>
  <c r="AY114" i="182"/>
  <c r="DY114" i="182"/>
  <c r="CC114" i="182"/>
  <c r="AA114" i="182"/>
  <c r="O114" i="182"/>
  <c r="BW162" i="182"/>
  <c r="AG162" i="182"/>
  <c r="DY162" i="182"/>
  <c r="GG162" i="182"/>
  <c r="CI162" i="182"/>
  <c r="AS162" i="182"/>
  <c r="BK162" i="182"/>
  <c r="FC162" i="182"/>
  <c r="AA162" i="182"/>
  <c r="AM162" i="182"/>
  <c r="CU162" i="182"/>
  <c r="CC162" i="182"/>
  <c r="BE162" i="182"/>
  <c r="BQ162" i="182"/>
  <c r="CO162" i="182"/>
  <c r="AY162" i="182"/>
  <c r="O162" i="182"/>
  <c r="AS189" i="182"/>
  <c r="DY189" i="182"/>
  <c r="O189" i="182"/>
  <c r="CU189" i="182"/>
  <c r="BQ189" i="182"/>
  <c r="CC189" i="182"/>
  <c r="CI189" i="182"/>
  <c r="FC189" i="182"/>
  <c r="BE189" i="182"/>
  <c r="AM189" i="182"/>
  <c r="AG189" i="182"/>
  <c r="CO189" i="182"/>
  <c r="AY189" i="182"/>
  <c r="BW189" i="182"/>
  <c r="AA189" i="182"/>
  <c r="GG189" i="182"/>
  <c r="BK189" i="182"/>
  <c r="BW118" i="182"/>
  <c r="CU118" i="182"/>
  <c r="AY118" i="182"/>
  <c r="BE118" i="182"/>
  <c r="FC118" i="182"/>
  <c r="AA118" i="182"/>
  <c r="AG118" i="182"/>
  <c r="AM118" i="182"/>
  <c r="BQ118" i="182"/>
  <c r="CO118" i="182"/>
  <c r="CI118" i="182"/>
  <c r="BK118" i="182"/>
  <c r="DY118" i="182"/>
  <c r="GG118" i="182"/>
  <c r="O118" i="182"/>
  <c r="AS118" i="182"/>
  <c r="CC118" i="182"/>
  <c r="BE204" i="182"/>
  <c r="BK204" i="182"/>
  <c r="CC204" i="182"/>
  <c r="AY204" i="182"/>
  <c r="BQ204" i="182"/>
  <c r="DY204" i="182"/>
  <c r="CI204" i="182"/>
  <c r="FC204" i="182"/>
  <c r="BW204" i="182"/>
  <c r="AM204" i="182"/>
  <c r="CU204" i="182"/>
  <c r="AG204" i="182"/>
  <c r="O204" i="182"/>
  <c r="AA204" i="182"/>
  <c r="AS204" i="182"/>
  <c r="CO204" i="182"/>
  <c r="GG204" i="182"/>
  <c r="BQ210" i="182"/>
  <c r="O210" i="182"/>
  <c r="GG210" i="182"/>
  <c r="CU210" i="182"/>
  <c r="AA210" i="182"/>
  <c r="CI210" i="182"/>
  <c r="AG210" i="182"/>
  <c r="CC210" i="182"/>
  <c r="FC210" i="182"/>
  <c r="AY210" i="182"/>
  <c r="BK210" i="182"/>
  <c r="DY210" i="182"/>
  <c r="AM210" i="182"/>
  <c r="BW210" i="182"/>
  <c r="CO210" i="182"/>
  <c r="BE210" i="182"/>
  <c r="AS210" i="182"/>
  <c r="BE170" i="182"/>
  <c r="BK170" i="182"/>
  <c r="FC170" i="182"/>
  <c r="AS170" i="182"/>
  <c r="DY170" i="182"/>
  <c r="BQ170" i="182"/>
  <c r="AA170" i="182"/>
  <c r="AG170" i="182"/>
  <c r="AY170" i="182"/>
  <c r="O170" i="182"/>
  <c r="CI170" i="182"/>
  <c r="CU170" i="182"/>
  <c r="AM170" i="182"/>
  <c r="CC170" i="182"/>
  <c r="GG170" i="182"/>
  <c r="BW170" i="182"/>
  <c r="CO170" i="182"/>
  <c r="BE164" i="182"/>
  <c r="FC164" i="182"/>
  <c r="BQ164" i="182"/>
  <c r="AA164" i="182"/>
  <c r="AY164" i="182"/>
  <c r="AS164" i="182"/>
  <c r="CO164" i="182"/>
  <c r="BK164" i="182"/>
  <c r="CC164" i="182"/>
  <c r="DY164" i="182"/>
  <c r="CU164" i="182"/>
  <c r="AM164" i="182"/>
  <c r="AG164" i="182"/>
  <c r="BW164" i="182"/>
  <c r="CI164" i="182"/>
  <c r="GG164" i="182"/>
  <c r="O164" i="182"/>
  <c r="BW59" i="182"/>
  <c r="FC59" i="182"/>
  <c r="AY59" i="182"/>
  <c r="GG59" i="182"/>
  <c r="AM59" i="182"/>
  <c r="AS59" i="182"/>
  <c r="CO59" i="182"/>
  <c r="CI59" i="182"/>
  <c r="DY59" i="182"/>
  <c r="BE59" i="182"/>
  <c r="AG59" i="182"/>
  <c r="CU59" i="182"/>
  <c r="BK59" i="182"/>
  <c r="AA59" i="182"/>
  <c r="CC59" i="182"/>
  <c r="BQ59" i="182"/>
  <c r="O59" i="182"/>
  <c r="O166" i="182"/>
  <c r="AS166" i="182"/>
  <c r="CU166" i="182"/>
  <c r="BW166" i="182"/>
  <c r="GG166" i="182"/>
  <c r="AA166" i="182"/>
  <c r="CO166" i="182"/>
  <c r="BQ166" i="182"/>
  <c r="FC166" i="182"/>
  <c r="CC166" i="182"/>
  <c r="CI166" i="182"/>
  <c r="BK166" i="182"/>
  <c r="AM166" i="182"/>
  <c r="DY166" i="182"/>
  <c r="BE166" i="182"/>
  <c r="AG166" i="182"/>
  <c r="AY166" i="182"/>
  <c r="BQ69" i="182"/>
  <c r="O69" i="182"/>
  <c r="FC69" i="182"/>
  <c r="GG69" i="182"/>
  <c r="AM69" i="182"/>
  <c r="AS69" i="182"/>
  <c r="CC69" i="182"/>
  <c r="DY69" i="182"/>
  <c r="CI69" i="182"/>
  <c r="AY69" i="182"/>
  <c r="BW69" i="182"/>
  <c r="BE69" i="182"/>
  <c r="BK69" i="182"/>
  <c r="CU69" i="182"/>
  <c r="AG69" i="182"/>
  <c r="AA69" i="182"/>
  <c r="CO69" i="182"/>
  <c r="FC78" i="182"/>
  <c r="CI78" i="182"/>
  <c r="BK78" i="182"/>
  <c r="GG78" i="182"/>
  <c r="CO78" i="182"/>
  <c r="AM78" i="182"/>
  <c r="AS78" i="182"/>
  <c r="CU78" i="182"/>
  <c r="BW78" i="182"/>
  <c r="AY78" i="182"/>
  <c r="DY78" i="182"/>
  <c r="AG78" i="182"/>
  <c r="AA78" i="182"/>
  <c r="O78" i="182"/>
  <c r="CC78" i="182"/>
  <c r="BE78" i="182"/>
  <c r="BQ78" i="182"/>
  <c r="CU186" i="182"/>
  <c r="DY186" i="182"/>
  <c r="AA186" i="182"/>
  <c r="BK186" i="182"/>
  <c r="BQ186" i="182"/>
  <c r="BE186" i="182"/>
  <c r="FC186" i="182"/>
  <c r="CC186" i="182"/>
  <c r="AM186" i="182"/>
  <c r="AG186" i="182"/>
  <c r="GG186" i="182"/>
  <c r="AY186" i="182"/>
  <c r="O186" i="182"/>
  <c r="AS186" i="182"/>
  <c r="CO186" i="182"/>
  <c r="CI186" i="182"/>
  <c r="BW186" i="182"/>
  <c r="BK103" i="182"/>
  <c r="BE103" i="182"/>
  <c r="DY103" i="182"/>
  <c r="CU103" i="182"/>
  <c r="AG103" i="182"/>
  <c r="AA103" i="182"/>
  <c r="O103" i="182"/>
  <c r="BQ103" i="182"/>
  <c r="BW103" i="182"/>
  <c r="FC103" i="182"/>
  <c r="GG103" i="182"/>
  <c r="AY103" i="182"/>
  <c r="AS103" i="182"/>
  <c r="AM103" i="182"/>
  <c r="CO103" i="182"/>
  <c r="CI103" i="182"/>
  <c r="CC103" i="182"/>
  <c r="GG174" i="182"/>
  <c r="CI174" i="182"/>
  <c r="AA174" i="182"/>
  <c r="AS174" i="182"/>
  <c r="AY174" i="182"/>
  <c r="CU174" i="182"/>
  <c r="BW174" i="182"/>
  <c r="O174" i="182"/>
  <c r="AM174" i="182"/>
  <c r="DY174" i="182"/>
  <c r="BE174" i="182"/>
  <c r="BQ174" i="182"/>
  <c r="CC174" i="182"/>
  <c r="FC174" i="182"/>
  <c r="AG174" i="182"/>
  <c r="CO174" i="182"/>
  <c r="BK174" i="182"/>
  <c r="CU188" i="182"/>
  <c r="BW188" i="182"/>
  <c r="GG188" i="182"/>
  <c r="AA188" i="182"/>
  <c r="CO188" i="182"/>
  <c r="BQ188" i="182"/>
  <c r="FC188" i="182"/>
  <c r="AY188" i="182"/>
  <c r="CI188" i="182"/>
  <c r="DY188" i="182"/>
  <c r="BK188" i="182"/>
  <c r="AG188" i="182"/>
  <c r="AS188" i="182"/>
  <c r="O188" i="182"/>
  <c r="AM188" i="182"/>
  <c r="BE188" i="182"/>
  <c r="CC188" i="182"/>
  <c r="O99" i="182"/>
  <c r="CI99" i="182"/>
  <c r="BW99" i="182"/>
  <c r="BQ99" i="182"/>
  <c r="GG99" i="182"/>
  <c r="AY99" i="182"/>
  <c r="AS99" i="182"/>
  <c r="AA99" i="182"/>
  <c r="BE99" i="182"/>
  <c r="CU99" i="182"/>
  <c r="AM99" i="182"/>
  <c r="CC99" i="182"/>
  <c r="DY99" i="182"/>
  <c r="CO99" i="182"/>
  <c r="BK99" i="182"/>
  <c r="AG99" i="182"/>
  <c r="FC99" i="182"/>
  <c r="GG84" i="181"/>
  <c r="CC84" i="181"/>
  <c r="CI84" i="181"/>
  <c r="AY84" i="181"/>
  <c r="CO84" i="181"/>
  <c r="BE84" i="181"/>
  <c r="AS84" i="181"/>
  <c r="BK84" i="181"/>
  <c r="CU84" i="181"/>
  <c r="DY84" i="181"/>
  <c r="AA84" i="181"/>
  <c r="AG84" i="181"/>
  <c r="BQ84" i="181"/>
  <c r="O84" i="181"/>
  <c r="FC84" i="181"/>
  <c r="BW84" i="181"/>
  <c r="AM84" i="181"/>
  <c r="CC116" i="181"/>
  <c r="BE116" i="181"/>
  <c r="AY116" i="181"/>
  <c r="AA116" i="181"/>
  <c r="BK116" i="181"/>
  <c r="GG116" i="181"/>
  <c r="DY116" i="181"/>
  <c r="AS116" i="181"/>
  <c r="AG116" i="181"/>
  <c r="CU116" i="181"/>
  <c r="BQ116" i="181"/>
  <c r="O116" i="181"/>
  <c r="CO116" i="181"/>
  <c r="FC116" i="181"/>
  <c r="BW116" i="181"/>
  <c r="AM116" i="181"/>
  <c r="CI116" i="181"/>
  <c r="BK173" i="181"/>
  <c r="CI173" i="181"/>
  <c r="BW173" i="181"/>
  <c r="FC173" i="181"/>
  <c r="GG173" i="181"/>
  <c r="O173" i="181"/>
  <c r="AS173" i="181"/>
  <c r="AM173" i="181"/>
  <c r="BE173" i="181"/>
  <c r="DY173" i="181"/>
  <c r="CU173" i="181"/>
  <c r="CO173" i="181"/>
  <c r="CC173" i="181"/>
  <c r="AA173" i="181"/>
  <c r="AG173" i="181"/>
  <c r="AY173" i="181"/>
  <c r="BQ173" i="181"/>
  <c r="CC147" i="181"/>
  <c r="GG147" i="181"/>
  <c r="AY147" i="181"/>
  <c r="BK147" i="181"/>
  <c r="FC147" i="181"/>
  <c r="CU147" i="181"/>
  <c r="AS147" i="181"/>
  <c r="AA147" i="181"/>
  <c r="BW147" i="181"/>
  <c r="DY147" i="181"/>
  <c r="BE147" i="181"/>
  <c r="O147" i="181"/>
  <c r="AM147" i="181"/>
  <c r="CI147" i="181"/>
  <c r="CO147" i="181"/>
  <c r="BQ147" i="181"/>
  <c r="AG147" i="181"/>
  <c r="BW79" i="181"/>
  <c r="CC79" i="181"/>
  <c r="AM79" i="181"/>
  <c r="BK79" i="181"/>
  <c r="GG79" i="181"/>
  <c r="DY79" i="181"/>
  <c r="AA79" i="181"/>
  <c r="AS79" i="181"/>
  <c r="BQ79" i="181"/>
  <c r="CI79" i="181"/>
  <c r="O79" i="181"/>
  <c r="FC79" i="181"/>
  <c r="AY79" i="181"/>
  <c r="CO79" i="181"/>
  <c r="AG79" i="181"/>
  <c r="BE79" i="181"/>
  <c r="CU79" i="181"/>
  <c r="BK91" i="181"/>
  <c r="AS91" i="181"/>
  <c r="DY91" i="181"/>
  <c r="AA91" i="181"/>
  <c r="AG91" i="181"/>
  <c r="GG91" i="181"/>
  <c r="O91" i="181"/>
  <c r="BE91" i="181"/>
  <c r="BQ91" i="181"/>
  <c r="BW91" i="181"/>
  <c r="AY91" i="181"/>
  <c r="AM91" i="181"/>
  <c r="CI91" i="181"/>
  <c r="CU91" i="181"/>
  <c r="CO91" i="181"/>
  <c r="FC91" i="181"/>
  <c r="CC91" i="181"/>
  <c r="AA194" i="181"/>
  <c r="CI194" i="181"/>
  <c r="BW194" i="181"/>
  <c r="BK194" i="181"/>
  <c r="DY194" i="181"/>
  <c r="FC194" i="181"/>
  <c r="O194" i="181"/>
  <c r="BE194" i="181"/>
  <c r="AG194" i="181"/>
  <c r="CC194" i="181"/>
  <c r="AY194" i="181"/>
  <c r="GG194" i="181"/>
  <c r="AM194" i="181"/>
  <c r="BQ194" i="181"/>
  <c r="CU194" i="181"/>
  <c r="AS194" i="181"/>
  <c r="CO194" i="181"/>
  <c r="FC45" i="181"/>
  <c r="O45" i="181"/>
  <c r="AM45" i="181"/>
  <c r="BW45" i="181"/>
  <c r="CC45" i="181"/>
  <c r="CI45" i="181"/>
  <c r="AY45" i="181"/>
  <c r="GG45" i="181"/>
  <c r="BE45" i="181"/>
  <c r="CO45" i="181"/>
  <c r="AS45" i="181"/>
  <c r="AA45" i="181"/>
  <c r="DY45" i="181"/>
  <c r="AG45" i="181"/>
  <c r="CU45" i="181"/>
  <c r="BQ45" i="181"/>
  <c r="BK45" i="181"/>
  <c r="CO99" i="181"/>
  <c r="CU99" i="181"/>
  <c r="AS99" i="181"/>
  <c r="BK99" i="181"/>
  <c r="AA99" i="181"/>
  <c r="DY99" i="181"/>
  <c r="FC99" i="181"/>
  <c r="AG99" i="181"/>
  <c r="AM99" i="181"/>
  <c r="O99" i="181"/>
  <c r="CC99" i="181"/>
  <c r="BW99" i="181"/>
  <c r="BQ99" i="181"/>
  <c r="CI99" i="181"/>
  <c r="GG99" i="181"/>
  <c r="BE99" i="181"/>
  <c r="AY99" i="181"/>
  <c r="BE208" i="181"/>
  <c r="BW208" i="181"/>
  <c r="BK208" i="181"/>
  <c r="AA208" i="181"/>
  <c r="CI208" i="181"/>
  <c r="AG208" i="181"/>
  <c r="AM208" i="181"/>
  <c r="O208" i="181"/>
  <c r="CC208" i="181"/>
  <c r="GG208" i="181"/>
  <c r="AY208" i="181"/>
  <c r="AS208" i="181"/>
  <c r="CO208" i="181"/>
  <c r="DY208" i="181"/>
  <c r="CU208" i="181"/>
  <c r="FC208" i="181"/>
  <c r="BQ208" i="181"/>
  <c r="AY215" i="181"/>
  <c r="AS215" i="181"/>
  <c r="CO215" i="181"/>
  <c r="CI215" i="181"/>
  <c r="BK215" i="181"/>
  <c r="BE215" i="181"/>
  <c r="DY215" i="181"/>
  <c r="CU215" i="181"/>
  <c r="AG215" i="181"/>
  <c r="AA215" i="181"/>
  <c r="O215" i="181"/>
  <c r="FC215" i="181"/>
  <c r="BW215" i="181"/>
  <c r="AM215" i="181"/>
  <c r="BQ215" i="181"/>
  <c r="GG215" i="181"/>
  <c r="CC215" i="181"/>
  <c r="AY213" i="181"/>
  <c r="AA213" i="181"/>
  <c r="CO213" i="181"/>
  <c r="CI213" i="181"/>
  <c r="BK213" i="181"/>
  <c r="O213" i="181"/>
  <c r="GG213" i="181"/>
  <c r="DY213" i="181"/>
  <c r="BE213" i="181"/>
  <c r="AS213" i="181"/>
  <c r="BQ213" i="181"/>
  <c r="FC213" i="181"/>
  <c r="BW213" i="181"/>
  <c r="AM213" i="181"/>
  <c r="AG213" i="181"/>
  <c r="CC213" i="181"/>
  <c r="CU213" i="181"/>
  <c r="CO204" i="181"/>
  <c r="AY204" i="181"/>
  <c r="BW204" i="181"/>
  <c r="BK204" i="181"/>
  <c r="DY204" i="181"/>
  <c r="BE204" i="181"/>
  <c r="FC204" i="181"/>
  <c r="AA204" i="181"/>
  <c r="AS204" i="181"/>
  <c r="AM204" i="181"/>
  <c r="CI204" i="181"/>
  <c r="CC204" i="181"/>
  <c r="GG204" i="181"/>
  <c r="O204" i="181"/>
  <c r="BQ204" i="181"/>
  <c r="AG204" i="181"/>
  <c r="CU204" i="181"/>
  <c r="AG162" i="181"/>
  <c r="CO162" i="181"/>
  <c r="O162" i="181"/>
  <c r="AY162" i="181"/>
  <c r="GG162" i="181"/>
  <c r="BQ162" i="181"/>
  <c r="BE162" i="181"/>
  <c r="CI162" i="181"/>
  <c r="CU162" i="181"/>
  <c r="AA162" i="181"/>
  <c r="CC162" i="181"/>
  <c r="BK162" i="181"/>
  <c r="AM162" i="181"/>
  <c r="FC162" i="181"/>
  <c r="DY162" i="181"/>
  <c r="BW162" i="181"/>
  <c r="AS162" i="181"/>
  <c r="CO120" i="181"/>
  <c r="CU120" i="181"/>
  <c r="BQ120" i="181"/>
  <c r="BK120" i="181"/>
  <c r="AA120" i="181"/>
  <c r="DY120" i="181"/>
  <c r="FC120" i="181"/>
  <c r="AG120" i="181"/>
  <c r="AM120" i="181"/>
  <c r="O120" i="181"/>
  <c r="CC120" i="181"/>
  <c r="BW120" i="181"/>
  <c r="GG120" i="181"/>
  <c r="CI120" i="181"/>
  <c r="AS120" i="181"/>
  <c r="BE120" i="181"/>
  <c r="AY120" i="181"/>
  <c r="CC115" i="181"/>
  <c r="CI115" i="181"/>
  <c r="CO115" i="181"/>
  <c r="BE115" i="181"/>
  <c r="BK115" i="181"/>
  <c r="AY115" i="181"/>
  <c r="CU115" i="181"/>
  <c r="DY115" i="181"/>
  <c r="BW115" i="181"/>
  <c r="AA115" i="181"/>
  <c r="AG115" i="181"/>
  <c r="BQ115" i="181"/>
  <c r="O115" i="181"/>
  <c r="FC115" i="181"/>
  <c r="GG115" i="181"/>
  <c r="AM115" i="181"/>
  <c r="AS115" i="181"/>
  <c r="AG180" i="181"/>
  <c r="BE180" i="181"/>
  <c r="CU180" i="181"/>
  <c r="CI180" i="181"/>
  <c r="BW180" i="181"/>
  <c r="AA180" i="181"/>
  <c r="CC180" i="181"/>
  <c r="GG180" i="181"/>
  <c r="CO180" i="181"/>
  <c r="AS180" i="181"/>
  <c r="FC180" i="181"/>
  <c r="AY180" i="181"/>
  <c r="AM180" i="181"/>
  <c r="O180" i="181"/>
  <c r="BQ180" i="181"/>
  <c r="DY180" i="181"/>
  <c r="BK180" i="181"/>
  <c r="AG61" i="181"/>
  <c r="AM61" i="181"/>
  <c r="O61" i="181"/>
  <c r="CO61" i="181"/>
  <c r="CI61" i="181"/>
  <c r="BW61" i="181"/>
  <c r="BK61" i="181"/>
  <c r="BE61" i="181"/>
  <c r="GG61" i="181"/>
  <c r="CU61" i="181"/>
  <c r="FC61" i="181"/>
  <c r="AA61" i="181"/>
  <c r="CC61" i="181"/>
  <c r="BQ61" i="181"/>
  <c r="AY61" i="181"/>
  <c r="DY61" i="181"/>
  <c r="AS61" i="181"/>
  <c r="AM75" i="181"/>
  <c r="AS75" i="181"/>
  <c r="BQ75" i="181"/>
  <c r="FC75" i="181"/>
  <c r="CO75" i="181"/>
  <c r="GG75" i="181"/>
  <c r="BW75" i="181"/>
  <c r="BK75" i="181"/>
  <c r="AY75" i="181"/>
  <c r="AA75" i="181"/>
  <c r="CU75" i="181"/>
  <c r="BE75" i="181"/>
  <c r="AG75" i="181"/>
  <c r="DY75" i="181"/>
  <c r="O75" i="181"/>
  <c r="CI75" i="181"/>
  <c r="CC75" i="181"/>
  <c r="BK89" i="181"/>
  <c r="CO89" i="181"/>
  <c r="DY89" i="181"/>
  <c r="BQ89" i="181"/>
  <c r="AG89" i="181"/>
  <c r="AY89" i="181"/>
  <c r="O89" i="181"/>
  <c r="AA89" i="181"/>
  <c r="BE89" i="181"/>
  <c r="AS89" i="181"/>
  <c r="AM89" i="181"/>
  <c r="CU89" i="181"/>
  <c r="BW89" i="181"/>
  <c r="CC89" i="181"/>
  <c r="CI89" i="181"/>
  <c r="FC89" i="181"/>
  <c r="GG89" i="181"/>
  <c r="AM129" i="181"/>
  <c r="BE129" i="181"/>
  <c r="CC129" i="181"/>
  <c r="DY129" i="181"/>
  <c r="GG129" i="181"/>
  <c r="AY129" i="181"/>
  <c r="CU129" i="181"/>
  <c r="AG129" i="181"/>
  <c r="AS129" i="181"/>
  <c r="CI129" i="181"/>
  <c r="AA129" i="181"/>
  <c r="BQ129" i="181"/>
  <c r="BK129" i="181"/>
  <c r="BW129" i="181"/>
  <c r="O129" i="181"/>
  <c r="FC129" i="181"/>
  <c r="CO129" i="181"/>
  <c r="AA132" i="180"/>
  <c r="CC132" i="180"/>
  <c r="BW132" i="180"/>
  <c r="O132" i="180"/>
  <c r="AY132" i="180"/>
  <c r="AG132" i="180"/>
  <c r="FC132" i="180"/>
  <c r="CO132" i="180"/>
  <c r="BQ132" i="180"/>
  <c r="AS132" i="180"/>
  <c r="GG132" i="180"/>
  <c r="CI132" i="180"/>
  <c r="BK132" i="180"/>
  <c r="BE132" i="180"/>
  <c r="AM132" i="180"/>
  <c r="CU132" i="180"/>
  <c r="DY132" i="180"/>
  <c r="BE54" i="180"/>
  <c r="BQ54" i="180"/>
  <c r="CC54" i="180"/>
  <c r="FC54" i="180"/>
  <c r="O54" i="180"/>
  <c r="BK54" i="180"/>
  <c r="CU54" i="180"/>
  <c r="DY54" i="180"/>
  <c r="AM54" i="180"/>
  <c r="AA54" i="180"/>
  <c r="AG54" i="180"/>
  <c r="GG54" i="180"/>
  <c r="BW54" i="180"/>
  <c r="AS54" i="180"/>
  <c r="AY54" i="180"/>
  <c r="CI54" i="180"/>
  <c r="CO54" i="180"/>
  <c r="DY50" i="180"/>
  <c r="AA50" i="180"/>
  <c r="O50" i="180"/>
  <c r="BE50" i="180"/>
  <c r="AG50" i="180"/>
  <c r="FC50" i="180"/>
  <c r="GG50" i="180"/>
  <c r="CO50" i="180"/>
  <c r="CU50" i="180"/>
  <c r="AM50" i="180"/>
  <c r="CC50" i="180"/>
  <c r="CI50" i="180"/>
  <c r="BQ50" i="180"/>
  <c r="AY50" i="180"/>
  <c r="BW50" i="180"/>
  <c r="BK50" i="180"/>
  <c r="AS50" i="180"/>
  <c r="AG58" i="180"/>
  <c r="BQ58" i="180"/>
  <c r="O58" i="180"/>
  <c r="FC58" i="180"/>
  <c r="BW58" i="180"/>
  <c r="AM58" i="180"/>
  <c r="GG58" i="180"/>
  <c r="CC58" i="180"/>
  <c r="AY58" i="180"/>
  <c r="AS58" i="180"/>
  <c r="AA58" i="180"/>
  <c r="CO58" i="180"/>
  <c r="CI58" i="180"/>
  <c r="BK58" i="180"/>
  <c r="BE58" i="180"/>
  <c r="DY58" i="180"/>
  <c r="CU58" i="180"/>
  <c r="AG134" i="180"/>
  <c r="CI134" i="180"/>
  <c r="O134" i="180"/>
  <c r="BE134" i="180"/>
  <c r="CU134" i="180"/>
  <c r="AS134" i="180"/>
  <c r="CC134" i="180"/>
  <c r="AA134" i="180"/>
  <c r="BW134" i="180"/>
  <c r="CO134" i="180"/>
  <c r="FC134" i="180"/>
  <c r="BK134" i="180"/>
  <c r="AM134" i="180"/>
  <c r="BQ134" i="180"/>
  <c r="GG134" i="180"/>
  <c r="AY134" i="180"/>
  <c r="DY134" i="180"/>
  <c r="AG49" i="180"/>
  <c r="AY49" i="180"/>
  <c r="O49" i="180"/>
  <c r="CC49" i="180"/>
  <c r="BE49" i="180"/>
  <c r="FC49" i="180"/>
  <c r="CI49" i="180"/>
  <c r="BK49" i="180"/>
  <c r="AM49" i="180"/>
  <c r="AS49" i="180"/>
  <c r="BQ49" i="180"/>
  <c r="BW49" i="180"/>
  <c r="CO49" i="180"/>
  <c r="AA49" i="180"/>
  <c r="DY49" i="180"/>
  <c r="GG49" i="180"/>
  <c r="CU49" i="180"/>
  <c r="AA199" i="180"/>
  <c r="CC199" i="180"/>
  <c r="FC199" i="180"/>
  <c r="BW199" i="180"/>
  <c r="CO199" i="180"/>
  <c r="AS199" i="180"/>
  <c r="GG199" i="180"/>
  <c r="BK199" i="180"/>
  <c r="CI199" i="180"/>
  <c r="BQ199" i="180"/>
  <c r="AY199" i="180"/>
  <c r="BE199" i="180"/>
  <c r="CU199" i="180"/>
  <c r="AM199" i="180"/>
  <c r="DY199" i="180"/>
  <c r="AG199" i="180"/>
  <c r="O199" i="180"/>
  <c r="DY151" i="180"/>
  <c r="BW151" i="180"/>
  <c r="CI151" i="180"/>
  <c r="AA151" i="180"/>
  <c r="AM151" i="180"/>
  <c r="CC151" i="180"/>
  <c r="GG151" i="180"/>
  <c r="AG151" i="180"/>
  <c r="BQ151" i="180"/>
  <c r="BK151" i="180"/>
  <c r="CU151" i="180"/>
  <c r="AY151" i="180"/>
  <c r="BE151" i="180"/>
  <c r="AS151" i="180"/>
  <c r="O151" i="180"/>
  <c r="CO151" i="180"/>
  <c r="FC151" i="180"/>
  <c r="BQ156" i="180"/>
  <c r="CI156" i="180"/>
  <c r="O156" i="180"/>
  <c r="CO156" i="180"/>
  <c r="AG156" i="180"/>
  <c r="AA156" i="180"/>
  <c r="CU156" i="180"/>
  <c r="BE156" i="180"/>
  <c r="AY156" i="180"/>
  <c r="CC156" i="180"/>
  <c r="BW156" i="180"/>
  <c r="FC156" i="180"/>
  <c r="BK156" i="180"/>
  <c r="AM156" i="180"/>
  <c r="GG156" i="180"/>
  <c r="AS156" i="180"/>
  <c r="DY156" i="180"/>
  <c r="CC114" i="180"/>
  <c r="AS114" i="180"/>
  <c r="BQ114" i="180"/>
  <c r="CO114" i="180"/>
  <c r="CI114" i="180"/>
  <c r="BK114" i="180"/>
  <c r="BE114" i="180"/>
  <c r="DY114" i="180"/>
  <c r="CU114" i="180"/>
  <c r="AG114" i="180"/>
  <c r="FC114" i="180"/>
  <c r="O114" i="180"/>
  <c r="AY114" i="180"/>
  <c r="BW114" i="180"/>
  <c r="AM114" i="180"/>
  <c r="AA114" i="180"/>
  <c r="GG114" i="180"/>
  <c r="AS51" i="180"/>
  <c r="CO51" i="180"/>
  <c r="DY51" i="180"/>
  <c r="CI51" i="180"/>
  <c r="AG51" i="180"/>
  <c r="BQ51" i="180"/>
  <c r="O51" i="180"/>
  <c r="AY51" i="180"/>
  <c r="BW51" i="180"/>
  <c r="AA51" i="180"/>
  <c r="BE51" i="180"/>
  <c r="CU51" i="180"/>
  <c r="AM51" i="180"/>
  <c r="CC51" i="180"/>
  <c r="GG51" i="180"/>
  <c r="FC51" i="180"/>
  <c r="BK51" i="180"/>
  <c r="DY205" i="180"/>
  <c r="CI205" i="180"/>
  <c r="AG205" i="180"/>
  <c r="BK205" i="180"/>
  <c r="O205" i="180"/>
  <c r="BE205" i="180"/>
  <c r="FC205" i="180"/>
  <c r="BQ205" i="180"/>
  <c r="AM205" i="180"/>
  <c r="AS205" i="180"/>
  <c r="CC205" i="180"/>
  <c r="BW205" i="180"/>
  <c r="GG205" i="180"/>
  <c r="AA205" i="180"/>
  <c r="CO205" i="180"/>
  <c r="CU205" i="180"/>
  <c r="AY205" i="180"/>
  <c r="AS140" i="180"/>
  <c r="DY140" i="180"/>
  <c r="CO140" i="180"/>
  <c r="GG140" i="180"/>
  <c r="AG140" i="180"/>
  <c r="CI140" i="180"/>
  <c r="O140" i="180"/>
  <c r="BE140" i="180"/>
  <c r="BW140" i="180"/>
  <c r="CU140" i="180"/>
  <c r="BQ140" i="180"/>
  <c r="FC140" i="180"/>
  <c r="BK140" i="180"/>
  <c r="AM140" i="180"/>
  <c r="AA140" i="180"/>
  <c r="CC140" i="180"/>
  <c r="AY140" i="180"/>
  <c r="BE101" i="180"/>
  <c r="CO101" i="180"/>
  <c r="CU101" i="180"/>
  <c r="BK101" i="180"/>
  <c r="AA101" i="180"/>
  <c r="DY101" i="180"/>
  <c r="BQ101" i="180"/>
  <c r="AG101" i="180"/>
  <c r="FC101" i="180"/>
  <c r="O101" i="180"/>
  <c r="GG101" i="180"/>
  <c r="AM101" i="180"/>
  <c r="BW101" i="180"/>
  <c r="AS101" i="180"/>
  <c r="CC101" i="180"/>
  <c r="CI101" i="180"/>
  <c r="AY101" i="180"/>
  <c r="BE171" i="180"/>
  <c r="AS171" i="180"/>
  <c r="AA171" i="180"/>
  <c r="BW171" i="180"/>
  <c r="CI171" i="180"/>
  <c r="CC171" i="180"/>
  <c r="BQ171" i="180"/>
  <c r="AM171" i="180"/>
  <c r="GG171" i="180"/>
  <c r="CU171" i="180"/>
  <c r="BK171" i="180"/>
  <c r="AY171" i="180"/>
  <c r="AG171" i="180"/>
  <c r="FC171" i="180"/>
  <c r="CO171" i="180"/>
  <c r="DY171" i="180"/>
  <c r="O171" i="180"/>
  <c r="O185" i="180"/>
  <c r="BE185" i="180"/>
  <c r="FC185" i="180"/>
  <c r="AM185" i="180"/>
  <c r="CC185" i="180"/>
  <c r="CO185" i="180"/>
  <c r="CI185" i="180"/>
  <c r="AA185" i="180"/>
  <c r="BQ185" i="180"/>
  <c r="AY185" i="180"/>
  <c r="BK185" i="180"/>
  <c r="CU185" i="180"/>
  <c r="AS185" i="180"/>
  <c r="DY185" i="180"/>
  <c r="GG185" i="180"/>
  <c r="AG185" i="180"/>
  <c r="BW185" i="180"/>
  <c r="DY70" i="180"/>
  <c r="AS70" i="180"/>
  <c r="CO70" i="180"/>
  <c r="AG70" i="180"/>
  <c r="AA70" i="180"/>
  <c r="O70" i="180"/>
  <c r="GG70" i="180"/>
  <c r="AY70" i="180"/>
  <c r="CU70" i="180"/>
  <c r="BK70" i="180"/>
  <c r="CC70" i="180"/>
  <c r="FC70" i="180"/>
  <c r="BW70" i="180"/>
  <c r="CI70" i="180"/>
  <c r="BE70" i="180"/>
  <c r="AM70" i="180"/>
  <c r="BQ70" i="180"/>
  <c r="BQ158" i="180"/>
  <c r="AY158" i="180"/>
  <c r="AG158" i="180"/>
  <c r="CC158" i="180"/>
  <c r="BW158" i="180"/>
  <c r="O158" i="180"/>
  <c r="GG158" i="180"/>
  <c r="DY158" i="180"/>
  <c r="FC158" i="180"/>
  <c r="CO158" i="180"/>
  <c r="BK158" i="180"/>
  <c r="AM158" i="180"/>
  <c r="AA158" i="180"/>
  <c r="CI158" i="180"/>
  <c r="CU158" i="180"/>
  <c r="AS158" i="180"/>
  <c r="BE158" i="180"/>
  <c r="BK179" i="180"/>
  <c r="CO179" i="180"/>
  <c r="CU179" i="180"/>
  <c r="DY179" i="180"/>
  <c r="CC179" i="180"/>
  <c r="AG179" i="180"/>
  <c r="AA179" i="180"/>
  <c r="O179" i="180"/>
  <c r="BW179" i="180"/>
  <c r="BQ179" i="180"/>
  <c r="AM179" i="180"/>
  <c r="GG179" i="180"/>
  <c r="FC179" i="180"/>
  <c r="CI179" i="180"/>
  <c r="AS179" i="180"/>
  <c r="AY179" i="180"/>
  <c r="BE179" i="180"/>
  <c r="BE92" i="180"/>
  <c r="AY92" i="180"/>
  <c r="FC92" i="180"/>
  <c r="DY92" i="180"/>
  <c r="CO92" i="180"/>
  <c r="AG92" i="180"/>
  <c r="BW92" i="180"/>
  <c r="CC92" i="180"/>
  <c r="CU92" i="180"/>
  <c r="AM92" i="180"/>
  <c r="BK92" i="180"/>
  <c r="AA92" i="180"/>
  <c r="O92" i="180"/>
  <c r="GG92" i="180"/>
  <c r="BQ92" i="180"/>
  <c r="AS92" i="180"/>
  <c r="CI92" i="180"/>
  <c r="CU102" i="180"/>
  <c r="BK102" i="180"/>
  <c r="AA102" i="180"/>
  <c r="DY102" i="180"/>
  <c r="BQ102" i="180"/>
  <c r="AG102" i="180"/>
  <c r="FC102" i="180"/>
  <c r="O102" i="180"/>
  <c r="AM102" i="180"/>
  <c r="BW102" i="180"/>
  <c r="CC102" i="180"/>
  <c r="GG102" i="180"/>
  <c r="CI102" i="180"/>
  <c r="AY102" i="180"/>
  <c r="AS102" i="180"/>
  <c r="BE102" i="180"/>
  <c r="CO102" i="180"/>
  <c r="AA188" i="179"/>
  <c r="BW188" i="179"/>
  <c r="BQ188" i="179"/>
  <c r="AY188" i="179"/>
  <c r="BE188" i="179"/>
  <c r="GG188" i="179"/>
  <c r="AG188" i="179"/>
  <c r="O188" i="179"/>
  <c r="CO188" i="179"/>
  <c r="AS188" i="179"/>
  <c r="AM188" i="179"/>
  <c r="BK188" i="179"/>
  <c r="CI188" i="179"/>
  <c r="DY188" i="179"/>
  <c r="CC188" i="179"/>
  <c r="CU188" i="179"/>
  <c r="FC188" i="179"/>
  <c r="AG63" i="179"/>
  <c r="CO63" i="179"/>
  <c r="O63" i="179"/>
  <c r="BQ63" i="179"/>
  <c r="CU63" i="179"/>
  <c r="AY63" i="179"/>
  <c r="CC63" i="179"/>
  <c r="CI63" i="179"/>
  <c r="BE63" i="179"/>
  <c r="AM63" i="179"/>
  <c r="AA63" i="179"/>
  <c r="BK63" i="179"/>
  <c r="BW63" i="179"/>
  <c r="GG63" i="179"/>
  <c r="FC63" i="179"/>
  <c r="AS63" i="179"/>
  <c r="DY63" i="179"/>
  <c r="DY158" i="179"/>
  <c r="BK158" i="179"/>
  <c r="AY158" i="179"/>
  <c r="AG158" i="179"/>
  <c r="CO158" i="179"/>
  <c r="BW158" i="179"/>
  <c r="CI158" i="179"/>
  <c r="O158" i="179"/>
  <c r="BE158" i="179"/>
  <c r="GG158" i="179"/>
  <c r="FC158" i="179"/>
  <c r="AS158" i="179"/>
  <c r="AA158" i="179"/>
  <c r="CU158" i="179"/>
  <c r="AM158" i="179"/>
  <c r="CC158" i="179"/>
  <c r="BQ158" i="179"/>
  <c r="AY129" i="179"/>
  <c r="O129" i="179"/>
  <c r="DY129" i="179"/>
  <c r="AM129" i="179"/>
  <c r="CI129" i="179"/>
  <c r="BE129" i="179"/>
  <c r="CU129" i="179"/>
  <c r="CC129" i="179"/>
  <c r="FC129" i="179"/>
  <c r="AG129" i="179"/>
  <c r="BQ129" i="179"/>
  <c r="AA129" i="179"/>
  <c r="GG129" i="179"/>
  <c r="CO129" i="179"/>
  <c r="BW129" i="179"/>
  <c r="AS129" i="179"/>
  <c r="BK129" i="179"/>
  <c r="BK101" i="179"/>
  <c r="BE101" i="179"/>
  <c r="DY101" i="179"/>
  <c r="AA101" i="179"/>
  <c r="BQ101" i="179"/>
  <c r="AG101" i="179"/>
  <c r="CU101" i="179"/>
  <c r="FC101" i="179"/>
  <c r="O101" i="179"/>
  <c r="CC101" i="179"/>
  <c r="GG101" i="179"/>
  <c r="AY101" i="179"/>
  <c r="AS101" i="179"/>
  <c r="CI101" i="179"/>
  <c r="AM101" i="179"/>
  <c r="CO101" i="179"/>
  <c r="BW101" i="179"/>
  <c r="DY189" i="179"/>
  <c r="CO189" i="179"/>
  <c r="AG189" i="179"/>
  <c r="AA189" i="179"/>
  <c r="O189" i="179"/>
  <c r="CI189" i="179"/>
  <c r="BQ189" i="179"/>
  <c r="BE189" i="179"/>
  <c r="AM189" i="179"/>
  <c r="BW189" i="179"/>
  <c r="CC189" i="179"/>
  <c r="CU189" i="179"/>
  <c r="BK189" i="179"/>
  <c r="FC189" i="179"/>
  <c r="AY189" i="179"/>
  <c r="GG189" i="179"/>
  <c r="AS189" i="179"/>
  <c r="GG96" i="179"/>
  <c r="AA96" i="179"/>
  <c r="AG96" i="179"/>
  <c r="CI96" i="179"/>
  <c r="O96" i="179"/>
  <c r="BE96" i="179"/>
  <c r="DY96" i="179"/>
  <c r="BQ96" i="179"/>
  <c r="BW96" i="179"/>
  <c r="FC96" i="179"/>
  <c r="AS96" i="179"/>
  <c r="CC96" i="179"/>
  <c r="CU96" i="179"/>
  <c r="AY96" i="179"/>
  <c r="AM96" i="179"/>
  <c r="CO96" i="179"/>
  <c r="BK96" i="179"/>
  <c r="CC154" i="179"/>
  <c r="GG154" i="179"/>
  <c r="FC154" i="179"/>
  <c r="AA154" i="179"/>
  <c r="BW154" i="179"/>
  <c r="AM154" i="179"/>
  <c r="CI154" i="179"/>
  <c r="BE154" i="179"/>
  <c r="BQ154" i="179"/>
  <c r="O154" i="179"/>
  <c r="DY154" i="179"/>
  <c r="BK154" i="179"/>
  <c r="CU154" i="179"/>
  <c r="AY154" i="179"/>
  <c r="AG154" i="179"/>
  <c r="CO154" i="179"/>
  <c r="AS154" i="179"/>
  <c r="BE108" i="179"/>
  <c r="FC108" i="179"/>
  <c r="DY108" i="179"/>
  <c r="CI108" i="179"/>
  <c r="O108" i="179"/>
  <c r="GG108" i="179"/>
  <c r="AG108" i="179"/>
  <c r="AM108" i="179"/>
  <c r="CO108" i="179"/>
  <c r="BQ108" i="179"/>
  <c r="BW108" i="179"/>
  <c r="CC108" i="179"/>
  <c r="AS108" i="179"/>
  <c r="CU108" i="179"/>
  <c r="AY108" i="179"/>
  <c r="BK108" i="179"/>
  <c r="AA108" i="179"/>
  <c r="GG210" i="179"/>
  <c r="CI210" i="179"/>
  <c r="BW210" i="179"/>
  <c r="FC210" i="179"/>
  <c r="BQ210" i="179"/>
  <c r="CC210" i="179"/>
  <c r="DY210" i="179"/>
  <c r="CU210" i="179"/>
  <c r="AY210" i="179"/>
  <c r="AG210" i="179"/>
  <c r="BE210" i="179"/>
  <c r="O210" i="179"/>
  <c r="AA210" i="179"/>
  <c r="BK210" i="179"/>
  <c r="AM210" i="179"/>
  <c r="CO210" i="179"/>
  <c r="AS210" i="179"/>
  <c r="GG196" i="179"/>
  <c r="AG196" i="179"/>
  <c r="AS196" i="179"/>
  <c r="CU196" i="179"/>
  <c r="CI196" i="179"/>
  <c r="BE196" i="179"/>
  <c r="DY196" i="179"/>
  <c r="CO196" i="179"/>
  <c r="FC196" i="179"/>
  <c r="AA196" i="179"/>
  <c r="AM196" i="179"/>
  <c r="BK196" i="179"/>
  <c r="BQ196" i="179"/>
  <c r="BW196" i="179"/>
  <c r="AY196" i="179"/>
  <c r="CC196" i="179"/>
  <c r="O196" i="179"/>
  <c r="AM69" i="179"/>
  <c r="CI69" i="179"/>
  <c r="O69" i="179"/>
  <c r="BK69" i="179"/>
  <c r="CO69" i="179"/>
  <c r="BW69" i="179"/>
  <c r="AS69" i="179"/>
  <c r="CU69" i="179"/>
  <c r="BE69" i="179"/>
  <c r="BQ69" i="179"/>
  <c r="AG69" i="179"/>
  <c r="CC69" i="179"/>
  <c r="AY69" i="179"/>
  <c r="AA69" i="179"/>
  <c r="GG69" i="179"/>
  <c r="FC69" i="179"/>
  <c r="DY69" i="179"/>
  <c r="AM123" i="179"/>
  <c r="BW123" i="179"/>
  <c r="CC123" i="179"/>
  <c r="GG123" i="179"/>
  <c r="AY123" i="179"/>
  <c r="AS123" i="179"/>
  <c r="CO123" i="179"/>
  <c r="CI123" i="179"/>
  <c r="BK123" i="179"/>
  <c r="BE123" i="179"/>
  <c r="DY123" i="179"/>
  <c r="AA123" i="179"/>
  <c r="AG123" i="179"/>
  <c r="CU123" i="179"/>
  <c r="FC123" i="179"/>
  <c r="O123" i="179"/>
  <c r="BQ123" i="179"/>
  <c r="O106" i="179"/>
  <c r="BQ106" i="179"/>
  <c r="BW106" i="179"/>
  <c r="FC106" i="179"/>
  <c r="GG106" i="179"/>
  <c r="AM106" i="179"/>
  <c r="AS106" i="179"/>
  <c r="CC106" i="179"/>
  <c r="CI106" i="179"/>
  <c r="AY106" i="179"/>
  <c r="BK106" i="179"/>
  <c r="BE106" i="179"/>
  <c r="CO106" i="179"/>
  <c r="DY106" i="179"/>
  <c r="CU106" i="179"/>
  <c r="AG106" i="179"/>
  <c r="AA106" i="179"/>
  <c r="AS197" i="179"/>
  <c r="BK197" i="179"/>
  <c r="CI197" i="179"/>
  <c r="CU197" i="179"/>
  <c r="BE197" i="179"/>
  <c r="O197" i="179"/>
  <c r="BW197" i="179"/>
  <c r="AA197" i="179"/>
  <c r="AM197" i="179"/>
  <c r="AY197" i="179"/>
  <c r="CC197" i="179"/>
  <c r="BQ197" i="179"/>
  <c r="CO197" i="179"/>
  <c r="FC197" i="179"/>
  <c r="GG197" i="179"/>
  <c r="AG197" i="179"/>
  <c r="DY197" i="179"/>
  <c r="CU214" i="179"/>
  <c r="GG214" i="179"/>
  <c r="BE214" i="179"/>
  <c r="BQ214" i="179"/>
  <c r="AY214" i="179"/>
  <c r="BK214" i="179"/>
  <c r="CI214" i="179"/>
  <c r="AG214" i="179"/>
  <c r="AS214" i="179"/>
  <c r="O214" i="179"/>
  <c r="FC214" i="179"/>
  <c r="CC214" i="179"/>
  <c r="CO214" i="179"/>
  <c r="AA214" i="179"/>
  <c r="DY214" i="179"/>
  <c r="BW214" i="179"/>
  <c r="AM214" i="179"/>
  <c r="AG117" i="179"/>
  <c r="AM117" i="179"/>
  <c r="BW117" i="179"/>
  <c r="BQ117" i="179"/>
  <c r="O117" i="179"/>
  <c r="GG117" i="179"/>
  <c r="CI117" i="179"/>
  <c r="AS117" i="179"/>
  <c r="FC117" i="179"/>
  <c r="CU117" i="179"/>
  <c r="AA117" i="179"/>
  <c r="CC117" i="179"/>
  <c r="BK117" i="179"/>
  <c r="CO117" i="179"/>
  <c r="DY117" i="179"/>
  <c r="AY117" i="179"/>
  <c r="BE117" i="179"/>
  <c r="CI186" i="179"/>
  <c r="AA186" i="179"/>
  <c r="BE186" i="179"/>
  <c r="GG186" i="179"/>
  <c r="FC186" i="179"/>
  <c r="BQ186" i="179"/>
  <c r="CU186" i="179"/>
  <c r="BK186" i="179"/>
  <c r="BW186" i="179"/>
  <c r="AM186" i="179"/>
  <c r="CC186" i="179"/>
  <c r="AS186" i="179"/>
  <c r="O186" i="179"/>
  <c r="AY186" i="179"/>
  <c r="AG186" i="179"/>
  <c r="DY186" i="179"/>
  <c r="CO186" i="179"/>
  <c r="AY140" i="179"/>
  <c r="AS140" i="179"/>
  <c r="CC140" i="179"/>
  <c r="BK140" i="179"/>
  <c r="DY140" i="179"/>
  <c r="AM140" i="179"/>
  <c r="AA140" i="179"/>
  <c r="O140" i="179"/>
  <c r="GG140" i="179"/>
  <c r="CU140" i="179"/>
  <c r="CI140" i="179"/>
  <c r="AG140" i="179"/>
  <c r="CO140" i="179"/>
  <c r="BW140" i="179"/>
  <c r="BE140" i="179"/>
  <c r="FC140" i="179"/>
  <c r="BQ140" i="179"/>
  <c r="AS109" i="179"/>
  <c r="AY109" i="179"/>
  <c r="BW109" i="179"/>
  <c r="CC109" i="179"/>
  <c r="DY109" i="179"/>
  <c r="BK109" i="179"/>
  <c r="BE109" i="179"/>
  <c r="O109" i="179"/>
  <c r="GG109" i="179"/>
  <c r="AG109" i="179"/>
  <c r="CU109" i="179"/>
  <c r="CI109" i="179"/>
  <c r="FC109" i="179"/>
  <c r="AA109" i="179"/>
  <c r="BQ109" i="179"/>
  <c r="CO109" i="179"/>
  <c r="AM109" i="179"/>
  <c r="CC203" i="179"/>
  <c r="AS203" i="179"/>
  <c r="BW203" i="179"/>
  <c r="BQ203" i="179"/>
  <c r="GG203" i="179"/>
  <c r="AM203" i="179"/>
  <c r="O203" i="179"/>
  <c r="AY203" i="179"/>
  <c r="AA203" i="179"/>
  <c r="BE203" i="179"/>
  <c r="CI203" i="179"/>
  <c r="FC203" i="179"/>
  <c r="BK203" i="179"/>
  <c r="CU203" i="179"/>
  <c r="DY203" i="179"/>
  <c r="AG203" i="179"/>
  <c r="CO203" i="179"/>
  <c r="U250" i="183"/>
  <c r="AN250" i="183"/>
  <c r="AN251" i="183" s="1"/>
  <c r="AB250" i="181"/>
  <c r="V250" i="181"/>
  <c r="AH250" i="180"/>
  <c r="V250" i="180"/>
  <c r="AN250" i="180"/>
  <c r="U250" i="179"/>
  <c r="AB245" i="183"/>
  <c r="AB255" i="183"/>
  <c r="AB238" i="183"/>
  <c r="AB236" i="183"/>
  <c r="AB241" i="183"/>
  <c r="AB254" i="183"/>
  <c r="AB233" i="183"/>
  <c r="AB230" i="183"/>
  <c r="AB35" i="183"/>
  <c r="EL243" i="183"/>
  <c r="EL242" i="183"/>
  <c r="EL236" i="183"/>
  <c r="EL255" i="183"/>
  <c r="EL251" i="183"/>
  <c r="EL235" i="183"/>
  <c r="EL240" i="183"/>
  <c r="EL241" i="183"/>
  <c r="EL245" i="183"/>
  <c r="EL238" i="183"/>
  <c r="EL233" i="183"/>
  <c r="EL229" i="183"/>
  <c r="EL254" i="183"/>
  <c r="EL232" i="183"/>
  <c r="EL248" i="183" s="1"/>
  <c r="EL230" i="183"/>
  <c r="GN255" i="183"/>
  <c r="GN251" i="183"/>
  <c r="GN240" i="183"/>
  <c r="GN238" i="183"/>
  <c r="GN243" i="183"/>
  <c r="GN242" i="183"/>
  <c r="GN254" i="183"/>
  <c r="GN241" i="183"/>
  <c r="GN232" i="183"/>
  <c r="GN248" i="183" s="1"/>
  <c r="GN245" i="183"/>
  <c r="GN229" i="183"/>
  <c r="GN235" i="183"/>
  <c r="GN233" i="183"/>
  <c r="GN236" i="183"/>
  <c r="GN230" i="183"/>
  <c r="V250" i="182"/>
  <c r="GH238" i="181"/>
  <c r="GH254" i="181"/>
  <c r="GH243" i="181"/>
  <c r="GH242" i="181"/>
  <c r="GH236" i="181"/>
  <c r="GH235" i="181"/>
  <c r="GH240" i="181"/>
  <c r="GH241" i="181"/>
  <c r="GH255" i="181"/>
  <c r="GH245" i="181"/>
  <c r="GH230" i="181"/>
  <c r="GH229" i="181"/>
  <c r="GH251" i="181"/>
  <c r="GH232" i="181"/>
  <c r="GH248" i="181" s="1"/>
  <c r="GH233" i="181"/>
  <c r="AZ35" i="181"/>
  <c r="EL240" i="181"/>
  <c r="EL243" i="181"/>
  <c r="EL242" i="181"/>
  <c r="EL241" i="181"/>
  <c r="EL235" i="181"/>
  <c r="EL249" i="181" s="1"/>
  <c r="EL251" i="181"/>
  <c r="EL245" i="181"/>
  <c r="EL255" i="181"/>
  <c r="EL229" i="181"/>
  <c r="EL236" i="181"/>
  <c r="EL230" i="181"/>
  <c r="EL254" i="181"/>
  <c r="EL233" i="181"/>
  <c r="EL232" i="181"/>
  <c r="EL248" i="181" s="1"/>
  <c r="EL238" i="181"/>
  <c r="BR35" i="180"/>
  <c r="CJ35" i="179"/>
  <c r="AH241" i="179"/>
  <c r="AH255" i="179"/>
  <c r="AH245" i="179"/>
  <c r="AH238" i="179"/>
  <c r="AH254" i="179"/>
  <c r="AH236" i="179"/>
  <c r="AH230" i="179"/>
  <c r="AH233" i="179"/>
  <c r="AH35" i="179"/>
  <c r="AN245" i="179"/>
  <c r="AN238" i="179"/>
  <c r="AN255" i="179"/>
  <c r="AN254" i="179"/>
  <c r="AN236" i="179"/>
  <c r="AN233" i="179"/>
  <c r="AN230" i="179"/>
  <c r="AN241" i="179"/>
  <c r="AN35" i="179"/>
  <c r="AT240" i="183"/>
  <c r="AZ240" i="183" s="1"/>
  <c r="AT242" i="183"/>
  <c r="AZ242" i="183" s="1"/>
  <c r="AZ243" i="183" s="1"/>
  <c r="AT235" i="183"/>
  <c r="AT236" i="183" s="1"/>
  <c r="AT35" i="183"/>
  <c r="BX35" i="183"/>
  <c r="BX234" i="182"/>
  <c r="BL234" i="182"/>
  <c r="BF234" i="182"/>
  <c r="CJ234" i="182"/>
  <c r="AN234" i="182"/>
  <c r="DZ254" i="181"/>
  <c r="DZ236" i="181"/>
  <c r="DZ240" i="181"/>
  <c r="DZ243" i="181"/>
  <c r="DZ242" i="181"/>
  <c r="DZ235" i="181"/>
  <c r="DZ249" i="181" s="1"/>
  <c r="DZ241" i="181"/>
  <c r="DZ251" i="181"/>
  <c r="DZ245" i="181"/>
  <c r="DZ255" i="181"/>
  <c r="DZ229" i="181"/>
  <c r="DZ230" i="181"/>
  <c r="DZ232" i="181"/>
  <c r="DZ248" i="181" s="1"/>
  <c r="DZ233" i="181"/>
  <c r="DZ238" i="181"/>
  <c r="CJ35" i="181"/>
  <c r="V245" i="181"/>
  <c r="V238" i="181"/>
  <c r="V254" i="181"/>
  <c r="V236" i="181"/>
  <c r="V255" i="181"/>
  <c r="V230" i="181"/>
  <c r="V241" i="181"/>
  <c r="V233" i="181"/>
  <c r="V35" i="181"/>
  <c r="BF35" i="180"/>
  <c r="CD35" i="180"/>
  <c r="AN250" i="179"/>
  <c r="CD35" i="179"/>
  <c r="GZ243" i="179"/>
  <c r="GZ242" i="179"/>
  <c r="GZ235" i="179"/>
  <c r="GZ254" i="179"/>
  <c r="GZ236" i="179"/>
  <c r="GZ240" i="179"/>
  <c r="GZ232" i="179"/>
  <c r="GZ255" i="179"/>
  <c r="GZ241" i="179"/>
  <c r="GZ229" i="179"/>
  <c r="GZ233" i="179"/>
  <c r="GZ245" i="179"/>
  <c r="GZ230" i="179"/>
  <c r="GZ251" i="179"/>
  <c r="GZ238" i="179"/>
  <c r="GH251" i="179"/>
  <c r="GH255" i="179"/>
  <c r="GH245" i="179"/>
  <c r="GH238" i="179"/>
  <c r="GH254" i="179"/>
  <c r="GH243" i="179"/>
  <c r="GH242" i="179"/>
  <c r="GH236" i="179"/>
  <c r="GH235" i="179"/>
  <c r="GH249" i="179" s="1"/>
  <c r="GH240" i="179"/>
  <c r="GH241" i="179"/>
  <c r="GH232" i="179"/>
  <c r="GH248" i="179" s="1"/>
  <c r="GH233" i="179"/>
  <c r="GH230" i="179"/>
  <c r="GH229" i="179"/>
  <c r="ER255" i="183"/>
  <c r="ER251" i="183"/>
  <c r="ER238" i="183"/>
  <c r="ER233" i="183"/>
  <c r="ER243" i="183"/>
  <c r="ER242" i="183"/>
  <c r="ER241" i="183"/>
  <c r="ER245" i="183"/>
  <c r="ER236" i="183"/>
  <c r="ER240" i="183"/>
  <c r="ER232" i="183"/>
  <c r="ER248" i="183" s="1"/>
  <c r="ER229" i="183"/>
  <c r="ER230" i="183"/>
  <c r="ER254" i="183"/>
  <c r="ER235" i="183"/>
  <c r="AT242" i="182"/>
  <c r="AT243" i="182" s="1"/>
  <c r="AT235" i="182"/>
  <c r="AT236" i="182" s="1"/>
  <c r="AT240" i="182"/>
  <c r="AZ240" i="182" s="1"/>
  <c r="AT35" i="182"/>
  <c r="AZ242" i="182"/>
  <c r="BF242" i="182" s="1"/>
  <c r="BL242" i="182" s="1"/>
  <c r="AZ35" i="182"/>
  <c r="BR35" i="182"/>
  <c r="AT242" i="181"/>
  <c r="AT243" i="181" s="1"/>
  <c r="AT235" i="181"/>
  <c r="AT240" i="181"/>
  <c r="AZ240" i="181" s="1"/>
  <c r="AT241" i="181"/>
  <c r="AT35" i="181"/>
  <c r="BF35" i="181"/>
  <c r="CD35" i="181"/>
  <c r="FP251" i="181"/>
  <c r="FP245" i="181"/>
  <c r="FP255" i="181"/>
  <c r="FP238" i="181"/>
  <c r="FP254" i="181"/>
  <c r="FP236" i="181"/>
  <c r="FP240" i="181"/>
  <c r="FP241" i="181"/>
  <c r="FP243" i="181"/>
  <c r="FP235" i="181"/>
  <c r="FP232" i="181"/>
  <c r="FP248" i="181" s="1"/>
  <c r="FP233" i="181"/>
  <c r="FP229" i="181"/>
  <c r="FP230" i="181"/>
  <c r="FP242" i="181"/>
  <c r="CV251" i="181"/>
  <c r="CV245" i="181"/>
  <c r="CV255" i="181"/>
  <c r="CV238" i="181"/>
  <c r="CV254" i="181"/>
  <c r="CV236" i="181"/>
  <c r="CV240" i="181"/>
  <c r="CV241" i="181"/>
  <c r="CV232" i="181"/>
  <c r="CV248" i="181" s="1"/>
  <c r="CV242" i="181"/>
  <c r="CV230" i="181"/>
  <c r="CV243" i="181"/>
  <c r="CV235" i="181"/>
  <c r="CV229" i="181"/>
  <c r="CV233" i="181"/>
  <c r="CP234" i="180"/>
  <c r="BF234" i="180"/>
  <c r="AH254" i="180"/>
  <c r="AH236" i="180"/>
  <c r="AH241" i="180"/>
  <c r="AH255" i="180"/>
  <c r="AH233" i="180"/>
  <c r="AH245" i="180"/>
  <c r="AH230" i="180"/>
  <c r="AH238" i="180"/>
  <c r="AH35" i="180"/>
  <c r="GT255" i="179"/>
  <c r="GT238" i="179"/>
  <c r="GT254" i="179"/>
  <c r="GT236" i="179"/>
  <c r="GT240" i="179"/>
  <c r="GT243" i="179"/>
  <c r="GT242" i="179"/>
  <c r="GT235" i="179"/>
  <c r="GT241" i="179"/>
  <c r="GT251" i="179"/>
  <c r="GT232" i="179"/>
  <c r="GT248" i="179" s="1"/>
  <c r="GT230" i="179"/>
  <c r="GT233" i="179"/>
  <c r="GT245" i="179"/>
  <c r="GT229" i="179"/>
  <c r="V255" i="179"/>
  <c r="V241" i="179"/>
  <c r="V233" i="179"/>
  <c r="V245" i="179"/>
  <c r="V238" i="179"/>
  <c r="V254" i="179"/>
  <c r="V236" i="179"/>
  <c r="V230" i="179"/>
  <c r="V35" i="179"/>
  <c r="FV241" i="179"/>
  <c r="FV255" i="179"/>
  <c r="FV251" i="179"/>
  <c r="FV245" i="179"/>
  <c r="FV243" i="179"/>
  <c r="FV242" i="179"/>
  <c r="FV238" i="179"/>
  <c r="FV235" i="179"/>
  <c r="FV254" i="179"/>
  <c r="FV236" i="179"/>
  <c r="FV240" i="179"/>
  <c r="FV232" i="179"/>
  <c r="FV248" i="179" s="1"/>
  <c r="FV229" i="179"/>
  <c r="FV233" i="179"/>
  <c r="FV230" i="179"/>
  <c r="GB243" i="179"/>
  <c r="GB242" i="179"/>
  <c r="GB235" i="179"/>
  <c r="GB251" i="179"/>
  <c r="GB245" i="179"/>
  <c r="GB238" i="179"/>
  <c r="GB232" i="179"/>
  <c r="GB248" i="179" s="1"/>
  <c r="GB255" i="179"/>
  <c r="GB254" i="179"/>
  <c r="GB236" i="179"/>
  <c r="GB229" i="179"/>
  <c r="GB240" i="179"/>
  <c r="GB241" i="179"/>
  <c r="GB233" i="179"/>
  <c r="GB230" i="179"/>
  <c r="GH238" i="183"/>
  <c r="GH240" i="183"/>
  <c r="GH241" i="183"/>
  <c r="GH243" i="183"/>
  <c r="GH242" i="183"/>
  <c r="GH236" i="183"/>
  <c r="GH235" i="183"/>
  <c r="GH255" i="183"/>
  <c r="GH254" i="183"/>
  <c r="GH233" i="183"/>
  <c r="GH251" i="183"/>
  <c r="GH245" i="183"/>
  <c r="GH230" i="183"/>
  <c r="GH229" i="183"/>
  <c r="GH232" i="183"/>
  <c r="GH248" i="183" s="1"/>
  <c r="BL35" i="183"/>
  <c r="CV251" i="183"/>
  <c r="CV245" i="183"/>
  <c r="CV255" i="183"/>
  <c r="CV238" i="183"/>
  <c r="CV240" i="183"/>
  <c r="CV241" i="183"/>
  <c r="CV254" i="183"/>
  <c r="CV243" i="183"/>
  <c r="CV242" i="183"/>
  <c r="CV236" i="183"/>
  <c r="CV232" i="183"/>
  <c r="CV248" i="183" s="1"/>
  <c r="CV235" i="183"/>
  <c r="CV229" i="183"/>
  <c r="CV233" i="183"/>
  <c r="CV230" i="183"/>
  <c r="AH250" i="182"/>
  <c r="AB250" i="182"/>
  <c r="V255" i="182"/>
  <c r="V241" i="182"/>
  <c r="V233" i="182"/>
  <c r="V245" i="182"/>
  <c r="V230" i="182"/>
  <c r="V238" i="182"/>
  <c r="V254" i="182"/>
  <c r="V236" i="182"/>
  <c r="V35" i="182"/>
  <c r="U250" i="180"/>
  <c r="DT238" i="181"/>
  <c r="DT254" i="181"/>
  <c r="DT236" i="181"/>
  <c r="DT240" i="181"/>
  <c r="DT255" i="181"/>
  <c r="DT241" i="181"/>
  <c r="DT233" i="181"/>
  <c r="DT251" i="181"/>
  <c r="DT232" i="181"/>
  <c r="DT248" i="181" s="1"/>
  <c r="DT230" i="181"/>
  <c r="DT242" i="181"/>
  <c r="DT245" i="181"/>
  <c r="DT243" i="181"/>
  <c r="DT235" i="181"/>
  <c r="DT229" i="181"/>
  <c r="EF254" i="181"/>
  <c r="EF236" i="181"/>
  <c r="EF240" i="181"/>
  <c r="EF255" i="181"/>
  <c r="EF241" i="181"/>
  <c r="EF251" i="181"/>
  <c r="EF245" i="181"/>
  <c r="EF230" i="181"/>
  <c r="EF238" i="181"/>
  <c r="EF232" i="181"/>
  <c r="EF248" i="181" s="1"/>
  <c r="EF229" i="181"/>
  <c r="EF242" i="181"/>
  <c r="EF233" i="181"/>
  <c r="EF243" i="181"/>
  <c r="EF235" i="181"/>
  <c r="FD241" i="181"/>
  <c r="FD251" i="181"/>
  <c r="FD245" i="181"/>
  <c r="FD255" i="181"/>
  <c r="FD238" i="181"/>
  <c r="FD254" i="181"/>
  <c r="FD236" i="181"/>
  <c r="FD240" i="181"/>
  <c r="FD232" i="181"/>
  <c r="FD248" i="181" s="1"/>
  <c r="FD229" i="181"/>
  <c r="FD233" i="181"/>
  <c r="FD242" i="181"/>
  <c r="FD230" i="181"/>
  <c r="FD243" i="181"/>
  <c r="FD235" i="181"/>
  <c r="GB238" i="181"/>
  <c r="GB255" i="181"/>
  <c r="GB254" i="181"/>
  <c r="GB236" i="181"/>
  <c r="GB240" i="181"/>
  <c r="GB241" i="181"/>
  <c r="GB251" i="181"/>
  <c r="GB233" i="181"/>
  <c r="GB232" i="181"/>
  <c r="GB248" i="181" s="1"/>
  <c r="GB243" i="181"/>
  <c r="GB235" i="181"/>
  <c r="GB229" i="181"/>
  <c r="GB230" i="181"/>
  <c r="GB245" i="181"/>
  <c r="GB242" i="181"/>
  <c r="EX231" i="180"/>
  <c r="BR231" i="180"/>
  <c r="DT231" i="180"/>
  <c r="CB234" i="180"/>
  <c r="AT231" i="180"/>
  <c r="GB231" i="180"/>
  <c r="CP231" i="180"/>
  <c r="AZ231" i="180"/>
  <c r="U238" i="180"/>
  <c r="U254" i="180"/>
  <c r="U236" i="180"/>
  <c r="U255" i="180"/>
  <c r="U241" i="180"/>
  <c r="U233" i="180"/>
  <c r="U245" i="180"/>
  <c r="U230" i="180"/>
  <c r="U35" i="180"/>
  <c r="BR35" i="179"/>
  <c r="BX35" i="179"/>
  <c r="HA44" i="183"/>
  <c r="GZ223" i="183" s="1"/>
  <c r="ER223" i="183"/>
  <c r="DN223" i="183"/>
  <c r="FV223" i="183"/>
  <c r="DN238" i="183"/>
  <c r="DN240" i="183"/>
  <c r="DN241" i="183"/>
  <c r="DN243" i="183"/>
  <c r="DN242" i="183"/>
  <c r="DN254" i="183"/>
  <c r="DN236" i="183"/>
  <c r="DN235" i="183"/>
  <c r="DN251" i="183"/>
  <c r="DN245" i="183"/>
  <c r="DN230" i="183"/>
  <c r="DN229" i="183"/>
  <c r="DN255" i="183"/>
  <c r="DN232" i="183"/>
  <c r="DN248" i="183" s="1"/>
  <c r="DN233" i="183"/>
  <c r="AH254" i="183"/>
  <c r="AH238" i="183"/>
  <c r="AH236" i="183"/>
  <c r="AH255" i="183"/>
  <c r="AH241" i="183"/>
  <c r="AH245" i="183"/>
  <c r="AH233" i="183"/>
  <c r="AH230" i="183"/>
  <c r="AH35" i="183"/>
  <c r="AT234" i="182"/>
  <c r="GB234" i="182"/>
  <c r="CD234" i="182"/>
  <c r="AB245" i="181"/>
  <c r="AB255" i="181"/>
  <c r="AB238" i="181"/>
  <c r="AB254" i="181"/>
  <c r="AB236" i="181"/>
  <c r="AB241" i="181"/>
  <c r="AB230" i="181"/>
  <c r="AB233" i="181"/>
  <c r="AB35" i="181"/>
  <c r="GZ254" i="181"/>
  <c r="GZ236" i="181"/>
  <c r="GZ240" i="181"/>
  <c r="GZ255" i="181"/>
  <c r="GZ241" i="181"/>
  <c r="GZ251" i="181"/>
  <c r="GZ245" i="181"/>
  <c r="GZ230" i="181"/>
  <c r="GZ238" i="181"/>
  <c r="GZ232" i="181"/>
  <c r="GZ242" i="181"/>
  <c r="GZ243" i="181"/>
  <c r="GZ235" i="181"/>
  <c r="GZ229" i="181"/>
  <c r="GZ233" i="181"/>
  <c r="BX35" i="181"/>
  <c r="CJ35" i="180"/>
  <c r="AW234" i="179"/>
  <c r="CG234" i="179"/>
  <c r="BC234" i="179"/>
  <c r="DQ234" i="179"/>
  <c r="BF35" i="179"/>
  <c r="FP243" i="179"/>
  <c r="FP242" i="179"/>
  <c r="FP235" i="179"/>
  <c r="FP241" i="179"/>
  <c r="FP251" i="179"/>
  <c r="FP245" i="179"/>
  <c r="FP232" i="179"/>
  <c r="FP248" i="179" s="1"/>
  <c r="FP255" i="179"/>
  <c r="FP238" i="179"/>
  <c r="FP229" i="179"/>
  <c r="FP240" i="179"/>
  <c r="FP254" i="179"/>
  <c r="FP236" i="179"/>
  <c r="FP233" i="179"/>
  <c r="FP230" i="179"/>
  <c r="GN245" i="179"/>
  <c r="GN243" i="179"/>
  <c r="GN242" i="179"/>
  <c r="GN235" i="179"/>
  <c r="GN238" i="179"/>
  <c r="GN254" i="179"/>
  <c r="GN236" i="179"/>
  <c r="GN232" i="179"/>
  <c r="GN248" i="179" s="1"/>
  <c r="GN240" i="179"/>
  <c r="GN255" i="179"/>
  <c r="GN229" i="179"/>
  <c r="GN233" i="179"/>
  <c r="GN251" i="179"/>
  <c r="GN241" i="179"/>
  <c r="GN230" i="179"/>
  <c r="FJ255" i="179"/>
  <c r="FJ241" i="179"/>
  <c r="FJ233" i="179"/>
  <c r="FJ251" i="179"/>
  <c r="FJ245" i="179"/>
  <c r="FJ243" i="179"/>
  <c r="FJ242" i="179"/>
  <c r="FJ235" i="179"/>
  <c r="FJ238" i="179"/>
  <c r="FJ254" i="179"/>
  <c r="FJ236" i="179"/>
  <c r="FJ240" i="179"/>
  <c r="FJ232" i="179"/>
  <c r="FJ248" i="179" s="1"/>
  <c r="FJ229" i="179"/>
  <c r="FJ230" i="179"/>
  <c r="EX241" i="183"/>
  <c r="EX245" i="183"/>
  <c r="EX238" i="183"/>
  <c r="EX254" i="183"/>
  <c r="EX243" i="183"/>
  <c r="EX242" i="183"/>
  <c r="EX240" i="183"/>
  <c r="EX235" i="183"/>
  <c r="EX233" i="183"/>
  <c r="EX255" i="183"/>
  <c r="EX230" i="183"/>
  <c r="EX229" i="183"/>
  <c r="EX251" i="183"/>
  <c r="EX236" i="183"/>
  <c r="EX232" i="183"/>
  <c r="EX248" i="183" s="1"/>
  <c r="CD35" i="183"/>
  <c r="DB243" i="183"/>
  <c r="DB242" i="183"/>
  <c r="DB235" i="183"/>
  <c r="DB236" i="183"/>
  <c r="DB251" i="183"/>
  <c r="DB241" i="183"/>
  <c r="DB240" i="183"/>
  <c r="DB238" i="183"/>
  <c r="DB233" i="183"/>
  <c r="DB229" i="183"/>
  <c r="DB255" i="183"/>
  <c r="DB230" i="183"/>
  <c r="DB254" i="183"/>
  <c r="DB232" i="183"/>
  <c r="DB248" i="183" s="1"/>
  <c r="DB245" i="183"/>
  <c r="BD234" i="182"/>
  <c r="AT223" i="182"/>
  <c r="AT224" i="182" s="1"/>
  <c r="U250" i="181"/>
  <c r="BR35" i="181"/>
  <c r="ER241" i="181"/>
  <c r="ER255" i="181"/>
  <c r="ER251" i="181"/>
  <c r="ER245" i="181"/>
  <c r="ER238" i="181"/>
  <c r="ER254" i="181"/>
  <c r="ER236" i="181"/>
  <c r="ER232" i="181"/>
  <c r="ER248" i="181" s="1"/>
  <c r="ER240" i="181"/>
  <c r="ER229" i="181"/>
  <c r="ER233" i="181"/>
  <c r="ER242" i="181"/>
  <c r="ER235" i="181"/>
  <c r="ER243" i="181"/>
  <c r="ER230" i="181"/>
  <c r="BL35" i="180"/>
  <c r="AN255" i="180"/>
  <c r="AN254" i="180"/>
  <c r="AN236" i="180"/>
  <c r="AN241" i="180"/>
  <c r="AN233" i="180"/>
  <c r="AN251" i="180"/>
  <c r="AN245" i="180"/>
  <c r="AN230" i="180"/>
  <c r="AN238" i="180"/>
  <c r="AN35" i="180"/>
  <c r="FV223" i="179"/>
  <c r="DN223" i="179"/>
  <c r="HA44" i="179"/>
  <c r="GZ223" i="179" s="1"/>
  <c r="ER223" i="179"/>
  <c r="EX254" i="179"/>
  <c r="EX236" i="179"/>
  <c r="EX255" i="179"/>
  <c r="EX241" i="179"/>
  <c r="EX233" i="179"/>
  <c r="EX251" i="179"/>
  <c r="EX243" i="179"/>
  <c r="EX242" i="179"/>
  <c r="EX235" i="179"/>
  <c r="EX245" i="179"/>
  <c r="EX230" i="179"/>
  <c r="EX238" i="179"/>
  <c r="EX232" i="179"/>
  <c r="EX248" i="179" s="1"/>
  <c r="EX240" i="179"/>
  <c r="EX229" i="179"/>
  <c r="BF35" i="183"/>
  <c r="FV243" i="183"/>
  <c r="FV242" i="183"/>
  <c r="FV235" i="183"/>
  <c r="FV236" i="183"/>
  <c r="FV255" i="183"/>
  <c r="FV254" i="183"/>
  <c r="FV238" i="183"/>
  <c r="FV241" i="183"/>
  <c r="FV245" i="183"/>
  <c r="FV251" i="183"/>
  <c r="FV229" i="183"/>
  <c r="FV233" i="183"/>
  <c r="FV240" i="183"/>
  <c r="FV230" i="183"/>
  <c r="FV232" i="183"/>
  <c r="FV248" i="183" s="1"/>
  <c r="EX234" i="182"/>
  <c r="AZ234" i="182"/>
  <c r="DT234" i="182"/>
  <c r="BX35" i="182"/>
  <c r="AH241" i="182"/>
  <c r="AH255" i="182"/>
  <c r="AH233" i="182"/>
  <c r="AH245" i="182"/>
  <c r="AH230" i="182"/>
  <c r="AH238" i="182"/>
  <c r="AH254" i="182"/>
  <c r="AH236" i="182"/>
  <c r="AH35" i="182"/>
  <c r="BL35" i="182"/>
  <c r="AN238" i="181"/>
  <c r="AN255" i="181"/>
  <c r="AN254" i="181"/>
  <c r="AN236" i="181"/>
  <c r="AN241" i="181"/>
  <c r="AN230" i="181"/>
  <c r="AN233" i="181"/>
  <c r="AN245" i="181"/>
  <c r="AN35" i="181"/>
  <c r="EX241" i="181"/>
  <c r="EX251" i="181"/>
  <c r="EX243" i="181"/>
  <c r="EX242" i="181"/>
  <c r="EX235" i="181"/>
  <c r="EX245" i="181"/>
  <c r="EX238" i="181"/>
  <c r="EX255" i="181"/>
  <c r="EX240" i="181"/>
  <c r="EX229" i="181"/>
  <c r="EX233" i="181"/>
  <c r="EX254" i="181"/>
  <c r="EX232" i="181"/>
  <c r="EX248" i="181" s="1"/>
  <c r="EX236" i="181"/>
  <c r="EX230" i="181"/>
  <c r="FJ251" i="181"/>
  <c r="FJ245" i="181"/>
  <c r="FJ243" i="181"/>
  <c r="FJ242" i="181"/>
  <c r="FJ235" i="181"/>
  <c r="FJ238" i="181"/>
  <c r="FJ254" i="181"/>
  <c r="FJ236" i="181"/>
  <c r="FJ240" i="181"/>
  <c r="FJ255" i="181"/>
  <c r="FJ229" i="181"/>
  <c r="FJ233" i="181"/>
  <c r="FJ232" i="181"/>
  <c r="FJ248" i="181" s="1"/>
  <c r="FJ241" i="181"/>
  <c r="FJ230" i="181"/>
  <c r="FV223" i="181"/>
  <c r="DN223" i="181"/>
  <c r="ER223" i="181"/>
  <c r="HA44" i="181"/>
  <c r="GZ223" i="181" s="1"/>
  <c r="AT240" i="180"/>
  <c r="AT241" i="180" s="1"/>
  <c r="AT233" i="180"/>
  <c r="AT232" i="180"/>
  <c r="AT248" i="180" s="1"/>
  <c r="AT242" i="180"/>
  <c r="AT243" i="180" s="1"/>
  <c r="AT235" i="180"/>
  <c r="AT236" i="180" s="1"/>
  <c r="AT35" i="180"/>
  <c r="BL35" i="179"/>
  <c r="DZ254" i="183"/>
  <c r="DZ251" i="183"/>
  <c r="DZ245" i="183"/>
  <c r="DZ243" i="183"/>
  <c r="DZ242" i="183"/>
  <c r="DZ235" i="183"/>
  <c r="DZ240" i="183"/>
  <c r="DZ238" i="183"/>
  <c r="DZ241" i="183"/>
  <c r="DZ236" i="183"/>
  <c r="DZ229" i="183"/>
  <c r="DZ255" i="183"/>
  <c r="DZ233" i="183"/>
  <c r="DZ230" i="183"/>
  <c r="DZ232" i="183"/>
  <c r="DZ248" i="183" s="1"/>
  <c r="AN255" i="183"/>
  <c r="AN254" i="183"/>
  <c r="AN241" i="183"/>
  <c r="AN245" i="183"/>
  <c r="AN236" i="183"/>
  <c r="AN230" i="183"/>
  <c r="AN238" i="183"/>
  <c r="AN233" i="183"/>
  <c r="AN35" i="183"/>
  <c r="AN233" i="182"/>
  <c r="AN251" i="182"/>
  <c r="AN245" i="182"/>
  <c r="AN238" i="182"/>
  <c r="AN255" i="182"/>
  <c r="AN254" i="182"/>
  <c r="AN236" i="182"/>
  <c r="AN230" i="182"/>
  <c r="AN241" i="182"/>
  <c r="AN35" i="182"/>
  <c r="AX234" i="182"/>
  <c r="AN250" i="181"/>
  <c r="DB245" i="181"/>
  <c r="DB243" i="181"/>
  <c r="DB242" i="181"/>
  <c r="DB238" i="181"/>
  <c r="DB235" i="181"/>
  <c r="DB249" i="181" s="1"/>
  <c r="DB254" i="181"/>
  <c r="DB236" i="181"/>
  <c r="DB240" i="181"/>
  <c r="DB255" i="181"/>
  <c r="DB233" i="181"/>
  <c r="DB229" i="181"/>
  <c r="DB230" i="181"/>
  <c r="DB251" i="181"/>
  <c r="DB232" i="181"/>
  <c r="DB248" i="181" s="1"/>
  <c r="DB241" i="181"/>
  <c r="DN238" i="181"/>
  <c r="DN254" i="181"/>
  <c r="DN243" i="181"/>
  <c r="DN242" i="181"/>
  <c r="DN236" i="181"/>
  <c r="DN235" i="181"/>
  <c r="DN240" i="181"/>
  <c r="DN241" i="181"/>
  <c r="DN255" i="181"/>
  <c r="DN245" i="181"/>
  <c r="DN230" i="181"/>
  <c r="DN229" i="181"/>
  <c r="DN251" i="181"/>
  <c r="DN232" i="181"/>
  <c r="DN248" i="181" s="1"/>
  <c r="DN233" i="181"/>
  <c r="AB250" i="180"/>
  <c r="AZ223" i="180"/>
  <c r="CM234" i="180"/>
  <c r="EX223" i="180"/>
  <c r="BX223" i="180"/>
  <c r="AT223" i="180"/>
  <c r="AT224" i="180" s="1"/>
  <c r="BF223" i="180"/>
  <c r="DQ234" i="180"/>
  <c r="BR223" i="180"/>
  <c r="CA234" i="180"/>
  <c r="FY234" i="180"/>
  <c r="AZ242" i="180"/>
  <c r="AZ243" i="180" s="1"/>
  <c r="AZ232" i="180"/>
  <c r="AZ248" i="180" s="1"/>
  <c r="AZ35" i="180"/>
  <c r="BX231" i="179"/>
  <c r="AZ231" i="179"/>
  <c r="FD243" i="179"/>
  <c r="FD242" i="179"/>
  <c r="FD240" i="179"/>
  <c r="FD235" i="179"/>
  <c r="FD241" i="179"/>
  <c r="FD251" i="179"/>
  <c r="FD232" i="179"/>
  <c r="FD248" i="179" s="1"/>
  <c r="FD245" i="179"/>
  <c r="FD230" i="179"/>
  <c r="FD255" i="179"/>
  <c r="FD229" i="179"/>
  <c r="FD238" i="179"/>
  <c r="FD254" i="179"/>
  <c r="FD236" i="179"/>
  <c r="FD233" i="179"/>
  <c r="CJ35" i="183"/>
  <c r="GT254" i="183"/>
  <c r="GT251" i="183"/>
  <c r="GT245" i="183"/>
  <c r="GT255" i="183"/>
  <c r="GT243" i="183"/>
  <c r="GT242" i="183"/>
  <c r="GT235" i="183"/>
  <c r="GT233" i="183"/>
  <c r="GT240" i="183"/>
  <c r="GT238" i="183"/>
  <c r="GT229" i="183"/>
  <c r="GT241" i="183"/>
  <c r="GT236" i="183"/>
  <c r="GT232" i="183"/>
  <c r="GT248" i="183" s="1"/>
  <c r="GT230" i="183"/>
  <c r="DH255" i="183"/>
  <c r="DH254" i="183"/>
  <c r="DH241" i="183"/>
  <c r="DH245" i="183"/>
  <c r="DH243" i="183"/>
  <c r="DH242" i="183"/>
  <c r="DH251" i="183"/>
  <c r="DH240" i="183"/>
  <c r="DH238" i="183"/>
  <c r="DH232" i="183"/>
  <c r="DH248" i="183" s="1"/>
  <c r="DH236" i="183"/>
  <c r="DH235" i="183"/>
  <c r="DH229" i="183"/>
  <c r="DH230" i="183"/>
  <c r="DH233" i="183"/>
  <c r="U250" i="182"/>
  <c r="U255" i="182"/>
  <c r="U241" i="182"/>
  <c r="U245" i="182"/>
  <c r="U230" i="182"/>
  <c r="U238" i="182"/>
  <c r="U254" i="182"/>
  <c r="U236" i="182"/>
  <c r="U233" i="182"/>
  <c r="U35" i="182"/>
  <c r="GN238" i="181"/>
  <c r="GN254" i="181"/>
  <c r="GN236" i="181"/>
  <c r="GN240" i="181"/>
  <c r="GN255" i="181"/>
  <c r="GN241" i="181"/>
  <c r="GN233" i="181"/>
  <c r="GN251" i="181"/>
  <c r="GN242" i="181"/>
  <c r="GN232" i="181"/>
  <c r="GN248" i="181" s="1"/>
  <c r="GN243" i="181"/>
  <c r="GN235" i="181"/>
  <c r="GN230" i="181"/>
  <c r="GN245" i="181"/>
  <c r="GN229" i="181"/>
  <c r="GT254" i="181"/>
  <c r="GT236" i="181"/>
  <c r="GT240" i="181"/>
  <c r="GT243" i="181"/>
  <c r="GT242" i="181"/>
  <c r="GT235" i="181"/>
  <c r="GT241" i="181"/>
  <c r="GT251" i="181"/>
  <c r="GT245" i="181"/>
  <c r="GT255" i="181"/>
  <c r="GT229" i="181"/>
  <c r="GT230" i="181"/>
  <c r="GT232" i="181"/>
  <c r="GT248" i="181" s="1"/>
  <c r="GT238" i="181"/>
  <c r="GT233" i="181"/>
  <c r="BX35" i="180"/>
  <c r="BO234" i="179"/>
  <c r="BV234" i="179"/>
  <c r="BP234" i="179"/>
  <c r="AZ35" i="179"/>
  <c r="V254" i="183"/>
  <c r="V255" i="183"/>
  <c r="V238" i="183"/>
  <c r="V241" i="183"/>
  <c r="V245" i="183"/>
  <c r="V230" i="183"/>
  <c r="V236" i="183"/>
  <c r="V233" i="183"/>
  <c r="V35" i="183"/>
  <c r="FD255" i="183"/>
  <c r="FD254" i="183"/>
  <c r="FD238" i="183"/>
  <c r="FD243" i="183"/>
  <c r="FD242" i="183"/>
  <c r="FD241" i="183"/>
  <c r="FD245" i="183"/>
  <c r="FD236" i="183"/>
  <c r="FD233" i="183"/>
  <c r="FD232" i="183"/>
  <c r="FD248" i="183" s="1"/>
  <c r="FD230" i="183"/>
  <c r="FD229" i="183"/>
  <c r="FD251" i="183"/>
  <c r="FD240" i="183"/>
  <c r="FD235" i="183"/>
  <c r="EF254" i="183"/>
  <c r="EF240" i="183"/>
  <c r="EF255" i="183"/>
  <c r="EF241" i="183"/>
  <c r="EF245" i="183"/>
  <c r="EF243" i="183"/>
  <c r="EF242" i="183"/>
  <c r="EF238" i="183"/>
  <c r="EF232" i="183"/>
  <c r="EF248" i="183" s="1"/>
  <c r="EF229" i="183"/>
  <c r="EF233" i="183"/>
  <c r="EF251" i="183"/>
  <c r="EF236" i="183"/>
  <c r="EF235" i="183"/>
  <c r="EF230" i="183"/>
  <c r="GB255" i="183"/>
  <c r="GB254" i="183"/>
  <c r="GB241" i="183"/>
  <c r="GB251" i="183"/>
  <c r="GB245" i="183"/>
  <c r="GB243" i="183"/>
  <c r="GB242" i="183"/>
  <c r="GB232" i="183"/>
  <c r="GB248" i="183" s="1"/>
  <c r="GB229" i="183"/>
  <c r="GB236" i="183"/>
  <c r="GB235" i="183"/>
  <c r="GB233" i="183"/>
  <c r="GB240" i="183"/>
  <c r="GB230" i="183"/>
  <c r="GB238" i="183"/>
  <c r="AB241" i="182"/>
  <c r="AB245" i="182"/>
  <c r="AB255" i="182"/>
  <c r="AB238" i="182"/>
  <c r="AB254" i="182"/>
  <c r="AB236" i="182"/>
  <c r="AB233" i="182"/>
  <c r="AB230" i="182"/>
  <c r="AB35" i="182"/>
  <c r="CJ35" i="182"/>
  <c r="DR234" i="182"/>
  <c r="AZ231" i="182"/>
  <c r="EV234" i="182"/>
  <c r="BP234" i="182"/>
  <c r="DT231" i="182"/>
  <c r="U241" i="181"/>
  <c r="U245" i="181"/>
  <c r="U238" i="181"/>
  <c r="U254" i="181"/>
  <c r="U236" i="181"/>
  <c r="U255" i="181"/>
  <c r="U230" i="181"/>
  <c r="U233" i="181"/>
  <c r="U35" i="181"/>
  <c r="FZ234" i="180"/>
  <c r="V238" i="180"/>
  <c r="V254" i="180"/>
  <c r="V236" i="180"/>
  <c r="V255" i="180"/>
  <c r="V241" i="180"/>
  <c r="V233" i="180"/>
  <c r="V245" i="180"/>
  <c r="V230" i="180"/>
  <c r="V35" i="180"/>
  <c r="AB255" i="180"/>
  <c r="AB238" i="180"/>
  <c r="AB254" i="180"/>
  <c r="AB236" i="180"/>
  <c r="AB241" i="180"/>
  <c r="AB233" i="180"/>
  <c r="AB245" i="180"/>
  <c r="AB230" i="180"/>
  <c r="AB35" i="180"/>
  <c r="ER243" i="179"/>
  <c r="ER242" i="179"/>
  <c r="ER235" i="179"/>
  <c r="ER254" i="179"/>
  <c r="ER240" i="179"/>
  <c r="ER241" i="179"/>
  <c r="ER232" i="179"/>
  <c r="ER248" i="179" s="1"/>
  <c r="ER233" i="179"/>
  <c r="ER255" i="179"/>
  <c r="ER251" i="179"/>
  <c r="ER229" i="179"/>
  <c r="ER245" i="179"/>
  <c r="ER230" i="179"/>
  <c r="ER238" i="179"/>
  <c r="ER236" i="179"/>
  <c r="FP251" i="183"/>
  <c r="FP245" i="183"/>
  <c r="FP255" i="183"/>
  <c r="FP238" i="183"/>
  <c r="FP240" i="183"/>
  <c r="FP241" i="183"/>
  <c r="FP243" i="183"/>
  <c r="FP242" i="183"/>
  <c r="FP236" i="183"/>
  <c r="FP254" i="183"/>
  <c r="FP232" i="183"/>
  <c r="FP248" i="183" s="1"/>
  <c r="FP229" i="183"/>
  <c r="FP233" i="183"/>
  <c r="FP230" i="183"/>
  <c r="FP235" i="183"/>
  <c r="U254" i="183"/>
  <c r="U255" i="183"/>
  <c r="U238" i="183"/>
  <c r="U236" i="183"/>
  <c r="U245" i="183"/>
  <c r="U230" i="183"/>
  <c r="U241" i="183"/>
  <c r="U233" i="183"/>
  <c r="U35" i="183"/>
  <c r="GZ254" i="183"/>
  <c r="GZ240" i="183"/>
  <c r="GZ255" i="183"/>
  <c r="GZ241" i="183"/>
  <c r="GZ245" i="183"/>
  <c r="GZ243" i="183"/>
  <c r="GZ242" i="183"/>
  <c r="GZ251" i="183"/>
  <c r="GZ232" i="183"/>
  <c r="GZ229" i="183"/>
  <c r="GZ238" i="183"/>
  <c r="GZ235" i="183"/>
  <c r="GZ236" i="183"/>
  <c r="GZ233" i="183"/>
  <c r="GZ230" i="183"/>
  <c r="AZ35" i="183"/>
  <c r="EX223" i="182"/>
  <c r="BR234" i="182"/>
  <c r="BF35" i="182"/>
  <c r="CD35" i="182"/>
  <c r="DH238" i="181"/>
  <c r="DH255" i="181"/>
  <c r="DH254" i="181"/>
  <c r="DH236" i="181"/>
  <c r="DH240" i="181"/>
  <c r="DH241" i="181"/>
  <c r="DH251" i="181"/>
  <c r="DH232" i="181"/>
  <c r="DH248" i="181" s="1"/>
  <c r="DH230" i="181"/>
  <c r="DH242" i="181"/>
  <c r="DH243" i="181"/>
  <c r="DH235" i="181"/>
  <c r="DH245" i="181"/>
  <c r="DH233" i="181"/>
  <c r="DH229" i="181"/>
  <c r="GB234" i="180"/>
  <c r="BR234" i="180"/>
  <c r="AZ234" i="180"/>
  <c r="CD234" i="180"/>
  <c r="BL234" i="180"/>
  <c r="BP234" i="180"/>
  <c r="BD234" i="180"/>
  <c r="AX234" i="180"/>
  <c r="V250" i="179"/>
  <c r="AB250" i="179"/>
  <c r="BU234" i="179"/>
  <c r="CA234" i="179"/>
  <c r="CM234" i="179"/>
  <c r="BI234" i="179"/>
  <c r="AB250" i="183"/>
  <c r="FJ251" i="183"/>
  <c r="FJ254" i="183"/>
  <c r="FJ240" i="183"/>
  <c r="FJ243" i="183"/>
  <c r="FJ242" i="183"/>
  <c r="FJ235" i="183"/>
  <c r="FJ255" i="183"/>
  <c r="FJ245" i="183"/>
  <c r="FJ230" i="183"/>
  <c r="FJ238" i="183"/>
  <c r="FJ241" i="183"/>
  <c r="FJ229" i="183"/>
  <c r="FJ236" i="183"/>
  <c r="FJ233" i="183"/>
  <c r="FJ232" i="183"/>
  <c r="FJ248" i="183" s="1"/>
  <c r="BR35" i="183"/>
  <c r="DT255" i="183"/>
  <c r="DT251" i="183"/>
  <c r="DT243" i="183"/>
  <c r="DT242" i="183"/>
  <c r="DT240" i="183"/>
  <c r="DT238" i="183"/>
  <c r="DT245" i="183"/>
  <c r="DT232" i="183"/>
  <c r="DT248" i="183" s="1"/>
  <c r="DT236" i="183"/>
  <c r="DT229" i="183"/>
  <c r="DT241" i="183"/>
  <c r="DT235" i="183"/>
  <c r="DT254" i="183"/>
  <c r="DT230" i="183"/>
  <c r="DT233" i="183"/>
  <c r="CP234" i="182"/>
  <c r="BX223" i="182"/>
  <c r="CM234" i="182"/>
  <c r="EU234" i="182"/>
  <c r="CG234" i="182"/>
  <c r="BR223" i="182"/>
  <c r="AZ223" i="182"/>
  <c r="DT223" i="182"/>
  <c r="CD223" i="182"/>
  <c r="BI234" i="182"/>
  <c r="BF223" i="182"/>
  <c r="GB223" i="182"/>
  <c r="FY234" i="182"/>
  <c r="AH245" i="181"/>
  <c r="AH238" i="181"/>
  <c r="AH254" i="181"/>
  <c r="AH236" i="181"/>
  <c r="AH255" i="181"/>
  <c r="AH233" i="181"/>
  <c r="AH230" i="181"/>
  <c r="AH241" i="181"/>
  <c r="AH35" i="181"/>
  <c r="BL35" i="181"/>
  <c r="FV245" i="181"/>
  <c r="FV243" i="181"/>
  <c r="FV242" i="181"/>
  <c r="FV238" i="181"/>
  <c r="FV235" i="181"/>
  <c r="FV249" i="181" s="1"/>
  <c r="FV254" i="181"/>
  <c r="FV236" i="181"/>
  <c r="FV240" i="181"/>
  <c r="FV255" i="181"/>
  <c r="FV233" i="181"/>
  <c r="FV229" i="181"/>
  <c r="FV251" i="181"/>
  <c r="FV241" i="181"/>
  <c r="FV232" i="181"/>
  <c r="FV248" i="181" s="1"/>
  <c r="FV230" i="181"/>
  <c r="AW234" i="180"/>
  <c r="CD231" i="180"/>
  <c r="CP223" i="180"/>
  <c r="DT223" i="180"/>
  <c r="BO234" i="180"/>
  <c r="AX234" i="179"/>
  <c r="FY234" i="179"/>
  <c r="U255" i="179"/>
  <c r="U241" i="179"/>
  <c r="U245" i="179"/>
  <c r="U230" i="179"/>
  <c r="U236" i="179"/>
  <c r="U238" i="179"/>
  <c r="U254" i="179"/>
  <c r="U233" i="179"/>
  <c r="U35" i="179"/>
  <c r="EU234" i="179"/>
  <c r="AB245" i="179"/>
  <c r="AB255" i="179"/>
  <c r="AB238" i="179"/>
  <c r="AB236" i="179"/>
  <c r="AB230" i="179"/>
  <c r="AB233" i="179"/>
  <c r="AB241" i="179"/>
  <c r="AB254" i="179"/>
  <c r="AB35" i="179"/>
  <c r="AT242" i="179"/>
  <c r="AZ242" i="179" s="1"/>
  <c r="AT240" i="179"/>
  <c r="AZ240" i="179" s="1"/>
  <c r="AT35" i="179"/>
  <c r="CL237" i="178"/>
  <c r="CZ244" i="178"/>
  <c r="BP237" i="178"/>
  <c r="EJ237" i="178"/>
  <c r="EZ237" i="178"/>
  <c r="BG237" i="178"/>
  <c r="CX237" i="178"/>
  <c r="GF237" i="178"/>
  <c r="DC237" i="178"/>
  <c r="CY244" i="178"/>
  <c r="DM244" i="178"/>
  <c r="FE237" i="178"/>
  <c r="AX244" i="178"/>
  <c r="CA237" i="178"/>
  <c r="EU237" i="178"/>
  <c r="AU237" i="178"/>
  <c r="DO244" i="178"/>
  <c r="GI244" i="178"/>
  <c r="BO244" i="178"/>
  <c r="EI237" i="178"/>
  <c r="FZ244" i="178"/>
  <c r="BY244" i="178"/>
  <c r="FG237" i="178"/>
  <c r="EI244" i="178"/>
  <c r="FK244" i="178"/>
  <c r="DX237" i="178"/>
  <c r="GD237" i="178"/>
  <c r="GR237" i="178"/>
  <c r="ET237" i="178"/>
  <c r="CR244" i="178"/>
  <c r="DU244" i="178"/>
  <c r="EW237" i="178"/>
  <c r="GS237" i="178"/>
  <c r="BC237" i="178"/>
  <c r="CF244" i="178"/>
  <c r="EZ244" i="178"/>
  <c r="FN244" i="178"/>
  <c r="GC244" i="178"/>
  <c r="FB244" i="178"/>
  <c r="GE244" i="178"/>
  <c r="GF244" i="178"/>
  <c r="BV244" i="178"/>
  <c r="EP244" i="178"/>
  <c r="EK237" i="178"/>
  <c r="DX244" i="178"/>
  <c r="EM244" i="178"/>
  <c r="CZ237" i="178"/>
  <c r="FT237" i="178"/>
  <c r="CR237" i="178"/>
  <c r="BE237" i="178"/>
  <c r="R51" i="178"/>
  <c r="GF51" i="178" s="1"/>
  <c r="Q48" i="178"/>
  <c r="FA48" i="178" s="1"/>
  <c r="AB253" i="178"/>
  <c r="CW244" i="178"/>
  <c r="FQ237" i="178"/>
  <c r="ED244" i="178"/>
  <c r="GC237" i="178"/>
  <c r="CN237" i="178"/>
  <c r="FH237" i="178"/>
  <c r="FW237" i="178"/>
  <c r="DM237" i="178"/>
  <c r="CB237" i="178"/>
  <c r="DO237" i="178"/>
  <c r="GI237" i="178"/>
  <c r="L45" i="178"/>
  <c r="BY45" i="178" s="1"/>
  <c r="CC237" i="178"/>
  <c r="DU237" i="178"/>
  <c r="FH244" i="178"/>
  <c r="EJ244" i="178"/>
  <c r="BZ237" i="178"/>
  <c r="CO237" i="178"/>
  <c r="EU244" i="178"/>
  <c r="CT244" i="178"/>
  <c r="DW237" i="178"/>
  <c r="ES237" i="178"/>
  <c r="EY62" i="178"/>
  <c r="AI62" i="178"/>
  <c r="BS62" i="178"/>
  <c r="DU62" i="178"/>
  <c r="W62" i="178"/>
  <c r="BA62" i="178"/>
  <c r="CE62" i="178"/>
  <c r="GC62" i="178"/>
  <c r="BM62" i="178"/>
  <c r="BY62" i="178"/>
  <c r="AC62" i="178"/>
  <c r="CK62" i="178"/>
  <c r="AO62" i="178"/>
  <c r="BG62" i="178"/>
  <c r="AU62" i="178"/>
  <c r="CQ62" i="178"/>
  <c r="N203" i="178"/>
  <c r="AH248" i="178"/>
  <c r="N202" i="178"/>
  <c r="Q50" i="178"/>
  <c r="R53" i="178"/>
  <c r="M78" i="178"/>
  <c r="R81" i="178"/>
  <c r="P47" i="178"/>
  <c r="R50" i="178"/>
  <c r="Q47" i="178"/>
  <c r="L48" i="178"/>
  <c r="P57" i="178"/>
  <c r="L58" i="178"/>
  <c r="GT222" i="178"/>
  <c r="DZ222" i="178"/>
  <c r="BF222" i="178"/>
  <c r="L214" i="178"/>
  <c r="R213" i="178"/>
  <c r="FV222" i="178"/>
  <c r="DB222" i="178"/>
  <c r="AH222" i="178"/>
  <c r="R215" i="178"/>
  <c r="EL222" i="178"/>
  <c r="BR222" i="178"/>
  <c r="GZ222" i="178"/>
  <c r="EF222" i="178"/>
  <c r="BL222" i="178"/>
  <c r="DH222" i="178"/>
  <c r="Q211" i="178"/>
  <c r="CV222" i="178"/>
  <c r="M215" i="178"/>
  <c r="GH222" i="178"/>
  <c r="CJ222" i="178"/>
  <c r="R214" i="178"/>
  <c r="Q213" i="178"/>
  <c r="L211" i="178"/>
  <c r="R210" i="178"/>
  <c r="ER222" i="178"/>
  <c r="AB222" i="178"/>
  <c r="DT222" i="178"/>
  <c r="V222" i="178"/>
  <c r="Q215" i="178"/>
  <c r="CP222" i="178"/>
  <c r="Q212" i="178"/>
  <c r="AT222" i="178"/>
  <c r="GB222" i="178"/>
  <c r="U222" i="178"/>
  <c r="P213" i="178"/>
  <c r="Q209" i="178"/>
  <c r="Q206" i="178"/>
  <c r="FP222" i="178"/>
  <c r="Q214" i="178"/>
  <c r="P206" i="178"/>
  <c r="FJ222" i="178"/>
  <c r="L213" i="178"/>
  <c r="M204" i="178"/>
  <c r="CD222" i="178"/>
  <c r="Q210" i="178"/>
  <c r="M206" i="178"/>
  <c r="P201" i="178"/>
  <c r="Q198" i="178"/>
  <c r="M194" i="178"/>
  <c r="R193" i="178"/>
  <c r="P191" i="178"/>
  <c r="Q186" i="178"/>
  <c r="R212" i="178"/>
  <c r="Q208" i="178"/>
  <c r="Q205" i="178"/>
  <c r="R209" i="178"/>
  <c r="M207" i="178"/>
  <c r="Q204" i="178"/>
  <c r="M200" i="178"/>
  <c r="R199" i="178"/>
  <c r="GN222" i="178"/>
  <c r="M205" i="178"/>
  <c r="P199" i="178"/>
  <c r="FD222" i="178"/>
  <c r="EX222" i="178"/>
  <c r="R206" i="178"/>
  <c r="R208" i="178"/>
  <c r="Q200" i="178"/>
  <c r="R195" i="178"/>
  <c r="P194" i="178"/>
  <c r="M193" i="178"/>
  <c r="M208" i="178"/>
  <c r="R198" i="178"/>
  <c r="Q197" i="178"/>
  <c r="P195" i="178"/>
  <c r="R205" i="178"/>
  <c r="R196" i="178"/>
  <c r="Q191" i="178"/>
  <c r="R211" i="178"/>
  <c r="P205" i="178"/>
  <c r="R201" i="178"/>
  <c r="M197" i="178"/>
  <c r="Q196" i="178"/>
  <c r="M195" i="178"/>
  <c r="M201" i="178"/>
  <c r="R190" i="178"/>
  <c r="P189" i="178"/>
  <c r="BX222" i="178"/>
  <c r="AN222" i="178"/>
  <c r="R200" i="178"/>
  <c r="M199" i="178"/>
  <c r="P192" i="178"/>
  <c r="Q201" i="178"/>
  <c r="Q195" i="178"/>
  <c r="P193" i="178"/>
  <c r="M192" i="178"/>
  <c r="R189" i="178"/>
  <c r="L212" i="178"/>
  <c r="Q199" i="178"/>
  <c r="Q193" i="178"/>
  <c r="M191" i="178"/>
  <c r="R185" i="178"/>
  <c r="R197" i="178"/>
  <c r="M196" i="178"/>
  <c r="Q194" i="178"/>
  <c r="Q181" i="178"/>
  <c r="M179" i="178"/>
  <c r="R178" i="178"/>
  <c r="P176" i="178"/>
  <c r="Q173" i="178"/>
  <c r="DN222" i="178"/>
  <c r="R191" i="178"/>
  <c r="R187" i="178"/>
  <c r="M209" i="178"/>
  <c r="R192" i="178"/>
  <c r="M188" i="178"/>
  <c r="Q187" i="178"/>
  <c r="Q177" i="178"/>
  <c r="P172" i="178"/>
  <c r="Q192" i="178"/>
  <c r="P187" i="178"/>
  <c r="L180" i="178"/>
  <c r="R179" i="178"/>
  <c r="P177" i="178"/>
  <c r="M175" i="178"/>
  <c r="R174" i="178"/>
  <c r="L170" i="178"/>
  <c r="R169" i="178"/>
  <c r="M187" i="178"/>
  <c r="L181" i="178"/>
  <c r="R176" i="178"/>
  <c r="Q175" i="178"/>
  <c r="P198" i="178"/>
  <c r="R194" i="178"/>
  <c r="Q189" i="178"/>
  <c r="R186" i="178"/>
  <c r="M189" i="178"/>
  <c r="Q180" i="178"/>
  <c r="Q179" i="178"/>
  <c r="P200" i="178"/>
  <c r="P190" i="178"/>
  <c r="M210" i="178"/>
  <c r="Q207" i="178"/>
  <c r="R204" i="178"/>
  <c r="M190" i="178"/>
  <c r="P204" i="178"/>
  <c r="R188" i="178"/>
  <c r="Q185" i="178"/>
  <c r="Q188" i="178"/>
  <c r="P185" i="178"/>
  <c r="P178" i="178"/>
  <c r="Q165" i="178"/>
  <c r="R173" i="178"/>
  <c r="M178" i="178"/>
  <c r="P173" i="178"/>
  <c r="M198" i="178"/>
  <c r="M185" i="178"/>
  <c r="R181" i="178"/>
  <c r="R180" i="178"/>
  <c r="Q176" i="178"/>
  <c r="R175" i="178"/>
  <c r="L172" i="178"/>
  <c r="P171" i="178"/>
  <c r="R207" i="178"/>
  <c r="P186" i="178"/>
  <c r="M176" i="178"/>
  <c r="L171" i="178"/>
  <c r="P170" i="178"/>
  <c r="R168" i="178"/>
  <c r="AZ222" i="178"/>
  <c r="M186" i="178"/>
  <c r="R177" i="178"/>
  <c r="Q172" i="178"/>
  <c r="P169" i="178"/>
  <c r="L167" i="178"/>
  <c r="L166" i="178"/>
  <c r="L164" i="178"/>
  <c r="R163" i="178"/>
  <c r="M177" i="178"/>
  <c r="P197" i="178"/>
  <c r="M173" i="178"/>
  <c r="L169" i="178"/>
  <c r="Q178" i="178"/>
  <c r="Q169" i="178"/>
  <c r="Q168" i="178"/>
  <c r="Q166" i="178"/>
  <c r="Q164" i="178"/>
  <c r="L163" i="178"/>
  <c r="M156" i="178"/>
  <c r="R155" i="178"/>
  <c r="L151" i="178"/>
  <c r="R150" i="178"/>
  <c r="P148" i="178"/>
  <c r="P143" i="178"/>
  <c r="L141" i="178"/>
  <c r="R140" i="178"/>
  <c r="P168" i="178"/>
  <c r="R167" i="178"/>
  <c r="P158" i="178"/>
  <c r="Q190" i="178"/>
  <c r="Q167" i="178"/>
  <c r="R165" i="178"/>
  <c r="R160" i="178"/>
  <c r="P155" i="178"/>
  <c r="P179" i="178"/>
  <c r="L168" i="178"/>
  <c r="P167" i="178"/>
  <c r="P165" i="178"/>
  <c r="R161" i="178"/>
  <c r="Q160" i="178"/>
  <c r="Q174" i="178"/>
  <c r="Q161" i="178"/>
  <c r="P160" i="178"/>
  <c r="M158" i="178"/>
  <c r="R157" i="178"/>
  <c r="P152" i="178"/>
  <c r="Q147" i="178"/>
  <c r="L174" i="178"/>
  <c r="R170" i="178"/>
  <c r="P161" i="178"/>
  <c r="R171" i="178"/>
  <c r="Q162" i="178"/>
  <c r="L161" i="178"/>
  <c r="L160" i="178"/>
  <c r="R159" i="178"/>
  <c r="P196" i="178"/>
  <c r="Q171" i="178"/>
  <c r="Q163" i="178"/>
  <c r="P163" i="178"/>
  <c r="L162" i="178"/>
  <c r="P188" i="178"/>
  <c r="R172" i="178"/>
  <c r="R166" i="178"/>
  <c r="R164" i="178"/>
  <c r="M159" i="178"/>
  <c r="R158" i="178"/>
  <c r="P153" i="178"/>
  <c r="Q148" i="178"/>
  <c r="P156" i="178"/>
  <c r="Q151" i="178"/>
  <c r="L144" i="178"/>
  <c r="P140" i="178"/>
  <c r="P131" i="178"/>
  <c r="P157" i="178"/>
  <c r="L155" i="178"/>
  <c r="M153" i="178"/>
  <c r="P151" i="178"/>
  <c r="R146" i="178"/>
  <c r="L165" i="178"/>
  <c r="R149" i="178"/>
  <c r="L148" i="178"/>
  <c r="Q146" i="178"/>
  <c r="L145" i="178"/>
  <c r="Q149" i="178"/>
  <c r="P146" i="178"/>
  <c r="M157" i="178"/>
  <c r="R154" i="178"/>
  <c r="R152" i="178"/>
  <c r="P149" i="178"/>
  <c r="L146" i="178"/>
  <c r="P142" i="178"/>
  <c r="P154" i="178"/>
  <c r="Q152" i="178"/>
  <c r="Q150" i="178"/>
  <c r="M149" i="178"/>
  <c r="P147" i="178"/>
  <c r="L154" i="178"/>
  <c r="M152" i="178"/>
  <c r="P150" i="178"/>
  <c r="R144" i="178"/>
  <c r="R162" i="178"/>
  <c r="P159" i="178"/>
  <c r="R153" i="178"/>
  <c r="L150" i="178"/>
  <c r="L147" i="178"/>
  <c r="Q170" i="178"/>
  <c r="R156" i="178"/>
  <c r="Q155" i="178"/>
  <c r="Q153" i="178"/>
  <c r="R151" i="178"/>
  <c r="R148" i="178"/>
  <c r="P145" i="178"/>
  <c r="L143" i="178"/>
  <c r="P136" i="178"/>
  <c r="P133" i="178"/>
  <c r="R132" i="178"/>
  <c r="L130" i="178"/>
  <c r="R129" i="178"/>
  <c r="M122" i="178"/>
  <c r="R121" i="178"/>
  <c r="M117" i="178"/>
  <c r="R116" i="178"/>
  <c r="R142" i="178"/>
  <c r="L139" i="178"/>
  <c r="P129" i="178"/>
  <c r="R141" i="178"/>
  <c r="L140" i="178"/>
  <c r="M136" i="178"/>
  <c r="R135" i="178"/>
  <c r="L133" i="178"/>
  <c r="P132" i="178"/>
  <c r="Q126" i="178"/>
  <c r="P144" i="178"/>
  <c r="P141" i="178"/>
  <c r="P135" i="178"/>
  <c r="M129" i="178"/>
  <c r="R128" i="178"/>
  <c r="P123" i="178"/>
  <c r="P118" i="178"/>
  <c r="R147" i="178"/>
  <c r="M142" i="178"/>
  <c r="R138" i="178"/>
  <c r="L132" i="178"/>
  <c r="Q145" i="178"/>
  <c r="P138" i="178"/>
  <c r="Q137" i="178"/>
  <c r="R134" i="178"/>
  <c r="P137" i="178"/>
  <c r="P134" i="178"/>
  <c r="R130" i="178"/>
  <c r="M138" i="178"/>
  <c r="R143" i="178"/>
  <c r="R139" i="178"/>
  <c r="M137" i="178"/>
  <c r="L134" i="178"/>
  <c r="Q143" i="178"/>
  <c r="P139" i="178"/>
  <c r="R136" i="178"/>
  <c r="R133" i="178"/>
  <c r="P124" i="178"/>
  <c r="P119" i="178"/>
  <c r="Q112" i="178"/>
  <c r="M111" i="178"/>
  <c r="Q107" i="178"/>
  <c r="L105" i="178"/>
  <c r="R104" i="178"/>
  <c r="P102" i="178"/>
  <c r="Q97" i="178"/>
  <c r="M93" i="178"/>
  <c r="R92" i="178"/>
  <c r="L135" i="178"/>
  <c r="M121" i="178"/>
  <c r="M120" i="178"/>
  <c r="R113" i="178"/>
  <c r="P107" i="178"/>
  <c r="R145" i="178"/>
  <c r="R127" i="178"/>
  <c r="R126" i="178"/>
  <c r="R124" i="178"/>
  <c r="R122" i="178"/>
  <c r="R114" i="178"/>
  <c r="Q113" i="178"/>
  <c r="P104" i="178"/>
  <c r="P127" i="178"/>
  <c r="P126" i="178"/>
  <c r="Q122" i="178"/>
  <c r="Q114" i="178"/>
  <c r="L112" i="178"/>
  <c r="R108" i="178"/>
  <c r="L102" i="178"/>
  <c r="R137" i="178"/>
  <c r="L127" i="178"/>
  <c r="L124" i="178"/>
  <c r="P122" i="178"/>
  <c r="R119" i="178"/>
  <c r="P114" i="178"/>
  <c r="Q108" i="178"/>
  <c r="L107" i="178"/>
  <c r="R106" i="178"/>
  <c r="Q101" i="178"/>
  <c r="L97" i="178"/>
  <c r="R96" i="178"/>
  <c r="P94" i="178"/>
  <c r="L92" i="178"/>
  <c r="R91" i="178"/>
  <c r="Q128" i="178"/>
  <c r="M126" i="178"/>
  <c r="R125" i="178"/>
  <c r="Q119" i="178"/>
  <c r="R118" i="178"/>
  <c r="R115" i="178"/>
  <c r="L113" i="178"/>
  <c r="R109" i="178"/>
  <c r="Q106" i="178"/>
  <c r="R123" i="178"/>
  <c r="M119" i="178"/>
  <c r="P116" i="178"/>
  <c r="R110" i="178"/>
  <c r="Q138" i="178"/>
  <c r="P130" i="178"/>
  <c r="M128" i="178"/>
  <c r="Q123" i="178"/>
  <c r="R117" i="178"/>
  <c r="Q110" i="178"/>
  <c r="M125" i="178"/>
  <c r="R120" i="178"/>
  <c r="M118" i="178"/>
  <c r="Q117" i="178"/>
  <c r="L115" i="178"/>
  <c r="R111" i="178"/>
  <c r="R131" i="178"/>
  <c r="Q121" i="178"/>
  <c r="P120" i="178"/>
  <c r="P117" i="178"/>
  <c r="L116" i="178"/>
  <c r="Q111" i="178"/>
  <c r="L131" i="178"/>
  <c r="M123" i="178"/>
  <c r="P121" i="178"/>
  <c r="R112" i="178"/>
  <c r="L110" i="178"/>
  <c r="R107" i="178"/>
  <c r="Q118" i="178"/>
  <c r="L100" i="178"/>
  <c r="Q99" i="178"/>
  <c r="Q94" i="178"/>
  <c r="M89" i="178"/>
  <c r="R88" i="178"/>
  <c r="P86" i="178"/>
  <c r="P78" i="178"/>
  <c r="Q73" i="178"/>
  <c r="L67" i="178"/>
  <c r="M65" i="178"/>
  <c r="L63" i="178"/>
  <c r="M61" i="178"/>
  <c r="P128" i="178"/>
  <c r="L114" i="178"/>
  <c r="M108" i="178"/>
  <c r="Q104" i="178"/>
  <c r="M103" i="178"/>
  <c r="P99" i="178"/>
  <c r="R98" i="178"/>
  <c r="M95" i="178"/>
  <c r="R93" i="178"/>
  <c r="L91" i="178"/>
  <c r="Q88" i="178"/>
  <c r="L84" i="178"/>
  <c r="R83" i="178"/>
  <c r="P125" i="178"/>
  <c r="M104" i="178"/>
  <c r="Q98" i="178"/>
  <c r="Q93" i="178"/>
  <c r="P88" i="178"/>
  <c r="Q83" i="178"/>
  <c r="M99" i="178"/>
  <c r="P98" i="178"/>
  <c r="M94" i="178"/>
  <c r="P93" i="178"/>
  <c r="M86" i="178"/>
  <c r="R85" i="178"/>
  <c r="P115" i="178"/>
  <c r="Q109" i="178"/>
  <c r="Q85" i="178"/>
  <c r="Q77" i="178"/>
  <c r="M73" i="178"/>
  <c r="R72" i="178"/>
  <c r="P70" i="178"/>
  <c r="P68" i="178"/>
  <c r="Q116" i="178"/>
  <c r="M109" i="178"/>
  <c r="L106" i="178"/>
  <c r="R97" i="178"/>
  <c r="M88" i="178"/>
  <c r="R87" i="178"/>
  <c r="P85" i="178"/>
  <c r="L83" i="178"/>
  <c r="R82" i="178"/>
  <c r="M80" i="178"/>
  <c r="P101" i="178"/>
  <c r="Q96" i="178"/>
  <c r="R89" i="178"/>
  <c r="P87" i="178"/>
  <c r="R105" i="178"/>
  <c r="R103" i="178"/>
  <c r="R100" i="178"/>
  <c r="P96" i="178"/>
  <c r="Q89" i="178"/>
  <c r="M85" i="178"/>
  <c r="R84" i="178"/>
  <c r="Q105" i="178"/>
  <c r="Q103" i="178"/>
  <c r="R102" i="178"/>
  <c r="Q100" i="178"/>
  <c r="R95" i="178"/>
  <c r="P89" i="178"/>
  <c r="P103" i="178"/>
  <c r="Q102" i="178"/>
  <c r="L101" i="178"/>
  <c r="P100" i="178"/>
  <c r="Q95" i="178"/>
  <c r="Q91" i="178"/>
  <c r="M87" i="178"/>
  <c r="R86" i="178"/>
  <c r="P84" i="178"/>
  <c r="R99" i="178"/>
  <c r="L96" i="178"/>
  <c r="P95" i="178"/>
  <c r="R94" i="178"/>
  <c r="Q86" i="178"/>
  <c r="Q78" i="178"/>
  <c r="M74" i="178"/>
  <c r="R73" i="178"/>
  <c r="Q84" i="178"/>
  <c r="R75" i="178"/>
  <c r="Q69" i="178"/>
  <c r="L59" i="178"/>
  <c r="L57" i="178"/>
  <c r="L55" i="178"/>
  <c r="L53" i="178"/>
  <c r="L51" i="178"/>
  <c r="L49" i="178"/>
  <c r="L47" i="178"/>
  <c r="Q75" i="178"/>
  <c r="P69" i="178"/>
  <c r="R67" i="178"/>
  <c r="M66" i="178"/>
  <c r="R58" i="178"/>
  <c r="R56" i="178"/>
  <c r="R80" i="178"/>
  <c r="M77" i="178"/>
  <c r="P75" i="178"/>
  <c r="L72" i="178"/>
  <c r="M69" i="178"/>
  <c r="Q67" i="178"/>
  <c r="R60" i="178"/>
  <c r="Q58" i="178"/>
  <c r="Q80" i="178"/>
  <c r="R78" i="178"/>
  <c r="R70" i="178"/>
  <c r="P67" i="178"/>
  <c r="R61" i="178"/>
  <c r="Q60" i="178"/>
  <c r="P58" i="178"/>
  <c r="P56" i="178"/>
  <c r="P54" i="178"/>
  <c r="P97" i="178"/>
  <c r="Q82" i="178"/>
  <c r="L75" i="178"/>
  <c r="P73" i="178"/>
  <c r="Q70" i="178"/>
  <c r="R62" i="178"/>
  <c r="Q61" i="178"/>
  <c r="P60" i="178"/>
  <c r="M82" i="178"/>
  <c r="R76" i="178"/>
  <c r="R63" i="178"/>
  <c r="Q62" i="178"/>
  <c r="P61" i="178"/>
  <c r="R101" i="178"/>
  <c r="Q81" i="178"/>
  <c r="Q79" i="178"/>
  <c r="P76" i="178"/>
  <c r="R74" i="178"/>
  <c r="L70" i="178"/>
  <c r="Q68" i="178"/>
  <c r="R65" i="178"/>
  <c r="Q64" i="178"/>
  <c r="P63" i="178"/>
  <c r="L60" i="178"/>
  <c r="R59" i="178"/>
  <c r="R57" i="178"/>
  <c r="R55" i="178"/>
  <c r="L98" i="178"/>
  <c r="Q92" i="178"/>
  <c r="L81" i="178"/>
  <c r="P79" i="178"/>
  <c r="L76" i="178"/>
  <c r="Q74" i="178"/>
  <c r="Q65" i="178"/>
  <c r="P64" i="178"/>
  <c r="Q59" i="178"/>
  <c r="P74" i="178"/>
  <c r="R71" i="178"/>
  <c r="R66" i="178"/>
  <c r="P65" i="178"/>
  <c r="R77" i="178"/>
  <c r="Q72" i="178"/>
  <c r="Q71" i="178"/>
  <c r="M68" i="178"/>
  <c r="Q66" i="178"/>
  <c r="M79" i="178"/>
  <c r="P77" i="178"/>
  <c r="P72" i="178"/>
  <c r="L71" i="178"/>
  <c r="R69" i="178"/>
  <c r="P66" i="178"/>
  <c r="M64" i="178"/>
  <c r="CK45" i="178"/>
  <c r="R47" i="178"/>
  <c r="P51" i="178"/>
  <c r="Q57" i="178"/>
  <c r="P59" i="178"/>
  <c r="P62" i="178"/>
  <c r="L46" i="178"/>
  <c r="P48" i="178"/>
  <c r="BO48" i="178"/>
  <c r="Q51" i="178"/>
  <c r="DX51" i="178"/>
  <c r="M52" i="178"/>
  <c r="R68" i="178"/>
  <c r="P46" i="178"/>
  <c r="R48" i="178"/>
  <c r="P52" i="178"/>
  <c r="L54" i="178"/>
  <c r="P55" i="178"/>
  <c r="GU249" i="178"/>
  <c r="FW249" i="178"/>
  <c r="EY249" i="178"/>
  <c r="EA249" i="178"/>
  <c r="GE249" i="178"/>
  <c r="EI249" i="178"/>
  <c r="EO249" i="178"/>
  <c r="GI249" i="178"/>
  <c r="EM249" i="178"/>
  <c r="BG249" i="178"/>
  <c r="GC249" i="178"/>
  <c r="DK249" i="178"/>
  <c r="AU249" i="178"/>
  <c r="DI249" i="178"/>
  <c r="AB249" i="178"/>
  <c r="FK249" i="178"/>
  <c r="HC249" i="178"/>
  <c r="BO249" i="178"/>
  <c r="HA249" i="178"/>
  <c r="EC249" i="178"/>
  <c r="BM249" i="178"/>
  <c r="BS249" i="178"/>
  <c r="U249" i="178"/>
  <c r="FA249" i="178"/>
  <c r="DO249" i="178"/>
  <c r="BU249" i="178"/>
  <c r="CG249" i="178"/>
  <c r="Q46" i="178"/>
  <c r="Q52" i="178"/>
  <c r="Q54" i="178"/>
  <c r="Q55" i="178"/>
  <c r="P45" i="178"/>
  <c r="R46" i="178"/>
  <c r="P49" i="178"/>
  <c r="R52" i="178"/>
  <c r="R54" i="178"/>
  <c r="Q63" i="178"/>
  <c r="R64" i="178"/>
  <c r="R79" i="178"/>
  <c r="Q45" i="178"/>
  <c r="Q49" i="178"/>
  <c r="L50" i="178"/>
  <c r="Q76" i="178"/>
  <c r="Q87" i="178"/>
  <c r="R49" i="178"/>
  <c r="P53" i="178"/>
  <c r="L56" i="178"/>
  <c r="R45" i="178"/>
  <c r="M44" i="178"/>
  <c r="P50" i="178"/>
  <c r="Q53" i="178"/>
  <c r="Q56" i="178"/>
  <c r="U90" i="178"/>
  <c r="U182" i="178"/>
  <c r="U183" i="178"/>
  <c r="U184" i="178"/>
  <c r="CH249" i="178"/>
  <c r="CH244" i="178"/>
  <c r="V247" i="178"/>
  <c r="V253" i="178"/>
  <c r="BH244" i="178"/>
  <c r="BH237" i="178"/>
  <c r="EB244" i="178"/>
  <c r="EB237" i="178"/>
  <c r="EE249" i="178"/>
  <c r="BC249" i="178"/>
  <c r="BQ249" i="178"/>
  <c r="DP244" i="178"/>
  <c r="DP237" i="178"/>
  <c r="CK249" i="178"/>
  <c r="FE249" i="178"/>
  <c r="FS249" i="178"/>
  <c r="GG249" i="178"/>
  <c r="GG237" i="178"/>
  <c r="BN244" i="178"/>
  <c r="BN237" i="178"/>
  <c r="FX244" i="178"/>
  <c r="FX237" i="178"/>
  <c r="FU249" i="178"/>
  <c r="GX249" i="178"/>
  <c r="DR249" i="178"/>
  <c r="CM249" i="178"/>
  <c r="FG249" i="178"/>
  <c r="BJ244" i="178"/>
  <c r="EG249" i="178"/>
  <c r="ET249" i="178"/>
  <c r="CC249" i="178"/>
  <c r="DF249" i="178"/>
  <c r="DF244" i="178"/>
  <c r="GL249" i="178"/>
  <c r="FU237" i="178"/>
  <c r="GX244" i="178"/>
  <c r="BP249" i="178"/>
  <c r="DG249" i="178"/>
  <c r="DR244" i="178"/>
  <c r="V249" i="178"/>
  <c r="BD249" i="178"/>
  <c r="BD237" i="178"/>
  <c r="BB244" i="178"/>
  <c r="BB237" i="178"/>
  <c r="DD244" i="178"/>
  <c r="DD237" i="178"/>
  <c r="GV244" i="178"/>
  <c r="GV237" i="178"/>
  <c r="U248" i="178"/>
  <c r="BI249" i="178"/>
  <c r="FL244" i="178"/>
  <c r="FL237" i="178"/>
  <c r="FY249" i="178"/>
  <c r="AN249" i="178"/>
  <c r="AN253" i="178"/>
  <c r="DL249" i="178"/>
  <c r="DL237" i="178"/>
  <c r="DY249" i="178"/>
  <c r="CQ249" i="178"/>
  <c r="DE249" i="178"/>
  <c r="HB249" i="178"/>
  <c r="CY249" i="178"/>
  <c r="CF237" i="178"/>
  <c r="CN244" i="178"/>
  <c r="CK237" i="178"/>
  <c r="DY237" i="178"/>
  <c r="DL244" i="178"/>
  <c r="BK249" i="178"/>
  <c r="FQ249" i="178"/>
  <c r="GS249" i="178"/>
  <c r="HE249" i="178"/>
  <c r="BT244" i="178"/>
  <c r="BT237" i="178"/>
  <c r="GU237" i="178"/>
  <c r="ED249" i="178"/>
  <c r="EQ249" i="178"/>
  <c r="FR249" i="178"/>
  <c r="FR237" i="178"/>
  <c r="GF249" i="178"/>
  <c r="CQ237" i="178"/>
  <c r="AV244" i="178"/>
  <c r="AV237" i="178"/>
  <c r="GJ244" i="178"/>
  <c r="GJ237" i="178"/>
  <c r="DA237" i="178"/>
  <c r="DS249" i="178"/>
  <c r="ES249" i="178"/>
  <c r="FF249" i="178"/>
  <c r="FF237" i="178"/>
  <c r="FT249" i="178"/>
  <c r="CM244" i="178"/>
  <c r="EN244" i="178"/>
  <c r="EN237" i="178"/>
  <c r="BP244" i="178"/>
  <c r="EV237" i="178"/>
  <c r="BE249" i="178"/>
  <c r="CU249" i="178"/>
  <c r="AW249" i="178"/>
  <c r="DC249" i="178"/>
  <c r="DQ249" i="178"/>
  <c r="GK249" i="178"/>
  <c r="AX249" i="178"/>
  <c r="BY249" i="178"/>
  <c r="CL249" i="178"/>
  <c r="GQ249" i="178"/>
  <c r="AU244" i="178"/>
  <c r="BG244" i="178"/>
  <c r="BS244" i="178"/>
  <c r="BS237" i="178"/>
  <c r="CE244" i="178"/>
  <c r="CE237" i="178"/>
  <c r="CQ244" i="178"/>
  <c r="DC244" i="178"/>
  <c r="EA244" i="178"/>
  <c r="EA237" i="178"/>
  <c r="EY244" i="178"/>
  <c r="EY237" i="178"/>
  <c r="FW244" i="178"/>
  <c r="GU244" i="178"/>
  <c r="GL244" i="178"/>
  <c r="AY249" i="178"/>
  <c r="GD249" i="178"/>
  <c r="GR249" i="178"/>
  <c r="EM237" i="178"/>
  <c r="U253" i="178"/>
  <c r="U247" i="178"/>
  <c r="BA244" i="178"/>
  <c r="BA237" i="178"/>
  <c r="BM244" i="178"/>
  <c r="BM237" i="178"/>
  <c r="CK244" i="178"/>
  <c r="DI244" i="178"/>
  <c r="DI237" i="178"/>
  <c r="EG244" i="178"/>
  <c r="EG237" i="178"/>
  <c r="ES244" i="178"/>
  <c r="FE244" i="178"/>
  <c r="FQ244" i="178"/>
  <c r="GO244" i="178"/>
  <c r="GO237" i="178"/>
  <c r="AH249" i="178"/>
  <c r="CT249" i="178"/>
  <c r="DU249" i="178"/>
  <c r="EH249" i="178"/>
  <c r="EU249" i="178"/>
  <c r="FH249" i="178"/>
  <c r="GY249" i="178"/>
  <c r="BO237" i="178"/>
  <c r="CW237" i="178"/>
  <c r="AB247" i="178"/>
  <c r="BC244" i="178"/>
  <c r="CA244" i="178"/>
  <c r="CM237" i="178"/>
  <c r="DK244" i="178"/>
  <c r="DK237" i="178"/>
  <c r="DW244" i="178"/>
  <c r="FG244" i="178"/>
  <c r="FS244" i="178"/>
  <c r="FS237" i="178"/>
  <c r="GE237" i="178"/>
  <c r="GQ244" i="178"/>
  <c r="CW249" i="178"/>
  <c r="DJ249" i="178"/>
  <c r="DJ237" i="178"/>
  <c r="DW249" i="178"/>
  <c r="EJ249" i="178"/>
  <c r="EW249" i="178"/>
  <c r="GM249" i="178"/>
  <c r="BY237" i="178"/>
  <c r="CY237" i="178"/>
  <c r="EH237" i="178"/>
  <c r="GQ237" i="178"/>
  <c r="BD244" i="178"/>
  <c r="CB244" i="178"/>
  <c r="EV244" i="178"/>
  <c r="FT244" i="178"/>
  <c r="GR244" i="178"/>
  <c r="AB248" i="178"/>
  <c r="BJ249" i="178"/>
  <c r="BW249" i="178"/>
  <c r="CX249" i="178"/>
  <c r="DX249" i="178"/>
  <c r="EK249" i="178"/>
  <c r="FZ249" i="178"/>
  <c r="FK237" i="178"/>
  <c r="CE249" i="178"/>
  <c r="CS249" i="178"/>
  <c r="FM249" i="178"/>
  <c r="AX237" i="178"/>
  <c r="BJ237" i="178"/>
  <c r="BV237" i="178"/>
  <c r="CH237" i="178"/>
  <c r="CT237" i="178"/>
  <c r="DF237" i="178"/>
  <c r="DR237" i="178"/>
  <c r="ED237" i="178"/>
  <c r="EP237" i="178"/>
  <c r="FB237" i="178"/>
  <c r="FN237" i="178"/>
  <c r="FZ237" i="178"/>
  <c r="GL237" i="178"/>
  <c r="GX237" i="178"/>
  <c r="BA249" i="178"/>
  <c r="BN249" i="178"/>
  <c r="CA249" i="178"/>
  <c r="CN249" i="178"/>
  <c r="DA249" i="178"/>
  <c r="FB249" i="178"/>
  <c r="FO249" i="178"/>
  <c r="GO249" i="178"/>
  <c r="AY244" i="178"/>
  <c r="AY237" i="178"/>
  <c r="BK244" i="178"/>
  <c r="BK237" i="178"/>
  <c r="BW244" i="178"/>
  <c r="BW237" i="178"/>
  <c r="CI244" i="178"/>
  <c r="CI237" i="178"/>
  <c r="CU244" i="178"/>
  <c r="CU237" i="178"/>
  <c r="DG244" i="178"/>
  <c r="DG237" i="178"/>
  <c r="DS244" i="178"/>
  <c r="DS237" i="178"/>
  <c r="EE244" i="178"/>
  <c r="EE237" i="178"/>
  <c r="EQ244" i="178"/>
  <c r="EQ237" i="178"/>
  <c r="FC244" i="178"/>
  <c r="FC237" i="178"/>
  <c r="FO244" i="178"/>
  <c r="FO237" i="178"/>
  <c r="GA244" i="178"/>
  <c r="GA237" i="178"/>
  <c r="GM244" i="178"/>
  <c r="GM237" i="178"/>
  <c r="GY244" i="178"/>
  <c r="GY237" i="178"/>
  <c r="BB249" i="178"/>
  <c r="CB249" i="178"/>
  <c r="CO249" i="178"/>
  <c r="EP249" i="178"/>
  <c r="FC249" i="178"/>
  <c r="GP249" i="178"/>
  <c r="GP237" i="178"/>
  <c r="GW249" i="178"/>
  <c r="AN247" i="178"/>
  <c r="BE244" i="178"/>
  <c r="BQ244" i="178"/>
  <c r="CC244" i="178"/>
  <c r="CO244" i="178"/>
  <c r="DA244" i="178"/>
  <c r="DY244" i="178"/>
  <c r="EK244" i="178"/>
  <c r="EW244" i="178"/>
  <c r="FI244" i="178"/>
  <c r="FU244" i="178"/>
  <c r="GG244" i="178"/>
  <c r="GS244" i="178"/>
  <c r="AN248" i="178"/>
  <c r="BV249" i="178"/>
  <c r="CI249" i="178"/>
  <c r="DV249" i="178"/>
  <c r="EV249" i="178"/>
  <c r="FI249" i="178"/>
  <c r="DV237" i="178"/>
  <c r="FI237" i="178"/>
  <c r="HD249" i="178"/>
  <c r="AW237" i="178"/>
  <c r="AW244" i="178"/>
  <c r="BI237" i="178"/>
  <c r="BI244" i="178"/>
  <c r="BU237" i="178"/>
  <c r="BU244" i="178"/>
  <c r="CG237" i="178"/>
  <c r="CG244" i="178"/>
  <c r="CS237" i="178"/>
  <c r="CS244" i="178"/>
  <c r="DE237" i="178"/>
  <c r="DE244" i="178"/>
  <c r="DQ237" i="178"/>
  <c r="DQ244" i="178"/>
  <c r="EC237" i="178"/>
  <c r="EC244" i="178"/>
  <c r="EO237" i="178"/>
  <c r="EO244" i="178"/>
  <c r="FA237" i="178"/>
  <c r="FA244" i="178"/>
  <c r="FM237" i="178"/>
  <c r="FM244" i="178"/>
  <c r="FY237" i="178"/>
  <c r="FY244" i="178"/>
  <c r="GK237" i="178"/>
  <c r="GK244" i="178"/>
  <c r="GW237" i="178"/>
  <c r="GW244" i="178"/>
  <c r="BZ249" i="178"/>
  <c r="CZ249" i="178"/>
  <c r="DM249" i="178"/>
  <c r="FN249" i="178"/>
  <c r="GA249" i="178"/>
  <c r="BQ237" i="178"/>
  <c r="AV249" i="178"/>
  <c r="BH249" i="178"/>
  <c r="BT249" i="178"/>
  <c r="CF249" i="178"/>
  <c r="CR249" i="178"/>
  <c r="DD249" i="178"/>
  <c r="DP249" i="178"/>
  <c r="EB249" i="178"/>
  <c r="EN249" i="178"/>
  <c r="EZ249" i="178"/>
  <c r="FL249" i="178"/>
  <c r="FX249" i="178"/>
  <c r="GJ249" i="178"/>
  <c r="GV249" i="178"/>
  <c r="AH253" i="178"/>
  <c r="AH247" i="178"/>
  <c r="V248" i="178"/>
  <c r="BZ244" i="178"/>
  <c r="CL244" i="178"/>
  <c r="CX244" i="178"/>
  <c r="DJ244" i="178"/>
  <c r="DV244" i="178"/>
  <c r="EH244" i="178"/>
  <c r="ET244" i="178"/>
  <c r="FF244" i="178"/>
  <c r="FR244" i="178"/>
  <c r="GD244" i="178"/>
  <c r="GP244" i="178"/>
  <c r="AZ235" i="183" l="1"/>
  <c r="AZ236" i="183" s="1"/>
  <c r="GB249" i="183"/>
  <c r="AT243" i="179"/>
  <c r="EX249" i="179"/>
  <c r="AZ243" i="182"/>
  <c r="AT243" i="183"/>
  <c r="AZ240" i="180"/>
  <c r="AZ241" i="180" s="1"/>
  <c r="AT249" i="181"/>
  <c r="AT241" i="179"/>
  <c r="AZ235" i="180"/>
  <c r="AZ249" i="180" s="1"/>
  <c r="EF249" i="183"/>
  <c r="EX249" i="181"/>
  <c r="FJ249" i="183"/>
  <c r="ER249" i="179"/>
  <c r="GT249" i="183"/>
  <c r="DB249" i="183"/>
  <c r="AZ235" i="182"/>
  <c r="BF240" i="183"/>
  <c r="AZ241" i="183"/>
  <c r="EL249" i="183"/>
  <c r="BF235" i="183"/>
  <c r="DZ249" i="183"/>
  <c r="BF242" i="183"/>
  <c r="ER249" i="183"/>
  <c r="AT241" i="183"/>
  <c r="FD249" i="183"/>
  <c r="EX249" i="183"/>
  <c r="AT249" i="183"/>
  <c r="BF240" i="182"/>
  <c r="AZ241" i="182"/>
  <c r="BL243" i="182"/>
  <c r="BR242" i="182"/>
  <c r="BF243" i="182"/>
  <c r="AT241" i="182"/>
  <c r="AZ241" i="181"/>
  <c r="BF240" i="181"/>
  <c r="ER249" i="181"/>
  <c r="DN249" i="181"/>
  <c r="AZ235" i="181"/>
  <c r="FP249" i="181"/>
  <c r="AZ242" i="181"/>
  <c r="FJ249" i="181"/>
  <c r="AN251" i="181"/>
  <c r="AT236" i="181"/>
  <c r="GB249" i="181"/>
  <c r="AZ233" i="180"/>
  <c r="BF242" i="180"/>
  <c r="AZ241" i="179"/>
  <c r="BF240" i="179"/>
  <c r="AZ243" i="179"/>
  <c r="BF242" i="179"/>
  <c r="GB249" i="179"/>
  <c r="AN251" i="179"/>
  <c r="AZ224" i="180"/>
  <c r="BF224" i="180" s="1"/>
  <c r="AZ224" i="182"/>
  <c r="BF224" i="182" s="1"/>
  <c r="DS234" i="182"/>
  <c r="BK234" i="182"/>
  <c r="DT228" i="180"/>
  <c r="GB228" i="182"/>
  <c r="HE243" i="180"/>
  <c r="HD243" i="180"/>
  <c r="HC243" i="180"/>
  <c r="HB243" i="180"/>
  <c r="HA243" i="180"/>
  <c r="EW234" i="183"/>
  <c r="CI234" i="183"/>
  <c r="GB223" i="179"/>
  <c r="FJ253" i="183"/>
  <c r="FJ247" i="183"/>
  <c r="FJ237" i="183"/>
  <c r="FJ244" i="183"/>
  <c r="BE234" i="182"/>
  <c r="BF228" i="182"/>
  <c r="BC234" i="182"/>
  <c r="AT228" i="183"/>
  <c r="AT229" i="183" s="1"/>
  <c r="AN231" i="182"/>
  <c r="EF244" i="183"/>
  <c r="EF253" i="183"/>
  <c r="EF247" i="183"/>
  <c r="EF237" i="183"/>
  <c r="BX234" i="179"/>
  <c r="BI234" i="183"/>
  <c r="CI234" i="179"/>
  <c r="CJ228" i="179"/>
  <c r="BL223" i="181"/>
  <c r="BX223" i="181"/>
  <c r="FV249" i="183"/>
  <c r="BR223" i="183"/>
  <c r="CN234" i="183"/>
  <c r="CP231" i="183"/>
  <c r="FD237" i="181"/>
  <c r="FD244" i="181"/>
  <c r="FD253" i="181"/>
  <c r="FD247" i="181"/>
  <c r="BP234" i="181"/>
  <c r="BR231" i="181"/>
  <c r="GZ253" i="179"/>
  <c r="GZ247" i="179"/>
  <c r="GZ237" i="179"/>
  <c r="GZ244" i="179"/>
  <c r="AZ24" i="179"/>
  <c r="BC234" i="181"/>
  <c r="EU234" i="181"/>
  <c r="BL223" i="182"/>
  <c r="EX234" i="183"/>
  <c r="BR234" i="183"/>
  <c r="FD244" i="183"/>
  <c r="FD253" i="183"/>
  <c r="FD247" i="183"/>
  <c r="FD237" i="183"/>
  <c r="ER237" i="181"/>
  <c r="ER244" i="181"/>
  <c r="ER253" i="181"/>
  <c r="ER247" i="181"/>
  <c r="BF223" i="183"/>
  <c r="CC234" i="181"/>
  <c r="AY234" i="181"/>
  <c r="GB228" i="181"/>
  <c r="CI234" i="181"/>
  <c r="BQ234" i="181"/>
  <c r="AT228" i="181"/>
  <c r="AT229" i="181" s="1"/>
  <c r="AX234" i="181"/>
  <c r="AZ231" i="181"/>
  <c r="HE243" i="182"/>
  <c r="HD243" i="182"/>
  <c r="HC243" i="182"/>
  <c r="HB243" i="182"/>
  <c r="HA243" i="182"/>
  <c r="DZ237" i="181"/>
  <c r="DZ253" i="181"/>
  <c r="DZ244" i="181"/>
  <c r="DZ247" i="181"/>
  <c r="DZ250" i="181" s="1"/>
  <c r="BW234" i="183"/>
  <c r="BX228" i="183"/>
  <c r="GB234" i="179"/>
  <c r="GN249" i="181"/>
  <c r="CP223" i="182"/>
  <c r="DH249" i="183"/>
  <c r="DQ234" i="183"/>
  <c r="DR234" i="179"/>
  <c r="DT231" i="179"/>
  <c r="FZ234" i="179"/>
  <c r="GB231" i="179"/>
  <c r="BL223" i="180"/>
  <c r="BI234" i="180"/>
  <c r="EX244" i="179"/>
  <c r="EX247" i="179"/>
  <c r="EX250" i="179" s="1"/>
  <c r="EX253" i="179"/>
  <c r="EX237" i="179"/>
  <c r="BR223" i="179"/>
  <c r="BF228" i="183"/>
  <c r="BK234" i="183"/>
  <c r="DT228" i="183"/>
  <c r="AY234" i="183"/>
  <c r="CD234" i="181"/>
  <c r="CD223" i="183"/>
  <c r="EX223" i="183"/>
  <c r="BL231" i="180"/>
  <c r="BJ234" i="180"/>
  <c r="EF249" i="181"/>
  <c r="EV234" i="181"/>
  <c r="EX231" i="181"/>
  <c r="CH234" i="181"/>
  <c r="CJ231" i="181"/>
  <c r="GH249" i="183"/>
  <c r="FP237" i="181"/>
  <c r="FP253" i="181"/>
  <c r="FP247" i="181"/>
  <c r="FP250" i="181" s="1"/>
  <c r="FP244" i="181"/>
  <c r="CJ223" i="182"/>
  <c r="BO234" i="182"/>
  <c r="GH244" i="179"/>
  <c r="GH253" i="179"/>
  <c r="GH247" i="179"/>
  <c r="GH250" i="179" s="1"/>
  <c r="GH237" i="179"/>
  <c r="BU234" i="181"/>
  <c r="FY234" i="181"/>
  <c r="AN234" i="183"/>
  <c r="BR231" i="182"/>
  <c r="FZ234" i="182"/>
  <c r="GB231" i="182"/>
  <c r="DH253" i="183"/>
  <c r="DH244" i="183"/>
  <c r="DH237" i="183"/>
  <c r="DH247" i="183"/>
  <c r="CA234" i="183"/>
  <c r="CP231" i="179"/>
  <c r="AT223" i="179"/>
  <c r="AT224" i="179" s="1"/>
  <c r="AT234" i="181"/>
  <c r="CP223" i="183"/>
  <c r="FZ234" i="183"/>
  <c r="GB231" i="183"/>
  <c r="AN234" i="180"/>
  <c r="BX228" i="180"/>
  <c r="CJ234" i="183"/>
  <c r="BU234" i="182"/>
  <c r="AZ249" i="183"/>
  <c r="FP249" i="183"/>
  <c r="CB234" i="182"/>
  <c r="CD231" i="182"/>
  <c r="AT231" i="179"/>
  <c r="AT232" i="179" s="1"/>
  <c r="DN253" i="181"/>
  <c r="DN247" i="181"/>
  <c r="DN250" i="181" s="1"/>
  <c r="DN237" i="181"/>
  <c r="DN244" i="181"/>
  <c r="DB253" i="181"/>
  <c r="DB247" i="181"/>
  <c r="DB250" i="181" s="1"/>
  <c r="DB237" i="181"/>
  <c r="DB244" i="181"/>
  <c r="CP223" i="179"/>
  <c r="AW234" i="182"/>
  <c r="FP249" i="179"/>
  <c r="BL234" i="181"/>
  <c r="DT223" i="183"/>
  <c r="AN231" i="183"/>
  <c r="GB237" i="181"/>
  <c r="GB253" i="181"/>
  <c r="GB247" i="181"/>
  <c r="GB244" i="181"/>
  <c r="CB234" i="181"/>
  <c r="CD231" i="181"/>
  <c r="FV249" i="179"/>
  <c r="BX234" i="180"/>
  <c r="GZ248" i="179"/>
  <c r="V24" i="179"/>
  <c r="GB223" i="180"/>
  <c r="CM234" i="181"/>
  <c r="BO234" i="181"/>
  <c r="HE243" i="183"/>
  <c r="HB243" i="183"/>
  <c r="HA243" i="183"/>
  <c r="HD243" i="183"/>
  <c r="HC243" i="183"/>
  <c r="AZ234" i="183"/>
  <c r="GB234" i="183"/>
  <c r="CP234" i="179"/>
  <c r="HE243" i="179"/>
  <c r="HD243" i="179"/>
  <c r="HB243" i="179"/>
  <c r="HC243" i="179"/>
  <c r="HA243" i="179"/>
  <c r="AZ234" i="179"/>
  <c r="DT234" i="179"/>
  <c r="GT237" i="181"/>
  <c r="GT253" i="181"/>
  <c r="GT244" i="181"/>
  <c r="GT247" i="181"/>
  <c r="BL231" i="179"/>
  <c r="BJ234" i="179"/>
  <c r="CD231" i="179"/>
  <c r="CB234" i="179"/>
  <c r="CJ223" i="181"/>
  <c r="BF223" i="181"/>
  <c r="FV247" i="183"/>
  <c r="FV244" i="183"/>
  <c r="FV237" i="183"/>
  <c r="FV253" i="183"/>
  <c r="BF223" i="179"/>
  <c r="EX223" i="179"/>
  <c r="FJ249" i="179"/>
  <c r="GN253" i="179"/>
  <c r="GN247" i="179"/>
  <c r="GN237" i="179"/>
  <c r="GN244" i="179"/>
  <c r="GZ237" i="181"/>
  <c r="GZ244" i="181"/>
  <c r="GZ247" i="181"/>
  <c r="GZ253" i="181"/>
  <c r="AZ24" i="181"/>
  <c r="DS234" i="181"/>
  <c r="CJ234" i="181"/>
  <c r="DT234" i="181"/>
  <c r="GB223" i="183"/>
  <c r="BJ234" i="183"/>
  <c r="BL231" i="183"/>
  <c r="BD234" i="181"/>
  <c r="BF231" i="181"/>
  <c r="AN231" i="181"/>
  <c r="GT253" i="179"/>
  <c r="GT244" i="179"/>
  <c r="GT247" i="179"/>
  <c r="GT237" i="179"/>
  <c r="AZ228" i="179"/>
  <c r="BL228" i="180"/>
  <c r="BK234" i="180"/>
  <c r="GN249" i="183"/>
  <c r="BX234" i="183"/>
  <c r="CP231" i="182"/>
  <c r="DT249" i="183"/>
  <c r="DH237" i="181"/>
  <c r="DH253" i="181"/>
  <c r="DH247" i="181"/>
  <c r="DH244" i="181"/>
  <c r="CO234" i="182"/>
  <c r="CJ228" i="182"/>
  <c r="ER237" i="179"/>
  <c r="ER244" i="179"/>
  <c r="ER253" i="179"/>
  <c r="ER247" i="179"/>
  <c r="BF231" i="182"/>
  <c r="AT234" i="179"/>
  <c r="AT235" i="179" s="1"/>
  <c r="BF234" i="179"/>
  <c r="AW234" i="183"/>
  <c r="CG234" i="183"/>
  <c r="BF231" i="179"/>
  <c r="CD223" i="181"/>
  <c r="CD223" i="179"/>
  <c r="GZ249" i="181"/>
  <c r="CJ24" i="181"/>
  <c r="CB234" i="183"/>
  <c r="CD231" i="183"/>
  <c r="CH234" i="180"/>
  <c r="CJ231" i="180"/>
  <c r="BV234" i="181"/>
  <c r="BX231" i="181"/>
  <c r="FZ234" i="181"/>
  <c r="GB231" i="181"/>
  <c r="DT234" i="180"/>
  <c r="GA234" i="181"/>
  <c r="EL237" i="181"/>
  <c r="EL253" i="181"/>
  <c r="EL244" i="181"/>
  <c r="EL247" i="181"/>
  <c r="EL250" i="181" s="1"/>
  <c r="GH253" i="181"/>
  <c r="GH247" i="181"/>
  <c r="GH237" i="181"/>
  <c r="GH244" i="181"/>
  <c r="CA234" i="182"/>
  <c r="GN244" i="183"/>
  <c r="GN253" i="183"/>
  <c r="GN247" i="183"/>
  <c r="GN237" i="183"/>
  <c r="CP234" i="183"/>
  <c r="BK234" i="179"/>
  <c r="CN234" i="179"/>
  <c r="CD228" i="180"/>
  <c r="GZ249" i="183"/>
  <c r="CJ24" i="183"/>
  <c r="FP247" i="183"/>
  <c r="FP244" i="183"/>
  <c r="FP253" i="183"/>
  <c r="FP237" i="183"/>
  <c r="CH234" i="182"/>
  <c r="CJ231" i="182"/>
  <c r="BL234" i="179"/>
  <c r="GT247" i="183"/>
  <c r="GT250" i="183" s="1"/>
  <c r="GT237" i="183"/>
  <c r="GT253" i="183"/>
  <c r="GT244" i="183"/>
  <c r="BO234" i="183"/>
  <c r="FD249" i="179"/>
  <c r="AT223" i="181"/>
  <c r="AT224" i="181" s="1"/>
  <c r="DT223" i="181"/>
  <c r="DT223" i="179"/>
  <c r="AZ223" i="179"/>
  <c r="BR234" i="181"/>
  <c r="CP234" i="181"/>
  <c r="BL223" i="183"/>
  <c r="AT231" i="183"/>
  <c r="AT232" i="183" s="1"/>
  <c r="EF237" i="181"/>
  <c r="EF244" i="181"/>
  <c r="EF247" i="181"/>
  <c r="EF250" i="181" s="1"/>
  <c r="EF253" i="181"/>
  <c r="BK234" i="181"/>
  <c r="CO234" i="181"/>
  <c r="BX228" i="181"/>
  <c r="BE234" i="181"/>
  <c r="CN234" i="181"/>
  <c r="CP231" i="181"/>
  <c r="BI234" i="181"/>
  <c r="CD223" i="180"/>
  <c r="BF234" i="183"/>
  <c r="EX231" i="182"/>
  <c r="BR228" i="183"/>
  <c r="BQ234" i="183"/>
  <c r="AY234" i="179"/>
  <c r="EU234" i="180"/>
  <c r="DT244" i="183"/>
  <c r="DT237" i="183"/>
  <c r="DT253" i="183"/>
  <c r="DT247" i="183"/>
  <c r="AT231" i="182"/>
  <c r="AT232" i="182" s="1"/>
  <c r="CD234" i="179"/>
  <c r="EX234" i="179"/>
  <c r="GA234" i="180"/>
  <c r="CI234" i="180"/>
  <c r="CM234" i="183"/>
  <c r="EU234" i="183"/>
  <c r="BR231" i="179"/>
  <c r="BW234" i="179"/>
  <c r="BX228" i="179"/>
  <c r="BR223" i="181"/>
  <c r="GB223" i="181"/>
  <c r="GA234" i="183"/>
  <c r="CP228" i="183"/>
  <c r="CJ223" i="179"/>
  <c r="BX223" i="179"/>
  <c r="CC234" i="179"/>
  <c r="BL228" i="179"/>
  <c r="DS234" i="180"/>
  <c r="EX234" i="181"/>
  <c r="AZ234" i="181"/>
  <c r="DN253" i="183"/>
  <c r="DN247" i="183"/>
  <c r="DN244" i="183"/>
  <c r="DN237" i="183"/>
  <c r="BX223" i="183"/>
  <c r="CJ223" i="183"/>
  <c r="EV234" i="183"/>
  <c r="EX231" i="183"/>
  <c r="AN231" i="180"/>
  <c r="FD249" i="181"/>
  <c r="GH253" i="183"/>
  <c r="GH247" i="183"/>
  <c r="GH250" i="183" s="1"/>
  <c r="GH244" i="183"/>
  <c r="GH237" i="183"/>
  <c r="HE243" i="181"/>
  <c r="HD243" i="181"/>
  <c r="HC243" i="181"/>
  <c r="HB243" i="181"/>
  <c r="HA243" i="181"/>
  <c r="GZ249" i="179"/>
  <c r="CJ24" i="179"/>
  <c r="DQ234" i="181"/>
  <c r="AT247" i="183"/>
  <c r="EL253" i="183"/>
  <c r="EL244" i="183"/>
  <c r="EL247" i="183"/>
  <c r="EL250" i="183" s="1"/>
  <c r="EL237" i="183"/>
  <c r="CP228" i="182"/>
  <c r="BR228" i="182"/>
  <c r="GA234" i="182"/>
  <c r="AT228" i="182"/>
  <c r="AT229" i="182" s="1"/>
  <c r="CI234" i="182"/>
  <c r="BL228" i="182"/>
  <c r="EW234" i="182"/>
  <c r="CC234" i="182"/>
  <c r="DT228" i="182"/>
  <c r="BX228" i="182"/>
  <c r="DH249" i="181"/>
  <c r="GZ244" i="183"/>
  <c r="GZ253" i="183"/>
  <c r="GZ237" i="183"/>
  <c r="GZ247" i="183"/>
  <c r="AZ24" i="183"/>
  <c r="BV234" i="182"/>
  <c r="BX231" i="182"/>
  <c r="DQ234" i="182"/>
  <c r="CJ234" i="179"/>
  <c r="FY234" i="183"/>
  <c r="BC234" i="183"/>
  <c r="CH234" i="179"/>
  <c r="CJ231" i="179"/>
  <c r="BC234" i="180"/>
  <c r="AT249" i="180"/>
  <c r="CP223" i="181"/>
  <c r="FJ253" i="181"/>
  <c r="FJ247" i="181"/>
  <c r="FJ250" i="181" s="1"/>
  <c r="FJ237" i="181"/>
  <c r="FJ244" i="181"/>
  <c r="EX253" i="181"/>
  <c r="EX237" i="181"/>
  <c r="EX247" i="181"/>
  <c r="EX250" i="181" s="1"/>
  <c r="EX244" i="181"/>
  <c r="EX247" i="183"/>
  <c r="EX237" i="183"/>
  <c r="EX253" i="183"/>
  <c r="EX244" i="183"/>
  <c r="FP237" i="179"/>
  <c r="FP253" i="179"/>
  <c r="FP247" i="179"/>
  <c r="FP244" i="179"/>
  <c r="GZ248" i="181"/>
  <c r="V24" i="181"/>
  <c r="AN234" i="181"/>
  <c r="AZ223" i="183"/>
  <c r="CH234" i="183"/>
  <c r="CJ231" i="183"/>
  <c r="BD234" i="183"/>
  <c r="BF231" i="183"/>
  <c r="BF231" i="180"/>
  <c r="BF232" i="180" s="1"/>
  <c r="AT231" i="181"/>
  <c r="AT232" i="181" s="1"/>
  <c r="AT234" i="180"/>
  <c r="CA234" i="181"/>
  <c r="BD234" i="179"/>
  <c r="DT234" i="183"/>
  <c r="AZ228" i="182"/>
  <c r="AY234" i="182"/>
  <c r="GZ248" i="183"/>
  <c r="V24" i="183"/>
  <c r="CC234" i="183"/>
  <c r="CD228" i="183"/>
  <c r="BR234" i="179"/>
  <c r="GT249" i="181"/>
  <c r="BU234" i="183"/>
  <c r="EV234" i="179"/>
  <c r="EX231" i="179"/>
  <c r="CJ223" i="180"/>
  <c r="CG234" i="180"/>
  <c r="DZ247" i="183"/>
  <c r="DZ253" i="183"/>
  <c r="DZ244" i="183"/>
  <c r="DZ237" i="183"/>
  <c r="EX223" i="181"/>
  <c r="BF234" i="181"/>
  <c r="BV234" i="183"/>
  <c r="BX231" i="183"/>
  <c r="BV234" i="180"/>
  <c r="BX231" i="180"/>
  <c r="DT247" i="181"/>
  <c r="DT237" i="181"/>
  <c r="DT244" i="181"/>
  <c r="DT253" i="181"/>
  <c r="BJ234" i="181"/>
  <c r="BL231" i="181"/>
  <c r="CV247" i="183"/>
  <c r="CV244" i="183"/>
  <c r="CV237" i="183"/>
  <c r="CV253" i="183"/>
  <c r="GB237" i="179"/>
  <c r="GB253" i="179"/>
  <c r="GB247" i="179"/>
  <c r="GB244" i="179"/>
  <c r="DR234" i="180"/>
  <c r="AZ249" i="181"/>
  <c r="AT234" i="183"/>
  <c r="EV234" i="180"/>
  <c r="BL223" i="179"/>
  <c r="CP228" i="180"/>
  <c r="EW234" i="180"/>
  <c r="BW234" i="180"/>
  <c r="AT228" i="180"/>
  <c r="AT229" i="180" s="1"/>
  <c r="AT253" i="180" s="1"/>
  <c r="BF228" i="180"/>
  <c r="BQ234" i="180"/>
  <c r="CC234" i="180"/>
  <c r="AZ228" i="180"/>
  <c r="FJ244" i="179"/>
  <c r="FJ253" i="179"/>
  <c r="FJ247" i="179"/>
  <c r="FJ237" i="179"/>
  <c r="BX234" i="181"/>
  <c r="AX234" i="183"/>
  <c r="AZ231" i="183"/>
  <c r="CN234" i="180"/>
  <c r="DT249" i="181"/>
  <c r="DR234" i="181"/>
  <c r="DT231" i="181"/>
  <c r="CV249" i="183"/>
  <c r="FV244" i="179"/>
  <c r="FV253" i="179"/>
  <c r="FV247" i="179"/>
  <c r="FV237" i="179"/>
  <c r="CJ234" i="180"/>
  <c r="CV237" i="181"/>
  <c r="CV253" i="181"/>
  <c r="CV247" i="181"/>
  <c r="CV250" i="181" s="1"/>
  <c r="CV244" i="181"/>
  <c r="DT228" i="181"/>
  <c r="AW234" i="181"/>
  <c r="BL234" i="183"/>
  <c r="BE234" i="179"/>
  <c r="EW234" i="179"/>
  <c r="BQ234" i="179"/>
  <c r="DT228" i="179"/>
  <c r="CO234" i="179"/>
  <c r="GA234" i="179"/>
  <c r="GB253" i="183"/>
  <c r="GB244" i="183"/>
  <c r="GB247" i="183"/>
  <c r="GB250" i="183" s="1"/>
  <c r="GB237" i="183"/>
  <c r="FV253" i="181"/>
  <c r="FV247" i="181"/>
  <c r="FV250" i="181" s="1"/>
  <c r="FV237" i="181"/>
  <c r="FV244" i="181"/>
  <c r="BJ234" i="182"/>
  <c r="BL231" i="182"/>
  <c r="AN234" i="179"/>
  <c r="GN247" i="181"/>
  <c r="GN237" i="181"/>
  <c r="GN244" i="181"/>
  <c r="GN253" i="181"/>
  <c r="FD237" i="179"/>
  <c r="FD244" i="179"/>
  <c r="FD253" i="179"/>
  <c r="FD247" i="179"/>
  <c r="FD250" i="179" s="1"/>
  <c r="AN231" i="179"/>
  <c r="AT228" i="179"/>
  <c r="AT229" i="179" s="1"/>
  <c r="BU234" i="180"/>
  <c r="AZ223" i="181"/>
  <c r="DB253" i="183"/>
  <c r="DB244" i="183"/>
  <c r="DB237" i="183"/>
  <c r="DB247" i="183"/>
  <c r="DB250" i="183" s="1"/>
  <c r="GN249" i="179"/>
  <c r="GB234" i="181"/>
  <c r="DN249" i="183"/>
  <c r="AT223" i="183"/>
  <c r="AT224" i="183" s="1"/>
  <c r="AZ224" i="183" s="1"/>
  <c r="BF224" i="183" s="1"/>
  <c r="BP234" i="183"/>
  <c r="BR231" i="183"/>
  <c r="DR234" i="183"/>
  <c r="DT231" i="183"/>
  <c r="CN234" i="182"/>
  <c r="GT249" i="179"/>
  <c r="EX234" i="180"/>
  <c r="CV249" i="181"/>
  <c r="AT253" i="181"/>
  <c r="AT247" i="181"/>
  <c r="AT237" i="181"/>
  <c r="AT238" i="181" s="1"/>
  <c r="AT244" i="181"/>
  <c r="AT245" i="181" s="1"/>
  <c r="EW234" i="181"/>
  <c r="EX228" i="181"/>
  <c r="AT249" i="182"/>
  <c r="ER244" i="183"/>
  <c r="ER253" i="183"/>
  <c r="ER247" i="183"/>
  <c r="ER237" i="183"/>
  <c r="CG234" i="181"/>
  <c r="GH249" i="181"/>
  <c r="CD234" i="183"/>
  <c r="CE45" i="178"/>
  <c r="AR51" i="178"/>
  <c r="AL51" i="178"/>
  <c r="N83" i="178"/>
  <c r="AM83" i="178" s="1"/>
  <c r="N197" i="178"/>
  <c r="BK197" i="178" s="1"/>
  <c r="BV51" i="178"/>
  <c r="Z51" i="178"/>
  <c r="CN51" i="178"/>
  <c r="N200" i="178"/>
  <c r="AG200" i="178" s="1"/>
  <c r="W45" i="178"/>
  <c r="BJ51" i="178"/>
  <c r="AE48" i="178"/>
  <c r="DW48" i="178"/>
  <c r="AK48" i="178"/>
  <c r="N106" i="178"/>
  <c r="AM106" i="178" s="1"/>
  <c r="N73" i="178"/>
  <c r="N213" i="178"/>
  <c r="AG213" i="178" s="1"/>
  <c r="N50" i="178"/>
  <c r="CO50" i="178" s="1"/>
  <c r="N140" i="178"/>
  <c r="CI140" i="178" s="1"/>
  <c r="N168" i="178"/>
  <c r="N92" i="178"/>
  <c r="AG92" i="178" s="1"/>
  <c r="N105" i="178"/>
  <c r="BW105" i="178" s="1"/>
  <c r="N175" i="178"/>
  <c r="CI175" i="178" s="1"/>
  <c r="N88" i="178"/>
  <c r="AA88" i="178" s="1"/>
  <c r="N111" i="178"/>
  <c r="GG111" i="178" s="1"/>
  <c r="N110" i="178"/>
  <c r="BQ110" i="178" s="1"/>
  <c r="N133" i="178"/>
  <c r="CC133" i="178" s="1"/>
  <c r="N48" i="178"/>
  <c r="N159" i="178"/>
  <c r="BW159" i="178" s="1"/>
  <c r="CQ45" i="178"/>
  <c r="N47" i="178"/>
  <c r="BK47" i="178" s="1"/>
  <c r="BM45" i="178"/>
  <c r="CG48" i="178"/>
  <c r="N139" i="178"/>
  <c r="BE139" i="178" s="1"/>
  <c r="N144" i="178"/>
  <c r="AS144" i="178" s="1"/>
  <c r="N131" i="178"/>
  <c r="BW131" i="178" s="1"/>
  <c r="N167" i="178"/>
  <c r="BW167" i="178" s="1"/>
  <c r="N191" i="178"/>
  <c r="DY191" i="178" s="1"/>
  <c r="N214" i="178"/>
  <c r="O214" i="178" s="1"/>
  <c r="CT51" i="178"/>
  <c r="N58" i="178"/>
  <c r="BE58" i="178" s="1"/>
  <c r="N70" i="178"/>
  <c r="CC70" i="178" s="1"/>
  <c r="N148" i="178"/>
  <c r="BQ148" i="178" s="1"/>
  <c r="CA48" i="178"/>
  <c r="N97" i="178"/>
  <c r="CU97" i="178" s="1"/>
  <c r="N109" i="178"/>
  <c r="BK109" i="178" s="1"/>
  <c r="N123" i="178"/>
  <c r="N151" i="178"/>
  <c r="AG151" i="178" s="1"/>
  <c r="CB51" i="178"/>
  <c r="Y48" i="178"/>
  <c r="BA45" i="178"/>
  <c r="FB51" i="178"/>
  <c r="AX51" i="178"/>
  <c r="N206" i="178"/>
  <c r="CC206" i="178" s="1"/>
  <c r="N94" i="178"/>
  <c r="GG94" i="178" s="1"/>
  <c r="N179" i="178"/>
  <c r="DY179" i="178" s="1"/>
  <c r="N155" i="178"/>
  <c r="CO155" i="178" s="1"/>
  <c r="N55" i="178"/>
  <c r="CI55" i="178" s="1"/>
  <c r="BG45" i="178"/>
  <c r="GE48" i="178"/>
  <c r="N53" i="178"/>
  <c r="FC53" i="178" s="1"/>
  <c r="N82" i="178"/>
  <c r="CO82" i="178" s="1"/>
  <c r="N100" i="178"/>
  <c r="BK100" i="178" s="1"/>
  <c r="N85" i="178"/>
  <c r="GG85" i="178" s="1"/>
  <c r="N107" i="178"/>
  <c r="CC107" i="178" s="1"/>
  <c r="N160" i="178"/>
  <c r="AS160" i="178" s="1"/>
  <c r="N186" i="178"/>
  <c r="CI186" i="178" s="1"/>
  <c r="N59" i="178"/>
  <c r="AG59" i="178" s="1"/>
  <c r="CH51" i="178"/>
  <c r="BD51" i="178"/>
  <c r="AU45" i="178"/>
  <c r="BP51" i="178"/>
  <c r="N95" i="178"/>
  <c r="DY95" i="178" s="1"/>
  <c r="N74" i="178"/>
  <c r="CU74" i="178" s="1"/>
  <c r="AW48" i="178"/>
  <c r="CM48" i="178"/>
  <c r="N89" i="178"/>
  <c r="CI89" i="178" s="1"/>
  <c r="N150" i="178"/>
  <c r="AA150" i="178" s="1"/>
  <c r="N215" i="178"/>
  <c r="AM215" i="178" s="1"/>
  <c r="AQ48" i="178"/>
  <c r="AC45" i="178"/>
  <c r="GC45" i="178"/>
  <c r="BC48" i="178"/>
  <c r="N122" i="178"/>
  <c r="FC122" i="178" s="1"/>
  <c r="N136" i="178"/>
  <c r="CO136" i="178" s="1"/>
  <c r="CS48" i="178"/>
  <c r="DU45" i="178"/>
  <c r="N195" i="178"/>
  <c r="CO195" i="178" s="1"/>
  <c r="N71" i="178"/>
  <c r="CU71" i="178" s="1"/>
  <c r="N68" i="178"/>
  <c r="BW68" i="178" s="1"/>
  <c r="N143" i="178"/>
  <c r="AY143" i="178" s="1"/>
  <c r="BS45" i="178"/>
  <c r="N101" i="178"/>
  <c r="BW101" i="178" s="1"/>
  <c r="N198" i="178"/>
  <c r="AA198" i="178" s="1"/>
  <c r="N170" i="178"/>
  <c r="GG170" i="178" s="1"/>
  <c r="N99" i="178"/>
  <c r="AS99" i="178" s="1"/>
  <c r="EY45" i="178"/>
  <c r="N78" i="178"/>
  <c r="O78" i="178" s="1"/>
  <c r="N91" i="178"/>
  <c r="AM91" i="178" s="1"/>
  <c r="N86" i="178"/>
  <c r="O86" i="178" s="1"/>
  <c r="N156" i="178"/>
  <c r="AA156" i="178" s="1"/>
  <c r="N57" i="178"/>
  <c r="AA57" i="178" s="1"/>
  <c r="AI45" i="178"/>
  <c r="N62" i="178"/>
  <c r="AG62" i="178" s="1"/>
  <c r="N69" i="178"/>
  <c r="CI69" i="178" s="1"/>
  <c r="N194" i="178"/>
  <c r="AG194" i="178" s="1"/>
  <c r="AF51" i="178"/>
  <c r="N118" i="178"/>
  <c r="DY118" i="178" s="1"/>
  <c r="N153" i="178"/>
  <c r="CU153" i="178" s="1"/>
  <c r="N190" i="178"/>
  <c r="O190" i="178" s="1"/>
  <c r="N210" i="178"/>
  <c r="DY210" i="178" s="1"/>
  <c r="N61" i="178"/>
  <c r="BK61" i="178" s="1"/>
  <c r="N96" i="178"/>
  <c r="AS96" i="178" s="1"/>
  <c r="N117" i="178"/>
  <c r="BE117" i="178" s="1"/>
  <c r="N112" i="178"/>
  <c r="AS112" i="178" s="1"/>
  <c r="U250" i="178"/>
  <c r="BU48" i="178"/>
  <c r="AO45" i="178"/>
  <c r="BI48" i="178"/>
  <c r="BQ122" i="178"/>
  <c r="BQ140" i="178"/>
  <c r="AA140" i="178"/>
  <c r="BK140" i="178"/>
  <c r="O92" i="178"/>
  <c r="CC92" i="178"/>
  <c r="BK83" i="178"/>
  <c r="AG83" i="178"/>
  <c r="CU155" i="178"/>
  <c r="CC197" i="178"/>
  <c r="GG197" i="178"/>
  <c r="DY170" i="178"/>
  <c r="AM170" i="178"/>
  <c r="DY175" i="178"/>
  <c r="GG88" i="178"/>
  <c r="BK213" i="178"/>
  <c r="CI213" i="178"/>
  <c r="CU213" i="178"/>
  <c r="GG213" i="178"/>
  <c r="BW69" i="178"/>
  <c r="AY110" i="178"/>
  <c r="CO61" i="178"/>
  <c r="FC159" i="178"/>
  <c r="CO159" i="178"/>
  <c r="CN56" i="178"/>
  <c r="BJ56" i="178"/>
  <c r="BV56" i="178"/>
  <c r="GF56" i="178"/>
  <c r="AR56" i="178"/>
  <c r="CH56" i="178"/>
  <c r="CT56" i="178"/>
  <c r="Z56" i="178"/>
  <c r="AX56" i="178"/>
  <c r="CB56" i="178"/>
  <c r="FB56" i="178"/>
  <c r="AL56" i="178"/>
  <c r="AF56" i="178"/>
  <c r="DX56" i="178"/>
  <c r="BP56" i="178"/>
  <c r="BD56" i="178"/>
  <c r="CF98" i="178"/>
  <c r="EZ98" i="178"/>
  <c r="AJ98" i="178"/>
  <c r="CL98" i="178"/>
  <c r="BT98" i="178"/>
  <c r="BB98" i="178"/>
  <c r="DV98" i="178"/>
  <c r="BN98" i="178"/>
  <c r="AV98" i="178"/>
  <c r="GD98" i="178"/>
  <c r="CR98" i="178"/>
  <c r="BZ98" i="178"/>
  <c r="BH98" i="178"/>
  <c r="AP98" i="178"/>
  <c r="X98" i="178"/>
  <c r="AD98" i="178"/>
  <c r="BY92" i="178"/>
  <c r="DU92" i="178"/>
  <c r="AC92" i="178"/>
  <c r="BG92" i="178"/>
  <c r="AO92" i="178"/>
  <c r="EY92" i="178"/>
  <c r="CK92" i="178"/>
  <c r="W92" i="178"/>
  <c r="BS92" i="178"/>
  <c r="BA92" i="178"/>
  <c r="CE92" i="178"/>
  <c r="AI92" i="178"/>
  <c r="BM92" i="178"/>
  <c r="GC92" i="178"/>
  <c r="AU92" i="178"/>
  <c r="CQ92" i="178"/>
  <c r="AW126" i="178"/>
  <c r="BI126" i="178"/>
  <c r="BU126" i="178"/>
  <c r="CA126" i="178"/>
  <c r="FA126" i="178"/>
  <c r="CG126" i="178"/>
  <c r="DW126" i="178"/>
  <c r="AK126" i="178"/>
  <c r="BC126" i="178"/>
  <c r="GE126" i="178"/>
  <c r="CM126" i="178"/>
  <c r="Y126" i="178"/>
  <c r="BO126" i="178"/>
  <c r="AQ126" i="178"/>
  <c r="CS126" i="178"/>
  <c r="AE126" i="178"/>
  <c r="CE162" i="178"/>
  <c r="CK162" i="178"/>
  <c r="BS162" i="178"/>
  <c r="AO162" i="178"/>
  <c r="DU162" i="178"/>
  <c r="W162" i="178"/>
  <c r="BA162" i="178"/>
  <c r="CQ162" i="178"/>
  <c r="BY162" i="178"/>
  <c r="AU162" i="178"/>
  <c r="EY162" i="178"/>
  <c r="BG162" i="178"/>
  <c r="AC162" i="178"/>
  <c r="GC162" i="178"/>
  <c r="BM162" i="178"/>
  <c r="AI162" i="178"/>
  <c r="BD194" i="178"/>
  <c r="FB194" i="178"/>
  <c r="AF194" i="178"/>
  <c r="CN194" i="178"/>
  <c r="BV194" i="178"/>
  <c r="Z194" i="178"/>
  <c r="DX194" i="178"/>
  <c r="CT194" i="178"/>
  <c r="BJ194" i="178"/>
  <c r="CH194" i="178"/>
  <c r="AX194" i="178"/>
  <c r="BP194" i="178"/>
  <c r="GF194" i="178"/>
  <c r="AR194" i="178"/>
  <c r="CB194" i="178"/>
  <c r="AL194" i="178"/>
  <c r="FP243" i="178"/>
  <c r="FP242" i="178"/>
  <c r="FP251" i="178"/>
  <c r="FP232" i="178"/>
  <c r="FP248" i="178" s="1"/>
  <c r="FP254" i="178"/>
  <c r="FP240" i="178"/>
  <c r="FP236" i="178"/>
  <c r="FP255" i="178"/>
  <c r="FP235" i="178"/>
  <c r="FP241" i="178"/>
  <c r="FP238" i="178"/>
  <c r="FP230" i="178"/>
  <c r="FP233" i="178"/>
  <c r="FP245" i="178"/>
  <c r="FP229" i="178"/>
  <c r="BK200" i="178"/>
  <c r="AA200" i="178"/>
  <c r="O200" i="178"/>
  <c r="CI200" i="178"/>
  <c r="DY200" i="178"/>
  <c r="FC200" i="178"/>
  <c r="BZ50" i="178"/>
  <c r="DV50" i="178"/>
  <c r="AD50" i="178"/>
  <c r="CF50" i="178"/>
  <c r="BN50" i="178"/>
  <c r="AV50" i="178"/>
  <c r="GD50" i="178"/>
  <c r="CR50" i="178"/>
  <c r="X50" i="178"/>
  <c r="BH50" i="178"/>
  <c r="AP50" i="178"/>
  <c r="EZ50" i="178"/>
  <c r="CL50" i="178"/>
  <c r="BT50" i="178"/>
  <c r="BB50" i="178"/>
  <c r="AJ50" i="178"/>
  <c r="GE76" i="178"/>
  <c r="AQ76" i="178"/>
  <c r="BO76" i="178"/>
  <c r="BU76" i="178"/>
  <c r="DW76" i="178"/>
  <c r="Y76" i="178"/>
  <c r="CA76" i="178"/>
  <c r="BI76" i="178"/>
  <c r="CS76" i="178"/>
  <c r="AK76" i="178"/>
  <c r="FA76" i="178"/>
  <c r="CM76" i="178"/>
  <c r="AW76" i="178"/>
  <c r="AE76" i="178"/>
  <c r="CG76" i="178"/>
  <c r="BC76" i="178"/>
  <c r="AW52" i="178"/>
  <c r="BU52" i="178"/>
  <c r="FA52" i="178"/>
  <c r="CM52" i="178"/>
  <c r="BC52" i="178"/>
  <c r="AK52" i="178"/>
  <c r="DW52" i="178"/>
  <c r="CG52" i="178"/>
  <c r="BO52" i="178"/>
  <c r="AE52" i="178"/>
  <c r="GE52" i="178"/>
  <c r="CS52" i="178"/>
  <c r="CA52" i="178"/>
  <c r="BI52" i="178"/>
  <c r="AQ52" i="178"/>
  <c r="Y52" i="178"/>
  <c r="GD55" i="178"/>
  <c r="AP55" i="178"/>
  <c r="CF55" i="178"/>
  <c r="CR55" i="178"/>
  <c r="X55" i="178"/>
  <c r="BN55" i="178"/>
  <c r="EZ55" i="178"/>
  <c r="AJ55" i="178"/>
  <c r="AV55" i="178"/>
  <c r="BT55" i="178"/>
  <c r="BH55" i="178"/>
  <c r="AD55" i="178"/>
  <c r="CL55" i="178"/>
  <c r="BB55" i="178"/>
  <c r="BZ55" i="178"/>
  <c r="DV55" i="178"/>
  <c r="CG51" i="178"/>
  <c r="FA51" i="178"/>
  <c r="AK51" i="178"/>
  <c r="GE51" i="178"/>
  <c r="CS51" i="178"/>
  <c r="CA51" i="178"/>
  <c r="BI51" i="178"/>
  <c r="AQ51" i="178"/>
  <c r="Y51" i="178"/>
  <c r="CM51" i="178"/>
  <c r="BU51" i="178"/>
  <c r="BC51" i="178"/>
  <c r="DW51" i="178"/>
  <c r="BO51" i="178"/>
  <c r="AW51" i="178"/>
  <c r="AE51" i="178"/>
  <c r="CR72" i="178"/>
  <c r="X72" i="178"/>
  <c r="AV72" i="178"/>
  <c r="BB72" i="178"/>
  <c r="CL72" i="178"/>
  <c r="BT72" i="178"/>
  <c r="EZ72" i="178"/>
  <c r="AD72" i="178"/>
  <c r="BN72" i="178"/>
  <c r="BH72" i="178"/>
  <c r="AP72" i="178"/>
  <c r="BZ72" i="178"/>
  <c r="GD72" i="178"/>
  <c r="AJ72" i="178"/>
  <c r="DV72" i="178"/>
  <c r="CF72" i="178"/>
  <c r="GE59" i="178"/>
  <c r="CG59" i="178"/>
  <c r="BC59" i="178"/>
  <c r="CS59" i="178"/>
  <c r="Y59" i="178"/>
  <c r="BO59" i="178"/>
  <c r="FA59" i="178"/>
  <c r="AK59" i="178"/>
  <c r="CA59" i="178"/>
  <c r="CM59" i="178"/>
  <c r="BI59" i="178"/>
  <c r="BU59" i="178"/>
  <c r="AQ59" i="178"/>
  <c r="AW59" i="178"/>
  <c r="AE59" i="178"/>
  <c r="DW59" i="178"/>
  <c r="EY60" i="178"/>
  <c r="AI60" i="178"/>
  <c r="BA60" i="178"/>
  <c r="CE60" i="178"/>
  <c r="GC60" i="178"/>
  <c r="BM60" i="178"/>
  <c r="CQ60" i="178"/>
  <c r="AU60" i="178"/>
  <c r="BY60" i="178"/>
  <c r="BG60" i="178"/>
  <c r="CK60" i="178"/>
  <c r="BS60" i="178"/>
  <c r="DU60" i="178"/>
  <c r="W60" i="178"/>
  <c r="AO60" i="178"/>
  <c r="AC60" i="178"/>
  <c r="AW62" i="178"/>
  <c r="BC62" i="178"/>
  <c r="CG62" i="178"/>
  <c r="GE62" i="178"/>
  <c r="AK62" i="178"/>
  <c r="BO62" i="178"/>
  <c r="CS62" i="178"/>
  <c r="FA62" i="178"/>
  <c r="BI62" i="178"/>
  <c r="CM62" i="178"/>
  <c r="BU62" i="178"/>
  <c r="DW62" i="178"/>
  <c r="Y62" i="178"/>
  <c r="AQ62" i="178"/>
  <c r="AE62" i="178"/>
  <c r="CA62" i="178"/>
  <c r="BZ54" i="178"/>
  <c r="BH54" i="178"/>
  <c r="DV54" i="178"/>
  <c r="AD54" i="178"/>
  <c r="BT54" i="178"/>
  <c r="BN54" i="178"/>
  <c r="AP54" i="178"/>
  <c r="CF54" i="178"/>
  <c r="EZ54" i="178"/>
  <c r="BB54" i="178"/>
  <c r="AJ54" i="178"/>
  <c r="CR54" i="178"/>
  <c r="GD54" i="178"/>
  <c r="AV54" i="178"/>
  <c r="CL54" i="178"/>
  <c r="X54" i="178"/>
  <c r="DU69" i="178"/>
  <c r="AC69" i="178"/>
  <c r="BA69" i="178"/>
  <c r="BG69" i="178"/>
  <c r="GC69" i="178"/>
  <c r="AI69" i="178"/>
  <c r="BS69" i="178"/>
  <c r="EY69" i="178"/>
  <c r="CK69" i="178"/>
  <c r="CE69" i="178"/>
  <c r="W69" i="178"/>
  <c r="AO69" i="178"/>
  <c r="CQ69" i="178"/>
  <c r="BY69" i="178"/>
  <c r="BM69" i="178"/>
  <c r="AU69" i="178"/>
  <c r="BS49" i="178"/>
  <c r="CQ49" i="178"/>
  <c r="W49" i="178"/>
  <c r="EY49" i="178"/>
  <c r="CK49" i="178"/>
  <c r="BA49" i="178"/>
  <c r="AI49" i="178"/>
  <c r="AU49" i="178"/>
  <c r="DU49" i="178"/>
  <c r="CE49" i="178"/>
  <c r="BM49" i="178"/>
  <c r="AC49" i="178"/>
  <c r="GC49" i="178"/>
  <c r="BY49" i="178"/>
  <c r="BG49" i="178"/>
  <c r="AO49" i="178"/>
  <c r="DW86" i="178"/>
  <c r="AE86" i="178"/>
  <c r="BU86" i="178"/>
  <c r="GE86" i="178"/>
  <c r="AQ86" i="178"/>
  <c r="CG86" i="178"/>
  <c r="BC86" i="178"/>
  <c r="CS86" i="178"/>
  <c r="Y86" i="178"/>
  <c r="FA86" i="178"/>
  <c r="AK86" i="178"/>
  <c r="CA86" i="178"/>
  <c r="AW86" i="178"/>
  <c r="CM86" i="178"/>
  <c r="BI86" i="178"/>
  <c r="BO86" i="178"/>
  <c r="DW102" i="178"/>
  <c r="AE102" i="178"/>
  <c r="GE102" i="178"/>
  <c r="AQ102" i="178"/>
  <c r="CG102" i="178"/>
  <c r="BC102" i="178"/>
  <c r="CS102" i="178"/>
  <c r="BU102" i="178"/>
  <c r="AW102" i="178"/>
  <c r="Y102" i="178"/>
  <c r="CM102" i="178"/>
  <c r="BO102" i="178"/>
  <c r="BI102" i="178"/>
  <c r="AK102" i="178"/>
  <c r="CA102" i="178"/>
  <c r="FA102" i="178"/>
  <c r="CH100" i="178"/>
  <c r="FB100" i="178"/>
  <c r="AL100" i="178"/>
  <c r="GF100" i="178"/>
  <c r="CT100" i="178"/>
  <c r="CB100" i="178"/>
  <c r="BJ100" i="178"/>
  <c r="AR100" i="178"/>
  <c r="Z100" i="178"/>
  <c r="CN100" i="178"/>
  <c r="DX100" i="178"/>
  <c r="BP100" i="178"/>
  <c r="AX100" i="178"/>
  <c r="AF100" i="178"/>
  <c r="BD100" i="178"/>
  <c r="BV100" i="178"/>
  <c r="BY88" i="178"/>
  <c r="AU88" i="178"/>
  <c r="CK88" i="178"/>
  <c r="BG88" i="178"/>
  <c r="DU88" i="178"/>
  <c r="AC88" i="178"/>
  <c r="BS88" i="178"/>
  <c r="CE88" i="178"/>
  <c r="BA88" i="178"/>
  <c r="CQ88" i="178"/>
  <c r="W88" i="178"/>
  <c r="BM88" i="178"/>
  <c r="EY88" i="178"/>
  <c r="AI88" i="178"/>
  <c r="GC88" i="178"/>
  <c r="AO88" i="178"/>
  <c r="BB115" i="178"/>
  <c r="DV115" i="178"/>
  <c r="BT115" i="178"/>
  <c r="X115" i="178"/>
  <c r="GD115" i="178"/>
  <c r="CF115" i="178"/>
  <c r="AJ115" i="178"/>
  <c r="BN115" i="178"/>
  <c r="CR115" i="178"/>
  <c r="EZ115" i="178"/>
  <c r="BZ115" i="178"/>
  <c r="AD115" i="178"/>
  <c r="BH115" i="178"/>
  <c r="CL115" i="178"/>
  <c r="AP115" i="178"/>
  <c r="AV115" i="178"/>
  <c r="CF125" i="178"/>
  <c r="CR125" i="178"/>
  <c r="X125" i="178"/>
  <c r="EZ125" i="178"/>
  <c r="AJ125" i="178"/>
  <c r="GD125" i="178"/>
  <c r="AP125" i="178"/>
  <c r="AD125" i="178"/>
  <c r="AV125" i="178"/>
  <c r="BN125" i="178"/>
  <c r="DV125" i="178"/>
  <c r="CL125" i="178"/>
  <c r="BB125" i="178"/>
  <c r="BT125" i="178"/>
  <c r="BZ125" i="178"/>
  <c r="BH125" i="178"/>
  <c r="BG114" i="178"/>
  <c r="BA114" i="178"/>
  <c r="CE114" i="178"/>
  <c r="GC114" i="178"/>
  <c r="AI114" i="178"/>
  <c r="BM114" i="178"/>
  <c r="CQ114" i="178"/>
  <c r="AU114" i="178"/>
  <c r="EY114" i="178"/>
  <c r="CK114" i="178"/>
  <c r="AO114" i="178"/>
  <c r="BS114" i="178"/>
  <c r="DU114" i="178"/>
  <c r="W114" i="178"/>
  <c r="BY114" i="178"/>
  <c r="AC114" i="178"/>
  <c r="AW99" i="178"/>
  <c r="BU99" i="178"/>
  <c r="DW99" i="178"/>
  <c r="CG99" i="178"/>
  <c r="BO99" i="178"/>
  <c r="AE99" i="178"/>
  <c r="GE99" i="178"/>
  <c r="CS99" i="178"/>
  <c r="CA99" i="178"/>
  <c r="BI99" i="178"/>
  <c r="AQ99" i="178"/>
  <c r="FA99" i="178"/>
  <c r="CM99" i="178"/>
  <c r="BC99" i="178"/>
  <c r="AK99" i="178"/>
  <c r="Y99" i="178"/>
  <c r="BB120" i="178"/>
  <c r="BZ120" i="178"/>
  <c r="CF120" i="178"/>
  <c r="BN120" i="178"/>
  <c r="DV120" i="178"/>
  <c r="AV120" i="178"/>
  <c r="AD120" i="178"/>
  <c r="BH120" i="178"/>
  <c r="CR120" i="178"/>
  <c r="X120" i="178"/>
  <c r="EZ120" i="178"/>
  <c r="CL120" i="178"/>
  <c r="BT120" i="178"/>
  <c r="AJ120" i="178"/>
  <c r="AP120" i="178"/>
  <c r="GD120" i="178"/>
  <c r="BA128" i="178"/>
  <c r="CQ128" i="178"/>
  <c r="BM128" i="178"/>
  <c r="EY128" i="178"/>
  <c r="AI128" i="178"/>
  <c r="BY128" i="178"/>
  <c r="DU128" i="178"/>
  <c r="AC128" i="178"/>
  <c r="CE128" i="178"/>
  <c r="BG128" i="178"/>
  <c r="W128" i="178"/>
  <c r="AU128" i="178"/>
  <c r="GC128" i="178"/>
  <c r="BS128" i="178"/>
  <c r="AO128" i="178"/>
  <c r="CK128" i="178"/>
  <c r="BU119" i="178"/>
  <c r="CS119" i="178"/>
  <c r="Y119" i="178"/>
  <c r="DW119" i="178"/>
  <c r="AE119" i="178"/>
  <c r="AQ119" i="178"/>
  <c r="CA119" i="178"/>
  <c r="BI119" i="178"/>
  <c r="GE119" i="178"/>
  <c r="AK119" i="178"/>
  <c r="BC119" i="178"/>
  <c r="FA119" i="178"/>
  <c r="CM119" i="178"/>
  <c r="BO119" i="178"/>
  <c r="AW119" i="178"/>
  <c r="CG119" i="178"/>
  <c r="DW108" i="178"/>
  <c r="AE108" i="178"/>
  <c r="GE108" i="178"/>
  <c r="BO108" i="178"/>
  <c r="AK108" i="178"/>
  <c r="CS108" i="178"/>
  <c r="CA108" i="178"/>
  <c r="AW108" i="178"/>
  <c r="FA108" i="178"/>
  <c r="CM108" i="178"/>
  <c r="BU108" i="178"/>
  <c r="AQ108" i="178"/>
  <c r="CG108" i="178"/>
  <c r="BC108" i="178"/>
  <c r="BI108" i="178"/>
  <c r="Y108" i="178"/>
  <c r="BZ126" i="178"/>
  <c r="CL126" i="178"/>
  <c r="DV126" i="178"/>
  <c r="AD126" i="178"/>
  <c r="EZ126" i="178"/>
  <c r="AJ126" i="178"/>
  <c r="BN126" i="178"/>
  <c r="AP126" i="178"/>
  <c r="CF126" i="178"/>
  <c r="BH126" i="178"/>
  <c r="CR126" i="178"/>
  <c r="BT126" i="178"/>
  <c r="GD126" i="178"/>
  <c r="AV126" i="178"/>
  <c r="X126" i="178"/>
  <c r="BB126" i="178"/>
  <c r="CE120" i="178"/>
  <c r="EY120" i="178"/>
  <c r="AI120" i="178"/>
  <c r="GC120" i="178"/>
  <c r="AO120" i="178"/>
  <c r="BM120" i="178"/>
  <c r="DU120" i="178"/>
  <c r="AU120" i="178"/>
  <c r="AC120" i="178"/>
  <c r="BY120" i="178"/>
  <c r="BG120" i="178"/>
  <c r="BA120" i="178"/>
  <c r="CK120" i="178"/>
  <c r="BS120" i="178"/>
  <c r="CQ120" i="178"/>
  <c r="W120" i="178"/>
  <c r="DV119" i="178"/>
  <c r="AD119" i="178"/>
  <c r="BB119" i="178"/>
  <c r="BH119" i="178"/>
  <c r="X119" i="178"/>
  <c r="AP119" i="178"/>
  <c r="CR119" i="178"/>
  <c r="BZ119" i="178"/>
  <c r="GD119" i="178"/>
  <c r="AJ119" i="178"/>
  <c r="EZ119" i="178"/>
  <c r="CL119" i="178"/>
  <c r="BN119" i="178"/>
  <c r="AV119" i="178"/>
  <c r="CF119" i="178"/>
  <c r="BT119" i="178"/>
  <c r="BH134" i="178"/>
  <c r="CF134" i="178"/>
  <c r="BZ134" i="178"/>
  <c r="EZ134" i="178"/>
  <c r="AP134" i="178"/>
  <c r="X134" i="178"/>
  <c r="CL134" i="178"/>
  <c r="BT134" i="178"/>
  <c r="BB134" i="178"/>
  <c r="DV134" i="178"/>
  <c r="BN134" i="178"/>
  <c r="GD134" i="178"/>
  <c r="AV134" i="178"/>
  <c r="CR134" i="178"/>
  <c r="AD134" i="178"/>
  <c r="AJ134" i="178"/>
  <c r="FB128" i="178"/>
  <c r="AL128" i="178"/>
  <c r="AX128" i="178"/>
  <c r="CN128" i="178"/>
  <c r="BJ128" i="178"/>
  <c r="DX128" i="178"/>
  <c r="CH128" i="178"/>
  <c r="BP128" i="178"/>
  <c r="BD128" i="178"/>
  <c r="Z128" i="178"/>
  <c r="GF128" i="178"/>
  <c r="CB128" i="178"/>
  <c r="BV128" i="178"/>
  <c r="CT128" i="178"/>
  <c r="AF128" i="178"/>
  <c r="AR128" i="178"/>
  <c r="AV129" i="178"/>
  <c r="CL129" i="178"/>
  <c r="BH129" i="178"/>
  <c r="DV129" i="178"/>
  <c r="AD129" i="178"/>
  <c r="BT129" i="178"/>
  <c r="GD129" i="178"/>
  <c r="AP129" i="178"/>
  <c r="CR129" i="178"/>
  <c r="X129" i="178"/>
  <c r="BZ129" i="178"/>
  <c r="EZ129" i="178"/>
  <c r="CF129" i="178"/>
  <c r="BB129" i="178"/>
  <c r="AJ129" i="178"/>
  <c r="BN129" i="178"/>
  <c r="CK143" i="178"/>
  <c r="AO143" i="178"/>
  <c r="BS143" i="178"/>
  <c r="BA143" i="178"/>
  <c r="CE143" i="178"/>
  <c r="GC143" i="178"/>
  <c r="CQ143" i="178"/>
  <c r="AU143" i="178"/>
  <c r="BY143" i="178"/>
  <c r="AI143" i="178"/>
  <c r="BM143" i="178"/>
  <c r="EY143" i="178"/>
  <c r="W143" i="178"/>
  <c r="DU143" i="178"/>
  <c r="BG143" i="178"/>
  <c r="AC143" i="178"/>
  <c r="BP162" i="178"/>
  <c r="DX162" i="178"/>
  <c r="BD162" i="178"/>
  <c r="Z162" i="178"/>
  <c r="CH162" i="178"/>
  <c r="GF162" i="178"/>
  <c r="AL162" i="178"/>
  <c r="CT162" i="178"/>
  <c r="FB162" i="178"/>
  <c r="BJ162" i="178"/>
  <c r="AF162" i="178"/>
  <c r="CN162" i="178"/>
  <c r="BV162" i="178"/>
  <c r="AR162" i="178"/>
  <c r="AX162" i="178"/>
  <c r="CB162" i="178"/>
  <c r="BB149" i="178"/>
  <c r="BZ149" i="178"/>
  <c r="CF149" i="178"/>
  <c r="BH149" i="178"/>
  <c r="AP149" i="178"/>
  <c r="CR149" i="178"/>
  <c r="GD149" i="178"/>
  <c r="AJ149" i="178"/>
  <c r="CL149" i="178"/>
  <c r="BT149" i="178"/>
  <c r="AV149" i="178"/>
  <c r="AD149" i="178"/>
  <c r="BN149" i="178"/>
  <c r="DV149" i="178"/>
  <c r="X149" i="178"/>
  <c r="EZ149" i="178"/>
  <c r="GD151" i="178"/>
  <c r="AP151" i="178"/>
  <c r="BN151" i="178"/>
  <c r="BT151" i="178"/>
  <c r="AJ151" i="178"/>
  <c r="BB151" i="178"/>
  <c r="EZ151" i="178"/>
  <c r="CL151" i="178"/>
  <c r="AV151" i="178"/>
  <c r="AD151" i="178"/>
  <c r="DV151" i="178"/>
  <c r="X151" i="178"/>
  <c r="BZ151" i="178"/>
  <c r="BH151" i="178"/>
  <c r="CR151" i="178"/>
  <c r="CF151" i="178"/>
  <c r="BS159" i="178"/>
  <c r="GC159" i="178"/>
  <c r="AO159" i="178"/>
  <c r="CE159" i="178"/>
  <c r="BA159" i="178"/>
  <c r="CQ159" i="178"/>
  <c r="W159" i="178"/>
  <c r="BM159" i="178"/>
  <c r="BY159" i="178"/>
  <c r="CK159" i="178"/>
  <c r="DU159" i="178"/>
  <c r="AC159" i="178"/>
  <c r="AU159" i="178"/>
  <c r="AI159" i="178"/>
  <c r="EY159" i="178"/>
  <c r="BG159" i="178"/>
  <c r="BG161" i="178"/>
  <c r="DU161" i="178"/>
  <c r="W161" i="178"/>
  <c r="BA161" i="178"/>
  <c r="CE161" i="178"/>
  <c r="GC161" i="178"/>
  <c r="AI161" i="178"/>
  <c r="BM161" i="178"/>
  <c r="CQ161" i="178"/>
  <c r="BY161" i="178"/>
  <c r="AC161" i="178"/>
  <c r="EY161" i="178"/>
  <c r="CK161" i="178"/>
  <c r="BS161" i="178"/>
  <c r="AU161" i="178"/>
  <c r="AO161" i="178"/>
  <c r="CG174" i="178"/>
  <c r="AW174" i="178"/>
  <c r="CM174" i="178"/>
  <c r="BO174" i="178"/>
  <c r="Y174" i="178"/>
  <c r="CS174" i="178"/>
  <c r="AE174" i="178"/>
  <c r="BU174" i="178"/>
  <c r="GE174" i="178"/>
  <c r="AQ174" i="178"/>
  <c r="FA174" i="178"/>
  <c r="CA174" i="178"/>
  <c r="AK174" i="178"/>
  <c r="DW174" i="178"/>
  <c r="BI174" i="178"/>
  <c r="BC174" i="178"/>
  <c r="CL158" i="178"/>
  <c r="Q158" i="178"/>
  <c r="N158" i="178" s="1"/>
  <c r="BH158" i="178"/>
  <c r="DV158" i="178"/>
  <c r="AD158" i="178"/>
  <c r="BT158" i="178"/>
  <c r="GD158" i="178"/>
  <c r="AP158" i="178"/>
  <c r="CF158" i="178"/>
  <c r="EZ158" i="178"/>
  <c r="AV158" i="178"/>
  <c r="BZ158" i="178"/>
  <c r="AJ158" i="178"/>
  <c r="BN158" i="178"/>
  <c r="CR158" i="178"/>
  <c r="X158" i="178"/>
  <c r="BB158" i="178"/>
  <c r="AQ164" i="178"/>
  <c r="CA164" i="178"/>
  <c r="AW164" i="178"/>
  <c r="FA164" i="178"/>
  <c r="AE164" i="178"/>
  <c r="BI164" i="178"/>
  <c r="CM164" i="178"/>
  <c r="BU164" i="178"/>
  <c r="BC164" i="178"/>
  <c r="CG164" i="178"/>
  <c r="GE164" i="178"/>
  <c r="AK164" i="178"/>
  <c r="BO164" i="178"/>
  <c r="CS164" i="178"/>
  <c r="Y164" i="178"/>
  <c r="DW164" i="178"/>
  <c r="BM167" i="178"/>
  <c r="DU167" i="178"/>
  <c r="AC167" i="178"/>
  <c r="CE167" i="178"/>
  <c r="BS167" i="178"/>
  <c r="AO167" i="178"/>
  <c r="BG167" i="178"/>
  <c r="BY167" i="178"/>
  <c r="AI167" i="178"/>
  <c r="GC167" i="178"/>
  <c r="CK167" i="178"/>
  <c r="AU167" i="178"/>
  <c r="EY167" i="178"/>
  <c r="W167" i="178"/>
  <c r="CQ167" i="178"/>
  <c r="BA167" i="178"/>
  <c r="BN171" i="178"/>
  <c r="EZ171" i="178"/>
  <c r="AJ171" i="178"/>
  <c r="CR171" i="178"/>
  <c r="BH171" i="178"/>
  <c r="AP171" i="178"/>
  <c r="X171" i="178"/>
  <c r="AD171" i="178"/>
  <c r="CL171" i="178"/>
  <c r="CF171" i="178"/>
  <c r="BZ171" i="178"/>
  <c r="GD171" i="178"/>
  <c r="BT171" i="178"/>
  <c r="DV171" i="178"/>
  <c r="BB171" i="178"/>
  <c r="AV171" i="178"/>
  <c r="AV178" i="178"/>
  <c r="CF178" i="178"/>
  <c r="BB178" i="178"/>
  <c r="BH178" i="178"/>
  <c r="AP178" i="178"/>
  <c r="GD178" i="178"/>
  <c r="BZ178" i="178"/>
  <c r="EZ178" i="178"/>
  <c r="DV178" i="178"/>
  <c r="AJ178" i="178"/>
  <c r="X178" i="178"/>
  <c r="BT178" i="178"/>
  <c r="AD178" i="178"/>
  <c r="CR178" i="178"/>
  <c r="BN178" i="178"/>
  <c r="CL178" i="178"/>
  <c r="BI179" i="178"/>
  <c r="CG179" i="178"/>
  <c r="AW179" i="178"/>
  <c r="CM179" i="178"/>
  <c r="FA179" i="178"/>
  <c r="AQ179" i="178"/>
  <c r="CA179" i="178"/>
  <c r="BC179" i="178"/>
  <c r="BU179" i="178"/>
  <c r="GE179" i="178"/>
  <c r="AK179" i="178"/>
  <c r="AE179" i="178"/>
  <c r="DW179" i="178"/>
  <c r="BO179" i="178"/>
  <c r="CS179" i="178"/>
  <c r="Y179" i="178"/>
  <c r="DU170" i="178"/>
  <c r="AC170" i="178"/>
  <c r="BS170" i="178"/>
  <c r="AU170" i="178"/>
  <c r="GC170" i="178"/>
  <c r="CQ170" i="178"/>
  <c r="EY170" i="178"/>
  <c r="CE170" i="178"/>
  <c r="BA170" i="178"/>
  <c r="W170" i="178"/>
  <c r="BY170" i="178"/>
  <c r="AI170" i="178"/>
  <c r="BM170" i="178"/>
  <c r="BG170" i="178"/>
  <c r="CK170" i="178"/>
  <c r="AO170" i="178"/>
  <c r="BP192" i="178"/>
  <c r="DX192" i="178"/>
  <c r="Z192" i="178"/>
  <c r="CB192" i="178"/>
  <c r="BJ192" i="178"/>
  <c r="AR192" i="178"/>
  <c r="CH192" i="178"/>
  <c r="AL192" i="178"/>
  <c r="GF192" i="178"/>
  <c r="AF192" i="178"/>
  <c r="CT192" i="178"/>
  <c r="BV192" i="178"/>
  <c r="FB192" i="178"/>
  <c r="CN192" i="178"/>
  <c r="BD192" i="178"/>
  <c r="AX192" i="178"/>
  <c r="FB197" i="178"/>
  <c r="AL197" i="178"/>
  <c r="CH197" i="178"/>
  <c r="DX197" i="178"/>
  <c r="AF197" i="178"/>
  <c r="AR197" i="178"/>
  <c r="CB197" i="178"/>
  <c r="AX197" i="178"/>
  <c r="BJ197" i="178"/>
  <c r="Z197" i="178"/>
  <c r="BD197" i="178"/>
  <c r="GF197" i="178"/>
  <c r="BV197" i="178"/>
  <c r="BP197" i="178"/>
  <c r="CN197" i="178"/>
  <c r="CT197" i="178"/>
  <c r="GC199" i="178"/>
  <c r="AO199" i="178"/>
  <c r="BY199" i="178"/>
  <c r="CK199" i="178"/>
  <c r="EY199" i="178"/>
  <c r="AC199" i="178"/>
  <c r="CE199" i="178"/>
  <c r="BM199" i="178"/>
  <c r="W199" i="178"/>
  <c r="BG199" i="178"/>
  <c r="BS199" i="178"/>
  <c r="AI199" i="178"/>
  <c r="DU199" i="178"/>
  <c r="CQ199" i="178"/>
  <c r="BA199" i="178"/>
  <c r="AU199" i="178"/>
  <c r="DX211" i="178"/>
  <c r="AF211" i="178"/>
  <c r="BV211" i="178"/>
  <c r="CH211" i="178"/>
  <c r="CN211" i="178"/>
  <c r="FB211" i="178"/>
  <c r="BP211" i="178"/>
  <c r="AX211" i="178"/>
  <c r="Z211" i="178"/>
  <c r="BJ211" i="178"/>
  <c r="AL211" i="178"/>
  <c r="BD211" i="178"/>
  <c r="CB211" i="178"/>
  <c r="GF211" i="178"/>
  <c r="CT211" i="178"/>
  <c r="AR211" i="178"/>
  <c r="CB208" i="178"/>
  <c r="AX208" i="178"/>
  <c r="CN208" i="178"/>
  <c r="DX208" i="178"/>
  <c r="CH208" i="178"/>
  <c r="AF208" i="178"/>
  <c r="GF208" i="178"/>
  <c r="BJ208" i="178"/>
  <c r="AR208" i="178"/>
  <c r="CT208" i="178"/>
  <c r="AL208" i="178"/>
  <c r="BD208" i="178"/>
  <c r="BV208" i="178"/>
  <c r="FB208" i="178"/>
  <c r="BP208" i="178"/>
  <c r="Z208" i="178"/>
  <c r="BO205" i="178"/>
  <c r="FA205" i="178"/>
  <c r="AK205" i="178"/>
  <c r="CA205" i="178"/>
  <c r="GE205" i="178"/>
  <c r="CS205" i="178"/>
  <c r="CM205" i="178"/>
  <c r="BU205" i="178"/>
  <c r="BC205" i="178"/>
  <c r="AW205" i="178"/>
  <c r="AE205" i="178"/>
  <c r="BI205" i="178"/>
  <c r="Y205" i="178"/>
  <c r="DW205" i="178"/>
  <c r="AQ205" i="178"/>
  <c r="CG205" i="178"/>
  <c r="DU204" i="178"/>
  <c r="AC204" i="178"/>
  <c r="BS204" i="178"/>
  <c r="CQ204" i="178"/>
  <c r="EY204" i="178"/>
  <c r="AI204" i="178"/>
  <c r="CE204" i="178"/>
  <c r="BM204" i="178"/>
  <c r="AU204" i="178"/>
  <c r="BG204" i="178"/>
  <c r="W204" i="178"/>
  <c r="BA204" i="178"/>
  <c r="GC204" i="178"/>
  <c r="CK204" i="178"/>
  <c r="AO204" i="178"/>
  <c r="BY204" i="178"/>
  <c r="CS212" i="178"/>
  <c r="CG212" i="178"/>
  <c r="CM212" i="178"/>
  <c r="BC212" i="178"/>
  <c r="CA212" i="178"/>
  <c r="BI212" i="178"/>
  <c r="AE212" i="178"/>
  <c r="GE212" i="178"/>
  <c r="FA212" i="178"/>
  <c r="Y212" i="178"/>
  <c r="BO212" i="178"/>
  <c r="AQ212" i="178"/>
  <c r="BU212" i="178"/>
  <c r="AK212" i="178"/>
  <c r="DW212" i="178"/>
  <c r="AW212" i="178"/>
  <c r="GH254" i="178"/>
  <c r="GH243" i="178"/>
  <c r="GH242" i="178"/>
  <c r="GH251" i="178"/>
  <c r="GH241" i="178"/>
  <c r="GH240" i="178"/>
  <c r="GH236" i="178"/>
  <c r="GH235" i="178"/>
  <c r="GH255" i="178"/>
  <c r="GH245" i="178"/>
  <c r="GH230" i="178"/>
  <c r="GH232" i="178"/>
  <c r="GH248" i="178" s="1"/>
  <c r="GH229" i="178"/>
  <c r="GH238" i="178"/>
  <c r="GH233" i="178"/>
  <c r="DB251" i="178"/>
  <c r="DB243" i="178"/>
  <c r="DB242" i="178"/>
  <c r="DB238" i="178"/>
  <c r="DB254" i="178"/>
  <c r="DB241" i="178"/>
  <c r="DB245" i="178"/>
  <c r="DB240" i="178"/>
  <c r="DB235" i="178"/>
  <c r="DB230" i="178"/>
  <c r="DB255" i="178"/>
  <c r="DB232" i="178"/>
  <c r="DB248" i="178" s="1"/>
  <c r="DB229" i="178"/>
  <c r="DB233" i="178"/>
  <c r="DB236" i="178"/>
  <c r="CG47" i="178"/>
  <c r="FA47" i="178"/>
  <c r="AK47" i="178"/>
  <c r="AE47" i="178"/>
  <c r="GE47" i="178"/>
  <c r="CS47" i="178"/>
  <c r="CA47" i="178"/>
  <c r="BI47" i="178"/>
  <c r="AQ47" i="178"/>
  <c r="Y47" i="178"/>
  <c r="CM47" i="178"/>
  <c r="BU47" i="178"/>
  <c r="BC47" i="178"/>
  <c r="DW47" i="178"/>
  <c r="BO47" i="178"/>
  <c r="AW47" i="178"/>
  <c r="N108" i="178"/>
  <c r="N149" i="178"/>
  <c r="N205" i="178"/>
  <c r="N212" i="178"/>
  <c r="EY50" i="178"/>
  <c r="AI50" i="178"/>
  <c r="BG50" i="178"/>
  <c r="DU50" i="178"/>
  <c r="CE50" i="178"/>
  <c r="BM50" i="178"/>
  <c r="AU50" i="178"/>
  <c r="AC50" i="178"/>
  <c r="GC50" i="178"/>
  <c r="CQ50" i="178"/>
  <c r="BY50" i="178"/>
  <c r="W50" i="178"/>
  <c r="AO50" i="178"/>
  <c r="CK50" i="178"/>
  <c r="BS50" i="178"/>
  <c r="BA50" i="178"/>
  <c r="CN52" i="178"/>
  <c r="GF52" i="178"/>
  <c r="AR52" i="178"/>
  <c r="BV52" i="178"/>
  <c r="BD52" i="178"/>
  <c r="AL52" i="178"/>
  <c r="DX52" i="178"/>
  <c r="CH52" i="178"/>
  <c r="BP52" i="178"/>
  <c r="AX52" i="178"/>
  <c r="AF52" i="178"/>
  <c r="CT52" i="178"/>
  <c r="CB52" i="178"/>
  <c r="BJ52" i="178"/>
  <c r="Z52" i="178"/>
  <c r="FB52" i="178"/>
  <c r="EY54" i="178"/>
  <c r="AI54" i="178"/>
  <c r="CK54" i="178"/>
  <c r="BG54" i="178"/>
  <c r="DU54" i="178"/>
  <c r="AC54" i="178"/>
  <c r="GC54" i="178"/>
  <c r="W54" i="178"/>
  <c r="BY54" i="178"/>
  <c r="BM54" i="178"/>
  <c r="AO54" i="178"/>
  <c r="CE54" i="178"/>
  <c r="BA54" i="178"/>
  <c r="CQ54" i="178"/>
  <c r="BS54" i="178"/>
  <c r="AU54" i="178"/>
  <c r="BN77" i="178"/>
  <c r="CL77" i="178"/>
  <c r="CR77" i="178"/>
  <c r="X77" i="178"/>
  <c r="BT77" i="178"/>
  <c r="BB77" i="178"/>
  <c r="EZ77" i="178"/>
  <c r="AD77" i="178"/>
  <c r="AV77" i="178"/>
  <c r="BH77" i="178"/>
  <c r="AP77" i="178"/>
  <c r="BZ77" i="178"/>
  <c r="GD77" i="178"/>
  <c r="AJ77" i="178"/>
  <c r="DV77" i="178"/>
  <c r="CF77" i="178"/>
  <c r="BZ64" i="178"/>
  <c r="AP64" i="178"/>
  <c r="BT64" i="178"/>
  <c r="DV64" i="178"/>
  <c r="X64" i="178"/>
  <c r="BB64" i="178"/>
  <c r="CF64" i="178"/>
  <c r="GD64" i="178"/>
  <c r="AJ64" i="178"/>
  <c r="CR64" i="178"/>
  <c r="AV64" i="178"/>
  <c r="AD64" i="178"/>
  <c r="EZ64" i="178"/>
  <c r="BH64" i="178"/>
  <c r="CL64" i="178"/>
  <c r="BN64" i="178"/>
  <c r="GD63" i="178"/>
  <c r="AP63" i="178"/>
  <c r="BT63" i="178"/>
  <c r="X63" i="178"/>
  <c r="DV63" i="178"/>
  <c r="BB63" i="178"/>
  <c r="CF63" i="178"/>
  <c r="AJ63" i="178"/>
  <c r="BN63" i="178"/>
  <c r="AV63" i="178"/>
  <c r="BZ63" i="178"/>
  <c r="EZ63" i="178"/>
  <c r="BH63" i="178"/>
  <c r="CL63" i="178"/>
  <c r="AD63" i="178"/>
  <c r="CR63" i="178"/>
  <c r="BD63" i="178"/>
  <c r="DX63" i="178"/>
  <c r="CH63" i="178"/>
  <c r="AL63" i="178"/>
  <c r="GF63" i="178"/>
  <c r="BP63" i="178"/>
  <c r="CT63" i="178"/>
  <c r="AX63" i="178"/>
  <c r="FB63" i="178"/>
  <c r="AF63" i="178"/>
  <c r="BJ63" i="178"/>
  <c r="CN63" i="178"/>
  <c r="AR63" i="178"/>
  <c r="BV63" i="178"/>
  <c r="Z63" i="178"/>
  <c r="CB63" i="178"/>
  <c r="BZ56" i="178"/>
  <c r="AV56" i="178"/>
  <c r="BH56" i="178"/>
  <c r="DV56" i="178"/>
  <c r="AD56" i="178"/>
  <c r="BT56" i="178"/>
  <c r="CF56" i="178"/>
  <c r="EZ56" i="178"/>
  <c r="AJ56" i="178"/>
  <c r="GD56" i="178"/>
  <c r="AP56" i="178"/>
  <c r="BN56" i="178"/>
  <c r="CR56" i="178"/>
  <c r="X56" i="178"/>
  <c r="CL56" i="178"/>
  <c r="BB56" i="178"/>
  <c r="BA72" i="178"/>
  <c r="BY72" i="178"/>
  <c r="CE72" i="178"/>
  <c r="GC72" i="178"/>
  <c r="AI72" i="178"/>
  <c r="CK72" i="178"/>
  <c r="BS72" i="178"/>
  <c r="EY72" i="178"/>
  <c r="AU72" i="178"/>
  <c r="AC72" i="178"/>
  <c r="BM72" i="178"/>
  <c r="DU72" i="178"/>
  <c r="W72" i="178"/>
  <c r="BG72" i="178"/>
  <c r="AO72" i="178"/>
  <c r="CQ72" i="178"/>
  <c r="BS51" i="178"/>
  <c r="CQ51" i="178"/>
  <c r="W51" i="178"/>
  <c r="AC51" i="178"/>
  <c r="GC51" i="178"/>
  <c r="BY51" i="178"/>
  <c r="BG51" i="178"/>
  <c r="AO51" i="178"/>
  <c r="CK51" i="178"/>
  <c r="EY51" i="178"/>
  <c r="BA51" i="178"/>
  <c r="AI51" i="178"/>
  <c r="DU51" i="178"/>
  <c r="CE51" i="178"/>
  <c r="BM51" i="178"/>
  <c r="AU51" i="178"/>
  <c r="AX94" i="178"/>
  <c r="BV94" i="178"/>
  <c r="DX94" i="178"/>
  <c r="CH94" i="178"/>
  <c r="BP94" i="178"/>
  <c r="AF94" i="178"/>
  <c r="GF94" i="178"/>
  <c r="CT94" i="178"/>
  <c r="CB94" i="178"/>
  <c r="BJ94" i="178"/>
  <c r="AR94" i="178"/>
  <c r="FB94" i="178"/>
  <c r="CN94" i="178"/>
  <c r="BD94" i="178"/>
  <c r="AL94" i="178"/>
  <c r="Z94" i="178"/>
  <c r="BB103" i="178"/>
  <c r="BN103" i="178"/>
  <c r="EZ103" i="178"/>
  <c r="AJ103" i="178"/>
  <c r="BZ103" i="178"/>
  <c r="CF103" i="178"/>
  <c r="DV103" i="178"/>
  <c r="AD103" i="178"/>
  <c r="CR103" i="178"/>
  <c r="BT103" i="178"/>
  <c r="AV103" i="178"/>
  <c r="CL103" i="178"/>
  <c r="GD103" i="178"/>
  <c r="AP103" i="178"/>
  <c r="BH103" i="178"/>
  <c r="X103" i="178"/>
  <c r="BP103" i="178"/>
  <c r="CB103" i="178"/>
  <c r="AX103" i="178"/>
  <c r="CN103" i="178"/>
  <c r="CT103" i="178"/>
  <c r="BD103" i="178"/>
  <c r="AF103" i="178"/>
  <c r="BV103" i="178"/>
  <c r="GF103" i="178"/>
  <c r="Z103" i="178"/>
  <c r="BJ103" i="178"/>
  <c r="FB103" i="178"/>
  <c r="CH103" i="178"/>
  <c r="DX103" i="178"/>
  <c r="AL103" i="178"/>
  <c r="AR103" i="178"/>
  <c r="DX97" i="178"/>
  <c r="AF97" i="178"/>
  <c r="BD97" i="178"/>
  <c r="FB97" i="178"/>
  <c r="CN97" i="178"/>
  <c r="BV97" i="178"/>
  <c r="AL97" i="178"/>
  <c r="AX97" i="178"/>
  <c r="GF97" i="178"/>
  <c r="CT97" i="178"/>
  <c r="CB97" i="178"/>
  <c r="BJ97" i="178"/>
  <c r="AR97" i="178"/>
  <c r="Z97" i="178"/>
  <c r="BP97" i="178"/>
  <c r="CH97" i="178"/>
  <c r="CB85" i="178"/>
  <c r="AX85" i="178"/>
  <c r="CN85" i="178"/>
  <c r="BJ85" i="178"/>
  <c r="DX85" i="178"/>
  <c r="AF85" i="178"/>
  <c r="BV85" i="178"/>
  <c r="CH85" i="178"/>
  <c r="BD85" i="178"/>
  <c r="BP85" i="178"/>
  <c r="FB85" i="178"/>
  <c r="AL85" i="178"/>
  <c r="AR85" i="178"/>
  <c r="GF85" i="178"/>
  <c r="CT85" i="178"/>
  <c r="Z85" i="178"/>
  <c r="CN83" i="178"/>
  <c r="BJ83" i="178"/>
  <c r="DX83" i="178"/>
  <c r="AF83" i="178"/>
  <c r="BV83" i="178"/>
  <c r="GF83" i="178"/>
  <c r="AR83" i="178"/>
  <c r="CH83" i="178"/>
  <c r="CT83" i="178"/>
  <c r="Z83" i="178"/>
  <c r="BP83" i="178"/>
  <c r="CB83" i="178"/>
  <c r="AX83" i="178"/>
  <c r="FB83" i="178"/>
  <c r="AL83" i="178"/>
  <c r="BD83" i="178"/>
  <c r="CR128" i="178"/>
  <c r="X128" i="178"/>
  <c r="EZ128" i="178"/>
  <c r="AJ128" i="178"/>
  <c r="BZ128" i="178"/>
  <c r="AV128" i="178"/>
  <c r="BT128" i="178"/>
  <c r="BB128" i="178"/>
  <c r="AD128" i="178"/>
  <c r="CF128" i="178"/>
  <c r="GD128" i="178"/>
  <c r="DV128" i="178"/>
  <c r="AP128" i="178"/>
  <c r="BN128" i="178"/>
  <c r="CL128" i="178"/>
  <c r="BH128" i="178"/>
  <c r="DU100" i="178"/>
  <c r="AC100" i="178"/>
  <c r="BA100" i="178"/>
  <c r="CE100" i="178"/>
  <c r="BM100" i="178"/>
  <c r="AU100" i="178"/>
  <c r="GC100" i="178"/>
  <c r="CQ100" i="178"/>
  <c r="BY100" i="178"/>
  <c r="BG100" i="178"/>
  <c r="AO100" i="178"/>
  <c r="W100" i="178"/>
  <c r="EY100" i="178"/>
  <c r="CK100" i="178"/>
  <c r="BS100" i="178"/>
  <c r="AI100" i="178"/>
  <c r="CM121" i="178"/>
  <c r="GE121" i="178"/>
  <c r="AQ121" i="178"/>
  <c r="AW121" i="178"/>
  <c r="FA121" i="178"/>
  <c r="AE121" i="178"/>
  <c r="CG121" i="178"/>
  <c r="BO121" i="178"/>
  <c r="DW121" i="178"/>
  <c r="Y121" i="178"/>
  <c r="CS121" i="178"/>
  <c r="CA121" i="178"/>
  <c r="BC121" i="178"/>
  <c r="AK121" i="178"/>
  <c r="BU121" i="178"/>
  <c r="BI121" i="178"/>
  <c r="BT130" i="178"/>
  <c r="AP130" i="178"/>
  <c r="GD130" i="178"/>
  <c r="CF130" i="178"/>
  <c r="BB130" i="178"/>
  <c r="CR130" i="178"/>
  <c r="X130" i="178"/>
  <c r="BN130" i="178"/>
  <c r="EZ130" i="178"/>
  <c r="BZ130" i="178"/>
  <c r="AV130" i="178"/>
  <c r="DV130" i="178"/>
  <c r="AD130" i="178"/>
  <c r="AJ130" i="178"/>
  <c r="CL130" i="178"/>
  <c r="BH130" i="178"/>
  <c r="CT125" i="178"/>
  <c r="Z125" i="178"/>
  <c r="FB125" i="178"/>
  <c r="AL125" i="178"/>
  <c r="AX125" i="178"/>
  <c r="BD125" i="178"/>
  <c r="BP125" i="178"/>
  <c r="CH125" i="178"/>
  <c r="DX125" i="178"/>
  <c r="CB125" i="178"/>
  <c r="BJ125" i="178"/>
  <c r="AR125" i="178"/>
  <c r="GF125" i="178"/>
  <c r="CN125" i="178"/>
  <c r="BV125" i="178"/>
  <c r="AF125" i="178"/>
  <c r="DV114" i="178"/>
  <c r="AD114" i="178"/>
  <c r="CF114" i="178"/>
  <c r="GD114" i="178"/>
  <c r="AJ114" i="178"/>
  <c r="BN114" i="178"/>
  <c r="CR114" i="178"/>
  <c r="AV114" i="178"/>
  <c r="BZ114" i="178"/>
  <c r="BH114" i="178"/>
  <c r="CL114" i="178"/>
  <c r="AP114" i="178"/>
  <c r="BT114" i="178"/>
  <c r="X114" i="178"/>
  <c r="BB114" i="178"/>
  <c r="EZ114" i="178"/>
  <c r="DV127" i="178"/>
  <c r="AD127" i="178"/>
  <c r="GD127" i="178"/>
  <c r="AP127" i="178"/>
  <c r="CF127" i="178"/>
  <c r="BB127" i="178"/>
  <c r="BZ127" i="178"/>
  <c r="BH127" i="178"/>
  <c r="EZ127" i="178"/>
  <c r="AJ127" i="178"/>
  <c r="CR127" i="178"/>
  <c r="BT127" i="178"/>
  <c r="AV127" i="178"/>
  <c r="X127" i="178"/>
  <c r="CL127" i="178"/>
  <c r="BN127" i="178"/>
  <c r="BY121" i="178"/>
  <c r="DU121" i="178"/>
  <c r="AC121" i="178"/>
  <c r="EY121" i="178"/>
  <c r="AI121" i="178"/>
  <c r="BS121" i="178"/>
  <c r="BA121" i="178"/>
  <c r="CK121" i="178"/>
  <c r="AU121" i="178"/>
  <c r="CE121" i="178"/>
  <c r="BM121" i="178"/>
  <c r="AO121" i="178"/>
  <c r="W121" i="178"/>
  <c r="BG121" i="178"/>
  <c r="GC121" i="178"/>
  <c r="CQ121" i="178"/>
  <c r="BH124" i="178"/>
  <c r="BT124" i="178"/>
  <c r="CF124" i="178"/>
  <c r="CL124" i="178"/>
  <c r="CR124" i="178"/>
  <c r="GD124" i="178"/>
  <c r="BB124" i="178"/>
  <c r="AJ124" i="178"/>
  <c r="EZ124" i="178"/>
  <c r="BN124" i="178"/>
  <c r="AV124" i="178"/>
  <c r="DV124" i="178"/>
  <c r="AP124" i="178"/>
  <c r="X124" i="178"/>
  <c r="BZ124" i="178"/>
  <c r="AD124" i="178"/>
  <c r="DV137" i="178"/>
  <c r="AD137" i="178"/>
  <c r="BB137" i="178"/>
  <c r="CR137" i="178"/>
  <c r="GD137" i="178"/>
  <c r="BZ137" i="178"/>
  <c r="BH137" i="178"/>
  <c r="AP137" i="178"/>
  <c r="X137" i="178"/>
  <c r="EZ137" i="178"/>
  <c r="CL137" i="178"/>
  <c r="BT137" i="178"/>
  <c r="CF137" i="178"/>
  <c r="BN137" i="178"/>
  <c r="AV137" i="178"/>
  <c r="AJ137" i="178"/>
  <c r="BY129" i="178"/>
  <c r="AU129" i="178"/>
  <c r="CK129" i="178"/>
  <c r="BG129" i="178"/>
  <c r="DU129" i="178"/>
  <c r="AC129" i="178"/>
  <c r="BS129" i="178"/>
  <c r="BA129" i="178"/>
  <c r="EY129" i="178"/>
  <c r="AI129" i="178"/>
  <c r="GC129" i="178"/>
  <c r="AO129" i="178"/>
  <c r="BM129" i="178"/>
  <c r="W129" i="178"/>
  <c r="CE129" i="178"/>
  <c r="CQ129" i="178"/>
  <c r="BA139" i="178"/>
  <c r="BY139" i="178"/>
  <c r="AU139" i="178"/>
  <c r="CK139" i="178"/>
  <c r="DU139" i="178"/>
  <c r="CE139" i="178"/>
  <c r="BM139" i="178"/>
  <c r="AC139" i="178"/>
  <c r="AO139" i="178"/>
  <c r="W139" i="178"/>
  <c r="GC139" i="178"/>
  <c r="CQ139" i="178"/>
  <c r="BG139" i="178"/>
  <c r="EY139" i="178"/>
  <c r="BS139" i="178"/>
  <c r="AI139" i="178"/>
  <c r="BZ145" i="178"/>
  <c r="AD145" i="178"/>
  <c r="EZ145" i="178"/>
  <c r="BH145" i="178"/>
  <c r="CL145" i="178"/>
  <c r="AP145" i="178"/>
  <c r="BT145" i="178"/>
  <c r="DV145" i="178"/>
  <c r="X145" i="178"/>
  <c r="CF145" i="178"/>
  <c r="GD145" i="178"/>
  <c r="AJ145" i="178"/>
  <c r="AV145" i="178"/>
  <c r="CR145" i="178"/>
  <c r="BN145" i="178"/>
  <c r="BB145" i="178"/>
  <c r="CT144" i="178"/>
  <c r="Z144" i="178"/>
  <c r="BV144" i="178"/>
  <c r="AR144" i="178"/>
  <c r="DX144" i="178"/>
  <c r="BD144" i="178"/>
  <c r="CH144" i="178"/>
  <c r="GF144" i="178"/>
  <c r="BP144" i="178"/>
  <c r="AL144" i="178"/>
  <c r="CB144" i="178"/>
  <c r="AX144" i="178"/>
  <c r="CN144" i="178"/>
  <c r="BJ144" i="178"/>
  <c r="FB144" i="178"/>
  <c r="AF144" i="178"/>
  <c r="AX152" i="178"/>
  <c r="BV152" i="178"/>
  <c r="CB152" i="178"/>
  <c r="AR152" i="178"/>
  <c r="Z152" i="178"/>
  <c r="BJ152" i="178"/>
  <c r="GF152" i="178"/>
  <c r="CT152" i="178"/>
  <c r="BD152" i="178"/>
  <c r="AL152" i="178"/>
  <c r="FB152" i="178"/>
  <c r="AF152" i="178"/>
  <c r="CH152" i="178"/>
  <c r="BP152" i="178"/>
  <c r="DX152" i="178"/>
  <c r="CN152" i="178"/>
  <c r="BG153" i="178"/>
  <c r="CE153" i="178"/>
  <c r="CK153" i="178"/>
  <c r="BA153" i="178"/>
  <c r="AI153" i="178"/>
  <c r="BS153" i="178"/>
  <c r="EY153" i="178"/>
  <c r="AC153" i="178"/>
  <c r="BM153" i="178"/>
  <c r="AU153" i="178"/>
  <c r="W153" i="178"/>
  <c r="AO153" i="178"/>
  <c r="CQ153" i="178"/>
  <c r="BY153" i="178"/>
  <c r="GC153" i="178"/>
  <c r="DU153" i="178"/>
  <c r="FB164" i="178"/>
  <c r="AF164" i="178"/>
  <c r="BJ164" i="178"/>
  <c r="CN164" i="178"/>
  <c r="BV164" i="178"/>
  <c r="AR164" i="178"/>
  <c r="DX164" i="178"/>
  <c r="Z164" i="178"/>
  <c r="CH164" i="178"/>
  <c r="GF164" i="178"/>
  <c r="AL164" i="178"/>
  <c r="BP164" i="178"/>
  <c r="CT164" i="178"/>
  <c r="CB164" i="178"/>
  <c r="AX164" i="178"/>
  <c r="BD164" i="178"/>
  <c r="CS162" i="178"/>
  <c r="Y162" i="178"/>
  <c r="BU162" i="178"/>
  <c r="AQ162" i="178"/>
  <c r="DW162" i="178"/>
  <c r="BC162" i="178"/>
  <c r="CG162" i="178"/>
  <c r="GE162" i="178"/>
  <c r="BO162" i="178"/>
  <c r="AK162" i="178"/>
  <c r="CA162" i="178"/>
  <c r="AW162" i="178"/>
  <c r="FA162" i="178"/>
  <c r="BI162" i="178"/>
  <c r="AE162" i="178"/>
  <c r="CM162" i="178"/>
  <c r="CA160" i="178"/>
  <c r="BO160" i="178"/>
  <c r="CS160" i="178"/>
  <c r="AW160" i="178"/>
  <c r="FA160" i="178"/>
  <c r="BI160" i="178"/>
  <c r="AE160" i="178"/>
  <c r="CM160" i="178"/>
  <c r="BU160" i="178"/>
  <c r="DW160" i="178"/>
  <c r="BC160" i="178"/>
  <c r="Y160" i="178"/>
  <c r="GE160" i="178"/>
  <c r="AK160" i="178"/>
  <c r="CG160" i="178"/>
  <c r="AQ160" i="178"/>
  <c r="AX167" i="178"/>
  <c r="CH167" i="178"/>
  <c r="BP167" i="178"/>
  <c r="AF167" i="178"/>
  <c r="DX167" i="178"/>
  <c r="BJ167" i="178"/>
  <c r="CB167" i="178"/>
  <c r="AL167" i="178"/>
  <c r="CT167" i="178"/>
  <c r="BD167" i="178"/>
  <c r="CN167" i="178"/>
  <c r="FB167" i="178"/>
  <c r="Z167" i="178"/>
  <c r="AR167" i="178"/>
  <c r="GF167" i="178"/>
  <c r="BV167" i="178"/>
  <c r="CG166" i="178"/>
  <c r="AW166" i="178"/>
  <c r="DW166" i="178"/>
  <c r="AE166" i="178"/>
  <c r="FA166" i="178"/>
  <c r="BO166" i="178"/>
  <c r="GE166" i="178"/>
  <c r="CS166" i="178"/>
  <c r="BU166" i="178"/>
  <c r="BC166" i="178"/>
  <c r="CM166" i="178"/>
  <c r="AK166" i="178"/>
  <c r="CA166" i="178"/>
  <c r="Y166" i="178"/>
  <c r="BI166" i="178"/>
  <c r="AQ166" i="178"/>
  <c r="BZ169" i="178"/>
  <c r="AV169" i="178"/>
  <c r="CF169" i="178"/>
  <c r="X169" i="178"/>
  <c r="BB169" i="178"/>
  <c r="BH169" i="178"/>
  <c r="EZ169" i="178"/>
  <c r="AJ169" i="178"/>
  <c r="DV169" i="178"/>
  <c r="BT169" i="178"/>
  <c r="AP169" i="178"/>
  <c r="CR169" i="178"/>
  <c r="BN169" i="178"/>
  <c r="AD169" i="178"/>
  <c r="GD169" i="178"/>
  <c r="CL169" i="178"/>
  <c r="CK172" i="178"/>
  <c r="BG172" i="178"/>
  <c r="CQ172" i="178"/>
  <c r="BY172" i="178"/>
  <c r="W172" i="178"/>
  <c r="DU172" i="178"/>
  <c r="BM172" i="178"/>
  <c r="EY172" i="178"/>
  <c r="CE172" i="178"/>
  <c r="AU172" i="178"/>
  <c r="AO172" i="178"/>
  <c r="GC172" i="178"/>
  <c r="BA172" i="178"/>
  <c r="AI172" i="178"/>
  <c r="BS172" i="178"/>
  <c r="AC172" i="178"/>
  <c r="BT185" i="178"/>
  <c r="BZ185" i="178"/>
  <c r="AV185" i="178"/>
  <c r="CL185" i="178"/>
  <c r="AD185" i="178"/>
  <c r="X185" i="178"/>
  <c r="GD185" i="178"/>
  <c r="BN185" i="178"/>
  <c r="CR185" i="178"/>
  <c r="AJ185" i="178"/>
  <c r="EZ185" i="178"/>
  <c r="DV185" i="178"/>
  <c r="BB185" i="178"/>
  <c r="AP185" i="178"/>
  <c r="CF185" i="178"/>
  <c r="BH185" i="178"/>
  <c r="CG180" i="178"/>
  <c r="FA180" i="178"/>
  <c r="AK180" i="178"/>
  <c r="BU180" i="178"/>
  <c r="GE180" i="178"/>
  <c r="AQ180" i="178"/>
  <c r="CA180" i="178"/>
  <c r="BC180" i="178"/>
  <c r="AW180" i="178"/>
  <c r="AE180" i="178"/>
  <c r="BO180" i="178"/>
  <c r="BI180" i="178"/>
  <c r="CM180" i="178"/>
  <c r="DW180" i="178"/>
  <c r="Y180" i="178"/>
  <c r="CS180" i="178"/>
  <c r="BD174" i="178"/>
  <c r="CN174" i="178"/>
  <c r="BJ174" i="178"/>
  <c r="DX174" i="178"/>
  <c r="CH174" i="178"/>
  <c r="BP174" i="178"/>
  <c r="AX174" i="178"/>
  <c r="AF174" i="178"/>
  <c r="Z174" i="178"/>
  <c r="FB174" i="178"/>
  <c r="AR174" i="178"/>
  <c r="CB174" i="178"/>
  <c r="AL174" i="178"/>
  <c r="BV174" i="178"/>
  <c r="GF174" i="178"/>
  <c r="CT174" i="178"/>
  <c r="GC209" i="178"/>
  <c r="AO209" i="178"/>
  <c r="CQ209" i="178"/>
  <c r="AU209" i="178"/>
  <c r="EY209" i="178"/>
  <c r="CK209" i="178"/>
  <c r="BS209" i="178"/>
  <c r="AC209" i="178"/>
  <c r="DU209" i="178"/>
  <c r="BA209" i="178"/>
  <c r="AI209" i="178"/>
  <c r="BG209" i="178"/>
  <c r="CE209" i="178"/>
  <c r="BY209" i="178"/>
  <c r="W209" i="178"/>
  <c r="BM209" i="178"/>
  <c r="FB185" i="178"/>
  <c r="GF185" i="178"/>
  <c r="CH185" i="178"/>
  <c r="BJ185" i="178"/>
  <c r="BV185" i="178"/>
  <c r="AR185" i="178"/>
  <c r="CT185" i="178"/>
  <c r="AL185" i="178"/>
  <c r="CB185" i="178"/>
  <c r="AX185" i="178"/>
  <c r="BP185" i="178"/>
  <c r="CN185" i="178"/>
  <c r="AF185" i="178"/>
  <c r="Z185" i="178"/>
  <c r="DX185" i="178"/>
  <c r="BD185" i="178"/>
  <c r="CN200" i="178"/>
  <c r="GF200" i="178"/>
  <c r="BD200" i="178"/>
  <c r="BP200" i="178"/>
  <c r="BV200" i="178"/>
  <c r="FB200" i="178"/>
  <c r="AF200" i="178"/>
  <c r="CH200" i="178"/>
  <c r="AR200" i="178"/>
  <c r="AL200" i="178"/>
  <c r="BJ200" i="178"/>
  <c r="Z200" i="178"/>
  <c r="CB200" i="178"/>
  <c r="AX200" i="178"/>
  <c r="CT200" i="178"/>
  <c r="DX200" i="178"/>
  <c r="DW191" i="178"/>
  <c r="AE191" i="178"/>
  <c r="CG191" i="178"/>
  <c r="AW191" i="178"/>
  <c r="BO191" i="178"/>
  <c r="AQ191" i="178"/>
  <c r="Y191" i="178"/>
  <c r="CA191" i="178"/>
  <c r="BI191" i="178"/>
  <c r="AK191" i="178"/>
  <c r="BU191" i="178"/>
  <c r="CS191" i="178"/>
  <c r="GE191" i="178"/>
  <c r="FA191" i="178"/>
  <c r="CM191" i="178"/>
  <c r="BC191" i="178"/>
  <c r="DX206" i="178"/>
  <c r="AF206" i="178"/>
  <c r="BV206" i="178"/>
  <c r="GF206" i="178"/>
  <c r="AR206" i="178"/>
  <c r="FB206" i="178"/>
  <c r="CN206" i="178"/>
  <c r="Z206" i="178"/>
  <c r="BD206" i="178"/>
  <c r="AL206" i="178"/>
  <c r="BP206" i="178"/>
  <c r="CT206" i="178"/>
  <c r="BJ206" i="178"/>
  <c r="AX206" i="178"/>
  <c r="CH206" i="178"/>
  <c r="CB206" i="178"/>
  <c r="FA208" i="178"/>
  <c r="AK208" i="178"/>
  <c r="CA208" i="178"/>
  <c r="AW208" i="178"/>
  <c r="CS208" i="178"/>
  <c r="Y208" i="178"/>
  <c r="BC208" i="178"/>
  <c r="BO208" i="178"/>
  <c r="DW208" i="178"/>
  <c r="BU208" i="178"/>
  <c r="AQ208" i="178"/>
  <c r="CM208" i="178"/>
  <c r="GE208" i="178"/>
  <c r="BI208" i="178"/>
  <c r="AE208" i="178"/>
  <c r="CG208" i="178"/>
  <c r="BY213" i="178"/>
  <c r="DU213" i="178"/>
  <c r="AC213" i="178"/>
  <c r="BM213" i="178"/>
  <c r="EY213" i="178"/>
  <c r="AO213" i="178"/>
  <c r="W213" i="178"/>
  <c r="BG213" i="178"/>
  <c r="GC213" i="178"/>
  <c r="AU213" i="178"/>
  <c r="CK213" i="178"/>
  <c r="AI213" i="178"/>
  <c r="CQ213" i="178"/>
  <c r="BA213" i="178"/>
  <c r="CE213" i="178"/>
  <c r="BS213" i="178"/>
  <c r="CP245" i="178"/>
  <c r="CP243" i="178"/>
  <c r="CP242" i="178"/>
  <c r="CP241" i="178"/>
  <c r="CP230" i="178"/>
  <c r="CP235" i="178"/>
  <c r="CP254" i="178"/>
  <c r="CP233" i="178"/>
  <c r="CP255" i="178"/>
  <c r="CP236" i="178"/>
  <c r="CP251" i="178"/>
  <c r="CP240" i="178"/>
  <c r="CP229" i="178"/>
  <c r="CP238" i="178"/>
  <c r="CP232" i="178"/>
  <c r="CP248" i="178" s="1"/>
  <c r="BA215" i="178"/>
  <c r="BY215" i="178"/>
  <c r="GC215" i="178"/>
  <c r="AO215" i="178"/>
  <c r="CE215" i="178"/>
  <c r="AI215" i="178"/>
  <c r="CK215" i="178"/>
  <c r="BS215" i="178"/>
  <c r="BG215" i="178"/>
  <c r="AC215" i="178"/>
  <c r="BM215" i="178"/>
  <c r="W215" i="178"/>
  <c r="DU215" i="178"/>
  <c r="EY215" i="178"/>
  <c r="CQ215" i="178"/>
  <c r="AU215" i="178"/>
  <c r="FV251" i="178"/>
  <c r="FV243" i="178"/>
  <c r="FV242" i="178"/>
  <c r="FV238" i="178"/>
  <c r="FV254" i="178"/>
  <c r="FV241" i="178"/>
  <c r="FV235" i="178"/>
  <c r="FV230" i="178"/>
  <c r="FV255" i="178"/>
  <c r="FV245" i="178"/>
  <c r="FV232" i="178"/>
  <c r="FV248" i="178" s="1"/>
  <c r="FV233" i="178"/>
  <c r="FV229" i="178"/>
  <c r="FV240" i="178"/>
  <c r="FV236" i="178"/>
  <c r="AW50" i="178"/>
  <c r="BU50" i="178"/>
  <c r="BO50" i="178"/>
  <c r="AE50" i="178"/>
  <c r="GE50" i="178"/>
  <c r="CS50" i="178"/>
  <c r="CA50" i="178"/>
  <c r="BI50" i="178"/>
  <c r="AQ50" i="178"/>
  <c r="Y50" i="178"/>
  <c r="FA50" i="178"/>
  <c r="CM50" i="178"/>
  <c r="BC50" i="178"/>
  <c r="AK50" i="178"/>
  <c r="DW50" i="178"/>
  <c r="CG50" i="178"/>
  <c r="N114" i="178"/>
  <c r="N130" i="178"/>
  <c r="N145" i="178"/>
  <c r="N185" i="178"/>
  <c r="AA107" i="178"/>
  <c r="CU47" i="178"/>
  <c r="GG47" i="178"/>
  <c r="AS47" i="178"/>
  <c r="FC47" i="178"/>
  <c r="CO47" i="178"/>
  <c r="BE47" i="178"/>
  <c r="CI47" i="178"/>
  <c r="BQ47" i="178"/>
  <c r="AG47" i="178"/>
  <c r="O47" i="178"/>
  <c r="CG49" i="178"/>
  <c r="FA49" i="178"/>
  <c r="AK49" i="178"/>
  <c r="BU49" i="178"/>
  <c r="BC49" i="178"/>
  <c r="DW49" i="178"/>
  <c r="BO49" i="178"/>
  <c r="AW49" i="178"/>
  <c r="AE49" i="178"/>
  <c r="GE49" i="178"/>
  <c r="CS49" i="178"/>
  <c r="CA49" i="178"/>
  <c r="BI49" i="178"/>
  <c r="AQ49" i="178"/>
  <c r="Y49" i="178"/>
  <c r="CM49" i="178"/>
  <c r="BZ52" i="178"/>
  <c r="DV52" i="178"/>
  <c r="AD52" i="178"/>
  <c r="AV52" i="178"/>
  <c r="EZ52" i="178"/>
  <c r="CL52" i="178"/>
  <c r="BT52" i="178"/>
  <c r="BB52" i="178"/>
  <c r="AJ52" i="178"/>
  <c r="BN52" i="178"/>
  <c r="N52" i="178"/>
  <c r="CF52" i="178"/>
  <c r="GD52" i="178"/>
  <c r="CR52" i="178"/>
  <c r="BH52" i="178"/>
  <c r="AP52" i="178"/>
  <c r="X52" i="178"/>
  <c r="BZ48" i="178"/>
  <c r="DV48" i="178"/>
  <c r="AD48" i="178"/>
  <c r="BH48" i="178"/>
  <c r="AP48" i="178"/>
  <c r="X48" i="178"/>
  <c r="EZ48" i="178"/>
  <c r="CL48" i="178"/>
  <c r="BT48" i="178"/>
  <c r="BB48" i="178"/>
  <c r="AJ48" i="178"/>
  <c r="CF48" i="178"/>
  <c r="BN48" i="178"/>
  <c r="AV48" i="178"/>
  <c r="GD48" i="178"/>
  <c r="CR48" i="178"/>
  <c r="CE79" i="178"/>
  <c r="BM79" i="178"/>
  <c r="EY79" i="178"/>
  <c r="AI79" i="178"/>
  <c r="BY79" i="178"/>
  <c r="GC79" i="178"/>
  <c r="AO79" i="178"/>
  <c r="BA79" i="178"/>
  <c r="AC79" i="178"/>
  <c r="DU79" i="178"/>
  <c r="AU79" i="178"/>
  <c r="W79" i="178"/>
  <c r="CQ79" i="178"/>
  <c r="BS79" i="178"/>
  <c r="CK79" i="178"/>
  <c r="BG79" i="178"/>
  <c r="CG65" i="178"/>
  <c r="FA65" i="178"/>
  <c r="AK65" i="178"/>
  <c r="GE65" i="178"/>
  <c r="AQ65" i="178"/>
  <c r="DW65" i="178"/>
  <c r="Y65" i="178"/>
  <c r="CA65" i="178"/>
  <c r="BI65" i="178"/>
  <c r="CS65" i="178"/>
  <c r="CM65" i="178"/>
  <c r="BU65" i="178"/>
  <c r="AW65" i="178"/>
  <c r="AE65" i="178"/>
  <c r="BO65" i="178"/>
  <c r="BC65" i="178"/>
  <c r="AW64" i="178"/>
  <c r="BU64" i="178"/>
  <c r="DW64" i="178"/>
  <c r="Y64" i="178"/>
  <c r="BC64" i="178"/>
  <c r="CG64" i="178"/>
  <c r="GE64" i="178"/>
  <c r="AK64" i="178"/>
  <c r="BO64" i="178"/>
  <c r="CA64" i="178"/>
  <c r="AE64" i="178"/>
  <c r="FA64" i="178"/>
  <c r="BI64" i="178"/>
  <c r="CM64" i="178"/>
  <c r="AQ64" i="178"/>
  <c r="CS64" i="178"/>
  <c r="CH76" i="178"/>
  <c r="FB76" i="178"/>
  <c r="AL76" i="178"/>
  <c r="GF76" i="178"/>
  <c r="AR76" i="178"/>
  <c r="DX76" i="178"/>
  <c r="Z76" i="178"/>
  <c r="CB76" i="178"/>
  <c r="BJ76" i="178"/>
  <c r="CT76" i="178"/>
  <c r="BD76" i="178"/>
  <c r="CN76" i="178"/>
  <c r="BV76" i="178"/>
  <c r="AX76" i="178"/>
  <c r="AF76" i="178"/>
  <c r="BP76" i="178"/>
  <c r="BZ58" i="178"/>
  <c r="AV58" i="178"/>
  <c r="CL58" i="178"/>
  <c r="BH58" i="178"/>
  <c r="DV58" i="178"/>
  <c r="AD58" i="178"/>
  <c r="BT58" i="178"/>
  <c r="CF58" i="178"/>
  <c r="BB58" i="178"/>
  <c r="EZ58" i="178"/>
  <c r="AJ58" i="178"/>
  <c r="X58" i="178"/>
  <c r="AP58" i="178"/>
  <c r="CR58" i="178"/>
  <c r="BN58" i="178"/>
  <c r="GD58" i="178"/>
  <c r="BZ75" i="178"/>
  <c r="DV75" i="178"/>
  <c r="AD75" i="178"/>
  <c r="EZ75" i="178"/>
  <c r="AJ75" i="178"/>
  <c r="GD75" i="178"/>
  <c r="CR75" i="178"/>
  <c r="BT75" i="178"/>
  <c r="BB75" i="178"/>
  <c r="CL75" i="178"/>
  <c r="AV75" i="178"/>
  <c r="CF75" i="178"/>
  <c r="BN75" i="178"/>
  <c r="AP75" i="178"/>
  <c r="X75" i="178"/>
  <c r="BH75" i="178"/>
  <c r="BS53" i="178"/>
  <c r="CQ53" i="178"/>
  <c r="W53" i="178"/>
  <c r="BM53" i="178"/>
  <c r="BA53" i="178"/>
  <c r="AI53" i="178"/>
  <c r="DU53" i="178"/>
  <c r="EY53" i="178"/>
  <c r="CK53" i="178"/>
  <c r="AU53" i="178"/>
  <c r="CE53" i="178"/>
  <c r="AC53" i="178"/>
  <c r="BY53" i="178"/>
  <c r="BG53" i="178"/>
  <c r="AO53" i="178"/>
  <c r="GC53" i="178"/>
  <c r="DV95" i="178"/>
  <c r="AD95" i="178"/>
  <c r="BB95" i="178"/>
  <c r="CF95" i="178"/>
  <c r="BN95" i="178"/>
  <c r="AV95" i="178"/>
  <c r="GD95" i="178"/>
  <c r="CR95" i="178"/>
  <c r="BZ95" i="178"/>
  <c r="BH95" i="178"/>
  <c r="AP95" i="178"/>
  <c r="X95" i="178"/>
  <c r="EZ95" i="178"/>
  <c r="CL95" i="178"/>
  <c r="BT95" i="178"/>
  <c r="AJ95" i="178"/>
  <c r="BN89" i="178"/>
  <c r="AP89" i="178"/>
  <c r="BT89" i="178"/>
  <c r="DV89" i="178"/>
  <c r="BB89" i="178"/>
  <c r="X89" i="178"/>
  <c r="CF89" i="178"/>
  <c r="GD89" i="178"/>
  <c r="AJ89" i="178"/>
  <c r="CR89" i="178"/>
  <c r="AV89" i="178"/>
  <c r="BZ89" i="178"/>
  <c r="EZ89" i="178"/>
  <c r="BH89" i="178"/>
  <c r="AD89" i="178"/>
  <c r="CL89" i="178"/>
  <c r="CH105" i="178"/>
  <c r="CT105" i="178"/>
  <c r="Z105" i="178"/>
  <c r="BP105" i="178"/>
  <c r="FB105" i="178"/>
  <c r="AL105" i="178"/>
  <c r="CB105" i="178"/>
  <c r="GF105" i="178"/>
  <c r="AR105" i="178"/>
  <c r="DX105" i="178"/>
  <c r="AF105" i="178"/>
  <c r="BD105" i="178"/>
  <c r="AX105" i="178"/>
  <c r="BV105" i="178"/>
  <c r="BJ105" i="178"/>
  <c r="CN105" i="178"/>
  <c r="BA106" i="178"/>
  <c r="CQ106" i="178"/>
  <c r="BM106" i="178"/>
  <c r="EY106" i="178"/>
  <c r="AI106" i="178"/>
  <c r="BY106" i="178"/>
  <c r="AU106" i="178"/>
  <c r="BG106" i="178"/>
  <c r="DU106" i="178"/>
  <c r="CE106" i="178"/>
  <c r="W106" i="178"/>
  <c r="GC106" i="178"/>
  <c r="BS106" i="178"/>
  <c r="AO106" i="178"/>
  <c r="AC106" i="178"/>
  <c r="CK106" i="178"/>
  <c r="CK86" i="178"/>
  <c r="BG86" i="178"/>
  <c r="DU86" i="178"/>
  <c r="AC86" i="178"/>
  <c r="BS86" i="178"/>
  <c r="GC86" i="178"/>
  <c r="AO86" i="178"/>
  <c r="CE86" i="178"/>
  <c r="CQ86" i="178"/>
  <c r="W86" i="178"/>
  <c r="BM86" i="178"/>
  <c r="EY86" i="178"/>
  <c r="AI86" i="178"/>
  <c r="BY86" i="178"/>
  <c r="AU86" i="178"/>
  <c r="BA86" i="178"/>
  <c r="DU84" i="178"/>
  <c r="AC84" i="178"/>
  <c r="BS84" i="178"/>
  <c r="GC84" i="178"/>
  <c r="AO84" i="178"/>
  <c r="CE84" i="178"/>
  <c r="BA84" i="178"/>
  <c r="CQ84" i="178"/>
  <c r="W84" i="178"/>
  <c r="EY84" i="178"/>
  <c r="AI84" i="178"/>
  <c r="BY84" i="178"/>
  <c r="CK84" i="178"/>
  <c r="BG84" i="178"/>
  <c r="BM84" i="178"/>
  <c r="AU84" i="178"/>
  <c r="BS61" i="178"/>
  <c r="W61" i="178"/>
  <c r="DU61" i="178"/>
  <c r="BA61" i="178"/>
  <c r="CE61" i="178"/>
  <c r="GC61" i="178"/>
  <c r="AI61" i="178"/>
  <c r="BM61" i="178"/>
  <c r="CQ61" i="178"/>
  <c r="BY61" i="178"/>
  <c r="EY61" i="178"/>
  <c r="AC61" i="178"/>
  <c r="CK61" i="178"/>
  <c r="AO61" i="178"/>
  <c r="BG61" i="178"/>
  <c r="AU61" i="178"/>
  <c r="CA118" i="178"/>
  <c r="DW118" i="178"/>
  <c r="AE118" i="178"/>
  <c r="BI118" i="178"/>
  <c r="AQ118" i="178"/>
  <c r="Y118" i="178"/>
  <c r="FA118" i="178"/>
  <c r="CM118" i="178"/>
  <c r="BU118" i="178"/>
  <c r="BC118" i="178"/>
  <c r="AK118" i="178"/>
  <c r="CG118" i="178"/>
  <c r="BO118" i="178"/>
  <c r="AW118" i="178"/>
  <c r="GE118" i="178"/>
  <c r="CS118" i="178"/>
  <c r="DX131" i="178"/>
  <c r="AF131" i="178"/>
  <c r="BD131" i="178"/>
  <c r="FB131" i="178"/>
  <c r="AR131" i="178"/>
  <c r="Z131" i="178"/>
  <c r="CN131" i="178"/>
  <c r="BV131" i="178"/>
  <c r="AL131" i="178"/>
  <c r="CH131" i="178"/>
  <c r="GF131" i="178"/>
  <c r="CT131" i="178"/>
  <c r="AX131" i="178"/>
  <c r="BJ131" i="178"/>
  <c r="CB131" i="178"/>
  <c r="BP131" i="178"/>
  <c r="GE138" i="178"/>
  <c r="AQ138" i="178"/>
  <c r="AK138" i="178"/>
  <c r="DW138" i="178"/>
  <c r="Y138" i="178"/>
  <c r="CS138" i="178"/>
  <c r="CA138" i="178"/>
  <c r="BI138" i="178"/>
  <c r="BU138" i="178"/>
  <c r="FA138" i="178"/>
  <c r="CM138" i="178"/>
  <c r="BO138" i="178"/>
  <c r="AW138" i="178"/>
  <c r="AE138" i="178"/>
  <c r="CG138" i="178"/>
  <c r="BC138" i="178"/>
  <c r="EY126" i="178"/>
  <c r="AI126" i="178"/>
  <c r="AU126" i="178"/>
  <c r="BG126" i="178"/>
  <c r="BM126" i="178"/>
  <c r="W126" i="178"/>
  <c r="AO126" i="178"/>
  <c r="CE126" i="178"/>
  <c r="DU126" i="178"/>
  <c r="BY126" i="178"/>
  <c r="BA126" i="178"/>
  <c r="AC126" i="178"/>
  <c r="CQ126" i="178"/>
  <c r="BS126" i="178"/>
  <c r="GC126" i="178"/>
  <c r="CK126" i="178"/>
  <c r="GF119" i="178"/>
  <c r="AR119" i="178"/>
  <c r="BP119" i="178"/>
  <c r="BV119" i="178"/>
  <c r="CB119" i="178"/>
  <c r="BJ119" i="178"/>
  <c r="CT119" i="178"/>
  <c r="AL119" i="178"/>
  <c r="BD119" i="178"/>
  <c r="AX119" i="178"/>
  <c r="AF119" i="178"/>
  <c r="CH119" i="178"/>
  <c r="DX119" i="178"/>
  <c r="Z119" i="178"/>
  <c r="FB119" i="178"/>
  <c r="CN119" i="178"/>
  <c r="AV104" i="178"/>
  <c r="BH104" i="178"/>
  <c r="DV104" i="178"/>
  <c r="AD104" i="178"/>
  <c r="BT104" i="178"/>
  <c r="BZ104" i="178"/>
  <c r="GD104" i="178"/>
  <c r="CL104" i="178"/>
  <c r="BN104" i="178"/>
  <c r="CF104" i="178"/>
  <c r="AJ104" i="178"/>
  <c r="EZ104" i="178"/>
  <c r="X104" i="178"/>
  <c r="CR104" i="178"/>
  <c r="AP104" i="178"/>
  <c r="BB104" i="178"/>
  <c r="GC135" i="178"/>
  <c r="AO135" i="178"/>
  <c r="BM135" i="178"/>
  <c r="CK135" i="178"/>
  <c r="W135" i="178"/>
  <c r="BS135" i="178"/>
  <c r="BA135" i="178"/>
  <c r="AI135" i="178"/>
  <c r="DU135" i="178"/>
  <c r="CE135" i="178"/>
  <c r="AU135" i="178"/>
  <c r="CQ135" i="178"/>
  <c r="AC135" i="178"/>
  <c r="BY135" i="178"/>
  <c r="BG135" i="178"/>
  <c r="EY135" i="178"/>
  <c r="AX133" i="178"/>
  <c r="BV133" i="178"/>
  <c r="GF133" i="178"/>
  <c r="BP133" i="178"/>
  <c r="AF133" i="178"/>
  <c r="CT133" i="178"/>
  <c r="CB133" i="178"/>
  <c r="BJ133" i="178"/>
  <c r="AR133" i="178"/>
  <c r="FB133" i="178"/>
  <c r="BD133" i="178"/>
  <c r="DX133" i="178"/>
  <c r="AL133" i="178"/>
  <c r="CH133" i="178"/>
  <c r="CN133" i="178"/>
  <c r="Z133" i="178"/>
  <c r="BV134" i="178"/>
  <c r="CT134" i="178"/>
  <c r="Z134" i="178"/>
  <c r="FB134" i="178"/>
  <c r="AR134" i="178"/>
  <c r="CN134" i="178"/>
  <c r="BD134" i="178"/>
  <c r="AL134" i="178"/>
  <c r="DX134" i="178"/>
  <c r="GF134" i="178"/>
  <c r="AX134" i="178"/>
  <c r="AF134" i="178"/>
  <c r="CB134" i="178"/>
  <c r="BJ134" i="178"/>
  <c r="BP134" i="178"/>
  <c r="CH134" i="178"/>
  <c r="CF135" i="178"/>
  <c r="EZ135" i="178"/>
  <c r="AJ135" i="178"/>
  <c r="BT135" i="178"/>
  <c r="BB135" i="178"/>
  <c r="DV135" i="178"/>
  <c r="BN135" i="178"/>
  <c r="GD135" i="178"/>
  <c r="CR135" i="178"/>
  <c r="AD135" i="178"/>
  <c r="BZ135" i="178"/>
  <c r="BH135" i="178"/>
  <c r="CL135" i="178"/>
  <c r="AP135" i="178"/>
  <c r="X135" i="178"/>
  <c r="AV135" i="178"/>
  <c r="CB142" i="178"/>
  <c r="GF142" i="178"/>
  <c r="AL142" i="178"/>
  <c r="BP142" i="178"/>
  <c r="AF142" i="178"/>
  <c r="CH142" i="178"/>
  <c r="FB142" i="178"/>
  <c r="BD142" i="178"/>
  <c r="DX142" i="178"/>
  <c r="CT142" i="178"/>
  <c r="Z142" i="178"/>
  <c r="CN142" i="178"/>
  <c r="AR142" i="178"/>
  <c r="BJ142" i="178"/>
  <c r="BV142" i="178"/>
  <c r="AX142" i="178"/>
  <c r="BV148" i="178"/>
  <c r="CT148" i="178"/>
  <c r="Z148" i="178"/>
  <c r="DX148" i="178"/>
  <c r="AF148" i="178"/>
  <c r="FB148" i="178"/>
  <c r="CN148" i="178"/>
  <c r="BP148" i="178"/>
  <c r="AX148" i="178"/>
  <c r="CH148" i="178"/>
  <c r="CB148" i="178"/>
  <c r="BJ148" i="178"/>
  <c r="AL148" i="178"/>
  <c r="BD148" i="178"/>
  <c r="AR148" i="178"/>
  <c r="GF148" i="178"/>
  <c r="AV150" i="178"/>
  <c r="BT150" i="178"/>
  <c r="BZ150" i="178"/>
  <c r="CF150" i="178"/>
  <c r="BN150" i="178"/>
  <c r="DV150" i="178"/>
  <c r="AP150" i="178"/>
  <c r="X150" i="178"/>
  <c r="BH150" i="178"/>
  <c r="BB150" i="178"/>
  <c r="AJ150" i="178"/>
  <c r="EZ150" i="178"/>
  <c r="AD150" i="178"/>
  <c r="GD150" i="178"/>
  <c r="CR150" i="178"/>
  <c r="CL150" i="178"/>
  <c r="BP154" i="178"/>
  <c r="CB154" i="178"/>
  <c r="CN154" i="178"/>
  <c r="CT154" i="178"/>
  <c r="Z154" i="178"/>
  <c r="AR154" i="178"/>
  <c r="AL154" i="178"/>
  <c r="GF154" i="178"/>
  <c r="BD154" i="178"/>
  <c r="BV154" i="178"/>
  <c r="FB154" i="178"/>
  <c r="AX154" i="178"/>
  <c r="AF154" i="178"/>
  <c r="DX154" i="178"/>
  <c r="CH154" i="178"/>
  <c r="BJ154" i="178"/>
  <c r="BY155" i="178"/>
  <c r="CK155" i="178"/>
  <c r="DU155" i="178"/>
  <c r="AC155" i="178"/>
  <c r="EY155" i="178"/>
  <c r="AI155" i="178"/>
  <c r="BA155" i="178"/>
  <c r="CQ155" i="178"/>
  <c r="BS155" i="178"/>
  <c r="GC155" i="178"/>
  <c r="W155" i="178"/>
  <c r="BM155" i="178"/>
  <c r="AO155" i="178"/>
  <c r="CE155" i="178"/>
  <c r="BG155" i="178"/>
  <c r="AU155" i="178"/>
  <c r="BD166" i="178"/>
  <c r="CN166" i="178"/>
  <c r="BV166" i="178"/>
  <c r="BP166" i="178"/>
  <c r="CH166" i="178"/>
  <c r="AX166" i="178"/>
  <c r="AF166" i="178"/>
  <c r="DX166" i="178"/>
  <c r="CB166" i="178"/>
  <c r="BJ166" i="178"/>
  <c r="AR166" i="178"/>
  <c r="Z166" i="178"/>
  <c r="AL166" i="178"/>
  <c r="FB166" i="178"/>
  <c r="GF166" i="178"/>
  <c r="CT166" i="178"/>
  <c r="CB171" i="178"/>
  <c r="AX171" i="178"/>
  <c r="Z171" i="178"/>
  <c r="CN171" i="178"/>
  <c r="FB171" i="178"/>
  <c r="BV171" i="178"/>
  <c r="CH171" i="178"/>
  <c r="GF171" i="178"/>
  <c r="BJ171" i="178"/>
  <c r="AF171" i="178"/>
  <c r="AR171" i="178"/>
  <c r="AL171" i="178"/>
  <c r="BD171" i="178"/>
  <c r="CT171" i="178"/>
  <c r="DX171" i="178"/>
  <c r="BP171" i="178"/>
  <c r="GF161" i="178"/>
  <c r="AR161" i="178"/>
  <c r="AL161" i="178"/>
  <c r="BP161" i="178"/>
  <c r="CT161" i="178"/>
  <c r="AX161" i="178"/>
  <c r="CB161" i="178"/>
  <c r="FB161" i="178"/>
  <c r="AF161" i="178"/>
  <c r="CN161" i="178"/>
  <c r="BV161" i="178"/>
  <c r="Z161" i="178"/>
  <c r="DX161" i="178"/>
  <c r="CH161" i="178"/>
  <c r="BJ161" i="178"/>
  <c r="BD161" i="178"/>
  <c r="BB168" i="178"/>
  <c r="BH168" i="178"/>
  <c r="AD168" i="178"/>
  <c r="CF168" i="178"/>
  <c r="AV168" i="178"/>
  <c r="DV168" i="178"/>
  <c r="BZ168" i="178"/>
  <c r="AP168" i="178"/>
  <c r="BN168" i="178"/>
  <c r="CL168" i="178"/>
  <c r="AJ168" i="178"/>
  <c r="GD168" i="178"/>
  <c r="EZ168" i="178"/>
  <c r="BT168" i="178"/>
  <c r="X168" i="178"/>
  <c r="CR168" i="178"/>
  <c r="CS168" i="178"/>
  <c r="CM168" i="178"/>
  <c r="GE168" i="178"/>
  <c r="BO168" i="178"/>
  <c r="AK168" i="178"/>
  <c r="CA168" i="178"/>
  <c r="DW168" i="178"/>
  <c r="BI168" i="178"/>
  <c r="BC168" i="178"/>
  <c r="AE168" i="178"/>
  <c r="AW168" i="178"/>
  <c r="BU168" i="178"/>
  <c r="Y168" i="178"/>
  <c r="AQ168" i="178"/>
  <c r="CG168" i="178"/>
  <c r="FA168" i="178"/>
  <c r="DW172" i="178"/>
  <c r="AE172" i="178"/>
  <c r="BU172" i="178"/>
  <c r="AW172" i="178"/>
  <c r="BI172" i="178"/>
  <c r="CA172" i="178"/>
  <c r="BC172" i="178"/>
  <c r="AK172" i="178"/>
  <c r="GE172" i="178"/>
  <c r="FA172" i="178"/>
  <c r="AQ172" i="178"/>
  <c r="CG172" i="178"/>
  <c r="CS172" i="178"/>
  <c r="CM172" i="178"/>
  <c r="Y172" i="178"/>
  <c r="BO172" i="178"/>
  <c r="CB175" i="178"/>
  <c r="GF175" i="178"/>
  <c r="AR175" i="178"/>
  <c r="CH175" i="178"/>
  <c r="BJ175" i="178"/>
  <c r="CN175" i="178"/>
  <c r="AX175" i="178"/>
  <c r="FB175" i="178"/>
  <c r="BP175" i="178"/>
  <c r="Z175" i="178"/>
  <c r="CT175" i="178"/>
  <c r="AF175" i="178"/>
  <c r="BV175" i="178"/>
  <c r="AL175" i="178"/>
  <c r="DX175" i="178"/>
  <c r="BD175" i="178"/>
  <c r="AW188" i="178"/>
  <c r="CM188" i="178"/>
  <c r="GE188" i="178"/>
  <c r="AK188" i="178"/>
  <c r="CA188" i="178"/>
  <c r="AE188" i="178"/>
  <c r="CG188" i="178"/>
  <c r="CS188" i="178"/>
  <c r="BC188" i="178"/>
  <c r="BU188" i="178"/>
  <c r="AQ188" i="178"/>
  <c r="FA188" i="178"/>
  <c r="BO188" i="178"/>
  <c r="Y188" i="178"/>
  <c r="DW188" i="178"/>
  <c r="BI188" i="178"/>
  <c r="DU189" i="178"/>
  <c r="AC189" i="178"/>
  <c r="CQ189" i="178"/>
  <c r="BS189" i="178"/>
  <c r="GC189" i="178"/>
  <c r="AI189" i="178"/>
  <c r="AU189" i="178"/>
  <c r="CK189" i="178"/>
  <c r="CE189" i="178"/>
  <c r="AO189" i="178"/>
  <c r="BA189" i="178"/>
  <c r="BG189" i="178"/>
  <c r="BY189" i="178"/>
  <c r="BM189" i="178"/>
  <c r="W189" i="178"/>
  <c r="EY189" i="178"/>
  <c r="CQ175" i="178"/>
  <c r="W175" i="178"/>
  <c r="BG175" i="178"/>
  <c r="DU175" i="178"/>
  <c r="AC175" i="178"/>
  <c r="EY175" i="178"/>
  <c r="BS175" i="178"/>
  <c r="AI175" i="178"/>
  <c r="GC175" i="178"/>
  <c r="BY175" i="178"/>
  <c r="AO175" i="178"/>
  <c r="CE175" i="178"/>
  <c r="AU175" i="178"/>
  <c r="BM175" i="178"/>
  <c r="CK175" i="178"/>
  <c r="BA175" i="178"/>
  <c r="CT187" i="178"/>
  <c r="Z187" i="178"/>
  <c r="BV187" i="178"/>
  <c r="AF187" i="178"/>
  <c r="GF187" i="178"/>
  <c r="AR187" i="178"/>
  <c r="DX187" i="178"/>
  <c r="CH187" i="178"/>
  <c r="BP187" i="178"/>
  <c r="AX187" i="178"/>
  <c r="CB187" i="178"/>
  <c r="BJ187" i="178"/>
  <c r="CN187" i="178"/>
  <c r="AL187" i="178"/>
  <c r="FB187" i="178"/>
  <c r="BD187" i="178"/>
  <c r="CK191" i="178"/>
  <c r="DU191" i="178"/>
  <c r="W191" i="178"/>
  <c r="BM191" i="178"/>
  <c r="CQ191" i="178"/>
  <c r="BY191" i="178"/>
  <c r="AC191" i="178"/>
  <c r="GC191" i="178"/>
  <c r="AU191" i="178"/>
  <c r="BS191" i="178"/>
  <c r="AO191" i="178"/>
  <c r="BG191" i="178"/>
  <c r="BA191" i="178"/>
  <c r="EY191" i="178"/>
  <c r="AI191" i="178"/>
  <c r="CE191" i="178"/>
  <c r="AN245" i="178"/>
  <c r="AN241" i="178"/>
  <c r="AN251" i="178"/>
  <c r="AN254" i="178"/>
  <c r="AN255" i="178"/>
  <c r="AN236" i="178"/>
  <c r="AN230" i="178"/>
  <c r="AN238" i="178"/>
  <c r="AN233" i="178"/>
  <c r="AN35" i="178"/>
  <c r="GF196" i="178"/>
  <c r="AR196" i="178"/>
  <c r="CN196" i="178"/>
  <c r="FB196" i="178"/>
  <c r="AL196" i="178"/>
  <c r="DX196" i="178"/>
  <c r="CH196" i="178"/>
  <c r="BP196" i="178"/>
  <c r="BJ196" i="178"/>
  <c r="BD196" i="178"/>
  <c r="CB196" i="178"/>
  <c r="CT196" i="178"/>
  <c r="AF196" i="178"/>
  <c r="Z196" i="178"/>
  <c r="BV196" i="178"/>
  <c r="AX196" i="178"/>
  <c r="EX251" i="178"/>
  <c r="EX243" i="178"/>
  <c r="EX242" i="178"/>
  <c r="EX254" i="178"/>
  <c r="EX233" i="178"/>
  <c r="EX235" i="178"/>
  <c r="EX238" i="178"/>
  <c r="EX255" i="178"/>
  <c r="EX232" i="178"/>
  <c r="EX248" i="178" s="1"/>
  <c r="EX236" i="178"/>
  <c r="EX230" i="178"/>
  <c r="EX229" i="178"/>
  <c r="EX240" i="178"/>
  <c r="EX241" i="178"/>
  <c r="EX245" i="178"/>
  <c r="BP212" i="178"/>
  <c r="CN212" i="178"/>
  <c r="BD212" i="178"/>
  <c r="FB212" i="178"/>
  <c r="BV212" i="178"/>
  <c r="Z212" i="178"/>
  <c r="AL212" i="178"/>
  <c r="GF212" i="178"/>
  <c r="CT212" i="178"/>
  <c r="AR212" i="178"/>
  <c r="DX212" i="178"/>
  <c r="BJ212" i="178"/>
  <c r="CH212" i="178"/>
  <c r="AF212" i="178"/>
  <c r="AX212" i="178"/>
  <c r="CB212" i="178"/>
  <c r="FJ245" i="178"/>
  <c r="FJ243" i="178"/>
  <c r="FJ242" i="178"/>
  <c r="FJ240" i="178"/>
  <c r="FJ230" i="178"/>
  <c r="FJ251" i="178"/>
  <c r="FJ235" i="178"/>
  <c r="FJ254" i="178"/>
  <c r="FJ233" i="178"/>
  <c r="FJ255" i="178"/>
  <c r="FJ241" i="178"/>
  <c r="FJ238" i="178"/>
  <c r="FJ229" i="178"/>
  <c r="FJ232" i="178"/>
  <c r="FJ248" i="178" s="1"/>
  <c r="FJ236" i="178"/>
  <c r="BO215" i="178"/>
  <c r="CM215" i="178"/>
  <c r="BC215" i="178"/>
  <c r="CS215" i="178"/>
  <c r="Y215" i="178"/>
  <c r="GE215" i="178"/>
  <c r="BU215" i="178"/>
  <c r="AW215" i="178"/>
  <c r="CA215" i="178"/>
  <c r="AK215" i="178"/>
  <c r="BI215" i="178"/>
  <c r="AE215" i="178"/>
  <c r="FA215" i="178"/>
  <c r="CG215" i="178"/>
  <c r="AQ215" i="178"/>
  <c r="DW215" i="178"/>
  <c r="CV243" i="178"/>
  <c r="CV242" i="178"/>
  <c r="CV232" i="178"/>
  <c r="CV248" i="178" s="1"/>
  <c r="CV245" i="178"/>
  <c r="CV240" i="178"/>
  <c r="CV236" i="178"/>
  <c r="CV255" i="178"/>
  <c r="CV254" i="178"/>
  <c r="CV241" i="178"/>
  <c r="CV238" i="178"/>
  <c r="CV235" i="178"/>
  <c r="CV251" i="178"/>
  <c r="CV230" i="178"/>
  <c r="CV233" i="178"/>
  <c r="CV229" i="178"/>
  <c r="BJ213" i="178"/>
  <c r="CH213" i="178"/>
  <c r="AX213" i="178"/>
  <c r="CN213" i="178"/>
  <c r="DX213" i="178"/>
  <c r="AL213" i="178"/>
  <c r="BP213" i="178"/>
  <c r="Z213" i="178"/>
  <c r="FB213" i="178"/>
  <c r="GF213" i="178"/>
  <c r="CT213" i="178"/>
  <c r="AF213" i="178"/>
  <c r="BV213" i="178"/>
  <c r="AR213" i="178"/>
  <c r="CB213" i="178"/>
  <c r="BD213" i="178"/>
  <c r="N103" i="178"/>
  <c r="N104" i="178"/>
  <c r="N134" i="178"/>
  <c r="BQ144" i="178"/>
  <c r="BW144" i="178"/>
  <c r="DY144" i="178"/>
  <c r="BE144" i="178"/>
  <c r="AA144" i="178"/>
  <c r="CI144" i="178"/>
  <c r="GG144" i="178"/>
  <c r="AM144" i="178"/>
  <c r="CC144" i="178"/>
  <c r="AY144" i="178"/>
  <c r="FC144" i="178"/>
  <c r="BK144" i="178"/>
  <c r="CU144" i="178"/>
  <c r="O144" i="178"/>
  <c r="AG144" i="178"/>
  <c r="BU46" i="178"/>
  <c r="DW46" i="178"/>
  <c r="CG46" i="178"/>
  <c r="AK46" i="178"/>
  <c r="CA46" i="178"/>
  <c r="BO46" i="178"/>
  <c r="GE46" i="178"/>
  <c r="AW46" i="178"/>
  <c r="CS46" i="178"/>
  <c r="BI46" i="178"/>
  <c r="AQ46" i="178"/>
  <c r="FA46" i="178"/>
  <c r="CM46" i="178"/>
  <c r="Y46" i="178"/>
  <c r="BC46" i="178"/>
  <c r="AE46" i="178"/>
  <c r="EY46" i="178"/>
  <c r="BG46" i="178"/>
  <c r="W46" i="178"/>
  <c r="BA46" i="178"/>
  <c r="DU46" i="178"/>
  <c r="CE46" i="178"/>
  <c r="AI46" i="178"/>
  <c r="BM46" i="178"/>
  <c r="AU46" i="178"/>
  <c r="CQ46" i="178"/>
  <c r="BY46" i="178"/>
  <c r="AC46" i="178"/>
  <c r="AO46" i="178"/>
  <c r="CK46" i="178"/>
  <c r="BS46" i="178"/>
  <c r="GC46" i="178"/>
  <c r="GD51" i="178"/>
  <c r="AP51" i="178"/>
  <c r="BN51" i="178"/>
  <c r="BT51" i="178"/>
  <c r="CR51" i="178"/>
  <c r="BZ51" i="178"/>
  <c r="BB51" i="178"/>
  <c r="BH51" i="178"/>
  <c r="X51" i="178"/>
  <c r="EZ51" i="178"/>
  <c r="AJ51" i="178"/>
  <c r="CL51" i="178"/>
  <c r="DV51" i="178"/>
  <c r="CF51" i="178"/>
  <c r="AV51" i="178"/>
  <c r="AD51" i="178"/>
  <c r="AW66" i="178"/>
  <c r="BU66" i="178"/>
  <c r="CA66" i="178"/>
  <c r="FA66" i="178"/>
  <c r="AE66" i="178"/>
  <c r="CG66" i="178"/>
  <c r="BO66" i="178"/>
  <c r="DW66" i="178"/>
  <c r="AQ66" i="178"/>
  <c r="Y66" i="178"/>
  <c r="GE66" i="178"/>
  <c r="CS66" i="178"/>
  <c r="BC66" i="178"/>
  <c r="AK66" i="178"/>
  <c r="CM66" i="178"/>
  <c r="BI66" i="178"/>
  <c r="BC74" i="178"/>
  <c r="CA74" i="178"/>
  <c r="CG74" i="178"/>
  <c r="AW74" i="178"/>
  <c r="AE74" i="178"/>
  <c r="BO74" i="178"/>
  <c r="DW74" i="178"/>
  <c r="Y74" i="178"/>
  <c r="BI74" i="178"/>
  <c r="AQ74" i="178"/>
  <c r="GE74" i="178"/>
  <c r="AK74" i="178"/>
  <c r="CM74" i="178"/>
  <c r="BU74" i="178"/>
  <c r="FA74" i="178"/>
  <c r="CS74" i="178"/>
  <c r="BD65" i="178"/>
  <c r="CB65" i="178"/>
  <c r="CH65" i="178"/>
  <c r="DX65" i="178"/>
  <c r="Z65" i="178"/>
  <c r="BJ65" i="178"/>
  <c r="AR65" i="178"/>
  <c r="CT65" i="178"/>
  <c r="GF65" i="178"/>
  <c r="AL65" i="178"/>
  <c r="CN65" i="178"/>
  <c r="BV65" i="178"/>
  <c r="FB65" i="178"/>
  <c r="AX65" i="178"/>
  <c r="AF65" i="178"/>
  <c r="BP65" i="178"/>
  <c r="CE82" i="178"/>
  <c r="BA82" i="178"/>
  <c r="CQ82" i="178"/>
  <c r="W82" i="178"/>
  <c r="BM82" i="178"/>
  <c r="EY82" i="178"/>
  <c r="AI82" i="178"/>
  <c r="BY82" i="178"/>
  <c r="CK82" i="178"/>
  <c r="BG82" i="178"/>
  <c r="GC82" i="178"/>
  <c r="AO82" i="178"/>
  <c r="DU82" i="178"/>
  <c r="AC82" i="178"/>
  <c r="BS82" i="178"/>
  <c r="AU82" i="178"/>
  <c r="AW60" i="178"/>
  <c r="GE60" i="178"/>
  <c r="AK60" i="178"/>
  <c r="BO60" i="178"/>
  <c r="CS60" i="178"/>
  <c r="CA60" i="178"/>
  <c r="AE60" i="178"/>
  <c r="FA60" i="178"/>
  <c r="BI60" i="178"/>
  <c r="AQ60" i="178"/>
  <c r="BU60" i="178"/>
  <c r="BC60" i="178"/>
  <c r="CG60" i="178"/>
  <c r="Y60" i="178"/>
  <c r="DW60" i="178"/>
  <c r="CM60" i="178"/>
  <c r="CQ77" i="178"/>
  <c r="W77" i="178"/>
  <c r="AU77" i="178"/>
  <c r="BA77" i="178"/>
  <c r="GC77" i="178"/>
  <c r="AI77" i="178"/>
  <c r="CK77" i="178"/>
  <c r="BS77" i="178"/>
  <c r="EY77" i="178"/>
  <c r="AC77" i="178"/>
  <c r="BM77" i="178"/>
  <c r="DU77" i="178"/>
  <c r="CE77" i="178"/>
  <c r="BG77" i="178"/>
  <c r="AO77" i="178"/>
  <c r="BY77" i="178"/>
  <c r="BS55" i="178"/>
  <c r="GC55" i="178"/>
  <c r="AO55" i="178"/>
  <c r="BA55" i="178"/>
  <c r="CQ55" i="178"/>
  <c r="W55" i="178"/>
  <c r="BM55" i="178"/>
  <c r="BY55" i="178"/>
  <c r="DU55" i="178"/>
  <c r="BG55" i="178"/>
  <c r="AC55" i="178"/>
  <c r="CK55" i="178"/>
  <c r="CE55" i="178"/>
  <c r="AU55" i="178"/>
  <c r="EY55" i="178"/>
  <c r="AI55" i="178"/>
  <c r="BA96" i="178"/>
  <c r="BY96" i="178"/>
  <c r="AC96" i="178"/>
  <c r="GC96" i="178"/>
  <c r="CQ96" i="178"/>
  <c r="BG96" i="178"/>
  <c r="AO96" i="178"/>
  <c r="W96" i="178"/>
  <c r="BS96" i="178"/>
  <c r="AI96" i="178"/>
  <c r="DU96" i="178"/>
  <c r="CE96" i="178"/>
  <c r="BM96" i="178"/>
  <c r="AU96" i="178"/>
  <c r="CK96" i="178"/>
  <c r="EY96" i="178"/>
  <c r="GF95" i="178"/>
  <c r="AR95" i="178"/>
  <c r="BP95" i="178"/>
  <c r="AF95" i="178"/>
  <c r="CT95" i="178"/>
  <c r="CB95" i="178"/>
  <c r="BJ95" i="178"/>
  <c r="Z95" i="178"/>
  <c r="FB95" i="178"/>
  <c r="BV95" i="178"/>
  <c r="BD95" i="178"/>
  <c r="AL95" i="178"/>
  <c r="DX95" i="178"/>
  <c r="CH95" i="178"/>
  <c r="AX95" i="178"/>
  <c r="CN95" i="178"/>
  <c r="BB87" i="178"/>
  <c r="CR87" i="178"/>
  <c r="X87" i="178"/>
  <c r="BN87" i="178"/>
  <c r="EZ87" i="178"/>
  <c r="AJ87" i="178"/>
  <c r="BZ87" i="178"/>
  <c r="AV87" i="178"/>
  <c r="BH87" i="178"/>
  <c r="DV87" i="178"/>
  <c r="AD87" i="178"/>
  <c r="BT87" i="178"/>
  <c r="GD87" i="178"/>
  <c r="AP87" i="178"/>
  <c r="CF87" i="178"/>
  <c r="CL87" i="178"/>
  <c r="GC109" i="178"/>
  <c r="AO109" i="178"/>
  <c r="DU109" i="178"/>
  <c r="BS109" i="178"/>
  <c r="W109" i="178"/>
  <c r="BA109" i="178"/>
  <c r="CE109" i="178"/>
  <c r="AI109" i="178"/>
  <c r="AU109" i="178"/>
  <c r="EY109" i="178"/>
  <c r="BY109" i="178"/>
  <c r="CK109" i="178"/>
  <c r="BG109" i="178"/>
  <c r="AC109" i="178"/>
  <c r="BM109" i="178"/>
  <c r="CQ109" i="178"/>
  <c r="GD93" i="178"/>
  <c r="AP93" i="178"/>
  <c r="BN93" i="178"/>
  <c r="CL93" i="178"/>
  <c r="BT93" i="178"/>
  <c r="BB93" i="178"/>
  <c r="AJ93" i="178"/>
  <c r="DV93" i="178"/>
  <c r="CF93" i="178"/>
  <c r="AV93" i="178"/>
  <c r="CR93" i="178"/>
  <c r="BZ93" i="178"/>
  <c r="BH93" i="178"/>
  <c r="X93" i="178"/>
  <c r="EZ93" i="178"/>
  <c r="AD93" i="178"/>
  <c r="CM88" i="178"/>
  <c r="BI88" i="178"/>
  <c r="DW88" i="178"/>
  <c r="AE88" i="178"/>
  <c r="BU88" i="178"/>
  <c r="GE88" i="178"/>
  <c r="AQ88" i="178"/>
  <c r="CG88" i="178"/>
  <c r="CS88" i="178"/>
  <c r="Y88" i="178"/>
  <c r="BO88" i="178"/>
  <c r="FA88" i="178"/>
  <c r="AK88" i="178"/>
  <c r="CA88" i="178"/>
  <c r="AW88" i="178"/>
  <c r="BC88" i="178"/>
  <c r="BS63" i="178"/>
  <c r="CK63" i="178"/>
  <c r="AO63" i="178"/>
  <c r="W63" i="178"/>
  <c r="DU63" i="178"/>
  <c r="BA63" i="178"/>
  <c r="CE63" i="178"/>
  <c r="GC63" i="178"/>
  <c r="AI63" i="178"/>
  <c r="CQ63" i="178"/>
  <c r="AU63" i="178"/>
  <c r="BY63" i="178"/>
  <c r="EY63" i="178"/>
  <c r="AC63" i="178"/>
  <c r="BG63" i="178"/>
  <c r="BM63" i="178"/>
  <c r="AX107" i="178"/>
  <c r="CB107" i="178"/>
  <c r="AF107" i="178"/>
  <c r="FB107" i="178"/>
  <c r="BJ107" i="178"/>
  <c r="CN107" i="178"/>
  <c r="AR107" i="178"/>
  <c r="BV107" i="178"/>
  <c r="BD107" i="178"/>
  <c r="CH107" i="178"/>
  <c r="CT107" i="178"/>
  <c r="BP107" i="178"/>
  <c r="GF107" i="178"/>
  <c r="DX107" i="178"/>
  <c r="Z107" i="178"/>
  <c r="AL107" i="178"/>
  <c r="BV111" i="178"/>
  <c r="CN111" i="178"/>
  <c r="AR111" i="178"/>
  <c r="DX111" i="178"/>
  <c r="Z111" i="178"/>
  <c r="CH111" i="178"/>
  <c r="BD111" i="178"/>
  <c r="GF111" i="178"/>
  <c r="CT111" i="178"/>
  <c r="CB111" i="178"/>
  <c r="AX111" i="178"/>
  <c r="FB111" i="178"/>
  <c r="BJ111" i="178"/>
  <c r="AF111" i="178"/>
  <c r="AL111" i="178"/>
  <c r="BP111" i="178"/>
  <c r="AX110" i="178"/>
  <c r="BV110" i="178"/>
  <c r="DX110" i="178"/>
  <c r="BD110" i="178"/>
  <c r="Z110" i="178"/>
  <c r="GF110" i="178"/>
  <c r="CH110" i="178"/>
  <c r="AL110" i="178"/>
  <c r="BP110" i="178"/>
  <c r="FB110" i="178"/>
  <c r="CB110" i="178"/>
  <c r="BJ110" i="178"/>
  <c r="AF110" i="178"/>
  <c r="CN110" i="178"/>
  <c r="AR110" i="178"/>
  <c r="CT110" i="178"/>
  <c r="BO128" i="178"/>
  <c r="FA128" i="178"/>
  <c r="CA128" i="178"/>
  <c r="AW128" i="178"/>
  <c r="CM128" i="178"/>
  <c r="GE128" i="178"/>
  <c r="AQ128" i="178"/>
  <c r="CS128" i="178"/>
  <c r="Y128" i="178"/>
  <c r="CG128" i="178"/>
  <c r="BC128" i="178"/>
  <c r="AK128" i="178"/>
  <c r="BI128" i="178"/>
  <c r="AE128" i="178"/>
  <c r="DW128" i="178"/>
  <c r="BU128" i="178"/>
  <c r="GD122" i="178"/>
  <c r="AP122" i="178"/>
  <c r="BN122" i="178"/>
  <c r="BT122" i="178"/>
  <c r="BZ122" i="178"/>
  <c r="BH122" i="178"/>
  <c r="CR122" i="178"/>
  <c r="AJ122" i="178"/>
  <c r="BB122" i="178"/>
  <c r="AV122" i="178"/>
  <c r="AD122" i="178"/>
  <c r="CF122" i="178"/>
  <c r="DV122" i="178"/>
  <c r="X122" i="178"/>
  <c r="EZ122" i="178"/>
  <c r="CL122" i="178"/>
  <c r="CA113" i="178"/>
  <c r="BO113" i="178"/>
  <c r="CS113" i="178"/>
  <c r="AW113" i="178"/>
  <c r="FA113" i="178"/>
  <c r="BI113" i="178"/>
  <c r="AE113" i="178"/>
  <c r="CM113" i="178"/>
  <c r="BU113" i="178"/>
  <c r="DW113" i="178"/>
  <c r="BC113" i="178"/>
  <c r="Y113" i="178"/>
  <c r="GE113" i="178"/>
  <c r="CG113" i="178"/>
  <c r="AK113" i="178"/>
  <c r="AQ113" i="178"/>
  <c r="BJ92" i="178"/>
  <c r="CH92" i="178"/>
  <c r="FB92" i="178"/>
  <c r="AR92" i="178"/>
  <c r="Z92" i="178"/>
  <c r="CN92" i="178"/>
  <c r="BV92" i="178"/>
  <c r="BD92" i="178"/>
  <c r="DX92" i="178"/>
  <c r="AL92" i="178"/>
  <c r="AX92" i="178"/>
  <c r="GF92" i="178"/>
  <c r="CT92" i="178"/>
  <c r="AF92" i="178"/>
  <c r="CB92" i="178"/>
  <c r="BP92" i="178"/>
  <c r="AX136" i="178"/>
  <c r="BV136" i="178"/>
  <c r="GF136" i="178"/>
  <c r="BP136" i="178"/>
  <c r="AF136" i="178"/>
  <c r="CT136" i="178"/>
  <c r="CB136" i="178"/>
  <c r="BJ136" i="178"/>
  <c r="AR136" i="178"/>
  <c r="FB136" i="178"/>
  <c r="BD136" i="178"/>
  <c r="DX136" i="178"/>
  <c r="AL136" i="178"/>
  <c r="CH136" i="178"/>
  <c r="Z136" i="178"/>
  <c r="CN136" i="178"/>
  <c r="BU137" i="178"/>
  <c r="CS137" i="178"/>
  <c r="Y137" i="178"/>
  <c r="GE137" i="178"/>
  <c r="CA137" i="178"/>
  <c r="BI137" i="178"/>
  <c r="AQ137" i="178"/>
  <c r="FA137" i="178"/>
  <c r="CM137" i="178"/>
  <c r="BC137" i="178"/>
  <c r="AK137" i="178"/>
  <c r="DW137" i="178"/>
  <c r="CG137" i="178"/>
  <c r="BO137" i="178"/>
  <c r="AW137" i="178"/>
  <c r="AE137" i="178"/>
  <c r="BT141" i="178"/>
  <c r="GD141" i="178"/>
  <c r="BZ141" i="178"/>
  <c r="EZ141" i="178"/>
  <c r="CL141" i="178"/>
  <c r="BB141" i="178"/>
  <c r="AJ141" i="178"/>
  <c r="DV141" i="178"/>
  <c r="AD141" i="178"/>
  <c r="CR141" i="178"/>
  <c r="BH141" i="178"/>
  <c r="AP141" i="178"/>
  <c r="X141" i="178"/>
  <c r="AV141" i="178"/>
  <c r="CF141" i="178"/>
  <c r="BN141" i="178"/>
  <c r="BJ116" i="178"/>
  <c r="DX116" i="178"/>
  <c r="Z116" i="178"/>
  <c r="BD116" i="178"/>
  <c r="CH116" i="178"/>
  <c r="GF116" i="178"/>
  <c r="AL116" i="178"/>
  <c r="BP116" i="178"/>
  <c r="CT116" i="178"/>
  <c r="CB116" i="178"/>
  <c r="AF116" i="178"/>
  <c r="FB116" i="178"/>
  <c r="CN116" i="178"/>
  <c r="AR116" i="178"/>
  <c r="BV116" i="178"/>
  <c r="AX116" i="178"/>
  <c r="BD151" i="178"/>
  <c r="CB151" i="178"/>
  <c r="CH151" i="178"/>
  <c r="CN151" i="178"/>
  <c r="BV151" i="178"/>
  <c r="FB151" i="178"/>
  <c r="AX151" i="178"/>
  <c r="AF151" i="178"/>
  <c r="BP151" i="178"/>
  <c r="BJ151" i="178"/>
  <c r="AR151" i="178"/>
  <c r="GF151" i="178"/>
  <c r="AL151" i="178"/>
  <c r="DX151" i="178"/>
  <c r="CT151" i="178"/>
  <c r="Z151" i="178"/>
  <c r="BM152" i="178"/>
  <c r="CK152" i="178"/>
  <c r="CQ152" i="178"/>
  <c r="W152" i="178"/>
  <c r="DU152" i="178"/>
  <c r="CE152" i="178"/>
  <c r="BG152" i="178"/>
  <c r="AO152" i="178"/>
  <c r="BY152" i="178"/>
  <c r="BS152" i="178"/>
  <c r="BA152" i="178"/>
  <c r="EY152" i="178"/>
  <c r="AC152" i="178"/>
  <c r="AU152" i="178"/>
  <c r="AI152" i="178"/>
  <c r="GC152" i="178"/>
  <c r="BA157" i="178"/>
  <c r="CQ157" i="178"/>
  <c r="W157" i="178"/>
  <c r="BM157" i="178"/>
  <c r="EY157" i="178"/>
  <c r="BY157" i="178"/>
  <c r="CE157" i="178"/>
  <c r="CK157" i="178"/>
  <c r="GC157" i="178"/>
  <c r="AO157" i="178"/>
  <c r="BG157" i="178"/>
  <c r="AI157" i="178"/>
  <c r="DU157" i="178"/>
  <c r="AC157" i="178"/>
  <c r="AU157" i="178"/>
  <c r="BS157" i="178"/>
  <c r="CR157" i="178"/>
  <c r="X157" i="178"/>
  <c r="BN157" i="178"/>
  <c r="EZ157" i="178"/>
  <c r="AJ157" i="178"/>
  <c r="BZ157" i="178"/>
  <c r="AV157" i="178"/>
  <c r="BB157" i="178"/>
  <c r="CL157" i="178"/>
  <c r="GD157" i="178"/>
  <c r="AP157" i="178"/>
  <c r="BH157" i="178"/>
  <c r="CF157" i="178"/>
  <c r="AD157" i="178"/>
  <c r="BT157" i="178"/>
  <c r="DV157" i="178"/>
  <c r="FB172" i="178"/>
  <c r="BV172" i="178"/>
  <c r="GF172" i="178"/>
  <c r="AR172" i="178"/>
  <c r="DX172" i="178"/>
  <c r="CB172" i="178"/>
  <c r="BD172" i="178"/>
  <c r="AL172" i="178"/>
  <c r="CN172" i="178"/>
  <c r="AX172" i="178"/>
  <c r="AF172" i="178"/>
  <c r="CH172" i="178"/>
  <c r="Z172" i="178"/>
  <c r="CT172" i="178"/>
  <c r="BP172" i="178"/>
  <c r="BJ172" i="178"/>
  <c r="DV161" i="178"/>
  <c r="AD161" i="178"/>
  <c r="BB161" i="178"/>
  <c r="CF161" i="178"/>
  <c r="GD161" i="178"/>
  <c r="AJ161" i="178"/>
  <c r="BN161" i="178"/>
  <c r="CR161" i="178"/>
  <c r="AV161" i="178"/>
  <c r="EZ161" i="178"/>
  <c r="BH161" i="178"/>
  <c r="CL161" i="178"/>
  <c r="AP161" i="178"/>
  <c r="BT161" i="178"/>
  <c r="X161" i="178"/>
  <c r="BZ161" i="178"/>
  <c r="CL165" i="178"/>
  <c r="AP165" i="178"/>
  <c r="EZ165" i="178"/>
  <c r="BT165" i="178"/>
  <c r="BB165" i="178"/>
  <c r="AJ165" i="178"/>
  <c r="DV165" i="178"/>
  <c r="CF165" i="178"/>
  <c r="BN165" i="178"/>
  <c r="GD165" i="178"/>
  <c r="CR165" i="178"/>
  <c r="BZ165" i="178"/>
  <c r="BH165" i="178"/>
  <c r="X165" i="178"/>
  <c r="AD165" i="178"/>
  <c r="AV165" i="178"/>
  <c r="BJ140" i="178"/>
  <c r="AX140" i="178"/>
  <c r="AR140" i="178"/>
  <c r="DX140" i="178"/>
  <c r="AF140" i="178"/>
  <c r="CH140" i="178"/>
  <c r="BP140" i="178"/>
  <c r="GF140" i="178"/>
  <c r="CT140" i="178"/>
  <c r="CB140" i="178"/>
  <c r="FB140" i="178"/>
  <c r="CN140" i="178"/>
  <c r="BV140" i="178"/>
  <c r="BD140" i="178"/>
  <c r="AL140" i="178"/>
  <c r="Z140" i="178"/>
  <c r="AW169" i="178"/>
  <c r="CM169" i="178"/>
  <c r="BO169" i="178"/>
  <c r="AE169" i="178"/>
  <c r="AK169" i="178"/>
  <c r="FA169" i="178"/>
  <c r="DW169" i="178"/>
  <c r="BU169" i="178"/>
  <c r="AQ169" i="178"/>
  <c r="CS169" i="178"/>
  <c r="BC169" i="178"/>
  <c r="Y169" i="178"/>
  <c r="GE169" i="178"/>
  <c r="CG169" i="178"/>
  <c r="CA169" i="178"/>
  <c r="BI169" i="178"/>
  <c r="BP177" i="178"/>
  <c r="DX177" i="178"/>
  <c r="AF177" i="178"/>
  <c r="BV177" i="178"/>
  <c r="AL177" i="178"/>
  <c r="FB177" i="178"/>
  <c r="CN177" i="178"/>
  <c r="CT177" i="178"/>
  <c r="GF177" i="178"/>
  <c r="CH177" i="178"/>
  <c r="AR177" i="178"/>
  <c r="CB177" i="178"/>
  <c r="BJ177" i="178"/>
  <c r="AX177" i="178"/>
  <c r="Z177" i="178"/>
  <c r="BD177" i="178"/>
  <c r="DW176" i="178"/>
  <c r="AE176" i="178"/>
  <c r="BO176" i="178"/>
  <c r="FA176" i="178"/>
  <c r="AK176" i="178"/>
  <c r="GE176" i="178"/>
  <c r="CS176" i="178"/>
  <c r="AW176" i="178"/>
  <c r="CG176" i="178"/>
  <c r="CM176" i="178"/>
  <c r="BI176" i="178"/>
  <c r="CA176" i="178"/>
  <c r="Y176" i="178"/>
  <c r="BU176" i="178"/>
  <c r="BC176" i="178"/>
  <c r="AQ176" i="178"/>
  <c r="CA185" i="178"/>
  <c r="AW185" i="178"/>
  <c r="FA185" i="178"/>
  <c r="GE185" i="178"/>
  <c r="BO185" i="178"/>
  <c r="CS185" i="178"/>
  <c r="AK185" i="178"/>
  <c r="BI185" i="178"/>
  <c r="CG185" i="178"/>
  <c r="BC185" i="178"/>
  <c r="BU185" i="178"/>
  <c r="AQ185" i="178"/>
  <c r="DW185" i="178"/>
  <c r="AE185" i="178"/>
  <c r="CM185" i="178"/>
  <c r="Y185" i="178"/>
  <c r="DX186" i="178"/>
  <c r="AF186" i="178"/>
  <c r="BD186" i="178"/>
  <c r="AL186" i="178"/>
  <c r="AX186" i="178"/>
  <c r="Z186" i="178"/>
  <c r="FB186" i="178"/>
  <c r="CN186" i="178"/>
  <c r="BV186" i="178"/>
  <c r="CH186" i="178"/>
  <c r="AR186" i="178"/>
  <c r="BP186" i="178"/>
  <c r="CT186" i="178"/>
  <c r="BJ186" i="178"/>
  <c r="GF186" i="178"/>
  <c r="CB186" i="178"/>
  <c r="BB177" i="178"/>
  <c r="CL177" i="178"/>
  <c r="BH177" i="178"/>
  <c r="BN177" i="178"/>
  <c r="AV177" i="178"/>
  <c r="CR177" i="178"/>
  <c r="BZ177" i="178"/>
  <c r="AJ177" i="178"/>
  <c r="BT177" i="178"/>
  <c r="X177" i="178"/>
  <c r="DV177" i="178"/>
  <c r="GD177" i="178"/>
  <c r="CF177" i="178"/>
  <c r="EZ177" i="178"/>
  <c r="AP177" i="178"/>
  <c r="AD177" i="178"/>
  <c r="BV191" i="178"/>
  <c r="GF191" i="178"/>
  <c r="AL191" i="178"/>
  <c r="CB191" i="178"/>
  <c r="CH191" i="178"/>
  <c r="BJ191" i="178"/>
  <c r="CT191" i="178"/>
  <c r="BP191" i="178"/>
  <c r="CN191" i="178"/>
  <c r="BD191" i="178"/>
  <c r="DX191" i="178"/>
  <c r="AR191" i="178"/>
  <c r="AX191" i="178"/>
  <c r="AF191" i="178"/>
  <c r="FB191" i="178"/>
  <c r="Z191" i="178"/>
  <c r="CM193" i="178"/>
  <c r="BC193" i="178"/>
  <c r="FA193" i="178"/>
  <c r="AE193" i="178"/>
  <c r="CS193" i="178"/>
  <c r="CA193" i="178"/>
  <c r="BU193" i="178"/>
  <c r="AQ193" i="178"/>
  <c r="AK193" i="178"/>
  <c r="Y193" i="178"/>
  <c r="AW193" i="178"/>
  <c r="DW193" i="178"/>
  <c r="BO193" i="178"/>
  <c r="BI193" i="178"/>
  <c r="CG193" i="178"/>
  <c r="GE193" i="178"/>
  <c r="BX245" i="178"/>
  <c r="BX243" i="178"/>
  <c r="BX242" i="178"/>
  <c r="BX232" i="178"/>
  <c r="BX248" i="178" s="1"/>
  <c r="BX240" i="178"/>
  <c r="BX255" i="178"/>
  <c r="BX251" i="178"/>
  <c r="BX254" i="178"/>
  <c r="BX241" i="178"/>
  <c r="BX230" i="178"/>
  <c r="BX236" i="178"/>
  <c r="BX235" i="178"/>
  <c r="BX233" i="178"/>
  <c r="BX229" i="178"/>
  <c r="BX238" i="178"/>
  <c r="BX35" i="178"/>
  <c r="FB205" i="178"/>
  <c r="AL205" i="178"/>
  <c r="CB205" i="178"/>
  <c r="AX205" i="178"/>
  <c r="BJ205" i="178"/>
  <c r="AR205" i="178"/>
  <c r="Z205" i="178"/>
  <c r="DX205" i="178"/>
  <c r="CH205" i="178"/>
  <c r="BP205" i="178"/>
  <c r="AF205" i="178"/>
  <c r="CT205" i="178"/>
  <c r="CN205" i="178"/>
  <c r="BD205" i="178"/>
  <c r="GF205" i="178"/>
  <c r="BV205" i="178"/>
  <c r="FD251" i="178"/>
  <c r="FD245" i="178"/>
  <c r="FD254" i="178"/>
  <c r="FD243" i="178"/>
  <c r="FD242" i="178"/>
  <c r="FD240" i="178"/>
  <c r="FD232" i="178"/>
  <c r="FD248" i="178" s="1"/>
  <c r="FD241" i="178"/>
  <c r="FD255" i="178"/>
  <c r="FD233" i="178"/>
  <c r="FD236" i="178"/>
  <c r="FD235" i="178"/>
  <c r="FD238" i="178"/>
  <c r="FD230" i="178"/>
  <c r="FD229" i="178"/>
  <c r="BI186" i="178"/>
  <c r="DW186" i="178"/>
  <c r="Y186" i="178"/>
  <c r="CM186" i="178"/>
  <c r="BU186" i="178"/>
  <c r="BC186" i="178"/>
  <c r="AK186" i="178"/>
  <c r="BO186" i="178"/>
  <c r="AQ186" i="178"/>
  <c r="FA186" i="178"/>
  <c r="CG186" i="178"/>
  <c r="GE186" i="178"/>
  <c r="CA186" i="178"/>
  <c r="AE186" i="178"/>
  <c r="AW186" i="178"/>
  <c r="CS186" i="178"/>
  <c r="CL206" i="178"/>
  <c r="BH206" i="178"/>
  <c r="DV206" i="178"/>
  <c r="AD206" i="178"/>
  <c r="CF206" i="178"/>
  <c r="BN206" i="178"/>
  <c r="AV206" i="178"/>
  <c r="AP206" i="178"/>
  <c r="X206" i="178"/>
  <c r="GD206" i="178"/>
  <c r="CR206" i="178"/>
  <c r="BZ206" i="178"/>
  <c r="BT206" i="178"/>
  <c r="AJ206" i="178"/>
  <c r="EZ206" i="178"/>
  <c r="BB206" i="178"/>
  <c r="V245" i="178"/>
  <c r="V230" i="178"/>
  <c r="V254" i="178"/>
  <c r="V238" i="178"/>
  <c r="V233" i="178"/>
  <c r="V255" i="178"/>
  <c r="V241" i="178"/>
  <c r="V236" i="178"/>
  <c r="V35" i="178"/>
  <c r="BI211" i="178"/>
  <c r="DW211" i="178"/>
  <c r="AE211" i="178"/>
  <c r="GE211" i="178"/>
  <c r="AQ211" i="178"/>
  <c r="CA211" i="178"/>
  <c r="AW211" i="178"/>
  <c r="FA211" i="178"/>
  <c r="CG211" i="178"/>
  <c r="BO211" i="178"/>
  <c r="Y211" i="178"/>
  <c r="BC211" i="178"/>
  <c r="BU211" i="178"/>
  <c r="CM211" i="178"/>
  <c r="AK211" i="178"/>
  <c r="CS211" i="178"/>
  <c r="DU214" i="178"/>
  <c r="AC214" i="178"/>
  <c r="BA214" i="178"/>
  <c r="CK214" i="178"/>
  <c r="BG214" i="178"/>
  <c r="AO214" i="178"/>
  <c r="W214" i="178"/>
  <c r="BY214" i="178"/>
  <c r="BM214" i="178"/>
  <c r="AU214" i="178"/>
  <c r="AI214" i="178"/>
  <c r="EY214" i="178"/>
  <c r="CE214" i="178"/>
  <c r="GC214" i="178"/>
  <c r="BS214" i="178"/>
  <c r="CQ214" i="178"/>
  <c r="N51" i="178"/>
  <c r="N54" i="178"/>
  <c r="N87" i="178"/>
  <c r="N119" i="178"/>
  <c r="N113" i="178"/>
  <c r="N137" i="178"/>
  <c r="N164" i="178"/>
  <c r="N180" i="178"/>
  <c r="AS58" i="178"/>
  <c r="O58" i="178"/>
  <c r="GC44" i="178"/>
  <c r="DU44" i="178"/>
  <c r="CE44" i="178"/>
  <c r="BG44" i="178"/>
  <c r="AI44" i="178"/>
  <c r="FW44" i="178"/>
  <c r="FV223" i="178" s="1"/>
  <c r="DO44" i="178"/>
  <c r="DN223" i="178" s="1"/>
  <c r="BY44" i="178"/>
  <c r="BA44" i="178"/>
  <c r="AC44" i="178"/>
  <c r="EY44" i="178"/>
  <c r="CQ44" i="178"/>
  <c r="BS44" i="178"/>
  <c r="AU44" i="178"/>
  <c r="W44" i="178"/>
  <c r="HA44" i="178"/>
  <c r="GZ223" i="178" s="1"/>
  <c r="ES44" i="178"/>
  <c r="ER223" i="178" s="1"/>
  <c r="CK44" i="178"/>
  <c r="BM44" i="178"/>
  <c r="AO44" i="178"/>
  <c r="EY56" i="178"/>
  <c r="AI56" i="178"/>
  <c r="BY56" i="178"/>
  <c r="CK56" i="178"/>
  <c r="BG56" i="178"/>
  <c r="DU56" i="178"/>
  <c r="AC56" i="178"/>
  <c r="GC56" i="178"/>
  <c r="AO56" i="178"/>
  <c r="BM56" i="178"/>
  <c r="CE56" i="178"/>
  <c r="AU56" i="178"/>
  <c r="BS56" i="178"/>
  <c r="CQ56" i="178"/>
  <c r="W56" i="178"/>
  <c r="BA56" i="178"/>
  <c r="GD49" i="178"/>
  <c r="AP49" i="178"/>
  <c r="BN49" i="178"/>
  <c r="CL49" i="178"/>
  <c r="AD49" i="178"/>
  <c r="BT49" i="178"/>
  <c r="BB49" i="178"/>
  <c r="AJ49" i="178"/>
  <c r="DV49" i="178"/>
  <c r="CF49" i="178"/>
  <c r="AV49" i="178"/>
  <c r="CR49" i="178"/>
  <c r="BZ49" i="178"/>
  <c r="BH49" i="178"/>
  <c r="X49" i="178"/>
  <c r="EZ49" i="178"/>
  <c r="N49" i="178"/>
  <c r="BM68" i="178"/>
  <c r="CK68" i="178"/>
  <c r="CQ68" i="178"/>
  <c r="W68" i="178"/>
  <c r="AC68" i="178"/>
  <c r="AU68" i="178"/>
  <c r="DU68" i="178"/>
  <c r="CE68" i="178"/>
  <c r="BG68" i="178"/>
  <c r="AO68" i="178"/>
  <c r="GC68" i="178"/>
  <c r="AI68" i="178"/>
  <c r="BS68" i="178"/>
  <c r="BA68" i="178"/>
  <c r="EY68" i="178"/>
  <c r="BY68" i="178"/>
  <c r="DU76" i="178"/>
  <c r="AC76" i="178"/>
  <c r="BA76" i="178"/>
  <c r="BG76" i="178"/>
  <c r="BM76" i="178"/>
  <c r="AU76" i="178"/>
  <c r="CE76" i="178"/>
  <c r="W76" i="178"/>
  <c r="AO76" i="178"/>
  <c r="CQ76" i="178"/>
  <c r="BY76" i="178"/>
  <c r="AI76" i="178"/>
  <c r="BS76" i="178"/>
  <c r="EY76" i="178"/>
  <c r="CK76" i="178"/>
  <c r="GC76" i="178"/>
  <c r="CA68" i="178"/>
  <c r="DW68" i="178"/>
  <c r="AE68" i="178"/>
  <c r="FA68" i="178"/>
  <c r="AK68" i="178"/>
  <c r="CG68" i="178"/>
  <c r="BO68" i="178"/>
  <c r="AQ68" i="178"/>
  <c r="Y68" i="178"/>
  <c r="BI68" i="178"/>
  <c r="BU68" i="178"/>
  <c r="BC68" i="178"/>
  <c r="CM68" i="178"/>
  <c r="AW68" i="178"/>
  <c r="GE68" i="178"/>
  <c r="CS68" i="178"/>
  <c r="BZ60" i="178"/>
  <c r="CF60" i="178"/>
  <c r="GD60" i="178"/>
  <c r="AJ60" i="178"/>
  <c r="BN60" i="178"/>
  <c r="CR60" i="178"/>
  <c r="AV60" i="178"/>
  <c r="AD60" i="178"/>
  <c r="CL60" i="178"/>
  <c r="AP60" i="178"/>
  <c r="DV60" i="178"/>
  <c r="X60" i="178"/>
  <c r="BB60" i="178"/>
  <c r="EZ60" i="178"/>
  <c r="BT60" i="178"/>
  <c r="BH60" i="178"/>
  <c r="BD61" i="178"/>
  <c r="CH61" i="178"/>
  <c r="AL61" i="178"/>
  <c r="GF61" i="178"/>
  <c r="BP61" i="178"/>
  <c r="CT61" i="178"/>
  <c r="AX61" i="178"/>
  <c r="CB61" i="178"/>
  <c r="FB61" i="178"/>
  <c r="AF61" i="178"/>
  <c r="CN61" i="178"/>
  <c r="AR61" i="178"/>
  <c r="DX61" i="178"/>
  <c r="BV61" i="178"/>
  <c r="BJ61" i="178"/>
  <c r="Z61" i="178"/>
  <c r="CN80" i="178"/>
  <c r="BV80" i="178"/>
  <c r="GF80" i="178"/>
  <c r="AR80" i="178"/>
  <c r="CH80" i="178"/>
  <c r="CT80" i="178"/>
  <c r="AX80" i="178"/>
  <c r="FB80" i="178"/>
  <c r="BJ80" i="178"/>
  <c r="AL80" i="178"/>
  <c r="DX80" i="178"/>
  <c r="CB80" i="178"/>
  <c r="BD80" i="178"/>
  <c r="Z80" i="178"/>
  <c r="BP80" i="178"/>
  <c r="AF80" i="178"/>
  <c r="BS57" i="178"/>
  <c r="GC57" i="178"/>
  <c r="AO57" i="178"/>
  <c r="CE57" i="178"/>
  <c r="BA57" i="178"/>
  <c r="CQ57" i="178"/>
  <c r="W57" i="178"/>
  <c r="BM57" i="178"/>
  <c r="BY57" i="178"/>
  <c r="AU57" i="178"/>
  <c r="DU57" i="178"/>
  <c r="AC57" i="178"/>
  <c r="BG57" i="178"/>
  <c r="EY57" i="178"/>
  <c r="AI57" i="178"/>
  <c r="CK57" i="178"/>
  <c r="CN99" i="178"/>
  <c r="GF99" i="178"/>
  <c r="AR99" i="178"/>
  <c r="BP99" i="178"/>
  <c r="AX99" i="178"/>
  <c r="AF99" i="178"/>
  <c r="CT99" i="178"/>
  <c r="CB99" i="178"/>
  <c r="BJ99" i="178"/>
  <c r="Z99" i="178"/>
  <c r="FB99" i="178"/>
  <c r="BV99" i="178"/>
  <c r="BD99" i="178"/>
  <c r="AL99" i="178"/>
  <c r="DX99" i="178"/>
  <c r="CH99" i="178"/>
  <c r="GE100" i="178"/>
  <c r="AQ100" i="178"/>
  <c r="BO100" i="178"/>
  <c r="AE100" i="178"/>
  <c r="CS100" i="178"/>
  <c r="CA100" i="178"/>
  <c r="BI100" i="178"/>
  <c r="Y100" i="178"/>
  <c r="FA100" i="178"/>
  <c r="BU100" i="178"/>
  <c r="BC100" i="178"/>
  <c r="AK100" i="178"/>
  <c r="DW100" i="178"/>
  <c r="CG100" i="178"/>
  <c r="AW100" i="178"/>
  <c r="CM100" i="178"/>
  <c r="CB89" i="178"/>
  <c r="DX89" i="178"/>
  <c r="BD89" i="178"/>
  <c r="Z89" i="178"/>
  <c r="CH89" i="178"/>
  <c r="GF89" i="178"/>
  <c r="AL89" i="178"/>
  <c r="BP89" i="178"/>
  <c r="CT89" i="178"/>
  <c r="AX89" i="178"/>
  <c r="FB89" i="178"/>
  <c r="BJ89" i="178"/>
  <c r="AF89" i="178"/>
  <c r="CN89" i="178"/>
  <c r="AR89" i="178"/>
  <c r="BV89" i="178"/>
  <c r="CM116" i="178"/>
  <c r="BU116" i="178"/>
  <c r="DW116" i="178"/>
  <c r="Y116" i="178"/>
  <c r="BC116" i="178"/>
  <c r="CG116" i="178"/>
  <c r="GE116" i="178"/>
  <c r="AK116" i="178"/>
  <c r="BO116" i="178"/>
  <c r="AW116" i="178"/>
  <c r="CA116" i="178"/>
  <c r="AE116" i="178"/>
  <c r="FA116" i="178"/>
  <c r="BI116" i="178"/>
  <c r="AQ116" i="178"/>
  <c r="CS116" i="178"/>
  <c r="BM94" i="178"/>
  <c r="CK94" i="178"/>
  <c r="BA94" i="178"/>
  <c r="AI94" i="178"/>
  <c r="DU94" i="178"/>
  <c r="CE94" i="178"/>
  <c r="AU94" i="178"/>
  <c r="AC94" i="178"/>
  <c r="CQ94" i="178"/>
  <c r="BY94" i="178"/>
  <c r="BG94" i="178"/>
  <c r="AO94" i="178"/>
  <c r="W94" i="178"/>
  <c r="EY94" i="178"/>
  <c r="BS94" i="178"/>
  <c r="GC94" i="178"/>
  <c r="BA91" i="178"/>
  <c r="BY91" i="178"/>
  <c r="CE91" i="178"/>
  <c r="BM91" i="178"/>
  <c r="AU91" i="178"/>
  <c r="GC91" i="178"/>
  <c r="AC91" i="178"/>
  <c r="CQ91" i="178"/>
  <c r="BG91" i="178"/>
  <c r="CK91" i="178"/>
  <c r="W91" i="178"/>
  <c r="BS91" i="178"/>
  <c r="DU91" i="178"/>
  <c r="AI91" i="178"/>
  <c r="EY91" i="178"/>
  <c r="AO91" i="178"/>
  <c r="BS65" i="178"/>
  <c r="CQ65" i="178"/>
  <c r="DU65" i="178"/>
  <c r="BM65" i="178"/>
  <c r="AU65" i="178"/>
  <c r="AC65" i="178"/>
  <c r="CE65" i="178"/>
  <c r="AO65" i="178"/>
  <c r="W65" i="178"/>
  <c r="BY65" i="178"/>
  <c r="BG65" i="178"/>
  <c r="AI65" i="178"/>
  <c r="BA65" i="178"/>
  <c r="EY65" i="178"/>
  <c r="CK65" i="178"/>
  <c r="GC65" i="178"/>
  <c r="BM110" i="178"/>
  <c r="BG110" i="178"/>
  <c r="AC110" i="178"/>
  <c r="CK110" i="178"/>
  <c r="AO110" i="178"/>
  <c r="BS110" i="178"/>
  <c r="DU110" i="178"/>
  <c r="BA110" i="178"/>
  <c r="W110" i="178"/>
  <c r="AI110" i="178"/>
  <c r="CQ110" i="178"/>
  <c r="AU110" i="178"/>
  <c r="BY110" i="178"/>
  <c r="EY110" i="178"/>
  <c r="GC110" i="178"/>
  <c r="CE110" i="178"/>
  <c r="CE115" i="178"/>
  <c r="AO115" i="178"/>
  <c r="DU115" i="178"/>
  <c r="BS115" i="178"/>
  <c r="BA115" i="178"/>
  <c r="W115" i="178"/>
  <c r="GC115" i="178"/>
  <c r="AI115" i="178"/>
  <c r="BM115" i="178"/>
  <c r="AU115" i="178"/>
  <c r="EY115" i="178"/>
  <c r="BY115" i="178"/>
  <c r="AC115" i="178"/>
  <c r="BG115" i="178"/>
  <c r="CK115" i="178"/>
  <c r="CQ115" i="178"/>
  <c r="AV116" i="178"/>
  <c r="AP116" i="178"/>
  <c r="BT116" i="178"/>
  <c r="DV116" i="178"/>
  <c r="X116" i="178"/>
  <c r="BB116" i="178"/>
  <c r="CF116" i="178"/>
  <c r="GD116" i="178"/>
  <c r="AJ116" i="178"/>
  <c r="CR116" i="178"/>
  <c r="BZ116" i="178"/>
  <c r="AD116" i="178"/>
  <c r="EZ116" i="178"/>
  <c r="BH116" i="178"/>
  <c r="CL116" i="178"/>
  <c r="BN116" i="178"/>
  <c r="FB91" i="178"/>
  <c r="AL91" i="178"/>
  <c r="BJ91" i="178"/>
  <c r="CT91" i="178"/>
  <c r="CB91" i="178"/>
  <c r="AR91" i="178"/>
  <c r="Z91" i="178"/>
  <c r="CN91" i="178"/>
  <c r="BV91" i="178"/>
  <c r="DX91" i="178"/>
  <c r="CH91" i="178"/>
  <c r="BP91" i="178"/>
  <c r="AX91" i="178"/>
  <c r="GF91" i="178"/>
  <c r="AF91" i="178"/>
  <c r="BD91" i="178"/>
  <c r="CK124" i="178"/>
  <c r="DU124" i="178"/>
  <c r="GC124" i="178"/>
  <c r="AO124" i="178"/>
  <c r="AU124" i="178"/>
  <c r="BY124" i="178"/>
  <c r="CQ124" i="178"/>
  <c r="BS124" i="178"/>
  <c r="BA124" i="178"/>
  <c r="AI124" i="178"/>
  <c r="CE124" i="178"/>
  <c r="AC124" i="178"/>
  <c r="BG124" i="178"/>
  <c r="W124" i="178"/>
  <c r="BM124" i="178"/>
  <c r="EY124" i="178"/>
  <c r="GF114" i="178"/>
  <c r="AR114" i="178"/>
  <c r="BP114" i="178"/>
  <c r="CT114" i="178"/>
  <c r="AX114" i="178"/>
  <c r="CB114" i="178"/>
  <c r="FB114" i="178"/>
  <c r="AF114" i="178"/>
  <c r="BJ114" i="178"/>
  <c r="BV114" i="178"/>
  <c r="Z114" i="178"/>
  <c r="DX114" i="178"/>
  <c r="BD114" i="178"/>
  <c r="CH114" i="178"/>
  <c r="AL114" i="178"/>
  <c r="CN114" i="178"/>
  <c r="BS93" i="178"/>
  <c r="CQ93" i="178"/>
  <c r="W93" i="178"/>
  <c r="EY93" i="178"/>
  <c r="CK93" i="178"/>
  <c r="BA93" i="178"/>
  <c r="AI93" i="178"/>
  <c r="DU93" i="178"/>
  <c r="CE93" i="178"/>
  <c r="BM93" i="178"/>
  <c r="AC93" i="178"/>
  <c r="GC93" i="178"/>
  <c r="BY93" i="178"/>
  <c r="BG93" i="178"/>
  <c r="AO93" i="178"/>
  <c r="AU93" i="178"/>
  <c r="CR139" i="178"/>
  <c r="X139" i="178"/>
  <c r="EZ139" i="178"/>
  <c r="BT139" i="178"/>
  <c r="AP139" i="178"/>
  <c r="DV139" i="178"/>
  <c r="CF139" i="178"/>
  <c r="BN139" i="178"/>
  <c r="AV139" i="178"/>
  <c r="AD139" i="178"/>
  <c r="GD139" i="178"/>
  <c r="BZ139" i="178"/>
  <c r="BH139" i="178"/>
  <c r="AJ139" i="178"/>
  <c r="CL139" i="178"/>
  <c r="BB139" i="178"/>
  <c r="BT138" i="178"/>
  <c r="CL138" i="178"/>
  <c r="AP138" i="178"/>
  <c r="CF138" i="178"/>
  <c r="DV138" i="178"/>
  <c r="X138" i="178"/>
  <c r="GD138" i="178"/>
  <c r="CR138" i="178"/>
  <c r="BZ138" i="178"/>
  <c r="BH138" i="178"/>
  <c r="BB138" i="178"/>
  <c r="EZ138" i="178"/>
  <c r="BN138" i="178"/>
  <c r="AV138" i="178"/>
  <c r="AD138" i="178"/>
  <c r="AJ138" i="178"/>
  <c r="CF144" i="178"/>
  <c r="BH144" i="178"/>
  <c r="AD144" i="178"/>
  <c r="CL144" i="178"/>
  <c r="BT144" i="178"/>
  <c r="AP144" i="178"/>
  <c r="DV144" i="178"/>
  <c r="X144" i="178"/>
  <c r="BB144" i="178"/>
  <c r="GD144" i="178"/>
  <c r="BN144" i="178"/>
  <c r="AJ144" i="178"/>
  <c r="CR144" i="178"/>
  <c r="EZ144" i="178"/>
  <c r="BZ144" i="178"/>
  <c r="AV144" i="178"/>
  <c r="BS117" i="178"/>
  <c r="CQ117" i="178"/>
  <c r="AU117" i="178"/>
  <c r="AC117" i="178"/>
  <c r="GC117" i="178"/>
  <c r="BY117" i="178"/>
  <c r="BG117" i="178"/>
  <c r="AO117" i="178"/>
  <c r="W117" i="178"/>
  <c r="CK117" i="178"/>
  <c r="BA117" i="178"/>
  <c r="AI117" i="178"/>
  <c r="DU117" i="178"/>
  <c r="CE117" i="178"/>
  <c r="BM117" i="178"/>
  <c r="EY117" i="178"/>
  <c r="BU153" i="178"/>
  <c r="CS153" i="178"/>
  <c r="Y153" i="178"/>
  <c r="DW153" i="178"/>
  <c r="AE153" i="178"/>
  <c r="FA153" i="178"/>
  <c r="CM153" i="178"/>
  <c r="BO153" i="178"/>
  <c r="AW153" i="178"/>
  <c r="CG153" i="178"/>
  <c r="CA153" i="178"/>
  <c r="BI153" i="178"/>
  <c r="GE153" i="178"/>
  <c r="AK153" i="178"/>
  <c r="BC153" i="178"/>
  <c r="AQ153" i="178"/>
  <c r="CE154" i="178"/>
  <c r="CQ154" i="178"/>
  <c r="W154" i="178"/>
  <c r="EY154" i="178"/>
  <c r="AI154" i="178"/>
  <c r="GC154" i="178"/>
  <c r="AO154" i="178"/>
  <c r="DU154" i="178"/>
  <c r="BG154" i="178"/>
  <c r="BY154" i="178"/>
  <c r="BS154" i="178"/>
  <c r="CK154" i="178"/>
  <c r="BM154" i="178"/>
  <c r="AU154" i="178"/>
  <c r="AC154" i="178"/>
  <c r="BA154" i="178"/>
  <c r="BT146" i="178"/>
  <c r="CR146" i="178"/>
  <c r="X146" i="178"/>
  <c r="DV146" i="178"/>
  <c r="AD146" i="178"/>
  <c r="BZ146" i="178"/>
  <c r="BH146" i="178"/>
  <c r="GD146" i="178"/>
  <c r="AJ146" i="178"/>
  <c r="BB146" i="178"/>
  <c r="EZ146" i="178"/>
  <c r="CL146" i="178"/>
  <c r="BN146" i="178"/>
  <c r="AV146" i="178"/>
  <c r="CF146" i="178"/>
  <c r="AP146" i="178"/>
  <c r="CL131" i="178"/>
  <c r="GD131" i="178"/>
  <c r="AP131" i="178"/>
  <c r="BZ131" i="178"/>
  <c r="BH131" i="178"/>
  <c r="EZ131" i="178"/>
  <c r="X131" i="178"/>
  <c r="BT131" i="178"/>
  <c r="BB131" i="178"/>
  <c r="CF131" i="178"/>
  <c r="BN131" i="178"/>
  <c r="AV131" i="178"/>
  <c r="AJ131" i="178"/>
  <c r="AD131" i="178"/>
  <c r="DV131" i="178"/>
  <c r="CR131" i="178"/>
  <c r="BZ188" i="178"/>
  <c r="EZ188" i="178"/>
  <c r="BH188" i="178"/>
  <c r="CF188" i="178"/>
  <c r="CL188" i="178"/>
  <c r="AV188" i="178"/>
  <c r="AP188" i="178"/>
  <c r="CR188" i="178"/>
  <c r="BB188" i="178"/>
  <c r="GD188" i="178"/>
  <c r="BT188" i="178"/>
  <c r="AD188" i="178"/>
  <c r="DV188" i="178"/>
  <c r="BN188" i="178"/>
  <c r="X188" i="178"/>
  <c r="AJ188" i="178"/>
  <c r="CH170" i="178"/>
  <c r="BD170" i="178"/>
  <c r="GF170" i="178"/>
  <c r="CB170" i="178"/>
  <c r="BJ170" i="178"/>
  <c r="Z170" i="178"/>
  <c r="AR170" i="178"/>
  <c r="AX170" i="178"/>
  <c r="FB170" i="178"/>
  <c r="BP170" i="178"/>
  <c r="AF170" i="178"/>
  <c r="DX170" i="178"/>
  <c r="CT170" i="178"/>
  <c r="AL170" i="178"/>
  <c r="BV170" i="178"/>
  <c r="CN170" i="178"/>
  <c r="EZ167" i="178"/>
  <c r="AJ167" i="178"/>
  <c r="BT167" i="178"/>
  <c r="BB167" i="178"/>
  <c r="CL167" i="178"/>
  <c r="CF167" i="178"/>
  <c r="AP167" i="178"/>
  <c r="DV167" i="178"/>
  <c r="BH167" i="178"/>
  <c r="BZ167" i="178"/>
  <c r="CR167" i="178"/>
  <c r="GD167" i="178"/>
  <c r="AD167" i="178"/>
  <c r="AV167" i="178"/>
  <c r="BN167" i="178"/>
  <c r="X167" i="178"/>
  <c r="DU141" i="178"/>
  <c r="AC141" i="178"/>
  <c r="CE141" i="178"/>
  <c r="AU141" i="178"/>
  <c r="W141" i="178"/>
  <c r="BS141" i="178"/>
  <c r="EY141" i="178"/>
  <c r="CK141" i="178"/>
  <c r="BA141" i="178"/>
  <c r="AI141" i="178"/>
  <c r="BM141" i="178"/>
  <c r="GC141" i="178"/>
  <c r="BY141" i="178"/>
  <c r="CQ141" i="178"/>
  <c r="BG141" i="178"/>
  <c r="AO141" i="178"/>
  <c r="CM178" i="178"/>
  <c r="BC178" i="178"/>
  <c r="CS178" i="178"/>
  <c r="Y178" i="178"/>
  <c r="BU178" i="178"/>
  <c r="BO178" i="178"/>
  <c r="AW178" i="178"/>
  <c r="DW178" i="178"/>
  <c r="CG178" i="178"/>
  <c r="BI178" i="178"/>
  <c r="AQ178" i="178"/>
  <c r="CA178" i="178"/>
  <c r="FA178" i="178"/>
  <c r="AE178" i="178"/>
  <c r="AK178" i="178"/>
  <c r="GE178" i="178"/>
  <c r="AU186" i="178"/>
  <c r="AO186" i="178"/>
  <c r="EY186" i="178"/>
  <c r="CK186" i="178"/>
  <c r="BS186" i="178"/>
  <c r="DU186" i="178"/>
  <c r="CQ186" i="178"/>
  <c r="BY186" i="178"/>
  <c r="BG186" i="178"/>
  <c r="W186" i="178"/>
  <c r="BA186" i="178"/>
  <c r="GC186" i="178"/>
  <c r="AI186" i="178"/>
  <c r="BM186" i="178"/>
  <c r="AC186" i="178"/>
  <c r="CE186" i="178"/>
  <c r="BD180" i="178"/>
  <c r="CB180" i="178"/>
  <c r="GF180" i="178"/>
  <c r="AR180" i="178"/>
  <c r="CH180" i="178"/>
  <c r="BJ180" i="178"/>
  <c r="CN180" i="178"/>
  <c r="BP180" i="178"/>
  <c r="AF180" i="178"/>
  <c r="FB180" i="178"/>
  <c r="Z180" i="178"/>
  <c r="DX180" i="178"/>
  <c r="BV180" i="178"/>
  <c r="AL180" i="178"/>
  <c r="AX180" i="178"/>
  <c r="CT180" i="178"/>
  <c r="CN188" i="178"/>
  <c r="AR188" i="178"/>
  <c r="BP188" i="178"/>
  <c r="FB188" i="178"/>
  <c r="BJ188" i="178"/>
  <c r="AX188" i="178"/>
  <c r="Z188" i="178"/>
  <c r="DX188" i="178"/>
  <c r="BV188" i="178"/>
  <c r="GF188" i="178"/>
  <c r="AF188" i="178"/>
  <c r="CH188" i="178"/>
  <c r="CB188" i="178"/>
  <c r="AL188" i="178"/>
  <c r="CT188" i="178"/>
  <c r="BD188" i="178"/>
  <c r="GE189" i="178"/>
  <c r="AQ189" i="178"/>
  <c r="CA189" i="178"/>
  <c r="DW189" i="178"/>
  <c r="BC189" i="178"/>
  <c r="CS189" i="178"/>
  <c r="FA189" i="178"/>
  <c r="BO189" i="178"/>
  <c r="Y189" i="178"/>
  <c r="BI189" i="178"/>
  <c r="AE189" i="178"/>
  <c r="BU189" i="178"/>
  <c r="CM189" i="178"/>
  <c r="AW189" i="178"/>
  <c r="AK189" i="178"/>
  <c r="CG189" i="178"/>
  <c r="DX179" i="178"/>
  <c r="AF179" i="178"/>
  <c r="BD179" i="178"/>
  <c r="CN179" i="178"/>
  <c r="BJ179" i="178"/>
  <c r="CH179" i="178"/>
  <c r="AL179" i="178"/>
  <c r="CT179" i="178"/>
  <c r="GF179" i="178"/>
  <c r="FB179" i="178"/>
  <c r="BP179" i="178"/>
  <c r="Z179" i="178"/>
  <c r="AR179" i="178"/>
  <c r="CB179" i="178"/>
  <c r="BV179" i="178"/>
  <c r="AX179" i="178"/>
  <c r="DN254" i="178"/>
  <c r="DN243" i="178"/>
  <c r="DN242" i="178"/>
  <c r="DN251" i="178"/>
  <c r="DN236" i="178"/>
  <c r="DN235" i="178"/>
  <c r="DN241" i="178"/>
  <c r="DN240" i="178"/>
  <c r="DN255" i="178"/>
  <c r="DN245" i="178"/>
  <c r="DN233" i="178"/>
  <c r="DN238" i="178"/>
  <c r="DN229" i="178"/>
  <c r="DN230" i="178"/>
  <c r="DN232" i="178"/>
  <c r="DN248" i="178" s="1"/>
  <c r="BC199" i="178"/>
  <c r="CM199" i="178"/>
  <c r="DW199" i="178"/>
  <c r="AE199" i="178"/>
  <c r="BO199" i="178"/>
  <c r="AW199" i="178"/>
  <c r="Y199" i="178"/>
  <c r="BI199" i="178"/>
  <c r="CS199" i="178"/>
  <c r="CA199" i="178"/>
  <c r="CG199" i="178"/>
  <c r="GE199" i="178"/>
  <c r="BU199" i="178"/>
  <c r="FA199" i="178"/>
  <c r="AQ199" i="178"/>
  <c r="AK199" i="178"/>
  <c r="BT189" i="178"/>
  <c r="AV189" i="178"/>
  <c r="X189" i="178"/>
  <c r="BN189" i="178"/>
  <c r="CL189" i="178"/>
  <c r="EZ189" i="178"/>
  <c r="GD189" i="178"/>
  <c r="AD189" i="178"/>
  <c r="DV189" i="178"/>
  <c r="BH189" i="178"/>
  <c r="CR189" i="178"/>
  <c r="BB189" i="178"/>
  <c r="CF189" i="178"/>
  <c r="AP189" i="178"/>
  <c r="BZ189" i="178"/>
  <c r="AJ189" i="178"/>
  <c r="EZ195" i="178"/>
  <c r="AJ195" i="178"/>
  <c r="CR195" i="178"/>
  <c r="AV195" i="178"/>
  <c r="AD195" i="178"/>
  <c r="BH195" i="178"/>
  <c r="CF195" i="178"/>
  <c r="X195" i="178"/>
  <c r="GD195" i="178"/>
  <c r="BN195" i="178"/>
  <c r="BT195" i="178"/>
  <c r="DV195" i="178"/>
  <c r="BB195" i="178"/>
  <c r="AP195" i="178"/>
  <c r="CL195" i="178"/>
  <c r="BZ195" i="178"/>
  <c r="CF199" i="178"/>
  <c r="AV199" i="178"/>
  <c r="BH199" i="178"/>
  <c r="DV199" i="178"/>
  <c r="AP199" i="178"/>
  <c r="BB199" i="178"/>
  <c r="CR199" i="178"/>
  <c r="CL199" i="178"/>
  <c r="EZ199" i="178"/>
  <c r="BN199" i="178"/>
  <c r="GD199" i="178"/>
  <c r="AD199" i="178"/>
  <c r="BT199" i="178"/>
  <c r="X199" i="178"/>
  <c r="BZ199" i="178"/>
  <c r="AJ199" i="178"/>
  <c r="BH191" i="178"/>
  <c r="BB191" i="178"/>
  <c r="CR191" i="178"/>
  <c r="GD191" i="178"/>
  <c r="AV191" i="178"/>
  <c r="AP191" i="178"/>
  <c r="X191" i="178"/>
  <c r="BN191" i="178"/>
  <c r="AJ191" i="178"/>
  <c r="AD191" i="178"/>
  <c r="DV191" i="178"/>
  <c r="BT191" i="178"/>
  <c r="BZ191" i="178"/>
  <c r="CL191" i="178"/>
  <c r="CF191" i="178"/>
  <c r="EZ191" i="178"/>
  <c r="GE214" i="178"/>
  <c r="AQ214" i="178"/>
  <c r="BO214" i="178"/>
  <c r="DW214" i="178"/>
  <c r="AE214" i="178"/>
  <c r="BU214" i="178"/>
  <c r="CA214" i="178"/>
  <c r="BI214" i="178"/>
  <c r="CG214" i="178"/>
  <c r="Y214" i="178"/>
  <c r="AW214" i="178"/>
  <c r="CM214" i="178"/>
  <c r="BC214" i="178"/>
  <c r="FA214" i="178"/>
  <c r="CS214" i="178"/>
  <c r="AK214" i="178"/>
  <c r="DT254" i="178"/>
  <c r="DT240" i="178"/>
  <c r="DT251" i="178"/>
  <c r="DT245" i="178"/>
  <c r="DT243" i="178"/>
  <c r="DT242" i="178"/>
  <c r="DT236" i="178"/>
  <c r="DT232" i="178"/>
  <c r="DT248" i="178" s="1"/>
  <c r="DT255" i="178"/>
  <c r="DT233" i="178"/>
  <c r="DT238" i="178"/>
  <c r="DT241" i="178"/>
  <c r="DT229" i="178"/>
  <c r="DT230" i="178"/>
  <c r="DT235" i="178"/>
  <c r="DH245" i="178"/>
  <c r="DH241" i="178"/>
  <c r="DH243" i="178"/>
  <c r="DH242" i="178"/>
  <c r="DH232" i="178"/>
  <c r="DH248" i="178" s="1"/>
  <c r="DH238" i="178"/>
  <c r="DH255" i="178"/>
  <c r="DH254" i="178"/>
  <c r="DH240" i="178"/>
  <c r="DH233" i="178"/>
  <c r="DH251" i="178"/>
  <c r="DH235" i="178"/>
  <c r="DH236" i="178"/>
  <c r="DH229" i="178"/>
  <c r="DH230" i="178"/>
  <c r="BF243" i="178"/>
  <c r="BF242" i="178"/>
  <c r="BF245" i="178"/>
  <c r="BF254" i="178"/>
  <c r="BF235" i="178"/>
  <c r="BF233" i="178"/>
  <c r="BF251" i="178"/>
  <c r="BF255" i="178"/>
  <c r="BF238" i="178"/>
  <c r="BF236" i="178"/>
  <c r="BF240" i="178"/>
  <c r="BF232" i="178"/>
  <c r="BF248" i="178" s="1"/>
  <c r="BF241" i="178"/>
  <c r="BF229" i="178"/>
  <c r="BF230" i="178"/>
  <c r="BF35" i="178"/>
  <c r="CN50" i="178"/>
  <c r="GF50" i="178"/>
  <c r="AR50" i="178"/>
  <c r="AX50" i="178"/>
  <c r="AF50" i="178"/>
  <c r="FB50" i="178"/>
  <c r="CT50" i="178"/>
  <c r="CB50" i="178"/>
  <c r="BJ50" i="178"/>
  <c r="Z50" i="178"/>
  <c r="BV50" i="178"/>
  <c r="BD50" i="178"/>
  <c r="AL50" i="178"/>
  <c r="DX50" i="178"/>
  <c r="CH50" i="178"/>
  <c r="BP50" i="178"/>
  <c r="N56" i="178"/>
  <c r="N126" i="178"/>
  <c r="N128" i="178"/>
  <c r="N127" i="178"/>
  <c r="N166" i="178"/>
  <c r="BK202" i="178"/>
  <c r="FC202" i="178"/>
  <c r="BW202" i="178"/>
  <c r="AS202" i="178"/>
  <c r="CI202" i="178"/>
  <c r="BE202" i="178"/>
  <c r="GG202" i="178"/>
  <c r="CU202" i="178"/>
  <c r="AY202" i="178"/>
  <c r="DY202" i="178"/>
  <c r="AM202" i="178"/>
  <c r="O202" i="178"/>
  <c r="CC202" i="178"/>
  <c r="CO202" i="178"/>
  <c r="AA202" i="178"/>
  <c r="AG202" i="178"/>
  <c r="BQ202" i="178"/>
  <c r="BK48" i="178"/>
  <c r="CI48" i="178"/>
  <c r="O48" i="178"/>
  <c r="FC48" i="178"/>
  <c r="BW48" i="178"/>
  <c r="AG48" i="178"/>
  <c r="CO48" i="178"/>
  <c r="BE48" i="178"/>
  <c r="AM48" i="178"/>
  <c r="DY48" i="178"/>
  <c r="BQ48" i="178"/>
  <c r="GG48" i="178"/>
  <c r="CU48" i="178"/>
  <c r="CC48" i="178"/>
  <c r="AS48" i="178"/>
  <c r="AA48" i="178"/>
  <c r="AY48" i="178"/>
  <c r="CT112" i="178"/>
  <c r="Z112" i="178"/>
  <c r="FB112" i="178"/>
  <c r="CB112" i="178"/>
  <c r="AF112" i="178"/>
  <c r="CN112" i="178"/>
  <c r="BJ112" i="178"/>
  <c r="AR112" i="178"/>
  <c r="DX112" i="178"/>
  <c r="BV112" i="178"/>
  <c r="CH112" i="178"/>
  <c r="BD112" i="178"/>
  <c r="GF112" i="178"/>
  <c r="AL112" i="178"/>
  <c r="BP112" i="178"/>
  <c r="AX112" i="178"/>
  <c r="BN147" i="178"/>
  <c r="CL147" i="178"/>
  <c r="CR147" i="178"/>
  <c r="X147" i="178"/>
  <c r="AV147" i="178"/>
  <c r="DV147" i="178"/>
  <c r="CF147" i="178"/>
  <c r="BH147" i="178"/>
  <c r="AP147" i="178"/>
  <c r="BZ147" i="178"/>
  <c r="GD147" i="178"/>
  <c r="AJ147" i="178"/>
  <c r="EZ147" i="178"/>
  <c r="AD147" i="178"/>
  <c r="BB147" i="178"/>
  <c r="BT147" i="178"/>
  <c r="AZ254" i="178"/>
  <c r="AZ240" i="178"/>
  <c r="AZ251" i="178"/>
  <c r="AZ245" i="178"/>
  <c r="AZ243" i="178"/>
  <c r="AZ242" i="178"/>
  <c r="AZ238" i="178"/>
  <c r="AZ236" i="178"/>
  <c r="AZ232" i="178"/>
  <c r="AZ248" i="178" s="1"/>
  <c r="AZ235" i="178"/>
  <c r="AZ255" i="178"/>
  <c r="AZ230" i="178"/>
  <c r="AZ229" i="178"/>
  <c r="AZ241" i="178"/>
  <c r="AZ233" i="178"/>
  <c r="AZ35" i="178"/>
  <c r="CE212" i="178"/>
  <c r="EY212" i="178"/>
  <c r="BS212" i="178"/>
  <c r="GC212" i="178"/>
  <c r="AO212" i="178"/>
  <c r="CK212" i="178"/>
  <c r="BA212" i="178"/>
  <c r="DU212" i="178"/>
  <c r="AU212" i="178"/>
  <c r="CQ212" i="178"/>
  <c r="W212" i="178"/>
  <c r="AC212" i="178"/>
  <c r="AI212" i="178"/>
  <c r="BG212" i="178"/>
  <c r="BY212" i="178"/>
  <c r="BM212" i="178"/>
  <c r="AB254" i="178"/>
  <c r="AB236" i="178"/>
  <c r="AB238" i="178"/>
  <c r="AB233" i="178"/>
  <c r="AB241" i="178"/>
  <c r="AB255" i="178"/>
  <c r="AB245" i="178"/>
  <c r="AB230" i="178"/>
  <c r="AB35" i="178"/>
  <c r="BQ131" i="178"/>
  <c r="GG131" i="178"/>
  <c r="AY131" i="178"/>
  <c r="O131" i="178"/>
  <c r="BE151" i="178"/>
  <c r="CO151" i="178"/>
  <c r="BW151" i="178"/>
  <c r="FC151" i="178"/>
  <c r="GG151" i="178"/>
  <c r="AM151" i="178"/>
  <c r="AN250" i="178"/>
  <c r="FA45" i="178"/>
  <c r="AK45" i="178"/>
  <c r="GE45" i="178"/>
  <c r="BO45" i="178"/>
  <c r="CS45" i="178"/>
  <c r="AW45" i="178"/>
  <c r="CA45" i="178"/>
  <c r="AE45" i="178"/>
  <c r="CM45" i="178"/>
  <c r="BI45" i="178"/>
  <c r="AQ45" i="178"/>
  <c r="BU45" i="178"/>
  <c r="DW45" i="178"/>
  <c r="Y45" i="178"/>
  <c r="BC45" i="178"/>
  <c r="CG45" i="178"/>
  <c r="CN46" i="178"/>
  <c r="GF46" i="178"/>
  <c r="AR46" i="178"/>
  <c r="DX46" i="178"/>
  <c r="CH46" i="178"/>
  <c r="AL46" i="178"/>
  <c r="BP46" i="178"/>
  <c r="AX46" i="178"/>
  <c r="CT46" i="178"/>
  <c r="CB46" i="178"/>
  <c r="AF46" i="178"/>
  <c r="FB46" i="178"/>
  <c r="BV46" i="178"/>
  <c r="Z46" i="178"/>
  <c r="BD46" i="178"/>
  <c r="BJ46" i="178"/>
  <c r="BZ46" i="178"/>
  <c r="DV46" i="178"/>
  <c r="AD46" i="178"/>
  <c r="BB46" i="178"/>
  <c r="CF46" i="178"/>
  <c r="AJ46" i="178"/>
  <c r="BN46" i="178"/>
  <c r="CR46" i="178"/>
  <c r="N46" i="178"/>
  <c r="GD46" i="178"/>
  <c r="AV46" i="178"/>
  <c r="BH46" i="178"/>
  <c r="AP46" i="178"/>
  <c r="EZ46" i="178"/>
  <c r="CL46" i="178"/>
  <c r="BT46" i="178"/>
  <c r="X46" i="178"/>
  <c r="BD47" i="178"/>
  <c r="CB47" i="178"/>
  <c r="GF47" i="178"/>
  <c r="CT47" i="178"/>
  <c r="BJ47" i="178"/>
  <c r="AR47" i="178"/>
  <c r="Z47" i="178"/>
  <c r="FB47" i="178"/>
  <c r="CN47" i="178"/>
  <c r="AL47" i="178"/>
  <c r="DX47" i="178"/>
  <c r="CH47" i="178"/>
  <c r="BP47" i="178"/>
  <c r="AX47" i="178"/>
  <c r="AF47" i="178"/>
  <c r="BV47" i="178"/>
  <c r="BO72" i="178"/>
  <c r="CM72" i="178"/>
  <c r="CS72" i="178"/>
  <c r="Y72" i="178"/>
  <c r="BU72" i="178"/>
  <c r="BC72" i="178"/>
  <c r="FA72" i="178"/>
  <c r="AE72" i="178"/>
  <c r="AW72" i="178"/>
  <c r="DW72" i="178"/>
  <c r="CG72" i="178"/>
  <c r="BI72" i="178"/>
  <c r="AQ72" i="178"/>
  <c r="CA72" i="178"/>
  <c r="GE72" i="178"/>
  <c r="AK72" i="178"/>
  <c r="BG81" i="178"/>
  <c r="DU81" i="178"/>
  <c r="BS81" i="178"/>
  <c r="GC81" i="178"/>
  <c r="AO81" i="178"/>
  <c r="CE81" i="178"/>
  <c r="BA81" i="178"/>
  <c r="BM81" i="178"/>
  <c r="EY81" i="178"/>
  <c r="AI81" i="178"/>
  <c r="CK81" i="178"/>
  <c r="AC81" i="178"/>
  <c r="CQ81" i="178"/>
  <c r="W81" i="178"/>
  <c r="BY81" i="178"/>
  <c r="AU81" i="178"/>
  <c r="CT74" i="178"/>
  <c r="Z74" i="178"/>
  <c r="AX74" i="178"/>
  <c r="BD74" i="178"/>
  <c r="BP74" i="178"/>
  <c r="DX74" i="178"/>
  <c r="CH74" i="178"/>
  <c r="BJ74" i="178"/>
  <c r="AR74" i="178"/>
  <c r="CB74" i="178"/>
  <c r="GF74" i="178"/>
  <c r="AL74" i="178"/>
  <c r="CN74" i="178"/>
  <c r="BV74" i="178"/>
  <c r="FB74" i="178"/>
  <c r="AF74" i="178"/>
  <c r="CN62" i="178"/>
  <c r="CH62" i="178"/>
  <c r="GF62" i="178"/>
  <c r="AL62" i="178"/>
  <c r="BP62" i="178"/>
  <c r="CT62" i="178"/>
  <c r="AX62" i="178"/>
  <c r="CB62" i="178"/>
  <c r="AF62" i="178"/>
  <c r="AR62" i="178"/>
  <c r="DX62" i="178"/>
  <c r="Z62" i="178"/>
  <c r="BD62" i="178"/>
  <c r="BV62" i="178"/>
  <c r="BJ62" i="178"/>
  <c r="FB62" i="178"/>
  <c r="AX70" i="178"/>
  <c r="BV70" i="178"/>
  <c r="CB70" i="178"/>
  <c r="BJ70" i="178"/>
  <c r="GF70" i="178"/>
  <c r="CT70" i="178"/>
  <c r="BD70" i="178"/>
  <c r="AL70" i="178"/>
  <c r="CN70" i="178"/>
  <c r="FB70" i="178"/>
  <c r="AF70" i="178"/>
  <c r="CH70" i="178"/>
  <c r="BP70" i="178"/>
  <c r="DX70" i="178"/>
  <c r="AR70" i="178"/>
  <c r="Z70" i="178"/>
  <c r="CN58" i="178"/>
  <c r="BJ58" i="178"/>
  <c r="DX58" i="178"/>
  <c r="AF58" i="178"/>
  <c r="BV58" i="178"/>
  <c r="GF58" i="178"/>
  <c r="AR58" i="178"/>
  <c r="CH58" i="178"/>
  <c r="CT58" i="178"/>
  <c r="Z58" i="178"/>
  <c r="BP58" i="178"/>
  <c r="AX58" i="178"/>
  <c r="FB58" i="178"/>
  <c r="AL58" i="178"/>
  <c r="CB58" i="178"/>
  <c r="BD58" i="178"/>
  <c r="GE69" i="178"/>
  <c r="AQ69" i="178"/>
  <c r="BO69" i="178"/>
  <c r="BU69" i="178"/>
  <c r="BC69" i="178"/>
  <c r="FA69" i="178"/>
  <c r="CM69" i="178"/>
  <c r="AW69" i="178"/>
  <c r="AE69" i="178"/>
  <c r="CG69" i="178"/>
  <c r="DW69" i="178"/>
  <c r="Y69" i="178"/>
  <c r="CA69" i="178"/>
  <c r="BI69" i="178"/>
  <c r="CS69" i="178"/>
  <c r="AK69" i="178"/>
  <c r="BV86" i="178"/>
  <c r="GF86" i="178"/>
  <c r="AR86" i="178"/>
  <c r="CH86" i="178"/>
  <c r="BD86" i="178"/>
  <c r="CT86" i="178"/>
  <c r="Z86" i="178"/>
  <c r="BP86" i="178"/>
  <c r="CB86" i="178"/>
  <c r="AX86" i="178"/>
  <c r="CN86" i="178"/>
  <c r="BJ86" i="178"/>
  <c r="DX86" i="178"/>
  <c r="AF86" i="178"/>
  <c r="AL86" i="178"/>
  <c r="FB86" i="178"/>
  <c r="CS103" i="178"/>
  <c r="Y103" i="178"/>
  <c r="FA103" i="178"/>
  <c r="AK103" i="178"/>
  <c r="CA103" i="178"/>
  <c r="AW103" i="178"/>
  <c r="BC103" i="178"/>
  <c r="AE103" i="178"/>
  <c r="BU103" i="178"/>
  <c r="CM103" i="178"/>
  <c r="AQ103" i="178"/>
  <c r="BI103" i="178"/>
  <c r="CG103" i="178"/>
  <c r="DW103" i="178"/>
  <c r="BO103" i="178"/>
  <c r="GE103" i="178"/>
  <c r="BN101" i="178"/>
  <c r="CL101" i="178"/>
  <c r="BZ101" i="178"/>
  <c r="BH101" i="178"/>
  <c r="AP101" i="178"/>
  <c r="CR101" i="178"/>
  <c r="X101" i="178"/>
  <c r="GD101" i="178"/>
  <c r="BT101" i="178"/>
  <c r="EZ101" i="178"/>
  <c r="CF101" i="178"/>
  <c r="DV101" i="178"/>
  <c r="AV101" i="178"/>
  <c r="AD101" i="178"/>
  <c r="BB101" i="178"/>
  <c r="AJ101" i="178"/>
  <c r="EZ70" i="178"/>
  <c r="AJ70" i="178"/>
  <c r="BH70" i="178"/>
  <c r="BN70" i="178"/>
  <c r="AP70" i="178"/>
  <c r="X70" i="178"/>
  <c r="BZ70" i="178"/>
  <c r="GD70" i="178"/>
  <c r="CR70" i="178"/>
  <c r="CL70" i="178"/>
  <c r="AD70" i="178"/>
  <c r="AV70" i="178"/>
  <c r="DV70" i="178"/>
  <c r="CF70" i="178"/>
  <c r="BB70" i="178"/>
  <c r="BT70" i="178"/>
  <c r="EY99" i="178"/>
  <c r="AI99" i="178"/>
  <c r="BG99" i="178"/>
  <c r="DU99" i="178"/>
  <c r="CE99" i="178"/>
  <c r="BM99" i="178"/>
  <c r="AU99" i="178"/>
  <c r="AC99" i="178"/>
  <c r="GC99" i="178"/>
  <c r="AO99" i="178"/>
  <c r="W99" i="178"/>
  <c r="CK99" i="178"/>
  <c r="BS99" i="178"/>
  <c r="BA99" i="178"/>
  <c r="BY99" i="178"/>
  <c r="CQ99" i="178"/>
  <c r="BG95" i="178"/>
  <c r="CE95" i="178"/>
  <c r="DU95" i="178"/>
  <c r="BM95" i="178"/>
  <c r="AU95" i="178"/>
  <c r="AC95" i="178"/>
  <c r="GC95" i="178"/>
  <c r="CQ95" i="178"/>
  <c r="BY95" i="178"/>
  <c r="EY95" i="178"/>
  <c r="CK95" i="178"/>
  <c r="BS95" i="178"/>
  <c r="BA95" i="178"/>
  <c r="AI95" i="178"/>
  <c r="AO95" i="178"/>
  <c r="W95" i="178"/>
  <c r="BI73" i="178"/>
  <c r="CG73" i="178"/>
  <c r="CM73" i="178"/>
  <c r="AQ73" i="178"/>
  <c r="CS73" i="178"/>
  <c r="CA73" i="178"/>
  <c r="GE73" i="178"/>
  <c r="BC73" i="178"/>
  <c r="AK73" i="178"/>
  <c r="BU73" i="178"/>
  <c r="FA73" i="178"/>
  <c r="AE73" i="178"/>
  <c r="BO73" i="178"/>
  <c r="AW73" i="178"/>
  <c r="DW73" i="178"/>
  <c r="Y73" i="178"/>
  <c r="AV121" i="178"/>
  <c r="BT121" i="178"/>
  <c r="BZ121" i="178"/>
  <c r="CL121" i="178"/>
  <c r="EZ121" i="178"/>
  <c r="AD121" i="178"/>
  <c r="CF121" i="178"/>
  <c r="BN121" i="178"/>
  <c r="DV121" i="178"/>
  <c r="BH121" i="178"/>
  <c r="GD121" i="178"/>
  <c r="CR121" i="178"/>
  <c r="BB121" i="178"/>
  <c r="AJ121" i="178"/>
  <c r="X121" i="178"/>
  <c r="AP121" i="178"/>
  <c r="BM118" i="178"/>
  <c r="CK118" i="178"/>
  <c r="GC118" i="178"/>
  <c r="CQ118" i="178"/>
  <c r="BY118" i="178"/>
  <c r="BG118" i="178"/>
  <c r="AO118" i="178"/>
  <c r="W118" i="178"/>
  <c r="EY118" i="178"/>
  <c r="BS118" i="178"/>
  <c r="DU118" i="178"/>
  <c r="CE118" i="178"/>
  <c r="AU118" i="178"/>
  <c r="AC118" i="178"/>
  <c r="BA118" i="178"/>
  <c r="AI118" i="178"/>
  <c r="AX123" i="178"/>
  <c r="BV123" i="178"/>
  <c r="CB123" i="178"/>
  <c r="CH123" i="178"/>
  <c r="BP123" i="178"/>
  <c r="DX123" i="178"/>
  <c r="AR123" i="178"/>
  <c r="Z123" i="178"/>
  <c r="BJ123" i="178"/>
  <c r="BD123" i="178"/>
  <c r="AL123" i="178"/>
  <c r="CN123" i="178"/>
  <c r="FB123" i="178"/>
  <c r="AF123" i="178"/>
  <c r="GF123" i="178"/>
  <c r="CT123" i="178"/>
  <c r="EZ94" i="178"/>
  <c r="AJ94" i="178"/>
  <c r="BH94" i="178"/>
  <c r="DV94" i="178"/>
  <c r="CF94" i="178"/>
  <c r="BN94" i="178"/>
  <c r="AV94" i="178"/>
  <c r="AD94" i="178"/>
  <c r="GD94" i="178"/>
  <c r="AP94" i="178"/>
  <c r="X94" i="178"/>
  <c r="CL94" i="178"/>
  <c r="BT94" i="178"/>
  <c r="BB94" i="178"/>
  <c r="CR94" i="178"/>
  <c r="BZ94" i="178"/>
  <c r="AR137" i="178"/>
  <c r="BP137" i="178"/>
  <c r="BJ137" i="178"/>
  <c r="Z137" i="178"/>
  <c r="FB137" i="178"/>
  <c r="CN137" i="178"/>
  <c r="BV137" i="178"/>
  <c r="BD137" i="178"/>
  <c r="AL137" i="178"/>
  <c r="DX137" i="178"/>
  <c r="CH137" i="178"/>
  <c r="AX137" i="178"/>
  <c r="AF137" i="178"/>
  <c r="GF137" i="178"/>
  <c r="CT137" i="178"/>
  <c r="CB137" i="178"/>
  <c r="BV124" i="178"/>
  <c r="CH124" i="178"/>
  <c r="CT124" i="178"/>
  <c r="Z124" i="178"/>
  <c r="DX124" i="178"/>
  <c r="AF124" i="178"/>
  <c r="BD124" i="178"/>
  <c r="AL124" i="178"/>
  <c r="FB124" i="178"/>
  <c r="CN124" i="178"/>
  <c r="BP124" i="178"/>
  <c r="AX124" i="178"/>
  <c r="BJ124" i="178"/>
  <c r="AR124" i="178"/>
  <c r="CB124" i="178"/>
  <c r="GF124" i="178"/>
  <c r="BH102" i="178"/>
  <c r="BT102" i="178"/>
  <c r="GD102" i="178"/>
  <c r="AP102" i="178"/>
  <c r="CF102" i="178"/>
  <c r="BZ102" i="178"/>
  <c r="BB102" i="178"/>
  <c r="CR102" i="178"/>
  <c r="AD102" i="178"/>
  <c r="AV102" i="178"/>
  <c r="X102" i="178"/>
  <c r="EZ102" i="178"/>
  <c r="DV102" i="178"/>
  <c r="AJ102" i="178"/>
  <c r="CL102" i="178"/>
  <c r="BN102" i="178"/>
  <c r="CK134" i="178"/>
  <c r="GC134" i="178"/>
  <c r="AO134" i="178"/>
  <c r="CQ134" i="178"/>
  <c r="AC134" i="178"/>
  <c r="BY134" i="178"/>
  <c r="BG134" i="178"/>
  <c r="EY134" i="178"/>
  <c r="W134" i="178"/>
  <c r="BS134" i="178"/>
  <c r="AI134" i="178"/>
  <c r="DU134" i="178"/>
  <c r="CE134" i="178"/>
  <c r="BM134" i="178"/>
  <c r="AU134" i="178"/>
  <c r="BA134" i="178"/>
  <c r="GC132" i="178"/>
  <c r="AO132" i="178"/>
  <c r="BM132" i="178"/>
  <c r="CK132" i="178"/>
  <c r="BS132" i="178"/>
  <c r="BA132" i="178"/>
  <c r="AI132" i="178"/>
  <c r="DU132" i="178"/>
  <c r="CE132" i="178"/>
  <c r="AU132" i="178"/>
  <c r="CQ132" i="178"/>
  <c r="BY132" i="178"/>
  <c r="EY132" i="178"/>
  <c r="AC132" i="178"/>
  <c r="W132" i="178"/>
  <c r="BG132" i="178"/>
  <c r="CF132" i="178"/>
  <c r="EZ132" i="178"/>
  <c r="AJ132" i="178"/>
  <c r="BT132" i="178"/>
  <c r="BB132" i="178"/>
  <c r="Q132" i="178"/>
  <c r="N132" i="178" s="1"/>
  <c r="DV132" i="178"/>
  <c r="BN132" i="178"/>
  <c r="AV132" i="178"/>
  <c r="AD132" i="178"/>
  <c r="GD132" i="178"/>
  <c r="CR132" i="178"/>
  <c r="BZ132" i="178"/>
  <c r="BH132" i="178"/>
  <c r="CL132" i="178"/>
  <c r="X132" i="178"/>
  <c r="AP132" i="178"/>
  <c r="BS122" i="178"/>
  <c r="CQ122" i="178"/>
  <c r="W122" i="178"/>
  <c r="DU122" i="178"/>
  <c r="AC122" i="178"/>
  <c r="AO122" i="178"/>
  <c r="BY122" i="178"/>
  <c r="BG122" i="178"/>
  <c r="GC122" i="178"/>
  <c r="AI122" i="178"/>
  <c r="BA122" i="178"/>
  <c r="EY122" i="178"/>
  <c r="CK122" i="178"/>
  <c r="BM122" i="178"/>
  <c r="AU122" i="178"/>
  <c r="CE122" i="178"/>
  <c r="CH156" i="178"/>
  <c r="BD156" i="178"/>
  <c r="CT156" i="178"/>
  <c r="Z156" i="178"/>
  <c r="FB156" i="178"/>
  <c r="AL156" i="178"/>
  <c r="GF156" i="178"/>
  <c r="AR156" i="178"/>
  <c r="CB156" i="178"/>
  <c r="BJ156" i="178"/>
  <c r="DX156" i="178"/>
  <c r="BV156" i="178"/>
  <c r="AF156" i="178"/>
  <c r="BP156" i="178"/>
  <c r="CN156" i="178"/>
  <c r="AX156" i="178"/>
  <c r="CE149" i="178"/>
  <c r="EY149" i="178"/>
  <c r="AI149" i="178"/>
  <c r="GC149" i="178"/>
  <c r="AO149" i="178"/>
  <c r="BY149" i="178"/>
  <c r="BG149" i="178"/>
  <c r="CQ149" i="178"/>
  <c r="BA149" i="178"/>
  <c r="AU149" i="178"/>
  <c r="AC149" i="178"/>
  <c r="DU149" i="178"/>
  <c r="W149" i="178"/>
  <c r="BS149" i="178"/>
  <c r="BM149" i="178"/>
  <c r="CK149" i="178"/>
  <c r="EY145" i="178"/>
  <c r="AI145" i="178"/>
  <c r="BY145" i="178"/>
  <c r="AC145" i="178"/>
  <c r="BG145" i="178"/>
  <c r="CK145" i="178"/>
  <c r="AO145" i="178"/>
  <c r="BS145" i="178"/>
  <c r="BA145" i="178"/>
  <c r="CE145" i="178"/>
  <c r="CQ145" i="178"/>
  <c r="AU145" i="178"/>
  <c r="DU145" i="178"/>
  <c r="W145" i="178"/>
  <c r="BM145" i="178"/>
  <c r="GC145" i="178"/>
  <c r="GC144" i="178"/>
  <c r="AO144" i="178"/>
  <c r="EY144" i="178"/>
  <c r="BG144" i="178"/>
  <c r="AC144" i="178"/>
  <c r="CK144" i="178"/>
  <c r="BS144" i="178"/>
  <c r="DU144" i="178"/>
  <c r="W144" i="178"/>
  <c r="BM144" i="178"/>
  <c r="AI144" i="178"/>
  <c r="BY144" i="178"/>
  <c r="AU144" i="178"/>
  <c r="CQ144" i="178"/>
  <c r="BA144" i="178"/>
  <c r="CE144" i="178"/>
  <c r="AV163" i="178"/>
  <c r="EZ163" i="178"/>
  <c r="BH163" i="178"/>
  <c r="CL163" i="178"/>
  <c r="AP163" i="178"/>
  <c r="BT163" i="178"/>
  <c r="DV163" i="178"/>
  <c r="X163" i="178"/>
  <c r="BB163" i="178"/>
  <c r="GD163" i="178"/>
  <c r="AJ163" i="178"/>
  <c r="BN163" i="178"/>
  <c r="CR163" i="178"/>
  <c r="BZ163" i="178"/>
  <c r="AD163" i="178"/>
  <c r="CF163" i="178"/>
  <c r="FA147" i="178"/>
  <c r="AK147" i="178"/>
  <c r="BI147" i="178"/>
  <c r="BO147" i="178"/>
  <c r="DW147" i="178"/>
  <c r="CG147" i="178"/>
  <c r="AQ147" i="178"/>
  <c r="Y147" i="178"/>
  <c r="CA147" i="178"/>
  <c r="BU147" i="178"/>
  <c r="BC147" i="178"/>
  <c r="AE147" i="178"/>
  <c r="AW147" i="178"/>
  <c r="CS147" i="178"/>
  <c r="CM147" i="178"/>
  <c r="GE147" i="178"/>
  <c r="CL179" i="178"/>
  <c r="GD179" i="178"/>
  <c r="AP179" i="178"/>
  <c r="BZ179" i="178"/>
  <c r="AV179" i="178"/>
  <c r="BN179" i="178"/>
  <c r="DV179" i="178"/>
  <c r="AJ179" i="178"/>
  <c r="CR179" i="178"/>
  <c r="AD179" i="178"/>
  <c r="BT179" i="178"/>
  <c r="EZ179" i="178"/>
  <c r="BH179" i="178"/>
  <c r="X179" i="178"/>
  <c r="BB179" i="178"/>
  <c r="CF179" i="178"/>
  <c r="BH148" i="178"/>
  <c r="CF148" i="178"/>
  <c r="CL148" i="178"/>
  <c r="BB148" i="178"/>
  <c r="AJ148" i="178"/>
  <c r="BT148" i="178"/>
  <c r="EZ148" i="178"/>
  <c r="AD148" i="178"/>
  <c r="BN148" i="178"/>
  <c r="AV148" i="178"/>
  <c r="X148" i="178"/>
  <c r="AP148" i="178"/>
  <c r="CR148" i="178"/>
  <c r="BZ148" i="178"/>
  <c r="GD148" i="178"/>
  <c r="DV148" i="178"/>
  <c r="AU173" i="178"/>
  <c r="CE173" i="178"/>
  <c r="BA173" i="178"/>
  <c r="BM173" i="178"/>
  <c r="GC173" i="178"/>
  <c r="AI173" i="178"/>
  <c r="CK173" i="178"/>
  <c r="AO173" i="178"/>
  <c r="DU173" i="178"/>
  <c r="CQ173" i="178"/>
  <c r="BS173" i="178"/>
  <c r="W173" i="178"/>
  <c r="AC173" i="178"/>
  <c r="EY173" i="178"/>
  <c r="BG173" i="178"/>
  <c r="BY173" i="178"/>
  <c r="BP168" i="178"/>
  <c r="AR168" i="178"/>
  <c r="FB168" i="178"/>
  <c r="CB168" i="178"/>
  <c r="CN168" i="178"/>
  <c r="AL168" i="178"/>
  <c r="GF168" i="178"/>
  <c r="BJ168" i="178"/>
  <c r="BD168" i="178"/>
  <c r="AF168" i="178"/>
  <c r="CH168" i="178"/>
  <c r="AX168" i="178"/>
  <c r="BV168" i="178"/>
  <c r="Z168" i="178"/>
  <c r="DX168" i="178"/>
  <c r="CT168" i="178"/>
  <c r="DU185" i="178"/>
  <c r="CQ185" i="178"/>
  <c r="AI185" i="178"/>
  <c r="BG185" i="178"/>
  <c r="CE185" i="178"/>
  <c r="BA185" i="178"/>
  <c r="W185" i="178"/>
  <c r="GC185" i="178"/>
  <c r="BM185" i="178"/>
  <c r="CK185" i="178"/>
  <c r="AC185" i="178"/>
  <c r="BY185" i="178"/>
  <c r="AU185" i="178"/>
  <c r="EY185" i="178"/>
  <c r="AO185" i="178"/>
  <c r="BS185" i="178"/>
  <c r="CQ190" i="178"/>
  <c r="W190" i="178"/>
  <c r="CE190" i="178"/>
  <c r="BY190" i="178"/>
  <c r="EY190" i="178"/>
  <c r="CK190" i="178"/>
  <c r="BS190" i="178"/>
  <c r="BA190" i="178"/>
  <c r="AI190" i="178"/>
  <c r="GC190" i="178"/>
  <c r="BM190" i="178"/>
  <c r="BG190" i="178"/>
  <c r="DU190" i="178"/>
  <c r="AC190" i="178"/>
  <c r="AU190" i="178"/>
  <c r="AO190" i="178"/>
  <c r="CL198" i="178"/>
  <c r="BB198" i="178"/>
  <c r="BN198" i="178"/>
  <c r="BH198" i="178"/>
  <c r="AP198" i="178"/>
  <c r="CR198" i="178"/>
  <c r="BT198" i="178"/>
  <c r="BZ198" i="178"/>
  <c r="AV198" i="178"/>
  <c r="GD198" i="178"/>
  <c r="EZ198" i="178"/>
  <c r="CF198" i="178"/>
  <c r="DV198" i="178"/>
  <c r="AJ198" i="178"/>
  <c r="X198" i="178"/>
  <c r="AD198" i="178"/>
  <c r="CF187" i="178"/>
  <c r="CL187" i="178"/>
  <c r="BN187" i="178"/>
  <c r="AV187" i="178"/>
  <c r="BZ187" i="178"/>
  <c r="AJ187" i="178"/>
  <c r="DV187" i="178"/>
  <c r="GD187" i="178"/>
  <c r="BT187" i="178"/>
  <c r="CR187" i="178"/>
  <c r="BH187" i="178"/>
  <c r="X187" i="178"/>
  <c r="AD187" i="178"/>
  <c r="EZ187" i="178"/>
  <c r="BB187" i="178"/>
  <c r="AP187" i="178"/>
  <c r="BH176" i="178"/>
  <c r="CR176" i="178"/>
  <c r="X176" i="178"/>
  <c r="BN176" i="178"/>
  <c r="AD176" i="178"/>
  <c r="DV176" i="178"/>
  <c r="CF176" i="178"/>
  <c r="CL176" i="178"/>
  <c r="GD176" i="178"/>
  <c r="BB176" i="178"/>
  <c r="AV176" i="178"/>
  <c r="AJ176" i="178"/>
  <c r="BT176" i="178"/>
  <c r="EZ176" i="178"/>
  <c r="AP176" i="178"/>
  <c r="BZ176" i="178"/>
  <c r="CH189" i="178"/>
  <c r="FB189" i="178"/>
  <c r="AF189" i="178"/>
  <c r="AX189" i="178"/>
  <c r="BP189" i="178"/>
  <c r="Z189" i="178"/>
  <c r="DX189" i="178"/>
  <c r="GF189" i="178"/>
  <c r="BV189" i="178"/>
  <c r="CN189" i="178"/>
  <c r="CB189" i="178"/>
  <c r="BJ189" i="178"/>
  <c r="AR189" i="178"/>
  <c r="CT189" i="178"/>
  <c r="BD189" i="178"/>
  <c r="AL189" i="178"/>
  <c r="BM201" i="178"/>
  <c r="AO201" i="178"/>
  <c r="DU201" i="178"/>
  <c r="W201" i="178"/>
  <c r="GC201" i="178"/>
  <c r="BS201" i="178"/>
  <c r="AC201" i="178"/>
  <c r="CK201" i="178"/>
  <c r="CE201" i="178"/>
  <c r="CQ201" i="178"/>
  <c r="BY201" i="178"/>
  <c r="AU201" i="178"/>
  <c r="BG201" i="178"/>
  <c r="EY201" i="178"/>
  <c r="BA201" i="178"/>
  <c r="AI201" i="178"/>
  <c r="DX198" i="178"/>
  <c r="AF198" i="178"/>
  <c r="BP198" i="178"/>
  <c r="CB198" i="178"/>
  <c r="AL198" i="178"/>
  <c r="CN198" i="178"/>
  <c r="FB198" i="178"/>
  <c r="BD198" i="178"/>
  <c r="AX198" i="178"/>
  <c r="Z198" i="178"/>
  <c r="CH198" i="178"/>
  <c r="GF198" i="178"/>
  <c r="CT198" i="178"/>
  <c r="AR198" i="178"/>
  <c r="BV198" i="178"/>
  <c r="BJ198" i="178"/>
  <c r="GN254" i="178"/>
  <c r="GN240" i="178"/>
  <c r="GN251" i="178"/>
  <c r="GN245" i="178"/>
  <c r="GN243" i="178"/>
  <c r="GN242" i="178"/>
  <c r="GN241" i="178"/>
  <c r="GN236" i="178"/>
  <c r="GN232" i="178"/>
  <c r="GN248" i="178" s="1"/>
  <c r="GN238" i="178"/>
  <c r="GN255" i="178"/>
  <c r="GN235" i="178"/>
  <c r="GN230" i="178"/>
  <c r="GN229" i="178"/>
  <c r="GN233" i="178"/>
  <c r="BS194" i="178"/>
  <c r="CQ194" i="178"/>
  <c r="BY194" i="178"/>
  <c r="BG194" i="178"/>
  <c r="CK194" i="178"/>
  <c r="AO194" i="178"/>
  <c r="W194" i="178"/>
  <c r="EY194" i="178"/>
  <c r="CE194" i="178"/>
  <c r="DU194" i="178"/>
  <c r="BA194" i="178"/>
  <c r="AC194" i="178"/>
  <c r="BM194" i="178"/>
  <c r="AI194" i="178"/>
  <c r="AU194" i="178"/>
  <c r="GC194" i="178"/>
  <c r="BI206" i="178"/>
  <c r="DW206" i="178"/>
  <c r="AE206" i="178"/>
  <c r="BU206" i="178"/>
  <c r="GE206" i="178"/>
  <c r="CS206" i="178"/>
  <c r="CA206" i="178"/>
  <c r="BC206" i="178"/>
  <c r="AK206" i="178"/>
  <c r="Y206" i="178"/>
  <c r="FA206" i="178"/>
  <c r="CM206" i="178"/>
  <c r="CG206" i="178"/>
  <c r="AQ206" i="178"/>
  <c r="AW206" i="178"/>
  <c r="BO206" i="178"/>
  <c r="ER245" i="178"/>
  <c r="ER243" i="178"/>
  <c r="ER242" i="178"/>
  <c r="ER232" i="178"/>
  <c r="ER248" i="178" s="1"/>
  <c r="ER255" i="178"/>
  <c r="ER238" i="178"/>
  <c r="ER236" i="178"/>
  <c r="ER240" i="178"/>
  <c r="ER230" i="178"/>
  <c r="ER241" i="178"/>
  <c r="ER254" i="178"/>
  <c r="ER233" i="178"/>
  <c r="ER229" i="178"/>
  <c r="ER251" i="178"/>
  <c r="ER235" i="178"/>
  <c r="EF243" i="178"/>
  <c r="EF242" i="178"/>
  <c r="EF238" i="178"/>
  <c r="EF232" i="178"/>
  <c r="EF248" i="178" s="1"/>
  <c r="EF251" i="178"/>
  <c r="EF255" i="178"/>
  <c r="EF245" i="178"/>
  <c r="EF236" i="178"/>
  <c r="EF254" i="178"/>
  <c r="EF233" i="178"/>
  <c r="EF241" i="178"/>
  <c r="EF235" i="178"/>
  <c r="EF230" i="178"/>
  <c r="EF229" i="178"/>
  <c r="EF240" i="178"/>
  <c r="GT243" i="178"/>
  <c r="GT242" i="178"/>
  <c r="GT245" i="178"/>
  <c r="GT240" i="178"/>
  <c r="GT254" i="178"/>
  <c r="GT235" i="178"/>
  <c r="GT233" i="178"/>
  <c r="GT251" i="178"/>
  <c r="GT255" i="178"/>
  <c r="GT241" i="178"/>
  <c r="GT236" i="178"/>
  <c r="GT232" i="178"/>
  <c r="GT248" i="178" s="1"/>
  <c r="GT230" i="178"/>
  <c r="GT229" i="178"/>
  <c r="GT238" i="178"/>
  <c r="GD47" i="178"/>
  <c r="AP47" i="178"/>
  <c r="BN47" i="178"/>
  <c r="AV47" i="178"/>
  <c r="AD47" i="178"/>
  <c r="CR47" i="178"/>
  <c r="BZ47" i="178"/>
  <c r="BH47" i="178"/>
  <c r="X47" i="178"/>
  <c r="CL47" i="178"/>
  <c r="BT47" i="178"/>
  <c r="BB47" i="178"/>
  <c r="AJ47" i="178"/>
  <c r="DV47" i="178"/>
  <c r="CF47" i="178"/>
  <c r="EZ47" i="178"/>
  <c r="N116" i="178"/>
  <c r="N124" i="178"/>
  <c r="N135" i="178"/>
  <c r="N138" i="178"/>
  <c r="N178" i="178"/>
  <c r="N187" i="178"/>
  <c r="BM70" i="178"/>
  <c r="CK70" i="178"/>
  <c r="CQ70" i="178"/>
  <c r="W70" i="178"/>
  <c r="DU70" i="178"/>
  <c r="CE70" i="178"/>
  <c r="BG70" i="178"/>
  <c r="AO70" i="178"/>
  <c r="BY70" i="178"/>
  <c r="GC70" i="178"/>
  <c r="AI70" i="178"/>
  <c r="BS70" i="178"/>
  <c r="BA70" i="178"/>
  <c r="EY70" i="178"/>
  <c r="AC70" i="178"/>
  <c r="AU70" i="178"/>
  <c r="BT84" i="178"/>
  <c r="GD84" i="178"/>
  <c r="AP84" i="178"/>
  <c r="CF84" i="178"/>
  <c r="BB84" i="178"/>
  <c r="CR84" i="178"/>
  <c r="X84" i="178"/>
  <c r="BN84" i="178"/>
  <c r="BZ84" i="178"/>
  <c r="AV84" i="178"/>
  <c r="BH84" i="178"/>
  <c r="DV84" i="178"/>
  <c r="AD84" i="178"/>
  <c r="CL84" i="178"/>
  <c r="AJ84" i="178"/>
  <c r="EZ84" i="178"/>
  <c r="BS67" i="178"/>
  <c r="CQ67" i="178"/>
  <c r="W67" i="178"/>
  <c r="DU67" i="178"/>
  <c r="AC67" i="178"/>
  <c r="BY67" i="178"/>
  <c r="BG67" i="178"/>
  <c r="GC67" i="178"/>
  <c r="AI67" i="178"/>
  <c r="BA67" i="178"/>
  <c r="BM67" i="178"/>
  <c r="AU67" i="178"/>
  <c r="CE67" i="178"/>
  <c r="AO67" i="178"/>
  <c r="EY67" i="178"/>
  <c r="CK67" i="178"/>
  <c r="BD122" i="178"/>
  <c r="CB122" i="178"/>
  <c r="CH122" i="178"/>
  <c r="CT122" i="178"/>
  <c r="GF122" i="178"/>
  <c r="AL122" i="178"/>
  <c r="CN122" i="178"/>
  <c r="BV122" i="178"/>
  <c r="FB122" i="178"/>
  <c r="BP122" i="178"/>
  <c r="DX122" i="178"/>
  <c r="Z122" i="178"/>
  <c r="BJ122" i="178"/>
  <c r="AR122" i="178"/>
  <c r="AF122" i="178"/>
  <c r="AX122" i="178"/>
  <c r="BJ121" i="178"/>
  <c r="CH121" i="178"/>
  <c r="CN121" i="178"/>
  <c r="FB121" i="178"/>
  <c r="AF121" i="178"/>
  <c r="BP121" i="178"/>
  <c r="AX121" i="178"/>
  <c r="DX121" i="178"/>
  <c r="Z121" i="178"/>
  <c r="AR121" i="178"/>
  <c r="CT121" i="178"/>
  <c r="CB121" i="178"/>
  <c r="GF121" i="178"/>
  <c r="BD121" i="178"/>
  <c r="AL121" i="178"/>
  <c r="BV121" i="178"/>
  <c r="CE168" i="178"/>
  <c r="EY168" i="178"/>
  <c r="W168" i="178"/>
  <c r="CQ168" i="178"/>
  <c r="AO168" i="178"/>
  <c r="BG168" i="178"/>
  <c r="DU168" i="178"/>
  <c r="BM168" i="178"/>
  <c r="CK168" i="178"/>
  <c r="AI168" i="178"/>
  <c r="GC168" i="178"/>
  <c r="BY168" i="178"/>
  <c r="AU168" i="178"/>
  <c r="BS168" i="178"/>
  <c r="BA168" i="178"/>
  <c r="AC168" i="178"/>
  <c r="BT204" i="178"/>
  <c r="GD204" i="178"/>
  <c r="AP204" i="178"/>
  <c r="BZ204" i="178"/>
  <c r="CL204" i="178"/>
  <c r="BB204" i="178"/>
  <c r="DV204" i="178"/>
  <c r="BN204" i="178"/>
  <c r="AV204" i="178"/>
  <c r="AD204" i="178"/>
  <c r="AJ204" i="178"/>
  <c r="CR204" i="178"/>
  <c r="CF204" i="178"/>
  <c r="X204" i="178"/>
  <c r="EZ204" i="178"/>
  <c r="BH204" i="178"/>
  <c r="BJ193" i="178"/>
  <c r="CN193" i="178"/>
  <c r="AR193" i="178"/>
  <c r="DX193" i="178"/>
  <c r="CH193" i="178"/>
  <c r="GF193" i="178"/>
  <c r="BP193" i="178"/>
  <c r="AX193" i="178"/>
  <c r="BV193" i="178"/>
  <c r="FB193" i="178"/>
  <c r="CB193" i="178"/>
  <c r="BD193" i="178"/>
  <c r="AL193" i="178"/>
  <c r="AF193" i="178"/>
  <c r="Z193" i="178"/>
  <c r="CT193" i="178"/>
  <c r="BK203" i="178"/>
  <c r="DY203" i="178"/>
  <c r="AG203" i="178"/>
  <c r="O203" i="178"/>
  <c r="CU203" i="178"/>
  <c r="BW203" i="178"/>
  <c r="AS203" i="178"/>
  <c r="GG203" i="178"/>
  <c r="CI203" i="178"/>
  <c r="CC203" i="178"/>
  <c r="FC203" i="178"/>
  <c r="AA203" i="178"/>
  <c r="AM203" i="178"/>
  <c r="BE203" i="178"/>
  <c r="CO203" i="178"/>
  <c r="AY203" i="178"/>
  <c r="BQ203" i="178"/>
  <c r="AH250" i="178"/>
  <c r="AB250" i="178"/>
  <c r="CB45" i="178"/>
  <c r="BP45" i="178"/>
  <c r="CT45" i="178"/>
  <c r="AX45" i="178"/>
  <c r="AF45" i="178"/>
  <c r="FB45" i="178"/>
  <c r="BJ45" i="178"/>
  <c r="CN45" i="178"/>
  <c r="BV45" i="178"/>
  <c r="DX45" i="178"/>
  <c r="Z45" i="178"/>
  <c r="BD45" i="178"/>
  <c r="CH45" i="178"/>
  <c r="GF45" i="178"/>
  <c r="AL45" i="178"/>
  <c r="AR45" i="178"/>
  <c r="BP79" i="178"/>
  <c r="AX79" i="178"/>
  <c r="CN79" i="178"/>
  <c r="BJ79" i="178"/>
  <c r="CT79" i="178"/>
  <c r="Z79" i="178"/>
  <c r="CB79" i="178"/>
  <c r="BD79" i="178"/>
  <c r="BV79" i="178"/>
  <c r="AR79" i="178"/>
  <c r="AL79" i="178"/>
  <c r="FB79" i="178"/>
  <c r="CH79" i="178"/>
  <c r="AF79" i="178"/>
  <c r="DX79" i="178"/>
  <c r="GF79" i="178"/>
  <c r="BN45" i="178"/>
  <c r="CF45" i="178"/>
  <c r="AJ45" i="178"/>
  <c r="GD45" i="178"/>
  <c r="CR45" i="178"/>
  <c r="AV45" i="178"/>
  <c r="BZ45" i="178"/>
  <c r="BH45" i="178"/>
  <c r="EZ45" i="178"/>
  <c r="AD45" i="178"/>
  <c r="CL45" i="178"/>
  <c r="AP45" i="178"/>
  <c r="BT45" i="178"/>
  <c r="DV45" i="178"/>
  <c r="X45" i="178"/>
  <c r="BB45" i="178"/>
  <c r="N45" i="178"/>
  <c r="CB77" i="178"/>
  <c r="DX77" i="178"/>
  <c r="AF77" i="178"/>
  <c r="FB77" i="178"/>
  <c r="AL77" i="178"/>
  <c r="CN77" i="178"/>
  <c r="AX77" i="178"/>
  <c r="CH77" i="178"/>
  <c r="BP77" i="178"/>
  <c r="BJ77" i="178"/>
  <c r="GF77" i="178"/>
  <c r="CT77" i="178"/>
  <c r="BV77" i="178"/>
  <c r="BD77" i="178"/>
  <c r="AR77" i="178"/>
  <c r="Z77" i="178"/>
  <c r="CM92" i="178"/>
  <c r="GE92" i="178"/>
  <c r="AQ92" i="178"/>
  <c r="FA92" i="178"/>
  <c r="Y92" i="178"/>
  <c r="BU92" i="178"/>
  <c r="BC92" i="178"/>
  <c r="DW92" i="178"/>
  <c r="CG92" i="178"/>
  <c r="AK92" i="178"/>
  <c r="BO92" i="178"/>
  <c r="AW92" i="178"/>
  <c r="CS92" i="178"/>
  <c r="AE92" i="178"/>
  <c r="CA92" i="178"/>
  <c r="BI92" i="178"/>
  <c r="BT76" i="178"/>
  <c r="CR76" i="178"/>
  <c r="X76" i="178"/>
  <c r="DV76" i="178"/>
  <c r="AD76" i="178"/>
  <c r="CF76" i="178"/>
  <c r="AP76" i="178"/>
  <c r="BZ76" i="178"/>
  <c r="BH76" i="178"/>
  <c r="GD76" i="178"/>
  <c r="BB76" i="178"/>
  <c r="EZ76" i="178"/>
  <c r="CL76" i="178"/>
  <c r="BN76" i="178"/>
  <c r="AV76" i="178"/>
  <c r="AJ76" i="178"/>
  <c r="CA70" i="178"/>
  <c r="DW70" i="178"/>
  <c r="AE70" i="178"/>
  <c r="FA70" i="178"/>
  <c r="AK70" i="178"/>
  <c r="AQ70" i="178"/>
  <c r="Y70" i="178"/>
  <c r="BI70" i="178"/>
  <c r="GE70" i="178"/>
  <c r="CS70" i="178"/>
  <c r="BU70" i="178"/>
  <c r="BC70" i="178"/>
  <c r="AW70" i="178"/>
  <c r="CG70" i="178"/>
  <c r="BO70" i="178"/>
  <c r="CM70" i="178"/>
  <c r="BV78" i="178"/>
  <c r="CT78" i="178"/>
  <c r="Z78" i="178"/>
  <c r="DX78" i="178"/>
  <c r="AF78" i="178"/>
  <c r="CB78" i="178"/>
  <c r="BJ78" i="178"/>
  <c r="GF78" i="178"/>
  <c r="AL78" i="178"/>
  <c r="BD78" i="178"/>
  <c r="FB78" i="178"/>
  <c r="CN78" i="178"/>
  <c r="BP78" i="178"/>
  <c r="AX78" i="178"/>
  <c r="CH78" i="178"/>
  <c r="AR78" i="178"/>
  <c r="EY66" i="178"/>
  <c r="AI66" i="178"/>
  <c r="BG66" i="178"/>
  <c r="BM66" i="178"/>
  <c r="BS66" i="178"/>
  <c r="BA66" i="178"/>
  <c r="CK66" i="178"/>
  <c r="AC66" i="178"/>
  <c r="AU66" i="178"/>
  <c r="DU66" i="178"/>
  <c r="CE66" i="178"/>
  <c r="AO66" i="178"/>
  <c r="W66" i="178"/>
  <c r="BY66" i="178"/>
  <c r="GC66" i="178"/>
  <c r="CQ66" i="178"/>
  <c r="CN75" i="178"/>
  <c r="GF75" i="178"/>
  <c r="AR75" i="178"/>
  <c r="AX75" i="178"/>
  <c r="BD75" i="178"/>
  <c r="AL75" i="178"/>
  <c r="BV75" i="178"/>
  <c r="FB75" i="178"/>
  <c r="AF75" i="178"/>
  <c r="CH75" i="178"/>
  <c r="BP75" i="178"/>
  <c r="Z75" i="178"/>
  <c r="BJ75" i="178"/>
  <c r="CT75" i="178"/>
  <c r="CB75" i="178"/>
  <c r="DX75" i="178"/>
  <c r="CE87" i="178"/>
  <c r="BA87" i="178"/>
  <c r="CQ87" i="178"/>
  <c r="W87" i="178"/>
  <c r="BM87" i="178"/>
  <c r="EY87" i="178"/>
  <c r="AI87" i="178"/>
  <c r="BY87" i="178"/>
  <c r="CK87" i="178"/>
  <c r="BG87" i="178"/>
  <c r="DU87" i="178"/>
  <c r="AC87" i="178"/>
  <c r="BS87" i="178"/>
  <c r="GC87" i="178"/>
  <c r="AO87" i="178"/>
  <c r="AU87" i="178"/>
  <c r="GE105" i="178"/>
  <c r="AQ105" i="178"/>
  <c r="BC105" i="178"/>
  <c r="CS105" i="178"/>
  <c r="Y105" i="178"/>
  <c r="BO105" i="178"/>
  <c r="FA105" i="178"/>
  <c r="AK105" i="178"/>
  <c r="BU105" i="178"/>
  <c r="CA105" i="178"/>
  <c r="DW105" i="178"/>
  <c r="AE105" i="178"/>
  <c r="AW105" i="178"/>
  <c r="CM105" i="178"/>
  <c r="CG105" i="178"/>
  <c r="BI105" i="178"/>
  <c r="EY80" i="178"/>
  <c r="AI80" i="178"/>
  <c r="CK80" i="178"/>
  <c r="BG80" i="178"/>
  <c r="DU80" i="178"/>
  <c r="AC80" i="178"/>
  <c r="GC80" i="178"/>
  <c r="BM80" i="178"/>
  <c r="AO80" i="178"/>
  <c r="W80" i="178"/>
  <c r="CE80" i="178"/>
  <c r="BA80" i="178"/>
  <c r="CQ80" i="178"/>
  <c r="BS80" i="178"/>
  <c r="AU80" i="178"/>
  <c r="BY80" i="178"/>
  <c r="FB72" i="178"/>
  <c r="AL72" i="178"/>
  <c r="BJ72" i="178"/>
  <c r="BP72" i="178"/>
  <c r="CN72" i="178"/>
  <c r="AF72" i="178"/>
  <c r="AX72" i="178"/>
  <c r="DX72" i="178"/>
  <c r="CH72" i="178"/>
  <c r="CB72" i="178"/>
  <c r="GF72" i="178"/>
  <c r="CT72" i="178"/>
  <c r="BV72" i="178"/>
  <c r="BD72" i="178"/>
  <c r="Z72" i="178"/>
  <c r="AR72" i="178"/>
  <c r="AW83" i="178"/>
  <c r="CM83" i="178"/>
  <c r="BI83" i="178"/>
  <c r="DW83" i="178"/>
  <c r="AE83" i="178"/>
  <c r="BU83" i="178"/>
  <c r="GE83" i="178"/>
  <c r="AQ83" i="178"/>
  <c r="BC83" i="178"/>
  <c r="CS83" i="178"/>
  <c r="Y83" i="178"/>
  <c r="FA83" i="178"/>
  <c r="AK83" i="178"/>
  <c r="CA83" i="178"/>
  <c r="BO83" i="178"/>
  <c r="CG83" i="178"/>
  <c r="CT98" i="178"/>
  <c r="Z98" i="178"/>
  <c r="AX98" i="178"/>
  <c r="BD98" i="178"/>
  <c r="AL98" i="178"/>
  <c r="DX98" i="178"/>
  <c r="CH98" i="178"/>
  <c r="BP98" i="178"/>
  <c r="AF98" i="178"/>
  <c r="CB98" i="178"/>
  <c r="BJ98" i="178"/>
  <c r="AR98" i="178"/>
  <c r="FB98" i="178"/>
  <c r="CN98" i="178"/>
  <c r="BV98" i="178"/>
  <c r="GF98" i="178"/>
  <c r="BH78" i="178"/>
  <c r="CF78" i="178"/>
  <c r="CL78" i="178"/>
  <c r="AP78" i="178"/>
  <c r="CR78" i="178"/>
  <c r="BZ78" i="178"/>
  <c r="GD78" i="178"/>
  <c r="BB78" i="178"/>
  <c r="AJ78" i="178"/>
  <c r="BT78" i="178"/>
  <c r="EZ78" i="178"/>
  <c r="AD78" i="178"/>
  <c r="BN78" i="178"/>
  <c r="AV78" i="178"/>
  <c r="DV78" i="178"/>
  <c r="X78" i="178"/>
  <c r="BM123" i="178"/>
  <c r="CK123" i="178"/>
  <c r="CQ123" i="178"/>
  <c r="W123" i="178"/>
  <c r="EY123" i="178"/>
  <c r="AC123" i="178"/>
  <c r="AU123" i="178"/>
  <c r="DU123" i="178"/>
  <c r="CE123" i="178"/>
  <c r="BY123" i="178"/>
  <c r="GC123" i="178"/>
  <c r="AI123" i="178"/>
  <c r="BS123" i="178"/>
  <c r="BA123" i="178"/>
  <c r="BG123" i="178"/>
  <c r="AO123" i="178"/>
  <c r="BP120" i="178"/>
  <c r="CN120" i="178"/>
  <c r="CT120" i="178"/>
  <c r="Z120" i="178"/>
  <c r="CH120" i="178"/>
  <c r="BJ120" i="178"/>
  <c r="CB120" i="178"/>
  <c r="GF120" i="178"/>
  <c r="AR120" i="178"/>
  <c r="FB120" i="178"/>
  <c r="BV120" i="178"/>
  <c r="BD120" i="178"/>
  <c r="AL120" i="178"/>
  <c r="DX120" i="178"/>
  <c r="AX120" i="178"/>
  <c r="AF120" i="178"/>
  <c r="BO106" i="178"/>
  <c r="FA106" i="178"/>
  <c r="CA106" i="178"/>
  <c r="AW106" i="178"/>
  <c r="CM106" i="178"/>
  <c r="BI106" i="178"/>
  <c r="BU106" i="178"/>
  <c r="GE106" i="178"/>
  <c r="AQ106" i="178"/>
  <c r="CS106" i="178"/>
  <c r="Y106" i="178"/>
  <c r="DW106" i="178"/>
  <c r="AK106" i="178"/>
  <c r="AE106" i="178"/>
  <c r="BC106" i="178"/>
  <c r="CG106" i="178"/>
  <c r="FB96" i="178"/>
  <c r="AL96" i="178"/>
  <c r="BJ96" i="178"/>
  <c r="CT96" i="178"/>
  <c r="CB96" i="178"/>
  <c r="AR96" i="178"/>
  <c r="Z96" i="178"/>
  <c r="CN96" i="178"/>
  <c r="BV96" i="178"/>
  <c r="BD96" i="178"/>
  <c r="DX96" i="178"/>
  <c r="CH96" i="178"/>
  <c r="BP96" i="178"/>
  <c r="AX96" i="178"/>
  <c r="AF96" i="178"/>
  <c r="GF96" i="178"/>
  <c r="CK102" i="178"/>
  <c r="DU102" i="178"/>
  <c r="AC102" i="178"/>
  <c r="BS102" i="178"/>
  <c r="GC102" i="178"/>
  <c r="AO102" i="178"/>
  <c r="AI102" i="178"/>
  <c r="BY102" i="178"/>
  <c r="BA102" i="178"/>
  <c r="CQ102" i="178"/>
  <c r="BM102" i="178"/>
  <c r="EY102" i="178"/>
  <c r="CE102" i="178"/>
  <c r="BG102" i="178"/>
  <c r="AU102" i="178"/>
  <c r="W102" i="178"/>
  <c r="CN126" i="178"/>
  <c r="DX126" i="178"/>
  <c r="AF126" i="178"/>
  <c r="GF126" i="178"/>
  <c r="AR126" i="178"/>
  <c r="AX126" i="178"/>
  <c r="BJ126" i="178"/>
  <c r="AL126" i="178"/>
  <c r="CB126" i="178"/>
  <c r="BD126" i="178"/>
  <c r="CT126" i="178"/>
  <c r="Z126" i="178"/>
  <c r="BP126" i="178"/>
  <c r="FB126" i="178"/>
  <c r="CH126" i="178"/>
  <c r="BV126" i="178"/>
  <c r="BJ104" i="178"/>
  <c r="BV104" i="178"/>
  <c r="GF104" i="178"/>
  <c r="AR104" i="178"/>
  <c r="CH104" i="178"/>
  <c r="CN104" i="178"/>
  <c r="AL104" i="178"/>
  <c r="FB104" i="178"/>
  <c r="BD104" i="178"/>
  <c r="AF104" i="178"/>
  <c r="Z104" i="178"/>
  <c r="CT104" i="178"/>
  <c r="AX104" i="178"/>
  <c r="BP104" i="178"/>
  <c r="DX104" i="178"/>
  <c r="CB104" i="178"/>
  <c r="EY137" i="178"/>
  <c r="BG137" i="178"/>
  <c r="GC137" i="178"/>
  <c r="CE137" i="178"/>
  <c r="CQ137" i="178"/>
  <c r="BY137" i="178"/>
  <c r="AO137" i="178"/>
  <c r="W137" i="178"/>
  <c r="AI137" i="178"/>
  <c r="DU137" i="178"/>
  <c r="BM137" i="178"/>
  <c r="AU137" i="178"/>
  <c r="AC137" i="178"/>
  <c r="BS137" i="178"/>
  <c r="BA137" i="178"/>
  <c r="CK137" i="178"/>
  <c r="CH138" i="178"/>
  <c r="BV138" i="178"/>
  <c r="Z138" i="178"/>
  <c r="GF138" i="178"/>
  <c r="BP138" i="178"/>
  <c r="CT138" i="178"/>
  <c r="CB138" i="178"/>
  <c r="BJ138" i="178"/>
  <c r="AR138" i="178"/>
  <c r="BD138" i="178"/>
  <c r="AL138" i="178"/>
  <c r="FB138" i="178"/>
  <c r="CN138" i="178"/>
  <c r="AX138" i="178"/>
  <c r="AF138" i="178"/>
  <c r="DX138" i="178"/>
  <c r="BM133" i="178"/>
  <c r="CK133" i="178"/>
  <c r="DU133" i="178"/>
  <c r="CE133" i="178"/>
  <c r="GC133" i="178"/>
  <c r="AU133" i="178"/>
  <c r="AC133" i="178"/>
  <c r="CQ133" i="178"/>
  <c r="EY133" i="178"/>
  <c r="AO133" i="178"/>
  <c r="W133" i="178"/>
  <c r="BS133" i="178"/>
  <c r="BA133" i="178"/>
  <c r="AI133" i="178"/>
  <c r="BG133" i="178"/>
  <c r="BY133" i="178"/>
  <c r="BJ129" i="178"/>
  <c r="DX129" i="178"/>
  <c r="AF129" i="178"/>
  <c r="BV129" i="178"/>
  <c r="GF129" i="178"/>
  <c r="AR129" i="178"/>
  <c r="CH129" i="178"/>
  <c r="BD129" i="178"/>
  <c r="FB129" i="178"/>
  <c r="AL129" i="178"/>
  <c r="CN129" i="178"/>
  <c r="CB129" i="178"/>
  <c r="AX129" i="178"/>
  <c r="CT129" i="178"/>
  <c r="BP129" i="178"/>
  <c r="Z129" i="178"/>
  <c r="GE170" i="178"/>
  <c r="AQ170" i="178"/>
  <c r="CG170" i="178"/>
  <c r="CS170" i="178"/>
  <c r="CA170" i="178"/>
  <c r="BI170" i="178"/>
  <c r="BU170" i="178"/>
  <c r="AK170" i="178"/>
  <c r="DW170" i="178"/>
  <c r="BO170" i="178"/>
  <c r="FA170" i="178"/>
  <c r="AW170" i="178"/>
  <c r="AE170" i="178"/>
  <c r="Y170" i="178"/>
  <c r="CM170" i="178"/>
  <c r="BC170" i="178"/>
  <c r="CM150" i="178"/>
  <c r="GE150" i="178"/>
  <c r="AQ150" i="178"/>
  <c r="AW150" i="178"/>
  <c r="CG150" i="178"/>
  <c r="BO150" i="178"/>
  <c r="DW150" i="178"/>
  <c r="Y150" i="178"/>
  <c r="BI150" i="178"/>
  <c r="CS150" i="178"/>
  <c r="CA150" i="178"/>
  <c r="BC150" i="178"/>
  <c r="AK150" i="178"/>
  <c r="BU150" i="178"/>
  <c r="FA150" i="178"/>
  <c r="AE150" i="178"/>
  <c r="GE146" i="178"/>
  <c r="AQ146" i="178"/>
  <c r="BO146" i="178"/>
  <c r="BU146" i="178"/>
  <c r="CS146" i="178"/>
  <c r="AK146" i="178"/>
  <c r="BC146" i="178"/>
  <c r="FA146" i="178"/>
  <c r="CM146" i="178"/>
  <c r="CG146" i="178"/>
  <c r="CA146" i="178"/>
  <c r="BI146" i="178"/>
  <c r="AW146" i="178"/>
  <c r="AE146" i="178"/>
  <c r="DW146" i="178"/>
  <c r="Y146" i="178"/>
  <c r="CG151" i="178"/>
  <c r="FA151" i="178"/>
  <c r="AK151" i="178"/>
  <c r="GE151" i="178"/>
  <c r="AQ151" i="178"/>
  <c r="BC151" i="178"/>
  <c r="CM151" i="178"/>
  <c r="BU151" i="178"/>
  <c r="AW151" i="178"/>
  <c r="AE151" i="178"/>
  <c r="BO151" i="178"/>
  <c r="DW151" i="178"/>
  <c r="Y151" i="178"/>
  <c r="CS151" i="178"/>
  <c r="BI151" i="178"/>
  <c r="CA151" i="178"/>
  <c r="CM163" i="178"/>
  <c r="AQ163" i="178"/>
  <c r="BU163" i="178"/>
  <c r="DW163" i="178"/>
  <c r="Y163" i="178"/>
  <c r="BC163" i="178"/>
  <c r="CG163" i="178"/>
  <c r="BO163" i="178"/>
  <c r="CS163" i="178"/>
  <c r="AW163" i="178"/>
  <c r="CA163" i="178"/>
  <c r="AE163" i="178"/>
  <c r="FA163" i="178"/>
  <c r="BI163" i="178"/>
  <c r="GE163" i="178"/>
  <c r="AK163" i="178"/>
  <c r="EZ152" i="178"/>
  <c r="AJ152" i="178"/>
  <c r="BH152" i="178"/>
  <c r="BN152" i="178"/>
  <c r="DV152" i="178"/>
  <c r="CF152" i="178"/>
  <c r="AP152" i="178"/>
  <c r="X152" i="178"/>
  <c r="BZ152" i="178"/>
  <c r="GD152" i="178"/>
  <c r="CR152" i="178"/>
  <c r="BT152" i="178"/>
  <c r="BB152" i="178"/>
  <c r="CL152" i="178"/>
  <c r="AV152" i="178"/>
  <c r="AD152" i="178"/>
  <c r="AV155" i="178"/>
  <c r="BH155" i="178"/>
  <c r="BT155" i="178"/>
  <c r="BZ155" i="178"/>
  <c r="AJ155" i="178"/>
  <c r="BB155" i="178"/>
  <c r="CR155" i="178"/>
  <c r="AD155" i="178"/>
  <c r="GD155" i="178"/>
  <c r="X155" i="178"/>
  <c r="BN155" i="178"/>
  <c r="AP155" i="178"/>
  <c r="EZ155" i="178"/>
  <c r="CF155" i="178"/>
  <c r="DV155" i="178"/>
  <c r="CL155" i="178"/>
  <c r="BJ150" i="178"/>
  <c r="CH150" i="178"/>
  <c r="CN150" i="178"/>
  <c r="DX150" i="178"/>
  <c r="Z150" i="178"/>
  <c r="AR150" i="178"/>
  <c r="CT150" i="178"/>
  <c r="CB150" i="178"/>
  <c r="GF150" i="178"/>
  <c r="BV150" i="178"/>
  <c r="BP150" i="178"/>
  <c r="AX150" i="178"/>
  <c r="AF150" i="178"/>
  <c r="FB150" i="178"/>
  <c r="BD150" i="178"/>
  <c r="AL150" i="178"/>
  <c r="CR197" i="178"/>
  <c r="X197" i="178"/>
  <c r="BT197" i="178"/>
  <c r="CF197" i="178"/>
  <c r="BN197" i="178"/>
  <c r="DV197" i="178"/>
  <c r="AV197" i="178"/>
  <c r="AD197" i="178"/>
  <c r="EZ197" i="178"/>
  <c r="BZ197" i="178"/>
  <c r="AJ197" i="178"/>
  <c r="GD197" i="178"/>
  <c r="BB197" i="178"/>
  <c r="CL197" i="178"/>
  <c r="AP197" i="178"/>
  <c r="BH197" i="178"/>
  <c r="BT170" i="178"/>
  <c r="GD170" i="178"/>
  <c r="AP170" i="178"/>
  <c r="AD170" i="178"/>
  <c r="CR170" i="178"/>
  <c r="BZ170" i="178"/>
  <c r="CL170" i="178"/>
  <c r="BB170" i="178"/>
  <c r="CF170" i="178"/>
  <c r="X170" i="178"/>
  <c r="EZ170" i="178"/>
  <c r="BN170" i="178"/>
  <c r="DV170" i="178"/>
  <c r="BH170" i="178"/>
  <c r="AV170" i="178"/>
  <c r="AJ170" i="178"/>
  <c r="AU198" i="178"/>
  <c r="CE198" i="178"/>
  <c r="CQ198" i="178"/>
  <c r="W198" i="178"/>
  <c r="BY198" i="178"/>
  <c r="GC198" i="178"/>
  <c r="AI198" i="178"/>
  <c r="BA198" i="178"/>
  <c r="CK198" i="178"/>
  <c r="AO198" i="178"/>
  <c r="AC198" i="178"/>
  <c r="BG198" i="178"/>
  <c r="DU198" i="178"/>
  <c r="BS198" i="178"/>
  <c r="BM198" i="178"/>
  <c r="EY198" i="178"/>
  <c r="GF204" i="178"/>
  <c r="CH204" i="178"/>
  <c r="BD204" i="178"/>
  <c r="AR204" i="178"/>
  <c r="DX204" i="178"/>
  <c r="BP204" i="178"/>
  <c r="AF204" i="178"/>
  <c r="CT204" i="178"/>
  <c r="CB204" i="178"/>
  <c r="BJ204" i="178"/>
  <c r="Z204" i="178"/>
  <c r="CN204" i="178"/>
  <c r="AL204" i="178"/>
  <c r="FB204" i="178"/>
  <c r="AX204" i="178"/>
  <c r="BV204" i="178"/>
  <c r="FA175" i="178"/>
  <c r="AK175" i="178"/>
  <c r="BU175" i="178"/>
  <c r="GE175" i="178"/>
  <c r="AQ175" i="178"/>
  <c r="CS175" i="178"/>
  <c r="Y175" i="178"/>
  <c r="BI175" i="178"/>
  <c r="CM175" i="178"/>
  <c r="AW175" i="178"/>
  <c r="CG175" i="178"/>
  <c r="DW175" i="178"/>
  <c r="BC175" i="178"/>
  <c r="CA175" i="178"/>
  <c r="BO175" i="178"/>
  <c r="AE175" i="178"/>
  <c r="CS192" i="178"/>
  <c r="Y192" i="178"/>
  <c r="BU192" i="178"/>
  <c r="GE192" i="178"/>
  <c r="BO192" i="178"/>
  <c r="FA192" i="178"/>
  <c r="CM192" i="178"/>
  <c r="DW192" i="178"/>
  <c r="CG192" i="178"/>
  <c r="AW192" i="178"/>
  <c r="AQ192" i="178"/>
  <c r="BC192" i="178"/>
  <c r="AK192" i="178"/>
  <c r="AE192" i="178"/>
  <c r="BI192" i="178"/>
  <c r="CA192" i="178"/>
  <c r="BJ178" i="178"/>
  <c r="CT178" i="178"/>
  <c r="Z178" i="178"/>
  <c r="BP178" i="178"/>
  <c r="FB178" i="178"/>
  <c r="CN178" i="178"/>
  <c r="CB178" i="178"/>
  <c r="AR178" i="178"/>
  <c r="BV178" i="178"/>
  <c r="AL178" i="178"/>
  <c r="BD178" i="178"/>
  <c r="GF178" i="178"/>
  <c r="CH178" i="178"/>
  <c r="AX178" i="178"/>
  <c r="AF178" i="178"/>
  <c r="DX178" i="178"/>
  <c r="CE192" i="178"/>
  <c r="CK192" i="178"/>
  <c r="DU192" i="178"/>
  <c r="BA192" i="178"/>
  <c r="BM192" i="178"/>
  <c r="AU192" i="178"/>
  <c r="AC192" i="178"/>
  <c r="BS192" i="178"/>
  <c r="AO192" i="178"/>
  <c r="CQ192" i="178"/>
  <c r="EY192" i="178"/>
  <c r="BY192" i="178"/>
  <c r="BG192" i="178"/>
  <c r="AI192" i="178"/>
  <c r="W192" i="178"/>
  <c r="GC192" i="178"/>
  <c r="BM195" i="178"/>
  <c r="GC195" i="178"/>
  <c r="CE195" i="178"/>
  <c r="AI195" i="178"/>
  <c r="BY195" i="178"/>
  <c r="EY195" i="178"/>
  <c r="AC195" i="178"/>
  <c r="CQ195" i="178"/>
  <c r="BS195" i="178"/>
  <c r="AU195" i="178"/>
  <c r="AO195" i="178"/>
  <c r="BG195" i="178"/>
  <c r="BA195" i="178"/>
  <c r="DU195" i="178"/>
  <c r="W195" i="178"/>
  <c r="CK195" i="178"/>
  <c r="CQ208" i="178"/>
  <c r="W208" i="178"/>
  <c r="BM208" i="178"/>
  <c r="EY208" i="178"/>
  <c r="AI208" i="178"/>
  <c r="BY208" i="178"/>
  <c r="CK208" i="178"/>
  <c r="BA208" i="178"/>
  <c r="AU208" i="178"/>
  <c r="DU208" i="178"/>
  <c r="CE208" i="178"/>
  <c r="AC208" i="178"/>
  <c r="BS208" i="178"/>
  <c r="AO208" i="178"/>
  <c r="GC208" i="178"/>
  <c r="BG208" i="178"/>
  <c r="CT199" i="178"/>
  <c r="Z199" i="178"/>
  <c r="BJ199" i="178"/>
  <c r="BV199" i="178"/>
  <c r="CH199" i="178"/>
  <c r="AR199" i="178"/>
  <c r="CB199" i="178"/>
  <c r="GF199" i="178"/>
  <c r="AL199" i="178"/>
  <c r="CN199" i="178"/>
  <c r="AF199" i="178"/>
  <c r="DX199" i="178"/>
  <c r="BD199" i="178"/>
  <c r="AX199" i="178"/>
  <c r="FB199" i="178"/>
  <c r="BP199" i="178"/>
  <c r="BI198" i="178"/>
  <c r="CS198" i="178"/>
  <c r="Y198" i="178"/>
  <c r="FA198" i="178"/>
  <c r="AK198" i="178"/>
  <c r="CA198" i="178"/>
  <c r="GE198" i="178"/>
  <c r="BU198" i="178"/>
  <c r="BC198" i="178"/>
  <c r="CM198" i="178"/>
  <c r="AE198" i="178"/>
  <c r="CG198" i="178"/>
  <c r="AQ198" i="178"/>
  <c r="AW198" i="178"/>
  <c r="DW198" i="178"/>
  <c r="BO198" i="178"/>
  <c r="BC209" i="178"/>
  <c r="BO209" i="178"/>
  <c r="CA209" i="178"/>
  <c r="AE209" i="178"/>
  <c r="FA209" i="178"/>
  <c r="BI209" i="178"/>
  <c r="CM209" i="178"/>
  <c r="BU209" i="178"/>
  <c r="AW209" i="178"/>
  <c r="AQ209" i="178"/>
  <c r="CS209" i="178"/>
  <c r="CG209" i="178"/>
  <c r="DW209" i="178"/>
  <c r="AK209" i="178"/>
  <c r="GE209" i="178"/>
  <c r="Y209" i="178"/>
  <c r="AX210" i="178"/>
  <c r="BJ210" i="178"/>
  <c r="BP210" i="178"/>
  <c r="BV210" i="178"/>
  <c r="BD210" i="178"/>
  <c r="CN210" i="178"/>
  <c r="AL210" i="178"/>
  <c r="DX210" i="178"/>
  <c r="AF210" i="178"/>
  <c r="FB210" i="178"/>
  <c r="Z210" i="178"/>
  <c r="CH210" i="178"/>
  <c r="AR210" i="178"/>
  <c r="CT210" i="178"/>
  <c r="CB210" i="178"/>
  <c r="GF210" i="178"/>
  <c r="GZ243" i="178"/>
  <c r="GZ242" i="178"/>
  <c r="GZ254" i="178"/>
  <c r="GZ232" i="178"/>
  <c r="GZ245" i="178"/>
  <c r="GZ255" i="178"/>
  <c r="GZ251" i="178"/>
  <c r="GZ241" i="178"/>
  <c r="GZ236" i="178"/>
  <c r="GZ240" i="178"/>
  <c r="GZ230" i="178"/>
  <c r="GZ238" i="178"/>
  <c r="GZ229" i="178"/>
  <c r="GZ235" i="178"/>
  <c r="GZ233" i="178"/>
  <c r="EY58" i="178"/>
  <c r="AI58" i="178"/>
  <c r="BY58" i="178"/>
  <c r="AU58" i="178"/>
  <c r="CK58" i="178"/>
  <c r="BG58" i="178"/>
  <c r="DU58" i="178"/>
  <c r="AC58" i="178"/>
  <c r="GC58" i="178"/>
  <c r="AO58" i="178"/>
  <c r="CE58" i="178"/>
  <c r="BM58" i="178"/>
  <c r="BA58" i="178"/>
  <c r="CQ58" i="178"/>
  <c r="W58" i="178"/>
  <c r="BS58" i="178"/>
  <c r="N75" i="178"/>
  <c r="N102" i="178"/>
  <c r="N121" i="178"/>
  <c r="N161" i="178"/>
  <c r="N163" i="178"/>
  <c r="N146" i="178"/>
  <c r="N199" i="178"/>
  <c r="N192" i="178"/>
  <c r="N208" i="178"/>
  <c r="U62" i="178"/>
  <c r="CG61" i="178"/>
  <c r="AK61" i="178"/>
  <c r="GE61" i="178"/>
  <c r="BO61" i="178"/>
  <c r="CS61" i="178"/>
  <c r="AW61" i="178"/>
  <c r="CA61" i="178"/>
  <c r="BI61" i="178"/>
  <c r="CM61" i="178"/>
  <c r="BU61" i="178"/>
  <c r="Y61" i="178"/>
  <c r="DW61" i="178"/>
  <c r="BC61" i="178"/>
  <c r="AQ61" i="178"/>
  <c r="AE61" i="178"/>
  <c r="FA61" i="178"/>
  <c r="BG127" i="178"/>
  <c r="BS127" i="178"/>
  <c r="GC127" i="178"/>
  <c r="CE127" i="178"/>
  <c r="EY127" i="178"/>
  <c r="AI127" i="178"/>
  <c r="CK127" i="178"/>
  <c r="BM127" i="178"/>
  <c r="AO127" i="178"/>
  <c r="DU127" i="178"/>
  <c r="BY127" i="178"/>
  <c r="BA127" i="178"/>
  <c r="AC127" i="178"/>
  <c r="CQ127" i="178"/>
  <c r="AU127" i="178"/>
  <c r="W127" i="178"/>
  <c r="BS174" i="178"/>
  <c r="EY174" i="178"/>
  <c r="AI174" i="178"/>
  <c r="BY174" i="178"/>
  <c r="GC174" i="178"/>
  <c r="CQ174" i="178"/>
  <c r="AO174" i="178"/>
  <c r="W174" i="178"/>
  <c r="AU174" i="178"/>
  <c r="CK174" i="178"/>
  <c r="BG174" i="178"/>
  <c r="BA174" i="178"/>
  <c r="CE174" i="178"/>
  <c r="AC174" i="178"/>
  <c r="BM174" i="178"/>
  <c r="DU174" i="178"/>
  <c r="BS180" i="178"/>
  <c r="CQ180" i="178"/>
  <c r="W180" i="178"/>
  <c r="BG180" i="178"/>
  <c r="DU180" i="178"/>
  <c r="AC180" i="178"/>
  <c r="AO180" i="178"/>
  <c r="BA180" i="178"/>
  <c r="EY180" i="178"/>
  <c r="CK180" i="178"/>
  <c r="GC180" i="178"/>
  <c r="CE180" i="178"/>
  <c r="BM180" i="178"/>
  <c r="BY180" i="178"/>
  <c r="AI180" i="178"/>
  <c r="AU180" i="178"/>
  <c r="BA205" i="178"/>
  <c r="CQ205" i="178"/>
  <c r="W205" i="178"/>
  <c r="BM205" i="178"/>
  <c r="GC205" i="178"/>
  <c r="EY205" i="178"/>
  <c r="CK205" i="178"/>
  <c r="BS205" i="178"/>
  <c r="AU205" i="178"/>
  <c r="AC205" i="178"/>
  <c r="DU205" i="178"/>
  <c r="BG205" i="178"/>
  <c r="BY205" i="178"/>
  <c r="AI205" i="178"/>
  <c r="CE205" i="178"/>
  <c r="AO205" i="178"/>
  <c r="CO123" i="178"/>
  <c r="GG123" i="178"/>
  <c r="AS123" i="178"/>
  <c r="AY123" i="178"/>
  <c r="CI123" i="178"/>
  <c r="BQ123" i="178"/>
  <c r="DY123" i="178"/>
  <c r="AA123" i="178"/>
  <c r="BK123" i="178"/>
  <c r="CU123" i="178"/>
  <c r="CC123" i="178"/>
  <c r="BE123" i="178"/>
  <c r="AM123" i="178"/>
  <c r="BW123" i="178"/>
  <c r="O123" i="178"/>
  <c r="FC123" i="178"/>
  <c r="AG123" i="178"/>
  <c r="BW73" i="178"/>
  <c r="CU73" i="178"/>
  <c r="AA73" i="178"/>
  <c r="DY73" i="178"/>
  <c r="AG73" i="178"/>
  <c r="CC73" i="178"/>
  <c r="BK73" i="178"/>
  <c r="GG73" i="178"/>
  <c r="AM73" i="178"/>
  <c r="BE73" i="178"/>
  <c r="FC73" i="178"/>
  <c r="CO73" i="178"/>
  <c r="O73" i="178"/>
  <c r="BQ73" i="178"/>
  <c r="AY73" i="178"/>
  <c r="CI73" i="178"/>
  <c r="AS73" i="178"/>
  <c r="BE50" i="178"/>
  <c r="AS70" i="178"/>
  <c r="BK70" i="178"/>
  <c r="N63" i="178"/>
  <c r="AX68" i="178"/>
  <c r="BV68" i="178"/>
  <c r="CB68" i="178"/>
  <c r="CH68" i="178"/>
  <c r="BP68" i="178"/>
  <c r="DX68" i="178"/>
  <c r="AR68" i="178"/>
  <c r="Z68" i="178"/>
  <c r="BJ68" i="178"/>
  <c r="GF68" i="178"/>
  <c r="CT68" i="178"/>
  <c r="BD68" i="178"/>
  <c r="AL68" i="178"/>
  <c r="CN68" i="178"/>
  <c r="FB68" i="178"/>
  <c r="AF68" i="178"/>
  <c r="EY64" i="178"/>
  <c r="AI64" i="178"/>
  <c r="CK64" i="178"/>
  <c r="AO64" i="178"/>
  <c r="BS64" i="178"/>
  <c r="DU64" i="178"/>
  <c r="W64" i="178"/>
  <c r="BA64" i="178"/>
  <c r="CE64" i="178"/>
  <c r="BM64" i="178"/>
  <c r="CQ64" i="178"/>
  <c r="AU64" i="178"/>
  <c r="BY64" i="178"/>
  <c r="AC64" i="178"/>
  <c r="BG64" i="178"/>
  <c r="GC64" i="178"/>
  <c r="GD65" i="178"/>
  <c r="AP65" i="178"/>
  <c r="BN65" i="178"/>
  <c r="BT65" i="178"/>
  <c r="CF65" i="178"/>
  <c r="DV65" i="178"/>
  <c r="X65" i="178"/>
  <c r="BZ65" i="178"/>
  <c r="BH65" i="178"/>
  <c r="CR65" i="178"/>
  <c r="BB65" i="178"/>
  <c r="EZ65" i="178"/>
  <c r="CL65" i="178"/>
  <c r="AV65" i="178"/>
  <c r="AD65" i="178"/>
  <c r="AJ65" i="178"/>
  <c r="GC98" i="178"/>
  <c r="AO98" i="178"/>
  <c r="BM98" i="178"/>
  <c r="EY98" i="178"/>
  <c r="CK98" i="178"/>
  <c r="BS98" i="178"/>
  <c r="BA98" i="178"/>
  <c r="AI98" i="178"/>
  <c r="DU98" i="178"/>
  <c r="CE98" i="178"/>
  <c r="AC98" i="178"/>
  <c r="CQ98" i="178"/>
  <c r="BY98" i="178"/>
  <c r="BG98" i="178"/>
  <c r="W98" i="178"/>
  <c r="AU98" i="178"/>
  <c r="CS79" i="178"/>
  <c r="Y79" i="178"/>
  <c r="CA79" i="178"/>
  <c r="AW79" i="178"/>
  <c r="CM79" i="178"/>
  <c r="BC79" i="178"/>
  <c r="DW79" i="178"/>
  <c r="BU79" i="178"/>
  <c r="GE79" i="178"/>
  <c r="BI79" i="178"/>
  <c r="AK79" i="178"/>
  <c r="FA79" i="178"/>
  <c r="CG79" i="178"/>
  <c r="AE79" i="178"/>
  <c r="BO79" i="178"/>
  <c r="AQ79" i="178"/>
  <c r="CL73" i="178"/>
  <c r="GD73" i="178"/>
  <c r="AP73" i="178"/>
  <c r="AV73" i="178"/>
  <c r="X73" i="178"/>
  <c r="BH73" i="178"/>
  <c r="CR73" i="178"/>
  <c r="BZ73" i="178"/>
  <c r="BB73" i="178"/>
  <c r="AJ73" i="178"/>
  <c r="EZ73" i="178"/>
  <c r="AD73" i="178"/>
  <c r="CF73" i="178"/>
  <c r="BN73" i="178"/>
  <c r="DV73" i="178"/>
  <c r="BT73" i="178"/>
  <c r="AW80" i="178"/>
  <c r="DW80" i="178"/>
  <c r="AE80" i="178"/>
  <c r="BU80" i="178"/>
  <c r="GE80" i="178"/>
  <c r="AQ80" i="178"/>
  <c r="CA80" i="178"/>
  <c r="CG80" i="178"/>
  <c r="FA80" i="178"/>
  <c r="BI80" i="178"/>
  <c r="AK80" i="178"/>
  <c r="BC80" i="178"/>
  <c r="CS80" i="178"/>
  <c r="CM80" i="178"/>
  <c r="Y80" i="178"/>
  <c r="BO80" i="178"/>
  <c r="BD67" i="178"/>
  <c r="CB67" i="178"/>
  <c r="CH67" i="178"/>
  <c r="GF67" i="178"/>
  <c r="AL67" i="178"/>
  <c r="CN67" i="178"/>
  <c r="BV67" i="178"/>
  <c r="FB67" i="178"/>
  <c r="AX67" i="178"/>
  <c r="AF67" i="178"/>
  <c r="DX67" i="178"/>
  <c r="Z67" i="178"/>
  <c r="BJ67" i="178"/>
  <c r="AR67" i="178"/>
  <c r="CT67" i="178"/>
  <c r="BP67" i="178"/>
  <c r="GE84" i="178"/>
  <c r="AQ84" i="178"/>
  <c r="CG84" i="178"/>
  <c r="BC84" i="178"/>
  <c r="CS84" i="178"/>
  <c r="Y84" i="178"/>
  <c r="BO84" i="178"/>
  <c r="FA84" i="178"/>
  <c r="AK84" i="178"/>
  <c r="AW84" i="178"/>
  <c r="CM84" i="178"/>
  <c r="DW84" i="178"/>
  <c r="AE84" i="178"/>
  <c r="BU84" i="178"/>
  <c r="CA84" i="178"/>
  <c r="BI84" i="178"/>
  <c r="BO91" i="178"/>
  <c r="CM91" i="178"/>
  <c r="GE91" i="178"/>
  <c r="AE91" i="178"/>
  <c r="CS91" i="178"/>
  <c r="CA91" i="178"/>
  <c r="BI91" i="178"/>
  <c r="FA91" i="178"/>
  <c r="AQ91" i="178"/>
  <c r="Y91" i="178"/>
  <c r="BC91" i="178"/>
  <c r="DW91" i="178"/>
  <c r="AK91" i="178"/>
  <c r="CG91" i="178"/>
  <c r="AW91" i="178"/>
  <c r="BU91" i="178"/>
  <c r="CH84" i="178"/>
  <c r="BD84" i="178"/>
  <c r="CT84" i="178"/>
  <c r="Z84" i="178"/>
  <c r="BP84" i="178"/>
  <c r="FB84" i="178"/>
  <c r="AL84" i="178"/>
  <c r="CB84" i="178"/>
  <c r="CN84" i="178"/>
  <c r="BJ84" i="178"/>
  <c r="BV84" i="178"/>
  <c r="GF84" i="178"/>
  <c r="AR84" i="178"/>
  <c r="AF84" i="178"/>
  <c r="DX84" i="178"/>
  <c r="AX84" i="178"/>
  <c r="BP82" i="178"/>
  <c r="FB82" i="178"/>
  <c r="AL82" i="178"/>
  <c r="CB82" i="178"/>
  <c r="AX82" i="178"/>
  <c r="CN82" i="178"/>
  <c r="BJ82" i="178"/>
  <c r="BV82" i="178"/>
  <c r="GF82" i="178"/>
  <c r="AR82" i="178"/>
  <c r="CT82" i="178"/>
  <c r="Z82" i="178"/>
  <c r="BD82" i="178"/>
  <c r="CH82" i="178"/>
  <c r="DX82" i="178"/>
  <c r="AF82" i="178"/>
  <c r="AU73" i="178"/>
  <c r="BS73" i="178"/>
  <c r="BY73" i="178"/>
  <c r="DU73" i="178"/>
  <c r="AO73" i="178"/>
  <c r="W73" i="178"/>
  <c r="BG73" i="178"/>
  <c r="GC73" i="178"/>
  <c r="CQ73" i="178"/>
  <c r="CK73" i="178"/>
  <c r="EY73" i="178"/>
  <c r="AC73" i="178"/>
  <c r="CE73" i="178"/>
  <c r="BM73" i="178"/>
  <c r="BA73" i="178"/>
  <c r="AI73" i="178"/>
  <c r="AV88" i="178"/>
  <c r="CL88" i="178"/>
  <c r="BH88" i="178"/>
  <c r="DV88" i="178"/>
  <c r="AD88" i="178"/>
  <c r="BT88" i="178"/>
  <c r="GD88" i="178"/>
  <c r="AP88" i="178"/>
  <c r="BB88" i="178"/>
  <c r="CR88" i="178"/>
  <c r="X88" i="178"/>
  <c r="BN88" i="178"/>
  <c r="EZ88" i="178"/>
  <c r="AJ88" i="178"/>
  <c r="BZ88" i="178"/>
  <c r="CF88" i="178"/>
  <c r="BZ99" i="178"/>
  <c r="DV99" i="178"/>
  <c r="AD99" i="178"/>
  <c r="CF99" i="178"/>
  <c r="BN99" i="178"/>
  <c r="AV99" i="178"/>
  <c r="GD99" i="178"/>
  <c r="CR99" i="178"/>
  <c r="X99" i="178"/>
  <c r="EZ99" i="178"/>
  <c r="CL99" i="178"/>
  <c r="BT99" i="178"/>
  <c r="BB99" i="178"/>
  <c r="AJ99" i="178"/>
  <c r="BH99" i="178"/>
  <c r="AP99" i="178"/>
  <c r="BH86" i="178"/>
  <c r="DV86" i="178"/>
  <c r="AD86" i="178"/>
  <c r="BT86" i="178"/>
  <c r="GD86" i="178"/>
  <c r="AP86" i="178"/>
  <c r="CF86" i="178"/>
  <c r="BB86" i="178"/>
  <c r="BN86" i="178"/>
  <c r="EZ86" i="178"/>
  <c r="AJ86" i="178"/>
  <c r="BZ86" i="178"/>
  <c r="AV86" i="178"/>
  <c r="CL86" i="178"/>
  <c r="X86" i="178"/>
  <c r="CR86" i="178"/>
  <c r="AU131" i="178"/>
  <c r="BS131" i="178"/>
  <c r="BY131" i="178"/>
  <c r="BG131" i="178"/>
  <c r="AO131" i="178"/>
  <c r="EY131" i="178"/>
  <c r="CK131" i="178"/>
  <c r="W131" i="178"/>
  <c r="DU131" i="178"/>
  <c r="AI131" i="178"/>
  <c r="CE131" i="178"/>
  <c r="CQ131" i="178"/>
  <c r="AC131" i="178"/>
  <c r="BA131" i="178"/>
  <c r="BM131" i="178"/>
  <c r="GC131" i="178"/>
  <c r="GC125" i="178"/>
  <c r="AO125" i="178"/>
  <c r="BA125" i="178"/>
  <c r="BM125" i="178"/>
  <c r="BS125" i="178"/>
  <c r="EY125" i="178"/>
  <c r="AC125" i="178"/>
  <c r="AU125" i="178"/>
  <c r="CE125" i="178"/>
  <c r="W125" i="178"/>
  <c r="DU125" i="178"/>
  <c r="CQ125" i="178"/>
  <c r="BY125" i="178"/>
  <c r="BG125" i="178"/>
  <c r="AI125" i="178"/>
  <c r="CK125" i="178"/>
  <c r="CT109" i="178"/>
  <c r="Z109" i="178"/>
  <c r="CH109" i="178"/>
  <c r="BD109" i="178"/>
  <c r="GF109" i="178"/>
  <c r="AL109" i="178"/>
  <c r="BP109" i="178"/>
  <c r="AX109" i="178"/>
  <c r="AF109" i="178"/>
  <c r="CN109" i="178"/>
  <c r="BJ109" i="178"/>
  <c r="DX109" i="178"/>
  <c r="BV109" i="178"/>
  <c r="FB109" i="178"/>
  <c r="AR109" i="178"/>
  <c r="CB109" i="178"/>
  <c r="AU97" i="178"/>
  <c r="BS97" i="178"/>
  <c r="CQ97" i="178"/>
  <c r="BY97" i="178"/>
  <c r="BG97" i="178"/>
  <c r="AO97" i="178"/>
  <c r="W97" i="178"/>
  <c r="EY97" i="178"/>
  <c r="CK97" i="178"/>
  <c r="BA97" i="178"/>
  <c r="DU97" i="178"/>
  <c r="CE97" i="178"/>
  <c r="BM97" i="178"/>
  <c r="AC97" i="178"/>
  <c r="GC97" i="178"/>
  <c r="AI97" i="178"/>
  <c r="BV108" i="178"/>
  <c r="BP108" i="178"/>
  <c r="AL108" i="178"/>
  <c r="CT108" i="178"/>
  <c r="CB108" i="178"/>
  <c r="AX108" i="178"/>
  <c r="FB108" i="178"/>
  <c r="BJ108" i="178"/>
  <c r="AF108" i="178"/>
  <c r="AR108" i="178"/>
  <c r="GF108" i="178"/>
  <c r="CN108" i="178"/>
  <c r="BD108" i="178"/>
  <c r="CH108" i="178"/>
  <c r="DX108" i="178"/>
  <c r="Z108" i="178"/>
  <c r="GF127" i="178"/>
  <c r="AR127" i="178"/>
  <c r="BD127" i="178"/>
  <c r="CT127" i="178"/>
  <c r="BP127" i="178"/>
  <c r="CN127" i="178"/>
  <c r="BV127" i="178"/>
  <c r="CH127" i="178"/>
  <c r="BJ127" i="178"/>
  <c r="AL127" i="178"/>
  <c r="DX127" i="178"/>
  <c r="CB127" i="178"/>
  <c r="AF127" i="178"/>
  <c r="AX127" i="178"/>
  <c r="Z127" i="178"/>
  <c r="FB127" i="178"/>
  <c r="DU105" i="178"/>
  <c r="AC105" i="178"/>
  <c r="GC105" i="178"/>
  <c r="AO105" i="178"/>
  <c r="CE105" i="178"/>
  <c r="BA105" i="178"/>
  <c r="CQ105" i="178"/>
  <c r="BG105" i="178"/>
  <c r="BY105" i="178"/>
  <c r="W105" i="178"/>
  <c r="BM105" i="178"/>
  <c r="CK105" i="178"/>
  <c r="EY105" i="178"/>
  <c r="AI105" i="178"/>
  <c r="BS105" i="178"/>
  <c r="AU105" i="178"/>
  <c r="FB139" i="178"/>
  <c r="AL139" i="178"/>
  <c r="CN139" i="178"/>
  <c r="BJ139" i="178"/>
  <c r="Z139" i="178"/>
  <c r="DX139" i="178"/>
  <c r="CH139" i="178"/>
  <c r="BP139" i="178"/>
  <c r="AX139" i="178"/>
  <c r="AF139" i="178"/>
  <c r="GF139" i="178"/>
  <c r="CB139" i="178"/>
  <c r="AR139" i="178"/>
  <c r="BV139" i="178"/>
  <c r="BD139" i="178"/>
  <c r="CT139" i="178"/>
  <c r="CQ142" i="178"/>
  <c r="W142" i="178"/>
  <c r="DU142" i="178"/>
  <c r="BA142" i="178"/>
  <c r="GC142" i="178"/>
  <c r="EY142" i="178"/>
  <c r="BS142" i="178"/>
  <c r="CE142" i="178"/>
  <c r="AO142" i="178"/>
  <c r="BG142" i="178"/>
  <c r="AI142" i="178"/>
  <c r="BY142" i="178"/>
  <c r="AC142" i="178"/>
  <c r="AU142" i="178"/>
  <c r="BM142" i="178"/>
  <c r="CK142" i="178"/>
  <c r="CT135" i="178"/>
  <c r="Z135" i="178"/>
  <c r="AX135" i="178"/>
  <c r="BD135" i="178"/>
  <c r="DX135" i="178"/>
  <c r="AL135" i="178"/>
  <c r="CH135" i="178"/>
  <c r="BP135" i="178"/>
  <c r="GF135" i="178"/>
  <c r="AF135" i="178"/>
  <c r="BJ135" i="178"/>
  <c r="FB135" i="178"/>
  <c r="CN135" i="178"/>
  <c r="AR135" i="178"/>
  <c r="BV135" i="178"/>
  <c r="CB135" i="178"/>
  <c r="DU130" i="178"/>
  <c r="AC130" i="178"/>
  <c r="BS130" i="178"/>
  <c r="AO130" i="178"/>
  <c r="GC130" i="178"/>
  <c r="CE130" i="178"/>
  <c r="BA130" i="178"/>
  <c r="CQ130" i="178"/>
  <c r="W130" i="178"/>
  <c r="AI130" i="178"/>
  <c r="EY130" i="178"/>
  <c r="BY130" i="178"/>
  <c r="BG130" i="178"/>
  <c r="BM130" i="178"/>
  <c r="CK130" i="178"/>
  <c r="AU130" i="178"/>
  <c r="CQ147" i="178"/>
  <c r="W147" i="178"/>
  <c r="AU147" i="178"/>
  <c r="BA147" i="178"/>
  <c r="AC147" i="178"/>
  <c r="BM147" i="178"/>
  <c r="DU147" i="178"/>
  <c r="CE147" i="178"/>
  <c r="BG147" i="178"/>
  <c r="AO147" i="178"/>
  <c r="GC147" i="178"/>
  <c r="AI147" i="178"/>
  <c r="CK147" i="178"/>
  <c r="BS147" i="178"/>
  <c r="EY147" i="178"/>
  <c r="BY147" i="178"/>
  <c r="CA152" i="178"/>
  <c r="DW152" i="178"/>
  <c r="AE152" i="178"/>
  <c r="FA152" i="178"/>
  <c r="AK152" i="178"/>
  <c r="AQ152" i="178"/>
  <c r="Y152" i="178"/>
  <c r="BI152" i="178"/>
  <c r="GE152" i="178"/>
  <c r="CS152" i="178"/>
  <c r="CM152" i="178"/>
  <c r="AW152" i="178"/>
  <c r="CG152" i="178"/>
  <c r="BO152" i="178"/>
  <c r="BU152" i="178"/>
  <c r="BC152" i="178"/>
  <c r="CK148" i="178"/>
  <c r="GC148" i="178"/>
  <c r="AO148" i="178"/>
  <c r="AU148" i="178"/>
  <c r="BA148" i="178"/>
  <c r="AI148" i="178"/>
  <c r="BS148" i="178"/>
  <c r="EY148" i="178"/>
  <c r="AC148" i="178"/>
  <c r="DU148" i="178"/>
  <c r="W148" i="178"/>
  <c r="CQ148" i="178"/>
  <c r="BY148" i="178"/>
  <c r="CE148" i="178"/>
  <c r="BM148" i="178"/>
  <c r="BG148" i="178"/>
  <c r="BT156" i="178"/>
  <c r="GD156" i="178"/>
  <c r="AP156" i="178"/>
  <c r="CF156" i="178"/>
  <c r="CR156" i="178"/>
  <c r="X156" i="178"/>
  <c r="DV156" i="178"/>
  <c r="AD156" i="178"/>
  <c r="BZ156" i="178"/>
  <c r="BH156" i="178"/>
  <c r="AJ156" i="178"/>
  <c r="BB156" i="178"/>
  <c r="CL156" i="178"/>
  <c r="AV156" i="178"/>
  <c r="BN156" i="178"/>
  <c r="EZ156" i="178"/>
  <c r="FA171" i="178"/>
  <c r="AK171" i="178"/>
  <c r="CA171" i="178"/>
  <c r="AQ171" i="178"/>
  <c r="Y171" i="178"/>
  <c r="CM171" i="178"/>
  <c r="DW171" i="178"/>
  <c r="CS171" i="178"/>
  <c r="BO171" i="178"/>
  <c r="BI171" i="178"/>
  <c r="AE171" i="178"/>
  <c r="GE171" i="178"/>
  <c r="BU171" i="178"/>
  <c r="BC171" i="178"/>
  <c r="AW171" i="178"/>
  <c r="CG171" i="178"/>
  <c r="FB157" i="178"/>
  <c r="AL157" i="178"/>
  <c r="CB157" i="178"/>
  <c r="AX157" i="178"/>
  <c r="CN157" i="178"/>
  <c r="BJ157" i="178"/>
  <c r="BP157" i="178"/>
  <c r="CH157" i="178"/>
  <c r="DX157" i="178"/>
  <c r="AF157" i="178"/>
  <c r="BV157" i="178"/>
  <c r="CT157" i="178"/>
  <c r="Z157" i="178"/>
  <c r="GF157" i="178"/>
  <c r="AR157" i="178"/>
  <c r="BD157" i="178"/>
  <c r="AX160" i="178"/>
  <c r="CT160" i="178"/>
  <c r="CB160" i="178"/>
  <c r="FB160" i="178"/>
  <c r="BJ160" i="178"/>
  <c r="AF160" i="178"/>
  <c r="CN160" i="178"/>
  <c r="AR160" i="178"/>
  <c r="DX160" i="178"/>
  <c r="BD160" i="178"/>
  <c r="Z160" i="178"/>
  <c r="CH160" i="178"/>
  <c r="BP160" i="178"/>
  <c r="GF160" i="178"/>
  <c r="BV160" i="178"/>
  <c r="AL160" i="178"/>
  <c r="BS151" i="178"/>
  <c r="CQ151" i="178"/>
  <c r="W151" i="178"/>
  <c r="DU151" i="178"/>
  <c r="AC151" i="178"/>
  <c r="GC151" i="178"/>
  <c r="AI151" i="178"/>
  <c r="BA151" i="178"/>
  <c r="EY151" i="178"/>
  <c r="CK151" i="178"/>
  <c r="CE151" i="178"/>
  <c r="BY151" i="178"/>
  <c r="BG151" i="178"/>
  <c r="BM151" i="178"/>
  <c r="AU151" i="178"/>
  <c r="AO151" i="178"/>
  <c r="CE177" i="178"/>
  <c r="AU177" i="178"/>
  <c r="CK177" i="178"/>
  <c r="GC177" i="178"/>
  <c r="BA177" i="178"/>
  <c r="AI177" i="178"/>
  <c r="AO177" i="178"/>
  <c r="CQ177" i="178"/>
  <c r="BM177" i="178"/>
  <c r="BG177" i="178"/>
  <c r="AC177" i="178"/>
  <c r="BY177" i="178"/>
  <c r="DU177" i="178"/>
  <c r="BS177" i="178"/>
  <c r="W177" i="178"/>
  <c r="EY177" i="178"/>
  <c r="CQ171" i="178"/>
  <c r="W171" i="178"/>
  <c r="BM171" i="178"/>
  <c r="GC171" i="178"/>
  <c r="BY171" i="178"/>
  <c r="BG171" i="178"/>
  <c r="AO171" i="178"/>
  <c r="BA171" i="178"/>
  <c r="CE171" i="178"/>
  <c r="AU171" i="178"/>
  <c r="AI171" i="178"/>
  <c r="CK171" i="178"/>
  <c r="EY171" i="178"/>
  <c r="AC171" i="178"/>
  <c r="BS171" i="178"/>
  <c r="DU171" i="178"/>
  <c r="CL173" i="178"/>
  <c r="BB173" i="178"/>
  <c r="CR173" i="178"/>
  <c r="X173" i="178"/>
  <c r="GD173" i="178"/>
  <c r="BN173" i="178"/>
  <c r="AP173" i="178"/>
  <c r="EZ173" i="178"/>
  <c r="BZ173" i="178"/>
  <c r="BT173" i="178"/>
  <c r="AV173" i="178"/>
  <c r="CF173" i="178"/>
  <c r="BH173" i="178"/>
  <c r="DV173" i="178"/>
  <c r="AD173" i="178"/>
  <c r="AJ173" i="178"/>
  <c r="CG207" i="178"/>
  <c r="BC207" i="178"/>
  <c r="CS207" i="178"/>
  <c r="Y207" i="178"/>
  <c r="AW207" i="178"/>
  <c r="CA207" i="178"/>
  <c r="BI207" i="178"/>
  <c r="BO207" i="178"/>
  <c r="AK207" i="178"/>
  <c r="GE207" i="178"/>
  <c r="BU207" i="178"/>
  <c r="AE207" i="178"/>
  <c r="AQ207" i="178"/>
  <c r="CM207" i="178"/>
  <c r="DW207" i="178"/>
  <c r="FA207" i="178"/>
  <c r="BV176" i="178"/>
  <c r="FB176" i="178"/>
  <c r="AL176" i="178"/>
  <c r="CB176" i="178"/>
  <c r="DX176" i="178"/>
  <c r="AR176" i="178"/>
  <c r="Z176" i="178"/>
  <c r="GF176" i="178"/>
  <c r="AF176" i="178"/>
  <c r="CH176" i="178"/>
  <c r="BD176" i="178"/>
  <c r="CT176" i="178"/>
  <c r="BP176" i="178"/>
  <c r="BJ176" i="178"/>
  <c r="AX176" i="178"/>
  <c r="CN176" i="178"/>
  <c r="CR172" i="178"/>
  <c r="BH172" i="178"/>
  <c r="DV172" i="178"/>
  <c r="AD172" i="178"/>
  <c r="GD172" i="178"/>
  <c r="CF172" i="178"/>
  <c r="BN172" i="178"/>
  <c r="BZ172" i="178"/>
  <c r="EZ172" i="178"/>
  <c r="AP172" i="178"/>
  <c r="BT172" i="178"/>
  <c r="AV172" i="178"/>
  <c r="AJ172" i="178"/>
  <c r="X172" i="178"/>
  <c r="BB172" i="178"/>
  <c r="CL172" i="178"/>
  <c r="AU179" i="178"/>
  <c r="BS179" i="178"/>
  <c r="EY179" i="178"/>
  <c r="AI179" i="178"/>
  <c r="BY179" i="178"/>
  <c r="W179" i="178"/>
  <c r="BG179" i="178"/>
  <c r="BA179" i="178"/>
  <c r="CQ179" i="178"/>
  <c r="AC179" i="178"/>
  <c r="CK179" i="178"/>
  <c r="CE179" i="178"/>
  <c r="GC179" i="178"/>
  <c r="AO179" i="178"/>
  <c r="BM179" i="178"/>
  <c r="DU179" i="178"/>
  <c r="AV193" i="178"/>
  <c r="EZ193" i="178"/>
  <c r="BH193" i="178"/>
  <c r="DV193" i="178"/>
  <c r="X193" i="178"/>
  <c r="BB193" i="178"/>
  <c r="AJ193" i="178"/>
  <c r="CL193" i="178"/>
  <c r="BT193" i="178"/>
  <c r="BZ193" i="178"/>
  <c r="BN193" i="178"/>
  <c r="GD193" i="178"/>
  <c r="CR193" i="178"/>
  <c r="AD193" i="178"/>
  <c r="AP193" i="178"/>
  <c r="CF193" i="178"/>
  <c r="BU196" i="178"/>
  <c r="AW196" i="178"/>
  <c r="BC196" i="178"/>
  <c r="DW196" i="178"/>
  <c r="CG196" i="178"/>
  <c r="Y196" i="178"/>
  <c r="AK196" i="178"/>
  <c r="FA196" i="178"/>
  <c r="CS196" i="178"/>
  <c r="BI196" i="178"/>
  <c r="CM196" i="178"/>
  <c r="BO196" i="178"/>
  <c r="AE196" i="178"/>
  <c r="AQ196" i="178"/>
  <c r="GE196" i="178"/>
  <c r="CA196" i="178"/>
  <c r="BY193" i="178"/>
  <c r="AC193" i="178"/>
  <c r="BS193" i="178"/>
  <c r="BG193" i="178"/>
  <c r="AO193" i="178"/>
  <c r="GC193" i="178"/>
  <c r="BA193" i="178"/>
  <c r="AI193" i="178"/>
  <c r="DU193" i="178"/>
  <c r="CQ193" i="178"/>
  <c r="BM193" i="178"/>
  <c r="EY193" i="178"/>
  <c r="W193" i="178"/>
  <c r="AU193" i="178"/>
  <c r="CK193" i="178"/>
  <c r="CE193" i="178"/>
  <c r="AI200" i="178"/>
  <c r="DU200" i="178"/>
  <c r="BS200" i="178"/>
  <c r="GC200" i="178"/>
  <c r="CE200" i="178"/>
  <c r="EY200" i="178"/>
  <c r="AU200" i="178"/>
  <c r="AC200" i="178"/>
  <c r="CK200" i="178"/>
  <c r="BM200" i="178"/>
  <c r="CQ200" i="178"/>
  <c r="BY200" i="178"/>
  <c r="AO200" i="178"/>
  <c r="BA200" i="178"/>
  <c r="W200" i="178"/>
  <c r="BG200" i="178"/>
  <c r="EZ201" i="178"/>
  <c r="AJ201" i="178"/>
  <c r="CR201" i="178"/>
  <c r="AV201" i="178"/>
  <c r="BT201" i="178"/>
  <c r="BB201" i="178"/>
  <c r="CF201" i="178"/>
  <c r="AP201" i="178"/>
  <c r="DV201" i="178"/>
  <c r="BH201" i="178"/>
  <c r="CL201" i="178"/>
  <c r="GD201" i="178"/>
  <c r="BZ201" i="178"/>
  <c r="BN201" i="178"/>
  <c r="AD201" i="178"/>
  <c r="X201" i="178"/>
  <c r="AV213" i="178"/>
  <c r="BT213" i="178"/>
  <c r="EZ213" i="178"/>
  <c r="AJ213" i="178"/>
  <c r="BZ213" i="178"/>
  <c r="BN213" i="178"/>
  <c r="AP213" i="178"/>
  <c r="X213" i="178"/>
  <c r="CF213" i="178"/>
  <c r="DV213" i="178"/>
  <c r="CL213" i="178"/>
  <c r="BB213" i="178"/>
  <c r="BH213" i="178"/>
  <c r="CR213" i="178"/>
  <c r="AD213" i="178"/>
  <c r="GD213" i="178"/>
  <c r="AU211" i="178"/>
  <c r="CK211" i="178"/>
  <c r="DU211" i="178"/>
  <c r="AC211" i="178"/>
  <c r="EY211" i="178"/>
  <c r="AI211" i="178"/>
  <c r="BY211" i="178"/>
  <c r="BA211" i="178"/>
  <c r="W211" i="178"/>
  <c r="CQ211" i="178"/>
  <c r="AO211" i="178"/>
  <c r="CE211" i="178"/>
  <c r="BG211" i="178"/>
  <c r="GC211" i="178"/>
  <c r="BS211" i="178"/>
  <c r="BM211" i="178"/>
  <c r="BR254" i="178"/>
  <c r="BR243" i="178"/>
  <c r="BR242" i="178"/>
  <c r="BR241" i="178"/>
  <c r="BR251" i="178"/>
  <c r="BR238" i="178"/>
  <c r="BR235" i="178"/>
  <c r="BR230" i="178"/>
  <c r="BR255" i="178"/>
  <c r="BR233" i="178"/>
  <c r="BR240" i="178"/>
  <c r="BR236" i="178"/>
  <c r="BR232" i="178"/>
  <c r="BR248" i="178" s="1"/>
  <c r="BR229" i="178"/>
  <c r="BR245" i="178"/>
  <c r="BR35" i="178"/>
  <c r="GD57" i="178"/>
  <c r="AP57" i="178"/>
  <c r="CF57" i="178"/>
  <c r="BB57" i="178"/>
  <c r="CR57" i="178"/>
  <c r="X57" i="178"/>
  <c r="BN57" i="178"/>
  <c r="EZ57" i="178"/>
  <c r="AJ57" i="178"/>
  <c r="AV57" i="178"/>
  <c r="CL57" i="178"/>
  <c r="BT57" i="178"/>
  <c r="DV57" i="178"/>
  <c r="BZ57" i="178"/>
  <c r="BH57" i="178"/>
  <c r="AD57" i="178"/>
  <c r="GF81" i="178"/>
  <c r="AR81" i="178"/>
  <c r="CH81" i="178"/>
  <c r="BD81" i="178"/>
  <c r="CT81" i="178"/>
  <c r="Z81" i="178"/>
  <c r="BP81" i="178"/>
  <c r="FB81" i="178"/>
  <c r="AL81" i="178"/>
  <c r="AX81" i="178"/>
  <c r="CN81" i="178"/>
  <c r="BV81" i="178"/>
  <c r="BJ81" i="178"/>
  <c r="DX81" i="178"/>
  <c r="AF81" i="178"/>
  <c r="CB81" i="178"/>
  <c r="N65" i="178"/>
  <c r="N72" i="178"/>
  <c r="N115" i="178"/>
  <c r="N171" i="178"/>
  <c r="N176" i="178"/>
  <c r="N177" i="178"/>
  <c r="N193" i="178"/>
  <c r="N211" i="178"/>
  <c r="BU71" i="178"/>
  <c r="CS71" i="178"/>
  <c r="Y71" i="178"/>
  <c r="DW71" i="178"/>
  <c r="AE71" i="178"/>
  <c r="CG71" i="178"/>
  <c r="AW71" i="178"/>
  <c r="GE71" i="178"/>
  <c r="CA71" i="178"/>
  <c r="BI71" i="178"/>
  <c r="AQ71" i="178"/>
  <c r="FA71" i="178"/>
  <c r="BC71" i="178"/>
  <c r="AK71" i="178"/>
  <c r="CM71" i="178"/>
  <c r="BO71" i="178"/>
  <c r="CG117" i="178"/>
  <c r="FA117" i="178"/>
  <c r="AK117" i="178"/>
  <c r="GE117" i="178"/>
  <c r="CS117" i="178"/>
  <c r="CA117" i="178"/>
  <c r="BI117" i="178"/>
  <c r="AQ117" i="178"/>
  <c r="Y117" i="178"/>
  <c r="CM117" i="178"/>
  <c r="DW117" i="178"/>
  <c r="BO117" i="178"/>
  <c r="AW117" i="178"/>
  <c r="AE117" i="178"/>
  <c r="BU117" i="178"/>
  <c r="BC117" i="178"/>
  <c r="CS149" i="178"/>
  <c r="Y149" i="178"/>
  <c r="AW149" i="178"/>
  <c r="BC149" i="178"/>
  <c r="CA149" i="178"/>
  <c r="GE149" i="178"/>
  <c r="AK149" i="178"/>
  <c r="CM149" i="178"/>
  <c r="BU149" i="178"/>
  <c r="FA149" i="178"/>
  <c r="BO149" i="178"/>
  <c r="BI149" i="178"/>
  <c r="AQ149" i="178"/>
  <c r="AE149" i="178"/>
  <c r="DW149" i="178"/>
  <c r="CG149" i="178"/>
  <c r="CB181" i="178"/>
  <c r="DX181" i="178"/>
  <c r="AF181" i="178"/>
  <c r="BP181" i="178"/>
  <c r="FB181" i="178"/>
  <c r="AL181" i="178"/>
  <c r="CN181" i="178"/>
  <c r="CH181" i="178"/>
  <c r="Z181" i="178"/>
  <c r="BJ181" i="178"/>
  <c r="GF181" i="178"/>
  <c r="BD181" i="178"/>
  <c r="AX181" i="178"/>
  <c r="CT181" i="178"/>
  <c r="AR181" i="178"/>
  <c r="BV181" i="178"/>
  <c r="CB190" i="178"/>
  <c r="CT190" i="178"/>
  <c r="AX190" i="178"/>
  <c r="CN190" i="178"/>
  <c r="AL190" i="178"/>
  <c r="BP190" i="178"/>
  <c r="AR190" i="178"/>
  <c r="FB190" i="178"/>
  <c r="BV190" i="178"/>
  <c r="Z190" i="178"/>
  <c r="AF190" i="178"/>
  <c r="GF190" i="178"/>
  <c r="BD190" i="178"/>
  <c r="DX190" i="178"/>
  <c r="CH190" i="178"/>
  <c r="BJ190" i="178"/>
  <c r="DZ243" i="178"/>
  <c r="DZ242" i="178"/>
  <c r="DZ245" i="178"/>
  <c r="DZ238" i="178"/>
  <c r="DZ235" i="178"/>
  <c r="DZ251" i="178"/>
  <c r="DZ233" i="178"/>
  <c r="DZ255" i="178"/>
  <c r="DZ236" i="178"/>
  <c r="DZ241" i="178"/>
  <c r="DZ232" i="178"/>
  <c r="DZ248" i="178" s="1"/>
  <c r="DZ254" i="178"/>
  <c r="DZ229" i="178"/>
  <c r="DZ230" i="178"/>
  <c r="DZ240" i="178"/>
  <c r="CO94" i="178"/>
  <c r="AA94" i="178"/>
  <c r="BW94" i="178"/>
  <c r="AW56" i="178"/>
  <c r="CM56" i="178"/>
  <c r="DW56" i="178"/>
  <c r="AE56" i="178"/>
  <c r="BU56" i="178"/>
  <c r="GE56" i="178"/>
  <c r="AQ56" i="178"/>
  <c r="BC56" i="178"/>
  <c r="CA56" i="178"/>
  <c r="BO56" i="178"/>
  <c r="FA56" i="178"/>
  <c r="AK56" i="178"/>
  <c r="CS56" i="178"/>
  <c r="BI56" i="178"/>
  <c r="Y56" i="178"/>
  <c r="CG56" i="178"/>
  <c r="BD49" i="178"/>
  <c r="CB49" i="178"/>
  <c r="AL49" i="178"/>
  <c r="CT49" i="178"/>
  <c r="DX49" i="178"/>
  <c r="CH49" i="178"/>
  <c r="BP49" i="178"/>
  <c r="AX49" i="178"/>
  <c r="GF49" i="178"/>
  <c r="AF49" i="178"/>
  <c r="BJ49" i="178"/>
  <c r="AR49" i="178"/>
  <c r="Z49" i="178"/>
  <c r="FB49" i="178"/>
  <c r="CN49" i="178"/>
  <c r="BV49" i="178"/>
  <c r="CN64" i="178"/>
  <c r="DX64" i="178"/>
  <c r="Z64" i="178"/>
  <c r="BD64" i="178"/>
  <c r="CH64" i="178"/>
  <c r="GF64" i="178"/>
  <c r="AL64" i="178"/>
  <c r="BP64" i="178"/>
  <c r="CT64" i="178"/>
  <c r="CB64" i="178"/>
  <c r="AF64" i="178"/>
  <c r="FB64" i="178"/>
  <c r="BJ64" i="178"/>
  <c r="AR64" i="178"/>
  <c r="BV64" i="178"/>
  <c r="AX64" i="178"/>
  <c r="N60" i="178"/>
  <c r="DY55" i="178"/>
  <c r="BZ62" i="178"/>
  <c r="DV62" i="178"/>
  <c r="X62" i="178"/>
  <c r="BB62" i="178"/>
  <c r="CF62" i="178"/>
  <c r="GD62" i="178"/>
  <c r="AJ62" i="178"/>
  <c r="BN62" i="178"/>
  <c r="CR62" i="178"/>
  <c r="AV62" i="178"/>
  <c r="AD62" i="178"/>
  <c r="EZ62" i="178"/>
  <c r="BH62" i="178"/>
  <c r="AP62" i="178"/>
  <c r="BT62" i="178"/>
  <c r="CL62" i="178"/>
  <c r="BZ66" i="178"/>
  <c r="DV66" i="178"/>
  <c r="AD66" i="178"/>
  <c r="EZ66" i="178"/>
  <c r="AJ66" i="178"/>
  <c r="CL66" i="178"/>
  <c r="AV66" i="178"/>
  <c r="CF66" i="178"/>
  <c r="BN66" i="178"/>
  <c r="BH66" i="178"/>
  <c r="GD66" i="178"/>
  <c r="CR66" i="178"/>
  <c r="BT66" i="178"/>
  <c r="BB66" i="178"/>
  <c r="AP66" i="178"/>
  <c r="X66" i="178"/>
  <c r="CN66" i="178"/>
  <c r="GF66" i="178"/>
  <c r="AR66" i="178"/>
  <c r="AX66" i="178"/>
  <c r="FB66" i="178"/>
  <c r="AF66" i="178"/>
  <c r="CH66" i="178"/>
  <c r="BP66" i="178"/>
  <c r="DX66" i="178"/>
  <c r="Z66" i="178"/>
  <c r="BJ66" i="178"/>
  <c r="CT66" i="178"/>
  <c r="CB66" i="178"/>
  <c r="BD66" i="178"/>
  <c r="AL66" i="178"/>
  <c r="BV66" i="178"/>
  <c r="BD55" i="178"/>
  <c r="CT55" i="178"/>
  <c r="Z55" i="178"/>
  <c r="FB55" i="178"/>
  <c r="AL55" i="178"/>
  <c r="CB55" i="178"/>
  <c r="AX55" i="178"/>
  <c r="BJ55" i="178"/>
  <c r="CH55" i="178"/>
  <c r="CN55" i="178"/>
  <c r="AR55" i="178"/>
  <c r="GF55" i="178"/>
  <c r="BV55" i="178"/>
  <c r="DX55" i="178"/>
  <c r="BP55" i="178"/>
  <c r="AF55" i="178"/>
  <c r="BU81" i="178"/>
  <c r="GE81" i="178"/>
  <c r="AQ81" i="178"/>
  <c r="CG81" i="178"/>
  <c r="BC81" i="178"/>
  <c r="CS81" i="178"/>
  <c r="Y81" i="178"/>
  <c r="BO81" i="178"/>
  <c r="CA81" i="178"/>
  <c r="AW81" i="178"/>
  <c r="DW81" i="178"/>
  <c r="AE81" i="178"/>
  <c r="BI81" i="178"/>
  <c r="CM81" i="178"/>
  <c r="FA81" i="178"/>
  <c r="AK81" i="178"/>
  <c r="EY75" i="178"/>
  <c r="AI75" i="178"/>
  <c r="BG75" i="178"/>
  <c r="BM75" i="178"/>
  <c r="GC75" i="178"/>
  <c r="CQ75" i="178"/>
  <c r="BS75" i="178"/>
  <c r="BA75" i="178"/>
  <c r="CK75" i="178"/>
  <c r="AC75" i="178"/>
  <c r="DU75" i="178"/>
  <c r="CE75" i="178"/>
  <c r="AO75" i="178"/>
  <c r="W75" i="178"/>
  <c r="BY75" i="178"/>
  <c r="AU75" i="178"/>
  <c r="AW58" i="178"/>
  <c r="CM58" i="178"/>
  <c r="BI58" i="178"/>
  <c r="DW58" i="178"/>
  <c r="AE58" i="178"/>
  <c r="BU58" i="178"/>
  <c r="GE58" i="178"/>
  <c r="AQ58" i="178"/>
  <c r="BC58" i="178"/>
  <c r="CS58" i="178"/>
  <c r="Y58" i="178"/>
  <c r="CA58" i="178"/>
  <c r="FA58" i="178"/>
  <c r="AK58" i="178"/>
  <c r="CG58" i="178"/>
  <c r="BO58" i="178"/>
  <c r="BT69" i="178"/>
  <c r="CR69" i="178"/>
  <c r="X69" i="178"/>
  <c r="DV69" i="178"/>
  <c r="AD69" i="178"/>
  <c r="AJ69" i="178"/>
  <c r="BB69" i="178"/>
  <c r="EZ69" i="178"/>
  <c r="CL69" i="178"/>
  <c r="BN69" i="178"/>
  <c r="AV69" i="178"/>
  <c r="AP69" i="178"/>
  <c r="BZ69" i="178"/>
  <c r="BH69" i="178"/>
  <c r="GD69" i="178"/>
  <c r="CF69" i="178"/>
  <c r="DX73" i="178"/>
  <c r="AF73" i="178"/>
  <c r="BD73" i="178"/>
  <c r="BJ73" i="178"/>
  <c r="CT73" i="178"/>
  <c r="CB73" i="178"/>
  <c r="GF73" i="178"/>
  <c r="AL73" i="178"/>
  <c r="BV73" i="178"/>
  <c r="BP73" i="178"/>
  <c r="AX73" i="178"/>
  <c r="CH73" i="178"/>
  <c r="Z73" i="178"/>
  <c r="AR73" i="178"/>
  <c r="CN73" i="178"/>
  <c r="FB73" i="178"/>
  <c r="BU95" i="178"/>
  <c r="CS95" i="178"/>
  <c r="Y95" i="178"/>
  <c r="AW95" i="178"/>
  <c r="AE95" i="178"/>
  <c r="GE95" i="178"/>
  <c r="CA95" i="178"/>
  <c r="BI95" i="178"/>
  <c r="AQ95" i="178"/>
  <c r="CM95" i="178"/>
  <c r="BC95" i="178"/>
  <c r="AK95" i="178"/>
  <c r="DW95" i="178"/>
  <c r="CG95" i="178"/>
  <c r="BO95" i="178"/>
  <c r="FA95" i="178"/>
  <c r="CQ85" i="178"/>
  <c r="W85" i="178"/>
  <c r="BM85" i="178"/>
  <c r="EY85" i="178"/>
  <c r="AI85" i="178"/>
  <c r="BY85" i="178"/>
  <c r="AU85" i="178"/>
  <c r="CK85" i="178"/>
  <c r="DU85" i="178"/>
  <c r="AC85" i="178"/>
  <c r="BS85" i="178"/>
  <c r="CE85" i="178"/>
  <c r="BA85" i="178"/>
  <c r="BG85" i="178"/>
  <c r="AO85" i="178"/>
  <c r="GC85" i="178"/>
  <c r="EY83" i="178"/>
  <c r="AI83" i="178"/>
  <c r="BY83" i="178"/>
  <c r="AU83" i="178"/>
  <c r="CK83" i="178"/>
  <c r="BG83" i="178"/>
  <c r="DU83" i="178"/>
  <c r="AC83" i="178"/>
  <c r="GC83" i="178"/>
  <c r="AO83" i="178"/>
  <c r="CE83" i="178"/>
  <c r="CQ83" i="178"/>
  <c r="BM83" i="178"/>
  <c r="BS83" i="178"/>
  <c r="W83" i="178"/>
  <c r="BA83" i="178"/>
  <c r="FA77" i="178"/>
  <c r="AK77" i="178"/>
  <c r="BI77" i="178"/>
  <c r="BO77" i="178"/>
  <c r="BU77" i="178"/>
  <c r="BC77" i="178"/>
  <c r="CM77" i="178"/>
  <c r="AE77" i="178"/>
  <c r="AW77" i="178"/>
  <c r="DW77" i="178"/>
  <c r="CG77" i="178"/>
  <c r="AQ77" i="178"/>
  <c r="Y77" i="178"/>
  <c r="CA77" i="178"/>
  <c r="GE77" i="178"/>
  <c r="CS77" i="178"/>
  <c r="CG93" i="178"/>
  <c r="FA93" i="178"/>
  <c r="AK93" i="178"/>
  <c r="BU93" i="178"/>
  <c r="BC93" i="178"/>
  <c r="DW93" i="178"/>
  <c r="BO93" i="178"/>
  <c r="AW93" i="178"/>
  <c r="AE93" i="178"/>
  <c r="GE93" i="178"/>
  <c r="CS93" i="178"/>
  <c r="CA93" i="178"/>
  <c r="BI93" i="178"/>
  <c r="AQ93" i="178"/>
  <c r="Y93" i="178"/>
  <c r="CM93" i="178"/>
  <c r="CE103" i="178"/>
  <c r="CQ103" i="178"/>
  <c r="W103" i="178"/>
  <c r="BM103" i="178"/>
  <c r="EY103" i="178"/>
  <c r="AI103" i="178"/>
  <c r="GC103" i="178"/>
  <c r="DU103" i="178"/>
  <c r="BA103" i="178"/>
  <c r="AC103" i="178"/>
  <c r="BS103" i="178"/>
  <c r="AU103" i="178"/>
  <c r="AO103" i="178"/>
  <c r="BG103" i="178"/>
  <c r="BY103" i="178"/>
  <c r="CK103" i="178"/>
  <c r="BJ88" i="178"/>
  <c r="DX88" i="178"/>
  <c r="AF88" i="178"/>
  <c r="BV88" i="178"/>
  <c r="GF88" i="178"/>
  <c r="AR88" i="178"/>
  <c r="CH88" i="178"/>
  <c r="BD88" i="178"/>
  <c r="BP88" i="178"/>
  <c r="FB88" i="178"/>
  <c r="AL88" i="178"/>
  <c r="CB88" i="178"/>
  <c r="AX88" i="178"/>
  <c r="CN88" i="178"/>
  <c r="CT88" i="178"/>
  <c r="Z88" i="178"/>
  <c r="DW111" i="178"/>
  <c r="AE111" i="178"/>
  <c r="BI111" i="178"/>
  <c r="CM111" i="178"/>
  <c r="BU111" i="178"/>
  <c r="AQ111" i="178"/>
  <c r="Y111" i="178"/>
  <c r="CG111" i="178"/>
  <c r="BC111" i="178"/>
  <c r="BO111" i="178"/>
  <c r="AK111" i="178"/>
  <c r="CS111" i="178"/>
  <c r="CA111" i="178"/>
  <c r="AW111" i="178"/>
  <c r="FA111" i="178"/>
  <c r="GE111" i="178"/>
  <c r="CA110" i="178"/>
  <c r="AQ110" i="178"/>
  <c r="BU110" i="178"/>
  <c r="DW110" i="178"/>
  <c r="BC110" i="178"/>
  <c r="Y110" i="178"/>
  <c r="GE110" i="178"/>
  <c r="CG110" i="178"/>
  <c r="AK110" i="178"/>
  <c r="CS110" i="178"/>
  <c r="AW110" i="178"/>
  <c r="FA110" i="178"/>
  <c r="BI110" i="178"/>
  <c r="CM110" i="178"/>
  <c r="AE110" i="178"/>
  <c r="BO110" i="178"/>
  <c r="BM113" i="178"/>
  <c r="GC113" i="178"/>
  <c r="CE113" i="178"/>
  <c r="AI113" i="178"/>
  <c r="CQ113" i="178"/>
  <c r="AU113" i="178"/>
  <c r="BY113" i="178"/>
  <c r="EY113" i="178"/>
  <c r="CK113" i="178"/>
  <c r="AO113" i="178"/>
  <c r="BS113" i="178"/>
  <c r="DU113" i="178"/>
  <c r="BA113" i="178"/>
  <c r="W113" i="178"/>
  <c r="BG113" i="178"/>
  <c r="AC113" i="178"/>
  <c r="FA101" i="178"/>
  <c r="AK101" i="178"/>
  <c r="CM101" i="178"/>
  <c r="BI101" i="178"/>
  <c r="CA101" i="178"/>
  <c r="AQ101" i="178"/>
  <c r="CS101" i="178"/>
  <c r="Y101" i="178"/>
  <c r="GE101" i="178"/>
  <c r="BU101" i="178"/>
  <c r="BC101" i="178"/>
  <c r="CG101" i="178"/>
  <c r="DW101" i="178"/>
  <c r="BO101" i="178"/>
  <c r="AW101" i="178"/>
  <c r="AE101" i="178"/>
  <c r="GC112" i="178"/>
  <c r="AO112" i="178"/>
  <c r="CQ112" i="178"/>
  <c r="BM112" i="178"/>
  <c r="AU112" i="178"/>
  <c r="EY112" i="178"/>
  <c r="BY112" i="178"/>
  <c r="AC112" i="178"/>
  <c r="CK112" i="178"/>
  <c r="BG112" i="178"/>
  <c r="DU112" i="178"/>
  <c r="BS112" i="178"/>
  <c r="W112" i="178"/>
  <c r="BA112" i="178"/>
  <c r="CE112" i="178"/>
  <c r="AI112" i="178"/>
  <c r="CN145" i="178"/>
  <c r="GF145" i="178"/>
  <c r="AR145" i="178"/>
  <c r="BV145" i="178"/>
  <c r="DX145" i="178"/>
  <c r="Z145" i="178"/>
  <c r="BD145" i="178"/>
  <c r="CH145" i="178"/>
  <c r="BP145" i="178"/>
  <c r="CT145" i="178"/>
  <c r="FB145" i="178"/>
  <c r="BJ145" i="178"/>
  <c r="AL145" i="178"/>
  <c r="AF145" i="178"/>
  <c r="AX145" i="178"/>
  <c r="CB145" i="178"/>
  <c r="CA107" i="178"/>
  <c r="CS107" i="178"/>
  <c r="AW107" i="178"/>
  <c r="AE107" i="178"/>
  <c r="FA107" i="178"/>
  <c r="BI107" i="178"/>
  <c r="CM107" i="178"/>
  <c r="AQ107" i="178"/>
  <c r="DW107" i="178"/>
  <c r="Y107" i="178"/>
  <c r="BC107" i="178"/>
  <c r="BO107" i="178"/>
  <c r="GE107" i="178"/>
  <c r="AK107" i="178"/>
  <c r="CG107" i="178"/>
  <c r="BU107" i="178"/>
  <c r="BV143" i="178"/>
  <c r="DX143" i="178"/>
  <c r="BD143" i="178"/>
  <c r="CH143" i="178"/>
  <c r="GF143" i="178"/>
  <c r="BP143" i="178"/>
  <c r="CT143" i="178"/>
  <c r="FB143" i="178"/>
  <c r="AF143" i="178"/>
  <c r="BJ143" i="178"/>
  <c r="Z143" i="178"/>
  <c r="AR143" i="178"/>
  <c r="CB143" i="178"/>
  <c r="AL143" i="178"/>
  <c r="CN143" i="178"/>
  <c r="AX143" i="178"/>
  <c r="CB147" i="178"/>
  <c r="DX147" i="178"/>
  <c r="AF147" i="178"/>
  <c r="FB147" i="178"/>
  <c r="AL147" i="178"/>
  <c r="CH147" i="178"/>
  <c r="BP147" i="178"/>
  <c r="AR147" i="178"/>
  <c r="Z147" i="178"/>
  <c r="BJ147" i="178"/>
  <c r="GF147" i="178"/>
  <c r="CT147" i="178"/>
  <c r="BV147" i="178"/>
  <c r="BD147" i="178"/>
  <c r="CN147" i="178"/>
  <c r="AX147" i="178"/>
  <c r="BM136" i="178"/>
  <c r="CK136" i="178"/>
  <c r="DU136" i="178"/>
  <c r="CE136" i="178"/>
  <c r="GC136" i="178"/>
  <c r="AU136" i="178"/>
  <c r="AC136" i="178"/>
  <c r="CQ136" i="178"/>
  <c r="EY136" i="178"/>
  <c r="AO136" i="178"/>
  <c r="W136" i="178"/>
  <c r="BS136" i="178"/>
  <c r="BA136" i="178"/>
  <c r="AI136" i="178"/>
  <c r="BY136" i="178"/>
  <c r="BG136" i="178"/>
  <c r="CT132" i="178"/>
  <c r="Z132" i="178"/>
  <c r="AX132" i="178"/>
  <c r="DX132" i="178"/>
  <c r="CH132" i="178"/>
  <c r="BP132" i="178"/>
  <c r="AF132" i="178"/>
  <c r="GF132" i="178"/>
  <c r="AR132" i="178"/>
  <c r="FB132" i="178"/>
  <c r="CN132" i="178"/>
  <c r="BD132" i="178"/>
  <c r="AL132" i="178"/>
  <c r="CB132" i="178"/>
  <c r="BV132" i="178"/>
  <c r="BJ132" i="178"/>
  <c r="BY150" i="178"/>
  <c r="DU150" i="178"/>
  <c r="AC150" i="178"/>
  <c r="EY150" i="178"/>
  <c r="AI150" i="178"/>
  <c r="AU150" i="178"/>
  <c r="CE150" i="178"/>
  <c r="BM150" i="178"/>
  <c r="AO150" i="178"/>
  <c r="W150" i="178"/>
  <c r="BG150" i="178"/>
  <c r="GC150" i="178"/>
  <c r="CQ150" i="178"/>
  <c r="CK150" i="178"/>
  <c r="BS150" i="178"/>
  <c r="BA150" i="178"/>
  <c r="BB154" i="178"/>
  <c r="BN154" i="178"/>
  <c r="BZ154" i="178"/>
  <c r="CF154" i="178"/>
  <c r="DV154" i="178"/>
  <c r="BH154" i="178"/>
  <c r="X154" i="178"/>
  <c r="AP154" i="178"/>
  <c r="CR154" i="178"/>
  <c r="AJ154" i="178"/>
  <c r="BT154" i="178"/>
  <c r="CL154" i="178"/>
  <c r="EZ154" i="178"/>
  <c r="AV154" i="178"/>
  <c r="AD154" i="178"/>
  <c r="GD154" i="178"/>
  <c r="BP149" i="178"/>
  <c r="CN149" i="178"/>
  <c r="CT149" i="178"/>
  <c r="Z149" i="178"/>
  <c r="GF149" i="178"/>
  <c r="AL149" i="178"/>
  <c r="BV149" i="178"/>
  <c r="BD149" i="178"/>
  <c r="FB149" i="178"/>
  <c r="AF149" i="178"/>
  <c r="DX149" i="178"/>
  <c r="CH149" i="178"/>
  <c r="BJ149" i="178"/>
  <c r="AR149" i="178"/>
  <c r="CB149" i="178"/>
  <c r="AX149" i="178"/>
  <c r="DW148" i="178"/>
  <c r="AE148" i="178"/>
  <c r="BC148" i="178"/>
  <c r="BI148" i="178"/>
  <c r="BU148" i="178"/>
  <c r="FA148" i="178"/>
  <c r="CM148" i="178"/>
  <c r="BO148" i="178"/>
  <c r="AW148" i="178"/>
  <c r="CG148" i="178"/>
  <c r="AQ148" i="178"/>
  <c r="GE148" i="178"/>
  <c r="AK148" i="178"/>
  <c r="Y148" i="178"/>
  <c r="CS148" i="178"/>
  <c r="CA148" i="178"/>
  <c r="DV196" i="178"/>
  <c r="AD196" i="178"/>
  <c r="BZ196" i="178"/>
  <c r="X196" i="178"/>
  <c r="EZ196" i="178"/>
  <c r="CL196" i="178"/>
  <c r="BT196" i="178"/>
  <c r="AJ196" i="178"/>
  <c r="AV196" i="178"/>
  <c r="GD196" i="178"/>
  <c r="BB196" i="178"/>
  <c r="BN196" i="178"/>
  <c r="CF196" i="178"/>
  <c r="AP196" i="178"/>
  <c r="BH196" i="178"/>
  <c r="CR196" i="178"/>
  <c r="AU158" i="178"/>
  <c r="CK158" i="178"/>
  <c r="BG158" i="178"/>
  <c r="DU158" i="178"/>
  <c r="AC158" i="178"/>
  <c r="BS158" i="178"/>
  <c r="GC158" i="178"/>
  <c r="AO158" i="178"/>
  <c r="BY158" i="178"/>
  <c r="EY158" i="178"/>
  <c r="AI158" i="178"/>
  <c r="BM158" i="178"/>
  <c r="BA158" i="178"/>
  <c r="CE158" i="178"/>
  <c r="CQ158" i="178"/>
  <c r="W158" i="178"/>
  <c r="DX165" i="178"/>
  <c r="AF165" i="178"/>
  <c r="Z165" i="178"/>
  <c r="AL165" i="178"/>
  <c r="CH165" i="178"/>
  <c r="BP165" i="178"/>
  <c r="AX165" i="178"/>
  <c r="GF165" i="178"/>
  <c r="CB165" i="178"/>
  <c r="BJ165" i="178"/>
  <c r="AR165" i="178"/>
  <c r="FB165" i="178"/>
  <c r="CN165" i="178"/>
  <c r="BV165" i="178"/>
  <c r="BD165" i="178"/>
  <c r="CT165" i="178"/>
  <c r="BJ155" i="178"/>
  <c r="BV155" i="178"/>
  <c r="CH155" i="178"/>
  <c r="CN155" i="178"/>
  <c r="CB155" i="178"/>
  <c r="BD155" i="178"/>
  <c r="CT155" i="178"/>
  <c r="AF155" i="178"/>
  <c r="GF155" i="178"/>
  <c r="AX155" i="178"/>
  <c r="Z155" i="178"/>
  <c r="FB155" i="178"/>
  <c r="AR155" i="178"/>
  <c r="DX155" i="178"/>
  <c r="AL155" i="178"/>
  <c r="BP155" i="178"/>
  <c r="BJ163" i="178"/>
  <c r="CN163" i="178"/>
  <c r="AR163" i="178"/>
  <c r="BV163" i="178"/>
  <c r="DX163" i="178"/>
  <c r="Z163" i="178"/>
  <c r="BD163" i="178"/>
  <c r="CH163" i="178"/>
  <c r="GF163" i="178"/>
  <c r="AL163" i="178"/>
  <c r="CT163" i="178"/>
  <c r="AX163" i="178"/>
  <c r="CB163" i="178"/>
  <c r="AF163" i="178"/>
  <c r="FB163" i="178"/>
  <c r="BP163" i="178"/>
  <c r="CK176" i="178"/>
  <c r="BA176" i="178"/>
  <c r="CQ176" i="178"/>
  <c r="W176" i="178"/>
  <c r="BY176" i="178"/>
  <c r="EY176" i="178"/>
  <c r="BM176" i="178"/>
  <c r="AU176" i="178"/>
  <c r="BG176" i="178"/>
  <c r="AC176" i="178"/>
  <c r="BS176" i="178"/>
  <c r="AO176" i="178"/>
  <c r="GC176" i="178"/>
  <c r="DU176" i="178"/>
  <c r="CE176" i="178"/>
  <c r="AI176" i="178"/>
  <c r="BY178" i="178"/>
  <c r="GC178" i="178"/>
  <c r="AO178" i="178"/>
  <c r="CE178" i="178"/>
  <c r="BA178" i="178"/>
  <c r="AI178" i="178"/>
  <c r="EY178" i="178"/>
  <c r="BM178" i="178"/>
  <c r="DU178" i="178"/>
  <c r="W178" i="178"/>
  <c r="AU178" i="178"/>
  <c r="BS178" i="178"/>
  <c r="CQ178" i="178"/>
  <c r="CK178" i="178"/>
  <c r="AC178" i="178"/>
  <c r="BG178" i="178"/>
  <c r="CQ210" i="178"/>
  <c r="BM210" i="178"/>
  <c r="BY210" i="178"/>
  <c r="CE210" i="178"/>
  <c r="AO210" i="178"/>
  <c r="GC210" i="178"/>
  <c r="W210" i="178"/>
  <c r="BA210" i="178"/>
  <c r="BS210" i="178"/>
  <c r="CK210" i="178"/>
  <c r="AU210" i="178"/>
  <c r="AI210" i="178"/>
  <c r="AC210" i="178"/>
  <c r="DU210" i="178"/>
  <c r="BG210" i="178"/>
  <c r="EY210" i="178"/>
  <c r="CQ181" i="178"/>
  <c r="W181" i="178"/>
  <c r="AU181" i="178"/>
  <c r="CE181" i="178"/>
  <c r="BA181" i="178"/>
  <c r="GC181" i="178"/>
  <c r="EY181" i="178"/>
  <c r="CK181" i="178"/>
  <c r="AC181" i="178"/>
  <c r="BM181" i="178"/>
  <c r="DU181" i="178"/>
  <c r="AI181" i="178"/>
  <c r="BG181" i="178"/>
  <c r="BS181" i="178"/>
  <c r="AO181" i="178"/>
  <c r="BY181" i="178"/>
  <c r="CS177" i="178"/>
  <c r="Y177" i="178"/>
  <c r="BI177" i="178"/>
  <c r="DW177" i="178"/>
  <c r="AE177" i="178"/>
  <c r="CG177" i="178"/>
  <c r="GE177" i="178"/>
  <c r="BU177" i="178"/>
  <c r="BC177" i="178"/>
  <c r="BO177" i="178"/>
  <c r="AK177" i="178"/>
  <c r="CM177" i="178"/>
  <c r="FA177" i="178"/>
  <c r="AQ177" i="178"/>
  <c r="AW177" i="178"/>
  <c r="CA177" i="178"/>
  <c r="FA181" i="178"/>
  <c r="AK181" i="178"/>
  <c r="BI181" i="178"/>
  <c r="CS181" i="178"/>
  <c r="Y181" i="178"/>
  <c r="BO181" i="178"/>
  <c r="BU181" i="178"/>
  <c r="BC181" i="178"/>
  <c r="AW181" i="178"/>
  <c r="DW181" i="178"/>
  <c r="AQ181" i="178"/>
  <c r="CA181" i="178"/>
  <c r="CM181" i="178"/>
  <c r="AE181" i="178"/>
  <c r="CG181" i="178"/>
  <c r="GE181" i="178"/>
  <c r="CA195" i="178"/>
  <c r="GE195" i="178"/>
  <c r="BO195" i="178"/>
  <c r="FA195" i="178"/>
  <c r="BI195" i="178"/>
  <c r="CM195" i="178"/>
  <c r="AK195" i="178"/>
  <c r="CS195" i="178"/>
  <c r="Y195" i="178"/>
  <c r="CG195" i="178"/>
  <c r="DW195" i="178"/>
  <c r="AE195" i="178"/>
  <c r="AW195" i="178"/>
  <c r="BU195" i="178"/>
  <c r="AQ195" i="178"/>
  <c r="BC195" i="178"/>
  <c r="BA197" i="178"/>
  <c r="CK197" i="178"/>
  <c r="DU197" i="178"/>
  <c r="AC197" i="178"/>
  <c r="EY197" i="178"/>
  <c r="AI197" i="178"/>
  <c r="CE197" i="178"/>
  <c r="BM197" i="178"/>
  <c r="BS197" i="178"/>
  <c r="GC197" i="178"/>
  <c r="BG197" i="178"/>
  <c r="BY197" i="178"/>
  <c r="AU197" i="178"/>
  <c r="W197" i="178"/>
  <c r="AO197" i="178"/>
  <c r="CQ197" i="178"/>
  <c r="GD194" i="178"/>
  <c r="AP194" i="178"/>
  <c r="AV194" i="178"/>
  <c r="EZ194" i="178"/>
  <c r="AD194" i="178"/>
  <c r="CL194" i="178"/>
  <c r="CR194" i="178"/>
  <c r="BH194" i="178"/>
  <c r="AJ194" i="178"/>
  <c r="BZ194" i="178"/>
  <c r="X194" i="178"/>
  <c r="DV194" i="178"/>
  <c r="BN194" i="178"/>
  <c r="BT194" i="178"/>
  <c r="BB194" i="178"/>
  <c r="CF194" i="178"/>
  <c r="GE204" i="178"/>
  <c r="AQ204" i="178"/>
  <c r="CG204" i="178"/>
  <c r="BI204" i="178"/>
  <c r="Y204" i="178"/>
  <c r="BU204" i="178"/>
  <c r="AK204" i="178"/>
  <c r="AW204" i="178"/>
  <c r="AE204" i="178"/>
  <c r="CS204" i="178"/>
  <c r="CM204" i="178"/>
  <c r="BC204" i="178"/>
  <c r="FA204" i="178"/>
  <c r="DW204" i="178"/>
  <c r="CA204" i="178"/>
  <c r="BO204" i="178"/>
  <c r="AU206" i="178"/>
  <c r="CK206" i="178"/>
  <c r="BG206" i="178"/>
  <c r="BS206" i="178"/>
  <c r="BA206" i="178"/>
  <c r="AI206" i="178"/>
  <c r="GC206" i="178"/>
  <c r="CQ206" i="178"/>
  <c r="BY206" i="178"/>
  <c r="AC206" i="178"/>
  <c r="DU206" i="178"/>
  <c r="BM206" i="178"/>
  <c r="W206" i="178"/>
  <c r="CE206" i="178"/>
  <c r="AO206" i="178"/>
  <c r="EY206" i="178"/>
  <c r="U255" i="178"/>
  <c r="U245" i="178"/>
  <c r="U254" i="178"/>
  <c r="U241" i="178"/>
  <c r="U233" i="178"/>
  <c r="U236" i="178"/>
  <c r="U238" i="178"/>
  <c r="U230" i="178"/>
  <c r="U35" i="178"/>
  <c r="CM213" i="178"/>
  <c r="GE213" i="178"/>
  <c r="AQ213" i="178"/>
  <c r="CA213" i="178"/>
  <c r="AW213" i="178"/>
  <c r="FA213" i="178"/>
  <c r="CG213" i="178"/>
  <c r="BI213" i="178"/>
  <c r="BU213" i="178"/>
  <c r="Y213" i="178"/>
  <c r="BO213" i="178"/>
  <c r="BC213" i="178"/>
  <c r="AK213" i="178"/>
  <c r="AE213" i="178"/>
  <c r="CS213" i="178"/>
  <c r="DW213" i="178"/>
  <c r="EL254" i="178"/>
  <c r="EL243" i="178"/>
  <c r="EL242" i="178"/>
  <c r="EL241" i="178"/>
  <c r="EL251" i="178"/>
  <c r="EL238" i="178"/>
  <c r="EL235" i="178"/>
  <c r="EL230" i="178"/>
  <c r="EL255" i="178"/>
  <c r="EL232" i="178"/>
  <c r="EL248" i="178" s="1"/>
  <c r="EL233" i="178"/>
  <c r="EL229" i="178"/>
  <c r="EL245" i="178"/>
  <c r="EL240" i="178"/>
  <c r="EL236" i="178"/>
  <c r="CK78" i="178"/>
  <c r="GC78" i="178"/>
  <c r="AO78" i="178"/>
  <c r="AU78" i="178"/>
  <c r="W78" i="178"/>
  <c r="BG78" i="178"/>
  <c r="CQ78" i="178"/>
  <c r="BY78" i="178"/>
  <c r="BA78" i="178"/>
  <c r="AI78" i="178"/>
  <c r="EY78" i="178"/>
  <c r="AC78" i="178"/>
  <c r="CE78" i="178"/>
  <c r="BM78" i="178"/>
  <c r="DU78" i="178"/>
  <c r="BS78" i="178"/>
  <c r="N77" i="178"/>
  <c r="N93" i="178"/>
  <c r="N76" i="178"/>
  <c r="N141" i="178"/>
  <c r="N152" i="178"/>
  <c r="N162" i="178"/>
  <c r="N169" i="178"/>
  <c r="N201" i="178"/>
  <c r="N189" i="178"/>
  <c r="GD53" i="178"/>
  <c r="AP53" i="178"/>
  <c r="BN53" i="178"/>
  <c r="EZ53" i="178"/>
  <c r="CL53" i="178"/>
  <c r="BT53" i="178"/>
  <c r="AV53" i="178"/>
  <c r="CF53" i="178"/>
  <c r="AD53" i="178"/>
  <c r="DV53" i="178"/>
  <c r="BZ53" i="178"/>
  <c r="BH53" i="178"/>
  <c r="X53" i="178"/>
  <c r="CR53" i="178"/>
  <c r="BB53" i="178"/>
  <c r="AJ53" i="178"/>
  <c r="BO96" i="178"/>
  <c r="CM96" i="178"/>
  <c r="GE96" i="178"/>
  <c r="CS96" i="178"/>
  <c r="CA96" i="178"/>
  <c r="BI96" i="178"/>
  <c r="AQ96" i="178"/>
  <c r="Y96" i="178"/>
  <c r="FA96" i="178"/>
  <c r="BU96" i="178"/>
  <c r="DW96" i="178"/>
  <c r="CG96" i="178"/>
  <c r="AW96" i="178"/>
  <c r="AE96" i="178"/>
  <c r="BC96" i="178"/>
  <c r="AK96" i="178"/>
  <c r="DW143" i="178"/>
  <c r="AE143" i="178"/>
  <c r="Y143" i="178"/>
  <c r="BC143" i="178"/>
  <c r="GE143" i="178"/>
  <c r="AK143" i="178"/>
  <c r="BO143" i="178"/>
  <c r="CS143" i="178"/>
  <c r="CA143" i="178"/>
  <c r="FA143" i="178"/>
  <c r="BU143" i="178"/>
  <c r="CM143" i="178"/>
  <c r="AW143" i="178"/>
  <c r="CG143" i="178"/>
  <c r="AQ143" i="178"/>
  <c r="BI143" i="178"/>
  <c r="BH143" i="178"/>
  <c r="BT143" i="178"/>
  <c r="DV143" i="178"/>
  <c r="X143" i="178"/>
  <c r="CF143" i="178"/>
  <c r="GD143" i="178"/>
  <c r="AJ143" i="178"/>
  <c r="AV143" i="178"/>
  <c r="BZ143" i="178"/>
  <c r="AD143" i="178"/>
  <c r="CL143" i="178"/>
  <c r="AP143" i="178"/>
  <c r="EZ143" i="178"/>
  <c r="CR143" i="178"/>
  <c r="BB143" i="178"/>
  <c r="BN143" i="178"/>
  <c r="BO197" i="178"/>
  <c r="DW197" i="178"/>
  <c r="GE197" i="178"/>
  <c r="AQ197" i="178"/>
  <c r="FA197" i="178"/>
  <c r="CM197" i="178"/>
  <c r="BU197" i="178"/>
  <c r="BC197" i="178"/>
  <c r="AK197" i="178"/>
  <c r="AW197" i="178"/>
  <c r="AE197" i="178"/>
  <c r="CS197" i="178"/>
  <c r="Y197" i="178"/>
  <c r="CG197" i="178"/>
  <c r="CA197" i="178"/>
  <c r="BI197" i="178"/>
  <c r="FC168" i="178"/>
  <c r="BW168" i="178"/>
  <c r="O168" i="178"/>
  <c r="CU168" i="178"/>
  <c r="AY168" i="178"/>
  <c r="BK168" i="178"/>
  <c r="AG168" i="178"/>
  <c r="CC168" i="178"/>
  <c r="AM168" i="178"/>
  <c r="BE168" i="178"/>
  <c r="CO168" i="178"/>
  <c r="BQ168" i="178"/>
  <c r="GG168" i="178"/>
  <c r="CI168" i="178"/>
  <c r="AA168" i="178"/>
  <c r="DY168" i="178"/>
  <c r="AS168" i="178"/>
  <c r="CG53" i="178"/>
  <c r="FA53" i="178"/>
  <c r="AK53" i="178"/>
  <c r="CA53" i="178"/>
  <c r="BI53" i="178"/>
  <c r="AW53" i="178"/>
  <c r="BO53" i="178"/>
  <c r="AE53" i="178"/>
  <c r="DW53" i="178"/>
  <c r="AQ53" i="178"/>
  <c r="Y53" i="178"/>
  <c r="CS53" i="178"/>
  <c r="GE53" i="178"/>
  <c r="BC53" i="178"/>
  <c r="CM53" i="178"/>
  <c r="BU53" i="178"/>
  <c r="GD59" i="178"/>
  <c r="AP59" i="178"/>
  <c r="CF59" i="178"/>
  <c r="BB59" i="178"/>
  <c r="CR59" i="178"/>
  <c r="X59" i="178"/>
  <c r="BN59" i="178"/>
  <c r="EZ59" i="178"/>
  <c r="AJ59" i="178"/>
  <c r="AV59" i="178"/>
  <c r="CL59" i="178"/>
  <c r="DV59" i="178"/>
  <c r="AD59" i="178"/>
  <c r="BT59" i="178"/>
  <c r="BH59" i="178"/>
  <c r="BZ59" i="178"/>
  <c r="GF71" i="178"/>
  <c r="AR71" i="178"/>
  <c r="BP71" i="178"/>
  <c r="BV71" i="178"/>
  <c r="DX71" i="178"/>
  <c r="AX71" i="178"/>
  <c r="AF71" i="178"/>
  <c r="CB71" i="178"/>
  <c r="BJ71" i="178"/>
  <c r="CT71" i="178"/>
  <c r="Z71" i="178"/>
  <c r="FB71" i="178"/>
  <c r="BD71" i="178"/>
  <c r="AL71" i="178"/>
  <c r="CN71" i="178"/>
  <c r="CH71" i="178"/>
  <c r="CB101" i="178"/>
  <c r="CN101" i="178"/>
  <c r="DX101" i="178"/>
  <c r="AF101" i="178"/>
  <c r="BJ101" i="178"/>
  <c r="AR101" i="178"/>
  <c r="CT101" i="178"/>
  <c r="Z101" i="178"/>
  <c r="GF101" i="178"/>
  <c r="BV101" i="178"/>
  <c r="BD101" i="178"/>
  <c r="AL101" i="178"/>
  <c r="FB101" i="178"/>
  <c r="CH101" i="178"/>
  <c r="BP101" i="178"/>
  <c r="AX101" i="178"/>
  <c r="CN60" i="178"/>
  <c r="BP60" i="178"/>
  <c r="CT60" i="178"/>
  <c r="AX60" i="178"/>
  <c r="CB60" i="178"/>
  <c r="AF60" i="178"/>
  <c r="FB60" i="178"/>
  <c r="BJ60" i="178"/>
  <c r="BV60" i="178"/>
  <c r="DX60" i="178"/>
  <c r="Z60" i="178"/>
  <c r="CH60" i="178"/>
  <c r="GF60" i="178"/>
  <c r="AL60" i="178"/>
  <c r="BD60" i="178"/>
  <c r="AR60" i="178"/>
  <c r="AW75" i="178"/>
  <c r="BU75" i="178"/>
  <c r="CA75" i="178"/>
  <c r="BC75" i="178"/>
  <c r="AK75" i="178"/>
  <c r="CM75" i="178"/>
  <c r="FA75" i="178"/>
  <c r="AE75" i="178"/>
  <c r="DW75" i="178"/>
  <c r="AQ75" i="178"/>
  <c r="Y75" i="178"/>
  <c r="BI75" i="178"/>
  <c r="GE75" i="178"/>
  <c r="CS75" i="178"/>
  <c r="BO75" i="178"/>
  <c r="CG75" i="178"/>
  <c r="GC74" i="178"/>
  <c r="AO74" i="178"/>
  <c r="BM74" i="178"/>
  <c r="BS74" i="178"/>
  <c r="EY74" i="178"/>
  <c r="CK74" i="178"/>
  <c r="AU74" i="178"/>
  <c r="AC74" i="178"/>
  <c r="CE74" i="178"/>
  <c r="DU74" i="178"/>
  <c r="W74" i="178"/>
  <c r="BY74" i="178"/>
  <c r="BG74" i="178"/>
  <c r="CQ74" i="178"/>
  <c r="AI74" i="178"/>
  <c r="BA74" i="178"/>
  <c r="BT100" i="178"/>
  <c r="CR100" i="178"/>
  <c r="X100" i="178"/>
  <c r="AV100" i="178"/>
  <c r="AD100" i="178"/>
  <c r="GD100" i="178"/>
  <c r="BZ100" i="178"/>
  <c r="BH100" i="178"/>
  <c r="AP100" i="178"/>
  <c r="CL100" i="178"/>
  <c r="BB100" i="178"/>
  <c r="AJ100" i="178"/>
  <c r="DV100" i="178"/>
  <c r="CF100" i="178"/>
  <c r="BN100" i="178"/>
  <c r="EZ100" i="178"/>
  <c r="FA89" i="178"/>
  <c r="BU89" i="178"/>
  <c r="DW89" i="178"/>
  <c r="BC89" i="178"/>
  <c r="Y89" i="178"/>
  <c r="CG89" i="178"/>
  <c r="GE89" i="178"/>
  <c r="AK89" i="178"/>
  <c r="BO89" i="178"/>
  <c r="CA89" i="178"/>
  <c r="BI89" i="178"/>
  <c r="AE89" i="178"/>
  <c r="CM89" i="178"/>
  <c r="AQ89" i="178"/>
  <c r="CS89" i="178"/>
  <c r="AW89" i="178"/>
  <c r="FA85" i="178"/>
  <c r="AK85" i="178"/>
  <c r="CA85" i="178"/>
  <c r="AW85" i="178"/>
  <c r="CM85" i="178"/>
  <c r="BI85" i="178"/>
  <c r="DW85" i="178"/>
  <c r="AE85" i="178"/>
  <c r="GE85" i="178"/>
  <c r="AQ85" i="178"/>
  <c r="CG85" i="178"/>
  <c r="CS85" i="178"/>
  <c r="Y85" i="178"/>
  <c r="BO85" i="178"/>
  <c r="BC85" i="178"/>
  <c r="BU85" i="178"/>
  <c r="BC98" i="178"/>
  <c r="CA98" i="178"/>
  <c r="BU98" i="178"/>
  <c r="AK98" i="178"/>
  <c r="DW98" i="178"/>
  <c r="CG98" i="178"/>
  <c r="BO98" i="178"/>
  <c r="AW98" i="178"/>
  <c r="AE98" i="178"/>
  <c r="GE98" i="178"/>
  <c r="CS98" i="178"/>
  <c r="BI98" i="178"/>
  <c r="AQ98" i="178"/>
  <c r="Y98" i="178"/>
  <c r="FA98" i="178"/>
  <c r="CM98" i="178"/>
  <c r="CM104" i="178"/>
  <c r="DW104" i="178"/>
  <c r="AE104" i="178"/>
  <c r="BU104" i="178"/>
  <c r="GE104" i="178"/>
  <c r="AQ104" i="178"/>
  <c r="AW104" i="178"/>
  <c r="BO104" i="178"/>
  <c r="CG104" i="178"/>
  <c r="BI104" i="178"/>
  <c r="AK104" i="178"/>
  <c r="FA104" i="178"/>
  <c r="BC104" i="178"/>
  <c r="CA104" i="178"/>
  <c r="Y104" i="178"/>
  <c r="CS104" i="178"/>
  <c r="CQ89" i="178"/>
  <c r="CK89" i="178"/>
  <c r="AO89" i="178"/>
  <c r="BS89" i="178"/>
  <c r="DU89" i="178"/>
  <c r="BA89" i="178"/>
  <c r="W89" i="178"/>
  <c r="CE89" i="178"/>
  <c r="AU89" i="178"/>
  <c r="BY89" i="178"/>
  <c r="EY89" i="178"/>
  <c r="BG89" i="178"/>
  <c r="AC89" i="178"/>
  <c r="BM89" i="178"/>
  <c r="AI89" i="178"/>
  <c r="GC89" i="178"/>
  <c r="BY116" i="178"/>
  <c r="CK116" i="178"/>
  <c r="AO116" i="178"/>
  <c r="BS116" i="178"/>
  <c r="DU116" i="178"/>
  <c r="W116" i="178"/>
  <c r="BA116" i="178"/>
  <c r="CE116" i="178"/>
  <c r="BM116" i="178"/>
  <c r="CQ116" i="178"/>
  <c r="AU116" i="178"/>
  <c r="AC116" i="178"/>
  <c r="EY116" i="178"/>
  <c r="BG116" i="178"/>
  <c r="AI116" i="178"/>
  <c r="GC116" i="178"/>
  <c r="BD117" i="178"/>
  <c r="CB117" i="178"/>
  <c r="GF117" i="178"/>
  <c r="CT117" i="178"/>
  <c r="BJ117" i="178"/>
  <c r="AR117" i="178"/>
  <c r="Z117" i="178"/>
  <c r="FB117" i="178"/>
  <c r="CN117" i="178"/>
  <c r="BV117" i="178"/>
  <c r="DX117" i="178"/>
  <c r="CH117" i="178"/>
  <c r="BP117" i="178"/>
  <c r="AX117" i="178"/>
  <c r="AF117" i="178"/>
  <c r="AL117" i="178"/>
  <c r="BP115" i="178"/>
  <c r="BD115" i="178"/>
  <c r="GF115" i="178"/>
  <c r="CH115" i="178"/>
  <c r="AL115" i="178"/>
  <c r="CT115" i="178"/>
  <c r="AX115" i="178"/>
  <c r="FB115" i="178"/>
  <c r="CB115" i="178"/>
  <c r="BJ115" i="178"/>
  <c r="CN115" i="178"/>
  <c r="AR115" i="178"/>
  <c r="DX115" i="178"/>
  <c r="BV115" i="178"/>
  <c r="Z115" i="178"/>
  <c r="AF115" i="178"/>
  <c r="FB106" i="178"/>
  <c r="AL106" i="178"/>
  <c r="CB106" i="178"/>
  <c r="AX106" i="178"/>
  <c r="CN106" i="178"/>
  <c r="BJ106" i="178"/>
  <c r="DX106" i="178"/>
  <c r="AF106" i="178"/>
  <c r="GF106" i="178"/>
  <c r="CH106" i="178"/>
  <c r="BP106" i="178"/>
  <c r="BV106" i="178"/>
  <c r="AR106" i="178"/>
  <c r="CT106" i="178"/>
  <c r="BD106" i="178"/>
  <c r="Z106" i="178"/>
  <c r="BU114" i="178"/>
  <c r="GE114" i="178"/>
  <c r="AK114" i="178"/>
  <c r="BO114" i="178"/>
  <c r="CS114" i="178"/>
  <c r="AW114" i="178"/>
  <c r="CA114" i="178"/>
  <c r="FA114" i="178"/>
  <c r="AE114" i="178"/>
  <c r="CM114" i="178"/>
  <c r="AQ114" i="178"/>
  <c r="Y114" i="178"/>
  <c r="DW114" i="178"/>
  <c r="BC114" i="178"/>
  <c r="CG114" i="178"/>
  <c r="BI114" i="178"/>
  <c r="EZ107" i="178"/>
  <c r="AJ107" i="178"/>
  <c r="BN107" i="178"/>
  <c r="CR107" i="178"/>
  <c r="AV107" i="178"/>
  <c r="BZ107" i="178"/>
  <c r="AD107" i="178"/>
  <c r="BH107" i="178"/>
  <c r="CL107" i="178"/>
  <c r="BT107" i="178"/>
  <c r="DV107" i="178"/>
  <c r="X107" i="178"/>
  <c r="GD107" i="178"/>
  <c r="BB107" i="178"/>
  <c r="AP107" i="178"/>
  <c r="CF107" i="178"/>
  <c r="CK111" i="178"/>
  <c r="BY111" i="178"/>
  <c r="AU111" i="178"/>
  <c r="EY111" i="178"/>
  <c r="AC111" i="178"/>
  <c r="BG111" i="178"/>
  <c r="BS111" i="178"/>
  <c r="AO111" i="178"/>
  <c r="DU111" i="178"/>
  <c r="CE111" i="178"/>
  <c r="BA111" i="178"/>
  <c r="GC111" i="178"/>
  <c r="BM111" i="178"/>
  <c r="AI111" i="178"/>
  <c r="CQ111" i="178"/>
  <c r="W111" i="178"/>
  <c r="DU138" i="178"/>
  <c r="AC138" i="178"/>
  <c r="BG138" i="178"/>
  <c r="BA138" i="178"/>
  <c r="CE138" i="178"/>
  <c r="BM138" i="178"/>
  <c r="AU138" i="178"/>
  <c r="AO138" i="178"/>
  <c r="W138" i="178"/>
  <c r="GC138" i="178"/>
  <c r="CQ138" i="178"/>
  <c r="BY138" i="178"/>
  <c r="AI138" i="178"/>
  <c r="BS138" i="178"/>
  <c r="CK138" i="178"/>
  <c r="EY138" i="178"/>
  <c r="EZ118" i="178"/>
  <c r="AJ118" i="178"/>
  <c r="BH118" i="178"/>
  <c r="CR118" i="178"/>
  <c r="BZ118" i="178"/>
  <c r="AP118" i="178"/>
  <c r="X118" i="178"/>
  <c r="CL118" i="178"/>
  <c r="BT118" i="178"/>
  <c r="BB118" i="178"/>
  <c r="DV118" i="178"/>
  <c r="CF118" i="178"/>
  <c r="BN118" i="178"/>
  <c r="AV118" i="178"/>
  <c r="AD118" i="178"/>
  <c r="GD118" i="178"/>
  <c r="BY140" i="178"/>
  <c r="AI140" i="178"/>
  <c r="EY140" i="178"/>
  <c r="AC140" i="178"/>
  <c r="CK140" i="178"/>
  <c r="BS140" i="178"/>
  <c r="BA140" i="178"/>
  <c r="DU140" i="178"/>
  <c r="AU140" i="178"/>
  <c r="CE140" i="178"/>
  <c r="CQ140" i="178"/>
  <c r="BG140" i="178"/>
  <c r="AO140" i="178"/>
  <c r="W140" i="178"/>
  <c r="GC140" i="178"/>
  <c r="BM140" i="178"/>
  <c r="EZ133" i="178"/>
  <c r="AJ133" i="178"/>
  <c r="BH133" i="178"/>
  <c r="CF133" i="178"/>
  <c r="GD133" i="178"/>
  <c r="BN133" i="178"/>
  <c r="AV133" i="178"/>
  <c r="AD133" i="178"/>
  <c r="CR133" i="178"/>
  <c r="BZ133" i="178"/>
  <c r="CL133" i="178"/>
  <c r="X133" i="178"/>
  <c r="BT133" i="178"/>
  <c r="BB133" i="178"/>
  <c r="DV133" i="178"/>
  <c r="AP133" i="178"/>
  <c r="GF153" i="178"/>
  <c r="AR153" i="178"/>
  <c r="BP153" i="178"/>
  <c r="BV153" i="178"/>
  <c r="FB153" i="178"/>
  <c r="CN153" i="178"/>
  <c r="AX153" i="178"/>
  <c r="AF153" i="178"/>
  <c r="CH153" i="178"/>
  <c r="DX153" i="178"/>
  <c r="Z153" i="178"/>
  <c r="CB153" i="178"/>
  <c r="BJ153" i="178"/>
  <c r="CT153" i="178"/>
  <c r="AL153" i="178"/>
  <c r="BD153" i="178"/>
  <c r="BN142" i="178"/>
  <c r="BB142" i="178"/>
  <c r="CF142" i="178"/>
  <c r="AJ142" i="178"/>
  <c r="CR142" i="178"/>
  <c r="AV142" i="178"/>
  <c r="CL142" i="178"/>
  <c r="DV142" i="178"/>
  <c r="AP142" i="178"/>
  <c r="BH142" i="178"/>
  <c r="GD142" i="178"/>
  <c r="Q142" i="178"/>
  <c r="BZ142" i="178"/>
  <c r="EZ142" i="178"/>
  <c r="BT142" i="178"/>
  <c r="X142" i="178"/>
  <c r="AD142" i="178"/>
  <c r="AU165" i="178"/>
  <c r="CK165" i="178"/>
  <c r="EY165" i="178"/>
  <c r="BS165" i="178"/>
  <c r="BA165" i="178"/>
  <c r="AI165" i="178"/>
  <c r="DU165" i="178"/>
  <c r="CE165" i="178"/>
  <c r="AC165" i="178"/>
  <c r="GC165" i="178"/>
  <c r="CQ165" i="178"/>
  <c r="BY165" i="178"/>
  <c r="BG165" i="178"/>
  <c r="AO165" i="178"/>
  <c r="W165" i="178"/>
  <c r="BM165" i="178"/>
  <c r="DV153" i="178"/>
  <c r="AD153" i="178"/>
  <c r="GD153" i="178"/>
  <c r="BB153" i="178"/>
  <c r="BH153" i="178"/>
  <c r="BT153" i="178"/>
  <c r="EZ153" i="178"/>
  <c r="CL153" i="178"/>
  <c r="BN153" i="178"/>
  <c r="AV153" i="178"/>
  <c r="CF153" i="178"/>
  <c r="AP153" i="178"/>
  <c r="CR153" i="178"/>
  <c r="BZ153" i="178"/>
  <c r="AJ153" i="178"/>
  <c r="X153" i="178"/>
  <c r="BD159" i="178"/>
  <c r="CT159" i="178"/>
  <c r="Z159" i="178"/>
  <c r="BP159" i="178"/>
  <c r="FB159" i="178"/>
  <c r="AL159" i="178"/>
  <c r="CB159" i="178"/>
  <c r="AX159" i="178"/>
  <c r="BJ159" i="178"/>
  <c r="DX159" i="178"/>
  <c r="BV159" i="178"/>
  <c r="CH159" i="178"/>
  <c r="AR159" i="178"/>
  <c r="GF159" i="178"/>
  <c r="AF159" i="178"/>
  <c r="CN159" i="178"/>
  <c r="EZ160" i="178"/>
  <c r="GD160" i="178"/>
  <c r="AJ160" i="178"/>
  <c r="BN160" i="178"/>
  <c r="CR160" i="178"/>
  <c r="AV160" i="178"/>
  <c r="BZ160" i="178"/>
  <c r="BH160" i="178"/>
  <c r="AD160" i="178"/>
  <c r="AP160" i="178"/>
  <c r="BT160" i="178"/>
  <c r="DV160" i="178"/>
  <c r="CF160" i="178"/>
  <c r="X160" i="178"/>
  <c r="CL160" i="178"/>
  <c r="BB160" i="178"/>
  <c r="CA167" i="178"/>
  <c r="GE167" i="178"/>
  <c r="AQ167" i="178"/>
  <c r="CS167" i="178"/>
  <c r="Y167" i="178"/>
  <c r="FA167" i="178"/>
  <c r="DW167" i="178"/>
  <c r="BI167" i="178"/>
  <c r="AK167" i="178"/>
  <c r="BC167" i="178"/>
  <c r="BU167" i="178"/>
  <c r="AW167" i="178"/>
  <c r="CM167" i="178"/>
  <c r="BO167" i="178"/>
  <c r="CG167" i="178"/>
  <c r="AE167" i="178"/>
  <c r="DU156" i="178"/>
  <c r="AC156" i="178"/>
  <c r="BS156" i="178"/>
  <c r="GC156" i="178"/>
  <c r="AO156" i="178"/>
  <c r="BA156" i="178"/>
  <c r="BG156" i="178"/>
  <c r="BY156" i="178"/>
  <c r="AI156" i="178"/>
  <c r="CQ156" i="178"/>
  <c r="W156" i="178"/>
  <c r="CK156" i="178"/>
  <c r="AU156" i="178"/>
  <c r="BM156" i="178"/>
  <c r="EY156" i="178"/>
  <c r="CE156" i="178"/>
  <c r="AC164" i="178"/>
  <c r="BM164" i="178"/>
  <c r="CQ164" i="178"/>
  <c r="BY164" i="178"/>
  <c r="AU164" i="178"/>
  <c r="EY164" i="178"/>
  <c r="BG164" i="178"/>
  <c r="BS164" i="178"/>
  <c r="DU164" i="178"/>
  <c r="W164" i="178"/>
  <c r="BA164" i="178"/>
  <c r="CE164" i="178"/>
  <c r="GC164" i="178"/>
  <c r="AI164" i="178"/>
  <c r="AO164" i="178"/>
  <c r="CK164" i="178"/>
  <c r="CL186" i="178"/>
  <c r="BT186" i="178"/>
  <c r="EZ186" i="178"/>
  <c r="BB186" i="178"/>
  <c r="CF186" i="178"/>
  <c r="BZ186" i="178"/>
  <c r="BH186" i="178"/>
  <c r="AP186" i="178"/>
  <c r="X186" i="178"/>
  <c r="AV186" i="178"/>
  <c r="DV186" i="178"/>
  <c r="BN186" i="178"/>
  <c r="AD186" i="178"/>
  <c r="GD186" i="178"/>
  <c r="CR186" i="178"/>
  <c r="AJ186" i="178"/>
  <c r="DX173" i="178"/>
  <c r="AF173" i="178"/>
  <c r="BP173" i="178"/>
  <c r="FB173" i="178"/>
  <c r="AL173" i="178"/>
  <c r="CN173" i="178"/>
  <c r="CH173" i="178"/>
  <c r="BJ173" i="178"/>
  <c r="BD173" i="178"/>
  <c r="Z173" i="178"/>
  <c r="GF173" i="178"/>
  <c r="BV173" i="178"/>
  <c r="AX173" i="178"/>
  <c r="AR173" i="178"/>
  <c r="CT173" i="178"/>
  <c r="CB173" i="178"/>
  <c r="BN190" i="178"/>
  <c r="GD190" i="178"/>
  <c r="EZ190" i="178"/>
  <c r="BH190" i="178"/>
  <c r="X190" i="178"/>
  <c r="CL190" i="178"/>
  <c r="AP190" i="178"/>
  <c r="AJ190" i="178"/>
  <c r="AV190" i="178"/>
  <c r="BT190" i="178"/>
  <c r="CR190" i="178"/>
  <c r="BZ190" i="178"/>
  <c r="BB190" i="178"/>
  <c r="DV190" i="178"/>
  <c r="CF190" i="178"/>
  <c r="AD190" i="178"/>
  <c r="GC187" i="178"/>
  <c r="AO187" i="178"/>
  <c r="BG187" i="178"/>
  <c r="DU187" i="178"/>
  <c r="CE187" i="178"/>
  <c r="BM187" i="178"/>
  <c r="CQ187" i="178"/>
  <c r="BS187" i="178"/>
  <c r="BA187" i="178"/>
  <c r="AI187" i="178"/>
  <c r="AU187" i="178"/>
  <c r="EY187" i="178"/>
  <c r="AC187" i="178"/>
  <c r="W187" i="178"/>
  <c r="BY187" i="178"/>
  <c r="CK187" i="178"/>
  <c r="BC187" i="178"/>
  <c r="AQ187" i="178"/>
  <c r="AW187" i="178"/>
  <c r="AE187" i="178"/>
  <c r="BI187" i="178"/>
  <c r="Y187" i="178"/>
  <c r="DW187" i="178"/>
  <c r="CG187" i="178"/>
  <c r="BO187" i="178"/>
  <c r="GE187" i="178"/>
  <c r="CA187" i="178"/>
  <c r="FA187" i="178"/>
  <c r="AK187" i="178"/>
  <c r="CM187" i="178"/>
  <c r="CS187" i="178"/>
  <c r="BU187" i="178"/>
  <c r="CG194" i="178"/>
  <c r="CA194" i="178"/>
  <c r="BI194" i="178"/>
  <c r="AQ194" i="178"/>
  <c r="BU194" i="178"/>
  <c r="Y194" i="178"/>
  <c r="AW194" i="178"/>
  <c r="AE194" i="178"/>
  <c r="CS194" i="178"/>
  <c r="FA194" i="178"/>
  <c r="AK194" i="178"/>
  <c r="DW194" i="178"/>
  <c r="BO194" i="178"/>
  <c r="CM194" i="178"/>
  <c r="GE194" i="178"/>
  <c r="BC194" i="178"/>
  <c r="CA201" i="178"/>
  <c r="DW201" i="178"/>
  <c r="Y201" i="178"/>
  <c r="CG201" i="178"/>
  <c r="CM201" i="178"/>
  <c r="AW201" i="178"/>
  <c r="FA201" i="178"/>
  <c r="BO201" i="178"/>
  <c r="AQ201" i="178"/>
  <c r="BI201" i="178"/>
  <c r="GE201" i="178"/>
  <c r="BU201" i="178"/>
  <c r="AK201" i="178"/>
  <c r="CS201" i="178"/>
  <c r="BC201" i="178"/>
  <c r="AE201" i="178"/>
  <c r="AX201" i="178"/>
  <c r="CB201" i="178"/>
  <c r="AF201" i="178"/>
  <c r="BD201" i="178"/>
  <c r="GF201" i="178"/>
  <c r="AL201" i="178"/>
  <c r="Z201" i="178"/>
  <c r="BJ201" i="178"/>
  <c r="DX201" i="178"/>
  <c r="BV201" i="178"/>
  <c r="FB201" i="178"/>
  <c r="CT201" i="178"/>
  <c r="AR201" i="178"/>
  <c r="BP201" i="178"/>
  <c r="CN201" i="178"/>
  <c r="CH201" i="178"/>
  <c r="AX195" i="178"/>
  <c r="CT195" i="178"/>
  <c r="CB195" i="178"/>
  <c r="AF195" i="178"/>
  <c r="CN195" i="178"/>
  <c r="AR195" i="178"/>
  <c r="DX195" i="178"/>
  <c r="FB195" i="178"/>
  <c r="CH195" i="178"/>
  <c r="BJ195" i="178"/>
  <c r="Z195" i="178"/>
  <c r="BD195" i="178"/>
  <c r="BP195" i="178"/>
  <c r="GF195" i="178"/>
  <c r="BV195" i="178"/>
  <c r="AL195" i="178"/>
  <c r="BS207" i="178"/>
  <c r="GC207" i="178"/>
  <c r="AO207" i="178"/>
  <c r="CE207" i="178"/>
  <c r="BY207" i="178"/>
  <c r="BG207" i="178"/>
  <c r="EY207" i="178"/>
  <c r="CK207" i="178"/>
  <c r="AI207" i="178"/>
  <c r="AU207" i="178"/>
  <c r="DU207" i="178"/>
  <c r="AC207" i="178"/>
  <c r="BM207" i="178"/>
  <c r="W207" i="178"/>
  <c r="BA207" i="178"/>
  <c r="CQ207" i="178"/>
  <c r="FA210" i="178"/>
  <c r="CA210" i="178"/>
  <c r="CM210" i="178"/>
  <c r="CS210" i="178"/>
  <c r="GE210" i="178"/>
  <c r="Y210" i="178"/>
  <c r="BU210" i="178"/>
  <c r="BC210" i="178"/>
  <c r="AW210" i="178"/>
  <c r="BO210" i="178"/>
  <c r="CG210" i="178"/>
  <c r="DW210" i="178"/>
  <c r="BI210" i="178"/>
  <c r="AE210" i="178"/>
  <c r="AK210" i="178"/>
  <c r="AQ210" i="178"/>
  <c r="GB245" i="178"/>
  <c r="GB241" i="178"/>
  <c r="GB243" i="178"/>
  <c r="GB242" i="178"/>
  <c r="GB232" i="178"/>
  <c r="GB248" i="178" s="1"/>
  <c r="GB255" i="178"/>
  <c r="GB251" i="178"/>
  <c r="GB230" i="178"/>
  <c r="GB233" i="178"/>
  <c r="GB238" i="178"/>
  <c r="GB235" i="178"/>
  <c r="GB240" i="178"/>
  <c r="GB236" i="178"/>
  <c r="GB254" i="178"/>
  <c r="GB229" i="178"/>
  <c r="CH214" i="178"/>
  <c r="FB214" i="178"/>
  <c r="AL214" i="178"/>
  <c r="BV214" i="178"/>
  <c r="GF214" i="178"/>
  <c r="AR214" i="178"/>
  <c r="CB214" i="178"/>
  <c r="BJ214" i="178"/>
  <c r="CT214" i="178"/>
  <c r="BD214" i="178"/>
  <c r="Z214" i="178"/>
  <c r="DX214" i="178"/>
  <c r="AX214" i="178"/>
  <c r="CN214" i="178"/>
  <c r="AF214" i="178"/>
  <c r="BP214" i="178"/>
  <c r="FB215" i="178"/>
  <c r="AL215" i="178"/>
  <c r="BJ215" i="178"/>
  <c r="CT215" i="178"/>
  <c r="Z215" i="178"/>
  <c r="BP215" i="178"/>
  <c r="BV215" i="178"/>
  <c r="CN215" i="178"/>
  <c r="AF215" i="178"/>
  <c r="AR215" i="178"/>
  <c r="CH215" i="178"/>
  <c r="BD215" i="178"/>
  <c r="AX215" i="178"/>
  <c r="DX215" i="178"/>
  <c r="CB215" i="178"/>
  <c r="GF215" i="178"/>
  <c r="BD53" i="178"/>
  <c r="FB53" i="178"/>
  <c r="CB53" i="178"/>
  <c r="AR53" i="178"/>
  <c r="Z53" i="178"/>
  <c r="AX53" i="178"/>
  <c r="BP53" i="178"/>
  <c r="AF53" i="178"/>
  <c r="DX53" i="178"/>
  <c r="CH53" i="178"/>
  <c r="BJ53" i="178"/>
  <c r="CT53" i="178"/>
  <c r="GF53" i="178"/>
  <c r="CN53" i="178"/>
  <c r="BV53" i="178"/>
  <c r="AL53" i="178"/>
  <c r="N64" i="178"/>
  <c r="N66" i="178"/>
  <c r="N98" i="178"/>
  <c r="N81" i="178"/>
  <c r="N125" i="178"/>
  <c r="N154" i="178"/>
  <c r="N181" i="178"/>
  <c r="N172" i="178"/>
  <c r="N174" i="178"/>
  <c r="N207" i="178"/>
  <c r="N209" i="178"/>
  <c r="CN48" i="178"/>
  <c r="GF48" i="178"/>
  <c r="AR48" i="178"/>
  <c r="FB48" i="178"/>
  <c r="BV48" i="178"/>
  <c r="BD48" i="178"/>
  <c r="AL48" i="178"/>
  <c r="BP48" i="178"/>
  <c r="DX48" i="178"/>
  <c r="CH48" i="178"/>
  <c r="AX48" i="178"/>
  <c r="AF48" i="178"/>
  <c r="CT48" i="178"/>
  <c r="CB48" i="178"/>
  <c r="BJ48" i="178"/>
  <c r="Z48" i="178"/>
  <c r="BB79" i="178"/>
  <c r="EZ79" i="178"/>
  <c r="AJ79" i="178"/>
  <c r="BZ79" i="178"/>
  <c r="AV79" i="178"/>
  <c r="CF79" i="178"/>
  <c r="AD79" i="178"/>
  <c r="DV79" i="178"/>
  <c r="X79" i="178"/>
  <c r="CR79" i="178"/>
  <c r="BT79" i="178"/>
  <c r="BN79" i="178"/>
  <c r="AP79" i="178"/>
  <c r="GD79" i="178"/>
  <c r="BH79" i="178"/>
  <c r="CL79" i="178"/>
  <c r="GD67" i="178"/>
  <c r="AP67" i="178"/>
  <c r="BN67" i="178"/>
  <c r="BT67" i="178"/>
  <c r="BZ67" i="178"/>
  <c r="BH67" i="178"/>
  <c r="CR67" i="178"/>
  <c r="AJ67" i="178"/>
  <c r="BB67" i="178"/>
  <c r="EZ67" i="178"/>
  <c r="CL67" i="178"/>
  <c r="AV67" i="178"/>
  <c r="AD67" i="178"/>
  <c r="CF67" i="178"/>
  <c r="DV67" i="178"/>
  <c r="X67" i="178"/>
  <c r="BS59" i="178"/>
  <c r="GC59" i="178"/>
  <c r="AO59" i="178"/>
  <c r="CE59" i="178"/>
  <c r="BA59" i="178"/>
  <c r="CQ59" i="178"/>
  <c r="W59" i="178"/>
  <c r="BM59" i="178"/>
  <c r="BY59" i="178"/>
  <c r="AU59" i="178"/>
  <c r="BG59" i="178"/>
  <c r="DU59" i="178"/>
  <c r="AC59" i="178"/>
  <c r="AI59" i="178"/>
  <c r="EY59" i="178"/>
  <c r="CK59" i="178"/>
  <c r="BV102" i="178"/>
  <c r="CH102" i="178"/>
  <c r="BD102" i="178"/>
  <c r="CT102" i="178"/>
  <c r="Z102" i="178"/>
  <c r="AF102" i="178"/>
  <c r="GF102" i="178"/>
  <c r="AX102" i="178"/>
  <c r="CN102" i="178"/>
  <c r="BP102" i="178"/>
  <c r="FB102" i="178"/>
  <c r="AR102" i="178"/>
  <c r="BJ102" i="178"/>
  <c r="AL102" i="178"/>
  <c r="DX102" i="178"/>
  <c r="CB102" i="178"/>
  <c r="EZ68" i="178"/>
  <c r="AJ68" i="178"/>
  <c r="BH68" i="178"/>
  <c r="BN68" i="178"/>
  <c r="AV68" i="178"/>
  <c r="DV68" i="178"/>
  <c r="CF68" i="178"/>
  <c r="AP68" i="178"/>
  <c r="X68" i="178"/>
  <c r="BZ68" i="178"/>
  <c r="GD68" i="178"/>
  <c r="CR68" i="178"/>
  <c r="BT68" i="178"/>
  <c r="BB68" i="178"/>
  <c r="CL68" i="178"/>
  <c r="AD68" i="178"/>
  <c r="BD93" i="178"/>
  <c r="CB93" i="178"/>
  <c r="AL93" i="178"/>
  <c r="DX93" i="178"/>
  <c r="CH93" i="178"/>
  <c r="BP93" i="178"/>
  <c r="AX93" i="178"/>
  <c r="AF93" i="178"/>
  <c r="BJ93" i="178"/>
  <c r="AR93" i="178"/>
  <c r="Z93" i="178"/>
  <c r="FB93" i="178"/>
  <c r="CN93" i="178"/>
  <c r="BV93" i="178"/>
  <c r="GF93" i="178"/>
  <c r="CT93" i="178"/>
  <c r="BG119" i="178"/>
  <c r="CE119" i="178"/>
  <c r="CK119" i="178"/>
  <c r="DU119" i="178"/>
  <c r="W119" i="178"/>
  <c r="AO119" i="178"/>
  <c r="CQ119" i="178"/>
  <c r="BY119" i="178"/>
  <c r="GC119" i="178"/>
  <c r="BS119" i="178"/>
  <c r="EY119" i="178"/>
  <c r="AC119" i="178"/>
  <c r="BM119" i="178"/>
  <c r="AU119" i="178"/>
  <c r="BA119" i="178"/>
  <c r="AI119" i="178"/>
  <c r="BI97" i="178"/>
  <c r="CG97" i="178"/>
  <c r="AQ97" i="178"/>
  <c r="Y97" i="178"/>
  <c r="FA97" i="178"/>
  <c r="CM97" i="178"/>
  <c r="BU97" i="178"/>
  <c r="BC97" i="178"/>
  <c r="AK97" i="178"/>
  <c r="BO97" i="178"/>
  <c r="AW97" i="178"/>
  <c r="AE97" i="178"/>
  <c r="GE97" i="178"/>
  <c r="CS97" i="178"/>
  <c r="CA97" i="178"/>
  <c r="DW97" i="178"/>
  <c r="AW145" i="178"/>
  <c r="FA145" i="178"/>
  <c r="BI145" i="178"/>
  <c r="CM145" i="178"/>
  <c r="AQ145" i="178"/>
  <c r="BU145" i="178"/>
  <c r="DW145" i="178"/>
  <c r="Y145" i="178"/>
  <c r="BC145" i="178"/>
  <c r="GE145" i="178"/>
  <c r="AK145" i="178"/>
  <c r="BO145" i="178"/>
  <c r="CA145" i="178"/>
  <c r="AE145" i="178"/>
  <c r="CS145" i="178"/>
  <c r="CG145" i="178"/>
  <c r="CM155" i="178"/>
  <c r="DW155" i="178"/>
  <c r="AE155" i="178"/>
  <c r="GE155" i="178"/>
  <c r="AQ155" i="178"/>
  <c r="AW155" i="178"/>
  <c r="AK155" i="178"/>
  <c r="CA155" i="178"/>
  <c r="BC155" i="178"/>
  <c r="CS155" i="178"/>
  <c r="BU155" i="178"/>
  <c r="BO155" i="178"/>
  <c r="FA155" i="178"/>
  <c r="CG155" i="178"/>
  <c r="BI155" i="178"/>
  <c r="Y155" i="178"/>
  <c r="AV140" i="178"/>
  <c r="CR140" i="178"/>
  <c r="BN140" i="178"/>
  <c r="BH140" i="178"/>
  <c r="EZ140" i="178"/>
  <c r="CL140" i="178"/>
  <c r="BT140" i="178"/>
  <c r="BB140" i="178"/>
  <c r="AJ140" i="178"/>
  <c r="DV140" i="178"/>
  <c r="AD140" i="178"/>
  <c r="AP140" i="178"/>
  <c r="X140" i="178"/>
  <c r="GD140" i="178"/>
  <c r="BZ140" i="178"/>
  <c r="CF140" i="178"/>
  <c r="EY169" i="178"/>
  <c r="AI169" i="178"/>
  <c r="BY169" i="178"/>
  <c r="DU169" i="178"/>
  <c r="AO169" i="178"/>
  <c r="BS169" i="178"/>
  <c r="CE169" i="178"/>
  <c r="BG169" i="178"/>
  <c r="CQ169" i="178"/>
  <c r="BM169" i="178"/>
  <c r="AC169" i="178"/>
  <c r="CK169" i="178"/>
  <c r="BA169" i="178"/>
  <c r="W169" i="178"/>
  <c r="AU169" i="178"/>
  <c r="GC169" i="178"/>
  <c r="BI173" i="178"/>
  <c r="CS173" i="178"/>
  <c r="Y173" i="178"/>
  <c r="BO173" i="178"/>
  <c r="DW173" i="178"/>
  <c r="CG173" i="178"/>
  <c r="BU173" i="178"/>
  <c r="BC173" i="178"/>
  <c r="AQ173" i="178"/>
  <c r="FA173" i="178"/>
  <c r="AE173" i="178"/>
  <c r="AW173" i="178"/>
  <c r="AK173" i="178"/>
  <c r="CA173" i="178"/>
  <c r="GE173" i="178"/>
  <c r="CM173" i="178"/>
  <c r="BL243" i="178"/>
  <c r="BL242" i="178"/>
  <c r="BL254" i="178"/>
  <c r="BL232" i="178"/>
  <c r="BL248" i="178" s="1"/>
  <c r="BL245" i="178"/>
  <c r="BL241" i="178"/>
  <c r="BL251" i="178"/>
  <c r="BL238" i="178"/>
  <c r="BL236" i="178"/>
  <c r="BL240" i="178"/>
  <c r="BL235" i="178"/>
  <c r="BL230" i="178"/>
  <c r="BL255" i="178"/>
  <c r="BL233" i="178"/>
  <c r="BL229" i="178"/>
  <c r="BL35" i="178"/>
  <c r="V250" i="178"/>
  <c r="CG63" i="178"/>
  <c r="BU63" i="178"/>
  <c r="Y63" i="178"/>
  <c r="DW63" i="178"/>
  <c r="BC63" i="178"/>
  <c r="AK63" i="178"/>
  <c r="GE63" i="178"/>
  <c r="BO63" i="178"/>
  <c r="CS63" i="178"/>
  <c r="CA63" i="178"/>
  <c r="FA63" i="178"/>
  <c r="AE63" i="178"/>
  <c r="BI63" i="178"/>
  <c r="CM63" i="178"/>
  <c r="AQ63" i="178"/>
  <c r="AW63" i="178"/>
  <c r="CG55" i="178"/>
  <c r="BC55" i="178"/>
  <c r="BO55" i="178"/>
  <c r="FA55" i="178"/>
  <c r="AK55" i="178"/>
  <c r="CA55" i="178"/>
  <c r="CM55" i="178"/>
  <c r="GE55" i="178"/>
  <c r="Y55" i="178"/>
  <c r="AW55" i="178"/>
  <c r="AQ55" i="178"/>
  <c r="BU55" i="178"/>
  <c r="DW55" i="178"/>
  <c r="CS55" i="178"/>
  <c r="BI55" i="178"/>
  <c r="AE55" i="178"/>
  <c r="EY52" i="178"/>
  <c r="AI52" i="178"/>
  <c r="BG52" i="178"/>
  <c r="W52" i="178"/>
  <c r="CE52" i="178"/>
  <c r="CK52" i="178"/>
  <c r="BS52" i="178"/>
  <c r="BA52" i="178"/>
  <c r="DU52" i="178"/>
  <c r="BM52" i="178"/>
  <c r="AU52" i="178"/>
  <c r="AC52" i="178"/>
  <c r="GC52" i="178"/>
  <c r="CQ52" i="178"/>
  <c r="BY52" i="178"/>
  <c r="AO52" i="178"/>
  <c r="CH69" i="178"/>
  <c r="FB69" i="178"/>
  <c r="AL69" i="178"/>
  <c r="GF69" i="178"/>
  <c r="AR69" i="178"/>
  <c r="CN69" i="178"/>
  <c r="BV69" i="178"/>
  <c r="AX69" i="178"/>
  <c r="AF69" i="178"/>
  <c r="BP69" i="178"/>
  <c r="CB69" i="178"/>
  <c r="BJ69" i="178"/>
  <c r="CT69" i="178"/>
  <c r="BD69" i="178"/>
  <c r="DX69" i="178"/>
  <c r="Z69" i="178"/>
  <c r="BD57" i="178"/>
  <c r="CT57" i="178"/>
  <c r="Z57" i="178"/>
  <c r="BP57" i="178"/>
  <c r="FB57" i="178"/>
  <c r="AL57" i="178"/>
  <c r="CB57" i="178"/>
  <c r="AX57" i="178"/>
  <c r="BJ57" i="178"/>
  <c r="DX57" i="178"/>
  <c r="AF57" i="178"/>
  <c r="CH57" i="178"/>
  <c r="GF57" i="178"/>
  <c r="AR57" i="178"/>
  <c r="CN57" i="178"/>
  <c r="BV57" i="178"/>
  <c r="CS82" i="178"/>
  <c r="Y82" i="178"/>
  <c r="BO82" i="178"/>
  <c r="FA82" i="178"/>
  <c r="AK82" i="178"/>
  <c r="CA82" i="178"/>
  <c r="AW82" i="178"/>
  <c r="CM82" i="178"/>
  <c r="DW82" i="178"/>
  <c r="AE82" i="178"/>
  <c r="BU82" i="178"/>
  <c r="BC82" i="178"/>
  <c r="BI82" i="178"/>
  <c r="CG82" i="178"/>
  <c r="GE82" i="178"/>
  <c r="AQ82" i="178"/>
  <c r="BN85" i="178"/>
  <c r="EZ85" i="178"/>
  <c r="AJ85" i="178"/>
  <c r="BZ85" i="178"/>
  <c r="AV85" i="178"/>
  <c r="CL85" i="178"/>
  <c r="BH85" i="178"/>
  <c r="BT85" i="178"/>
  <c r="GD85" i="178"/>
  <c r="AP85" i="178"/>
  <c r="BB85" i="178"/>
  <c r="CR85" i="178"/>
  <c r="X85" i="178"/>
  <c r="AD85" i="178"/>
  <c r="DV85" i="178"/>
  <c r="CF85" i="178"/>
  <c r="CS87" i="178"/>
  <c r="Y87" i="178"/>
  <c r="BO87" i="178"/>
  <c r="FA87" i="178"/>
  <c r="AK87" i="178"/>
  <c r="CA87" i="178"/>
  <c r="AW87" i="178"/>
  <c r="CM87" i="178"/>
  <c r="DW87" i="178"/>
  <c r="AE87" i="178"/>
  <c r="BU87" i="178"/>
  <c r="GE87" i="178"/>
  <c r="AQ87" i="178"/>
  <c r="CG87" i="178"/>
  <c r="BC87" i="178"/>
  <c r="BI87" i="178"/>
  <c r="CN54" i="178"/>
  <c r="BV54" i="178"/>
  <c r="GF54" i="178"/>
  <c r="AR54" i="178"/>
  <c r="CH54" i="178"/>
  <c r="FB54" i="178"/>
  <c r="BJ54" i="178"/>
  <c r="DX54" i="178"/>
  <c r="AL54" i="178"/>
  <c r="CB54" i="178"/>
  <c r="BD54" i="178"/>
  <c r="CT54" i="178"/>
  <c r="AF54" i="178"/>
  <c r="AX54" i="178"/>
  <c r="Z54" i="178"/>
  <c r="BP54" i="178"/>
  <c r="AW54" i="178"/>
  <c r="DW54" i="178"/>
  <c r="AE54" i="178"/>
  <c r="BU54" i="178"/>
  <c r="GE54" i="178"/>
  <c r="AQ54" i="178"/>
  <c r="CG54" i="178"/>
  <c r="FA54" i="178"/>
  <c r="BI54" i="178"/>
  <c r="AK54" i="178"/>
  <c r="CS54" i="178"/>
  <c r="CA54" i="178"/>
  <c r="BC54" i="178"/>
  <c r="CM54" i="178"/>
  <c r="Y54" i="178"/>
  <c r="BO54" i="178"/>
  <c r="CG57" i="178"/>
  <c r="BC57" i="178"/>
  <c r="CS57" i="178"/>
  <c r="Y57" i="178"/>
  <c r="BO57" i="178"/>
  <c r="FA57" i="178"/>
  <c r="AK57" i="178"/>
  <c r="CA57" i="178"/>
  <c r="CM57" i="178"/>
  <c r="BI57" i="178"/>
  <c r="GE57" i="178"/>
  <c r="AQ57" i="178"/>
  <c r="AW57" i="178"/>
  <c r="DW57" i="178"/>
  <c r="AE57" i="178"/>
  <c r="BU57" i="178"/>
  <c r="BG71" i="178"/>
  <c r="CE71" i="178"/>
  <c r="CK71" i="178"/>
  <c r="BM71" i="178"/>
  <c r="DU71" i="178"/>
  <c r="AC71" i="178"/>
  <c r="AU71" i="178"/>
  <c r="BS71" i="178"/>
  <c r="EY71" i="178"/>
  <c r="BA71" i="178"/>
  <c r="AI71" i="178"/>
  <c r="BY71" i="178"/>
  <c r="CQ71" i="178"/>
  <c r="AO71" i="178"/>
  <c r="GC71" i="178"/>
  <c r="W71" i="178"/>
  <c r="CF74" i="178"/>
  <c r="EZ74" i="178"/>
  <c r="AJ74" i="178"/>
  <c r="GD74" i="178"/>
  <c r="AP74" i="178"/>
  <c r="AV74" i="178"/>
  <c r="AD74" i="178"/>
  <c r="BN74" i="178"/>
  <c r="DV74" i="178"/>
  <c r="X74" i="178"/>
  <c r="CR74" i="178"/>
  <c r="BB74" i="178"/>
  <c r="CL74" i="178"/>
  <c r="BT74" i="178"/>
  <c r="BZ74" i="178"/>
  <c r="BH74" i="178"/>
  <c r="BD59" i="178"/>
  <c r="CT59" i="178"/>
  <c r="Z59" i="178"/>
  <c r="BP59" i="178"/>
  <c r="FB59" i="178"/>
  <c r="AL59" i="178"/>
  <c r="CB59" i="178"/>
  <c r="AX59" i="178"/>
  <c r="BJ59" i="178"/>
  <c r="DX59" i="178"/>
  <c r="AF59" i="178"/>
  <c r="AR59" i="178"/>
  <c r="GF59" i="178"/>
  <c r="CH59" i="178"/>
  <c r="BV59" i="178"/>
  <c r="CN59" i="178"/>
  <c r="GD61" i="178"/>
  <c r="AP61" i="178"/>
  <c r="DV61" i="178"/>
  <c r="BB61" i="178"/>
  <c r="CF61" i="178"/>
  <c r="AJ61" i="178"/>
  <c r="BN61" i="178"/>
  <c r="CR61" i="178"/>
  <c r="AV61" i="178"/>
  <c r="EZ61" i="178"/>
  <c r="AD61" i="178"/>
  <c r="BH61" i="178"/>
  <c r="BT61" i="178"/>
  <c r="X61" i="178"/>
  <c r="CL61" i="178"/>
  <c r="BZ61" i="178"/>
  <c r="CL97" i="178"/>
  <c r="GD97" i="178"/>
  <c r="AP97" i="178"/>
  <c r="BZ97" i="178"/>
  <c r="BH97" i="178"/>
  <c r="X97" i="178"/>
  <c r="EZ97" i="178"/>
  <c r="BT97" i="178"/>
  <c r="BB97" i="178"/>
  <c r="AJ97" i="178"/>
  <c r="DV97" i="178"/>
  <c r="CF97" i="178"/>
  <c r="BN97" i="178"/>
  <c r="AV97" i="178"/>
  <c r="AD97" i="178"/>
  <c r="CR97" i="178"/>
  <c r="CG67" i="178"/>
  <c r="FA67" i="178"/>
  <c r="AK67" i="178"/>
  <c r="GE67" i="178"/>
  <c r="AQ67" i="178"/>
  <c r="CS67" i="178"/>
  <c r="BC67" i="178"/>
  <c r="CM67" i="178"/>
  <c r="BU67" i="178"/>
  <c r="BO67" i="178"/>
  <c r="DW67" i="178"/>
  <c r="Y67" i="178"/>
  <c r="CA67" i="178"/>
  <c r="BI67" i="178"/>
  <c r="AW67" i="178"/>
  <c r="AE67" i="178"/>
  <c r="BS47" i="178"/>
  <c r="CQ47" i="178"/>
  <c r="W47" i="178"/>
  <c r="DU47" i="178"/>
  <c r="CE47" i="178"/>
  <c r="BM47" i="178"/>
  <c r="AU47" i="178"/>
  <c r="AC47" i="178"/>
  <c r="GC47" i="178"/>
  <c r="BY47" i="178"/>
  <c r="BG47" i="178"/>
  <c r="AO47" i="178"/>
  <c r="EY47" i="178"/>
  <c r="CK47" i="178"/>
  <c r="BA47" i="178"/>
  <c r="AI47" i="178"/>
  <c r="DW78" i="178"/>
  <c r="AE78" i="178"/>
  <c r="BC78" i="178"/>
  <c r="BI78" i="178"/>
  <c r="CS78" i="178"/>
  <c r="CA78" i="178"/>
  <c r="GE78" i="178"/>
  <c r="AK78" i="178"/>
  <c r="BU78" i="178"/>
  <c r="BO78" i="178"/>
  <c r="AW78" i="178"/>
  <c r="CG78" i="178"/>
  <c r="Y78" i="178"/>
  <c r="AQ78" i="178"/>
  <c r="CM78" i="178"/>
  <c r="FA78" i="178"/>
  <c r="CQ101" i="178"/>
  <c r="W101" i="178"/>
  <c r="EY101" i="178"/>
  <c r="AU101" i="178"/>
  <c r="BY101" i="178"/>
  <c r="BG101" i="178"/>
  <c r="AO101" i="178"/>
  <c r="GC101" i="178"/>
  <c r="CK101" i="178"/>
  <c r="BA101" i="178"/>
  <c r="AI101" i="178"/>
  <c r="CE101" i="178"/>
  <c r="BM101" i="178"/>
  <c r="DU101" i="178"/>
  <c r="AC101" i="178"/>
  <c r="BS101" i="178"/>
  <c r="CR96" i="178"/>
  <c r="X96" i="178"/>
  <c r="AV96" i="178"/>
  <c r="GD96" i="178"/>
  <c r="BZ96" i="178"/>
  <c r="BH96" i="178"/>
  <c r="AP96" i="178"/>
  <c r="EZ96" i="178"/>
  <c r="CL96" i="178"/>
  <c r="BB96" i="178"/>
  <c r="AJ96" i="178"/>
  <c r="DV96" i="178"/>
  <c r="CF96" i="178"/>
  <c r="BN96" i="178"/>
  <c r="AD96" i="178"/>
  <c r="BT96" i="178"/>
  <c r="BP87" i="178"/>
  <c r="FB87" i="178"/>
  <c r="AL87" i="178"/>
  <c r="CB87" i="178"/>
  <c r="AX87" i="178"/>
  <c r="CN87" i="178"/>
  <c r="BJ87" i="178"/>
  <c r="BV87" i="178"/>
  <c r="GF87" i="178"/>
  <c r="AR87" i="178"/>
  <c r="CH87" i="178"/>
  <c r="BD87" i="178"/>
  <c r="CT87" i="178"/>
  <c r="Z87" i="178"/>
  <c r="AF87" i="178"/>
  <c r="DX87" i="178"/>
  <c r="BC109" i="178"/>
  <c r="DW109" i="178"/>
  <c r="BU109" i="178"/>
  <c r="Y109" i="178"/>
  <c r="CG109" i="178"/>
  <c r="GE109" i="178"/>
  <c r="AK109" i="178"/>
  <c r="CS109" i="178"/>
  <c r="BO109" i="178"/>
  <c r="FA109" i="178"/>
  <c r="CA109" i="178"/>
  <c r="AE109" i="178"/>
  <c r="CM109" i="178"/>
  <c r="BI109" i="178"/>
  <c r="AQ109" i="178"/>
  <c r="AW109" i="178"/>
  <c r="BY104" i="178"/>
  <c r="CK104" i="178"/>
  <c r="BG104" i="178"/>
  <c r="DU104" i="178"/>
  <c r="AC104" i="178"/>
  <c r="EY104" i="178"/>
  <c r="AI104" i="178"/>
  <c r="AO104" i="178"/>
  <c r="GC104" i="178"/>
  <c r="BM104" i="178"/>
  <c r="CE104" i="178"/>
  <c r="BA104" i="178"/>
  <c r="BS104" i="178"/>
  <c r="AU104" i="178"/>
  <c r="W104" i="178"/>
  <c r="CQ104" i="178"/>
  <c r="CK108" i="178"/>
  <c r="W108" i="178"/>
  <c r="CE108" i="178"/>
  <c r="BA108" i="178"/>
  <c r="GC108" i="178"/>
  <c r="BM108" i="178"/>
  <c r="AI108" i="178"/>
  <c r="CQ108" i="178"/>
  <c r="EY108" i="178"/>
  <c r="AC108" i="178"/>
  <c r="BG108" i="178"/>
  <c r="DU108" i="178"/>
  <c r="AU108" i="178"/>
  <c r="BS108" i="178"/>
  <c r="AO108" i="178"/>
  <c r="BY108" i="178"/>
  <c r="CA94" i="178"/>
  <c r="DW94" i="178"/>
  <c r="AE94" i="178"/>
  <c r="CG94" i="178"/>
  <c r="BO94" i="178"/>
  <c r="AW94" i="178"/>
  <c r="GE94" i="178"/>
  <c r="CS94" i="178"/>
  <c r="Y94" i="178"/>
  <c r="FA94" i="178"/>
  <c r="CM94" i="178"/>
  <c r="BU94" i="178"/>
  <c r="BC94" i="178"/>
  <c r="AK94" i="178"/>
  <c r="BI94" i="178"/>
  <c r="AQ94" i="178"/>
  <c r="GD117" i="178"/>
  <c r="AP117" i="178"/>
  <c r="BN117" i="178"/>
  <c r="AD117" i="178"/>
  <c r="CR117" i="178"/>
  <c r="BZ117" i="178"/>
  <c r="BH117" i="178"/>
  <c r="X117" i="178"/>
  <c r="EZ117" i="178"/>
  <c r="BT117" i="178"/>
  <c r="BB117" i="178"/>
  <c r="AJ117" i="178"/>
  <c r="DV117" i="178"/>
  <c r="CF117" i="178"/>
  <c r="AV117" i="178"/>
  <c r="CL117" i="178"/>
  <c r="CA123" i="178"/>
  <c r="DW123" i="178"/>
  <c r="AE123" i="178"/>
  <c r="FA123" i="178"/>
  <c r="AK123" i="178"/>
  <c r="AW123" i="178"/>
  <c r="CG123" i="178"/>
  <c r="BO123" i="178"/>
  <c r="AQ123" i="178"/>
  <c r="Y123" i="178"/>
  <c r="BI123" i="178"/>
  <c r="GE123" i="178"/>
  <c r="CS123" i="178"/>
  <c r="BU123" i="178"/>
  <c r="BC123" i="178"/>
  <c r="CM123" i="178"/>
  <c r="AX118" i="178"/>
  <c r="BV118" i="178"/>
  <c r="Z118" i="178"/>
  <c r="FB118" i="178"/>
  <c r="CN118" i="178"/>
  <c r="BD118" i="178"/>
  <c r="AL118" i="178"/>
  <c r="BP118" i="178"/>
  <c r="AF118" i="178"/>
  <c r="GF118" i="178"/>
  <c r="CT118" i="178"/>
  <c r="CB118" i="178"/>
  <c r="BJ118" i="178"/>
  <c r="AR118" i="178"/>
  <c r="CH118" i="178"/>
  <c r="DX118" i="178"/>
  <c r="BM107" i="178"/>
  <c r="GC107" i="178"/>
  <c r="CQ107" i="178"/>
  <c r="AU107" i="178"/>
  <c r="BY107" i="178"/>
  <c r="EY107" i="178"/>
  <c r="AC107" i="178"/>
  <c r="BG107" i="178"/>
  <c r="AO107" i="178"/>
  <c r="BS107" i="178"/>
  <c r="CE107" i="178"/>
  <c r="AI107" i="178"/>
  <c r="BA107" i="178"/>
  <c r="CK107" i="178"/>
  <c r="W107" i="178"/>
  <c r="DU107" i="178"/>
  <c r="CG122" i="178"/>
  <c r="FA122" i="178"/>
  <c r="AK122" i="178"/>
  <c r="GE122" i="178"/>
  <c r="AQ122" i="178"/>
  <c r="CA122" i="178"/>
  <c r="BI122" i="178"/>
  <c r="CS122" i="178"/>
  <c r="BC122" i="178"/>
  <c r="CM122" i="178"/>
  <c r="BU122" i="178"/>
  <c r="AW122" i="178"/>
  <c r="AE122" i="178"/>
  <c r="BO122" i="178"/>
  <c r="DW122" i="178"/>
  <c r="Y122" i="178"/>
  <c r="AX113" i="178"/>
  <c r="CT113" i="178"/>
  <c r="FB113" i="178"/>
  <c r="CB113" i="178"/>
  <c r="BJ113" i="178"/>
  <c r="AF113" i="178"/>
  <c r="CN113" i="178"/>
  <c r="AR113" i="178"/>
  <c r="DX113" i="178"/>
  <c r="BD113" i="178"/>
  <c r="Z113" i="178"/>
  <c r="GF113" i="178"/>
  <c r="CH113" i="178"/>
  <c r="AL113" i="178"/>
  <c r="BP113" i="178"/>
  <c r="BV113" i="178"/>
  <c r="BC112" i="178"/>
  <c r="AW112" i="178"/>
  <c r="FA112" i="178"/>
  <c r="CA112" i="178"/>
  <c r="AE112" i="178"/>
  <c r="CM112" i="178"/>
  <c r="BI112" i="178"/>
  <c r="AQ112" i="178"/>
  <c r="CG112" i="178"/>
  <c r="GE112" i="178"/>
  <c r="AK112" i="178"/>
  <c r="CS112" i="178"/>
  <c r="BO112" i="178"/>
  <c r="DW112" i="178"/>
  <c r="Y112" i="178"/>
  <c r="BU112" i="178"/>
  <c r="DX130" i="178"/>
  <c r="GF130" i="178"/>
  <c r="CH130" i="178"/>
  <c r="BD130" i="178"/>
  <c r="CT130" i="178"/>
  <c r="Z130" i="178"/>
  <c r="BP130" i="178"/>
  <c r="AL130" i="178"/>
  <c r="FB130" i="178"/>
  <c r="CB130" i="178"/>
  <c r="CN130" i="178"/>
  <c r="BJ130" i="178"/>
  <c r="AR130" i="178"/>
  <c r="BV130" i="178"/>
  <c r="AF130" i="178"/>
  <c r="AX130" i="178"/>
  <c r="EZ123" i="178"/>
  <c r="AJ123" i="178"/>
  <c r="BH123" i="178"/>
  <c r="BN123" i="178"/>
  <c r="AD123" i="178"/>
  <c r="AV123" i="178"/>
  <c r="DV123" i="178"/>
  <c r="CF123" i="178"/>
  <c r="AP123" i="178"/>
  <c r="X123" i="178"/>
  <c r="GD123" i="178"/>
  <c r="CR123" i="178"/>
  <c r="BT123" i="178"/>
  <c r="BB123" i="178"/>
  <c r="CL123" i="178"/>
  <c r="BZ123" i="178"/>
  <c r="CH141" i="178"/>
  <c r="CT141" i="178"/>
  <c r="BJ141" i="178"/>
  <c r="AF141" i="178"/>
  <c r="FB141" i="178"/>
  <c r="CN141" i="178"/>
  <c r="BV141" i="178"/>
  <c r="BD141" i="178"/>
  <c r="AL141" i="178"/>
  <c r="BP141" i="178"/>
  <c r="AX141" i="178"/>
  <c r="DX141" i="178"/>
  <c r="GF141" i="178"/>
  <c r="CB141" i="178"/>
  <c r="AR141" i="178"/>
  <c r="Z141" i="178"/>
  <c r="EZ136" i="178"/>
  <c r="AJ136" i="178"/>
  <c r="BH136" i="178"/>
  <c r="CF136" i="178"/>
  <c r="GD136" i="178"/>
  <c r="BN136" i="178"/>
  <c r="AV136" i="178"/>
  <c r="AD136" i="178"/>
  <c r="CR136" i="178"/>
  <c r="BZ136" i="178"/>
  <c r="CL136" i="178"/>
  <c r="X136" i="178"/>
  <c r="BT136" i="178"/>
  <c r="BB136" i="178"/>
  <c r="DV136" i="178"/>
  <c r="AP136" i="178"/>
  <c r="GD159" i="178"/>
  <c r="AP159" i="178"/>
  <c r="CF159" i="178"/>
  <c r="BB159" i="178"/>
  <c r="CR159" i="178"/>
  <c r="X159" i="178"/>
  <c r="BN159" i="178"/>
  <c r="EZ159" i="178"/>
  <c r="AJ159" i="178"/>
  <c r="AV159" i="178"/>
  <c r="CL159" i="178"/>
  <c r="BH159" i="178"/>
  <c r="BT159" i="178"/>
  <c r="BZ159" i="178"/>
  <c r="AD159" i="178"/>
  <c r="DV159" i="178"/>
  <c r="DU146" i="178"/>
  <c r="AC146" i="178"/>
  <c r="BA146" i="178"/>
  <c r="BG146" i="178"/>
  <c r="CQ146" i="178"/>
  <c r="BY146" i="178"/>
  <c r="GC146" i="178"/>
  <c r="AI146" i="178"/>
  <c r="BS146" i="178"/>
  <c r="BM146" i="178"/>
  <c r="AU146" i="178"/>
  <c r="AO146" i="178"/>
  <c r="W146" i="178"/>
  <c r="EY146" i="178"/>
  <c r="CK146" i="178"/>
  <c r="CE146" i="178"/>
  <c r="CH146" i="178"/>
  <c r="FB146" i="178"/>
  <c r="AL146" i="178"/>
  <c r="GF146" i="178"/>
  <c r="AR146" i="178"/>
  <c r="BD146" i="178"/>
  <c r="CN146" i="178"/>
  <c r="BV146" i="178"/>
  <c r="AX146" i="178"/>
  <c r="AF146" i="178"/>
  <c r="DX146" i="178"/>
  <c r="Z146" i="178"/>
  <c r="CB146" i="178"/>
  <c r="BJ146" i="178"/>
  <c r="CT146" i="178"/>
  <c r="BP146" i="178"/>
  <c r="DX158" i="178"/>
  <c r="AF158" i="178"/>
  <c r="BV158" i="178"/>
  <c r="GF158" i="178"/>
  <c r="AR158" i="178"/>
  <c r="CH158" i="178"/>
  <c r="BD158" i="178"/>
  <c r="CT158" i="178"/>
  <c r="Z158" i="178"/>
  <c r="FB158" i="178"/>
  <c r="BJ158" i="178"/>
  <c r="AL158" i="178"/>
  <c r="BP158" i="178"/>
  <c r="CN158" i="178"/>
  <c r="AX158" i="178"/>
  <c r="CB158" i="178"/>
  <c r="BM160" i="178"/>
  <c r="CE160" i="178"/>
  <c r="GC160" i="178"/>
  <c r="AI160" i="178"/>
  <c r="CQ160" i="178"/>
  <c r="AU160" i="178"/>
  <c r="BY160" i="178"/>
  <c r="EY160" i="178"/>
  <c r="CK160" i="178"/>
  <c r="AO160" i="178"/>
  <c r="BS160" i="178"/>
  <c r="BA160" i="178"/>
  <c r="W160" i="178"/>
  <c r="DU160" i="178"/>
  <c r="BG160" i="178"/>
  <c r="AC160" i="178"/>
  <c r="BU161" i="178"/>
  <c r="CG161" i="178"/>
  <c r="GE161" i="178"/>
  <c r="AK161" i="178"/>
  <c r="BO161" i="178"/>
  <c r="CS161" i="178"/>
  <c r="AW161" i="178"/>
  <c r="CA161" i="178"/>
  <c r="BI161" i="178"/>
  <c r="CM161" i="178"/>
  <c r="AQ161" i="178"/>
  <c r="DW161" i="178"/>
  <c r="BC161" i="178"/>
  <c r="FA161" i="178"/>
  <c r="AE161" i="178"/>
  <c r="Y161" i="178"/>
  <c r="FA190" i="178"/>
  <c r="AK190" i="178"/>
  <c r="BO190" i="178"/>
  <c r="BI190" i="178"/>
  <c r="CA190" i="178"/>
  <c r="AQ190" i="178"/>
  <c r="CM190" i="178"/>
  <c r="BU190" i="178"/>
  <c r="BC190" i="178"/>
  <c r="CG190" i="178"/>
  <c r="CS190" i="178"/>
  <c r="Y190" i="178"/>
  <c r="AE190" i="178"/>
  <c r="DW190" i="178"/>
  <c r="AW190" i="178"/>
  <c r="GE190" i="178"/>
  <c r="BY163" i="178"/>
  <c r="AC163" i="178"/>
  <c r="EY163" i="178"/>
  <c r="BG163" i="178"/>
  <c r="CK163" i="178"/>
  <c r="AO163" i="178"/>
  <c r="BS163" i="178"/>
  <c r="DU163" i="178"/>
  <c r="W163" i="178"/>
  <c r="CE163" i="178"/>
  <c r="GC163" i="178"/>
  <c r="AI163" i="178"/>
  <c r="BM163" i="178"/>
  <c r="CQ163" i="178"/>
  <c r="AU163" i="178"/>
  <c r="BA163" i="178"/>
  <c r="BS166" i="178"/>
  <c r="EY166" i="178"/>
  <c r="AI166" i="178"/>
  <c r="CK166" i="178"/>
  <c r="CE166" i="178"/>
  <c r="BA166" i="178"/>
  <c r="BM166" i="178"/>
  <c r="AU166" i="178"/>
  <c r="AC166" i="178"/>
  <c r="DU166" i="178"/>
  <c r="BY166" i="178"/>
  <c r="BG166" i="178"/>
  <c r="AO166" i="178"/>
  <c r="W166" i="178"/>
  <c r="GC166" i="178"/>
  <c r="CQ166" i="178"/>
  <c r="BD207" i="178"/>
  <c r="CT207" i="178"/>
  <c r="Z207" i="178"/>
  <c r="BP207" i="178"/>
  <c r="DX207" i="178"/>
  <c r="CH207" i="178"/>
  <c r="AF207" i="178"/>
  <c r="CB207" i="178"/>
  <c r="BJ207" i="178"/>
  <c r="GF207" i="178"/>
  <c r="AR207" i="178"/>
  <c r="CN207" i="178"/>
  <c r="FB207" i="178"/>
  <c r="BV207" i="178"/>
  <c r="AX207" i="178"/>
  <c r="AL207" i="178"/>
  <c r="BI165" i="178"/>
  <c r="BU165" i="178"/>
  <c r="CM165" i="178"/>
  <c r="BC165" i="178"/>
  <c r="AK165" i="178"/>
  <c r="DW165" i="178"/>
  <c r="CG165" i="178"/>
  <c r="BO165" i="178"/>
  <c r="AW165" i="178"/>
  <c r="AE165" i="178"/>
  <c r="CS165" i="178"/>
  <c r="CA165" i="178"/>
  <c r="AQ165" i="178"/>
  <c r="Y165" i="178"/>
  <c r="FA165" i="178"/>
  <c r="GE165" i="178"/>
  <c r="GD200" i="178"/>
  <c r="EZ200" i="178"/>
  <c r="BZ200" i="178"/>
  <c r="AP200" i="178"/>
  <c r="BB200" i="178"/>
  <c r="AJ200" i="178"/>
  <c r="CL200" i="178"/>
  <c r="BT200" i="178"/>
  <c r="AV200" i="178"/>
  <c r="AD200" i="178"/>
  <c r="BN200" i="178"/>
  <c r="BH200" i="178"/>
  <c r="CR200" i="178"/>
  <c r="CF200" i="178"/>
  <c r="DV200" i="178"/>
  <c r="X200" i="178"/>
  <c r="CN169" i="178"/>
  <c r="BJ169" i="178"/>
  <c r="AX169" i="178"/>
  <c r="GF169" i="178"/>
  <c r="FB169" i="178"/>
  <c r="BV169" i="178"/>
  <c r="DX169" i="178"/>
  <c r="AL169" i="178"/>
  <c r="CB169" i="178"/>
  <c r="BD169" i="178"/>
  <c r="AF169" i="178"/>
  <c r="AR169" i="178"/>
  <c r="CT169" i="178"/>
  <c r="BP169" i="178"/>
  <c r="Z169" i="178"/>
  <c r="CH169" i="178"/>
  <c r="EY188" i="178"/>
  <c r="AI188" i="178"/>
  <c r="AC188" i="178"/>
  <c r="BA188" i="178"/>
  <c r="CQ188" i="178"/>
  <c r="AU188" i="178"/>
  <c r="GC188" i="178"/>
  <c r="BS188" i="178"/>
  <c r="CK188" i="178"/>
  <c r="BM188" i="178"/>
  <c r="W188" i="178"/>
  <c r="CE188" i="178"/>
  <c r="AO188" i="178"/>
  <c r="BG188" i="178"/>
  <c r="DU188" i="178"/>
  <c r="BY188" i="178"/>
  <c r="BG196" i="178"/>
  <c r="EY196" i="178"/>
  <c r="AI196" i="178"/>
  <c r="AO196" i="178"/>
  <c r="BA196" i="178"/>
  <c r="BY196" i="178"/>
  <c r="CK196" i="178"/>
  <c r="AC196" i="178"/>
  <c r="BM196" i="178"/>
  <c r="W196" i="178"/>
  <c r="AU196" i="178"/>
  <c r="GC196" i="178"/>
  <c r="BS196" i="178"/>
  <c r="DU196" i="178"/>
  <c r="CE196" i="178"/>
  <c r="CQ196" i="178"/>
  <c r="BB192" i="178"/>
  <c r="AP192" i="178"/>
  <c r="CF192" i="178"/>
  <c r="AJ192" i="178"/>
  <c r="X192" i="178"/>
  <c r="BT192" i="178"/>
  <c r="BN192" i="178"/>
  <c r="AV192" i="178"/>
  <c r="AD192" i="178"/>
  <c r="CR192" i="178"/>
  <c r="CL192" i="178"/>
  <c r="BH192" i="178"/>
  <c r="DV192" i="178"/>
  <c r="BZ192" i="178"/>
  <c r="GD192" i="178"/>
  <c r="EZ192" i="178"/>
  <c r="CR205" i="178"/>
  <c r="X205" i="178"/>
  <c r="BN205" i="178"/>
  <c r="EZ205" i="178"/>
  <c r="AJ205" i="178"/>
  <c r="DV205" i="178"/>
  <c r="CF205" i="178"/>
  <c r="AV205" i="178"/>
  <c r="AD205" i="178"/>
  <c r="BT205" i="178"/>
  <c r="BB205" i="178"/>
  <c r="GD205" i="178"/>
  <c r="BZ205" i="178"/>
  <c r="BH205" i="178"/>
  <c r="AP205" i="178"/>
  <c r="CL205" i="178"/>
  <c r="AW200" i="178"/>
  <c r="CG200" i="178"/>
  <c r="CS200" i="178"/>
  <c r="Y200" i="178"/>
  <c r="GE200" i="178"/>
  <c r="BC200" i="178"/>
  <c r="BO200" i="178"/>
  <c r="AE200" i="178"/>
  <c r="DW200" i="178"/>
  <c r="AK200" i="178"/>
  <c r="CA200" i="178"/>
  <c r="FA200" i="178"/>
  <c r="BI200" i="178"/>
  <c r="AQ200" i="178"/>
  <c r="CM200" i="178"/>
  <c r="BU200" i="178"/>
  <c r="CT209" i="178"/>
  <c r="FB209" i="178"/>
  <c r="CB209" i="178"/>
  <c r="AF209" i="178"/>
  <c r="BJ209" i="178"/>
  <c r="DX209" i="178"/>
  <c r="CH209" i="178"/>
  <c r="AR209" i="178"/>
  <c r="Z209" i="178"/>
  <c r="AL209" i="178"/>
  <c r="GF209" i="178"/>
  <c r="AX209" i="178"/>
  <c r="BV209" i="178"/>
  <c r="CN209" i="178"/>
  <c r="BP209" i="178"/>
  <c r="BD209" i="178"/>
  <c r="CD251" i="178"/>
  <c r="CD243" i="178"/>
  <c r="CD242" i="178"/>
  <c r="CD254" i="178"/>
  <c r="CD233" i="178"/>
  <c r="CD235" i="178"/>
  <c r="CD255" i="178"/>
  <c r="CD230" i="178"/>
  <c r="CD245" i="178"/>
  <c r="CD238" i="178"/>
  <c r="CD232" i="178"/>
  <c r="CD248" i="178" s="1"/>
  <c r="CD240" i="178"/>
  <c r="CD236" i="178"/>
  <c r="CD229" i="178"/>
  <c r="CD241" i="178"/>
  <c r="CD35" i="178"/>
  <c r="AT254" i="178"/>
  <c r="AT243" i="178"/>
  <c r="AT242" i="178"/>
  <c r="AT251" i="178"/>
  <c r="AT226" i="178" s="1"/>
  <c r="AT238" i="178"/>
  <c r="AT236" i="178"/>
  <c r="AT235" i="178"/>
  <c r="AT255" i="178"/>
  <c r="AT241" i="178"/>
  <c r="AT230" i="178"/>
  <c r="AT232" i="178"/>
  <c r="AT248" i="178" s="1"/>
  <c r="AT229" i="178"/>
  <c r="AT240" i="178"/>
  <c r="AT245" i="178"/>
  <c r="AT233" i="178"/>
  <c r="AT35" i="178"/>
  <c r="CJ251" i="178"/>
  <c r="CJ245" i="178"/>
  <c r="CJ254" i="178"/>
  <c r="CJ243" i="178"/>
  <c r="CJ242" i="178"/>
  <c r="CJ240" i="178"/>
  <c r="CJ232" i="178"/>
  <c r="CJ248" i="178" s="1"/>
  <c r="CJ241" i="178"/>
  <c r="CJ255" i="178"/>
  <c r="CJ233" i="178"/>
  <c r="CJ230" i="178"/>
  <c r="CJ238" i="178"/>
  <c r="CJ235" i="178"/>
  <c r="CJ236" i="178"/>
  <c r="CJ229" i="178"/>
  <c r="CJ35" i="178"/>
  <c r="AH238" i="178"/>
  <c r="AH254" i="178"/>
  <c r="AH241" i="178"/>
  <c r="AH230" i="178"/>
  <c r="AH255" i="178"/>
  <c r="AH236" i="178"/>
  <c r="AH245" i="178"/>
  <c r="AH233" i="178"/>
  <c r="AH35" i="178"/>
  <c r="EY48" i="178"/>
  <c r="AI48" i="178"/>
  <c r="BG48" i="178"/>
  <c r="CQ48" i="178"/>
  <c r="BY48" i="178"/>
  <c r="AO48" i="178"/>
  <c r="W48" i="178"/>
  <c r="CK48" i="178"/>
  <c r="BS48" i="178"/>
  <c r="BA48" i="178"/>
  <c r="DU48" i="178"/>
  <c r="CE48" i="178"/>
  <c r="BM48" i="178"/>
  <c r="AU48" i="178"/>
  <c r="AC48" i="178"/>
  <c r="GC48" i="178"/>
  <c r="N79" i="178"/>
  <c r="N67" i="178"/>
  <c r="N80" i="178"/>
  <c r="N84" i="178"/>
  <c r="N147" i="178"/>
  <c r="N120" i="178"/>
  <c r="N129" i="178"/>
  <c r="N157" i="178"/>
  <c r="N165" i="178"/>
  <c r="N173" i="178"/>
  <c r="N196" i="178"/>
  <c r="N188" i="178"/>
  <c r="N204" i="178"/>
  <c r="EX250" i="183" l="1"/>
  <c r="FV250" i="183"/>
  <c r="FD250" i="183"/>
  <c r="DT250" i="183"/>
  <c r="DZ250" i="183"/>
  <c r="EF250" i="183"/>
  <c r="AT244" i="182"/>
  <c r="AT245" i="182" s="1"/>
  <c r="ER250" i="179"/>
  <c r="DY159" i="178"/>
  <c r="BE197" i="178"/>
  <c r="FP250" i="179"/>
  <c r="AT253" i="183"/>
  <c r="AT254" i="183" s="1"/>
  <c r="BF235" i="180"/>
  <c r="BF249" i="180" s="1"/>
  <c r="AZ236" i="180"/>
  <c r="AS197" i="178"/>
  <c r="AM92" i="178"/>
  <c r="GG97" i="178"/>
  <c r="AA85" i="178"/>
  <c r="BE213" i="178"/>
  <c r="BW197" i="178"/>
  <c r="AA83" i="178"/>
  <c r="GT250" i="179"/>
  <c r="AT247" i="180"/>
  <c r="O97" i="178"/>
  <c r="BW85" i="178"/>
  <c r="AM86" i="178"/>
  <c r="CU197" i="178"/>
  <c r="CO83" i="178"/>
  <c r="ER250" i="181"/>
  <c r="AZ249" i="182"/>
  <c r="AZ236" i="182"/>
  <c r="BF235" i="182"/>
  <c r="ER249" i="178"/>
  <c r="CI159" i="178"/>
  <c r="BQ88" i="178"/>
  <c r="O197" i="178"/>
  <c r="CI83" i="178"/>
  <c r="AT253" i="182"/>
  <c r="AT255" i="182" s="1"/>
  <c r="FJ250" i="183"/>
  <c r="BF240" i="180"/>
  <c r="BL240" i="180" s="1"/>
  <c r="BE159" i="178"/>
  <c r="BQ197" i="178"/>
  <c r="FJ250" i="179"/>
  <c r="ER250" i="183"/>
  <c r="CV250" i="183"/>
  <c r="AT250" i="183"/>
  <c r="AT251" i="183" s="1"/>
  <c r="AT226" i="183" s="1"/>
  <c r="BF243" i="183"/>
  <c r="BL242" i="183"/>
  <c r="AT230" i="183"/>
  <c r="BF249" i="183"/>
  <c r="BL235" i="183"/>
  <c r="BR235" i="183" s="1"/>
  <c r="BF236" i="183"/>
  <c r="AT248" i="183"/>
  <c r="AZ232" i="183"/>
  <c r="AT233" i="183"/>
  <c r="AT244" i="183"/>
  <c r="AT245" i="183" s="1"/>
  <c r="DN250" i="183"/>
  <c r="AT237" i="183"/>
  <c r="AT238" i="183" s="1"/>
  <c r="BF241" i="183"/>
  <c r="BL240" i="183"/>
  <c r="AT237" i="182"/>
  <c r="AT238" i="182" s="1"/>
  <c r="AT247" i="182"/>
  <c r="AT248" i="182"/>
  <c r="AT233" i="182"/>
  <c r="AZ232" i="182"/>
  <c r="BL224" i="182"/>
  <c r="BR224" i="182" s="1"/>
  <c r="BX224" i="182" s="1"/>
  <c r="CD224" i="182" s="1"/>
  <c r="CJ224" i="182" s="1"/>
  <c r="AT230" i="182"/>
  <c r="AZ229" i="182"/>
  <c r="BX242" i="182"/>
  <c r="BR243" i="182"/>
  <c r="BL240" i="182"/>
  <c r="BF241" i="182"/>
  <c r="AZ224" i="181"/>
  <c r="BF224" i="181" s="1"/>
  <c r="BL224" i="181" s="1"/>
  <c r="BR224" i="181" s="1"/>
  <c r="BX224" i="181" s="1"/>
  <c r="CD224" i="181" s="1"/>
  <c r="AT230" i="181"/>
  <c r="BF242" i="181"/>
  <c r="AZ243" i="181"/>
  <c r="FD250" i="181"/>
  <c r="AZ236" i="181"/>
  <c r="BF235" i="181"/>
  <c r="AT254" i="181"/>
  <c r="AT255" i="181"/>
  <c r="BL240" i="181"/>
  <c r="BF241" i="181"/>
  <c r="AT248" i="181"/>
  <c r="AT250" i="181" s="1"/>
  <c r="AT251" i="181" s="1"/>
  <c r="AT226" i="181" s="1"/>
  <c r="AT233" i="181"/>
  <c r="AZ232" i="181"/>
  <c r="GB250" i="181"/>
  <c r="BF248" i="180"/>
  <c r="BF233" i="180"/>
  <c r="BL232" i="180"/>
  <c r="AZ229" i="180"/>
  <c r="AT230" i="180"/>
  <c r="BL242" i="180"/>
  <c r="BF243" i="180"/>
  <c r="AT250" i="180"/>
  <c r="AT251" i="180" s="1"/>
  <c r="AT226" i="180" s="1"/>
  <c r="AT255" i="180"/>
  <c r="AT254" i="180"/>
  <c r="AT244" i="180"/>
  <c r="AT245" i="180" s="1"/>
  <c r="AT237" i="180"/>
  <c r="AT238" i="180" s="1"/>
  <c r="AZ235" i="179"/>
  <c r="AT236" i="179"/>
  <c r="AT249" i="179"/>
  <c r="AT248" i="179"/>
  <c r="AT233" i="179"/>
  <c r="AZ232" i="179"/>
  <c r="AT230" i="179"/>
  <c r="AZ229" i="179"/>
  <c r="FV250" i="179"/>
  <c r="AT237" i="179"/>
  <c r="AT238" i="179" s="1"/>
  <c r="AT247" i="179"/>
  <c r="GB250" i="179"/>
  <c r="AT253" i="179"/>
  <c r="BF243" i="179"/>
  <c r="BL242" i="179"/>
  <c r="AT244" i="179"/>
  <c r="AT245" i="179" s="1"/>
  <c r="BF241" i="179"/>
  <c r="BL240" i="179"/>
  <c r="BA234" i="179"/>
  <c r="BG234" i="182"/>
  <c r="BA234" i="180"/>
  <c r="EY234" i="179"/>
  <c r="CD225" i="182"/>
  <c r="CJ225" i="183"/>
  <c r="BR225" i="183"/>
  <c r="BA234" i="183"/>
  <c r="CQ234" i="181"/>
  <c r="DH250" i="183"/>
  <c r="GB228" i="180"/>
  <c r="CC151" i="178"/>
  <c r="AY151" i="178"/>
  <c r="CI131" i="178"/>
  <c r="DS234" i="183"/>
  <c r="CJ228" i="183"/>
  <c r="CJ228" i="180"/>
  <c r="BG234" i="179"/>
  <c r="CP225" i="179"/>
  <c r="GB225" i="183"/>
  <c r="BM234" i="180"/>
  <c r="AT225" i="180"/>
  <c r="GB225" i="180"/>
  <c r="CK234" i="180"/>
  <c r="BR225" i="180"/>
  <c r="DU234" i="180"/>
  <c r="CE234" i="180"/>
  <c r="BF225" i="180"/>
  <c r="BY234" i="180"/>
  <c r="GN250" i="183"/>
  <c r="GH250" i="181"/>
  <c r="BW234" i="181"/>
  <c r="GB228" i="183"/>
  <c r="AU234" i="180"/>
  <c r="BR228" i="179"/>
  <c r="BL225" i="183"/>
  <c r="AU234" i="183"/>
  <c r="BG234" i="183"/>
  <c r="GC234" i="183"/>
  <c r="BW234" i="182"/>
  <c r="BE234" i="180"/>
  <c r="BA234" i="182"/>
  <c r="BM234" i="182"/>
  <c r="CO234" i="183"/>
  <c r="CP224" i="182"/>
  <c r="CV224" i="182" s="1"/>
  <c r="DB224" i="182" s="1"/>
  <c r="DH224" i="182" s="1"/>
  <c r="DN224" i="182" s="1"/>
  <c r="DT224" i="182" s="1"/>
  <c r="DZ224" i="182" s="1"/>
  <c r="EF224" i="182" s="1"/>
  <c r="EL224" i="182" s="1"/>
  <c r="ER224" i="182" s="1"/>
  <c r="EX224" i="182" s="1"/>
  <c r="FD224" i="182" s="1"/>
  <c r="FJ224" i="182" s="1"/>
  <c r="FP224" i="182" s="1"/>
  <c r="FV224" i="182" s="1"/>
  <c r="GB224" i="182" s="1"/>
  <c r="GH224" i="182" s="1"/>
  <c r="GN224" i="182" s="1"/>
  <c r="GT224" i="182" s="1"/>
  <c r="GZ224" i="182" s="1"/>
  <c r="AS151" i="178"/>
  <c r="AA151" i="178"/>
  <c r="DY131" i="178"/>
  <c r="GN250" i="181"/>
  <c r="EX228" i="183"/>
  <c r="BR228" i="180"/>
  <c r="BL228" i="183"/>
  <c r="BF225" i="183"/>
  <c r="GC234" i="181"/>
  <c r="CO234" i="180"/>
  <c r="BQ234" i="182"/>
  <c r="BL224" i="180"/>
  <c r="BR224" i="180" s="1"/>
  <c r="BX224" i="180" s="1"/>
  <c r="CD224" i="180" s="1"/>
  <c r="CJ224" i="180" s="1"/>
  <c r="CP224" i="180" s="1"/>
  <c r="CV224" i="180" s="1"/>
  <c r="DB224" i="180" s="1"/>
  <c r="DH224" i="180" s="1"/>
  <c r="DN224" i="180" s="1"/>
  <c r="DT224" i="180" s="1"/>
  <c r="DZ224" i="180" s="1"/>
  <c r="EF224" i="180" s="1"/>
  <c r="EL224" i="180" s="1"/>
  <c r="ER224" i="180" s="1"/>
  <c r="EX224" i="180" s="1"/>
  <c r="FD224" i="180" s="1"/>
  <c r="FJ224" i="180" s="1"/>
  <c r="FP224" i="180" s="1"/>
  <c r="FV224" i="180" s="1"/>
  <c r="GB224" i="180" s="1"/>
  <c r="GH224" i="180" s="1"/>
  <c r="GN224" i="180" s="1"/>
  <c r="GT224" i="180" s="1"/>
  <c r="GZ224" i="180" s="1"/>
  <c r="BK151" i="178"/>
  <c r="CU151" i="178"/>
  <c r="AM131" i="178"/>
  <c r="DS234" i="179"/>
  <c r="CD228" i="179"/>
  <c r="BF225" i="179"/>
  <c r="BS234" i="179"/>
  <c r="EX225" i="179"/>
  <c r="CK234" i="179"/>
  <c r="AZ225" i="179"/>
  <c r="DU234" i="179"/>
  <c r="CE234" i="179"/>
  <c r="BM234" i="179"/>
  <c r="AU234" i="179"/>
  <c r="GB225" i="179"/>
  <c r="BY234" i="179"/>
  <c r="CP228" i="179"/>
  <c r="CK234" i="183"/>
  <c r="FP250" i="183"/>
  <c r="DH250" i="181"/>
  <c r="BR228" i="181"/>
  <c r="AS78" i="178"/>
  <c r="CI151" i="178"/>
  <c r="BK131" i="178"/>
  <c r="BE131" i="178"/>
  <c r="CU82" i="178"/>
  <c r="GB228" i="179"/>
  <c r="AY234" i="180"/>
  <c r="EX225" i="183"/>
  <c r="CP228" i="181"/>
  <c r="AU234" i="181"/>
  <c r="CD228" i="182"/>
  <c r="BY234" i="182"/>
  <c r="BE234" i="183"/>
  <c r="GN250" i="179"/>
  <c r="BF228" i="181"/>
  <c r="AZ228" i="181"/>
  <c r="AZ229" i="181" s="1"/>
  <c r="GZ250" i="179"/>
  <c r="BL225" i="179"/>
  <c r="EX225" i="182"/>
  <c r="CE234" i="182"/>
  <c r="BL225" i="182"/>
  <c r="BR225" i="182"/>
  <c r="AT225" i="182"/>
  <c r="GC234" i="182"/>
  <c r="CK234" i="182"/>
  <c r="BF225" i="182"/>
  <c r="DT225" i="182"/>
  <c r="BX225" i="182"/>
  <c r="CQ234" i="182"/>
  <c r="CQ234" i="180"/>
  <c r="EX225" i="180"/>
  <c r="GC234" i="180"/>
  <c r="DY151" i="178"/>
  <c r="CC131" i="178"/>
  <c r="CO131" i="178"/>
  <c r="BQ82" i="178"/>
  <c r="BF228" i="179"/>
  <c r="CJ225" i="182"/>
  <c r="CJ225" i="179"/>
  <c r="GZ250" i="181"/>
  <c r="CD228" i="181"/>
  <c r="CJ225" i="180"/>
  <c r="CJ228" i="181"/>
  <c r="CK234" i="181"/>
  <c r="CJ224" i="181"/>
  <c r="CP224" i="181" s="1"/>
  <c r="CV224" i="181" s="1"/>
  <c r="DB224" i="181" s="1"/>
  <c r="DH224" i="181" s="1"/>
  <c r="DN224" i="181" s="1"/>
  <c r="DT224" i="181" s="1"/>
  <c r="DZ224" i="181" s="1"/>
  <c r="EF224" i="181" s="1"/>
  <c r="EL224" i="181" s="1"/>
  <c r="ER224" i="181" s="1"/>
  <c r="EX224" i="181" s="1"/>
  <c r="FD224" i="181" s="1"/>
  <c r="FJ224" i="181" s="1"/>
  <c r="FP224" i="181" s="1"/>
  <c r="FV224" i="181" s="1"/>
  <c r="GB224" i="181" s="1"/>
  <c r="GH224" i="181" s="1"/>
  <c r="GN224" i="181" s="1"/>
  <c r="GT224" i="181" s="1"/>
  <c r="GZ224" i="181" s="1"/>
  <c r="BQ151" i="178"/>
  <c r="AS131" i="178"/>
  <c r="AA131" i="178"/>
  <c r="CI82" i="178"/>
  <c r="AM99" i="178"/>
  <c r="BL224" i="183"/>
  <c r="BR224" i="183" s="1"/>
  <c r="BX224" i="183" s="1"/>
  <c r="CD224" i="183" s="1"/>
  <c r="CJ224" i="183" s="1"/>
  <c r="CP224" i="183" s="1"/>
  <c r="CV224" i="183" s="1"/>
  <c r="DB224" i="183" s="1"/>
  <c r="DH224" i="183" s="1"/>
  <c r="DN224" i="183" s="1"/>
  <c r="DT224" i="183" s="1"/>
  <c r="DZ224" i="183" s="1"/>
  <c r="EF224" i="183" s="1"/>
  <c r="EL224" i="183" s="1"/>
  <c r="ER224" i="183" s="1"/>
  <c r="EX224" i="183" s="1"/>
  <c r="FD224" i="183" s="1"/>
  <c r="FJ224" i="183" s="1"/>
  <c r="FP224" i="183" s="1"/>
  <c r="FV224" i="183" s="1"/>
  <c r="GB224" i="183" s="1"/>
  <c r="GH224" i="183" s="1"/>
  <c r="GN224" i="183" s="1"/>
  <c r="GT224" i="183" s="1"/>
  <c r="GZ224" i="183" s="1"/>
  <c r="BS234" i="180"/>
  <c r="BL228" i="181"/>
  <c r="DT250" i="181"/>
  <c r="GZ250" i="183"/>
  <c r="EX228" i="182"/>
  <c r="AZ228" i="183"/>
  <c r="AZ229" i="183" s="1"/>
  <c r="EX228" i="180"/>
  <c r="EX228" i="179"/>
  <c r="CI106" i="178"/>
  <c r="O151" i="178"/>
  <c r="FC131" i="178"/>
  <c r="CU131" i="178"/>
  <c r="AA118" i="178"/>
  <c r="GG99" i="178"/>
  <c r="AZ225" i="182"/>
  <c r="EY234" i="182"/>
  <c r="BR225" i="179"/>
  <c r="AZ225" i="180"/>
  <c r="GT250" i="181"/>
  <c r="CP225" i="183"/>
  <c r="CQ234" i="183"/>
  <c r="EY234" i="183"/>
  <c r="CE234" i="183"/>
  <c r="BM234" i="183"/>
  <c r="DU234" i="183"/>
  <c r="AG131" i="178"/>
  <c r="AY99" i="178"/>
  <c r="BY234" i="183"/>
  <c r="BX225" i="183"/>
  <c r="BA234" i="181"/>
  <c r="AZ225" i="181"/>
  <c r="BL225" i="181"/>
  <c r="BM234" i="181"/>
  <c r="AZ224" i="179"/>
  <c r="BF224" i="179" s="1"/>
  <c r="BL224" i="179" s="1"/>
  <c r="BR224" i="179" s="1"/>
  <c r="BX224" i="179" s="1"/>
  <c r="CD224" i="179" s="1"/>
  <c r="CJ224" i="179" s="1"/>
  <c r="CP224" i="179" s="1"/>
  <c r="CV224" i="179" s="1"/>
  <c r="DB224" i="179" s="1"/>
  <c r="DH224" i="179" s="1"/>
  <c r="DN224" i="179" s="1"/>
  <c r="DT224" i="179" s="1"/>
  <c r="DZ224" i="179" s="1"/>
  <c r="EF224" i="179" s="1"/>
  <c r="EL224" i="179" s="1"/>
  <c r="ER224" i="179" s="1"/>
  <c r="EX224" i="179" s="1"/>
  <c r="FD224" i="179" s="1"/>
  <c r="FJ224" i="179" s="1"/>
  <c r="FP224" i="179" s="1"/>
  <c r="FV224" i="179" s="1"/>
  <c r="GB224" i="179" s="1"/>
  <c r="GH224" i="179" s="1"/>
  <c r="GN224" i="179" s="1"/>
  <c r="GT224" i="179" s="1"/>
  <c r="GZ224" i="179" s="1"/>
  <c r="AT225" i="181"/>
  <c r="CP225" i="181"/>
  <c r="BX225" i="181"/>
  <c r="EY234" i="181"/>
  <c r="CD225" i="181"/>
  <c r="BF225" i="181"/>
  <c r="DU234" i="181"/>
  <c r="BS234" i="181"/>
  <c r="GB225" i="181"/>
  <c r="CJ225" i="181"/>
  <c r="BE55" i="178"/>
  <c r="BQ200" i="178"/>
  <c r="AS97" i="178"/>
  <c r="AY109" i="178"/>
  <c r="AA194" i="178"/>
  <c r="AA197" i="178"/>
  <c r="GG106" i="178"/>
  <c r="BQ83" i="178"/>
  <c r="AA92" i="178"/>
  <c r="AG55" i="178"/>
  <c r="BQ109" i="178"/>
  <c r="BE106" i="178"/>
  <c r="BE83" i="178"/>
  <c r="CO55" i="178"/>
  <c r="FC61" i="178"/>
  <c r="BW106" i="178"/>
  <c r="O83" i="178"/>
  <c r="BW55" i="178"/>
  <c r="AY55" i="178"/>
  <c r="BQ133" i="178"/>
  <c r="AG106" i="178"/>
  <c r="AS83" i="178"/>
  <c r="BK55" i="178"/>
  <c r="CC55" i="178"/>
  <c r="AY200" i="178"/>
  <c r="AS159" i="178"/>
  <c r="AY133" i="178"/>
  <c r="O213" i="178"/>
  <c r="AG175" i="178"/>
  <c r="CI197" i="178"/>
  <c r="CC106" i="178"/>
  <c r="GG83" i="178"/>
  <c r="AM55" i="178"/>
  <c r="BQ55" i="178"/>
  <c r="AS55" i="178"/>
  <c r="AA55" i="178"/>
  <c r="FC85" i="178"/>
  <c r="CU83" i="178"/>
  <c r="DY83" i="178"/>
  <c r="CU195" i="178"/>
  <c r="O55" i="178"/>
  <c r="CU55" i="178"/>
  <c r="BW139" i="178"/>
  <c r="FC55" i="178"/>
  <c r="CO109" i="178"/>
  <c r="CO105" i="178"/>
  <c r="AA139" i="178"/>
  <c r="GG55" i="178"/>
  <c r="CC109" i="178"/>
  <c r="BK85" i="178"/>
  <c r="FC86" i="178"/>
  <c r="AG197" i="178"/>
  <c r="AY106" i="178"/>
  <c r="AY83" i="178"/>
  <c r="CI105" i="178"/>
  <c r="BK139" i="178"/>
  <c r="GG200" i="178"/>
  <c r="CO96" i="178"/>
  <c r="FC109" i="178"/>
  <c r="O194" i="178"/>
  <c r="AA86" i="178"/>
  <c r="AM197" i="178"/>
  <c r="O106" i="178"/>
  <c r="FC83" i="178"/>
  <c r="AY105" i="178"/>
  <c r="CU139" i="178"/>
  <c r="BE200" i="178"/>
  <c r="GG159" i="178"/>
  <c r="AM210" i="178"/>
  <c r="BW110" i="178"/>
  <c r="CO197" i="178"/>
  <c r="CU106" i="178"/>
  <c r="CC83" i="178"/>
  <c r="BW83" i="178"/>
  <c r="AS140" i="178"/>
  <c r="DY190" i="178"/>
  <c r="GG82" i="178"/>
  <c r="BW200" i="178"/>
  <c r="BK97" i="178"/>
  <c r="CO112" i="178"/>
  <c r="BW213" i="178"/>
  <c r="DY197" i="178"/>
  <c r="FC106" i="178"/>
  <c r="DY105" i="178"/>
  <c r="BW140" i="178"/>
  <c r="CU53" i="178"/>
  <c r="CC191" i="178"/>
  <c r="AS74" i="178"/>
  <c r="AA74" i="178"/>
  <c r="AM111" i="178"/>
  <c r="AA47" i="178"/>
  <c r="AM200" i="178"/>
  <c r="AM97" i="178"/>
  <c r="CU159" i="178"/>
  <c r="AG111" i="178"/>
  <c r="FC213" i="178"/>
  <c r="GG175" i="178"/>
  <c r="FC197" i="178"/>
  <c r="O155" i="178"/>
  <c r="AY92" i="178"/>
  <c r="AG140" i="178"/>
  <c r="CU136" i="178"/>
  <c r="CC111" i="178"/>
  <c r="AS53" i="178"/>
  <c r="AG136" i="178"/>
  <c r="DY111" i="178"/>
  <c r="CO215" i="178"/>
  <c r="BW47" i="178"/>
  <c r="BK82" i="178"/>
  <c r="AS200" i="178"/>
  <c r="O159" i="178"/>
  <c r="O69" i="178"/>
  <c r="CC170" i="178"/>
  <c r="AY197" i="178"/>
  <c r="CO92" i="178"/>
  <c r="CU167" i="178"/>
  <c r="AM167" i="178"/>
  <c r="CO144" i="178"/>
  <c r="AY47" i="178"/>
  <c r="CO200" i="178"/>
  <c r="DY97" i="178"/>
  <c r="AA159" i="178"/>
  <c r="CI153" i="178"/>
  <c r="AS110" i="178"/>
  <c r="AS213" i="178"/>
  <c r="O175" i="178"/>
  <c r="FC155" i="178"/>
  <c r="DY106" i="178"/>
  <c r="CC105" i="178"/>
  <c r="FC140" i="178"/>
  <c r="CI139" i="178"/>
  <c r="BE97" i="178"/>
  <c r="AY159" i="178"/>
  <c r="O118" i="178"/>
  <c r="BQ213" i="178"/>
  <c r="FC88" i="178"/>
  <c r="CU92" i="178"/>
  <c r="CC200" i="178"/>
  <c r="CU200" i="178"/>
  <c r="AG74" i="178"/>
  <c r="CC159" i="178"/>
  <c r="BW61" i="178"/>
  <c r="CC213" i="178"/>
  <c r="CU88" i="178"/>
  <c r="AG105" i="178"/>
  <c r="GG92" i="178"/>
  <c r="BK74" i="178"/>
  <c r="BQ159" i="178"/>
  <c r="CC61" i="178"/>
  <c r="CO69" i="178"/>
  <c r="CO213" i="178"/>
  <c r="CU198" i="178"/>
  <c r="GG105" i="178"/>
  <c r="BW92" i="178"/>
  <c r="FC191" i="178"/>
  <c r="AY122" i="178"/>
  <c r="BE190" i="178"/>
  <c r="CU190" i="178"/>
  <c r="GG78" i="178"/>
  <c r="FC70" i="178"/>
  <c r="CU70" i="178"/>
  <c r="AA50" i="178"/>
  <c r="BX249" i="178"/>
  <c r="AM47" i="178"/>
  <c r="CC47" i="178"/>
  <c r="FC82" i="178"/>
  <c r="AG159" i="178"/>
  <c r="DY109" i="178"/>
  <c r="AM85" i="178"/>
  <c r="CO111" i="178"/>
  <c r="AY213" i="178"/>
  <c r="DY213" i="178"/>
  <c r="O88" i="178"/>
  <c r="BE105" i="178"/>
  <c r="CO140" i="178"/>
  <c r="AG191" i="178"/>
  <c r="DY139" i="178"/>
  <c r="AG70" i="178"/>
  <c r="AY70" i="178"/>
  <c r="AS50" i="178"/>
  <c r="AA70" i="178"/>
  <c r="GG70" i="178"/>
  <c r="CC50" i="178"/>
  <c r="AM195" i="178"/>
  <c r="DY70" i="178"/>
  <c r="CO70" i="178"/>
  <c r="CU50" i="178"/>
  <c r="GG160" i="178"/>
  <c r="BQ70" i="178"/>
  <c r="AG50" i="178"/>
  <c r="GG50" i="178"/>
  <c r="DY47" i="178"/>
  <c r="GG107" i="178"/>
  <c r="AA82" i="178"/>
  <c r="AA96" i="178"/>
  <c r="BK159" i="178"/>
  <c r="AM159" i="178"/>
  <c r="BE109" i="178"/>
  <c r="CO160" i="178"/>
  <c r="AM194" i="178"/>
  <c r="AA213" i="178"/>
  <c r="CO99" i="178"/>
  <c r="BW175" i="178"/>
  <c r="AS105" i="178"/>
  <c r="CC140" i="178"/>
  <c r="CC167" i="178"/>
  <c r="CC122" i="178"/>
  <c r="CI70" i="178"/>
  <c r="AY50" i="178"/>
  <c r="BW50" i="178"/>
  <c r="AZ226" i="178"/>
  <c r="BF226" i="178" s="1"/>
  <c r="BL226" i="178" s="1"/>
  <c r="BR226" i="178" s="1"/>
  <c r="BX226" i="178" s="1"/>
  <c r="CD226" i="178" s="1"/>
  <c r="CJ226" i="178" s="1"/>
  <c r="CP226" i="178" s="1"/>
  <c r="CV226" i="178" s="1"/>
  <c r="DB226" i="178" s="1"/>
  <c r="DH226" i="178" s="1"/>
  <c r="DN226" i="178" s="1"/>
  <c r="DT226" i="178" s="1"/>
  <c r="DZ226" i="178" s="1"/>
  <c r="EF226" i="178" s="1"/>
  <c r="EL226" i="178" s="1"/>
  <c r="ER226" i="178" s="1"/>
  <c r="EX226" i="178" s="1"/>
  <c r="FD226" i="178" s="1"/>
  <c r="FJ226" i="178" s="1"/>
  <c r="FP226" i="178" s="1"/>
  <c r="FV226" i="178" s="1"/>
  <c r="GB226" i="178" s="1"/>
  <c r="GH226" i="178" s="1"/>
  <c r="GN226" i="178" s="1"/>
  <c r="GT226" i="178" s="1"/>
  <c r="GZ226" i="178" s="1"/>
  <c r="AY206" i="178"/>
  <c r="O70" i="178"/>
  <c r="BQ50" i="178"/>
  <c r="O50" i="178"/>
  <c r="GG206" i="178"/>
  <c r="BW70" i="178"/>
  <c r="DY50" i="178"/>
  <c r="CI50" i="178"/>
  <c r="FC150" i="178"/>
  <c r="AM70" i="178"/>
  <c r="AM50" i="178"/>
  <c r="BK50" i="178"/>
  <c r="BE70" i="178"/>
  <c r="FC50" i="178"/>
  <c r="AM82" i="178"/>
  <c r="AG109" i="178"/>
  <c r="AA61" i="178"/>
  <c r="CI85" i="178"/>
  <c r="FC110" i="178"/>
  <c r="AM213" i="178"/>
  <c r="BE88" i="178"/>
  <c r="FC170" i="178"/>
  <c r="AS106" i="178"/>
  <c r="AM105" i="178"/>
  <c r="CU140" i="178"/>
  <c r="BE191" i="178"/>
  <c r="BQ139" i="178"/>
  <c r="AG82" i="178"/>
  <c r="AS148" i="178"/>
  <c r="AS190" i="178"/>
  <c r="CC118" i="178"/>
  <c r="AG85" i="178"/>
  <c r="BK110" i="178"/>
  <c r="BQ111" i="178"/>
  <c r="O99" i="178"/>
  <c r="CI88" i="178"/>
  <c r="AM175" i="178"/>
  <c r="AS170" i="178"/>
  <c r="AA106" i="178"/>
  <c r="BK106" i="178"/>
  <c r="GG140" i="178"/>
  <c r="CC53" i="178"/>
  <c r="BQ191" i="178"/>
  <c r="O122" i="178"/>
  <c r="DY82" i="178"/>
  <c r="AA190" i="178"/>
  <c r="CU118" i="178"/>
  <c r="DY85" i="178"/>
  <c r="CC110" i="178"/>
  <c r="BE111" i="178"/>
  <c r="CC86" i="178"/>
  <c r="CI99" i="178"/>
  <c r="AS88" i="178"/>
  <c r="BK175" i="178"/>
  <c r="BK170" i="178"/>
  <c r="BQ106" i="178"/>
  <c r="CO106" i="178"/>
  <c r="AM140" i="178"/>
  <c r="BK53" i="178"/>
  <c r="CC195" i="178"/>
  <c r="AM122" i="178"/>
  <c r="AM118" i="178"/>
  <c r="BK59" i="178"/>
  <c r="CI110" i="178"/>
  <c r="BW111" i="178"/>
  <c r="BK88" i="178"/>
  <c r="BW88" i="178"/>
  <c r="AA175" i="178"/>
  <c r="CC78" i="178"/>
  <c r="BK191" i="178"/>
  <c r="BW118" i="178"/>
  <c r="AY59" i="178"/>
  <c r="GG110" i="178"/>
  <c r="O111" i="178"/>
  <c r="CO88" i="178"/>
  <c r="AG88" i="178"/>
  <c r="BQ175" i="178"/>
  <c r="DY78" i="178"/>
  <c r="AA191" i="178"/>
  <c r="DY167" i="178"/>
  <c r="GG74" i="178"/>
  <c r="AG61" i="178"/>
  <c r="DY153" i="178"/>
  <c r="FC118" i="178"/>
  <c r="BQ59" i="178"/>
  <c r="AA110" i="178"/>
  <c r="CU86" i="178"/>
  <c r="AY88" i="178"/>
  <c r="DY88" i="178"/>
  <c r="FC175" i="178"/>
  <c r="CI78" i="178"/>
  <c r="AY140" i="178"/>
  <c r="AY191" i="178"/>
  <c r="CI167" i="178"/>
  <c r="BE95" i="178"/>
  <c r="AM74" i="178"/>
  <c r="BQ153" i="178"/>
  <c r="CO118" i="178"/>
  <c r="BE110" i="178"/>
  <c r="FC99" i="178"/>
  <c r="CC88" i="178"/>
  <c r="BE175" i="178"/>
  <c r="CO78" i="178"/>
  <c r="CI191" i="178"/>
  <c r="BQ167" i="178"/>
  <c r="AA136" i="178"/>
  <c r="AG95" i="178"/>
  <c r="O74" i="178"/>
  <c r="AY153" i="178"/>
  <c r="CU111" i="178"/>
  <c r="BQ99" i="178"/>
  <c r="AM88" i="178"/>
  <c r="CU175" i="178"/>
  <c r="BW170" i="178"/>
  <c r="BQ78" i="178"/>
  <c r="CO191" i="178"/>
  <c r="AG167" i="178"/>
  <c r="BK136" i="178"/>
  <c r="BE179" i="178"/>
  <c r="CI179" i="178"/>
  <c r="BQ179" i="178"/>
  <c r="BW179" i="178"/>
  <c r="BK214" i="178"/>
  <c r="AS82" i="178"/>
  <c r="BW97" i="178"/>
  <c r="BK148" i="178"/>
  <c r="O109" i="178"/>
  <c r="BE61" i="178"/>
  <c r="CI210" i="178"/>
  <c r="FC190" i="178"/>
  <c r="FC153" i="178"/>
  <c r="CU133" i="178"/>
  <c r="AS85" i="178"/>
  <c r="AS100" i="178"/>
  <c r="DY194" i="178"/>
  <c r="AM110" i="178"/>
  <c r="AY111" i="178"/>
  <c r="AG69" i="178"/>
  <c r="AY86" i="178"/>
  <c r="BE91" i="178"/>
  <c r="CO175" i="178"/>
  <c r="AY175" i="178"/>
  <c r="BK78" i="178"/>
  <c r="CU105" i="178"/>
  <c r="BK92" i="178"/>
  <c r="DY92" i="178"/>
  <c r="O140" i="178"/>
  <c r="AA53" i="178"/>
  <c r="CC214" i="178"/>
  <c r="AM191" i="178"/>
  <c r="FC195" i="178"/>
  <c r="FC139" i="178"/>
  <c r="AM136" i="178"/>
  <c r="AM179" i="178"/>
  <c r="CU210" i="178"/>
  <c r="AG133" i="178"/>
  <c r="GG100" i="178"/>
  <c r="BW91" i="178"/>
  <c r="BE214" i="178"/>
  <c r="AG210" i="178"/>
  <c r="CI133" i="178"/>
  <c r="O133" i="178"/>
  <c r="AG91" i="178"/>
  <c r="AA214" i="178"/>
  <c r="CO210" i="178"/>
  <c r="AM133" i="178"/>
  <c r="AS133" i="178"/>
  <c r="CC91" i="178"/>
  <c r="AG214" i="178"/>
  <c r="BE100" i="178"/>
  <c r="CO91" i="178"/>
  <c r="CC82" i="178"/>
  <c r="AG97" i="178"/>
  <c r="FC74" i="178"/>
  <c r="AM109" i="178"/>
  <c r="AY61" i="178"/>
  <c r="BW190" i="178"/>
  <c r="BK153" i="178"/>
  <c r="DY133" i="178"/>
  <c r="GG133" i="178"/>
  <c r="O85" i="178"/>
  <c r="AY85" i="178"/>
  <c r="CC59" i="178"/>
  <c r="O110" i="178"/>
  <c r="DY110" i="178"/>
  <c r="CI111" i="178"/>
  <c r="AS86" i="178"/>
  <c r="DY198" i="178"/>
  <c r="AS175" i="178"/>
  <c r="AG170" i="178"/>
  <c r="BE155" i="178"/>
  <c r="AM78" i="178"/>
  <c r="O105" i="178"/>
  <c r="FC105" i="178"/>
  <c r="BQ92" i="178"/>
  <c r="BE140" i="178"/>
  <c r="DY140" i="178"/>
  <c r="BQ214" i="178"/>
  <c r="BW191" i="178"/>
  <c r="AS191" i="178"/>
  <c r="GG167" i="178"/>
  <c r="GG139" i="178"/>
  <c r="AS136" i="178"/>
  <c r="AY95" i="178"/>
  <c r="CC101" i="178"/>
  <c r="BQ97" i="178"/>
  <c r="CC74" i="178"/>
  <c r="GG109" i="178"/>
  <c r="GG61" i="178"/>
  <c r="AM190" i="178"/>
  <c r="CO153" i="178"/>
  <c r="BE133" i="178"/>
  <c r="CO133" i="178"/>
  <c r="BQ85" i="178"/>
  <c r="AG100" i="178"/>
  <c r="FC59" i="178"/>
  <c r="AG110" i="178"/>
  <c r="CO110" i="178"/>
  <c r="AA111" i="178"/>
  <c r="GG86" i="178"/>
  <c r="O198" i="178"/>
  <c r="BW78" i="178"/>
  <c r="BK105" i="178"/>
  <c r="BQ105" i="178"/>
  <c r="CI92" i="178"/>
  <c r="GG53" i="178"/>
  <c r="FC214" i="178"/>
  <c r="O191" i="178"/>
  <c r="GG191" i="178"/>
  <c r="O167" i="178"/>
  <c r="AG139" i="178"/>
  <c r="GG136" i="178"/>
  <c r="BQ95" i="178"/>
  <c r="BW133" i="178"/>
  <c r="AY100" i="178"/>
  <c r="DY214" i="178"/>
  <c r="AS95" i="178"/>
  <c r="CC210" i="178"/>
  <c r="AA133" i="178"/>
  <c r="CI100" i="178"/>
  <c r="CU214" i="178"/>
  <c r="CC95" i="178"/>
  <c r="BQ210" i="178"/>
  <c r="FC133" i="178"/>
  <c r="DY100" i="178"/>
  <c r="CU91" i="178"/>
  <c r="CI214" i="178"/>
  <c r="GG95" i="178"/>
  <c r="FC97" i="178"/>
  <c r="CO74" i="178"/>
  <c r="BW109" i="178"/>
  <c r="AM61" i="178"/>
  <c r="AY210" i="178"/>
  <c r="BQ190" i="178"/>
  <c r="AS153" i="178"/>
  <c r="BK133" i="178"/>
  <c r="CU85" i="178"/>
  <c r="FC100" i="178"/>
  <c r="BW194" i="178"/>
  <c r="CU110" i="178"/>
  <c r="BK111" i="178"/>
  <c r="AS111" i="178"/>
  <c r="DY86" i="178"/>
  <c r="GG91" i="178"/>
  <c r="AA105" i="178"/>
  <c r="AS92" i="178"/>
  <c r="BE92" i="178"/>
  <c r="DY53" i="178"/>
  <c r="AS214" i="178"/>
  <c r="CU191" i="178"/>
  <c r="CI195" i="178"/>
  <c r="BE167" i="178"/>
  <c r="CC139" i="178"/>
  <c r="FC95" i="178"/>
  <c r="O82" i="178"/>
  <c r="AA97" i="178"/>
  <c r="BQ74" i="178"/>
  <c r="AS109" i="178"/>
  <c r="CI61" i="178"/>
  <c r="BK210" i="178"/>
  <c r="CO190" i="178"/>
  <c r="GG153" i="178"/>
  <c r="AY118" i="178"/>
  <c r="BE85" i="178"/>
  <c r="AA100" i="178"/>
  <c r="GG194" i="178"/>
  <c r="FC111" i="178"/>
  <c r="CO86" i="178"/>
  <c r="CU99" i="178"/>
  <c r="BQ91" i="178"/>
  <c r="CC175" i="178"/>
  <c r="AY78" i="178"/>
  <c r="FC92" i="178"/>
  <c r="BQ53" i="178"/>
  <c r="GG214" i="178"/>
  <c r="BE195" i="178"/>
  <c r="CO139" i="178"/>
  <c r="CI136" i="178"/>
  <c r="BE122" i="178"/>
  <c r="CI95" i="178"/>
  <c r="FC94" i="178"/>
  <c r="CI58" i="178"/>
  <c r="CI107" i="178"/>
  <c r="FV249" i="178"/>
  <c r="FC96" i="178"/>
  <c r="CI97" i="178"/>
  <c r="CC148" i="178"/>
  <c r="GG148" i="178"/>
  <c r="AG112" i="178"/>
  <c r="CU109" i="178"/>
  <c r="AS61" i="178"/>
  <c r="AS210" i="178"/>
  <c r="O153" i="178"/>
  <c r="AG118" i="178"/>
  <c r="CC85" i="178"/>
  <c r="CO85" i="178"/>
  <c r="CC100" i="178"/>
  <c r="AY194" i="178"/>
  <c r="BK86" i="178"/>
  <c r="DY99" i="178"/>
  <c r="BK91" i="178"/>
  <c r="O53" i="178"/>
  <c r="BW214" i="178"/>
  <c r="BK167" i="178"/>
  <c r="AY167" i="178"/>
  <c r="AS139" i="178"/>
  <c r="DY136" i="178"/>
  <c r="AS122" i="178"/>
  <c r="AA95" i="178"/>
  <c r="GG179" i="178"/>
  <c r="AA148" i="178"/>
  <c r="CC89" i="178"/>
  <c r="BK94" i="178"/>
  <c r="AA58" i="178"/>
  <c r="GG58" i="178"/>
  <c r="DY107" i="178"/>
  <c r="BK96" i="178"/>
  <c r="DY148" i="178"/>
  <c r="BW153" i="178"/>
  <c r="CI118" i="178"/>
  <c r="AS59" i="178"/>
  <c r="BQ194" i="178"/>
  <c r="BW99" i="178"/>
  <c r="DY91" i="178"/>
  <c r="CO71" i="178"/>
  <c r="AG53" i="178"/>
  <c r="CO214" i="178"/>
  <c r="AS167" i="178"/>
  <c r="FC167" i="178"/>
  <c r="O139" i="178"/>
  <c r="FC136" i="178"/>
  <c r="CO122" i="178"/>
  <c r="O89" i="178"/>
  <c r="BK95" i="178"/>
  <c r="CU179" i="178"/>
  <c r="CC94" i="178"/>
  <c r="CC58" i="178"/>
  <c r="BW58" i="178"/>
  <c r="BW107" i="178"/>
  <c r="AG96" i="178"/>
  <c r="CI148" i="178"/>
  <c r="AA71" i="178"/>
  <c r="BW89" i="178"/>
  <c r="CU94" i="178"/>
  <c r="GT249" i="178"/>
  <c r="CU58" i="178"/>
  <c r="AG58" i="178"/>
  <c r="AS107" i="178"/>
  <c r="AY97" i="178"/>
  <c r="CO97" i="178"/>
  <c r="AG148" i="178"/>
  <c r="AA109" i="178"/>
  <c r="CI109" i="178"/>
  <c r="FC210" i="178"/>
  <c r="BE153" i="178"/>
  <c r="BE118" i="178"/>
  <c r="BQ100" i="178"/>
  <c r="BE59" i="178"/>
  <c r="BE194" i="178"/>
  <c r="GG156" i="178"/>
  <c r="AA99" i="178"/>
  <c r="O91" i="178"/>
  <c r="BQ198" i="178"/>
  <c r="BW155" i="178"/>
  <c r="DY143" i="178"/>
  <c r="BK71" i="178"/>
  <c r="AY53" i="178"/>
  <c r="AM214" i="178"/>
  <c r="AA167" i="178"/>
  <c r="CO167" i="178"/>
  <c r="AY139" i="178"/>
  <c r="CC136" i="178"/>
  <c r="GG122" i="178"/>
  <c r="GG89" i="178"/>
  <c r="CU95" i="178"/>
  <c r="CI101" i="178"/>
  <c r="O94" i="178"/>
  <c r="AY58" i="178"/>
  <c r="DY58" i="178"/>
  <c r="BK107" i="178"/>
  <c r="AY148" i="178"/>
  <c r="DY186" i="178"/>
  <c r="DY156" i="178"/>
  <c r="CO143" i="178"/>
  <c r="CC71" i="178"/>
  <c r="AA89" i="178"/>
  <c r="AG94" i="178"/>
  <c r="CO58" i="178"/>
  <c r="BK58" i="178"/>
  <c r="FC107" i="178"/>
  <c r="O148" i="178"/>
  <c r="CI112" i="178"/>
  <c r="CC186" i="178"/>
  <c r="CI156" i="178"/>
  <c r="O143" i="178"/>
  <c r="O71" i="178"/>
  <c r="BE89" i="178"/>
  <c r="O101" i="178"/>
  <c r="EL249" i="178"/>
  <c r="CI94" i="178"/>
  <c r="AY94" i="178"/>
  <c r="AM58" i="178"/>
  <c r="AG107" i="178"/>
  <c r="CC97" i="178"/>
  <c r="CO148" i="178"/>
  <c r="BE112" i="178"/>
  <c r="DY61" i="178"/>
  <c r="CU61" i="178"/>
  <c r="AY186" i="178"/>
  <c r="AG153" i="178"/>
  <c r="BQ118" i="178"/>
  <c r="GG118" i="178"/>
  <c r="BW100" i="178"/>
  <c r="AM59" i="178"/>
  <c r="CU194" i="178"/>
  <c r="AY69" i="178"/>
  <c r="CC156" i="178"/>
  <c r="BE86" i="178"/>
  <c r="AG99" i="178"/>
  <c r="AY91" i="178"/>
  <c r="BE198" i="178"/>
  <c r="BK155" i="178"/>
  <c r="BK143" i="178"/>
  <c r="BW53" i="178"/>
  <c r="AY214" i="178"/>
  <c r="O195" i="178"/>
  <c r="AM139" i="178"/>
  <c r="O136" i="178"/>
  <c r="BE215" i="178"/>
  <c r="AY89" i="178"/>
  <c r="O95" i="178"/>
  <c r="DY94" i="178"/>
  <c r="BQ94" i="178"/>
  <c r="FC58" i="178"/>
  <c r="CU107" i="178"/>
  <c r="AM148" i="178"/>
  <c r="FC148" i="178"/>
  <c r="CC112" i="178"/>
  <c r="AM186" i="178"/>
  <c r="BQ156" i="178"/>
  <c r="CC143" i="178"/>
  <c r="GG215" i="178"/>
  <c r="AM94" i="178"/>
  <c r="AS94" i="178"/>
  <c r="BQ58" i="178"/>
  <c r="BE107" i="178"/>
  <c r="DB249" i="178"/>
  <c r="BE148" i="178"/>
  <c r="BW148" i="178"/>
  <c r="FC112" i="178"/>
  <c r="BE186" i="178"/>
  <c r="CU156" i="178"/>
  <c r="CU215" i="178"/>
  <c r="BE94" i="178"/>
  <c r="BQ107" i="178"/>
  <c r="AY96" i="178"/>
  <c r="CU148" i="178"/>
  <c r="CU112" i="178"/>
  <c r="CO186" i="178"/>
  <c r="AY215" i="178"/>
  <c r="BL249" i="178"/>
  <c r="CU206" i="178"/>
  <c r="AM107" i="178"/>
  <c r="CO107" i="178"/>
  <c r="BE82" i="178"/>
  <c r="AY82" i="178"/>
  <c r="BE96" i="178"/>
  <c r="DY74" i="178"/>
  <c r="O112" i="178"/>
  <c r="BW117" i="178"/>
  <c r="BW210" i="178"/>
  <c r="CC190" i="178"/>
  <c r="BQ186" i="178"/>
  <c r="BW186" i="178"/>
  <c r="AG160" i="178"/>
  <c r="AA153" i="178"/>
  <c r="O100" i="178"/>
  <c r="CU100" i="178"/>
  <c r="DY59" i="178"/>
  <c r="CI194" i="178"/>
  <c r="DY69" i="178"/>
  <c r="AS57" i="178"/>
  <c r="CU57" i="178"/>
  <c r="O156" i="178"/>
  <c r="AS91" i="178"/>
  <c r="AA155" i="178"/>
  <c r="BE78" i="178"/>
  <c r="BQ143" i="178"/>
  <c r="CC68" i="178"/>
  <c r="BQ71" i="178"/>
  <c r="BE53" i="178"/>
  <c r="CO53" i="178"/>
  <c r="BW136" i="178"/>
  <c r="BK215" i="178"/>
  <c r="O150" i="178"/>
  <c r="BK150" i="178"/>
  <c r="BQ89" i="178"/>
  <c r="CO95" i="178"/>
  <c r="CO179" i="178"/>
  <c r="BK179" i="178"/>
  <c r="DY206" i="178"/>
  <c r="BW96" i="178"/>
  <c r="BK112" i="178"/>
  <c r="CO117" i="178"/>
  <c r="CU186" i="178"/>
  <c r="BQ160" i="178"/>
  <c r="BK160" i="178"/>
  <c r="CO59" i="178"/>
  <c r="BQ69" i="178"/>
  <c r="BE57" i="178"/>
  <c r="AM156" i="178"/>
  <c r="AY155" i="178"/>
  <c r="BE143" i="178"/>
  <c r="CU68" i="178"/>
  <c r="BW71" i="178"/>
  <c r="O215" i="178"/>
  <c r="CI150" i="178"/>
  <c r="BE150" i="178"/>
  <c r="AM89" i="178"/>
  <c r="FC179" i="178"/>
  <c r="AA179" i="178"/>
  <c r="BQ206" i="178"/>
  <c r="O206" i="178"/>
  <c r="FC117" i="178"/>
  <c r="DY160" i="178"/>
  <c r="FC160" i="178"/>
  <c r="BW57" i="178"/>
  <c r="BK68" i="178"/>
  <c r="AY150" i="178"/>
  <c r="AG150" i="178"/>
  <c r="AA206" i="178"/>
  <c r="CI206" i="178"/>
  <c r="AS117" i="178"/>
  <c r="CU160" i="178"/>
  <c r="CC160" i="178"/>
  <c r="AG57" i="178"/>
  <c r="AA68" i="178"/>
  <c r="BQ150" i="178"/>
  <c r="DY150" i="178"/>
  <c r="U45" i="178"/>
  <c r="CO206" i="178"/>
  <c r="AS206" i="178"/>
  <c r="O117" i="178"/>
  <c r="BK117" i="178"/>
  <c r="AM160" i="178"/>
  <c r="AY160" i="178"/>
  <c r="DY57" i="178"/>
  <c r="AM68" i="178"/>
  <c r="DY68" i="178"/>
  <c r="CO150" i="178"/>
  <c r="AG206" i="178"/>
  <c r="AG117" i="178"/>
  <c r="AY117" i="178"/>
  <c r="CI160" i="178"/>
  <c r="AY57" i="178"/>
  <c r="BQ68" i="178"/>
  <c r="AS68" i="178"/>
  <c r="AM150" i="178"/>
  <c r="GG117" i="178"/>
  <c r="CC117" i="178"/>
  <c r="CO57" i="178"/>
  <c r="BE68" i="178"/>
  <c r="AY68" i="178"/>
  <c r="BW206" i="178"/>
  <c r="FC206" i="178"/>
  <c r="O107" i="178"/>
  <c r="GG96" i="178"/>
  <c r="DY96" i="178"/>
  <c r="BE74" i="178"/>
  <c r="AM112" i="178"/>
  <c r="BQ117" i="178"/>
  <c r="AA117" i="178"/>
  <c r="BE210" i="178"/>
  <c r="AG190" i="178"/>
  <c r="AY190" i="178"/>
  <c r="FC186" i="178"/>
  <c r="AA160" i="178"/>
  <c r="CC153" i="178"/>
  <c r="AM153" i="178"/>
  <c r="CO100" i="178"/>
  <c r="O59" i="178"/>
  <c r="AA59" i="178"/>
  <c r="BK194" i="178"/>
  <c r="BE69" i="178"/>
  <c r="CC57" i="178"/>
  <c r="BK156" i="178"/>
  <c r="BE156" i="178"/>
  <c r="CI91" i="178"/>
  <c r="AG198" i="178"/>
  <c r="CC155" i="178"/>
  <c r="AS155" i="178"/>
  <c r="AA78" i="178"/>
  <c r="CU143" i="178"/>
  <c r="CI68" i="178"/>
  <c r="GG68" i="178"/>
  <c r="AS71" i="178"/>
  <c r="CI53" i="178"/>
  <c r="BQ136" i="178"/>
  <c r="AY136" i="178"/>
  <c r="FC215" i="178"/>
  <c r="GG150" i="178"/>
  <c r="AS89" i="178"/>
  <c r="BW95" i="178"/>
  <c r="AM95" i="178"/>
  <c r="AY179" i="178"/>
  <c r="AG101" i="178"/>
  <c r="AM206" i="178"/>
  <c r="O96" i="178"/>
  <c r="CC96" i="178"/>
  <c r="GG112" i="178"/>
  <c r="CI117" i="178"/>
  <c r="CU117" i="178"/>
  <c r="AA186" i="178"/>
  <c r="O186" i="178"/>
  <c r="BE160" i="178"/>
  <c r="CI59" i="178"/>
  <c r="CU59" i="178"/>
  <c r="AM69" i="178"/>
  <c r="GG57" i="178"/>
  <c r="AM57" i="178"/>
  <c r="FC156" i="178"/>
  <c r="AM155" i="178"/>
  <c r="GG155" i="178"/>
  <c r="AM143" i="178"/>
  <c r="AG68" i="178"/>
  <c r="CO68" i="178"/>
  <c r="AM71" i="178"/>
  <c r="BQ215" i="178"/>
  <c r="CC150" i="178"/>
  <c r="CO89" i="178"/>
  <c r="O179" i="178"/>
  <c r="BQ101" i="178"/>
  <c r="BE206" i="178"/>
  <c r="AA112" i="178"/>
  <c r="DY117" i="178"/>
  <c r="AG186" i="178"/>
  <c r="O160" i="178"/>
  <c r="GG59" i="178"/>
  <c r="GG69" i="178"/>
  <c r="O57" i="178"/>
  <c r="FC57" i="178"/>
  <c r="AY156" i="178"/>
  <c r="CI155" i="178"/>
  <c r="AG155" i="178"/>
  <c r="FC143" i="178"/>
  <c r="CI143" i="178"/>
  <c r="FC68" i="178"/>
  <c r="BE71" i="178"/>
  <c r="FC71" i="178"/>
  <c r="BW215" i="178"/>
  <c r="AG215" i="178"/>
  <c r="CU150" i="178"/>
  <c r="BK89" i="178"/>
  <c r="CC179" i="178"/>
  <c r="AM101" i="178"/>
  <c r="BK206" i="178"/>
  <c r="DZ249" i="178"/>
  <c r="BQ96" i="178"/>
  <c r="BW112" i="178"/>
  <c r="AM117" i="178"/>
  <c r="AS186" i="178"/>
  <c r="GG186" i="178"/>
  <c r="BW160" i="178"/>
  <c r="BW59" i="178"/>
  <c r="BK69" i="178"/>
  <c r="BK57" i="178"/>
  <c r="BQ57" i="178"/>
  <c r="CO156" i="178"/>
  <c r="BQ155" i="178"/>
  <c r="DY155" i="178"/>
  <c r="AA143" i="178"/>
  <c r="AS143" i="178"/>
  <c r="O68" i="178"/>
  <c r="AY71" i="178"/>
  <c r="CI71" i="178"/>
  <c r="CI215" i="178"/>
  <c r="DY215" i="178"/>
  <c r="AS150" i="178"/>
  <c r="FC89" i="178"/>
  <c r="AG179" i="178"/>
  <c r="AA101" i="178"/>
  <c r="AY107" i="178"/>
  <c r="BW82" i="178"/>
  <c r="AM96" i="178"/>
  <c r="CI74" i="178"/>
  <c r="DY112" i="178"/>
  <c r="GG210" i="178"/>
  <c r="BK190" i="178"/>
  <c r="BK186" i="178"/>
  <c r="AM100" i="178"/>
  <c r="CC194" i="178"/>
  <c r="AA69" i="178"/>
  <c r="CI57" i="178"/>
  <c r="AG156" i="178"/>
  <c r="AA91" i="178"/>
  <c r="FC198" i="178"/>
  <c r="FC78" i="178"/>
  <c r="AG143" i="178"/>
  <c r="DY71" i="178"/>
  <c r="AM53" i="178"/>
  <c r="BE136" i="178"/>
  <c r="AS215" i="178"/>
  <c r="BW150" i="178"/>
  <c r="CU89" i="178"/>
  <c r="AS179" i="178"/>
  <c r="AY101" i="178"/>
  <c r="CM234" i="178"/>
  <c r="EF249" i="178"/>
  <c r="U99" i="178"/>
  <c r="CA234" i="178"/>
  <c r="CI96" i="178"/>
  <c r="BW74" i="178"/>
  <c r="AY112" i="178"/>
  <c r="BQ112" i="178"/>
  <c r="O61" i="178"/>
  <c r="BQ61" i="178"/>
  <c r="AA210" i="178"/>
  <c r="CI190" i="178"/>
  <c r="GG190" i="178"/>
  <c r="BK118" i="178"/>
  <c r="AS118" i="178"/>
  <c r="CO194" i="178"/>
  <c r="AS69" i="178"/>
  <c r="CC69" i="178"/>
  <c r="CC62" i="178"/>
  <c r="BW156" i="178"/>
  <c r="AG86" i="178"/>
  <c r="CI86" i="178"/>
  <c r="CC99" i="178"/>
  <c r="FC91" i="178"/>
  <c r="BK198" i="178"/>
  <c r="AY170" i="178"/>
  <c r="AG78" i="178"/>
  <c r="CU78" i="178"/>
  <c r="BW143" i="178"/>
  <c r="GG143" i="178"/>
  <c r="AG71" i="178"/>
  <c r="GG71" i="178"/>
  <c r="AG195" i="178"/>
  <c r="BW122" i="178"/>
  <c r="AA215" i="178"/>
  <c r="CC215" i="178"/>
  <c r="AG89" i="178"/>
  <c r="BK101" i="178"/>
  <c r="DY101" i="178"/>
  <c r="BI234" i="178"/>
  <c r="AY62" i="178"/>
  <c r="DN249" i="178"/>
  <c r="AW234" i="178"/>
  <c r="AA62" i="178"/>
  <c r="CU62" i="178"/>
  <c r="DQ234" i="178"/>
  <c r="DY62" i="178"/>
  <c r="BQ62" i="178"/>
  <c r="U165" i="178"/>
  <c r="U181" i="178"/>
  <c r="U178" i="178"/>
  <c r="U113" i="178"/>
  <c r="U125" i="178"/>
  <c r="U73" i="178"/>
  <c r="CI62" i="178"/>
  <c r="AM62" i="178"/>
  <c r="EU234" i="178"/>
  <c r="FD249" i="178"/>
  <c r="BW62" i="178"/>
  <c r="BK62" i="178"/>
  <c r="CI198" i="178"/>
  <c r="GG198" i="178"/>
  <c r="CI170" i="178"/>
  <c r="AA170" i="178"/>
  <c r="BW195" i="178"/>
  <c r="BK122" i="178"/>
  <c r="AA122" i="178"/>
  <c r="CO101" i="178"/>
  <c r="CG234" i="178"/>
  <c r="BE62" i="178"/>
  <c r="GG62" i="178"/>
  <c r="U160" i="178"/>
  <c r="U146" i="178"/>
  <c r="BO234" i="178"/>
  <c r="U54" i="178"/>
  <c r="CU96" i="178"/>
  <c r="AY74" i="178"/>
  <c r="O210" i="178"/>
  <c r="FC194" i="178"/>
  <c r="AS194" i="178"/>
  <c r="FC69" i="178"/>
  <c r="O62" i="178"/>
  <c r="AS156" i="178"/>
  <c r="BQ86" i="178"/>
  <c r="BE99" i="178"/>
  <c r="BK99" i="178"/>
  <c r="AS198" i="178"/>
  <c r="AY198" i="178"/>
  <c r="O170" i="178"/>
  <c r="CU170" i="178"/>
  <c r="DY195" i="178"/>
  <c r="AS195" i="178"/>
  <c r="CI122" i="178"/>
  <c r="CU122" i="178"/>
  <c r="DY89" i="178"/>
  <c r="BE101" i="178"/>
  <c r="BC234" i="178"/>
  <c r="U86" i="178"/>
  <c r="AS62" i="178"/>
  <c r="CO198" i="178"/>
  <c r="AM198" i="178"/>
  <c r="CO170" i="178"/>
  <c r="BE170" i="178"/>
  <c r="GG195" i="178"/>
  <c r="BK195" i="178"/>
  <c r="DY122" i="178"/>
  <c r="GG101" i="178"/>
  <c r="CO62" i="178"/>
  <c r="FC62" i="178"/>
  <c r="CC198" i="178"/>
  <c r="BW198" i="178"/>
  <c r="BQ170" i="178"/>
  <c r="AA195" i="178"/>
  <c r="AY195" i="178"/>
  <c r="AG122" i="178"/>
  <c r="FC101" i="178"/>
  <c r="CU101" i="178"/>
  <c r="FY234" i="178"/>
  <c r="U117" i="178"/>
  <c r="U94" i="178"/>
  <c r="CU69" i="178"/>
  <c r="BW86" i="178"/>
  <c r="BQ195" i="178"/>
  <c r="AS101" i="178"/>
  <c r="BK188" i="178"/>
  <c r="BW188" i="178"/>
  <c r="CU188" i="178"/>
  <c r="AA188" i="178"/>
  <c r="FC188" i="178"/>
  <c r="BQ188" i="178"/>
  <c r="GG188" i="178"/>
  <c r="AG188" i="178"/>
  <c r="O188" i="178"/>
  <c r="CO188" i="178"/>
  <c r="AY188" i="178"/>
  <c r="BE188" i="178"/>
  <c r="CI188" i="178"/>
  <c r="CC188" i="178"/>
  <c r="AS188" i="178"/>
  <c r="DY188" i="178"/>
  <c r="AM188" i="178"/>
  <c r="GB247" i="178"/>
  <c r="GB237" i="178"/>
  <c r="GB244" i="178"/>
  <c r="GB253" i="178"/>
  <c r="BF223" i="178"/>
  <c r="CC157" i="178"/>
  <c r="AY157" i="178"/>
  <c r="CO157" i="178"/>
  <c r="BK157" i="178"/>
  <c r="DY157" i="178"/>
  <c r="AG157" i="178"/>
  <c r="FC157" i="178"/>
  <c r="AM157" i="178"/>
  <c r="BQ157" i="178"/>
  <c r="CI157" i="178"/>
  <c r="O157" i="178"/>
  <c r="BE157" i="178"/>
  <c r="BW157" i="178"/>
  <c r="CU157" i="178"/>
  <c r="AA157" i="178"/>
  <c r="GG157" i="178"/>
  <c r="AS157" i="178"/>
  <c r="U164" i="178"/>
  <c r="CO152" i="178"/>
  <c r="GG152" i="178"/>
  <c r="AS152" i="178"/>
  <c r="AY152" i="178"/>
  <c r="BK152" i="178"/>
  <c r="CU152" i="178"/>
  <c r="CC152" i="178"/>
  <c r="BE152" i="178"/>
  <c r="AM152" i="178"/>
  <c r="BW152" i="178"/>
  <c r="FC152" i="178"/>
  <c r="AG152" i="178"/>
  <c r="CI152" i="178"/>
  <c r="BQ152" i="178"/>
  <c r="DY152" i="178"/>
  <c r="AA152" i="178"/>
  <c r="O152" i="178"/>
  <c r="AY147" i="178"/>
  <c r="BW147" i="178"/>
  <c r="CC147" i="178"/>
  <c r="DY147" i="178"/>
  <c r="AS147" i="178"/>
  <c r="AA147" i="178"/>
  <c r="BK147" i="178"/>
  <c r="GG147" i="178"/>
  <c r="CU147" i="178"/>
  <c r="CO147" i="178"/>
  <c r="O147" i="178"/>
  <c r="CI147" i="178"/>
  <c r="BQ147" i="178"/>
  <c r="BE147" i="178"/>
  <c r="AM147" i="178"/>
  <c r="AG147" i="178"/>
  <c r="FC147" i="178"/>
  <c r="CD249" i="178"/>
  <c r="U166" i="178"/>
  <c r="U108" i="178"/>
  <c r="BQ125" i="178"/>
  <c r="CC125" i="178"/>
  <c r="CO125" i="178"/>
  <c r="CU125" i="178"/>
  <c r="AA125" i="178"/>
  <c r="CI125" i="178"/>
  <c r="DY125" i="178"/>
  <c r="BK125" i="178"/>
  <c r="AS125" i="178"/>
  <c r="GG125" i="178"/>
  <c r="O125" i="178"/>
  <c r="BW125" i="178"/>
  <c r="BE125" i="178"/>
  <c r="AG125" i="178"/>
  <c r="FC125" i="178"/>
  <c r="AY125" i="178"/>
  <c r="AM125" i="178"/>
  <c r="U138" i="178"/>
  <c r="BE76" i="178"/>
  <c r="CC76" i="178"/>
  <c r="CI76" i="178"/>
  <c r="O76" i="178"/>
  <c r="BK76" i="178"/>
  <c r="AS76" i="178"/>
  <c r="CU76" i="178"/>
  <c r="GG76" i="178"/>
  <c r="AM76" i="178"/>
  <c r="FC76" i="178"/>
  <c r="AY76" i="178"/>
  <c r="AG76" i="178"/>
  <c r="BQ76" i="178"/>
  <c r="DY76" i="178"/>
  <c r="AA76" i="178"/>
  <c r="CO76" i="178"/>
  <c r="BW76" i="178"/>
  <c r="BK60" i="178"/>
  <c r="CU60" i="178"/>
  <c r="AY60" i="178"/>
  <c r="CC60" i="178"/>
  <c r="AG60" i="178"/>
  <c r="FC60" i="178"/>
  <c r="CO60" i="178"/>
  <c r="AS60" i="178"/>
  <c r="O60" i="178"/>
  <c r="DY60" i="178"/>
  <c r="AA60" i="178"/>
  <c r="BE60" i="178"/>
  <c r="GG60" i="178"/>
  <c r="AM60" i="178"/>
  <c r="BQ60" i="178"/>
  <c r="CI60" i="178"/>
  <c r="BW60" i="178"/>
  <c r="FC177" i="178"/>
  <c r="AM177" i="178"/>
  <c r="BW177" i="178"/>
  <c r="GG177" i="178"/>
  <c r="AS177" i="178"/>
  <c r="DY177" i="178"/>
  <c r="AA177" i="178"/>
  <c r="BE177" i="178"/>
  <c r="CO177" i="178"/>
  <c r="O177" i="178"/>
  <c r="BK177" i="178"/>
  <c r="AG177" i="178"/>
  <c r="CC177" i="178"/>
  <c r="AY177" i="178"/>
  <c r="CI177" i="178"/>
  <c r="BQ177" i="178"/>
  <c r="CU177" i="178"/>
  <c r="BR249" i="178"/>
  <c r="U177" i="178"/>
  <c r="U97" i="178"/>
  <c r="U64" i="178"/>
  <c r="U174" i="178"/>
  <c r="GG102" i="178"/>
  <c r="AS102" i="178"/>
  <c r="BE102" i="178"/>
  <c r="CU102" i="178"/>
  <c r="AA102" i="178"/>
  <c r="BQ102" i="178"/>
  <c r="AG102" i="178"/>
  <c r="BW102" i="178"/>
  <c r="AY102" i="178"/>
  <c r="CO102" i="178"/>
  <c r="FC102" i="178"/>
  <c r="CI102" i="178"/>
  <c r="BK102" i="178"/>
  <c r="AM102" i="178"/>
  <c r="DY102" i="178"/>
  <c r="CC102" i="178"/>
  <c r="O102" i="178"/>
  <c r="AN231" i="178"/>
  <c r="CJ234" i="178"/>
  <c r="U168" i="178"/>
  <c r="U67" i="178"/>
  <c r="GT247" i="178"/>
  <c r="GT237" i="178"/>
  <c r="GT244" i="178"/>
  <c r="GT253" i="178"/>
  <c r="CI46" i="178"/>
  <c r="O46" i="178"/>
  <c r="BQ46" i="178"/>
  <c r="AY46" i="178"/>
  <c r="GG46" i="178"/>
  <c r="CU46" i="178"/>
  <c r="CC46" i="178"/>
  <c r="AG46" i="178"/>
  <c r="BK46" i="178"/>
  <c r="FC46" i="178"/>
  <c r="AS46" i="178"/>
  <c r="CO46" i="178"/>
  <c r="BW46" i="178"/>
  <c r="AA46" i="178"/>
  <c r="BE46" i="178"/>
  <c r="DY46" i="178"/>
  <c r="AM46" i="178"/>
  <c r="AZ249" i="178"/>
  <c r="BF249" i="178"/>
  <c r="U186" i="178"/>
  <c r="U124" i="178"/>
  <c r="AZ223" i="178"/>
  <c r="U55" i="178"/>
  <c r="BW158" i="178"/>
  <c r="GG158" i="178"/>
  <c r="AS158" i="178"/>
  <c r="CI158" i="178"/>
  <c r="O158" i="178"/>
  <c r="BE158" i="178"/>
  <c r="CU158" i="178"/>
  <c r="AA158" i="178"/>
  <c r="BQ158" i="178"/>
  <c r="CO158" i="178"/>
  <c r="DY158" i="178"/>
  <c r="AG158" i="178"/>
  <c r="FC158" i="178"/>
  <c r="BK158" i="178"/>
  <c r="AY158" i="178"/>
  <c r="CC158" i="178"/>
  <c r="AM158" i="178"/>
  <c r="CV249" i="178"/>
  <c r="BK145" i="178"/>
  <c r="CO145" i="178"/>
  <c r="AS145" i="178"/>
  <c r="O145" i="178"/>
  <c r="BW145" i="178"/>
  <c r="DY145" i="178"/>
  <c r="AA145" i="178"/>
  <c r="BE145" i="178"/>
  <c r="CI145" i="178"/>
  <c r="AM145" i="178"/>
  <c r="CU145" i="178"/>
  <c r="AY145" i="178"/>
  <c r="FC145" i="178"/>
  <c r="AG145" i="178"/>
  <c r="CC145" i="178"/>
  <c r="BQ145" i="178"/>
  <c r="GG145" i="178"/>
  <c r="U121" i="178"/>
  <c r="U72" i="178"/>
  <c r="DB253" i="178"/>
  <c r="DB247" i="178"/>
  <c r="DB237" i="178"/>
  <c r="DB244" i="178"/>
  <c r="CI81" i="178"/>
  <c r="BE81" i="178"/>
  <c r="CU81" i="178"/>
  <c r="BQ81" i="178"/>
  <c r="FC81" i="178"/>
  <c r="AM81" i="178"/>
  <c r="CC81" i="178"/>
  <c r="CO81" i="178"/>
  <c r="BK81" i="178"/>
  <c r="GG81" i="178"/>
  <c r="AS81" i="178"/>
  <c r="O81" i="178"/>
  <c r="AA81" i="178"/>
  <c r="AY81" i="178"/>
  <c r="BW81" i="178"/>
  <c r="DY81" i="178"/>
  <c r="AG81" i="178"/>
  <c r="U156" i="178"/>
  <c r="FA142" i="178"/>
  <c r="AK142" i="178"/>
  <c r="CG142" i="178"/>
  <c r="GE142" i="178"/>
  <c r="CA142" i="178"/>
  <c r="CM142" i="178"/>
  <c r="BI142" i="178"/>
  <c r="BC142" i="178"/>
  <c r="AE142" i="178"/>
  <c r="BU142" i="178"/>
  <c r="AW142" i="178"/>
  <c r="CS142" i="178"/>
  <c r="BO142" i="178"/>
  <c r="Y142" i="178"/>
  <c r="AQ142" i="178"/>
  <c r="DW142" i="178"/>
  <c r="CU93" i="178"/>
  <c r="AA93" i="178"/>
  <c r="AY93" i="178"/>
  <c r="DY93" i="178"/>
  <c r="CI93" i="178"/>
  <c r="BQ93" i="178"/>
  <c r="AG93" i="178"/>
  <c r="O93" i="178"/>
  <c r="GG93" i="178"/>
  <c r="AS93" i="178"/>
  <c r="FC93" i="178"/>
  <c r="CO93" i="178"/>
  <c r="BW93" i="178"/>
  <c r="BE93" i="178"/>
  <c r="AM93" i="178"/>
  <c r="CC93" i="178"/>
  <c r="BK93" i="178"/>
  <c r="U197" i="178"/>
  <c r="U85" i="178"/>
  <c r="DZ247" i="178"/>
  <c r="DZ237" i="178"/>
  <c r="DZ253" i="178"/>
  <c r="DZ244" i="178"/>
  <c r="GG176" i="178"/>
  <c r="AS176" i="178"/>
  <c r="CC176" i="178"/>
  <c r="AY176" i="178"/>
  <c r="BE176" i="178"/>
  <c r="AM176" i="178"/>
  <c r="CI176" i="178"/>
  <c r="BQ176" i="178"/>
  <c r="AA176" i="178"/>
  <c r="BK176" i="178"/>
  <c r="AG176" i="178"/>
  <c r="FC176" i="178"/>
  <c r="DY176" i="178"/>
  <c r="BW176" i="178"/>
  <c r="CO176" i="178"/>
  <c r="CU176" i="178"/>
  <c r="O176" i="178"/>
  <c r="U180" i="178"/>
  <c r="BK75" i="178"/>
  <c r="CI75" i="178"/>
  <c r="O75" i="178"/>
  <c r="CO75" i="178"/>
  <c r="BW75" i="178"/>
  <c r="FC75" i="178"/>
  <c r="AG75" i="178"/>
  <c r="BQ75" i="178"/>
  <c r="AY75" i="178"/>
  <c r="DY75" i="178"/>
  <c r="AS75" i="178"/>
  <c r="CU75" i="178"/>
  <c r="CC75" i="178"/>
  <c r="GG75" i="178"/>
  <c r="BE75" i="178"/>
  <c r="AM75" i="178"/>
  <c r="AA75" i="178"/>
  <c r="CH234" i="178"/>
  <c r="CJ231" i="178"/>
  <c r="BF234" i="178"/>
  <c r="BQ187" i="178"/>
  <c r="DY187" i="178"/>
  <c r="AA187" i="178"/>
  <c r="GG187" i="178"/>
  <c r="O187" i="178"/>
  <c r="CU187" i="178"/>
  <c r="CC187" i="178"/>
  <c r="FC187" i="178"/>
  <c r="CI187" i="178"/>
  <c r="AY187" i="178"/>
  <c r="AG187" i="178"/>
  <c r="AS187" i="178"/>
  <c r="BW187" i="178"/>
  <c r="AM187" i="178"/>
  <c r="CO187" i="178"/>
  <c r="BE187" i="178"/>
  <c r="BK187" i="178"/>
  <c r="DN253" i="178"/>
  <c r="DN237" i="178"/>
  <c r="DN244" i="178"/>
  <c r="DN247" i="178"/>
  <c r="U141" i="178"/>
  <c r="U65" i="178"/>
  <c r="BX223" i="178"/>
  <c r="GG134" i="178"/>
  <c r="AS134" i="178"/>
  <c r="O134" i="178"/>
  <c r="BQ134" i="178"/>
  <c r="CO134" i="178"/>
  <c r="AA134" i="178"/>
  <c r="BW134" i="178"/>
  <c r="BE134" i="178"/>
  <c r="AM134" i="178"/>
  <c r="DY134" i="178"/>
  <c r="CI134" i="178"/>
  <c r="AY134" i="178"/>
  <c r="AG134" i="178"/>
  <c r="CU134" i="178"/>
  <c r="CC134" i="178"/>
  <c r="BK134" i="178"/>
  <c r="FC134" i="178"/>
  <c r="EX247" i="178"/>
  <c r="EX237" i="178"/>
  <c r="EX253" i="178"/>
  <c r="EX244" i="178"/>
  <c r="U175" i="178"/>
  <c r="BE130" i="178"/>
  <c r="CU130" i="178"/>
  <c r="AA130" i="178"/>
  <c r="BQ130" i="178"/>
  <c r="AM130" i="178"/>
  <c r="FC130" i="178"/>
  <c r="CC130" i="178"/>
  <c r="AY130" i="178"/>
  <c r="BK130" i="178"/>
  <c r="AG130" i="178"/>
  <c r="GG130" i="178"/>
  <c r="CI130" i="178"/>
  <c r="BW130" i="178"/>
  <c r="DY130" i="178"/>
  <c r="O130" i="178"/>
  <c r="AS130" i="178"/>
  <c r="CO130" i="178"/>
  <c r="U100" i="178"/>
  <c r="U204" i="178"/>
  <c r="U120" i="178"/>
  <c r="U92" i="178"/>
  <c r="BE84" i="178"/>
  <c r="CU84" i="178"/>
  <c r="AA84" i="178"/>
  <c r="BQ84" i="178"/>
  <c r="FC84" i="178"/>
  <c r="AM84" i="178"/>
  <c r="CC84" i="178"/>
  <c r="AY84" i="178"/>
  <c r="BK84" i="178"/>
  <c r="DY84" i="178"/>
  <c r="AG84" i="178"/>
  <c r="GG84" i="178"/>
  <c r="AS84" i="178"/>
  <c r="CI84" i="178"/>
  <c r="O84" i="178"/>
  <c r="CO84" i="178"/>
  <c r="BW84" i="178"/>
  <c r="BK80" i="178"/>
  <c r="GG80" i="178"/>
  <c r="AS80" i="178"/>
  <c r="O80" i="178"/>
  <c r="CI80" i="178"/>
  <c r="BE80" i="178"/>
  <c r="BQ80" i="178"/>
  <c r="CO80" i="178"/>
  <c r="AM80" i="178"/>
  <c r="DY80" i="178"/>
  <c r="CC80" i="178"/>
  <c r="AG80" i="178"/>
  <c r="BW80" i="178"/>
  <c r="AY80" i="178"/>
  <c r="AA80" i="178"/>
  <c r="FC80" i="178"/>
  <c r="CU80" i="178"/>
  <c r="U48" i="178"/>
  <c r="AT247" i="178"/>
  <c r="AT237" i="178"/>
  <c r="AT253" i="178"/>
  <c r="AT244" i="178"/>
  <c r="U71" i="178"/>
  <c r="BQ98" i="178"/>
  <c r="CO98" i="178"/>
  <c r="DY98" i="178"/>
  <c r="CI98" i="178"/>
  <c r="AY98" i="178"/>
  <c r="AG98" i="178"/>
  <c r="O98" i="178"/>
  <c r="GG98" i="178"/>
  <c r="AS98" i="178"/>
  <c r="AA98" i="178"/>
  <c r="FC98" i="178"/>
  <c r="BW98" i="178"/>
  <c r="BE98" i="178"/>
  <c r="AM98" i="178"/>
  <c r="CU98" i="178"/>
  <c r="CC98" i="178"/>
  <c r="BK98" i="178"/>
  <c r="U207" i="178"/>
  <c r="U187" i="178"/>
  <c r="AY77" i="178"/>
  <c r="BW77" i="178"/>
  <c r="CC77" i="178"/>
  <c r="O77" i="178"/>
  <c r="FC77" i="178"/>
  <c r="AG77" i="178"/>
  <c r="CI77" i="178"/>
  <c r="BQ77" i="178"/>
  <c r="DY77" i="178"/>
  <c r="AS77" i="178"/>
  <c r="AA77" i="178"/>
  <c r="GG77" i="178"/>
  <c r="CU77" i="178"/>
  <c r="BE77" i="178"/>
  <c r="AM77" i="178"/>
  <c r="CO77" i="178"/>
  <c r="BK77" i="178"/>
  <c r="U78" i="178"/>
  <c r="U206" i="178"/>
  <c r="AY171" i="178"/>
  <c r="CO171" i="178"/>
  <c r="FC171" i="178"/>
  <c r="BW171" i="178"/>
  <c r="BE171" i="178"/>
  <c r="BQ171" i="178"/>
  <c r="AG171" i="178"/>
  <c r="CU171" i="178"/>
  <c r="BK171" i="178"/>
  <c r="AS171" i="178"/>
  <c r="GG171" i="178"/>
  <c r="CC171" i="178"/>
  <c r="AM171" i="178"/>
  <c r="DY171" i="178"/>
  <c r="AA171" i="178"/>
  <c r="O171" i="178"/>
  <c r="CI171" i="178"/>
  <c r="U211" i="178"/>
  <c r="U193" i="178"/>
  <c r="U102" i="178"/>
  <c r="EX234" i="178"/>
  <c r="DY178" i="178"/>
  <c r="AG178" i="178"/>
  <c r="BQ178" i="178"/>
  <c r="FC178" i="178"/>
  <c r="AM178" i="178"/>
  <c r="O178" i="178"/>
  <c r="CI178" i="178"/>
  <c r="AS178" i="178"/>
  <c r="AA178" i="178"/>
  <c r="GG178" i="178"/>
  <c r="CU178" i="178"/>
  <c r="BW178" i="178"/>
  <c r="BK178" i="178"/>
  <c r="AY178" i="178"/>
  <c r="CO178" i="178"/>
  <c r="CC178" i="178"/>
  <c r="BE178" i="178"/>
  <c r="U149" i="178"/>
  <c r="U76" i="178"/>
  <c r="BL223" i="178"/>
  <c r="CU180" i="178"/>
  <c r="AA180" i="178"/>
  <c r="AY180" i="178"/>
  <c r="CI180" i="178"/>
  <c r="BE180" i="178"/>
  <c r="BW180" i="178"/>
  <c r="FC180" i="178"/>
  <c r="AG180" i="178"/>
  <c r="AS180" i="178"/>
  <c r="GG180" i="178"/>
  <c r="CO180" i="178"/>
  <c r="AM180" i="178"/>
  <c r="DY180" i="178"/>
  <c r="BQ180" i="178"/>
  <c r="BK180" i="178"/>
  <c r="CC180" i="178"/>
  <c r="O180" i="178"/>
  <c r="U82" i="178"/>
  <c r="DY104" i="178"/>
  <c r="AG104" i="178"/>
  <c r="GG104" i="178"/>
  <c r="AS104" i="178"/>
  <c r="CI104" i="178"/>
  <c r="O104" i="178"/>
  <c r="BE104" i="178"/>
  <c r="BK104" i="178"/>
  <c r="CO104" i="178"/>
  <c r="AM104" i="178"/>
  <c r="FC104" i="178"/>
  <c r="CC104" i="178"/>
  <c r="CU104" i="178"/>
  <c r="BW104" i="178"/>
  <c r="AY104" i="178"/>
  <c r="BQ104" i="178"/>
  <c r="AA104" i="178"/>
  <c r="U84" i="178"/>
  <c r="CI114" i="178"/>
  <c r="O114" i="178"/>
  <c r="CU114" i="178"/>
  <c r="AY114" i="178"/>
  <c r="CC114" i="178"/>
  <c r="FC114" i="178"/>
  <c r="AG114" i="178"/>
  <c r="BK114" i="178"/>
  <c r="CO114" i="178"/>
  <c r="BW114" i="178"/>
  <c r="AA114" i="178"/>
  <c r="DY114" i="178"/>
  <c r="BE114" i="178"/>
  <c r="AM114" i="178"/>
  <c r="GG114" i="178"/>
  <c r="BQ114" i="178"/>
  <c r="AS114" i="178"/>
  <c r="U215" i="178"/>
  <c r="U213" i="178"/>
  <c r="FC212" i="178"/>
  <c r="BK212" i="178"/>
  <c r="CU212" i="178"/>
  <c r="CO212" i="178"/>
  <c r="BW212" i="178"/>
  <c r="BE212" i="178"/>
  <c r="AA212" i="178"/>
  <c r="AS212" i="178"/>
  <c r="O212" i="178"/>
  <c r="BQ212" i="178"/>
  <c r="GG212" i="178"/>
  <c r="CC212" i="178"/>
  <c r="AY212" i="178"/>
  <c r="CI212" i="178"/>
  <c r="AG212" i="178"/>
  <c r="AM212" i="178"/>
  <c r="DY212" i="178"/>
  <c r="FP253" i="178"/>
  <c r="FP237" i="178"/>
  <c r="FP247" i="178"/>
  <c r="FP244" i="178"/>
  <c r="CU67" i="178"/>
  <c r="AA67" i="178"/>
  <c r="AY67" i="178"/>
  <c r="BE67" i="178"/>
  <c r="GG67" i="178"/>
  <c r="AM67" i="178"/>
  <c r="CO67" i="178"/>
  <c r="BW67" i="178"/>
  <c r="FC67" i="178"/>
  <c r="AG67" i="178"/>
  <c r="O67" i="178"/>
  <c r="BQ67" i="178"/>
  <c r="DY67" i="178"/>
  <c r="CI67" i="178"/>
  <c r="BK67" i="178"/>
  <c r="AS67" i="178"/>
  <c r="CC67" i="178"/>
  <c r="U107" i="178"/>
  <c r="U104" i="178"/>
  <c r="U47" i="178"/>
  <c r="U52" i="178"/>
  <c r="U169" i="178"/>
  <c r="BK66" i="178"/>
  <c r="CI66" i="178"/>
  <c r="O66" i="178"/>
  <c r="CO66" i="178"/>
  <c r="BQ66" i="178"/>
  <c r="AY66" i="178"/>
  <c r="DY66" i="178"/>
  <c r="AA66" i="178"/>
  <c r="AS66" i="178"/>
  <c r="GG66" i="178"/>
  <c r="BE66" i="178"/>
  <c r="AM66" i="178"/>
  <c r="BW66" i="178"/>
  <c r="FC66" i="178"/>
  <c r="AG66" i="178"/>
  <c r="CU66" i="178"/>
  <c r="CC66" i="178"/>
  <c r="U176" i="178"/>
  <c r="BQ132" i="178"/>
  <c r="CO132" i="178"/>
  <c r="DY132" i="178"/>
  <c r="CI132" i="178"/>
  <c r="AY132" i="178"/>
  <c r="AG132" i="178"/>
  <c r="O132" i="178"/>
  <c r="GG132" i="178"/>
  <c r="CU132" i="178"/>
  <c r="CC132" i="178"/>
  <c r="BK132" i="178"/>
  <c r="AA132" i="178"/>
  <c r="FC132" i="178"/>
  <c r="BW132" i="178"/>
  <c r="BE132" i="178"/>
  <c r="AS132" i="178"/>
  <c r="AM132" i="178"/>
  <c r="EV234" i="178"/>
  <c r="EX231" i="178"/>
  <c r="BE138" i="178"/>
  <c r="DY138" i="178"/>
  <c r="CU138" i="178"/>
  <c r="AA138" i="178"/>
  <c r="CC138" i="178"/>
  <c r="BK138" i="178"/>
  <c r="AS138" i="178"/>
  <c r="GG138" i="178"/>
  <c r="AM138" i="178"/>
  <c r="AY138" i="178"/>
  <c r="AG138" i="178"/>
  <c r="O138" i="178"/>
  <c r="BQ138" i="178"/>
  <c r="CI138" i="178"/>
  <c r="FC138" i="178"/>
  <c r="CO138" i="178"/>
  <c r="BW138" i="178"/>
  <c r="EF253" i="178"/>
  <c r="EF237" i="178"/>
  <c r="EF247" i="178"/>
  <c r="EF244" i="178"/>
  <c r="U134" i="178"/>
  <c r="BF247" i="178"/>
  <c r="BF237" i="178"/>
  <c r="BF244" i="178"/>
  <c r="BF253" i="178"/>
  <c r="U154" i="178"/>
  <c r="U93" i="178"/>
  <c r="U91" i="178"/>
  <c r="CU49" i="178"/>
  <c r="AA49" i="178"/>
  <c r="AY49" i="178"/>
  <c r="BK49" i="178"/>
  <c r="DY49" i="178"/>
  <c r="CI49" i="178"/>
  <c r="BQ49" i="178"/>
  <c r="AG49" i="178"/>
  <c r="O49" i="178"/>
  <c r="GG49" i="178"/>
  <c r="AS49" i="178"/>
  <c r="CC49" i="178"/>
  <c r="FC49" i="178"/>
  <c r="CO49" i="178"/>
  <c r="BW49" i="178"/>
  <c r="BE49" i="178"/>
  <c r="AM49" i="178"/>
  <c r="CJ223" i="178"/>
  <c r="CC164" i="178"/>
  <c r="GG164" i="178"/>
  <c r="CI164" i="178"/>
  <c r="BE164" i="178"/>
  <c r="FC164" i="178"/>
  <c r="AG164" i="178"/>
  <c r="BK164" i="178"/>
  <c r="O164" i="178"/>
  <c r="CO164" i="178"/>
  <c r="BW164" i="178"/>
  <c r="AS164" i="178"/>
  <c r="DY164" i="178"/>
  <c r="AA164" i="178"/>
  <c r="AM164" i="178"/>
  <c r="BQ164" i="178"/>
  <c r="CU164" i="178"/>
  <c r="AY164" i="178"/>
  <c r="U157" i="178"/>
  <c r="BU234" i="178"/>
  <c r="FC103" i="178"/>
  <c r="AM103" i="178"/>
  <c r="AY103" i="178"/>
  <c r="CO103" i="178"/>
  <c r="BK103" i="178"/>
  <c r="BW103" i="178"/>
  <c r="CU103" i="178"/>
  <c r="GG103" i="178"/>
  <c r="AA103" i="178"/>
  <c r="BQ103" i="178"/>
  <c r="AS103" i="178"/>
  <c r="CI103" i="178"/>
  <c r="DY103" i="178"/>
  <c r="CC103" i="178"/>
  <c r="BE103" i="178"/>
  <c r="AG103" i="178"/>
  <c r="O103" i="178"/>
  <c r="CC205" i="178"/>
  <c r="AY205" i="178"/>
  <c r="CO205" i="178"/>
  <c r="BW205" i="178"/>
  <c r="BE205" i="178"/>
  <c r="AM205" i="178"/>
  <c r="AG205" i="178"/>
  <c r="O205" i="178"/>
  <c r="DY205" i="178"/>
  <c r="CI205" i="178"/>
  <c r="BQ205" i="178"/>
  <c r="FC205" i="178"/>
  <c r="AA205" i="178"/>
  <c r="CU205" i="178"/>
  <c r="GG205" i="178"/>
  <c r="AS205" i="178"/>
  <c r="BK205" i="178"/>
  <c r="GH247" i="178"/>
  <c r="GH237" i="178"/>
  <c r="GH244" i="178"/>
  <c r="GH253" i="178"/>
  <c r="BI158" i="178"/>
  <c r="DW158" i="178"/>
  <c r="AE158" i="178"/>
  <c r="BU158" i="178"/>
  <c r="GE158" i="178"/>
  <c r="AQ158" i="178"/>
  <c r="CG158" i="178"/>
  <c r="BC158" i="178"/>
  <c r="CM158" i="178"/>
  <c r="AK158" i="178"/>
  <c r="FA158" i="178"/>
  <c r="BO158" i="178"/>
  <c r="CS158" i="178"/>
  <c r="Y158" i="178"/>
  <c r="AW158" i="178"/>
  <c r="CA158" i="178"/>
  <c r="U60" i="178"/>
  <c r="BE204" i="178"/>
  <c r="CU204" i="178"/>
  <c r="AA204" i="178"/>
  <c r="FC204" i="178"/>
  <c r="CI204" i="178"/>
  <c r="AY204" i="178"/>
  <c r="O204" i="178"/>
  <c r="CC204" i="178"/>
  <c r="GG204" i="178"/>
  <c r="BK204" i="178"/>
  <c r="DY204" i="178"/>
  <c r="BQ204" i="178"/>
  <c r="BW204" i="178"/>
  <c r="AS204" i="178"/>
  <c r="AG204" i="178"/>
  <c r="AM204" i="178"/>
  <c r="CO204" i="178"/>
  <c r="FC79" i="178"/>
  <c r="AM79" i="178"/>
  <c r="CO79" i="178"/>
  <c r="BK79" i="178"/>
  <c r="DY79" i="178"/>
  <c r="AG79" i="178"/>
  <c r="BQ79" i="178"/>
  <c r="BW79" i="178"/>
  <c r="AY79" i="178"/>
  <c r="AA79" i="178"/>
  <c r="CU79" i="178"/>
  <c r="AS79" i="178"/>
  <c r="GG79" i="178"/>
  <c r="CI79" i="178"/>
  <c r="O79" i="178"/>
  <c r="CC79" i="178"/>
  <c r="BE79" i="178"/>
  <c r="CD253" i="178"/>
  <c r="CD237" i="178"/>
  <c r="CD247" i="178"/>
  <c r="CD244" i="178"/>
  <c r="U196" i="178"/>
  <c r="BK64" i="178"/>
  <c r="BE64" i="178"/>
  <c r="CI64" i="178"/>
  <c r="GG64" i="178"/>
  <c r="AM64" i="178"/>
  <c r="BQ64" i="178"/>
  <c r="CU64" i="178"/>
  <c r="AY64" i="178"/>
  <c r="FC64" i="178"/>
  <c r="CO64" i="178"/>
  <c r="AS64" i="178"/>
  <c r="O64" i="178"/>
  <c r="BW64" i="178"/>
  <c r="DY64" i="178"/>
  <c r="AA64" i="178"/>
  <c r="AG64" i="178"/>
  <c r="CC64" i="178"/>
  <c r="U210" i="178"/>
  <c r="U136" i="178"/>
  <c r="FC115" i="178"/>
  <c r="AM115" i="178"/>
  <c r="GG115" i="178"/>
  <c r="CI115" i="178"/>
  <c r="CU115" i="178"/>
  <c r="BQ115" i="178"/>
  <c r="AY115" i="178"/>
  <c r="CC115" i="178"/>
  <c r="AG115" i="178"/>
  <c r="CO115" i="178"/>
  <c r="O115" i="178"/>
  <c r="AS115" i="178"/>
  <c r="DY115" i="178"/>
  <c r="BW115" i="178"/>
  <c r="AA115" i="178"/>
  <c r="BE115" i="178"/>
  <c r="BK115" i="178"/>
  <c r="U151" i="178"/>
  <c r="U148" i="178"/>
  <c r="U58" i="178"/>
  <c r="U208" i="178"/>
  <c r="BD234" i="178"/>
  <c r="BF231" i="178"/>
  <c r="AN234" i="178"/>
  <c r="AT234" i="178"/>
  <c r="BQ135" i="178"/>
  <c r="CO135" i="178"/>
  <c r="DY135" i="178"/>
  <c r="AM135" i="178"/>
  <c r="CI135" i="178"/>
  <c r="GG135" i="178"/>
  <c r="AY135" i="178"/>
  <c r="AG135" i="178"/>
  <c r="O135" i="178"/>
  <c r="CU135" i="178"/>
  <c r="CC135" i="178"/>
  <c r="FC135" i="178"/>
  <c r="AS135" i="178"/>
  <c r="AA135" i="178"/>
  <c r="BW135" i="178"/>
  <c r="BE135" i="178"/>
  <c r="BK135" i="178"/>
  <c r="U118" i="178"/>
  <c r="CU166" i="178"/>
  <c r="AA166" i="178"/>
  <c r="BK166" i="178"/>
  <c r="GG166" i="178"/>
  <c r="AS166" i="178"/>
  <c r="BQ166" i="178"/>
  <c r="CI166" i="178"/>
  <c r="AY166" i="178"/>
  <c r="AG166" i="178"/>
  <c r="O166" i="178"/>
  <c r="DY166" i="178"/>
  <c r="CC166" i="178"/>
  <c r="BW166" i="178"/>
  <c r="BE166" i="178"/>
  <c r="AM166" i="178"/>
  <c r="FC166" i="178"/>
  <c r="CO166" i="178"/>
  <c r="GG137" i="178"/>
  <c r="CI137" i="178"/>
  <c r="O137" i="178"/>
  <c r="AM137" i="178"/>
  <c r="AS137" i="178"/>
  <c r="AA137" i="178"/>
  <c r="FC137" i="178"/>
  <c r="CO137" i="178"/>
  <c r="BW137" i="178"/>
  <c r="BE137" i="178"/>
  <c r="BQ137" i="178"/>
  <c r="AY137" i="178"/>
  <c r="AG137" i="178"/>
  <c r="CU137" i="178"/>
  <c r="CC137" i="178"/>
  <c r="BK137" i="178"/>
  <c r="DY137" i="178"/>
  <c r="U191" i="178"/>
  <c r="U189" i="178"/>
  <c r="CP247" i="178"/>
  <c r="CP237" i="178"/>
  <c r="CP253" i="178"/>
  <c r="CP244" i="178"/>
  <c r="FC149" i="178"/>
  <c r="AM149" i="178"/>
  <c r="BK149" i="178"/>
  <c r="BQ149" i="178"/>
  <c r="GG149" i="178"/>
  <c r="CU149" i="178"/>
  <c r="BW149" i="178"/>
  <c r="BE149" i="178"/>
  <c r="CO149" i="178"/>
  <c r="AG149" i="178"/>
  <c r="AY149" i="178"/>
  <c r="O149" i="178"/>
  <c r="DY149" i="178"/>
  <c r="CI149" i="178"/>
  <c r="CC149" i="178"/>
  <c r="AA149" i="178"/>
  <c r="AS149" i="178"/>
  <c r="CP234" i="178"/>
  <c r="FJ247" i="178"/>
  <c r="FJ237" i="178"/>
  <c r="FJ253" i="178"/>
  <c r="FJ244" i="178"/>
  <c r="U130" i="178"/>
  <c r="FC192" i="178"/>
  <c r="AM192" i="178"/>
  <c r="BE192" i="178"/>
  <c r="CU192" i="178"/>
  <c r="AY192" i="178"/>
  <c r="AG192" i="178"/>
  <c r="DY192" i="178"/>
  <c r="O192" i="178"/>
  <c r="BQ192" i="178"/>
  <c r="BW192" i="178"/>
  <c r="AS192" i="178"/>
  <c r="BK192" i="178"/>
  <c r="CO192" i="178"/>
  <c r="CI192" i="178"/>
  <c r="CC192" i="178"/>
  <c r="GG192" i="178"/>
  <c r="AA192" i="178"/>
  <c r="GZ248" i="178"/>
  <c r="V24" i="178"/>
  <c r="U198" i="178"/>
  <c r="U123" i="178"/>
  <c r="AT231" i="178"/>
  <c r="GB234" i="178"/>
  <c r="BL234" i="178"/>
  <c r="DY116" i="178"/>
  <c r="AG116" i="178"/>
  <c r="BE116" i="178"/>
  <c r="CI116" i="178"/>
  <c r="GG116" i="178"/>
  <c r="AM116" i="178"/>
  <c r="BQ116" i="178"/>
  <c r="CU116" i="178"/>
  <c r="AY116" i="178"/>
  <c r="FC116" i="178"/>
  <c r="BK116" i="178"/>
  <c r="O116" i="178"/>
  <c r="CO116" i="178"/>
  <c r="AS116" i="178"/>
  <c r="BW116" i="178"/>
  <c r="AA116" i="178"/>
  <c r="CC116" i="178"/>
  <c r="U81" i="178"/>
  <c r="CC128" i="178"/>
  <c r="CO128" i="178"/>
  <c r="BK128" i="178"/>
  <c r="DY128" i="178"/>
  <c r="AG128" i="178"/>
  <c r="BE128" i="178"/>
  <c r="FC128" i="178"/>
  <c r="AM128" i="178"/>
  <c r="CI128" i="178"/>
  <c r="AA128" i="178"/>
  <c r="GG128" i="178"/>
  <c r="AY128" i="178"/>
  <c r="BW128" i="178"/>
  <c r="AS128" i="178"/>
  <c r="O128" i="178"/>
  <c r="CU128" i="178"/>
  <c r="BQ128" i="178"/>
  <c r="DH247" i="178"/>
  <c r="DH253" i="178"/>
  <c r="DH237" i="178"/>
  <c r="DH244" i="178"/>
  <c r="U44" i="178"/>
  <c r="CD223" i="178"/>
  <c r="CI119" i="178"/>
  <c r="O119" i="178"/>
  <c r="FC119" i="178"/>
  <c r="AM119" i="178"/>
  <c r="GG119" i="178"/>
  <c r="AS119" i="178"/>
  <c r="CC119" i="178"/>
  <c r="BK119" i="178"/>
  <c r="CU119" i="178"/>
  <c r="BE119" i="178"/>
  <c r="CO119" i="178"/>
  <c r="BW119" i="178"/>
  <c r="AY119" i="178"/>
  <c r="AG119" i="178"/>
  <c r="BQ119" i="178"/>
  <c r="DY119" i="178"/>
  <c r="AA119" i="178"/>
  <c r="U152" i="178"/>
  <c r="U96" i="178"/>
  <c r="U209" i="178"/>
  <c r="U153" i="178"/>
  <c r="U51" i="178"/>
  <c r="U170" i="178"/>
  <c r="U167" i="178"/>
  <c r="U69" i="178"/>
  <c r="AY208" i="178"/>
  <c r="CO208" i="178"/>
  <c r="BK208" i="178"/>
  <c r="BQ208" i="178"/>
  <c r="GG208" i="178"/>
  <c r="AS208" i="178"/>
  <c r="CU208" i="178"/>
  <c r="CC208" i="178"/>
  <c r="AA208" i="178"/>
  <c r="DY208" i="178"/>
  <c r="CI208" i="178"/>
  <c r="O208" i="178"/>
  <c r="FC208" i="178"/>
  <c r="AG208" i="178"/>
  <c r="BW208" i="178"/>
  <c r="AM208" i="178"/>
  <c r="BE208" i="178"/>
  <c r="GG124" i="178"/>
  <c r="AS124" i="178"/>
  <c r="O124" i="178"/>
  <c r="BQ124" i="178"/>
  <c r="BW124" i="178"/>
  <c r="FC124" i="178"/>
  <c r="CO124" i="178"/>
  <c r="AY124" i="178"/>
  <c r="AG124" i="178"/>
  <c r="CI124" i="178"/>
  <c r="DY124" i="178"/>
  <c r="BK124" i="178"/>
  <c r="CC124" i="178"/>
  <c r="AA124" i="178"/>
  <c r="CU124" i="178"/>
  <c r="BE124" i="178"/>
  <c r="AM124" i="178"/>
  <c r="GN253" i="178"/>
  <c r="GN247" i="178"/>
  <c r="GN237" i="178"/>
  <c r="GN244" i="178"/>
  <c r="U132" i="178"/>
  <c r="U61" i="178"/>
  <c r="GG108" i="178"/>
  <c r="AS108" i="178"/>
  <c r="O108" i="178"/>
  <c r="CU108" i="178"/>
  <c r="CC108" i="178"/>
  <c r="AY108" i="178"/>
  <c r="FC108" i="178"/>
  <c r="BK108" i="178"/>
  <c r="AG108" i="178"/>
  <c r="CO108" i="178"/>
  <c r="BW108" i="178"/>
  <c r="DY108" i="178"/>
  <c r="AA108" i="178"/>
  <c r="BQ108" i="178"/>
  <c r="AM108" i="178"/>
  <c r="BE108" i="178"/>
  <c r="CI108" i="178"/>
  <c r="CI196" i="178"/>
  <c r="O196" i="178"/>
  <c r="BK196" i="178"/>
  <c r="CO196" i="178"/>
  <c r="BW196" i="178"/>
  <c r="BE196" i="178"/>
  <c r="BQ196" i="178"/>
  <c r="AY196" i="178"/>
  <c r="AG196" i="178"/>
  <c r="CU196" i="178"/>
  <c r="CC196" i="178"/>
  <c r="DY196" i="178"/>
  <c r="AA196" i="178"/>
  <c r="FC196" i="178"/>
  <c r="GG196" i="178"/>
  <c r="AM196" i="178"/>
  <c r="AS196" i="178"/>
  <c r="BL253" i="178"/>
  <c r="BL237" i="178"/>
  <c r="BL247" i="178"/>
  <c r="BL244" i="178"/>
  <c r="CU207" i="178"/>
  <c r="AA207" i="178"/>
  <c r="BQ207" i="178"/>
  <c r="FC207" i="178"/>
  <c r="AM207" i="178"/>
  <c r="CO207" i="178"/>
  <c r="AY207" i="178"/>
  <c r="O207" i="178"/>
  <c r="CC207" i="178"/>
  <c r="BK207" i="178"/>
  <c r="GG207" i="178"/>
  <c r="AS207" i="178"/>
  <c r="AG207" i="178"/>
  <c r="BE207" i="178"/>
  <c r="CI207" i="178"/>
  <c r="DY207" i="178"/>
  <c r="BW207" i="178"/>
  <c r="U74" i="178"/>
  <c r="BE189" i="178"/>
  <c r="BK189" i="178"/>
  <c r="CI189" i="178"/>
  <c r="AM189" i="178"/>
  <c r="CC189" i="178"/>
  <c r="AS189" i="178"/>
  <c r="CO189" i="178"/>
  <c r="AY189" i="178"/>
  <c r="FC189" i="178"/>
  <c r="BQ189" i="178"/>
  <c r="AA189" i="178"/>
  <c r="CU189" i="178"/>
  <c r="GG189" i="178"/>
  <c r="BW189" i="178"/>
  <c r="AG189" i="178"/>
  <c r="DY189" i="178"/>
  <c r="O189" i="178"/>
  <c r="CU65" i="178"/>
  <c r="AA65" i="178"/>
  <c r="AY65" i="178"/>
  <c r="BE65" i="178"/>
  <c r="BK65" i="178"/>
  <c r="AS65" i="178"/>
  <c r="CC65" i="178"/>
  <c r="GG65" i="178"/>
  <c r="AM65" i="178"/>
  <c r="FC65" i="178"/>
  <c r="AG65" i="178"/>
  <c r="BQ65" i="178"/>
  <c r="O65" i="178"/>
  <c r="DY65" i="178"/>
  <c r="CI65" i="178"/>
  <c r="CO65" i="178"/>
  <c r="BW65" i="178"/>
  <c r="BW173" i="178"/>
  <c r="FC173" i="178"/>
  <c r="AM173" i="178"/>
  <c r="CC173" i="178"/>
  <c r="AS173" i="178"/>
  <c r="AA173" i="178"/>
  <c r="O173" i="178"/>
  <c r="CI173" i="178"/>
  <c r="BK173" i="178"/>
  <c r="GG173" i="178"/>
  <c r="CO173" i="178"/>
  <c r="DY173" i="178"/>
  <c r="BE173" i="178"/>
  <c r="BQ173" i="178"/>
  <c r="AY173" i="178"/>
  <c r="AG173" i="178"/>
  <c r="CU173" i="178"/>
  <c r="CJ253" i="178"/>
  <c r="CJ237" i="178"/>
  <c r="CJ244" i="178"/>
  <c r="CJ247" i="178"/>
  <c r="AT249" i="178"/>
  <c r="U188" i="178"/>
  <c r="CU174" i="178"/>
  <c r="AA174" i="178"/>
  <c r="BK174" i="178"/>
  <c r="DY174" i="178"/>
  <c r="AG174" i="178"/>
  <c r="BW174" i="178"/>
  <c r="BE174" i="178"/>
  <c r="BQ174" i="178"/>
  <c r="FC174" i="178"/>
  <c r="AS174" i="178"/>
  <c r="CI174" i="178"/>
  <c r="O174" i="178"/>
  <c r="GG174" i="178"/>
  <c r="AY174" i="178"/>
  <c r="CC174" i="178"/>
  <c r="AM174" i="178"/>
  <c r="CO174" i="178"/>
  <c r="U116" i="178"/>
  <c r="CO201" i="178"/>
  <c r="FC201" i="178"/>
  <c r="BK201" i="178"/>
  <c r="CI201" i="178"/>
  <c r="BQ201" i="178"/>
  <c r="AS201" i="178"/>
  <c r="DY201" i="178"/>
  <c r="AM201" i="178"/>
  <c r="BE201" i="178"/>
  <c r="AA201" i="178"/>
  <c r="AY201" i="178"/>
  <c r="O201" i="178"/>
  <c r="GG201" i="178"/>
  <c r="BW201" i="178"/>
  <c r="CU201" i="178"/>
  <c r="CC201" i="178"/>
  <c r="AG201" i="178"/>
  <c r="U158" i="178"/>
  <c r="BQ199" i="178"/>
  <c r="DY199" i="178"/>
  <c r="AG199" i="178"/>
  <c r="GG199" i="178"/>
  <c r="AS199" i="178"/>
  <c r="CU199" i="178"/>
  <c r="AM199" i="178"/>
  <c r="FC199" i="178"/>
  <c r="AA199" i="178"/>
  <c r="BK199" i="178"/>
  <c r="BE199" i="178"/>
  <c r="O199" i="178"/>
  <c r="CO199" i="178"/>
  <c r="BW199" i="178"/>
  <c r="AY199" i="178"/>
  <c r="CI199" i="178"/>
  <c r="CC199" i="178"/>
  <c r="U195" i="178"/>
  <c r="AY45" i="178"/>
  <c r="CU45" i="178"/>
  <c r="CC45" i="178"/>
  <c r="AG45" i="178"/>
  <c r="FC45" i="178"/>
  <c r="BK45" i="178"/>
  <c r="CO45" i="178"/>
  <c r="O45" i="178"/>
  <c r="AS45" i="178"/>
  <c r="DY45" i="178"/>
  <c r="AA45" i="178"/>
  <c r="BE45" i="178"/>
  <c r="CI45" i="178"/>
  <c r="GG45" i="178"/>
  <c r="AM45" i="178"/>
  <c r="BQ45" i="178"/>
  <c r="BW45" i="178"/>
  <c r="CN234" i="178"/>
  <c r="CP231" i="178"/>
  <c r="CD234" i="178"/>
  <c r="BX234" i="178"/>
  <c r="U70" i="178"/>
  <c r="ER247" i="178"/>
  <c r="ER250" i="178" s="1"/>
  <c r="ER253" i="178"/>
  <c r="ER237" i="178"/>
  <c r="ER244" i="178"/>
  <c r="GN249" i="178"/>
  <c r="U212" i="178"/>
  <c r="BK126" i="178"/>
  <c r="BW126" i="178"/>
  <c r="CI126" i="178"/>
  <c r="O126" i="178"/>
  <c r="CO126" i="178"/>
  <c r="DY126" i="178"/>
  <c r="AM126" i="178"/>
  <c r="CC126" i="178"/>
  <c r="BE126" i="178"/>
  <c r="CU126" i="178"/>
  <c r="AG126" i="178"/>
  <c r="AY126" i="178"/>
  <c r="AA126" i="178"/>
  <c r="BQ126" i="178"/>
  <c r="FC126" i="178"/>
  <c r="AS126" i="178"/>
  <c r="GG126" i="178"/>
  <c r="U57" i="178"/>
  <c r="AT223" i="178"/>
  <c r="AT224" i="178" s="1"/>
  <c r="DT223" i="178"/>
  <c r="FC87" i="178"/>
  <c r="AM87" i="178"/>
  <c r="CC87" i="178"/>
  <c r="AY87" i="178"/>
  <c r="CO87" i="178"/>
  <c r="BK87" i="178"/>
  <c r="DY87" i="178"/>
  <c r="AG87" i="178"/>
  <c r="GG87" i="178"/>
  <c r="AS87" i="178"/>
  <c r="CI87" i="178"/>
  <c r="O87" i="178"/>
  <c r="BE87" i="178"/>
  <c r="CU87" i="178"/>
  <c r="AA87" i="178"/>
  <c r="BQ87" i="178"/>
  <c r="BW87" i="178"/>
  <c r="U214" i="178"/>
  <c r="EX249" i="178"/>
  <c r="U199" i="178"/>
  <c r="U114" i="178"/>
  <c r="U162" i="178"/>
  <c r="U101" i="178"/>
  <c r="U119" i="178"/>
  <c r="CC172" i="178"/>
  <c r="GG172" i="178"/>
  <c r="AS172" i="178"/>
  <c r="CI172" i="178"/>
  <c r="O172" i="178"/>
  <c r="BE172" i="178"/>
  <c r="DY172" i="178"/>
  <c r="AM172" i="178"/>
  <c r="CU172" i="178"/>
  <c r="BQ172" i="178"/>
  <c r="BK172" i="178"/>
  <c r="BW172" i="178"/>
  <c r="FC172" i="178"/>
  <c r="AY172" i="178"/>
  <c r="CO172" i="178"/>
  <c r="AG172" i="178"/>
  <c r="AA172" i="178"/>
  <c r="BK169" i="178"/>
  <c r="DY169" i="178"/>
  <c r="AG169" i="178"/>
  <c r="GG169" i="178"/>
  <c r="O169" i="178"/>
  <c r="CU169" i="178"/>
  <c r="CO169" i="178"/>
  <c r="BE169" i="178"/>
  <c r="CI169" i="178"/>
  <c r="CC169" i="178"/>
  <c r="FC169" i="178"/>
  <c r="BQ169" i="178"/>
  <c r="AM169" i="178"/>
  <c r="AY169" i="178"/>
  <c r="BW169" i="178"/>
  <c r="AS169" i="178"/>
  <c r="AA169" i="178"/>
  <c r="U103" i="178"/>
  <c r="U83" i="178"/>
  <c r="U200" i="178"/>
  <c r="U98" i="178"/>
  <c r="U127" i="178"/>
  <c r="BE146" i="178"/>
  <c r="CC146" i="178"/>
  <c r="CI146" i="178"/>
  <c r="O146" i="178"/>
  <c r="GG146" i="178"/>
  <c r="AM146" i="178"/>
  <c r="CO146" i="178"/>
  <c r="BW146" i="178"/>
  <c r="FC146" i="178"/>
  <c r="AY146" i="178"/>
  <c r="AG146" i="178"/>
  <c r="BQ146" i="178"/>
  <c r="DY146" i="178"/>
  <c r="AA146" i="178"/>
  <c r="CU146" i="178"/>
  <c r="BK146" i="178"/>
  <c r="AS146" i="178"/>
  <c r="GZ249" i="178"/>
  <c r="CJ24" i="178"/>
  <c r="U80" i="178"/>
  <c r="AX234" i="178"/>
  <c r="AZ231" i="178"/>
  <c r="FZ234" i="178"/>
  <c r="GB231" i="178"/>
  <c r="AZ234" i="178"/>
  <c r="U185" i="178"/>
  <c r="U122" i="178"/>
  <c r="U95" i="178"/>
  <c r="BK56" i="178"/>
  <c r="DY56" i="178"/>
  <c r="AG56" i="178"/>
  <c r="GG56" i="178"/>
  <c r="AS56" i="178"/>
  <c r="CI56" i="178"/>
  <c r="O56" i="178"/>
  <c r="BE56" i="178"/>
  <c r="BQ56" i="178"/>
  <c r="CO56" i="178"/>
  <c r="AY56" i="178"/>
  <c r="CC56" i="178"/>
  <c r="FC56" i="178"/>
  <c r="BW56" i="178"/>
  <c r="AM56" i="178"/>
  <c r="CU56" i="178"/>
  <c r="AA56" i="178"/>
  <c r="DH249" i="178"/>
  <c r="DT249" i="178"/>
  <c r="U115" i="178"/>
  <c r="BR223" i="178"/>
  <c r="GB223" i="178"/>
  <c r="BK54" i="178"/>
  <c r="DY54" i="178"/>
  <c r="GG54" i="178"/>
  <c r="AS54" i="178"/>
  <c r="CI54" i="178"/>
  <c r="O54" i="178"/>
  <c r="BE54" i="178"/>
  <c r="AG54" i="178"/>
  <c r="AM54" i="178"/>
  <c r="CC54" i="178"/>
  <c r="CU54" i="178"/>
  <c r="BW54" i="178"/>
  <c r="AY54" i="178"/>
  <c r="AA54" i="178"/>
  <c r="CO54" i="178"/>
  <c r="BQ54" i="178"/>
  <c r="FC54" i="178"/>
  <c r="BX247" i="178"/>
  <c r="BX250" i="178" s="1"/>
  <c r="BX253" i="178"/>
  <c r="BX237" i="178"/>
  <c r="BX244" i="178"/>
  <c r="U77" i="178"/>
  <c r="CV253" i="178"/>
  <c r="CV237" i="178"/>
  <c r="CV247" i="178"/>
  <c r="CV244" i="178"/>
  <c r="U155" i="178"/>
  <c r="U106" i="178"/>
  <c r="U53" i="178"/>
  <c r="U172" i="178"/>
  <c r="GH249" i="178"/>
  <c r="U143" i="178"/>
  <c r="FP249" i="178"/>
  <c r="CC72" i="178"/>
  <c r="DY72" i="178"/>
  <c r="AG72" i="178"/>
  <c r="FC72" i="178"/>
  <c r="AM72" i="178"/>
  <c r="O72" i="178"/>
  <c r="AY72" i="178"/>
  <c r="CI72" i="178"/>
  <c r="BQ72" i="178"/>
  <c r="AS72" i="178"/>
  <c r="AA72" i="178"/>
  <c r="GG72" i="178"/>
  <c r="CU72" i="178"/>
  <c r="BW72" i="178"/>
  <c r="BE72" i="178"/>
  <c r="CO72" i="178"/>
  <c r="BK72" i="178"/>
  <c r="AY181" i="178"/>
  <c r="BW181" i="178"/>
  <c r="FC181" i="178"/>
  <c r="AM181" i="178"/>
  <c r="CC181" i="178"/>
  <c r="AG181" i="178"/>
  <c r="BQ181" i="178"/>
  <c r="AS181" i="178"/>
  <c r="CU181" i="178"/>
  <c r="CO181" i="178"/>
  <c r="BK181" i="178"/>
  <c r="CI181" i="178"/>
  <c r="AA181" i="178"/>
  <c r="GG181" i="178"/>
  <c r="BE181" i="178"/>
  <c r="DY181" i="178"/>
  <c r="O181" i="178"/>
  <c r="GB249" i="178"/>
  <c r="U111" i="178"/>
  <c r="FC162" i="178"/>
  <c r="AM162" i="178"/>
  <c r="BE162" i="178"/>
  <c r="AA162" i="178"/>
  <c r="CI162" i="178"/>
  <c r="GG162" i="178"/>
  <c r="BQ162" i="178"/>
  <c r="CU162" i="178"/>
  <c r="CC162" i="178"/>
  <c r="AY162" i="178"/>
  <c r="BK162" i="178"/>
  <c r="AG162" i="178"/>
  <c r="CO162" i="178"/>
  <c r="O162" i="178"/>
  <c r="BW162" i="178"/>
  <c r="AS162" i="178"/>
  <c r="DY162" i="178"/>
  <c r="U150" i="178"/>
  <c r="U75" i="178"/>
  <c r="U179" i="178"/>
  <c r="U171" i="178"/>
  <c r="U147" i="178"/>
  <c r="U142" i="178"/>
  <c r="U105" i="178"/>
  <c r="U205" i="178"/>
  <c r="DY163" i="178"/>
  <c r="AG163" i="178"/>
  <c r="BW163" i="178"/>
  <c r="AA163" i="178"/>
  <c r="BE163" i="178"/>
  <c r="CI163" i="178"/>
  <c r="GG163" i="178"/>
  <c r="AM163" i="178"/>
  <c r="BQ163" i="178"/>
  <c r="AY163" i="178"/>
  <c r="CC163" i="178"/>
  <c r="FC163" i="178"/>
  <c r="BK163" i="178"/>
  <c r="O163" i="178"/>
  <c r="CO163" i="178"/>
  <c r="AS163" i="178"/>
  <c r="CU163" i="178"/>
  <c r="GZ253" i="178"/>
  <c r="GZ247" i="178"/>
  <c r="GZ237" i="178"/>
  <c r="GZ244" i="178"/>
  <c r="AZ24" i="178"/>
  <c r="U66" i="178"/>
  <c r="U194" i="178"/>
  <c r="U190" i="178"/>
  <c r="U145" i="178"/>
  <c r="AZ253" i="178"/>
  <c r="AZ247" i="178"/>
  <c r="AZ237" i="178"/>
  <c r="AZ244" i="178"/>
  <c r="U110" i="178"/>
  <c r="CP223" i="178"/>
  <c r="CU51" i="178"/>
  <c r="AA51" i="178"/>
  <c r="AY51" i="178"/>
  <c r="AS51" i="178"/>
  <c r="FC51" i="178"/>
  <c r="CO51" i="178"/>
  <c r="BW51" i="178"/>
  <c r="BE51" i="178"/>
  <c r="AM51" i="178"/>
  <c r="CI51" i="178"/>
  <c r="BQ51" i="178"/>
  <c r="AG51" i="178"/>
  <c r="O51" i="178"/>
  <c r="GG51" i="178"/>
  <c r="CC51" i="178"/>
  <c r="BK51" i="178"/>
  <c r="DY51" i="178"/>
  <c r="U109" i="178"/>
  <c r="U126" i="178"/>
  <c r="BK52" i="178"/>
  <c r="CI52" i="178"/>
  <c r="O52" i="178"/>
  <c r="AM52" i="178"/>
  <c r="CU52" i="178"/>
  <c r="DY52" i="178"/>
  <c r="BQ52" i="178"/>
  <c r="AY52" i="178"/>
  <c r="AG52" i="178"/>
  <c r="GG52" i="178"/>
  <c r="CC52" i="178"/>
  <c r="AS52" i="178"/>
  <c r="AA52" i="178"/>
  <c r="FC52" i="178"/>
  <c r="CO52" i="178"/>
  <c r="BW52" i="178"/>
  <c r="BE52" i="178"/>
  <c r="FV253" i="178"/>
  <c r="FV247" i="178"/>
  <c r="FV250" i="178" s="1"/>
  <c r="FV237" i="178"/>
  <c r="FV244" i="178"/>
  <c r="U50" i="178"/>
  <c r="CJ249" i="178"/>
  <c r="EL253" i="178"/>
  <c r="EL247" i="178"/>
  <c r="EL250" i="178" s="1"/>
  <c r="EL237" i="178"/>
  <c r="EL244" i="178"/>
  <c r="U112" i="178"/>
  <c r="BW211" i="178"/>
  <c r="GG211" i="178"/>
  <c r="AS211" i="178"/>
  <c r="O211" i="178"/>
  <c r="BE211" i="178"/>
  <c r="CO211" i="178"/>
  <c r="BK211" i="178"/>
  <c r="CU211" i="178"/>
  <c r="FC211" i="178"/>
  <c r="BQ211" i="178"/>
  <c r="AY211" i="178"/>
  <c r="AA211" i="178"/>
  <c r="CI211" i="178"/>
  <c r="CC211" i="178"/>
  <c r="AG211" i="178"/>
  <c r="DY211" i="178"/>
  <c r="AM211" i="178"/>
  <c r="CI161" i="178"/>
  <c r="O161" i="178"/>
  <c r="GG161" i="178"/>
  <c r="BQ161" i="178"/>
  <c r="CU161" i="178"/>
  <c r="AY161" i="178"/>
  <c r="CC161" i="178"/>
  <c r="FC161" i="178"/>
  <c r="AG161" i="178"/>
  <c r="BK161" i="178"/>
  <c r="AS161" i="178"/>
  <c r="BW161" i="178"/>
  <c r="AA161" i="178"/>
  <c r="DY161" i="178"/>
  <c r="BE161" i="178"/>
  <c r="AM161" i="178"/>
  <c r="CO161" i="178"/>
  <c r="U137" i="178"/>
  <c r="U87" i="178"/>
  <c r="DR234" i="178"/>
  <c r="DT231" i="178"/>
  <c r="CB234" i="178"/>
  <c r="CD231" i="178"/>
  <c r="DT234" i="178"/>
  <c r="U144" i="178"/>
  <c r="BC132" i="178"/>
  <c r="CA132" i="178"/>
  <c r="AK132" i="178"/>
  <c r="DW132" i="178"/>
  <c r="CG132" i="178"/>
  <c r="BO132" i="178"/>
  <c r="AW132" i="178"/>
  <c r="AE132" i="178"/>
  <c r="BI132" i="178"/>
  <c r="AQ132" i="178"/>
  <c r="Y132" i="178"/>
  <c r="BU132" i="178"/>
  <c r="GE132" i="178"/>
  <c r="FA132" i="178"/>
  <c r="CS132" i="178"/>
  <c r="CM132" i="178"/>
  <c r="DT253" i="178"/>
  <c r="DT237" i="178"/>
  <c r="DT247" i="178"/>
  <c r="DT244" i="178"/>
  <c r="U68" i="178"/>
  <c r="U56" i="178"/>
  <c r="EX223" i="178"/>
  <c r="U63" i="178"/>
  <c r="U135" i="178"/>
  <c r="U161" i="178"/>
  <c r="U159" i="178"/>
  <c r="U128" i="178"/>
  <c r="U88" i="178"/>
  <c r="U49" i="178"/>
  <c r="BQ209" i="178"/>
  <c r="CC209" i="178"/>
  <c r="BK209" i="178"/>
  <c r="FC209" i="178"/>
  <c r="O209" i="178"/>
  <c r="CO209" i="178"/>
  <c r="AS209" i="178"/>
  <c r="CU209" i="178"/>
  <c r="BE209" i="178"/>
  <c r="BW209" i="178"/>
  <c r="AY209" i="178"/>
  <c r="AG209" i="178"/>
  <c r="DY209" i="178"/>
  <c r="AM209" i="178"/>
  <c r="AA209" i="178"/>
  <c r="GG209" i="178"/>
  <c r="CI209" i="178"/>
  <c r="BR253" i="178"/>
  <c r="BR247" i="178"/>
  <c r="BR237" i="178"/>
  <c r="BR244" i="178"/>
  <c r="BV234" i="178"/>
  <c r="BX231" i="178"/>
  <c r="CI127" i="178"/>
  <c r="CU127" i="178"/>
  <c r="AA127" i="178"/>
  <c r="FC127" i="178"/>
  <c r="AM127" i="178"/>
  <c r="BK127" i="178"/>
  <c r="GG127" i="178"/>
  <c r="AS127" i="178"/>
  <c r="O127" i="178"/>
  <c r="DY127" i="178"/>
  <c r="CC127" i="178"/>
  <c r="BE127" i="178"/>
  <c r="AG127" i="178"/>
  <c r="CO127" i="178"/>
  <c r="BQ127" i="178"/>
  <c r="AY127" i="178"/>
  <c r="BW127" i="178"/>
  <c r="CO113" i="178"/>
  <c r="AY113" i="178"/>
  <c r="FC113" i="178"/>
  <c r="CC113" i="178"/>
  <c r="BK113" i="178"/>
  <c r="AG113" i="178"/>
  <c r="O113" i="178"/>
  <c r="AS113" i="178"/>
  <c r="BW113" i="178"/>
  <c r="BE113" i="178"/>
  <c r="AA113" i="178"/>
  <c r="GG113" i="178"/>
  <c r="CI113" i="178"/>
  <c r="AM113" i="178"/>
  <c r="BQ113" i="178"/>
  <c r="CU113" i="178"/>
  <c r="DY113" i="178"/>
  <c r="BW165" i="178"/>
  <c r="DY165" i="178"/>
  <c r="BE165" i="178"/>
  <c r="CI165" i="178"/>
  <c r="BQ165" i="178"/>
  <c r="AY165" i="178"/>
  <c r="GG165" i="178"/>
  <c r="AG165" i="178"/>
  <c r="O165" i="178"/>
  <c r="CU165" i="178"/>
  <c r="BK165" i="178"/>
  <c r="AS165" i="178"/>
  <c r="AA165" i="178"/>
  <c r="FC165" i="178"/>
  <c r="CO165" i="178"/>
  <c r="AM165" i="178"/>
  <c r="CC165" i="178"/>
  <c r="U163" i="178"/>
  <c r="DY129" i="178"/>
  <c r="AG129" i="178"/>
  <c r="BW129" i="178"/>
  <c r="GG129" i="178"/>
  <c r="AS129" i="178"/>
  <c r="O129" i="178"/>
  <c r="CI129" i="178"/>
  <c r="BE129" i="178"/>
  <c r="CU129" i="178"/>
  <c r="AA129" i="178"/>
  <c r="FC129" i="178"/>
  <c r="CC129" i="178"/>
  <c r="BK129" i="178"/>
  <c r="BQ129" i="178"/>
  <c r="AM129" i="178"/>
  <c r="CO129" i="178"/>
  <c r="AY129" i="178"/>
  <c r="U59" i="178"/>
  <c r="FC154" i="178"/>
  <c r="AM154" i="178"/>
  <c r="AY154" i="178"/>
  <c r="BK154" i="178"/>
  <c r="BQ154" i="178"/>
  <c r="CC154" i="178"/>
  <c r="GG154" i="178"/>
  <c r="CU154" i="178"/>
  <c r="BE154" i="178"/>
  <c r="BW154" i="178"/>
  <c r="DY154" i="178"/>
  <c r="CI154" i="178"/>
  <c r="AS154" i="178"/>
  <c r="AA154" i="178"/>
  <c r="CO154" i="178"/>
  <c r="AG154" i="178"/>
  <c r="O154" i="178"/>
  <c r="U89" i="178"/>
  <c r="FC120" i="178"/>
  <c r="AM120" i="178"/>
  <c r="BK120" i="178"/>
  <c r="BQ120" i="178"/>
  <c r="CC120" i="178"/>
  <c r="GG120" i="178"/>
  <c r="CU120" i="178"/>
  <c r="AS120" i="178"/>
  <c r="AA120" i="178"/>
  <c r="CO120" i="178"/>
  <c r="DY120" i="178"/>
  <c r="AY120" i="178"/>
  <c r="AG120" i="178"/>
  <c r="CI120" i="178"/>
  <c r="O120" i="178"/>
  <c r="BW120" i="178"/>
  <c r="BE120" i="178"/>
  <c r="HD243" i="178"/>
  <c r="HA243" i="178"/>
  <c r="HB243" i="178"/>
  <c r="HE243" i="178"/>
  <c r="HC243" i="178"/>
  <c r="N142" i="178"/>
  <c r="U140" i="178"/>
  <c r="BE141" i="178"/>
  <c r="AY141" i="178"/>
  <c r="CO141" i="178"/>
  <c r="O141" i="178"/>
  <c r="AM141" i="178"/>
  <c r="BQ141" i="178"/>
  <c r="DY141" i="178"/>
  <c r="CI141" i="178"/>
  <c r="AG141" i="178"/>
  <c r="GG141" i="178"/>
  <c r="CC141" i="178"/>
  <c r="AS141" i="178"/>
  <c r="CU141" i="178"/>
  <c r="BK141" i="178"/>
  <c r="AA141" i="178"/>
  <c r="FC141" i="178"/>
  <c r="BW141" i="178"/>
  <c r="DY193" i="178"/>
  <c r="AG193" i="178"/>
  <c r="BW193" i="178"/>
  <c r="GG193" i="178"/>
  <c r="AM193" i="178"/>
  <c r="CI193" i="178"/>
  <c r="CO193" i="178"/>
  <c r="FC193" i="178"/>
  <c r="O193" i="178"/>
  <c r="AS193" i="178"/>
  <c r="CU193" i="178"/>
  <c r="BQ193" i="178"/>
  <c r="CC193" i="178"/>
  <c r="AY193" i="178"/>
  <c r="BK193" i="178"/>
  <c r="BE193" i="178"/>
  <c r="AA193" i="178"/>
  <c r="U131" i="178"/>
  <c r="CU63" i="178"/>
  <c r="AA63" i="178"/>
  <c r="BE63" i="178"/>
  <c r="CI63" i="178"/>
  <c r="AM63" i="178"/>
  <c r="GG63" i="178"/>
  <c r="BQ63" i="178"/>
  <c r="AY63" i="178"/>
  <c r="CC63" i="178"/>
  <c r="BK63" i="178"/>
  <c r="CO63" i="178"/>
  <c r="O63" i="178"/>
  <c r="BW63" i="178"/>
  <c r="DY63" i="178"/>
  <c r="AG63" i="178"/>
  <c r="FC63" i="178"/>
  <c r="AS63" i="178"/>
  <c r="DY121" i="178"/>
  <c r="AG121" i="178"/>
  <c r="BE121" i="178"/>
  <c r="BK121" i="178"/>
  <c r="O121" i="178"/>
  <c r="BQ121" i="178"/>
  <c r="AY121" i="178"/>
  <c r="CI121" i="178"/>
  <c r="AA121" i="178"/>
  <c r="AS121" i="178"/>
  <c r="GG121" i="178"/>
  <c r="AM121" i="178"/>
  <c r="BW121" i="178"/>
  <c r="FC121" i="178"/>
  <c r="CO121" i="178"/>
  <c r="CU121" i="178"/>
  <c r="CC121" i="178"/>
  <c r="U192" i="178"/>
  <c r="U133" i="178"/>
  <c r="BP234" i="178"/>
  <c r="BR231" i="178"/>
  <c r="BJ234" i="178"/>
  <c r="BL231" i="178"/>
  <c r="BR234" i="178"/>
  <c r="U201" i="178"/>
  <c r="U173" i="178"/>
  <c r="FD253" i="178"/>
  <c r="FD237" i="178"/>
  <c r="FD244" i="178"/>
  <c r="FD247" i="178"/>
  <c r="FD250" i="178" s="1"/>
  <c r="U46" i="178"/>
  <c r="FJ249" i="178"/>
  <c r="U79" i="178"/>
  <c r="FC185" i="178"/>
  <c r="BK185" i="178"/>
  <c r="CO185" i="178"/>
  <c r="AG185" i="178"/>
  <c r="DY185" i="178"/>
  <c r="O185" i="178"/>
  <c r="CC185" i="178"/>
  <c r="AY185" i="178"/>
  <c r="CU185" i="178"/>
  <c r="AM185" i="178"/>
  <c r="BE185" i="178"/>
  <c r="BW185" i="178"/>
  <c r="AS185" i="178"/>
  <c r="GG185" i="178"/>
  <c r="AA185" i="178"/>
  <c r="CI185" i="178"/>
  <c r="BQ185" i="178"/>
  <c r="CP249" i="178"/>
  <c r="U139" i="178"/>
  <c r="U129" i="178"/>
  <c r="G2" i="61"/>
  <c r="AT255" i="183" l="1"/>
  <c r="BL241" i="183"/>
  <c r="BR240" i="183"/>
  <c r="BL243" i="183"/>
  <c r="BR242" i="183"/>
  <c r="BR249" i="183" s="1"/>
  <c r="BR236" i="183"/>
  <c r="BX235" i="183"/>
  <c r="AT250" i="182"/>
  <c r="AT251" i="182" s="1"/>
  <c r="AT226" i="182" s="1"/>
  <c r="AT254" i="182"/>
  <c r="BF241" i="180"/>
  <c r="BF236" i="182"/>
  <c r="BL235" i="182"/>
  <c r="BF249" i="182"/>
  <c r="BF236" i="180"/>
  <c r="BL235" i="180"/>
  <c r="BL249" i="180" s="1"/>
  <c r="BF229" i="183"/>
  <c r="AZ230" i="183"/>
  <c r="AZ237" i="183"/>
  <c r="AZ238" i="183" s="1"/>
  <c r="AZ244" i="183"/>
  <c r="AZ245" i="183" s="1"/>
  <c r="AZ247" i="183"/>
  <c r="AZ253" i="183"/>
  <c r="BL249" i="183"/>
  <c r="BL236" i="183"/>
  <c r="AZ248" i="183"/>
  <c r="BF232" i="183"/>
  <c r="AZ233" i="183"/>
  <c r="AZ248" i="182"/>
  <c r="BF232" i="182"/>
  <c r="AZ233" i="182"/>
  <c r="BR240" i="182"/>
  <c r="BL241" i="182"/>
  <c r="BX243" i="182"/>
  <c r="CD242" i="182"/>
  <c r="AZ230" i="182"/>
  <c r="BF229" i="182"/>
  <c r="AZ253" i="182"/>
  <c r="AZ247" i="182"/>
  <c r="AZ237" i="182"/>
  <c r="AZ238" i="182" s="1"/>
  <c r="AZ244" i="182"/>
  <c r="AZ245" i="182" s="1"/>
  <c r="BF229" i="181"/>
  <c r="AZ230" i="181"/>
  <c r="AZ237" i="181"/>
  <c r="AZ238" i="181" s="1"/>
  <c r="AZ244" i="181"/>
  <c r="AZ245" i="181" s="1"/>
  <c r="AZ253" i="181"/>
  <c r="AZ247" i="181"/>
  <c r="AZ250" i="181" s="1"/>
  <c r="AZ251" i="181" s="1"/>
  <c r="BR240" i="181"/>
  <c r="BL241" i="181"/>
  <c r="AZ226" i="181"/>
  <c r="BF249" i="181"/>
  <c r="BL235" i="181"/>
  <c r="BF236" i="181"/>
  <c r="AZ248" i="181"/>
  <c r="AZ233" i="181"/>
  <c r="BF232" i="181"/>
  <c r="BL242" i="181"/>
  <c r="BF243" i="181"/>
  <c r="BR240" i="180"/>
  <c r="BL241" i="180"/>
  <c r="BL243" i="180"/>
  <c r="BR242" i="180"/>
  <c r="BF229" i="180"/>
  <c r="AZ230" i="180"/>
  <c r="AZ244" i="180"/>
  <c r="AZ245" i="180" s="1"/>
  <c r="AZ253" i="180"/>
  <c r="AZ247" i="180"/>
  <c r="AZ250" i="180" s="1"/>
  <c r="AZ251" i="180" s="1"/>
  <c r="AZ226" i="180" s="1"/>
  <c r="AZ237" i="180"/>
  <c r="AZ238" i="180" s="1"/>
  <c r="BL248" i="180"/>
  <c r="BR232" i="180"/>
  <c r="BL233" i="180"/>
  <c r="AZ249" i="179"/>
  <c r="BF235" i="179"/>
  <c r="AZ236" i="179"/>
  <c r="AT255" i="179"/>
  <c r="AT254" i="179"/>
  <c r="AT250" i="179"/>
  <c r="AT251" i="179" s="1"/>
  <c r="AT226" i="179" s="1"/>
  <c r="AZ230" i="179"/>
  <c r="BF229" i="179"/>
  <c r="AZ253" i="179"/>
  <c r="AZ247" i="179"/>
  <c r="AZ237" i="179"/>
  <c r="AZ238" i="179" s="1"/>
  <c r="AZ244" i="179"/>
  <c r="AZ245" i="179" s="1"/>
  <c r="BR240" i="179"/>
  <c r="BL241" i="179"/>
  <c r="AZ248" i="179"/>
  <c r="BF232" i="179"/>
  <c r="AZ233" i="179"/>
  <c r="BR242" i="179"/>
  <c r="BL243" i="179"/>
  <c r="AZ225" i="183"/>
  <c r="BL225" i="180"/>
  <c r="CQ234" i="179"/>
  <c r="GB225" i="182"/>
  <c r="DU234" i="182"/>
  <c r="GC234" i="179"/>
  <c r="DT225" i="180"/>
  <c r="CP225" i="182"/>
  <c r="DT225" i="179"/>
  <c r="BS234" i="182"/>
  <c r="AT225" i="183"/>
  <c r="AU234" i="182"/>
  <c r="BG234" i="180"/>
  <c r="CE234" i="181"/>
  <c r="BS234" i="183"/>
  <c r="CD225" i="179"/>
  <c r="AT225" i="179"/>
  <c r="CD225" i="180"/>
  <c r="BX225" i="179"/>
  <c r="CP225" i="180"/>
  <c r="EY234" i="180"/>
  <c r="BR225" i="181"/>
  <c r="BX225" i="180"/>
  <c r="BY234" i="181"/>
  <c r="DT225" i="181"/>
  <c r="DT225" i="183"/>
  <c r="BG234" i="181"/>
  <c r="CD225" i="183"/>
  <c r="EX225" i="181"/>
  <c r="DZ250" i="178"/>
  <c r="CO234" i="178"/>
  <c r="CV250" i="178"/>
  <c r="CJ228" i="178"/>
  <c r="DT228" i="178"/>
  <c r="DB250" i="178"/>
  <c r="GT250" i="178"/>
  <c r="CD250" i="178"/>
  <c r="EX228" i="178"/>
  <c r="BR250" i="178"/>
  <c r="BF250" i="178"/>
  <c r="BL250" i="178"/>
  <c r="EF250" i="178"/>
  <c r="BF228" i="178"/>
  <c r="BK234" i="178"/>
  <c r="BQ234" i="178"/>
  <c r="DT250" i="178"/>
  <c r="AT228" i="178"/>
  <c r="AZ224" i="178"/>
  <c r="BF224" i="178" s="1"/>
  <c r="BL224" i="178" s="1"/>
  <c r="BR224" i="178" s="1"/>
  <c r="BX224" i="178" s="1"/>
  <c r="CD224" i="178" s="1"/>
  <c r="CJ224" i="178" s="1"/>
  <c r="CP224" i="178" s="1"/>
  <c r="CV224" i="178" s="1"/>
  <c r="DB224" i="178" s="1"/>
  <c r="DH224" i="178" s="1"/>
  <c r="DN224" i="178" s="1"/>
  <c r="DT224" i="178" s="1"/>
  <c r="DZ224" i="178" s="1"/>
  <c r="EF224" i="178" s="1"/>
  <c r="EL224" i="178" s="1"/>
  <c r="ER224" i="178" s="1"/>
  <c r="EX224" i="178" s="1"/>
  <c r="FD224" i="178" s="1"/>
  <c r="FJ224" i="178" s="1"/>
  <c r="FP224" i="178" s="1"/>
  <c r="FV224" i="178" s="1"/>
  <c r="GB224" i="178" s="1"/>
  <c r="GH224" i="178" s="1"/>
  <c r="GN224" i="178" s="1"/>
  <c r="GT224" i="178" s="1"/>
  <c r="GZ224" i="178" s="1"/>
  <c r="AZ250" i="178"/>
  <c r="BR228" i="178"/>
  <c r="GZ250" i="178"/>
  <c r="CD228" i="178"/>
  <c r="GA234" i="178"/>
  <c r="AZ228" i="178"/>
  <c r="BW234" i="178"/>
  <c r="FP250" i="178"/>
  <c r="DN250" i="178"/>
  <c r="BE234" i="178"/>
  <c r="GH250" i="178"/>
  <c r="AY234" i="178"/>
  <c r="EX250" i="178"/>
  <c r="CJ250" i="178"/>
  <c r="BL228" i="178"/>
  <c r="BX228" i="178"/>
  <c r="CC234" i="178"/>
  <c r="DH250" i="178"/>
  <c r="CI234" i="178"/>
  <c r="CP250" i="178"/>
  <c r="GB250" i="178"/>
  <c r="EW234" i="178"/>
  <c r="FJ250" i="178"/>
  <c r="CP228" i="178"/>
  <c r="DS234" i="178"/>
  <c r="GN250" i="178"/>
  <c r="GB228" i="178"/>
  <c r="AY142" i="178"/>
  <c r="AU234" i="178" s="1"/>
  <c r="BQ142" i="178"/>
  <c r="BL225" i="178" s="1"/>
  <c r="CU142" i="178"/>
  <c r="CQ234" i="178" s="1"/>
  <c r="FC142" i="178"/>
  <c r="EY234" i="178" s="1"/>
  <c r="BK142" i="178"/>
  <c r="BG234" i="178" s="1"/>
  <c r="DY142" i="178"/>
  <c r="DU234" i="178" s="1"/>
  <c r="GG142" i="178"/>
  <c r="GC234" i="178" s="1"/>
  <c r="CI142" i="178"/>
  <c r="CD225" i="178" s="1"/>
  <c r="CC142" i="178"/>
  <c r="BY234" i="178" s="1"/>
  <c r="AM142" i="178"/>
  <c r="BE142" i="178"/>
  <c r="BA234" i="178" s="1"/>
  <c r="O142" i="178"/>
  <c r="AG142" i="178"/>
  <c r="BW142" i="178"/>
  <c r="BS234" i="178" s="1"/>
  <c r="AA142" i="178"/>
  <c r="CO142" i="178"/>
  <c r="CK234" i="178" s="1"/>
  <c r="AS142" i="178"/>
  <c r="AT250" i="178"/>
  <c r="BX236" i="183" l="1"/>
  <c r="CD235" i="183"/>
  <c r="BX242" i="183"/>
  <c r="BR243" i="183"/>
  <c r="BR241" i="183"/>
  <c r="BX240" i="183"/>
  <c r="AZ250" i="179"/>
  <c r="AZ251" i="179" s="1"/>
  <c r="AZ226" i="179" s="1"/>
  <c r="BL236" i="180"/>
  <c r="BR235" i="180"/>
  <c r="BR235" i="182"/>
  <c r="BL249" i="182"/>
  <c r="BL236" i="182"/>
  <c r="AZ254" i="183"/>
  <c r="AZ255" i="183"/>
  <c r="AZ250" i="183"/>
  <c r="AZ251" i="183" s="1"/>
  <c r="AZ226" i="183" s="1"/>
  <c r="BF248" i="183"/>
  <c r="BL232" i="183"/>
  <c r="BR232" i="183" s="1"/>
  <c r="BF233" i="183"/>
  <c r="BL229" i="183"/>
  <c r="BR229" i="183" s="1"/>
  <c r="BF230" i="183"/>
  <c r="BF237" i="183"/>
  <c r="BF238" i="183" s="1"/>
  <c r="BF247" i="183"/>
  <c r="BF244" i="183"/>
  <c r="BF245" i="183" s="1"/>
  <c r="BF253" i="183"/>
  <c r="AZ250" i="182"/>
  <c r="AZ251" i="182" s="1"/>
  <c r="AZ226" i="182" s="1"/>
  <c r="BL229" i="182"/>
  <c r="BF230" i="182"/>
  <c r="BF253" i="182"/>
  <c r="BF244" i="182"/>
  <c r="BF245" i="182" s="1"/>
  <c r="BF247" i="182"/>
  <c r="BF237" i="182"/>
  <c r="BF238" i="182" s="1"/>
  <c r="CJ242" i="182"/>
  <c r="CD243" i="182"/>
  <c r="BX240" i="182"/>
  <c r="BR241" i="182"/>
  <c r="BF248" i="182"/>
  <c r="BL232" i="182"/>
  <c r="BF233" i="182"/>
  <c r="AZ254" i="182"/>
  <c r="AZ255" i="182"/>
  <c r="AZ255" i="181"/>
  <c r="AZ254" i="181"/>
  <c r="BX240" i="181"/>
  <c r="BR241" i="181"/>
  <c r="BL249" i="181"/>
  <c r="BL236" i="181"/>
  <c r="BR235" i="181"/>
  <c r="BR242" i="181"/>
  <c r="BL243" i="181"/>
  <c r="BF248" i="181"/>
  <c r="BL232" i="181"/>
  <c r="BF233" i="181"/>
  <c r="BF230" i="181"/>
  <c r="BL229" i="181"/>
  <c r="BF237" i="181"/>
  <c r="BF238" i="181" s="1"/>
  <c r="BF253" i="181"/>
  <c r="BF244" i="181"/>
  <c r="BF245" i="181" s="1"/>
  <c r="BF247" i="181"/>
  <c r="BF250" i="181" s="1"/>
  <c r="BF251" i="181" s="1"/>
  <c r="BF226" i="181" s="1"/>
  <c r="BF226" i="180"/>
  <c r="AZ255" i="180"/>
  <c r="AZ254" i="180"/>
  <c r="BX240" i="180"/>
  <c r="BR241" i="180"/>
  <c r="BF230" i="180"/>
  <c r="BL229" i="180"/>
  <c r="BF237" i="180"/>
  <c r="BF238" i="180" s="1"/>
  <c r="BF253" i="180"/>
  <c r="BF244" i="180"/>
  <c r="BF245" i="180" s="1"/>
  <c r="BF247" i="180"/>
  <c r="BF250" i="180" s="1"/>
  <c r="BF251" i="180" s="1"/>
  <c r="BR248" i="180"/>
  <c r="BR233" i="180"/>
  <c r="BX232" i="180"/>
  <c r="BX242" i="180"/>
  <c r="BR243" i="180"/>
  <c r="BL229" i="179"/>
  <c r="BF230" i="179"/>
  <c r="BF244" i="179"/>
  <c r="BF245" i="179" s="1"/>
  <c r="BF247" i="179"/>
  <c r="BF237" i="179"/>
  <c r="BF238" i="179" s="1"/>
  <c r="BF253" i="179"/>
  <c r="BF249" i="179"/>
  <c r="BF236" i="179"/>
  <c r="BL235" i="179"/>
  <c r="BR241" i="179"/>
  <c r="BX240" i="179"/>
  <c r="AZ254" i="179"/>
  <c r="AZ255" i="179"/>
  <c r="BR243" i="179"/>
  <c r="BX242" i="179"/>
  <c r="BF248" i="179"/>
  <c r="BF233" i="179"/>
  <c r="BL232" i="179"/>
  <c r="CP225" i="178"/>
  <c r="BF225" i="178"/>
  <c r="CE234" i="178"/>
  <c r="BM234" i="178"/>
  <c r="DT225" i="178"/>
  <c r="GB225" i="178"/>
  <c r="EX225" i="178"/>
  <c r="BR225" i="178"/>
  <c r="BX225" i="178"/>
  <c r="CJ225" i="178"/>
  <c r="AT225" i="178"/>
  <c r="AZ225" i="178"/>
  <c r="CD240" i="183" l="1"/>
  <c r="BX241" i="183"/>
  <c r="BR248" i="183"/>
  <c r="BX232" i="183"/>
  <c r="BR233" i="183"/>
  <c r="CJ235" i="183"/>
  <c r="CD236" i="183"/>
  <c r="BR230" i="183"/>
  <c r="BX229" i="183"/>
  <c r="BR253" i="183"/>
  <c r="BR237" i="183"/>
  <c r="BR238" i="183" s="1"/>
  <c r="BR247" i="183"/>
  <c r="BR244" i="183"/>
  <c r="BR245" i="183" s="1"/>
  <c r="BX243" i="183"/>
  <c r="CD242" i="183"/>
  <c r="CD249" i="183" s="1"/>
  <c r="BX249" i="183"/>
  <c r="BF250" i="182"/>
  <c r="BF251" i="182" s="1"/>
  <c r="BR249" i="182"/>
  <c r="BR236" i="182"/>
  <c r="BX235" i="182"/>
  <c r="BX235" i="180"/>
  <c r="BR236" i="180"/>
  <c r="BR249" i="180"/>
  <c r="BL248" i="183"/>
  <c r="BL233" i="183"/>
  <c r="BF250" i="183"/>
  <c r="BF251" i="183" s="1"/>
  <c r="BF226" i="183" s="1"/>
  <c r="BF254" i="183"/>
  <c r="BF255" i="183"/>
  <c r="BL230" i="183"/>
  <c r="BL244" i="183"/>
  <c r="BL245" i="183" s="1"/>
  <c r="BL253" i="183"/>
  <c r="BL247" i="183"/>
  <c r="BL237" i="183"/>
  <c r="BL238" i="183" s="1"/>
  <c r="BF226" i="182"/>
  <c r="BF255" i="182"/>
  <c r="BF254" i="182"/>
  <c r="BR229" i="182"/>
  <c r="BL230" i="182"/>
  <c r="BL253" i="182"/>
  <c r="BL247" i="182"/>
  <c r="BL237" i="182"/>
  <c r="BL238" i="182" s="1"/>
  <c r="BL244" i="182"/>
  <c r="BL245" i="182" s="1"/>
  <c r="BL248" i="182"/>
  <c r="BR232" i="182"/>
  <c r="BL233" i="182"/>
  <c r="CP242" i="182"/>
  <c r="CJ243" i="182"/>
  <c r="BX241" i="182"/>
  <c r="CD240" i="182"/>
  <c r="BL248" i="181"/>
  <c r="BL233" i="181"/>
  <c r="BR232" i="181"/>
  <c r="BR236" i="181"/>
  <c r="BX235" i="181"/>
  <c r="BR249" i="181"/>
  <c r="BF255" i="181"/>
  <c r="BF254" i="181"/>
  <c r="BX242" i="181"/>
  <c r="BR243" i="181"/>
  <c r="CD240" i="181"/>
  <c r="BX241" i="181"/>
  <c r="BR229" i="181"/>
  <c r="BL230" i="181"/>
  <c r="BL237" i="181"/>
  <c r="BL238" i="181" s="1"/>
  <c r="BL244" i="181"/>
  <c r="BL245" i="181" s="1"/>
  <c r="BL247" i="181"/>
  <c r="BL250" i="181" s="1"/>
  <c r="BL251" i="181" s="1"/>
  <c r="BL226" i="181" s="1"/>
  <c r="BL253" i="181"/>
  <c r="BF255" i="180"/>
  <c r="BF254" i="180"/>
  <c r="BX248" i="180"/>
  <c r="CD232" i="180"/>
  <c r="BX233" i="180"/>
  <c r="BL230" i="180"/>
  <c r="BR229" i="180"/>
  <c r="BL244" i="180"/>
  <c r="BL245" i="180" s="1"/>
  <c r="BL253" i="180"/>
  <c r="BL247" i="180"/>
  <c r="BL250" i="180" s="1"/>
  <c r="BL251" i="180" s="1"/>
  <c r="BL226" i="180" s="1"/>
  <c r="BL237" i="180"/>
  <c r="BL238" i="180" s="1"/>
  <c r="BX243" i="180"/>
  <c r="CD242" i="180"/>
  <c r="BX241" i="180"/>
  <c r="CD240" i="180"/>
  <c r="BL249" i="179"/>
  <c r="BR235" i="179"/>
  <c r="BL236" i="179"/>
  <c r="BL248" i="179"/>
  <c r="BL233" i="179"/>
  <c r="BR232" i="179"/>
  <c r="BF254" i="179"/>
  <c r="BF255" i="179"/>
  <c r="BF250" i="179"/>
  <c r="BF251" i="179" s="1"/>
  <c r="BF226" i="179" s="1"/>
  <c r="BX243" i="179"/>
  <c r="CD242" i="179"/>
  <c r="BL230" i="179"/>
  <c r="BR229" i="179"/>
  <c r="BL253" i="179"/>
  <c r="BL247" i="179"/>
  <c r="BL250" i="179" s="1"/>
  <c r="BL251" i="179" s="1"/>
  <c r="BL237" i="179"/>
  <c r="BL238" i="179" s="1"/>
  <c r="BL244" i="179"/>
  <c r="BL245" i="179" s="1"/>
  <c r="BX241" i="179"/>
  <c r="CD240" i="179"/>
  <c r="E38" i="56"/>
  <c r="M24" i="64"/>
  <c r="I48" i="64"/>
  <c r="J46" i="64"/>
  <c r="Q26" i="64"/>
  <c r="AL48" i="64"/>
  <c r="L47" i="64"/>
  <c r="Z26" i="64"/>
  <c r="H26" i="64"/>
  <c r="AF24" i="64"/>
  <c r="Z24" i="64"/>
  <c r="AF25" i="64"/>
  <c r="K46" i="64"/>
  <c r="H49" i="64"/>
  <c r="X25" i="64"/>
  <c r="P24" i="64"/>
  <c r="AI25" i="64"/>
  <c r="K50" i="64"/>
  <c r="AM46" i="64"/>
  <c r="AD26" i="64"/>
  <c r="Y24" i="64"/>
  <c r="P25" i="64"/>
  <c r="I37" i="64"/>
  <c r="AA48" i="64"/>
  <c r="J49" i="64"/>
  <c r="AH48" i="64"/>
  <c r="K48" i="64"/>
  <c r="K41" i="64"/>
  <c r="AD48" i="64"/>
  <c r="P37" i="64"/>
  <c r="U24" i="64"/>
  <c r="L41" i="64"/>
  <c r="AA46" i="64"/>
  <c r="AE26" i="64"/>
  <c r="AM26" i="64"/>
  <c r="W48" i="64"/>
  <c r="S24" i="64"/>
  <c r="Y25" i="64"/>
  <c r="AC46" i="64"/>
  <c r="L37" i="64"/>
  <c r="AB48" i="64"/>
  <c r="R24" i="64"/>
  <c r="AB46" i="64"/>
  <c r="L24" i="64"/>
  <c r="AD46" i="64"/>
  <c r="V26" i="64"/>
  <c r="AF48" i="64"/>
  <c r="AA24" i="64"/>
  <c r="AK46" i="64"/>
  <c r="AC48" i="64"/>
  <c r="L31" i="64"/>
  <c r="I47" i="64"/>
  <c r="AG48" i="64"/>
  <c r="AK26" i="64"/>
  <c r="K25" i="64"/>
  <c r="AM48" i="64"/>
  <c r="H28" i="64"/>
  <c r="AI46" i="64"/>
  <c r="I33" i="64"/>
  <c r="AE24" i="64"/>
  <c r="AH26" i="64"/>
  <c r="K33" i="64"/>
  <c r="H25" i="64"/>
  <c r="V24" i="64"/>
  <c r="AL26" i="64"/>
  <c r="L25" i="64"/>
  <c r="Z25" i="64"/>
  <c r="AL46" i="64"/>
  <c r="N25" i="64"/>
  <c r="R25" i="64"/>
  <c r="AK48" i="64"/>
  <c r="Y48" i="64"/>
  <c r="M33" i="64"/>
  <c r="J41" i="64"/>
  <c r="AG46" i="64"/>
  <c r="W26" i="64"/>
  <c r="V25" i="64"/>
  <c r="AN24" i="64"/>
  <c r="L49" i="64"/>
  <c r="J25" i="64"/>
  <c r="T24" i="64"/>
  <c r="U26" i="64"/>
  <c r="AL25" i="64"/>
  <c r="AB26" i="64"/>
  <c r="H47" i="64"/>
  <c r="S25" i="64"/>
  <c r="AJ25" i="64"/>
  <c r="AK25" i="64"/>
  <c r="H37" i="64"/>
  <c r="AE25" i="64"/>
  <c r="J33" i="64"/>
  <c r="X46" i="64"/>
  <c r="K47" i="64"/>
  <c r="AN25" i="64"/>
  <c r="AB25" i="64"/>
  <c r="M26" i="64"/>
  <c r="M25" i="64"/>
  <c r="X26" i="64"/>
  <c r="K49" i="64"/>
  <c r="AJ24" i="64"/>
  <c r="Q24" i="64"/>
  <c r="H24" i="64"/>
  <c r="AI26" i="64"/>
  <c r="AJ26" i="64"/>
  <c r="AC26" i="64"/>
  <c r="U25" i="64"/>
  <c r="I49" i="64"/>
  <c r="AD25" i="64"/>
  <c r="AH24" i="64"/>
  <c r="T25" i="64"/>
  <c r="O24" i="64"/>
  <c r="H33" i="64"/>
  <c r="S26" i="64"/>
  <c r="AK24" i="64"/>
  <c r="X48" i="64"/>
  <c r="J48" i="64"/>
  <c r="AD24" i="64"/>
  <c r="I50" i="64"/>
  <c r="O26" i="64"/>
  <c r="AA26" i="64"/>
  <c r="J47" i="64"/>
  <c r="L26" i="64"/>
  <c r="Q25" i="64"/>
  <c r="AF46" i="64"/>
  <c r="N24" i="64"/>
  <c r="Y46" i="64"/>
  <c r="AC25" i="64"/>
  <c r="H46" i="64"/>
  <c r="W25" i="64"/>
  <c r="AB24" i="64"/>
  <c r="V46" i="64"/>
  <c r="H48" i="64"/>
  <c r="I46" i="64"/>
  <c r="AG26" i="64"/>
  <c r="R26" i="64"/>
  <c r="L46" i="64"/>
  <c r="AF26" i="64"/>
  <c r="K24" i="64"/>
  <c r="AI48" i="64"/>
  <c r="AH46" i="64"/>
  <c r="AH25" i="64"/>
  <c r="K31" i="64"/>
  <c r="AG24" i="64"/>
  <c r="H31" i="64"/>
  <c r="N26" i="64"/>
  <c r="I24" i="64"/>
  <c r="T26" i="64"/>
  <c r="W46" i="64"/>
  <c r="H41" i="64"/>
  <c r="L33" i="64"/>
  <c r="AM25" i="64"/>
  <c r="J24" i="64"/>
  <c r="P26" i="64"/>
  <c r="AC24" i="64"/>
  <c r="J31" i="64"/>
  <c r="Y26" i="64"/>
  <c r="AI24" i="64"/>
  <c r="AN26" i="64"/>
  <c r="K37" i="64"/>
  <c r="L48" i="64"/>
  <c r="O25" i="64"/>
  <c r="J50" i="64"/>
  <c r="K26" i="64"/>
  <c r="W24" i="64"/>
  <c r="AL24" i="64"/>
  <c r="AG25" i="64"/>
  <c r="AN46" i="64"/>
  <c r="I41" i="64"/>
  <c r="I26" i="64"/>
  <c r="J37" i="64"/>
  <c r="X24" i="64"/>
  <c r="J26" i="64"/>
  <c r="AN48" i="64"/>
  <c r="AM24" i="64"/>
  <c r="V48" i="64"/>
  <c r="I31" i="64"/>
  <c r="H50" i="64"/>
  <c r="I25" i="64"/>
  <c r="AA25" i="64"/>
  <c r="BR250" i="183" l="1"/>
  <c r="BR251" i="183" s="1"/>
  <c r="CD241" i="183"/>
  <c r="CJ240" i="183"/>
  <c r="BR254" i="183"/>
  <c r="BR255" i="183"/>
  <c r="CD229" i="183"/>
  <c r="BX230" i="183"/>
  <c r="BX244" i="183"/>
  <c r="BX245" i="183" s="1"/>
  <c r="BX253" i="183"/>
  <c r="BX247" i="183"/>
  <c r="BX237" i="183"/>
  <c r="BX238" i="183" s="1"/>
  <c r="BL250" i="183"/>
  <c r="BL251" i="183" s="1"/>
  <c r="CJ236" i="183"/>
  <c r="CP235" i="183"/>
  <c r="CD243" i="183"/>
  <c r="CJ242" i="183"/>
  <c r="BX248" i="183"/>
  <c r="CD232" i="183"/>
  <c r="BX233" i="183"/>
  <c r="CD235" i="180"/>
  <c r="CD249" i="180" s="1"/>
  <c r="BX236" i="180"/>
  <c r="BX249" i="180"/>
  <c r="BX249" i="182"/>
  <c r="BX236" i="182"/>
  <c r="CD235" i="182"/>
  <c r="BL226" i="179"/>
  <c r="BL254" i="183"/>
  <c r="BL255" i="183"/>
  <c r="BL226" i="183"/>
  <c r="BR226" i="183" s="1"/>
  <c r="BL254" i="182"/>
  <c r="BL255" i="182"/>
  <c r="BX229" i="182"/>
  <c r="BR230" i="182"/>
  <c r="BR253" i="182"/>
  <c r="BR247" i="182"/>
  <c r="BR244" i="182"/>
  <c r="BR245" i="182" s="1"/>
  <c r="BR237" i="182"/>
  <c r="BR238" i="182" s="1"/>
  <c r="CD241" i="182"/>
  <c r="CJ240" i="182"/>
  <c r="BL250" i="182"/>
  <c r="BL251" i="182" s="1"/>
  <c r="BL226" i="182" s="1"/>
  <c r="CP243" i="182"/>
  <c r="CV242" i="182"/>
  <c r="BR248" i="182"/>
  <c r="BX232" i="182"/>
  <c r="BR233" i="182"/>
  <c r="CJ240" i="181"/>
  <c r="CD241" i="181"/>
  <c r="BX243" i="181"/>
  <c r="CD242" i="181"/>
  <c r="BL254" i="181"/>
  <c r="BL255" i="181"/>
  <c r="CD235" i="181"/>
  <c r="BX236" i="181"/>
  <c r="BX249" i="181"/>
  <c r="BR248" i="181"/>
  <c r="BX232" i="181"/>
  <c r="BR233" i="181"/>
  <c r="BX229" i="181"/>
  <c r="BR230" i="181"/>
  <c r="BR237" i="181"/>
  <c r="BR238" i="181" s="1"/>
  <c r="BR253" i="181"/>
  <c r="BR244" i="181"/>
  <c r="BR245" i="181" s="1"/>
  <c r="BR247" i="181"/>
  <c r="BR250" i="181" s="1"/>
  <c r="BR251" i="181" s="1"/>
  <c r="BR226" i="181" s="1"/>
  <c r="CD241" i="180"/>
  <c r="CJ240" i="180"/>
  <c r="CD243" i="180"/>
  <c r="CJ242" i="180"/>
  <c r="BR230" i="180"/>
  <c r="BX229" i="180"/>
  <c r="BR253" i="180"/>
  <c r="BR247" i="180"/>
  <c r="BR250" i="180" s="1"/>
  <c r="BR251" i="180" s="1"/>
  <c r="BR226" i="180" s="1"/>
  <c r="BR244" i="180"/>
  <c r="BR245" i="180" s="1"/>
  <c r="BR237" i="180"/>
  <c r="BR238" i="180" s="1"/>
  <c r="CD248" i="180"/>
  <c r="CJ232" i="180"/>
  <c r="CD233" i="180"/>
  <c r="BL254" i="180"/>
  <c r="BL255" i="180"/>
  <c r="CD241" i="179"/>
  <c r="CJ240" i="179"/>
  <c r="CJ242" i="179"/>
  <c r="CD243" i="179"/>
  <c r="BR248" i="179"/>
  <c r="BX232" i="179"/>
  <c r="BR233" i="179"/>
  <c r="BL255" i="179"/>
  <c r="BL254" i="179"/>
  <c r="BR230" i="179"/>
  <c r="BX229" i="179"/>
  <c r="BR247" i="179"/>
  <c r="BR244" i="179"/>
  <c r="BR245" i="179" s="1"/>
  <c r="BR253" i="179"/>
  <c r="BR237" i="179"/>
  <c r="BR238" i="179" s="1"/>
  <c r="BX235" i="179"/>
  <c r="BR236" i="179"/>
  <c r="BR249" i="179"/>
  <c r="H54" i="64"/>
  <c r="I54" i="64"/>
  <c r="L54" i="64"/>
  <c r="J54" i="64"/>
  <c r="K54" i="64"/>
  <c r="AE27" i="64"/>
  <c r="K27" i="64"/>
  <c r="U27" i="64"/>
  <c r="AI27" i="64"/>
  <c r="AM27" i="64"/>
  <c r="AL27" i="64"/>
  <c r="N27" i="64"/>
  <c r="L27" i="64"/>
  <c r="O27" i="64"/>
  <c r="AN27" i="64"/>
  <c r="AK27" i="64"/>
  <c r="AF27" i="64"/>
  <c r="H27" i="64"/>
  <c r="R27" i="64"/>
  <c r="I27" i="64"/>
  <c r="AH27" i="64"/>
  <c r="X27" i="64"/>
  <c r="AD27" i="64"/>
  <c r="AB27" i="64"/>
  <c r="J27" i="64"/>
  <c r="T27" i="64"/>
  <c r="W27" i="64"/>
  <c r="V27" i="64"/>
  <c r="P27" i="64"/>
  <c r="Q27" i="64"/>
  <c r="AJ27" i="64"/>
  <c r="AG27" i="64"/>
  <c r="M27" i="64"/>
  <c r="Z27" i="64"/>
  <c r="AA27" i="64"/>
  <c r="S27" i="64"/>
  <c r="AC27" i="64"/>
  <c r="Y27" i="64"/>
  <c r="BX250" i="183" l="1"/>
  <c r="BX251" i="183" s="1"/>
  <c r="BX254" i="183"/>
  <c r="BX255" i="183"/>
  <c r="CD248" i="183"/>
  <c r="CJ232" i="183"/>
  <c r="CD233" i="183"/>
  <c r="BX226" i="183"/>
  <c r="CD230" i="183"/>
  <c r="CJ229" i="183"/>
  <c r="CD247" i="183"/>
  <c r="CD250" i="183" s="1"/>
  <c r="CD251" i="183" s="1"/>
  <c r="CD244" i="183"/>
  <c r="CD245" i="183" s="1"/>
  <c r="CD237" i="183"/>
  <c r="CD238" i="183" s="1"/>
  <c r="CD253" i="183"/>
  <c r="CP242" i="183"/>
  <c r="CP243" i="183" s="1"/>
  <c r="CJ243" i="183"/>
  <c r="CJ249" i="183"/>
  <c r="CP236" i="183"/>
  <c r="CP240" i="183"/>
  <c r="CP241" i="183" s="1"/>
  <c r="CJ241" i="183"/>
  <c r="CD249" i="182"/>
  <c r="CD236" i="182"/>
  <c r="CJ235" i="182"/>
  <c r="CD236" i="180"/>
  <c r="CJ235" i="180"/>
  <c r="CJ241" i="182"/>
  <c r="CP240" i="182"/>
  <c r="BX248" i="182"/>
  <c r="CD232" i="182"/>
  <c r="BX233" i="182"/>
  <c r="BR255" i="182"/>
  <c r="BR254" i="182"/>
  <c r="BR250" i="182"/>
  <c r="BR251" i="182" s="1"/>
  <c r="BR226" i="182" s="1"/>
  <c r="BX230" i="182"/>
  <c r="CD229" i="182"/>
  <c r="BX247" i="182"/>
  <c r="BX237" i="182"/>
  <c r="BX238" i="182" s="1"/>
  <c r="BX244" i="182"/>
  <c r="BX245" i="182" s="1"/>
  <c r="BX253" i="182"/>
  <c r="CV243" i="182"/>
  <c r="DB242" i="182"/>
  <c r="CJ241" i="181"/>
  <c r="CP240" i="181"/>
  <c r="CP241" i="181" s="1"/>
  <c r="BX248" i="181"/>
  <c r="CD232" i="181"/>
  <c r="BX233" i="181"/>
  <c r="CD249" i="181"/>
  <c r="CJ235" i="181"/>
  <c r="CD236" i="181"/>
  <c r="BR255" i="181"/>
  <c r="BR254" i="181"/>
  <c r="CJ242" i="181"/>
  <c r="CD243" i="181"/>
  <c r="BX230" i="181"/>
  <c r="CD229" i="181"/>
  <c r="BX244" i="181"/>
  <c r="BX245" i="181" s="1"/>
  <c r="BX253" i="181"/>
  <c r="BX247" i="181"/>
  <c r="BX250" i="181" s="1"/>
  <c r="BX251" i="181" s="1"/>
  <c r="BX226" i="181" s="1"/>
  <c r="BX237" i="181"/>
  <c r="BX238" i="181" s="1"/>
  <c r="CJ248" i="180"/>
  <c r="CP232" i="180"/>
  <c r="CJ233" i="180"/>
  <c r="BR255" i="180"/>
  <c r="BR254" i="180"/>
  <c r="CD229" i="180"/>
  <c r="BX230" i="180"/>
  <c r="BX244" i="180"/>
  <c r="BX245" i="180" s="1"/>
  <c r="BX253" i="180"/>
  <c r="BX247" i="180"/>
  <c r="BX250" i="180" s="1"/>
  <c r="BX251" i="180" s="1"/>
  <c r="BX226" i="180" s="1"/>
  <c r="BX237" i="180"/>
  <c r="BX238" i="180" s="1"/>
  <c r="CJ243" i="180"/>
  <c r="CP242" i="180"/>
  <c r="CP240" i="180"/>
  <c r="CJ241" i="180"/>
  <c r="CP240" i="179"/>
  <c r="CJ241" i="179"/>
  <c r="BR250" i="179"/>
  <c r="BR251" i="179" s="1"/>
  <c r="BR226" i="179" s="1"/>
  <c r="CD229" i="179"/>
  <c r="BX230" i="179"/>
  <c r="BX237" i="179"/>
  <c r="BX238" i="179" s="1"/>
  <c r="BX244" i="179"/>
  <c r="BX245" i="179" s="1"/>
  <c r="BX253" i="179"/>
  <c r="BX247" i="179"/>
  <c r="BX248" i="179"/>
  <c r="CD232" i="179"/>
  <c r="BX233" i="179"/>
  <c r="BX249" i="179"/>
  <c r="BX236" i="179"/>
  <c r="CD235" i="179"/>
  <c r="CJ243" i="179"/>
  <c r="CP242" i="179"/>
  <c r="BR255" i="179"/>
  <c r="BR254" i="179"/>
  <c r="H23" i="64"/>
  <c r="L50" i="64"/>
  <c r="N41" i="64"/>
  <c r="M41" i="64"/>
  <c r="CP249" i="183" l="1"/>
  <c r="CP229" i="183"/>
  <c r="CJ230" i="183"/>
  <c r="CJ244" i="183"/>
  <c r="CJ245" i="183" s="1"/>
  <c r="CJ247" i="183"/>
  <c r="CJ237" i="183"/>
  <c r="CJ238" i="183" s="1"/>
  <c r="CJ253" i="183"/>
  <c r="CD226" i="183"/>
  <c r="CD255" i="183"/>
  <c r="CD254" i="183"/>
  <c r="CJ248" i="183"/>
  <c r="CP232" i="183"/>
  <c r="CJ233" i="183"/>
  <c r="CP235" i="180"/>
  <c r="CJ249" i="180"/>
  <c r="CJ236" i="180"/>
  <c r="CJ236" i="182"/>
  <c r="CJ249" i="182"/>
  <c r="CP235" i="182"/>
  <c r="CV240" i="182"/>
  <c r="CP241" i="182"/>
  <c r="CD230" i="182"/>
  <c r="CJ229" i="182"/>
  <c r="CD244" i="182"/>
  <c r="CD245" i="182" s="1"/>
  <c r="CD253" i="182"/>
  <c r="CD237" i="182"/>
  <c r="CD238" i="182" s="1"/>
  <c r="CD247" i="182"/>
  <c r="DB243" i="182"/>
  <c r="DH242" i="182"/>
  <c r="BX254" i="182"/>
  <c r="BX255" i="182"/>
  <c r="CD248" i="182"/>
  <c r="CJ232" i="182"/>
  <c r="CD233" i="182"/>
  <c r="BX250" i="182"/>
  <c r="BX251" i="182" s="1"/>
  <c r="BX226" i="182" s="1"/>
  <c r="CJ249" i="181"/>
  <c r="CP235" i="181"/>
  <c r="CJ236" i="181"/>
  <c r="CD248" i="181"/>
  <c r="CJ232" i="181"/>
  <c r="CD233" i="181"/>
  <c r="CJ229" i="181"/>
  <c r="CD230" i="181"/>
  <c r="CD253" i="181"/>
  <c r="CD237" i="181"/>
  <c r="CD238" i="181" s="1"/>
  <c r="CD247" i="181"/>
  <c r="CD244" i="181"/>
  <c r="CD245" i="181" s="1"/>
  <c r="CP242" i="181"/>
  <c r="CP243" i="181" s="1"/>
  <c r="CJ243" i="181"/>
  <c r="BX255" i="181"/>
  <c r="BX254" i="181"/>
  <c r="CP241" i="180"/>
  <c r="CV240" i="180"/>
  <c r="CP243" i="180"/>
  <c r="CV242" i="180"/>
  <c r="BX254" i="180"/>
  <c r="BX255" i="180"/>
  <c r="CJ229" i="180"/>
  <c r="CD230" i="180"/>
  <c r="CD253" i="180"/>
  <c r="CD237" i="180"/>
  <c r="CD238" i="180" s="1"/>
  <c r="CD247" i="180"/>
  <c r="CD250" i="180" s="1"/>
  <c r="CD251" i="180" s="1"/>
  <c r="CD226" i="180" s="1"/>
  <c r="CD244" i="180"/>
  <c r="CD245" i="180" s="1"/>
  <c r="CP248" i="180"/>
  <c r="CV232" i="180"/>
  <c r="CP233" i="180"/>
  <c r="BX254" i="179"/>
  <c r="BX255" i="179"/>
  <c r="CP241" i="179"/>
  <c r="CV240" i="179"/>
  <c r="BX250" i="179"/>
  <c r="BX251" i="179" s="1"/>
  <c r="BX226" i="179" s="1"/>
  <c r="CV242" i="179"/>
  <c r="CP243" i="179"/>
  <c r="CD230" i="179"/>
  <c r="CJ229" i="179"/>
  <c r="CD247" i="179"/>
  <c r="CD253" i="179"/>
  <c r="CD237" i="179"/>
  <c r="CD238" i="179" s="1"/>
  <c r="CD244" i="179"/>
  <c r="CD245" i="179" s="1"/>
  <c r="CD249" i="179"/>
  <c r="CD236" i="179"/>
  <c r="CJ235" i="179"/>
  <c r="CD248" i="179"/>
  <c r="CJ232" i="179"/>
  <c r="CD233" i="179"/>
  <c r="M59" i="64"/>
  <c r="H42" i="64"/>
  <c r="H32" i="64"/>
  <c r="H34" i="64"/>
  <c r="O41" i="64"/>
  <c r="U46" i="64"/>
  <c r="R46" i="64"/>
  <c r="P46" i="64"/>
  <c r="M31" i="64"/>
  <c r="AJ46" i="64"/>
  <c r="M37" i="64"/>
  <c r="T46" i="64"/>
  <c r="AE46" i="64"/>
  <c r="N46" i="64"/>
  <c r="Q46" i="64"/>
  <c r="M46" i="64"/>
  <c r="S46" i="64"/>
  <c r="O46" i="64"/>
  <c r="Z46" i="64"/>
  <c r="CJ226" i="183" l="1"/>
  <c r="CJ250" i="183"/>
  <c r="CJ251" i="183" s="1"/>
  <c r="CP230" i="183"/>
  <c r="CP244" i="183"/>
  <c r="CP245" i="183" s="1"/>
  <c r="CP253" i="183"/>
  <c r="CP247" i="183"/>
  <c r="CP237" i="183"/>
  <c r="CP238" i="183" s="1"/>
  <c r="CJ255" i="183"/>
  <c r="CJ254" i="183"/>
  <c r="CP248" i="183"/>
  <c r="CP233" i="183"/>
  <c r="CD250" i="182"/>
  <c r="CD251" i="182" s="1"/>
  <c r="CD226" i="182" s="1"/>
  <c r="CP249" i="182"/>
  <c r="CV235" i="182"/>
  <c r="CP236" i="182"/>
  <c r="CD250" i="179"/>
  <c r="CD251" i="179" s="1"/>
  <c r="CP249" i="180"/>
  <c r="CP236" i="180"/>
  <c r="CV235" i="180"/>
  <c r="CV241" i="182"/>
  <c r="DB240" i="182"/>
  <c r="CD254" i="182"/>
  <c r="CD255" i="182"/>
  <c r="CJ230" i="182"/>
  <c r="CP229" i="182"/>
  <c r="CJ237" i="182"/>
  <c r="CJ238" i="182" s="1"/>
  <c r="CJ244" i="182"/>
  <c r="CJ245" i="182" s="1"/>
  <c r="CJ253" i="182"/>
  <c r="CJ247" i="182"/>
  <c r="CJ248" i="182"/>
  <c r="CP232" i="182"/>
  <c r="CJ233" i="182"/>
  <c r="DN242" i="182"/>
  <c r="DH243" i="182"/>
  <c r="CJ230" i="181"/>
  <c r="CP229" i="181"/>
  <c r="CJ253" i="181"/>
  <c r="CJ247" i="181"/>
  <c r="CJ237" i="181"/>
  <c r="CJ238" i="181" s="1"/>
  <c r="CJ244" i="181"/>
  <c r="CJ245" i="181" s="1"/>
  <c r="CD250" i="181"/>
  <c r="CD251" i="181" s="1"/>
  <c r="CD226" i="181" s="1"/>
  <c r="CJ248" i="181"/>
  <c r="CP232" i="181"/>
  <c r="CJ233" i="181"/>
  <c r="CP249" i="181"/>
  <c r="CP236" i="181"/>
  <c r="CD255" i="181"/>
  <c r="CD254" i="181"/>
  <c r="CV248" i="180"/>
  <c r="CV233" i="180"/>
  <c r="DB232" i="180"/>
  <c r="CD254" i="180"/>
  <c r="CD255" i="180"/>
  <c r="CJ230" i="180"/>
  <c r="CP229" i="180"/>
  <c r="CJ253" i="180"/>
  <c r="CJ247" i="180"/>
  <c r="CJ250" i="180" s="1"/>
  <c r="CJ251" i="180" s="1"/>
  <c r="CJ226" i="180" s="1"/>
  <c r="CJ237" i="180"/>
  <c r="CJ238" i="180" s="1"/>
  <c r="CJ244" i="180"/>
  <c r="CJ245" i="180" s="1"/>
  <c r="DB242" i="180"/>
  <c r="CV243" i="180"/>
  <c r="CV241" i="180"/>
  <c r="DB240" i="180"/>
  <c r="CV241" i="179"/>
  <c r="DB240" i="179"/>
  <c r="CP229" i="179"/>
  <c r="CJ230" i="179"/>
  <c r="CJ237" i="179"/>
  <c r="CJ238" i="179" s="1"/>
  <c r="CJ244" i="179"/>
  <c r="CJ245" i="179" s="1"/>
  <c r="CJ253" i="179"/>
  <c r="CJ247" i="179"/>
  <c r="CJ248" i="179"/>
  <c r="CJ233" i="179"/>
  <c r="CP232" i="179"/>
  <c r="DB242" i="179"/>
  <c r="CV243" i="179"/>
  <c r="CD226" i="179"/>
  <c r="CJ249" i="179"/>
  <c r="CJ236" i="179"/>
  <c r="CP235" i="179"/>
  <c r="CD255" i="179"/>
  <c r="CD254" i="179"/>
  <c r="E44" i="61"/>
  <c r="E34" i="61"/>
  <c r="M58" i="64"/>
  <c r="E42" i="61"/>
  <c r="E45" i="61"/>
  <c r="E37" i="61"/>
  <c r="M54" i="64"/>
  <c r="G43" i="61"/>
  <c r="E39" i="61"/>
  <c r="E36" i="61"/>
  <c r="E35" i="61"/>
  <c r="E43" i="61"/>
  <c r="E41" i="61"/>
  <c r="E38" i="61"/>
  <c r="E40" i="61"/>
  <c r="N31" i="64"/>
  <c r="Q41" i="64"/>
  <c r="O37" i="64"/>
  <c r="N37" i="64"/>
  <c r="M47" i="64"/>
  <c r="P41" i="64"/>
  <c r="CP250" i="183" l="1"/>
  <c r="CP251" i="183" s="1"/>
  <c r="CP226" i="183" s="1"/>
  <c r="CV226" i="183" s="1"/>
  <c r="DB226" i="183" s="1"/>
  <c r="DH226" i="183" s="1"/>
  <c r="DN226" i="183" s="1"/>
  <c r="DT226" i="183" s="1"/>
  <c r="DZ226" i="183" s="1"/>
  <c r="EF226" i="183" s="1"/>
  <c r="EL226" i="183" s="1"/>
  <c r="ER226" i="183" s="1"/>
  <c r="EX226" i="183" s="1"/>
  <c r="FD226" i="183" s="1"/>
  <c r="FJ226" i="183" s="1"/>
  <c r="FP226" i="183" s="1"/>
  <c r="FV226" i="183" s="1"/>
  <c r="GB226" i="183" s="1"/>
  <c r="GH226" i="183" s="1"/>
  <c r="GN226" i="183" s="1"/>
  <c r="GT226" i="183" s="1"/>
  <c r="GZ226" i="183" s="1"/>
  <c r="CP254" i="183"/>
  <c r="CP255" i="183"/>
  <c r="DB235" i="182"/>
  <c r="CV249" i="182"/>
  <c r="CV236" i="182"/>
  <c r="CV249" i="180"/>
  <c r="CV236" i="180"/>
  <c r="DB235" i="180"/>
  <c r="DB249" i="180" s="1"/>
  <c r="CV229" i="182"/>
  <c r="CP230" i="182"/>
  <c r="CP244" i="182"/>
  <c r="CP245" i="182" s="1"/>
  <c r="CP253" i="182"/>
  <c r="CP247" i="182"/>
  <c r="CP237" i="182"/>
  <c r="CP238" i="182" s="1"/>
  <c r="DT242" i="182"/>
  <c r="DN243" i="182"/>
  <c r="CP248" i="182"/>
  <c r="CV232" i="182"/>
  <c r="CP233" i="182"/>
  <c r="CJ250" i="182"/>
  <c r="CJ251" i="182" s="1"/>
  <c r="CJ226" i="182" s="1"/>
  <c r="CJ255" i="182"/>
  <c r="CJ254" i="182"/>
  <c r="DB241" i="182"/>
  <c r="DH240" i="182"/>
  <c r="CJ250" i="181"/>
  <c r="CJ251" i="181" s="1"/>
  <c r="CJ226" i="181" s="1"/>
  <c r="CJ255" i="181"/>
  <c r="CJ254" i="181"/>
  <c r="CP248" i="181"/>
  <c r="CP233" i="181"/>
  <c r="CP230" i="181"/>
  <c r="CP253" i="181"/>
  <c r="CP247" i="181"/>
  <c r="CP250" i="181" s="1"/>
  <c r="CP251" i="181" s="1"/>
  <c r="CP237" i="181"/>
  <c r="CP238" i="181" s="1"/>
  <c r="CP244" i="181"/>
  <c r="CP245" i="181" s="1"/>
  <c r="DH240" i="180"/>
  <c r="DB241" i="180"/>
  <c r="DH242" i="180"/>
  <c r="DB243" i="180"/>
  <c r="CJ255" i="180"/>
  <c r="CJ254" i="180"/>
  <c r="CP230" i="180"/>
  <c r="CV229" i="180"/>
  <c r="CP253" i="180"/>
  <c r="CP247" i="180"/>
  <c r="CP250" i="180" s="1"/>
  <c r="CP251" i="180" s="1"/>
  <c r="CP226" i="180" s="1"/>
  <c r="CP237" i="180"/>
  <c r="CP238" i="180" s="1"/>
  <c r="CP244" i="180"/>
  <c r="CP245" i="180" s="1"/>
  <c r="DB248" i="180"/>
  <c r="DB233" i="180"/>
  <c r="DH232" i="180"/>
  <c r="DB241" i="179"/>
  <c r="DH240" i="179"/>
  <c r="DB243" i="179"/>
  <c r="DH242" i="179"/>
  <c r="CJ250" i="179"/>
  <c r="CJ251" i="179" s="1"/>
  <c r="CJ226" i="179" s="1"/>
  <c r="CJ254" i="179"/>
  <c r="CJ255" i="179"/>
  <c r="CP249" i="179"/>
  <c r="CV235" i="179"/>
  <c r="CP236" i="179"/>
  <c r="CP230" i="179"/>
  <c r="CV229" i="179"/>
  <c r="CP244" i="179"/>
  <c r="CP245" i="179" s="1"/>
  <c r="CP253" i="179"/>
  <c r="CP247" i="179"/>
  <c r="CP237" i="179"/>
  <c r="CP238" i="179" s="1"/>
  <c r="CP248" i="179"/>
  <c r="CP233" i="179"/>
  <c r="CV232" i="179"/>
  <c r="N54" i="64"/>
  <c r="T33" i="64"/>
  <c r="Q37" i="64"/>
  <c r="N47" i="64"/>
  <c r="R41" i="64"/>
  <c r="O31" i="64"/>
  <c r="DH235" i="180" l="1"/>
  <c r="DB236" i="180"/>
  <c r="DB249" i="182"/>
  <c r="DB236" i="182"/>
  <c r="DH235" i="182"/>
  <c r="DN240" i="182"/>
  <c r="DH241" i="182"/>
  <c r="CV230" i="182"/>
  <c r="DB229" i="182"/>
  <c r="CV237" i="182"/>
  <c r="CV238" i="182" s="1"/>
  <c r="CV253" i="182"/>
  <c r="CV247" i="182"/>
  <c r="CV244" i="182"/>
  <c r="CV245" i="182" s="1"/>
  <c r="CV248" i="182"/>
  <c r="CV233" i="182"/>
  <c r="DB232" i="182"/>
  <c r="DT243" i="182"/>
  <c r="DZ242" i="182"/>
  <c r="CP250" i="182"/>
  <c r="CP251" i="182" s="1"/>
  <c r="CP226" i="182" s="1"/>
  <c r="CP255" i="182"/>
  <c r="CP254" i="182"/>
  <c r="CP254" i="181"/>
  <c r="CP255" i="181"/>
  <c r="CP226" i="181"/>
  <c r="CV226" i="181" s="1"/>
  <c r="DB226" i="181" s="1"/>
  <c r="DH226" i="181" s="1"/>
  <c r="DN226" i="181" s="1"/>
  <c r="DT226" i="181" s="1"/>
  <c r="DZ226" i="181" s="1"/>
  <c r="EF226" i="181" s="1"/>
  <c r="EL226" i="181" s="1"/>
  <c r="ER226" i="181" s="1"/>
  <c r="EX226" i="181" s="1"/>
  <c r="FD226" i="181" s="1"/>
  <c r="FJ226" i="181" s="1"/>
  <c r="FP226" i="181" s="1"/>
  <c r="FV226" i="181" s="1"/>
  <c r="GB226" i="181" s="1"/>
  <c r="GH226" i="181" s="1"/>
  <c r="GN226" i="181" s="1"/>
  <c r="GT226" i="181" s="1"/>
  <c r="GZ226" i="181" s="1"/>
  <c r="DH248" i="180"/>
  <c r="DN232" i="180"/>
  <c r="DH233" i="180"/>
  <c r="CP254" i="180"/>
  <c r="CP255" i="180"/>
  <c r="DB229" i="180"/>
  <c r="CV230" i="180"/>
  <c r="CV253" i="180"/>
  <c r="CV247" i="180"/>
  <c r="CV250" i="180" s="1"/>
  <c r="CV251" i="180" s="1"/>
  <c r="CV226" i="180" s="1"/>
  <c r="CV237" i="180"/>
  <c r="CV238" i="180" s="1"/>
  <c r="CV244" i="180"/>
  <c r="CV245" i="180" s="1"/>
  <c r="DH243" i="180"/>
  <c r="DN242" i="180"/>
  <c r="DH241" i="180"/>
  <c r="DN240" i="180"/>
  <c r="DN240" i="179"/>
  <c r="DH241" i="179"/>
  <c r="DB229" i="179"/>
  <c r="CV230" i="179"/>
  <c r="CV247" i="179"/>
  <c r="CV244" i="179"/>
  <c r="CV245" i="179" s="1"/>
  <c r="CV237" i="179"/>
  <c r="CV238" i="179" s="1"/>
  <c r="CV253" i="179"/>
  <c r="CV249" i="179"/>
  <c r="DB235" i="179"/>
  <c r="CV236" i="179"/>
  <c r="CV248" i="179"/>
  <c r="DB232" i="179"/>
  <c r="CV233" i="179"/>
  <c r="DN242" i="179"/>
  <c r="DH243" i="179"/>
  <c r="CP250" i="179"/>
  <c r="CP251" i="179" s="1"/>
  <c r="CP226" i="179" s="1"/>
  <c r="CP254" i="179"/>
  <c r="CP255" i="179"/>
  <c r="O54" i="64"/>
  <c r="O47" i="64"/>
  <c r="S41" i="64"/>
  <c r="R37" i="64"/>
  <c r="P31" i="64"/>
  <c r="DN235" i="182" l="1"/>
  <c r="DH249" i="182"/>
  <c r="DH236" i="182"/>
  <c r="DH236" i="180"/>
  <c r="DN235" i="180"/>
  <c r="DH249" i="180"/>
  <c r="CV250" i="182"/>
  <c r="CV251" i="182" s="1"/>
  <c r="CV226" i="182" s="1"/>
  <c r="CV255" i="182"/>
  <c r="CV254" i="182"/>
  <c r="DB230" i="182"/>
  <c r="DH229" i="182"/>
  <c r="DB244" i="182"/>
  <c r="DB245" i="182" s="1"/>
  <c r="DB253" i="182"/>
  <c r="DB247" i="182"/>
  <c r="DB237" i="182"/>
  <c r="DB238" i="182" s="1"/>
  <c r="DZ243" i="182"/>
  <c r="EF242" i="182"/>
  <c r="DB248" i="182"/>
  <c r="DH232" i="182"/>
  <c r="DB233" i="182"/>
  <c r="DT240" i="182"/>
  <c r="DN241" i="182"/>
  <c r="DT240" i="180"/>
  <c r="DN241" i="180"/>
  <c r="DT242" i="180"/>
  <c r="DN243" i="180"/>
  <c r="CV255" i="180"/>
  <c r="CV254" i="180"/>
  <c r="DB230" i="180"/>
  <c r="DH229" i="180"/>
  <c r="DB247" i="180"/>
  <c r="DB250" i="180" s="1"/>
  <c r="DB251" i="180" s="1"/>
  <c r="DB226" i="180" s="1"/>
  <c r="DB253" i="180"/>
  <c r="DB244" i="180"/>
  <c r="DB245" i="180" s="1"/>
  <c r="DB237" i="180"/>
  <c r="DB238" i="180" s="1"/>
  <c r="DN248" i="180"/>
  <c r="DN233" i="180"/>
  <c r="DT232" i="180"/>
  <c r="DB236" i="179"/>
  <c r="DH235" i="179"/>
  <c r="DB249" i="179"/>
  <c r="DN241" i="179"/>
  <c r="DT240" i="179"/>
  <c r="CV255" i="179"/>
  <c r="CV254" i="179"/>
  <c r="CV250" i="179"/>
  <c r="CV251" i="179" s="1"/>
  <c r="CV226" i="179" s="1"/>
  <c r="DN243" i="179"/>
  <c r="DT242" i="179"/>
  <c r="DH229" i="179"/>
  <c r="DB230" i="179"/>
  <c r="DB247" i="179"/>
  <c r="DB237" i="179"/>
  <c r="DB238" i="179" s="1"/>
  <c r="DB244" i="179"/>
  <c r="DB245" i="179" s="1"/>
  <c r="DB253" i="179"/>
  <c r="DB248" i="179"/>
  <c r="DB233" i="179"/>
  <c r="DH232" i="179"/>
  <c r="P54" i="64"/>
  <c r="F38" i="56"/>
  <c r="E45" i="56"/>
  <c r="F45" i="56" s="1"/>
  <c r="G45" i="56" s="1"/>
  <c r="H45" i="56" s="1"/>
  <c r="I45" i="56" s="1"/>
  <c r="J45" i="56" s="1"/>
  <c r="K45" i="56" s="1"/>
  <c r="L45" i="56" s="1"/>
  <c r="M45" i="56" s="1"/>
  <c r="N45" i="56" s="1"/>
  <c r="O45" i="56" s="1"/>
  <c r="P45" i="56" s="1"/>
  <c r="Q45" i="56" s="1"/>
  <c r="R45" i="56" s="1"/>
  <c r="S45" i="56" s="1"/>
  <c r="T45" i="56" s="1"/>
  <c r="U45" i="56" s="1"/>
  <c r="V45" i="56" s="1"/>
  <c r="W45" i="56" s="1"/>
  <c r="X45" i="56" s="1"/>
  <c r="Y45" i="56" s="1"/>
  <c r="Z45" i="56" s="1"/>
  <c r="AA45" i="56" s="1"/>
  <c r="AB45" i="56" s="1"/>
  <c r="AC45" i="56" s="1"/>
  <c r="AD45" i="56" s="1"/>
  <c r="AE45" i="56" s="1"/>
  <c r="AF45" i="56" s="1"/>
  <c r="AG45" i="56" s="1"/>
  <c r="AH45" i="56" s="1"/>
  <c r="AI45" i="56" s="1"/>
  <c r="AJ45" i="56" s="1"/>
  <c r="AK45" i="56" s="1"/>
  <c r="J41" i="56"/>
  <c r="F41" i="56"/>
  <c r="G41" i="56"/>
  <c r="H41" i="56"/>
  <c r="I41" i="56"/>
  <c r="K41" i="56"/>
  <c r="L41" i="56"/>
  <c r="M41" i="56"/>
  <c r="N41" i="56"/>
  <c r="O41" i="56"/>
  <c r="P41" i="56"/>
  <c r="Q41" i="56"/>
  <c r="R41" i="56"/>
  <c r="S41" i="56"/>
  <c r="T41" i="56"/>
  <c r="U41" i="56"/>
  <c r="V41" i="56"/>
  <c r="W41" i="56"/>
  <c r="X41" i="56"/>
  <c r="Y41" i="56"/>
  <c r="Z41" i="56"/>
  <c r="AA41" i="56"/>
  <c r="AB41" i="56"/>
  <c r="AC41" i="56"/>
  <c r="AD41" i="56"/>
  <c r="AE41" i="56"/>
  <c r="AF41" i="56"/>
  <c r="AG41" i="56"/>
  <c r="AH41" i="56"/>
  <c r="AI41" i="56"/>
  <c r="AJ41" i="56"/>
  <c r="AK41" i="56"/>
  <c r="E41" i="56"/>
  <c r="F44" i="56"/>
  <c r="G44" i="56"/>
  <c r="H44" i="56"/>
  <c r="I44" i="56"/>
  <c r="J44" i="56"/>
  <c r="K44" i="56"/>
  <c r="L44" i="56"/>
  <c r="M44" i="56"/>
  <c r="N44" i="56"/>
  <c r="O44" i="56"/>
  <c r="P44" i="56"/>
  <c r="Q44" i="56"/>
  <c r="R44" i="56"/>
  <c r="S44" i="56"/>
  <c r="T44" i="56"/>
  <c r="U44" i="56"/>
  <c r="V44" i="56"/>
  <c r="W44" i="56"/>
  <c r="X44" i="56"/>
  <c r="Y44" i="56"/>
  <c r="Z44" i="56"/>
  <c r="AA44" i="56"/>
  <c r="AB44" i="56"/>
  <c r="AC44" i="56"/>
  <c r="AD44" i="56"/>
  <c r="AE44" i="56"/>
  <c r="AF44" i="56"/>
  <c r="AG44" i="56"/>
  <c r="AH44" i="56"/>
  <c r="AI44" i="56"/>
  <c r="AJ44" i="56"/>
  <c r="AK44" i="56"/>
  <c r="E44" i="56"/>
  <c r="F43" i="56"/>
  <c r="G43" i="56"/>
  <c r="H43" i="56"/>
  <c r="I43" i="56"/>
  <c r="J43" i="56"/>
  <c r="K43" i="56"/>
  <c r="L43" i="56"/>
  <c r="M43" i="56"/>
  <c r="N43" i="56"/>
  <c r="O43" i="56"/>
  <c r="P43" i="56"/>
  <c r="Q43" i="56"/>
  <c r="R43" i="56"/>
  <c r="S43" i="56"/>
  <c r="T43" i="56"/>
  <c r="U43" i="56"/>
  <c r="V43" i="56"/>
  <c r="W43" i="56"/>
  <c r="X43" i="56"/>
  <c r="Y43" i="56"/>
  <c r="Z43" i="56"/>
  <c r="AA43" i="56"/>
  <c r="AB43" i="56"/>
  <c r="AC43" i="56"/>
  <c r="AD43" i="56"/>
  <c r="AE43" i="56"/>
  <c r="AF43" i="56"/>
  <c r="AG43" i="56"/>
  <c r="AH43" i="56"/>
  <c r="AI43" i="56"/>
  <c r="AJ43" i="56"/>
  <c r="AK43" i="56"/>
  <c r="E43" i="56"/>
  <c r="E42" i="56"/>
  <c r="F42" i="56"/>
  <c r="G42" i="56"/>
  <c r="H42" i="56"/>
  <c r="I42" i="56"/>
  <c r="J42" i="56"/>
  <c r="K42" i="56"/>
  <c r="L42" i="56"/>
  <c r="M42" i="56"/>
  <c r="N42" i="56"/>
  <c r="O42" i="56"/>
  <c r="P42" i="56"/>
  <c r="Q42" i="56"/>
  <c r="R42" i="56"/>
  <c r="S42" i="56"/>
  <c r="T42" i="56"/>
  <c r="U42" i="56"/>
  <c r="V42" i="56"/>
  <c r="W42" i="56"/>
  <c r="X42" i="56"/>
  <c r="Y42" i="56"/>
  <c r="Z42" i="56"/>
  <c r="AA42" i="56"/>
  <c r="AB42" i="56"/>
  <c r="AC42" i="56"/>
  <c r="AD42" i="56"/>
  <c r="AE42" i="56"/>
  <c r="AF42" i="56"/>
  <c r="AG42" i="56"/>
  <c r="AH42" i="56"/>
  <c r="AI42" i="56"/>
  <c r="AJ42" i="56"/>
  <c r="AK42" i="56"/>
  <c r="E27" i="56"/>
  <c r="I28" i="64"/>
  <c r="P47" i="64"/>
  <c r="T41" i="64"/>
  <c r="Q31" i="64"/>
  <c r="S37" i="64"/>
  <c r="DN236" i="180" l="1"/>
  <c r="DT235" i="180"/>
  <c r="DN249" i="180"/>
  <c r="DN249" i="182"/>
  <c r="DN236" i="182"/>
  <c r="DT235" i="182"/>
  <c r="DT241" i="182"/>
  <c r="DZ240" i="182"/>
  <c r="DH248" i="182"/>
  <c r="DH233" i="182"/>
  <c r="DN232" i="182"/>
  <c r="EF243" i="182"/>
  <c r="EL242" i="182"/>
  <c r="DB250" i="182"/>
  <c r="DB251" i="182" s="1"/>
  <c r="DB226" i="182" s="1"/>
  <c r="DN229" i="182"/>
  <c r="DH230" i="182"/>
  <c r="DH237" i="182"/>
  <c r="DH238" i="182" s="1"/>
  <c r="DH253" i="182"/>
  <c r="DH247" i="182"/>
  <c r="DH244" i="182"/>
  <c r="DH245" i="182" s="1"/>
  <c r="DB254" i="182"/>
  <c r="DB255" i="182"/>
  <c r="DT248" i="180"/>
  <c r="DZ232" i="180"/>
  <c r="DT233" i="180"/>
  <c r="DB255" i="180"/>
  <c r="DB254" i="180"/>
  <c r="DN229" i="180"/>
  <c r="DH230" i="180"/>
  <c r="DH244" i="180"/>
  <c r="DH245" i="180" s="1"/>
  <c r="DH237" i="180"/>
  <c r="DH238" i="180" s="1"/>
  <c r="DH253" i="180"/>
  <c r="DH247" i="180"/>
  <c r="DH250" i="180" s="1"/>
  <c r="DH251" i="180" s="1"/>
  <c r="DH226" i="180" s="1"/>
  <c r="DT243" i="180"/>
  <c r="DZ242" i="180"/>
  <c r="DT241" i="180"/>
  <c r="DZ240" i="180"/>
  <c r="DZ240" i="179"/>
  <c r="DT241" i="179"/>
  <c r="DH249" i="179"/>
  <c r="DH236" i="179"/>
  <c r="DN235" i="179"/>
  <c r="DN229" i="179"/>
  <c r="DH230" i="179"/>
  <c r="DH237" i="179"/>
  <c r="DH238" i="179" s="1"/>
  <c r="DH253" i="179"/>
  <c r="DH247" i="179"/>
  <c r="DH244" i="179"/>
  <c r="DH245" i="179" s="1"/>
  <c r="DH248" i="179"/>
  <c r="DN232" i="179"/>
  <c r="DH233" i="179"/>
  <c r="DB254" i="179"/>
  <c r="DB255" i="179"/>
  <c r="DB250" i="179"/>
  <c r="DB251" i="179" s="1"/>
  <c r="DB226" i="179" s="1"/>
  <c r="DZ242" i="179"/>
  <c r="DT243" i="179"/>
  <c r="T59" i="64"/>
  <c r="Q54" i="64"/>
  <c r="I23" i="64"/>
  <c r="G38" i="56"/>
  <c r="E28" i="56"/>
  <c r="D2" i="56"/>
  <c r="G2" i="64"/>
  <c r="U41" i="64"/>
  <c r="R31" i="64"/>
  <c r="T37" i="64"/>
  <c r="J28" i="64"/>
  <c r="Q47" i="64"/>
  <c r="DT249" i="182" l="1"/>
  <c r="DZ235" i="182"/>
  <c r="DT236" i="182"/>
  <c r="DT249" i="180"/>
  <c r="DT236" i="180"/>
  <c r="DZ235" i="180"/>
  <c r="DH255" i="182"/>
  <c r="DH254" i="182"/>
  <c r="DN230" i="182"/>
  <c r="DT229" i="182"/>
  <c r="DN244" i="182"/>
  <c r="DN245" i="182" s="1"/>
  <c r="DN253" i="182"/>
  <c r="DN247" i="182"/>
  <c r="DN237" i="182"/>
  <c r="DN238" i="182" s="1"/>
  <c r="EL243" i="182"/>
  <c r="ER242" i="182"/>
  <c r="DN248" i="182"/>
  <c r="DN233" i="182"/>
  <c r="DT232" i="182"/>
  <c r="EF240" i="182"/>
  <c r="DZ241" i="182"/>
  <c r="DH250" i="182"/>
  <c r="DH251" i="182" s="1"/>
  <c r="DH226" i="182" s="1"/>
  <c r="DN226" i="180"/>
  <c r="EF240" i="180"/>
  <c r="DZ241" i="180"/>
  <c r="EF242" i="180"/>
  <c r="DZ243" i="180"/>
  <c r="DH255" i="180"/>
  <c r="DH254" i="180"/>
  <c r="DN230" i="180"/>
  <c r="DT229" i="180"/>
  <c r="DN253" i="180"/>
  <c r="DN247" i="180"/>
  <c r="DN250" i="180" s="1"/>
  <c r="DN251" i="180" s="1"/>
  <c r="DN244" i="180"/>
  <c r="DN245" i="180" s="1"/>
  <c r="DN237" i="180"/>
  <c r="DN238" i="180" s="1"/>
  <c r="DZ248" i="180"/>
  <c r="EF232" i="180"/>
  <c r="DZ233" i="180"/>
  <c r="DH255" i="179"/>
  <c r="DH254" i="179"/>
  <c r="DZ243" i="179"/>
  <c r="EF242" i="179"/>
  <c r="DN230" i="179"/>
  <c r="DT229" i="179"/>
  <c r="DN244" i="179"/>
  <c r="DN245" i="179" s="1"/>
  <c r="DN253" i="179"/>
  <c r="DN247" i="179"/>
  <c r="DN237" i="179"/>
  <c r="DN238" i="179" s="1"/>
  <c r="DN249" i="179"/>
  <c r="DN236" i="179"/>
  <c r="DT235" i="179"/>
  <c r="DZ241" i="179"/>
  <c r="EF240" i="179"/>
  <c r="DN248" i="179"/>
  <c r="DN233" i="179"/>
  <c r="DT232" i="179"/>
  <c r="DH250" i="179"/>
  <c r="DH251" i="179" s="1"/>
  <c r="DH226" i="179" s="1"/>
  <c r="I42" i="64"/>
  <c r="I34" i="64"/>
  <c r="I32" i="64"/>
  <c r="R54" i="64"/>
  <c r="J23" i="64"/>
  <c r="H38" i="56"/>
  <c r="F59" i="56" s="1"/>
  <c r="I52" i="64" s="1"/>
  <c r="E59" i="56"/>
  <c r="H52" i="64" s="1"/>
  <c r="E50" i="56"/>
  <c r="E49" i="56"/>
  <c r="F49" i="56" s="1"/>
  <c r="E48" i="56"/>
  <c r="F48" i="56" s="1"/>
  <c r="G48" i="56" s="1"/>
  <c r="E47" i="56"/>
  <c r="R47" i="64"/>
  <c r="V41" i="64"/>
  <c r="U37" i="64"/>
  <c r="S31" i="64"/>
  <c r="K28" i="64"/>
  <c r="DN250" i="182" l="1"/>
  <c r="DN251" i="182" s="1"/>
  <c r="DN226" i="182" s="1"/>
  <c r="EF235" i="180"/>
  <c r="DZ236" i="180"/>
  <c r="DZ249" i="182"/>
  <c r="DZ236" i="182"/>
  <c r="EF235" i="182"/>
  <c r="DZ249" i="180"/>
  <c r="DN254" i="182"/>
  <c r="DN255" i="182"/>
  <c r="DT230" i="182"/>
  <c r="DZ229" i="182"/>
  <c r="DT253" i="182"/>
  <c r="DT247" i="182"/>
  <c r="DT237" i="182"/>
  <c r="DT238" i="182" s="1"/>
  <c r="DT244" i="182"/>
  <c r="DT245" i="182" s="1"/>
  <c r="EF241" i="182"/>
  <c r="EL240" i="182"/>
  <c r="DT248" i="182"/>
  <c r="DT233" i="182"/>
  <c r="DZ232" i="182"/>
  <c r="ER243" i="182"/>
  <c r="EX242" i="182"/>
  <c r="EF248" i="180"/>
  <c r="EL232" i="180"/>
  <c r="EF233" i="180"/>
  <c r="DN255" i="180"/>
  <c r="DN254" i="180"/>
  <c r="DT230" i="180"/>
  <c r="DZ229" i="180"/>
  <c r="DT244" i="180"/>
  <c r="DT245" i="180" s="1"/>
  <c r="DT253" i="180"/>
  <c r="DT247" i="180"/>
  <c r="DT250" i="180" s="1"/>
  <c r="DT251" i="180" s="1"/>
  <c r="DT226" i="180" s="1"/>
  <c r="DT237" i="180"/>
  <c r="DT238" i="180" s="1"/>
  <c r="EL242" i="180"/>
  <c r="EF243" i="180"/>
  <c r="EF241" i="180"/>
  <c r="EL240" i="180"/>
  <c r="EF241" i="179"/>
  <c r="EL240" i="179"/>
  <c r="EL241" i="179" s="1"/>
  <c r="DN255" i="179"/>
  <c r="DN254" i="179"/>
  <c r="DT248" i="179"/>
  <c r="DT233" i="179"/>
  <c r="DZ232" i="179"/>
  <c r="DT230" i="179"/>
  <c r="DZ229" i="179"/>
  <c r="DT253" i="179"/>
  <c r="DT247" i="179"/>
  <c r="DT237" i="179"/>
  <c r="DT238" i="179" s="1"/>
  <c r="DT244" i="179"/>
  <c r="DT245" i="179" s="1"/>
  <c r="EF243" i="179"/>
  <c r="EL242" i="179"/>
  <c r="EL243" i="179" s="1"/>
  <c r="DT236" i="179"/>
  <c r="DZ235" i="179"/>
  <c r="DT249" i="179"/>
  <c r="DN250" i="179"/>
  <c r="DN251" i="179" s="1"/>
  <c r="DN226" i="179" s="1"/>
  <c r="F50" i="56"/>
  <c r="I38" i="64" s="1"/>
  <c r="I39" i="64" s="1"/>
  <c r="I40" i="64" s="1"/>
  <c r="H38" i="64"/>
  <c r="H39" i="64" s="1"/>
  <c r="H40" i="64" s="1"/>
  <c r="H48" i="56"/>
  <c r="J42" i="64"/>
  <c r="J34" i="64"/>
  <c r="J32" i="64"/>
  <c r="S54" i="64"/>
  <c r="K23" i="64"/>
  <c r="I38" i="56"/>
  <c r="E51" i="56"/>
  <c r="F47" i="56"/>
  <c r="G47" i="56" s="1"/>
  <c r="H47" i="56" s="1"/>
  <c r="G49" i="56"/>
  <c r="V37" i="64"/>
  <c r="H43" i="64"/>
  <c r="T31" i="64"/>
  <c r="S47" i="64"/>
  <c r="W41" i="64"/>
  <c r="L28" i="64"/>
  <c r="EL235" i="182" l="1"/>
  <c r="EF236" i="182"/>
  <c r="EF249" i="182"/>
  <c r="DT250" i="182"/>
  <c r="DT251" i="182" s="1"/>
  <c r="DT226" i="182" s="1"/>
  <c r="EL235" i="180"/>
  <c r="EF236" i="180"/>
  <c r="EF249" i="180"/>
  <c r="DT254" i="182"/>
  <c r="DT255" i="182"/>
  <c r="EF229" i="182"/>
  <c r="DZ230" i="182"/>
  <c r="DZ237" i="182"/>
  <c r="DZ238" i="182" s="1"/>
  <c r="DZ253" i="182"/>
  <c r="DZ244" i="182"/>
  <c r="DZ245" i="182" s="1"/>
  <c r="DZ247" i="182"/>
  <c r="DZ248" i="182"/>
  <c r="EF232" i="182"/>
  <c r="DZ233" i="182"/>
  <c r="FD242" i="182"/>
  <c r="EX243" i="182"/>
  <c r="EL241" i="182"/>
  <c r="ER240" i="182"/>
  <c r="EL241" i="180"/>
  <c r="ER240" i="180"/>
  <c r="EL243" i="180"/>
  <c r="ER242" i="180"/>
  <c r="DT255" i="180"/>
  <c r="DT254" i="180"/>
  <c r="DZ230" i="180"/>
  <c r="EF229" i="180"/>
  <c r="DZ237" i="180"/>
  <c r="DZ238" i="180" s="1"/>
  <c r="DZ253" i="180"/>
  <c r="DZ244" i="180"/>
  <c r="DZ245" i="180" s="1"/>
  <c r="DZ247" i="180"/>
  <c r="DZ250" i="180" s="1"/>
  <c r="DZ251" i="180" s="1"/>
  <c r="DZ226" i="180" s="1"/>
  <c r="EL248" i="180"/>
  <c r="EL233" i="180"/>
  <c r="ER232" i="180"/>
  <c r="EF229" i="179"/>
  <c r="DZ230" i="179"/>
  <c r="DZ247" i="179"/>
  <c r="DZ237" i="179"/>
  <c r="DZ238" i="179" s="1"/>
  <c r="DZ253" i="179"/>
  <c r="DZ244" i="179"/>
  <c r="DZ245" i="179" s="1"/>
  <c r="DT250" i="179"/>
  <c r="DT251" i="179" s="1"/>
  <c r="DT226" i="179" s="1"/>
  <c r="DZ248" i="179"/>
  <c r="EF232" i="179"/>
  <c r="DZ233" i="179"/>
  <c r="DZ236" i="179"/>
  <c r="EF235" i="179"/>
  <c r="DZ249" i="179"/>
  <c r="DT254" i="179"/>
  <c r="DT255" i="179"/>
  <c r="G50" i="56"/>
  <c r="H50" i="56" s="1"/>
  <c r="K38" i="64" s="1"/>
  <c r="K39" i="64" s="1"/>
  <c r="K40" i="64" s="1"/>
  <c r="H44" i="64"/>
  <c r="E52" i="56"/>
  <c r="I47" i="56"/>
  <c r="T58" i="64"/>
  <c r="K42" i="64"/>
  <c r="K34" i="64"/>
  <c r="K32" i="64"/>
  <c r="T54" i="64"/>
  <c r="Q41" i="61" s="1"/>
  <c r="J43" i="61"/>
  <c r="L23" i="64"/>
  <c r="J38" i="56"/>
  <c r="G59" i="56"/>
  <c r="J52" i="64" s="1"/>
  <c r="I48" i="56"/>
  <c r="E54" i="56"/>
  <c r="G51" i="56"/>
  <c r="F51" i="56"/>
  <c r="H49" i="56"/>
  <c r="I49" i="56" s="1"/>
  <c r="I43" i="64"/>
  <c r="J43" i="64"/>
  <c r="X41" i="64"/>
  <c r="M28" i="64"/>
  <c r="T47" i="64"/>
  <c r="U31" i="64"/>
  <c r="H35" i="64"/>
  <c r="W37" i="64"/>
  <c r="H29" i="64"/>
  <c r="DZ250" i="182" l="1"/>
  <c r="DZ251" i="182" s="1"/>
  <c r="DZ226" i="182" s="1"/>
  <c r="ER235" i="180"/>
  <c r="EL236" i="180"/>
  <c r="EL249" i="180"/>
  <c r="EL249" i="182"/>
  <c r="EL236" i="182"/>
  <c r="ER235" i="182"/>
  <c r="DZ255" i="182"/>
  <c r="DZ254" i="182"/>
  <c r="EL229" i="182"/>
  <c r="EF230" i="182"/>
  <c r="EF253" i="182"/>
  <c r="EF247" i="182"/>
  <c r="EF237" i="182"/>
  <c r="EF238" i="182" s="1"/>
  <c r="EF244" i="182"/>
  <c r="EF245" i="182" s="1"/>
  <c r="EF248" i="182"/>
  <c r="EL232" i="182"/>
  <c r="EF233" i="182"/>
  <c r="ER241" i="182"/>
  <c r="EX240" i="182"/>
  <c r="FJ242" i="182"/>
  <c r="FD243" i="182"/>
  <c r="ER248" i="180"/>
  <c r="EX232" i="180"/>
  <c r="ER233" i="180"/>
  <c r="DZ255" i="180"/>
  <c r="DZ254" i="180"/>
  <c r="EL229" i="180"/>
  <c r="EF230" i="180"/>
  <c r="EF244" i="180"/>
  <c r="EF245" i="180" s="1"/>
  <c r="EF253" i="180"/>
  <c r="EF247" i="180"/>
  <c r="EF250" i="180" s="1"/>
  <c r="EF251" i="180" s="1"/>
  <c r="EF226" i="180" s="1"/>
  <c r="EF237" i="180"/>
  <c r="EF238" i="180" s="1"/>
  <c r="ER243" i="180"/>
  <c r="EX242" i="180"/>
  <c r="EX240" i="180"/>
  <c r="ER241" i="180"/>
  <c r="EF248" i="179"/>
  <c r="EL232" i="179"/>
  <c r="EF233" i="179"/>
  <c r="DZ255" i="179"/>
  <c r="DZ254" i="179"/>
  <c r="EF230" i="179"/>
  <c r="EL229" i="179"/>
  <c r="EF253" i="179"/>
  <c r="EF247" i="179"/>
  <c r="EF237" i="179"/>
  <c r="EF238" i="179" s="1"/>
  <c r="EF244" i="179"/>
  <c r="EF245" i="179" s="1"/>
  <c r="EL235" i="179"/>
  <c r="EF236" i="179"/>
  <c r="EF249" i="179"/>
  <c r="DZ250" i="179"/>
  <c r="DZ251" i="179" s="1"/>
  <c r="DZ226" i="179" s="1"/>
  <c r="H51" i="64"/>
  <c r="J38" i="64"/>
  <c r="J39" i="64" s="1"/>
  <c r="J40" i="64" s="1"/>
  <c r="J48" i="56"/>
  <c r="I44" i="64"/>
  <c r="J44" i="64"/>
  <c r="F54" i="56"/>
  <c r="F56" i="56" s="1"/>
  <c r="G54" i="56"/>
  <c r="G58" i="56" s="1"/>
  <c r="I50" i="56"/>
  <c r="H36" i="64"/>
  <c r="H30" i="64"/>
  <c r="L42" i="64"/>
  <c r="L34" i="64"/>
  <c r="L32" i="64"/>
  <c r="U54" i="64"/>
  <c r="M23" i="64"/>
  <c r="K38" i="56"/>
  <c r="H59" i="56"/>
  <c r="K52" i="64" s="1"/>
  <c r="J47" i="56"/>
  <c r="E56" i="56"/>
  <c r="E55" i="56"/>
  <c r="E58" i="56"/>
  <c r="E60" i="56" s="1"/>
  <c r="F55" i="56"/>
  <c r="F52" i="56"/>
  <c r="G52" i="56"/>
  <c r="H51" i="56"/>
  <c r="J49" i="56"/>
  <c r="I51" i="56"/>
  <c r="V31" i="64"/>
  <c r="K43" i="64"/>
  <c r="I35" i="64"/>
  <c r="H45" i="64"/>
  <c r="N28" i="64"/>
  <c r="Y41" i="64"/>
  <c r="X37" i="64"/>
  <c r="J29" i="64"/>
  <c r="I45" i="64"/>
  <c r="U47" i="64"/>
  <c r="L43" i="64"/>
  <c r="J35" i="64"/>
  <c r="ER249" i="182" l="1"/>
  <c r="EX235" i="182"/>
  <c r="ER236" i="182"/>
  <c r="ER249" i="180"/>
  <c r="EX235" i="180"/>
  <c r="ER236" i="180"/>
  <c r="EF255" i="182"/>
  <c r="EF254" i="182"/>
  <c r="EX241" i="182"/>
  <c r="FD240" i="182"/>
  <c r="EF250" i="182"/>
  <c r="EF251" i="182" s="1"/>
  <c r="EF226" i="182" s="1"/>
  <c r="EL230" i="182"/>
  <c r="ER229" i="182"/>
  <c r="EL247" i="182"/>
  <c r="EL244" i="182"/>
  <c r="EL245" i="182" s="1"/>
  <c r="EL237" i="182"/>
  <c r="EL238" i="182" s="1"/>
  <c r="EL253" i="182"/>
  <c r="FJ243" i="182"/>
  <c r="FP242" i="182"/>
  <c r="EL248" i="182"/>
  <c r="EL233" i="182"/>
  <c r="ER232" i="182"/>
  <c r="EX241" i="180"/>
  <c r="FD240" i="180"/>
  <c r="FD242" i="180"/>
  <c r="EX243" i="180"/>
  <c r="EF254" i="180"/>
  <c r="EF255" i="180"/>
  <c r="EL230" i="180"/>
  <c r="ER229" i="180"/>
  <c r="EL244" i="180"/>
  <c r="EL245" i="180" s="1"/>
  <c r="EL247" i="180"/>
  <c r="EL250" i="180" s="1"/>
  <c r="EL251" i="180" s="1"/>
  <c r="EL226" i="180" s="1"/>
  <c r="EL237" i="180"/>
  <c r="EL238" i="180" s="1"/>
  <c r="EL253" i="180"/>
  <c r="EX248" i="180"/>
  <c r="EX233" i="180"/>
  <c r="FD232" i="180"/>
  <c r="EF226" i="179"/>
  <c r="EL230" i="179"/>
  <c r="EL247" i="179"/>
  <c r="EL244" i="179"/>
  <c r="EL245" i="179" s="1"/>
  <c r="EL253" i="179"/>
  <c r="EL237" i="179"/>
  <c r="EL238" i="179" s="1"/>
  <c r="EL248" i="179"/>
  <c r="EL233" i="179"/>
  <c r="EL236" i="179"/>
  <c r="EL249" i="179"/>
  <c r="EF250" i="179"/>
  <c r="EF251" i="179" s="1"/>
  <c r="EF254" i="179"/>
  <c r="EF255" i="179"/>
  <c r="J51" i="64"/>
  <c r="H53" i="64"/>
  <c r="G55" i="56"/>
  <c r="G56" i="56"/>
  <c r="K44" i="64"/>
  <c r="J30" i="64"/>
  <c r="J36" i="64"/>
  <c r="L44" i="64"/>
  <c r="I36" i="64"/>
  <c r="K48" i="56"/>
  <c r="J50" i="56"/>
  <c r="M38" i="64" s="1"/>
  <c r="M39" i="64" s="1"/>
  <c r="M40" i="64" s="1"/>
  <c r="L38" i="64"/>
  <c r="L39" i="64" s="1"/>
  <c r="L40" i="64" s="1"/>
  <c r="H54" i="56"/>
  <c r="H58" i="56" s="1"/>
  <c r="I54" i="56"/>
  <c r="I55" i="56" s="1"/>
  <c r="F58" i="56"/>
  <c r="K47" i="56"/>
  <c r="M42" i="64"/>
  <c r="M32" i="64"/>
  <c r="V54" i="64"/>
  <c r="N23" i="64"/>
  <c r="L38" i="56"/>
  <c r="I59" i="56"/>
  <c r="L52" i="64" s="1"/>
  <c r="I52" i="56"/>
  <c r="H52" i="56"/>
  <c r="K49" i="56"/>
  <c r="J51" i="56"/>
  <c r="V47" i="64"/>
  <c r="I29" i="64"/>
  <c r="Z41" i="64"/>
  <c r="K29" i="64"/>
  <c r="K35" i="64"/>
  <c r="Y37" i="64"/>
  <c r="J45" i="64"/>
  <c r="L35" i="64"/>
  <c r="W31" i="64"/>
  <c r="L29" i="64"/>
  <c r="O28" i="64"/>
  <c r="I51" i="64" l="1"/>
  <c r="I53" i="64" s="1"/>
  <c r="I30" i="64"/>
  <c r="EX236" i="180"/>
  <c r="FD235" i="180"/>
  <c r="FD235" i="182"/>
  <c r="EX249" i="182"/>
  <c r="EX236" i="182"/>
  <c r="EX249" i="180"/>
  <c r="EX229" i="182"/>
  <c r="ER230" i="182"/>
  <c r="ER237" i="182"/>
  <c r="ER238" i="182" s="1"/>
  <c r="ER244" i="182"/>
  <c r="ER245" i="182" s="1"/>
  <c r="ER253" i="182"/>
  <c r="ER247" i="182"/>
  <c r="ER248" i="182"/>
  <c r="EX232" i="182"/>
  <c r="ER233" i="182"/>
  <c r="FV242" i="182"/>
  <c r="FP243" i="182"/>
  <c r="FD241" i="182"/>
  <c r="FJ240" i="182"/>
  <c r="EL255" i="182"/>
  <c r="EL254" i="182"/>
  <c r="EL250" i="182"/>
  <c r="EL251" i="182" s="1"/>
  <c r="EL226" i="182" s="1"/>
  <c r="FD248" i="180"/>
  <c r="FJ232" i="180"/>
  <c r="FD233" i="180"/>
  <c r="EL255" i="180"/>
  <c r="EL254" i="180"/>
  <c r="ER230" i="180"/>
  <c r="EX229" i="180"/>
  <c r="ER244" i="180"/>
  <c r="ER245" i="180" s="1"/>
  <c r="ER253" i="180"/>
  <c r="ER247" i="180"/>
  <c r="ER250" i="180" s="1"/>
  <c r="ER251" i="180" s="1"/>
  <c r="ER226" i="180" s="1"/>
  <c r="ER237" i="180"/>
  <c r="ER238" i="180" s="1"/>
  <c r="FJ242" i="180"/>
  <c r="FD243" i="180"/>
  <c r="FJ240" i="180"/>
  <c r="FD241" i="180"/>
  <c r="EL250" i="179"/>
  <c r="EL251" i="179" s="1"/>
  <c r="EL226" i="179" s="1"/>
  <c r="ER226" i="179" s="1"/>
  <c r="EX226" i="179" s="1"/>
  <c r="FD226" i="179" s="1"/>
  <c r="FJ226" i="179" s="1"/>
  <c r="FP226" i="179" s="1"/>
  <c r="FV226" i="179" s="1"/>
  <c r="GB226" i="179" s="1"/>
  <c r="GH226" i="179" s="1"/>
  <c r="GN226" i="179" s="1"/>
  <c r="GT226" i="179" s="1"/>
  <c r="GZ226" i="179" s="1"/>
  <c r="EL255" i="179"/>
  <c r="EL254" i="179"/>
  <c r="L51" i="64"/>
  <c r="K51" i="64"/>
  <c r="J53" i="64"/>
  <c r="L36" i="64"/>
  <c r="L30" i="64"/>
  <c r="K30" i="64"/>
  <c r="K36" i="64"/>
  <c r="I56" i="56"/>
  <c r="H55" i="56"/>
  <c r="H56" i="56"/>
  <c r="J54" i="56"/>
  <c r="K50" i="56"/>
  <c r="N38" i="64" s="1"/>
  <c r="N39" i="64" s="1"/>
  <c r="N40" i="64" s="1"/>
  <c r="I58" i="56"/>
  <c r="N42" i="64"/>
  <c r="N32" i="64"/>
  <c r="W54" i="64"/>
  <c r="O23" i="64"/>
  <c r="M38" i="56"/>
  <c r="J59" i="56"/>
  <c r="M52" i="64" s="1"/>
  <c r="L47" i="56"/>
  <c r="L48" i="56"/>
  <c r="J52" i="56"/>
  <c r="L49" i="56"/>
  <c r="K51" i="56"/>
  <c r="M29" i="64"/>
  <c r="K45" i="64"/>
  <c r="Z37" i="64"/>
  <c r="X31" i="64"/>
  <c r="L45" i="64"/>
  <c r="AA41" i="64"/>
  <c r="W47" i="64"/>
  <c r="P28" i="64"/>
  <c r="FD236" i="182" l="1"/>
  <c r="FJ235" i="182"/>
  <c r="FD249" i="182"/>
  <c r="FD249" i="180"/>
  <c r="FJ235" i="180"/>
  <c r="FJ249" i="180" s="1"/>
  <c r="FD236" i="180"/>
  <c r="ER250" i="182"/>
  <c r="ER251" i="182" s="1"/>
  <c r="ER226" i="182" s="1"/>
  <c r="ER254" i="182"/>
  <c r="ER255" i="182"/>
  <c r="EX230" i="182"/>
  <c r="FD229" i="182"/>
  <c r="EX244" i="182"/>
  <c r="EX245" i="182" s="1"/>
  <c r="EX253" i="182"/>
  <c r="EX237" i="182"/>
  <c r="EX238" i="182" s="1"/>
  <c r="EX247" i="182"/>
  <c r="EX248" i="182"/>
  <c r="FD232" i="182"/>
  <c r="EX233" i="182"/>
  <c r="FP240" i="182"/>
  <c r="FJ241" i="182"/>
  <c r="FV243" i="182"/>
  <c r="GB242" i="182"/>
  <c r="FJ241" i="180"/>
  <c r="FP240" i="180"/>
  <c r="FJ243" i="180"/>
  <c r="FP242" i="180"/>
  <c r="ER254" i="180"/>
  <c r="ER255" i="180"/>
  <c r="EX230" i="180"/>
  <c r="FD229" i="180"/>
  <c r="EX247" i="180"/>
  <c r="EX250" i="180" s="1"/>
  <c r="EX251" i="180" s="1"/>
  <c r="EX226" i="180" s="1"/>
  <c r="EX244" i="180"/>
  <c r="EX245" i="180" s="1"/>
  <c r="EX237" i="180"/>
  <c r="EX238" i="180" s="1"/>
  <c r="EX253" i="180"/>
  <c r="FJ248" i="180"/>
  <c r="FP232" i="180"/>
  <c r="FJ233" i="180"/>
  <c r="M51" i="64"/>
  <c r="J56" i="56"/>
  <c r="K53" i="64"/>
  <c r="L53" i="64"/>
  <c r="M48" i="56"/>
  <c r="M47" i="56"/>
  <c r="L50" i="56"/>
  <c r="M50" i="56" s="1"/>
  <c r="P38" i="64" s="1"/>
  <c r="P39" i="64" s="1"/>
  <c r="G44" i="61"/>
  <c r="M57" i="64"/>
  <c r="M30" i="64"/>
  <c r="K54" i="56"/>
  <c r="J58" i="56"/>
  <c r="J55" i="56"/>
  <c r="O42" i="64"/>
  <c r="O32" i="64"/>
  <c r="X54" i="64"/>
  <c r="P23" i="64"/>
  <c r="N38" i="56"/>
  <c r="K59" i="56"/>
  <c r="N52" i="64" s="1"/>
  <c r="K52" i="56"/>
  <c r="M49" i="56"/>
  <c r="L51" i="56"/>
  <c r="AB41" i="64"/>
  <c r="AA37" i="64"/>
  <c r="Q28" i="64"/>
  <c r="N29" i="64"/>
  <c r="Y31" i="64"/>
  <c r="X47" i="64"/>
  <c r="EX250" i="182" l="1"/>
  <c r="EX251" i="182" s="1"/>
  <c r="EX226" i="182"/>
  <c r="FP235" i="180"/>
  <c r="FJ236" i="180"/>
  <c r="FJ249" i="182"/>
  <c r="FP235" i="182"/>
  <c r="FJ236" i="182"/>
  <c r="GH242" i="182"/>
  <c r="GB243" i="182"/>
  <c r="FV240" i="182"/>
  <c r="FP241" i="182"/>
  <c r="FD248" i="182"/>
  <c r="FJ232" i="182"/>
  <c r="FD233" i="182"/>
  <c r="EX254" i="182"/>
  <c r="EX255" i="182"/>
  <c r="FD230" i="182"/>
  <c r="FJ229" i="182"/>
  <c r="FD247" i="182"/>
  <c r="FD237" i="182"/>
  <c r="FD238" i="182" s="1"/>
  <c r="FD244" i="182"/>
  <c r="FD245" i="182" s="1"/>
  <c r="FD253" i="182"/>
  <c r="FP248" i="180"/>
  <c r="FP233" i="180"/>
  <c r="FV232" i="180"/>
  <c r="EX254" i="180"/>
  <c r="EX255" i="180"/>
  <c r="FD230" i="180"/>
  <c r="FJ229" i="180"/>
  <c r="FD244" i="180"/>
  <c r="FD245" i="180" s="1"/>
  <c r="FD253" i="180"/>
  <c r="FD247" i="180"/>
  <c r="FD250" i="180" s="1"/>
  <c r="FD251" i="180" s="1"/>
  <c r="FD226" i="180" s="1"/>
  <c r="FD237" i="180"/>
  <c r="FD238" i="180" s="1"/>
  <c r="FV242" i="180"/>
  <c r="FP243" i="180"/>
  <c r="FP241" i="180"/>
  <c r="FV240" i="180"/>
  <c r="O38" i="64"/>
  <c r="O39" i="64" s="1"/>
  <c r="O40" i="64" s="1"/>
  <c r="L54" i="56"/>
  <c r="L56" i="56" s="1"/>
  <c r="N30" i="64"/>
  <c r="K58" i="56"/>
  <c r="K55" i="56"/>
  <c r="K56" i="56"/>
  <c r="P40" i="64"/>
  <c r="P42" i="64"/>
  <c r="P32" i="64"/>
  <c r="Y54" i="64"/>
  <c r="Q23" i="64"/>
  <c r="O38" i="56"/>
  <c r="L59" i="56"/>
  <c r="O52" i="64" s="1"/>
  <c r="N50" i="56"/>
  <c r="N47" i="56"/>
  <c r="N48" i="56"/>
  <c r="L52" i="56"/>
  <c r="N49" i="56"/>
  <c r="M51" i="56"/>
  <c r="M54" i="56" s="1"/>
  <c r="P29" i="64"/>
  <c r="Z31" i="64"/>
  <c r="Y47" i="64"/>
  <c r="AB37" i="64"/>
  <c r="O29" i="64"/>
  <c r="R28" i="64"/>
  <c r="AC41" i="64"/>
  <c r="FP236" i="182" l="1"/>
  <c r="FV235" i="182"/>
  <c r="FP249" i="182"/>
  <c r="FV235" i="180"/>
  <c r="FP249" i="180"/>
  <c r="FP236" i="180"/>
  <c r="FJ248" i="182"/>
  <c r="FP232" i="182"/>
  <c r="FJ233" i="182"/>
  <c r="FD254" i="182"/>
  <c r="FD255" i="182"/>
  <c r="GH243" i="182"/>
  <c r="GN242" i="182"/>
  <c r="FD250" i="182"/>
  <c r="FD251" i="182" s="1"/>
  <c r="FD226" i="182" s="1"/>
  <c r="FJ230" i="182"/>
  <c r="FP229" i="182"/>
  <c r="FJ244" i="182"/>
  <c r="FJ245" i="182" s="1"/>
  <c r="FJ253" i="182"/>
  <c r="FJ247" i="182"/>
  <c r="FJ250" i="182" s="1"/>
  <c r="FJ251" i="182" s="1"/>
  <c r="FJ237" i="182"/>
  <c r="FJ238" i="182" s="1"/>
  <c r="GB240" i="182"/>
  <c r="FV241" i="182"/>
  <c r="FV241" i="180"/>
  <c r="GB240" i="180"/>
  <c r="FV243" i="180"/>
  <c r="GB242" i="180"/>
  <c r="FD255" i="180"/>
  <c r="FD254" i="180"/>
  <c r="FJ230" i="180"/>
  <c r="FP229" i="180"/>
  <c r="FJ244" i="180"/>
  <c r="FJ245" i="180" s="1"/>
  <c r="FJ237" i="180"/>
  <c r="FJ238" i="180" s="1"/>
  <c r="FJ253" i="180"/>
  <c r="FJ247" i="180"/>
  <c r="FJ250" i="180" s="1"/>
  <c r="FJ251" i="180" s="1"/>
  <c r="FJ226" i="180" s="1"/>
  <c r="FV248" i="180"/>
  <c r="GB232" i="180"/>
  <c r="FV233" i="180"/>
  <c r="L58" i="56"/>
  <c r="O30" i="64"/>
  <c r="L55" i="56"/>
  <c r="O47" i="56"/>
  <c r="P30" i="64"/>
  <c r="O50" i="56"/>
  <c r="R38" i="64" s="1"/>
  <c r="R39" i="64" s="1"/>
  <c r="Q38" i="64"/>
  <c r="Q39" i="64" s="1"/>
  <c r="Q40" i="64" s="1"/>
  <c r="O48" i="56"/>
  <c r="Q42" i="64"/>
  <c r="Q32" i="64"/>
  <c r="Z54" i="64"/>
  <c r="R23" i="64"/>
  <c r="P38" i="56"/>
  <c r="M59" i="56"/>
  <c r="P52" i="64" s="1"/>
  <c r="M56" i="56"/>
  <c r="M55" i="56"/>
  <c r="M52" i="56"/>
  <c r="M58" i="56"/>
  <c r="O49" i="56"/>
  <c r="N51" i="56"/>
  <c r="N54" i="56" s="1"/>
  <c r="AC37" i="64"/>
  <c r="AA31" i="64"/>
  <c r="AD41" i="64"/>
  <c r="Q29" i="64"/>
  <c r="S28" i="64"/>
  <c r="Z47" i="64"/>
  <c r="GB235" i="180" l="1"/>
  <c r="FV236" i="180"/>
  <c r="GB235" i="182"/>
  <c r="FV249" i="182"/>
  <c r="FV236" i="182"/>
  <c r="FV249" i="180"/>
  <c r="GT242" i="182"/>
  <c r="GN243" i="182"/>
  <c r="FJ255" i="182"/>
  <c r="FJ254" i="182"/>
  <c r="FP230" i="182"/>
  <c r="FV229" i="182"/>
  <c r="FP237" i="182"/>
  <c r="FP238" i="182" s="1"/>
  <c r="FP253" i="182"/>
  <c r="FP247" i="182"/>
  <c r="FP244" i="182"/>
  <c r="FP245" i="182" s="1"/>
  <c r="GH240" i="182"/>
  <c r="GB241" i="182"/>
  <c r="FP248" i="182"/>
  <c r="FV232" i="182"/>
  <c r="FP233" i="182"/>
  <c r="FJ226" i="182"/>
  <c r="GB248" i="180"/>
  <c r="GB233" i="180"/>
  <c r="GH232" i="180"/>
  <c r="FJ254" i="180"/>
  <c r="FJ255" i="180"/>
  <c r="FP230" i="180"/>
  <c r="FV229" i="180"/>
  <c r="FP247" i="180"/>
  <c r="FP250" i="180" s="1"/>
  <c r="FP251" i="180" s="1"/>
  <c r="FP226" i="180" s="1"/>
  <c r="FP244" i="180"/>
  <c r="FP245" i="180" s="1"/>
  <c r="FP237" i="180"/>
  <c r="FP238" i="180" s="1"/>
  <c r="FP253" i="180"/>
  <c r="GH242" i="180"/>
  <c r="GB243" i="180"/>
  <c r="GH240" i="180"/>
  <c r="GB241" i="180"/>
  <c r="R40" i="64"/>
  <c r="Q30" i="64"/>
  <c r="R42" i="64"/>
  <c r="R32" i="64"/>
  <c r="AA54" i="64"/>
  <c r="S23" i="64"/>
  <c r="Q38" i="56"/>
  <c r="N59" i="56"/>
  <c r="Q52" i="64" s="1"/>
  <c r="P50" i="56"/>
  <c r="P47" i="56"/>
  <c r="P48" i="56"/>
  <c r="N56" i="56"/>
  <c r="N55" i="56"/>
  <c r="N52" i="56"/>
  <c r="N58" i="56"/>
  <c r="P49" i="56"/>
  <c r="O51" i="56"/>
  <c r="O54" i="56" s="1"/>
  <c r="R29" i="64"/>
  <c r="AB31" i="64"/>
  <c r="AE41" i="64"/>
  <c r="T28" i="64"/>
  <c r="AA47" i="64"/>
  <c r="AD37" i="64"/>
  <c r="GH235" i="182" l="1"/>
  <c r="GB236" i="182"/>
  <c r="GB249" i="182"/>
  <c r="GB249" i="180"/>
  <c r="GB236" i="180"/>
  <c r="GH235" i="180"/>
  <c r="FV230" i="182"/>
  <c r="GB229" i="182"/>
  <c r="FV244" i="182"/>
  <c r="FV245" i="182" s="1"/>
  <c r="FV253" i="182"/>
  <c r="FV247" i="182"/>
  <c r="FV237" i="182"/>
  <c r="FV238" i="182" s="1"/>
  <c r="GN240" i="182"/>
  <c r="GH241" i="182"/>
  <c r="GZ242" i="182"/>
  <c r="GZ243" i="182" s="1"/>
  <c r="GT243" i="182"/>
  <c r="FP250" i="182"/>
  <c r="FP251" i="182" s="1"/>
  <c r="FP226" i="182" s="1"/>
  <c r="FV248" i="182"/>
  <c r="GB232" i="182"/>
  <c r="FV233" i="182"/>
  <c r="FP255" i="182"/>
  <c r="FP254" i="182"/>
  <c r="GH241" i="180"/>
  <c r="GN240" i="180"/>
  <c r="GH243" i="180"/>
  <c r="GN242" i="180"/>
  <c r="FP255" i="180"/>
  <c r="FP254" i="180"/>
  <c r="FV230" i="180"/>
  <c r="GB229" i="180"/>
  <c r="FV237" i="180"/>
  <c r="FV238" i="180" s="1"/>
  <c r="FV244" i="180"/>
  <c r="FV245" i="180" s="1"/>
  <c r="FV247" i="180"/>
  <c r="FV250" i="180" s="1"/>
  <c r="FV251" i="180" s="1"/>
  <c r="FV226" i="180" s="1"/>
  <c r="FV253" i="180"/>
  <c r="GH248" i="180"/>
  <c r="GH233" i="180"/>
  <c r="GN232" i="180"/>
  <c r="Q48" i="56"/>
  <c r="Q47" i="56"/>
  <c r="R30" i="64"/>
  <c r="Q50" i="56"/>
  <c r="T38" i="64" s="1"/>
  <c r="T39" i="64" s="1"/>
  <c r="S38" i="64"/>
  <c r="S39" i="64" s="1"/>
  <c r="S40" i="64" s="1"/>
  <c r="S42" i="64"/>
  <c r="S32" i="64"/>
  <c r="AB54" i="64"/>
  <c r="T23" i="64"/>
  <c r="R38" i="56"/>
  <c r="O59" i="56"/>
  <c r="R52" i="64" s="1"/>
  <c r="O56" i="56"/>
  <c r="O55" i="56"/>
  <c r="O52" i="56"/>
  <c r="O58" i="56"/>
  <c r="Q49" i="56"/>
  <c r="P51" i="56"/>
  <c r="P54" i="56" s="1"/>
  <c r="U28" i="64"/>
  <c r="AC31" i="64"/>
  <c r="AB47" i="64"/>
  <c r="S29" i="64"/>
  <c r="AF41" i="64"/>
  <c r="AE37" i="64"/>
  <c r="GN235" i="180" l="1"/>
  <c r="GH236" i="180"/>
  <c r="FV250" i="182"/>
  <c r="FV251" i="182" s="1"/>
  <c r="GH236" i="182"/>
  <c r="GN235" i="182"/>
  <c r="GH249" i="182"/>
  <c r="GH249" i="180"/>
  <c r="GB248" i="182"/>
  <c r="GH232" i="182"/>
  <c r="GB233" i="182"/>
  <c r="GB230" i="182"/>
  <c r="GH229" i="182"/>
  <c r="GB237" i="182"/>
  <c r="GB238" i="182" s="1"/>
  <c r="GB253" i="182"/>
  <c r="GB247" i="182"/>
  <c r="GB244" i="182"/>
  <c r="GB245" i="182" s="1"/>
  <c r="FV226" i="182"/>
  <c r="FV254" i="182"/>
  <c r="FV255" i="182"/>
  <c r="GT240" i="182"/>
  <c r="GN241" i="182"/>
  <c r="GN248" i="180"/>
  <c r="GN233" i="180"/>
  <c r="GT232" i="180"/>
  <c r="FV254" i="180"/>
  <c r="FV255" i="180"/>
  <c r="GH229" i="180"/>
  <c r="GB230" i="180"/>
  <c r="GB253" i="180"/>
  <c r="GB247" i="180"/>
  <c r="GB250" i="180" s="1"/>
  <c r="GB251" i="180" s="1"/>
  <c r="GB226" i="180" s="1"/>
  <c r="GB237" i="180"/>
  <c r="GB238" i="180" s="1"/>
  <c r="GB244" i="180"/>
  <c r="GB245" i="180" s="1"/>
  <c r="GN243" i="180"/>
  <c r="GT242" i="180"/>
  <c r="GT240" i="180"/>
  <c r="GN241" i="180"/>
  <c r="T40" i="64"/>
  <c r="S30" i="64"/>
  <c r="T42" i="64"/>
  <c r="T32" i="64"/>
  <c r="AC54" i="64"/>
  <c r="U23" i="64"/>
  <c r="S38" i="56"/>
  <c r="P59" i="56"/>
  <c r="S52" i="64" s="1"/>
  <c r="R50" i="56"/>
  <c r="R47" i="56"/>
  <c r="R48" i="56"/>
  <c r="P56" i="56"/>
  <c r="P55" i="56"/>
  <c r="P52" i="56"/>
  <c r="P58" i="56"/>
  <c r="R49" i="56"/>
  <c r="Q51" i="56"/>
  <c r="Q54" i="56" s="1"/>
  <c r="T29" i="64"/>
  <c r="AG41" i="64"/>
  <c r="AC47" i="64"/>
  <c r="V28" i="64"/>
  <c r="AD31" i="64"/>
  <c r="AF37" i="64"/>
  <c r="GN249" i="182" l="1"/>
  <c r="GN236" i="182"/>
  <c r="GT235" i="182"/>
  <c r="GB250" i="182"/>
  <c r="GB251" i="182" s="1"/>
  <c r="GB226" i="182" s="1"/>
  <c r="GT235" i="180"/>
  <c r="GN236" i="180"/>
  <c r="GN249" i="180"/>
  <c r="GN229" i="182"/>
  <c r="GH230" i="182"/>
  <c r="GH244" i="182"/>
  <c r="GH245" i="182" s="1"/>
  <c r="GH253" i="182"/>
  <c r="GH247" i="182"/>
  <c r="GH237" i="182"/>
  <c r="GH238" i="182" s="1"/>
  <c r="GH248" i="182"/>
  <c r="GN232" i="182"/>
  <c r="GH233" i="182"/>
  <c r="GZ240" i="182"/>
  <c r="GZ241" i="182" s="1"/>
  <c r="GT241" i="182"/>
  <c r="GB255" i="182"/>
  <c r="GB254" i="182"/>
  <c r="GZ240" i="180"/>
  <c r="GZ241" i="180" s="1"/>
  <c r="GT241" i="180"/>
  <c r="GT243" i="180"/>
  <c r="GZ242" i="180"/>
  <c r="GZ243" i="180" s="1"/>
  <c r="GB255" i="180"/>
  <c r="GB254" i="180"/>
  <c r="GH230" i="180"/>
  <c r="GN229" i="180"/>
  <c r="GH237" i="180"/>
  <c r="GH238" i="180" s="1"/>
  <c r="GH244" i="180"/>
  <c r="GH245" i="180" s="1"/>
  <c r="GH253" i="180"/>
  <c r="GH247" i="180"/>
  <c r="GH250" i="180" s="1"/>
  <c r="GH251" i="180" s="1"/>
  <c r="GH226" i="180" s="1"/>
  <c r="GT248" i="180"/>
  <c r="GZ232" i="180"/>
  <c r="GT233" i="180"/>
  <c r="T51" i="64"/>
  <c r="T57" i="64"/>
  <c r="J44" i="61"/>
  <c r="T30" i="64"/>
  <c r="S47" i="56"/>
  <c r="S48" i="56"/>
  <c r="S50" i="56"/>
  <c r="V38" i="64" s="1"/>
  <c r="V39" i="64" s="1"/>
  <c r="U38" i="64"/>
  <c r="U39" i="64" s="1"/>
  <c r="U40" i="64" s="1"/>
  <c r="U42" i="64"/>
  <c r="U32" i="64"/>
  <c r="AD54" i="64"/>
  <c r="V23" i="64"/>
  <c r="T38" i="56"/>
  <c r="Q59" i="56"/>
  <c r="T52" i="64" s="1"/>
  <c r="Q56" i="56"/>
  <c r="Q55" i="56"/>
  <c r="Q52" i="56"/>
  <c r="Q58" i="56"/>
  <c r="S49" i="56"/>
  <c r="R51" i="56"/>
  <c r="R54" i="56" s="1"/>
  <c r="AD47" i="64"/>
  <c r="U29" i="64"/>
  <c r="AG37" i="64"/>
  <c r="AE31" i="64"/>
  <c r="AH41" i="64"/>
  <c r="W28" i="64"/>
  <c r="GT236" i="180" l="1"/>
  <c r="GZ235" i="180"/>
  <c r="GZ235" i="182"/>
  <c r="GT236" i="182"/>
  <c r="GT249" i="182"/>
  <c r="GT249" i="180"/>
  <c r="GN230" i="182"/>
  <c r="GT229" i="182"/>
  <c r="GN253" i="182"/>
  <c r="GN247" i="182"/>
  <c r="GN237" i="182"/>
  <c r="GN238" i="182" s="1"/>
  <c r="GN244" i="182"/>
  <c r="GN245" i="182" s="1"/>
  <c r="GN248" i="182"/>
  <c r="GT232" i="182"/>
  <c r="GN233" i="182"/>
  <c r="GH250" i="182"/>
  <c r="GH251" i="182" s="1"/>
  <c r="GH226" i="182" s="1"/>
  <c r="GH255" i="182"/>
  <c r="GH254" i="182"/>
  <c r="GZ233" i="180"/>
  <c r="GZ248" i="180"/>
  <c r="V24" i="180"/>
  <c r="GH254" i="180"/>
  <c r="GH255" i="180"/>
  <c r="GT229" i="180"/>
  <c r="GN230" i="180"/>
  <c r="GN244" i="180"/>
  <c r="GN245" i="180" s="1"/>
  <c r="GN253" i="180"/>
  <c r="GN247" i="180"/>
  <c r="GN250" i="180" s="1"/>
  <c r="GN251" i="180" s="1"/>
  <c r="GN226" i="180" s="1"/>
  <c r="GN237" i="180"/>
  <c r="GN238" i="180" s="1"/>
  <c r="V40" i="64"/>
  <c r="U30" i="64"/>
  <c r="V42" i="64"/>
  <c r="V32" i="64"/>
  <c r="AE54" i="64"/>
  <c r="W23" i="64"/>
  <c r="U38" i="56"/>
  <c r="R59" i="56"/>
  <c r="U52" i="64" s="1"/>
  <c r="T50" i="56"/>
  <c r="T47" i="56"/>
  <c r="T48" i="56"/>
  <c r="R56" i="56"/>
  <c r="R55" i="56"/>
  <c r="R52" i="56"/>
  <c r="R58" i="56"/>
  <c r="T49" i="56"/>
  <c r="S51" i="56"/>
  <c r="S54" i="56" s="1"/>
  <c r="V29" i="64"/>
  <c r="AE47" i="64"/>
  <c r="X28" i="64"/>
  <c r="AH37" i="64"/>
  <c r="AI41" i="64"/>
  <c r="AF31" i="64"/>
  <c r="GZ236" i="182" l="1"/>
  <c r="GZ249" i="182"/>
  <c r="CJ24" i="182"/>
  <c r="GZ236" i="180"/>
  <c r="CJ24" i="180"/>
  <c r="GZ249" i="180"/>
  <c r="GN254" i="182"/>
  <c r="GN255" i="182"/>
  <c r="GT248" i="182"/>
  <c r="GZ232" i="182"/>
  <c r="GT233" i="182"/>
  <c r="GN250" i="182"/>
  <c r="GN251" i="182" s="1"/>
  <c r="GN226" i="182" s="1"/>
  <c r="GZ229" i="182"/>
  <c r="GT230" i="182"/>
  <c r="GT253" i="182"/>
  <c r="GT244" i="182"/>
  <c r="GT245" i="182" s="1"/>
  <c r="GT247" i="182"/>
  <c r="GT237" i="182"/>
  <c r="GT238" i="182" s="1"/>
  <c r="GN255" i="180"/>
  <c r="GN254" i="180"/>
  <c r="GT230" i="180"/>
  <c r="GZ229" i="180"/>
  <c r="GT247" i="180"/>
  <c r="GT250" i="180" s="1"/>
  <c r="GT251" i="180" s="1"/>
  <c r="GT226" i="180" s="1"/>
  <c r="GT244" i="180"/>
  <c r="GT245" i="180" s="1"/>
  <c r="GT237" i="180"/>
  <c r="GT238" i="180" s="1"/>
  <c r="GT253" i="180"/>
  <c r="V30" i="64"/>
  <c r="U48" i="56"/>
  <c r="U50" i="56"/>
  <c r="X38" i="64" s="1"/>
  <c r="X39" i="64" s="1"/>
  <c r="W38" i="64"/>
  <c r="W39" i="64" s="1"/>
  <c r="W40" i="64" s="1"/>
  <c r="U47" i="56"/>
  <c r="W42" i="64"/>
  <c r="W32" i="64"/>
  <c r="AF54" i="64"/>
  <c r="X23" i="64"/>
  <c r="V38" i="56"/>
  <c r="S59" i="56"/>
  <c r="V52" i="64" s="1"/>
  <c r="S56" i="56"/>
  <c r="S55" i="56"/>
  <c r="S52" i="56"/>
  <c r="S58" i="56"/>
  <c r="U49" i="56"/>
  <c r="T51" i="56"/>
  <c r="T54" i="56" s="1"/>
  <c r="AF47" i="64"/>
  <c r="AG31" i="64"/>
  <c r="W29" i="64"/>
  <c r="AI37" i="64"/>
  <c r="Y28" i="64"/>
  <c r="AJ41" i="64"/>
  <c r="GT254" i="182" l="1"/>
  <c r="GT255" i="182"/>
  <c r="GZ230" i="182"/>
  <c r="GZ253" i="182"/>
  <c r="GZ247" i="182"/>
  <c r="GZ237" i="182"/>
  <c r="GZ238" i="182" s="1"/>
  <c r="GZ244" i="182"/>
  <c r="GZ245" i="182" s="1"/>
  <c r="AZ24" i="182"/>
  <c r="GZ233" i="182"/>
  <c r="GZ248" i="182"/>
  <c r="V24" i="182"/>
  <c r="GT250" i="182"/>
  <c r="GT251" i="182" s="1"/>
  <c r="GT226" i="182" s="1"/>
  <c r="GT255" i="180"/>
  <c r="GT254" i="180"/>
  <c r="GZ230" i="180"/>
  <c r="GZ244" i="180"/>
  <c r="GZ245" i="180" s="1"/>
  <c r="GZ253" i="180"/>
  <c r="GZ247" i="180"/>
  <c r="GZ250" i="180" s="1"/>
  <c r="GZ251" i="180" s="1"/>
  <c r="GZ226" i="180" s="1"/>
  <c r="GZ237" i="180"/>
  <c r="GZ238" i="180" s="1"/>
  <c r="AZ24" i="180"/>
  <c r="X40" i="64"/>
  <c r="W30" i="64"/>
  <c r="X42" i="64"/>
  <c r="X32" i="64"/>
  <c r="AG54" i="64"/>
  <c r="Y23" i="64"/>
  <c r="W38" i="56"/>
  <c r="T59" i="56"/>
  <c r="W52" i="64" s="1"/>
  <c r="V50" i="56"/>
  <c r="V47" i="56"/>
  <c r="V48" i="56"/>
  <c r="T56" i="56"/>
  <c r="T55" i="56"/>
  <c r="T52" i="56"/>
  <c r="T58" i="56"/>
  <c r="V49" i="56"/>
  <c r="U51" i="56"/>
  <c r="U54" i="56" s="1"/>
  <c r="X29" i="64"/>
  <c r="AK41" i="64"/>
  <c r="Z28" i="64"/>
  <c r="AG47" i="64"/>
  <c r="AJ37" i="64"/>
  <c r="AH31" i="64"/>
  <c r="GZ254" i="182" l="1"/>
  <c r="GZ255" i="182"/>
  <c r="GZ250" i="182"/>
  <c r="GZ251" i="182" s="1"/>
  <c r="GZ226" i="182" s="1"/>
  <c r="GZ254" i="180"/>
  <c r="GZ255" i="180"/>
  <c r="W47" i="56"/>
  <c r="W48" i="56"/>
  <c r="X30" i="64"/>
  <c r="W50" i="56"/>
  <c r="Z38" i="64" s="1"/>
  <c r="Z39" i="64" s="1"/>
  <c r="Y38" i="64"/>
  <c r="Y39" i="64" s="1"/>
  <c r="Y40" i="64" s="1"/>
  <c r="Y42" i="64"/>
  <c r="Y32" i="64"/>
  <c r="AH54" i="64"/>
  <c r="Z23" i="64"/>
  <c r="X38" i="56"/>
  <c r="U59" i="56"/>
  <c r="X52" i="64" s="1"/>
  <c r="U56" i="56"/>
  <c r="U55" i="56"/>
  <c r="U52" i="56"/>
  <c r="U58" i="56"/>
  <c r="W49" i="56"/>
  <c r="V51" i="56"/>
  <c r="V54" i="56" s="1"/>
  <c r="AA28" i="64"/>
  <c r="AI31" i="64"/>
  <c r="AH47" i="64"/>
  <c r="AK37" i="64"/>
  <c r="AL41" i="64"/>
  <c r="AN33" i="64"/>
  <c r="Y29" i="64"/>
  <c r="Z40" i="64" l="1"/>
  <c r="Y30" i="64"/>
  <c r="Z42" i="64"/>
  <c r="Z32" i="64"/>
  <c r="AI54" i="64"/>
  <c r="AA23" i="64"/>
  <c r="Y38" i="56"/>
  <c r="V59" i="56"/>
  <c r="Y52" i="64" s="1"/>
  <c r="X50" i="56"/>
  <c r="X47" i="56"/>
  <c r="X48" i="56"/>
  <c r="V56" i="56"/>
  <c r="V55" i="56"/>
  <c r="V52" i="56"/>
  <c r="V58" i="56"/>
  <c r="X49" i="56"/>
  <c r="W51" i="56"/>
  <c r="W54" i="56" s="1"/>
  <c r="Z29" i="64"/>
  <c r="AJ31" i="64"/>
  <c r="AB28" i="64"/>
  <c r="AM41" i="64"/>
  <c r="AL37" i="64"/>
  <c r="AI47" i="64"/>
  <c r="Y48" i="56" l="1"/>
  <c r="Y47" i="56"/>
  <c r="Z30" i="64"/>
  <c r="Y50" i="56"/>
  <c r="AB38" i="64" s="1"/>
  <c r="AB39" i="64" s="1"/>
  <c r="AA38" i="64"/>
  <c r="AA39" i="64" s="1"/>
  <c r="AA40" i="64" s="1"/>
  <c r="AA42" i="64"/>
  <c r="AA32" i="64"/>
  <c r="AJ54" i="64"/>
  <c r="AB23" i="64"/>
  <c r="Z38" i="56"/>
  <c r="W59" i="56"/>
  <c r="Z52" i="64" s="1"/>
  <c r="W56" i="56"/>
  <c r="W55" i="56"/>
  <c r="W52" i="56"/>
  <c r="W58" i="56"/>
  <c r="Y49" i="56"/>
  <c r="X51" i="56"/>
  <c r="X54" i="56" s="1"/>
  <c r="AL31" i="64"/>
  <c r="AC28" i="64"/>
  <c r="AA29" i="64"/>
  <c r="AK31" i="64"/>
  <c r="AJ47" i="64"/>
  <c r="AN41" i="64"/>
  <c r="AM37" i="64"/>
  <c r="AB40" i="64" l="1"/>
  <c r="AA30" i="64"/>
  <c r="AN59" i="64"/>
  <c r="AB42" i="64"/>
  <c r="AB32" i="64"/>
  <c r="AL54" i="64"/>
  <c r="AK54" i="64"/>
  <c r="AC23" i="64"/>
  <c r="AA38" i="56"/>
  <c r="X59" i="56"/>
  <c r="AA52" i="64" s="1"/>
  <c r="Z50" i="56"/>
  <c r="Z47" i="56"/>
  <c r="Z48" i="56"/>
  <c r="X56" i="56"/>
  <c r="X55" i="56"/>
  <c r="X52" i="56"/>
  <c r="X58" i="56"/>
  <c r="Z49" i="56"/>
  <c r="Y51" i="56"/>
  <c r="Y54" i="56" s="1"/>
  <c r="AK47" i="64"/>
  <c r="AN37" i="64"/>
  <c r="AM31" i="64"/>
  <c r="AB29" i="64"/>
  <c r="AD28" i="64"/>
  <c r="AA47" i="56" l="1"/>
  <c r="AA48" i="56"/>
  <c r="AB30" i="64"/>
  <c r="AA50" i="56"/>
  <c r="AD38" i="64" s="1"/>
  <c r="AD39" i="64" s="1"/>
  <c r="AC38" i="64"/>
  <c r="AC39" i="64" s="1"/>
  <c r="AC40" i="64" s="1"/>
  <c r="AC42" i="64"/>
  <c r="AC32" i="64"/>
  <c r="AM54" i="64"/>
  <c r="AD23" i="64"/>
  <c r="AB38" i="56"/>
  <c r="Y59" i="56"/>
  <c r="AB52" i="64" s="1"/>
  <c r="Y56" i="56"/>
  <c r="Y55" i="56"/>
  <c r="Y52" i="56"/>
  <c r="Y58" i="56"/>
  <c r="AA49" i="56"/>
  <c r="Z51" i="56"/>
  <c r="Z54" i="56" s="1"/>
  <c r="AL47" i="64"/>
  <c r="AC29" i="64"/>
  <c r="AE28" i="64"/>
  <c r="AN31" i="64"/>
  <c r="AC30" i="64" l="1"/>
  <c r="AD40" i="64"/>
  <c r="AN58" i="64"/>
  <c r="AD42" i="64"/>
  <c r="AD32" i="64"/>
  <c r="AN54" i="64"/>
  <c r="T41" i="61" s="1"/>
  <c r="K43" i="61"/>
  <c r="AE23" i="64"/>
  <c r="AC38" i="56"/>
  <c r="Z59" i="56"/>
  <c r="AC52" i="64" s="1"/>
  <c r="AB50" i="56"/>
  <c r="AB47" i="56"/>
  <c r="AB48" i="56"/>
  <c r="Z56" i="56"/>
  <c r="Z55" i="56"/>
  <c r="Z52" i="56"/>
  <c r="Z58" i="56"/>
  <c r="AB49" i="56"/>
  <c r="AA51" i="56"/>
  <c r="AA54" i="56" s="1"/>
  <c r="AM47" i="64"/>
  <c r="AD29" i="64"/>
  <c r="AF28" i="64"/>
  <c r="AC47" i="56" l="1"/>
  <c r="AC48" i="56"/>
  <c r="AD30" i="64"/>
  <c r="AC50" i="56"/>
  <c r="AF38" i="64" s="1"/>
  <c r="AF39" i="64" s="1"/>
  <c r="AE38" i="64"/>
  <c r="AE39" i="64" s="1"/>
  <c r="AE40" i="64" s="1"/>
  <c r="AE42" i="64"/>
  <c r="AE32" i="64"/>
  <c r="AF23" i="64"/>
  <c r="AD38" i="56"/>
  <c r="AA59" i="56"/>
  <c r="AD52" i="64" s="1"/>
  <c r="AA56" i="56"/>
  <c r="AA55" i="56"/>
  <c r="AA52" i="56"/>
  <c r="AA58" i="56"/>
  <c r="AC49" i="56"/>
  <c r="AB51" i="56"/>
  <c r="AB54" i="56" s="1"/>
  <c r="AN47" i="64"/>
  <c r="AG28" i="64"/>
  <c r="AE29" i="64"/>
  <c r="AF40" i="64" l="1"/>
  <c r="AE30" i="64"/>
  <c r="AF42" i="64"/>
  <c r="AF32" i="64"/>
  <c r="AG23" i="64"/>
  <c r="AE38" i="56"/>
  <c r="AB59" i="56"/>
  <c r="AE52" i="64" s="1"/>
  <c r="AD50" i="56"/>
  <c r="AD48" i="56"/>
  <c r="AD47" i="56"/>
  <c r="AB56" i="56"/>
  <c r="AB55" i="56"/>
  <c r="AB52" i="56"/>
  <c r="AB58" i="56"/>
  <c r="AD49" i="56"/>
  <c r="AC51" i="56"/>
  <c r="AC54" i="56" s="1"/>
  <c r="AH28" i="64"/>
  <c r="AF29" i="64"/>
  <c r="AE47" i="56" l="1"/>
  <c r="AE48" i="56"/>
  <c r="AF30" i="64"/>
  <c r="AE50" i="56"/>
  <c r="AH38" i="64" s="1"/>
  <c r="AH39" i="64" s="1"/>
  <c r="AG38" i="64"/>
  <c r="AG39" i="64" s="1"/>
  <c r="AG40" i="64" s="1"/>
  <c r="AG42" i="64"/>
  <c r="AG32" i="64"/>
  <c r="AH23" i="64"/>
  <c r="AF38" i="56"/>
  <c r="AC59" i="56"/>
  <c r="AF52" i="64" s="1"/>
  <c r="AC56" i="56"/>
  <c r="AC55" i="56"/>
  <c r="AC52" i="56"/>
  <c r="AC58" i="56"/>
  <c r="AE49" i="56"/>
  <c r="AD51" i="56"/>
  <c r="AD54" i="56" s="1"/>
  <c r="AG29" i="64"/>
  <c r="AI28" i="64"/>
  <c r="AH40" i="64" l="1"/>
  <c r="AG30" i="64"/>
  <c r="AH42" i="64"/>
  <c r="AH32" i="64"/>
  <c r="AI23" i="64"/>
  <c r="AG38" i="56"/>
  <c r="AD59" i="56"/>
  <c r="AG52" i="64" s="1"/>
  <c r="AF50" i="56"/>
  <c r="AF48" i="56"/>
  <c r="AF47" i="56"/>
  <c r="AD56" i="56"/>
  <c r="AD55" i="56"/>
  <c r="AD52" i="56"/>
  <c r="AD58" i="56"/>
  <c r="AF49" i="56"/>
  <c r="AE51" i="56"/>
  <c r="AE54" i="56" s="1"/>
  <c r="AJ28" i="64"/>
  <c r="AH29" i="64"/>
  <c r="AG48" i="56" l="1"/>
  <c r="AG47" i="56"/>
  <c r="AH30" i="64"/>
  <c r="AG50" i="56"/>
  <c r="AJ38" i="64" s="1"/>
  <c r="AJ39" i="64" s="1"/>
  <c r="AI38" i="64"/>
  <c r="AI39" i="64" s="1"/>
  <c r="AI40" i="64" s="1"/>
  <c r="AI42" i="64"/>
  <c r="AI32" i="64"/>
  <c r="AJ23" i="64"/>
  <c r="AH38" i="56"/>
  <c r="AE59" i="56"/>
  <c r="AH52" i="64" s="1"/>
  <c r="AE56" i="56"/>
  <c r="AE55" i="56"/>
  <c r="AE52" i="56"/>
  <c r="AE58" i="56"/>
  <c r="AG49" i="56"/>
  <c r="AF51" i="56"/>
  <c r="AF54" i="56" s="1"/>
  <c r="AK28" i="64"/>
  <c r="AI29" i="64"/>
  <c r="AJ40" i="64" l="1"/>
  <c r="AI30" i="64"/>
  <c r="AJ42" i="64"/>
  <c r="AJ32" i="64"/>
  <c r="AK23" i="64"/>
  <c r="AI38" i="56"/>
  <c r="AF59" i="56"/>
  <c r="AI52" i="64" s="1"/>
  <c r="AH50" i="56"/>
  <c r="AH48" i="56"/>
  <c r="AH47" i="56"/>
  <c r="AF56" i="56"/>
  <c r="AF55" i="56"/>
  <c r="AF52" i="56"/>
  <c r="AF58" i="56"/>
  <c r="AH49" i="56"/>
  <c r="AG51" i="56"/>
  <c r="AG54" i="56" s="1"/>
  <c r="AJ29" i="64"/>
  <c r="AL28" i="64"/>
  <c r="AI47" i="56" l="1"/>
  <c r="AI48" i="56"/>
  <c r="AJ30" i="64"/>
  <c r="AI50" i="56"/>
  <c r="AL38" i="64" s="1"/>
  <c r="AL39" i="64" s="1"/>
  <c r="AK38" i="64"/>
  <c r="AK39" i="64" s="1"/>
  <c r="AK40" i="64" s="1"/>
  <c r="AK42" i="64"/>
  <c r="AK32" i="64"/>
  <c r="AL23" i="64"/>
  <c r="AJ38" i="56"/>
  <c r="AG59" i="56"/>
  <c r="AJ52" i="64" s="1"/>
  <c r="AG56" i="56"/>
  <c r="AG55" i="56"/>
  <c r="AG52" i="56"/>
  <c r="AG58" i="56"/>
  <c r="AI49" i="56"/>
  <c r="AH51" i="56"/>
  <c r="AH54" i="56" s="1"/>
  <c r="AM28" i="64"/>
  <c r="AK29" i="64"/>
  <c r="AL40" i="64" l="1"/>
  <c r="AK30" i="64"/>
  <c r="AL42" i="64"/>
  <c r="AL32" i="64"/>
  <c r="AM23" i="64"/>
  <c r="AK38" i="56"/>
  <c r="AH59" i="56"/>
  <c r="AK52" i="64" s="1"/>
  <c r="AJ50" i="56"/>
  <c r="AJ48" i="56"/>
  <c r="AJ47" i="56"/>
  <c r="AH56" i="56"/>
  <c r="AH55" i="56"/>
  <c r="AH52" i="56"/>
  <c r="AH58" i="56"/>
  <c r="AJ49" i="56"/>
  <c r="AI51" i="56"/>
  <c r="AI54" i="56" s="1"/>
  <c r="AN28" i="64"/>
  <c r="AL29" i="64"/>
  <c r="AK47" i="56" l="1"/>
  <c r="AK48" i="56"/>
  <c r="AL30" i="64"/>
  <c r="AK50" i="56"/>
  <c r="AN38" i="64" s="1"/>
  <c r="AN39" i="64" s="1"/>
  <c r="AM38" i="64"/>
  <c r="AM39" i="64" s="1"/>
  <c r="AM40" i="64" s="1"/>
  <c r="AM42" i="64"/>
  <c r="AM32" i="64"/>
  <c r="AN23" i="64"/>
  <c r="AI59" i="56"/>
  <c r="AL52" i="64" s="1"/>
  <c r="AJ59" i="56"/>
  <c r="AM52" i="64" s="1"/>
  <c r="AK59" i="56"/>
  <c r="AN52" i="64" s="1"/>
  <c r="AI56" i="56"/>
  <c r="AI55" i="56"/>
  <c r="AI52" i="56"/>
  <c r="AI58" i="56"/>
  <c r="AK49" i="56"/>
  <c r="AK51" i="56" s="1"/>
  <c r="AK54" i="56" s="1"/>
  <c r="AJ51" i="56"/>
  <c r="AJ54" i="56" s="1"/>
  <c r="AM29" i="64"/>
  <c r="AN29" i="64"/>
  <c r="AN51" i="64" l="1"/>
  <c r="AN40" i="64"/>
  <c r="AM30" i="64"/>
  <c r="K44" i="61"/>
  <c r="AN57" i="64"/>
  <c r="AN42" i="64"/>
  <c r="AN30" i="64"/>
  <c r="AN32" i="64"/>
  <c r="AJ56" i="56"/>
  <c r="AJ55" i="56"/>
  <c r="AK56" i="56"/>
  <c r="AK55" i="56"/>
  <c r="AJ52" i="56"/>
  <c r="AK52" i="56"/>
  <c r="AJ58" i="56"/>
  <c r="AK58" i="56"/>
  <c r="AD60" i="56" l="1"/>
  <c r="G60" i="56"/>
  <c r="N60" i="56"/>
  <c r="P60" i="56"/>
  <c r="H60" i="56"/>
  <c r="AC60" i="56" l="1"/>
  <c r="R60" i="56"/>
  <c r="L60" i="56"/>
  <c r="J60" i="56"/>
  <c r="W60" i="56"/>
  <c r="AG60" i="56"/>
  <c r="Z60" i="56"/>
  <c r="AA60" i="56"/>
  <c r="M60" i="56"/>
  <c r="S60" i="56"/>
  <c r="V60" i="56"/>
  <c r="Y60" i="56"/>
  <c r="Q60" i="56"/>
  <c r="AK60" i="56"/>
  <c r="T60" i="56"/>
  <c r="AJ60" i="56"/>
  <c r="AE60" i="56"/>
  <c r="AF60" i="56"/>
  <c r="AB60" i="56"/>
  <c r="F60" i="56"/>
  <c r="U60" i="56"/>
  <c r="I60" i="56"/>
  <c r="AH60" i="56"/>
  <c r="X60" i="56"/>
  <c r="K60" i="56"/>
  <c r="AI60" i="56"/>
  <c r="O60" i="56"/>
  <c r="M34" i="64" l="1"/>
  <c r="G45" i="61"/>
  <c r="G46" i="61" s="1"/>
  <c r="M45" i="64"/>
  <c r="N33" i="64"/>
  <c r="M43" i="64"/>
  <c r="M48" i="64"/>
  <c r="M35" i="64"/>
  <c r="N51" i="64" l="1"/>
  <c r="N34" i="64"/>
  <c r="M36" i="64"/>
  <c r="M44" i="64"/>
  <c r="M53" i="64"/>
  <c r="O33" i="64"/>
  <c r="N45" i="64"/>
  <c r="N48" i="64"/>
  <c r="M50" i="64"/>
  <c r="N35" i="64"/>
  <c r="N43" i="64"/>
  <c r="O51" i="64" l="1"/>
  <c r="N44" i="64"/>
  <c r="N36" i="64"/>
  <c r="O34" i="64"/>
  <c r="N53" i="64"/>
  <c r="O35" i="64"/>
  <c r="O45" i="64"/>
  <c r="M49" i="64"/>
  <c r="P33" i="64"/>
  <c r="O43" i="64"/>
  <c r="N50" i="64"/>
  <c r="O48" i="64"/>
  <c r="P51" i="64" l="1"/>
  <c r="O36" i="64"/>
  <c r="P34" i="64"/>
  <c r="O44" i="64"/>
  <c r="O53" i="64"/>
  <c r="N49" i="64"/>
  <c r="Q33" i="64"/>
  <c r="O50" i="64"/>
  <c r="P45" i="64"/>
  <c r="P43" i="64"/>
  <c r="P48" i="64"/>
  <c r="P35" i="64"/>
  <c r="Q51" i="64" l="1"/>
  <c r="Q34" i="64"/>
  <c r="P36" i="64"/>
  <c r="P44" i="64"/>
  <c r="P53" i="64"/>
  <c r="Q45" i="64"/>
  <c r="R33" i="64"/>
  <c r="Q43" i="64"/>
  <c r="O49" i="64"/>
  <c r="Q35" i="64"/>
  <c r="Q48" i="64"/>
  <c r="P50" i="64"/>
  <c r="R51" i="64" l="1"/>
  <c r="Q36" i="64"/>
  <c r="Q44" i="64"/>
  <c r="R34" i="64"/>
  <c r="Q53" i="64"/>
  <c r="Q50" i="64"/>
  <c r="P49" i="64"/>
  <c r="R48" i="64"/>
  <c r="R35" i="64"/>
  <c r="S33" i="64"/>
  <c r="R45" i="64"/>
  <c r="R43" i="64"/>
  <c r="S51" i="64" l="1"/>
  <c r="R44" i="64"/>
  <c r="R36" i="64"/>
  <c r="S34" i="64"/>
  <c r="R53" i="64"/>
  <c r="Q49" i="64"/>
  <c r="S43" i="64"/>
  <c r="S45" i="64"/>
  <c r="S48" i="64"/>
  <c r="S35" i="64"/>
  <c r="R50" i="64"/>
  <c r="T34" i="64" l="1"/>
  <c r="S36" i="64"/>
  <c r="S44" i="64"/>
  <c r="J45" i="61"/>
  <c r="J46" i="61" s="1"/>
  <c r="S53" i="64"/>
  <c r="U33" i="64"/>
  <c r="R49" i="64"/>
  <c r="T43" i="64"/>
  <c r="T35" i="64"/>
  <c r="T48" i="64"/>
  <c r="S50" i="64"/>
  <c r="T45" i="64"/>
  <c r="U51" i="64" l="1"/>
  <c r="U34" i="64"/>
  <c r="T44" i="64"/>
  <c r="T36" i="64"/>
  <c r="T53" i="64"/>
  <c r="U45" i="64"/>
  <c r="S49" i="64"/>
  <c r="V33" i="64"/>
  <c r="T50" i="64"/>
  <c r="U43" i="64"/>
  <c r="U35" i="64"/>
  <c r="V51" i="64" l="1"/>
  <c r="V34" i="64"/>
  <c r="U36" i="64"/>
  <c r="U44" i="64"/>
  <c r="U53" i="64"/>
  <c r="V43" i="64"/>
  <c r="U50" i="64"/>
  <c r="V35" i="64"/>
  <c r="W33" i="64"/>
  <c r="T49" i="64"/>
  <c r="V45" i="64"/>
  <c r="W51" i="64" l="1"/>
  <c r="W34" i="64"/>
  <c r="V44" i="64"/>
  <c r="V36" i="64"/>
  <c r="V53" i="64"/>
  <c r="W35" i="64"/>
  <c r="X33" i="64"/>
  <c r="W45" i="64"/>
  <c r="V50" i="64"/>
  <c r="U49" i="64"/>
  <c r="W43" i="64"/>
  <c r="X51" i="64" l="1"/>
  <c r="W44" i="64"/>
  <c r="W36" i="64"/>
  <c r="X34" i="64"/>
  <c r="W53" i="64"/>
  <c r="X35" i="64"/>
  <c r="X43" i="64"/>
  <c r="W50" i="64"/>
  <c r="Y33" i="64"/>
  <c r="V49" i="64"/>
  <c r="X45" i="64"/>
  <c r="Y51" i="64" l="1"/>
  <c r="X36" i="64"/>
  <c r="X44" i="64"/>
  <c r="Y34" i="64"/>
  <c r="X53" i="64"/>
  <c r="Y43" i="64"/>
  <c r="Y35" i="64"/>
  <c r="W49" i="64"/>
  <c r="Y45" i="64"/>
  <c r="Z33" i="64"/>
  <c r="U48" i="64"/>
  <c r="X50" i="64"/>
  <c r="Z51" i="64" l="1"/>
  <c r="Z34" i="64"/>
  <c r="Y36" i="64"/>
  <c r="Y44" i="64"/>
  <c r="Y53" i="64"/>
  <c r="Y50" i="64"/>
  <c r="Z43" i="64"/>
  <c r="Z45" i="64"/>
  <c r="X49" i="64"/>
  <c r="Z35" i="64"/>
  <c r="AA33" i="64"/>
  <c r="AA51" i="64" l="1"/>
  <c r="Z44" i="64"/>
  <c r="Z36" i="64"/>
  <c r="AA34" i="64"/>
  <c r="Z53" i="64"/>
  <c r="Y49" i="64"/>
  <c r="AA43" i="64"/>
  <c r="AA45" i="64"/>
  <c r="AA35" i="64"/>
  <c r="AB33" i="64"/>
  <c r="Z50" i="64"/>
  <c r="AB51" i="64" l="1"/>
  <c r="AA36" i="64"/>
  <c r="AB34" i="64"/>
  <c r="AA44" i="64"/>
  <c r="AA53" i="64"/>
  <c r="AB43" i="64"/>
  <c r="AB45" i="64"/>
  <c r="AB35" i="64"/>
  <c r="Z49" i="64"/>
  <c r="AC33" i="64"/>
  <c r="AA50" i="64"/>
  <c r="AC51" i="64" l="1"/>
  <c r="AC34" i="64"/>
  <c r="AB44" i="64"/>
  <c r="AB36" i="64"/>
  <c r="AB53" i="64"/>
  <c r="AD33" i="64"/>
  <c r="AC45" i="64"/>
  <c r="AC35" i="64"/>
  <c r="AC43" i="64"/>
  <c r="AB50" i="64"/>
  <c r="AA49" i="64"/>
  <c r="AD51" i="64" l="1"/>
  <c r="AC44" i="64"/>
  <c r="AD34" i="64"/>
  <c r="AC36" i="64"/>
  <c r="AC53" i="64"/>
  <c r="AC50" i="64"/>
  <c r="AE33" i="64"/>
  <c r="AD35" i="64"/>
  <c r="AD45" i="64"/>
  <c r="AB49" i="64"/>
  <c r="Z48" i="64"/>
  <c r="AD43" i="64"/>
  <c r="AE51" i="64" l="1"/>
  <c r="AE34" i="64"/>
  <c r="AD36" i="64"/>
  <c r="AD44" i="64"/>
  <c r="AD53" i="64"/>
  <c r="AD50" i="64"/>
  <c r="AE35" i="64"/>
  <c r="AF33" i="64"/>
  <c r="AE45" i="64"/>
  <c r="AC49" i="64"/>
  <c r="AE43" i="64"/>
  <c r="AF51" i="64" l="1"/>
  <c r="AE44" i="64"/>
  <c r="AE36" i="64"/>
  <c r="AF34" i="64"/>
  <c r="AE53" i="64"/>
  <c r="AD49" i="64"/>
  <c r="AG33" i="64"/>
  <c r="AE50" i="64"/>
  <c r="AF45" i="64"/>
  <c r="AF35" i="64"/>
  <c r="AF43" i="64"/>
  <c r="AG51" i="64" l="1"/>
  <c r="AF44" i="64"/>
  <c r="AG34" i="64"/>
  <c r="AF36" i="64"/>
  <c r="AF53" i="64"/>
  <c r="AE49" i="64"/>
  <c r="AG45" i="64"/>
  <c r="AF50" i="64"/>
  <c r="AH33" i="64"/>
  <c r="AG43" i="64"/>
  <c r="AG35" i="64"/>
  <c r="AH51" i="64" l="1"/>
  <c r="AG36" i="64"/>
  <c r="AG44" i="64"/>
  <c r="AH34" i="64"/>
  <c r="AG53" i="64"/>
  <c r="AG50" i="64"/>
  <c r="AH45" i="64"/>
  <c r="AH35" i="64"/>
  <c r="AI33" i="64"/>
  <c r="AF49" i="64"/>
  <c r="AH43" i="64"/>
  <c r="AI51" i="64" l="1"/>
  <c r="AH44" i="64"/>
  <c r="AH36" i="64"/>
  <c r="AI34" i="64"/>
  <c r="AH53" i="64"/>
  <c r="AH50" i="64"/>
  <c r="AG49" i="64"/>
  <c r="AI43" i="64"/>
  <c r="AI35" i="64"/>
  <c r="AE48" i="64"/>
  <c r="AJ33" i="64"/>
  <c r="AI45" i="64"/>
  <c r="AJ51" i="64" l="1"/>
  <c r="AJ34" i="64"/>
  <c r="AI36" i="64"/>
  <c r="AI44" i="64"/>
  <c r="E46" i="61"/>
  <c r="AI53" i="64"/>
  <c r="AJ43" i="64"/>
  <c r="AI50" i="64"/>
  <c r="AK33" i="64"/>
  <c r="AJ35" i="64"/>
  <c r="AH49" i="64"/>
  <c r="AJ45" i="64"/>
  <c r="AK51" i="64" l="1"/>
  <c r="AJ36" i="64"/>
  <c r="AK34" i="64"/>
  <c r="AJ44" i="64"/>
  <c r="AJ53" i="64"/>
  <c r="AL33" i="64"/>
  <c r="AI49" i="64"/>
  <c r="AK45" i="64"/>
  <c r="AK43" i="64"/>
  <c r="AJ50" i="64"/>
  <c r="AK35" i="64"/>
  <c r="AL51" i="64" l="1"/>
  <c r="AL34" i="64"/>
  <c r="AK44" i="64"/>
  <c r="AK36" i="64"/>
  <c r="AK53" i="64"/>
  <c r="AL43" i="64"/>
  <c r="AL45" i="64"/>
  <c r="AK50" i="64"/>
  <c r="AM33" i="64"/>
  <c r="AL35" i="64"/>
  <c r="AJ49" i="64"/>
  <c r="AM51" i="64" l="1"/>
  <c r="AL36" i="64"/>
  <c r="AM34" i="64"/>
  <c r="AL44" i="64"/>
  <c r="AL53" i="64"/>
  <c r="AM45" i="64"/>
  <c r="AM43" i="64"/>
  <c r="AM35" i="64"/>
  <c r="AK49" i="64"/>
  <c r="AL50" i="64"/>
  <c r="AN34" i="64" l="1"/>
  <c r="AM36" i="64"/>
  <c r="AM44" i="64"/>
  <c r="K45" i="61"/>
  <c r="K46" i="61" s="1"/>
  <c r="AM53" i="64"/>
  <c r="AN43" i="64"/>
  <c r="AN45" i="64"/>
  <c r="AL49" i="64"/>
  <c r="AN35" i="64"/>
  <c r="AM50" i="64"/>
  <c r="AN36" i="64" l="1"/>
  <c r="AN44" i="64"/>
  <c r="AN53" i="64"/>
  <c r="AM49" i="64"/>
  <c r="AJ48" i="64"/>
  <c r="AN49" i="64"/>
  <c r="AN50"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de Bree (Stimular)</author>
  </authors>
  <commentList>
    <comment ref="F60" authorId="0" shapeId="0" xr:uid="{5338ABE8-037E-4EA9-AB4B-DF955F39CDB8}">
      <text>
        <r>
          <rPr>
            <sz val="16"/>
            <color indexed="81"/>
            <rFont val="Tahoma"/>
            <family val="2"/>
          </rPr>
          <t>Besparing is verlaagd.</t>
        </r>
      </text>
    </comment>
    <comment ref="F70" authorId="0" shapeId="0" xr:uid="{28729E73-5038-4D02-8E1A-74D81573E396}">
      <text>
        <r>
          <rPr>
            <sz val="16"/>
            <color indexed="81"/>
            <rFont val="Tahoma"/>
            <family val="2"/>
          </rPr>
          <t xml:space="preserve">Geen EM meer.
</t>
        </r>
      </text>
    </comment>
    <comment ref="F71" authorId="0" shapeId="0" xr:uid="{A3ACFD08-5645-4101-9957-91CF51F17F24}">
      <text>
        <r>
          <rPr>
            <sz val="16"/>
            <color indexed="81"/>
            <rFont val="Tahoma"/>
            <family val="2"/>
          </rPr>
          <t>Geen EM meer. Nu is EM armaturen vervangen.</t>
        </r>
      </text>
    </comment>
    <comment ref="F72" authorId="0" shapeId="0" xr:uid="{5A7E173D-9F91-4025-A726-97E684F04A26}">
      <text>
        <r>
          <rPr>
            <sz val="16"/>
            <color indexed="81"/>
            <rFont val="Tahoma"/>
            <family val="2"/>
          </rPr>
          <t>Was EM voor NM, nu (bij 1.700 uur/jaar) voor ZM.</t>
        </r>
      </text>
    </comment>
    <comment ref="F78" authorId="0" shapeId="0" xr:uid="{EC1ED6BD-65AC-45BB-B9D7-2AA3D5B1042A}">
      <text>
        <r>
          <rPr>
            <sz val="16"/>
            <color indexed="81"/>
            <rFont val="Tahoma"/>
            <family val="2"/>
          </rPr>
          <t xml:space="preserve">Geen EM meer.
</t>
        </r>
      </text>
    </comment>
    <comment ref="F80" authorId="0" shapeId="0" xr:uid="{2038AF17-3ADD-4695-88D9-8023096AC4A9}">
      <text>
        <r>
          <rPr>
            <sz val="16"/>
            <color indexed="81"/>
            <rFont val="Tahoma"/>
            <family val="2"/>
          </rPr>
          <t>Erkende Maatregel (oud GE3) is gesplitst in twee Erkende Maatregelen (FG1 en FG2). De data uit CO2-tool 1.3 is bij beide opgenomen.</t>
        </r>
      </text>
    </comment>
    <comment ref="F81" authorId="0" shapeId="0" xr:uid="{41AD515F-E7F6-4BF8-9C55-A37297B94F00}">
      <text>
        <r>
          <rPr>
            <sz val="16"/>
            <color indexed="81"/>
            <rFont val="Tahoma"/>
            <family val="2"/>
          </rPr>
          <t>Erkende Maatregel (oud GE3) is gesplitst in twee Erkende Maatregelen (FG1 en FG2). De data uit CO2-tool 1.3 is bij beide opgenomen.</t>
        </r>
      </text>
    </comment>
    <comment ref="F94" authorId="0" shapeId="0" xr:uid="{BA25218F-F0DC-40E3-9FAB-9ECD8E4A3611}">
      <text>
        <r>
          <rPr>
            <sz val="16"/>
            <color indexed="81"/>
            <rFont val="Tahoma"/>
            <family val="2"/>
          </rPr>
          <t>Maatregel was erkend voor een NM en is dat nu voor een ZM. Daarom zijn arbeidskosten voor virtualisatie toegevoegd.</t>
        </r>
      </text>
    </comment>
    <comment ref="F97" authorId="0" shapeId="0" xr:uid="{F4F23E9D-2B6D-48F0-ABC6-77EF9673AA35}">
      <text>
        <r>
          <rPr>
            <sz val="16"/>
            <color indexed="81"/>
            <rFont val="Tahoma"/>
            <family val="2"/>
          </rPr>
          <t>Was EM voor ZM, nu NM. Kosten laten staan, want voordeel van NM is onduidelijk.</t>
        </r>
      </text>
    </comment>
    <comment ref="F98" authorId="0" shapeId="0" xr:uid="{74903791-E249-4147-B683-51CB005D9236}">
      <text>
        <r>
          <rPr>
            <sz val="16"/>
            <color indexed="81"/>
            <rFont val="Tahoma"/>
            <family val="2"/>
          </rPr>
          <t>Kosten zijn verhoogd.</t>
        </r>
      </text>
    </comment>
    <comment ref="F100" authorId="0" shapeId="0" xr:uid="{BCD8AF3E-6573-49FE-A112-483E4529A557}">
      <text>
        <r>
          <rPr>
            <sz val="16"/>
            <color indexed="81"/>
            <rFont val="Tahoma"/>
            <family val="2"/>
          </rPr>
          <t>Geen EM meer.</t>
        </r>
      </text>
    </comment>
    <comment ref="F101" authorId="0" shapeId="0" xr:uid="{C722CC3A-C2B1-404D-AF2B-E81FA0EB79BA}">
      <text>
        <r>
          <rPr>
            <sz val="16"/>
            <color indexed="81"/>
            <rFont val="Tahoma"/>
            <family val="2"/>
          </rPr>
          <t>Geen EM meer.</t>
        </r>
      </text>
    </comment>
    <comment ref="F102" authorId="0" shapeId="0" xr:uid="{14FCBB9F-301C-401F-B5D4-42A1B25530AF}">
      <text>
        <r>
          <rPr>
            <sz val="16"/>
            <color indexed="81"/>
            <rFont val="Tahoma"/>
            <family val="2"/>
          </rPr>
          <t>Maatregel was erkend voor een NM en is dat nu voor een ZM. Kosten zijn verhoogd.</t>
        </r>
      </text>
    </comment>
    <comment ref="F104" authorId="0" shapeId="0" xr:uid="{B7CC87EA-48C9-44E5-BF6C-4E1806024786}">
      <text>
        <r>
          <rPr>
            <sz val="16"/>
            <color indexed="81"/>
            <rFont val="Tahoma"/>
            <family val="2"/>
          </rPr>
          <t xml:space="preserve">Maatregel is uitgesplits naar ZM (incl. steigerkosten) en NM (excl. steigerkosten). De kosten voor NM zijn ook bruikbaar voor gebouw met slechts 1 verdieping. 
Arcadis heeft de steigerkosten voor spouwisolatie op ZM flink verhoogd, dat is overgenomen.
</t>
        </r>
      </text>
    </comment>
    <comment ref="H104" authorId="0" shapeId="0" xr:uid="{1404BE76-DBE8-421C-9AD0-9E2E9202176C}">
      <text>
        <r>
          <rPr>
            <sz val="16"/>
            <color indexed="81"/>
            <rFont val="Tahoma"/>
            <family val="2"/>
          </rPr>
          <t xml:space="preserve">Let op, kosten gebaseerd op werkzaamheden met steiger. </t>
        </r>
      </text>
    </comment>
    <comment ref="M104" authorId="0" shapeId="0" xr:uid="{F0FD7241-9A89-4310-84BA-8294B3437487}">
      <text>
        <r>
          <rPr>
            <sz val="16"/>
            <color indexed="81"/>
            <rFont val="Tahoma"/>
            <family val="2"/>
          </rPr>
          <t xml:space="preserve">Let op, kosten gebaseerd op werkzaamheden met steiger. </t>
        </r>
      </text>
    </comment>
    <comment ref="F112" authorId="0" shapeId="0" xr:uid="{91A067B6-4E2A-457F-A04B-5AE72D045013}">
      <text>
        <r>
          <rPr>
            <sz val="16"/>
            <color indexed="81"/>
            <rFont val="Tahoma"/>
            <family val="2"/>
          </rPr>
          <t>Maatregel is uitgesplits naar ZM (incl. steigerkosten) en NM (excl. steigerkosten). De kosten voor NM zijn ook bruikbaar voor gebouw met slechts 1 verdieping. 
Arcadis heeft de steigerkosten voor spouwisolatie op ZM flink verhoogd, dat is overgenomen.</t>
        </r>
      </text>
    </comment>
    <comment ref="F113" authorId="0" shapeId="0" xr:uid="{2B9891D6-8AD0-4ADF-8ED5-2D124B778DF3}">
      <text>
        <r>
          <rPr>
            <sz val="16"/>
            <color indexed="81"/>
            <rFont val="Tahoma"/>
            <family val="2"/>
          </rPr>
          <t>'Maatregel stond onder de categorie NM en is verplaats naar ZM, omdat er zelden een NM is. Kosten waren al voor ZM. Arcadis heeft kosteninschatting flink verhoogd.</t>
        </r>
      </text>
    </comment>
    <comment ref="F114" authorId="0" shapeId="0" xr:uid="{8ADF0925-3EEE-49D5-B170-1AE164CE3E59}">
      <text>
        <r>
          <rPr>
            <sz val="16"/>
            <color indexed="81"/>
            <rFont val="Tahoma"/>
            <family val="2"/>
          </rPr>
          <t>Naam is aangepast om duidelijk te maken dat het het éxtra isoleren van een al geïsoleerd dak betreft. 
Kosten zijn geactualiseerd met gegevens van Arcadis. Nieuw is ook dat op het locatietabblad voor de kosten en besparing rekening wordt gehouden met het aantal verdiepingen.</t>
        </r>
      </text>
    </comment>
    <comment ref="F116" authorId="0" shapeId="0" xr:uid="{D151DF72-8824-4861-968F-EAD5E4E08BC2}">
      <text>
        <r>
          <rPr>
            <sz val="16"/>
            <color indexed="81"/>
            <rFont val="Tahoma"/>
            <family val="2"/>
          </rPr>
          <t xml:space="preserve">'Maatregel stond onder de categorie NM en is verplaats naar ZM, omdat er zelden een NM is. Kosten waren al voor ZM.
Kosten zijn geactualiseerd met gegevens van Arcadis.
</t>
        </r>
      </text>
    </comment>
    <comment ref="F117" authorId="0" shapeId="0" xr:uid="{677C9267-036D-484F-8400-C2FD43648719}">
      <text>
        <r>
          <rPr>
            <sz val="16"/>
            <color indexed="81"/>
            <rFont val="Tahoma"/>
            <family val="2"/>
          </rPr>
          <t>Nieuwe maatregel in CO2-tool, omdat voor gebouwen die niet 24/7 in gebruik zijn HR+++ glas zich niet altijd terugverdient.</t>
        </r>
      </text>
    </comment>
    <comment ref="F118" authorId="0" shapeId="0" xr:uid="{812CB3B2-A652-433C-81E2-95191B28C94C}">
      <text>
        <r>
          <rPr>
            <sz val="16"/>
            <color indexed="81"/>
            <rFont val="Tahoma"/>
            <family val="2"/>
          </rPr>
          <t xml:space="preserve">Toelichting is aangepast, er stond een verkeerde besparing per m2 raam. De kengetallen waren wel correct.
</t>
        </r>
      </text>
    </comment>
    <comment ref="F119" authorId="0" shapeId="0" xr:uid="{54B6457C-11C7-42FB-95C5-7A5CA662603C}">
      <text>
        <r>
          <rPr>
            <sz val="16"/>
            <color indexed="81"/>
            <rFont val="Tahoma"/>
            <family val="2"/>
          </rPr>
          <t>'Maatregel stond onder de categorie NM en is verplaats naar ZM, omdat er zelden een NM is. Kosten waren al voor ZM.</t>
        </r>
      </text>
    </comment>
    <comment ref="F120" authorId="0" shapeId="0" xr:uid="{14B7AB7C-A78E-4C90-87CE-7C594482FE7A}">
      <text>
        <r>
          <rPr>
            <sz val="16"/>
            <color indexed="81"/>
            <rFont val="Tahoma"/>
            <family val="2"/>
          </rPr>
          <t xml:space="preserve">Weersafhankelijke regeling (oud EM FA1) en klokregeling (voorheen tijdschakelaar voor ruimteverwarming FA10) zijn gesplitst. De optimaliserende regeling (oude EM FA2) is geen EM meer.
Kosten en besparing zijn bijgesteld.
De data uit CO2-tool 1.3 is bij beide nieuwe EM (GC1 en GC3) opgenomen.
</t>
        </r>
      </text>
    </comment>
    <comment ref="F121" authorId="0" shapeId="0" xr:uid="{8DE7F1DF-DAF4-41F2-B882-40D7DC12D906}">
      <text>
        <r>
          <rPr>
            <sz val="16"/>
            <color indexed="81"/>
            <rFont val="Tahoma"/>
            <family val="2"/>
          </rPr>
          <t>Nieuwe EM. Maatregel stond in CO2-tool onder de categorie NM, en is nu EM voor ZM. De kosten waren al voor ZM.</t>
        </r>
      </text>
    </comment>
    <comment ref="F122" authorId="0" shapeId="0" xr:uid="{02C45D59-3BC6-47A9-91BB-5DA207FF52CB}">
      <text>
        <r>
          <rPr>
            <sz val="16"/>
            <color indexed="81"/>
            <rFont val="Tahoma"/>
            <family val="2"/>
          </rPr>
          <t xml:space="preserve">Weersafhankelijke regeling (oud EM FA1) en klokregeling (voorheen tijdschakelaar voor ruimteverwarming FA10) zijn gesplitst. De optimaliserende regeling (oude EM FA2) is geen EM meer.
Kosten en besparing zijn bijgesteld.
De data uit CO2-tool 1.3 is bij beide nieuwe EM (GC1 en GC3) opgenomen.
</t>
        </r>
      </text>
    </comment>
    <comment ref="F123" authorId="0" shapeId="0" xr:uid="{830E40A1-7228-4673-84ED-3780F4BABC1D}">
      <text>
        <r>
          <rPr>
            <sz val="16"/>
            <color indexed="81"/>
            <rFont val="Tahoma"/>
            <family val="2"/>
          </rPr>
          <t>EM (oud GD1) is gesplitst in ruimteverwarming en warm tapwater. De data uit CO2-tool 1.3 is bij beide nieuwe EM (GC4 en GE1) opgenomen. De besparing is verlaagd.</t>
        </r>
      </text>
    </comment>
    <comment ref="F124" authorId="0" shapeId="0" xr:uid="{5B2F5B01-0DE4-453E-908C-C6896016F4CF}">
      <text>
        <r>
          <rPr>
            <sz val="16"/>
            <color indexed="81"/>
            <rFont val="Tahoma"/>
            <family val="2"/>
          </rPr>
          <t>Kosten zijn geactualiseerd met gegevens van Arcadis.</t>
        </r>
      </text>
    </comment>
    <comment ref="F125" authorId="0" shapeId="0" xr:uid="{631FFF29-B92D-4B7F-A7F5-8EA40F3BF888}">
      <text>
        <r>
          <rPr>
            <sz val="16"/>
            <color indexed="81"/>
            <rFont val="Tahoma"/>
            <family val="2"/>
          </rPr>
          <t>Maatregel was erkend voor een ZM en is dat nu voor een NM. Kosten zijn geactualiseerd met gegevens van Arcadis.</t>
        </r>
      </text>
    </comment>
    <comment ref="F128" authorId="0" shapeId="0" xr:uid="{8C08CF3F-B67B-4424-9B37-5DA57FE63EC4}">
      <text>
        <r>
          <rPr>
            <sz val="16"/>
            <color indexed="81"/>
            <rFont val="Tahoma"/>
            <family val="2"/>
          </rPr>
          <t xml:space="preserve">Geen EM meer.
Kosten zijn geactualiseerd met gegevens van Arcadis.
</t>
        </r>
      </text>
    </comment>
    <comment ref="F130" authorId="0" shapeId="0" xr:uid="{AB719201-04DD-4D0E-84E5-23670898E443}">
      <text>
        <r>
          <rPr>
            <sz val="16"/>
            <color indexed="81"/>
            <rFont val="Tahoma"/>
            <family val="2"/>
          </rPr>
          <t xml:space="preserve">Maatregel stond onder de categorie NM en is verplaats naar ZM, omdat er zelden een NM is. Kosten waren al voor ZM.
Kosten zijn geactualiseerd met gegevens van Arcadis.
</t>
        </r>
      </text>
    </comment>
    <comment ref="F131" authorId="0" shapeId="0" xr:uid="{F5CE9EF1-6C4D-46B5-B332-1F128303FAD0}">
      <text>
        <r>
          <rPr>
            <sz val="16"/>
            <color indexed="81"/>
            <rFont val="Tahoma"/>
            <family val="2"/>
          </rPr>
          <t xml:space="preserve">Kosten zijn geactualiseerd met gegevens van Arcadis.
</t>
        </r>
      </text>
    </comment>
    <comment ref="F132" authorId="0" shapeId="0" xr:uid="{DBA60A0B-A3D5-413F-B0E6-4A1D06C69E14}">
      <text>
        <r>
          <rPr>
            <sz val="16"/>
            <color indexed="81"/>
            <rFont val="Tahoma"/>
            <family val="2"/>
          </rPr>
          <t>Kosten van deze maatregel zijn geïndexeerd naar 2022.</t>
        </r>
      </text>
    </comment>
    <comment ref="F133" authorId="0" shapeId="0" xr:uid="{CA8DAF93-C0CF-4C0A-9B2D-98B0E2766D45}">
      <text>
        <r>
          <rPr>
            <sz val="16"/>
            <color indexed="81"/>
            <rFont val="Tahoma"/>
            <family val="2"/>
          </rPr>
          <t>Kosten zijn geactualiseerd met gegevens van Arcadis.</t>
        </r>
      </text>
    </comment>
    <comment ref="F139" authorId="0" shapeId="0" xr:uid="{D7483837-B239-42F0-969B-4987033D54D1}">
      <text>
        <r>
          <rPr>
            <sz val="16"/>
            <color indexed="81"/>
            <rFont val="Tahoma"/>
            <family val="2"/>
          </rPr>
          <t>Geen EM meer. Er zijn aangescherpte EM voor in de plaats gekomen (GD3 en GD7). Kosten van deze maatregel zijn geïndexeerd naar 2022.</t>
        </r>
      </text>
    </comment>
    <comment ref="F140" authorId="0" shapeId="0" xr:uid="{1E0B9B32-2315-4B4A-B7F5-EAE33E56C394}">
      <text>
        <r>
          <rPr>
            <sz val="16"/>
            <color indexed="81"/>
            <rFont val="Tahoma"/>
            <family val="2"/>
          </rPr>
          <t xml:space="preserve">Geen EM meer.
Kosten van deze maatregel zijn geïndexeerd naar 2022. Vormfactor van GO naar BVO is toegevoegd aan kostenkengetal.
</t>
        </r>
      </text>
    </comment>
    <comment ref="F141" authorId="0" shapeId="0" xr:uid="{1B24CCD2-3C8A-499D-8B9C-DB45DB7A8CCD}">
      <text>
        <r>
          <rPr>
            <sz val="16"/>
            <color indexed="81"/>
            <rFont val="Tahoma"/>
            <family val="2"/>
          </rPr>
          <t>Nieuwe maatregel in CO2-tool (was GC4c maar zat niet in CO2-tool)</t>
        </r>
      </text>
    </comment>
    <comment ref="F142" authorId="0" shapeId="0" xr:uid="{2BBD1254-627A-4240-A21B-933BE8563866}">
      <text>
        <r>
          <rPr>
            <sz val="16"/>
            <color indexed="81"/>
            <rFont val="Tahoma"/>
            <family val="2"/>
          </rPr>
          <t>Nieuwe maatregel in CO2-tool (was GC4b maar zat niet in CO2-tool).</t>
        </r>
      </text>
    </comment>
    <comment ref="F143" authorId="0" shapeId="0" xr:uid="{21071B36-D6AD-455E-A4FA-1BE7893F87F4}">
      <text>
        <r>
          <rPr>
            <sz val="16"/>
            <color indexed="81"/>
            <rFont val="Tahoma"/>
            <family val="2"/>
          </rPr>
          <t>EM (oud GD1) is gesplitst in ruimteverwarming en warm tapwater. De data uit CO2-tool 1.3 is bij beide nieuwe EM (GC4 en GE1) opgenomen. De besparing is verlaagd.</t>
        </r>
      </text>
    </comment>
    <comment ref="F145" authorId="0" shapeId="0" xr:uid="{28775E44-3206-4A7F-9F9C-767C21014DD6}">
      <text>
        <r>
          <rPr>
            <sz val="16"/>
            <color indexed="81"/>
            <rFont val="Tahoma"/>
            <family val="2"/>
          </rPr>
          <t>Maatregel was erkend voor een ZM en is dat nu voor een NM. Kosten zijn verwijderd, omdat er geen meerkosten zijn.</t>
        </r>
      </text>
    </comment>
    <comment ref="F148" authorId="0" shapeId="0" xr:uid="{F082AAD0-FB93-4F10-B941-B6AF951BDB66}">
      <text>
        <r>
          <rPr>
            <sz val="16"/>
            <color indexed="81"/>
            <rFont val="Tahoma"/>
            <family val="2"/>
          </rPr>
          <t>Kosten zijn geactualiseerd met gegevens van Arcadis.</t>
        </r>
      </text>
    </comment>
    <comment ref="F151" authorId="0" shapeId="0" xr:uid="{4B74676E-C442-4060-9A98-F1A246B9C97C}">
      <text>
        <r>
          <rPr>
            <sz val="16"/>
            <color indexed="81"/>
            <rFont val="Tahoma"/>
            <family val="2"/>
          </rPr>
          <t>'CO2-tool combineerde twee EM (oud GE1 binnenverlichting en oud GE6 buitenverlichting). De data uit CO2-tool 1.3 is bij GF2 (TL8-buizen) en GF4 (gloei-, halogeen- en spaarlampen) opgenomen.</t>
        </r>
      </text>
    </comment>
    <comment ref="F153" authorId="0" shapeId="0" xr:uid="{2635526E-443B-479F-AA5D-BC824CF89144}">
      <text>
        <r>
          <rPr>
            <sz val="16"/>
            <color indexed="81"/>
            <rFont val="Tahoma"/>
            <family val="2"/>
          </rPr>
          <t>'In CO2-tool werd het vervangen van spaarlampen (PL) gecombineerd met het vervangen van TLD-buizen (oud EM GE1). De data uit CO2-tool 1.3 is bij GF2 (TL8-buizen) en GF4 (gloei-, halogeen- en spaarlampen) opgenomen. De data uit CO2-tool 1.3 over vervangen van halogeen- en hogedrukkwiklampen (GE5) is niet overgenomen in CO2-tool 2.0.</t>
        </r>
      </text>
    </comment>
    <comment ref="F155" authorId="0" shapeId="0" xr:uid="{2CF97CF9-656A-46B3-B091-4FF908935669}">
      <text>
        <r>
          <rPr>
            <sz val="16"/>
            <color indexed="81"/>
            <rFont val="Tahoma"/>
            <family val="2"/>
          </rPr>
          <t>'Nieuwe EM. De data uit CO2-tool 1.3 (maatregel: Installeer LED in nieuwe armaturen i.p.v. TL of PL) is zowel bij GF14 als GF6 opgenomen.</t>
        </r>
      </text>
    </comment>
    <comment ref="F163" authorId="0" shapeId="0" xr:uid="{17D91702-8A86-4289-AA60-B52A54DD7A4D}">
      <text>
        <r>
          <rPr>
            <sz val="16"/>
            <color indexed="81"/>
            <rFont val="Tahoma"/>
            <family val="2"/>
          </rPr>
          <t>'Nieuwe EM. De data uit CO2-tool 1.3 (maatregel: Installeer LED in nieuwe armaturen i.p.v. TL of PL) is zowel bij GF14 als GF6 opgenomen.</t>
        </r>
      </text>
    </comment>
    <comment ref="F164" authorId="0" shapeId="0" xr:uid="{6A603389-06EF-406B-BD9B-607EFEC485D6}">
      <text>
        <r>
          <rPr>
            <sz val="16"/>
            <color indexed="81"/>
            <rFont val="Tahoma"/>
            <family val="2"/>
          </rPr>
          <t>'Maatregel stond onder de categorie ZM en is verplaats naar NM. Kosten waren al voor een NM.</t>
        </r>
      </text>
    </comment>
    <comment ref="F166" authorId="0" shapeId="0" xr:uid="{E0022847-0B50-42CB-B19C-0185291AED5E}">
      <text>
        <r>
          <rPr>
            <sz val="16"/>
            <color indexed="81"/>
            <rFont val="Tahoma"/>
            <family val="2"/>
          </rPr>
          <t>'Nieuwe EM. In CO2-tool 1.3 werd vervangen van halogeenlampen binnen (oud GE7) gecombineerd met buiten (oud GE5) op één rij. Die data is niet overgenomen omdat dat én alleen lampen enveelal vooral binnenverlichting betrof.</t>
        </r>
      </text>
    </comment>
    <comment ref="F169" authorId="0" shapeId="0" xr:uid="{B0CABC90-A428-4B7B-AB85-DAD043A07BE4}">
      <text>
        <r>
          <rPr>
            <sz val="16"/>
            <color indexed="81"/>
            <rFont val="Tahoma"/>
            <family val="2"/>
          </rPr>
          <t>Nieuwe EM. Maatregel stond in CO2-tool onder de categorie NM en is verplaats naar ZM, omdat er zelden een NM is. Kosten waren al voor ZM.</t>
        </r>
      </text>
    </comment>
    <comment ref="H169" authorId="0" shapeId="0" xr:uid="{9B376002-B1C0-4B16-AA21-4D106E80DFD1}">
      <text>
        <r>
          <rPr>
            <sz val="16"/>
            <color indexed="81"/>
            <rFont val="Tahoma"/>
            <family val="2"/>
          </rPr>
          <t>Kosten per m2 PV paneel</t>
        </r>
      </text>
    </comment>
    <comment ref="K169" authorId="0" shapeId="0" xr:uid="{2AE1B233-1BF9-4363-B839-CBFAED66D6ED}">
      <text>
        <r>
          <rPr>
            <sz val="16"/>
            <color indexed="81"/>
            <rFont val="Tahoma"/>
            <family val="2"/>
          </rPr>
          <t>Besparing per m2 PV paneel</t>
        </r>
        <r>
          <rPr>
            <b/>
            <sz val="14"/>
            <color indexed="81"/>
            <rFont val="Tahoma"/>
            <family val="2"/>
          </rPr>
          <t xml:space="preserve">
</t>
        </r>
      </text>
    </comment>
    <comment ref="M169" authorId="0" shapeId="0" xr:uid="{E8A1E059-7B07-493A-9757-0C6AED7A64E7}">
      <text>
        <r>
          <rPr>
            <sz val="16"/>
            <color indexed="81"/>
            <rFont val="Tahoma"/>
            <family val="2"/>
          </rPr>
          <t>Kosten per m2 PV paneel</t>
        </r>
      </text>
    </comment>
    <comment ref="P169" authorId="0" shapeId="0" xr:uid="{D8D80A58-0CA2-4714-96C2-0FE866A80E4C}">
      <text>
        <r>
          <rPr>
            <sz val="16"/>
            <color indexed="81"/>
            <rFont val="Tahoma"/>
            <family val="2"/>
          </rPr>
          <t>Besparing per m2 PV paneel</t>
        </r>
        <r>
          <rPr>
            <b/>
            <sz val="14"/>
            <color indexed="81"/>
            <rFont val="Tahoma"/>
            <family val="2"/>
          </rPr>
          <t xml:space="preserve">
</t>
        </r>
      </text>
    </comment>
    <comment ref="F170" authorId="0" shapeId="0" xr:uid="{D735EF8E-64F4-4D49-BDC7-69881A4C8F05}">
      <text>
        <r>
          <rPr>
            <sz val="16"/>
            <color indexed="81"/>
            <rFont val="Tahoma"/>
            <family val="2"/>
          </rPr>
          <t>Maatregel stond onder de categorie NM en is verplaats naar ZM, omdat er zelden een NM is. Kosten waren al voor ZM. Er zaten fouten in de formules op de locatie tabbladen, die zijn aangepast.</t>
        </r>
      </text>
    </comment>
    <comment ref="F196" authorId="0" shapeId="0" xr:uid="{6A9C69A3-ED31-4157-9842-8D77C1219276}">
      <text>
        <r>
          <rPr>
            <sz val="16"/>
            <color indexed="81"/>
            <rFont val="Tahoma"/>
            <family val="2"/>
          </rPr>
          <t>'Maatregel stond onder de categorie ZM en is verplaats naar NM. Kosten waren al voor een NM.</t>
        </r>
      </text>
    </comment>
    <comment ref="F197" authorId="0" shapeId="0" xr:uid="{78FBB50A-7EB1-4DFB-A83C-DCBF485E3B13}">
      <text>
        <r>
          <rPr>
            <sz val="16"/>
            <color indexed="81"/>
            <rFont val="Tahoma"/>
            <family val="2"/>
          </rPr>
          <t>'Maatregel stond onder de categorie ZM en is verplaats naar NM. Kosten waren al voor een NM.</t>
        </r>
      </text>
    </comment>
    <comment ref="F198" authorId="0" shapeId="0" xr:uid="{086403C2-96A9-4682-A839-DF72E4D9226E}">
      <text>
        <r>
          <rPr>
            <sz val="16"/>
            <color indexed="81"/>
            <rFont val="Tahoma"/>
            <family val="2"/>
          </rPr>
          <t>'Maatregel stond onder de categorie ZM en is verplaats naar NM. Kosten waren al voor een NM.</t>
        </r>
      </text>
    </comment>
    <comment ref="F199" authorId="0" shapeId="0" xr:uid="{C525985F-7FAD-4880-A4D3-1DF4FD202FBB}">
      <text>
        <r>
          <rPr>
            <sz val="16"/>
            <color indexed="81"/>
            <rFont val="Tahoma"/>
            <family val="2"/>
          </rPr>
          <t>'Maatregel stond onder de categorie ZM en is verplaats naar NM. Kosten waren al voor een NM.</t>
        </r>
      </text>
    </comment>
    <comment ref="F200" authorId="0" shapeId="0" xr:uid="{0E20301A-B593-479A-B0B4-2A273E6DA26A}">
      <text>
        <r>
          <rPr>
            <sz val="16"/>
            <color indexed="81"/>
            <rFont val="Tahoma"/>
            <family val="2"/>
          </rPr>
          <t>Maatregel stond onder de categorie NM en is verplaats naar ZM, omdat er zelden een NM is. Kosten waren al voor ZM.</t>
        </r>
      </text>
    </comment>
    <comment ref="F201" authorId="0" shapeId="0" xr:uid="{B828667B-DFCF-49B5-8DAE-B24D2077F44B}">
      <text>
        <r>
          <rPr>
            <sz val="16"/>
            <color indexed="81"/>
            <rFont val="Tahoma"/>
            <family val="2"/>
          </rPr>
          <t>Maatregel stond onder de categorie NM en is verplaats naar ZM, omdat er zelden een NM is. Kosten waren al voor ZM.</t>
        </r>
      </text>
    </comment>
    <comment ref="F202" authorId="0" shapeId="0" xr:uid="{55B27EAA-FBD6-4644-8151-391A9E085EEE}">
      <text>
        <r>
          <rPr>
            <sz val="16"/>
            <color indexed="81"/>
            <rFont val="Tahoma"/>
            <family val="2"/>
          </rPr>
          <t>Nieuwe maatregel in CO2-tool, omdat deze maatregel slecht geïmplementeerd lijkt.</t>
        </r>
      </text>
    </comment>
    <comment ref="F203" authorId="0" shapeId="0" xr:uid="{77ED55C6-1CE8-4C4D-9240-F44EBC9C0CF4}">
      <text>
        <r>
          <rPr>
            <sz val="16"/>
            <color indexed="81"/>
            <rFont val="Tahoma"/>
            <family val="2"/>
          </rPr>
          <t xml:space="preserve">Geen EM meer.
</t>
        </r>
      </text>
    </comment>
    <comment ref="F204" authorId="0" shapeId="0" xr:uid="{E7159E38-7D1C-4B36-8165-A6BF36FA4038}">
      <text>
        <r>
          <rPr>
            <sz val="16"/>
            <color indexed="81"/>
            <rFont val="Tahoma"/>
            <family val="2"/>
          </rPr>
          <t xml:space="preserve">Geen EM meer.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Judith de Bree (Stimular)</author>
  </authors>
  <commentList>
    <comment ref="R29" authorId="0" shapeId="0" xr:uid="{2BBD88A8-CF5A-4C86-9446-3CF6856CE100}">
      <text>
        <r>
          <rPr>
            <b/>
            <sz val="16"/>
            <color indexed="81"/>
            <rFont val="Tahoma"/>
            <family val="2"/>
          </rPr>
          <t xml:space="preserve">Aardgasprijs: </t>
        </r>
        <r>
          <rPr>
            <sz val="16"/>
            <color indexed="81"/>
            <rFont val="Tahoma"/>
            <family val="2"/>
          </rPr>
          <t xml:space="preserve">
Als gemiddelde waarde is hier € 1,40 per m3 ingevuld. Dit gaat uit van een verbruik per locatie van &lt; 170.000 m3 aardgas. 
Deze prijs wordt doorberekend op alle locatietabbladen. Wijken bepaalde locaties af van het bovengenoemde verbruik, pas dan de prijs op het locatietabblad aan. Als vrijwel alle locaties afwijken, pas dan de prijs hier aan. 
Reken € 0,89 per m3 aardgas bij een verbruik van &gt;170.000 m3 aardgas (of gebruik de exacte prijzen die u betaalt).
</t>
        </r>
        <r>
          <rPr>
            <b/>
            <sz val="16"/>
            <color indexed="81"/>
            <rFont val="Tahoma"/>
            <family val="2"/>
          </rPr>
          <t>Opbouw inclusief:</t>
        </r>
        <r>
          <rPr>
            <sz val="16"/>
            <color indexed="81"/>
            <rFont val="Tahoma"/>
            <family val="2"/>
          </rPr>
          <t xml:space="preserve">
- levering
- energiebelasting
- opslag duurzame energie
- btw
</t>
        </r>
        <r>
          <rPr>
            <b/>
            <sz val="16"/>
            <color indexed="81"/>
            <rFont val="Tahoma"/>
            <family val="2"/>
          </rPr>
          <t xml:space="preserve">Bron: 
</t>
        </r>
        <r>
          <rPr>
            <sz val="16"/>
            <color indexed="81"/>
            <rFont val="Tahoma"/>
            <family val="2"/>
          </rPr>
          <t>TNO, 2023. Schatting voor komende 5 jaar.</t>
        </r>
      </text>
    </comment>
    <comment ref="X29" authorId="0" shapeId="0" xr:uid="{7A88E5BB-D05A-4020-A60B-A325313536C5}">
      <text>
        <r>
          <rPr>
            <b/>
            <sz val="16"/>
            <color indexed="81"/>
            <rFont val="Tahoma"/>
            <family val="2"/>
          </rPr>
          <t xml:space="preserve">Elektriciteitsprijs:
</t>
        </r>
        <r>
          <rPr>
            <sz val="16"/>
            <color indexed="81"/>
            <rFont val="Tahoma"/>
            <family val="2"/>
          </rPr>
          <t xml:space="preserve">Als gemiddelde waarde is hier € 0,254 per kWh ingevuld. Dit gaat uit van een verbruik per locatie van &gt; 50.000 kWh elektriciteit. 
Deze prijs wordt doorberekend op alle locatietabbladen. Wijken bepaalde locaties af van het bovengenoemde verbruik, pas dan de prijs op het locatietabblad aan. Als vrijwel alle locaties afwijken, pas dan de prijs hier aan. 
Reken € 0,328 per kWh bij een verbruik van &lt; 50.000 kWh (of gebruik de exacte prijzen die u betaalt).
</t>
        </r>
        <r>
          <rPr>
            <b/>
            <sz val="16"/>
            <color indexed="81"/>
            <rFont val="Tahoma"/>
            <family val="2"/>
          </rPr>
          <t xml:space="preserve">Opbouw inclusief:
- </t>
        </r>
        <r>
          <rPr>
            <sz val="16"/>
            <color indexed="81"/>
            <rFont val="Tahoma"/>
            <family val="2"/>
          </rPr>
          <t xml:space="preserve">levering
- transport
- energiebelasting
- opslag duurzame energie
- btw
</t>
        </r>
        <r>
          <rPr>
            <b/>
            <sz val="16"/>
            <color indexed="81"/>
            <rFont val="Tahoma"/>
            <family val="2"/>
          </rPr>
          <t xml:space="preserve">Bron:
</t>
        </r>
        <r>
          <rPr>
            <sz val="16"/>
            <color indexed="81"/>
            <rFont val="Tahoma"/>
            <family val="2"/>
          </rPr>
          <t>TNO, 2023. Schatting voor de komende 5 jaar.</t>
        </r>
        <r>
          <rPr>
            <sz val="12"/>
            <color indexed="81"/>
            <rFont val="Tahoma"/>
            <family val="2"/>
          </rPr>
          <t xml:space="preserve">
</t>
        </r>
      </text>
    </comment>
    <comment ref="AF29" authorId="0" shapeId="0" xr:uid="{C5865024-84E4-4B46-B2E9-8B3515BEE10E}">
      <text>
        <r>
          <rPr>
            <b/>
            <sz val="16"/>
            <color indexed="81"/>
            <rFont val="Tahoma"/>
            <family val="2"/>
          </rPr>
          <t xml:space="preserve">Warmteprijs:
</t>
        </r>
        <r>
          <rPr>
            <sz val="16"/>
            <color indexed="81"/>
            <rFont val="Tahoma"/>
            <family val="2"/>
          </rPr>
          <t xml:space="preserve">Als gemiddelde waarde is hier € 49,60 per Gj ingevuld. 
Deze prijs wordt doorberekend op alle locatietabbladen. Wijken bepaalde locaties af van bovengenoemde kosten, pas dan de prijs op het locatietabblad aan. Als vrijwel alle locaties afwijken, pas dan de prijs hier aan. 
</t>
        </r>
        <r>
          <rPr>
            <b/>
            <sz val="16"/>
            <color indexed="81"/>
            <rFont val="Tahoma"/>
            <family val="2"/>
          </rPr>
          <t xml:space="preserve">Opbouw inclusief:
- </t>
        </r>
        <r>
          <rPr>
            <sz val="16"/>
            <color indexed="81"/>
            <rFont val="Tahoma"/>
            <family val="2"/>
          </rPr>
          <t xml:space="preserve">levering
- energiebelasting
- opslag duurzame energie
- btw
</t>
        </r>
        <r>
          <rPr>
            <b/>
            <sz val="16"/>
            <color indexed="81"/>
            <rFont val="Tahoma"/>
            <family val="2"/>
          </rPr>
          <t xml:space="preserve">Bron:
</t>
        </r>
        <r>
          <rPr>
            <sz val="16"/>
            <color indexed="81"/>
            <rFont val="Tahoma"/>
            <family val="2"/>
          </rPr>
          <t>TNO, 2023. Schatting voor de komende 5 jaar.</t>
        </r>
        <r>
          <rPr>
            <sz val="12"/>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Judith de Bree (Stimular)</author>
  </authors>
  <commentList>
    <comment ref="G53" authorId="0" shapeId="0" xr:uid="{4FA1B4D2-4104-4D54-8DED-ECC3F79E1139}">
      <text>
        <r>
          <rPr>
            <sz val="12"/>
            <color indexed="81"/>
            <rFont val="Tahoma"/>
            <family val="2"/>
          </rPr>
          <t xml:space="preserve">Zie je alleen maar nullen terwijl je wel CO2-emissie reduceert? Dan heb je waarschijnlijk geen werkelijk energieverbruik ingevuld bij jaar 2018 op de locatietabbladen. De reductie wordt uitgedrukt in een percentage t.o.v. jaar 2018. </t>
        </r>
        <r>
          <rPr>
            <sz val="9"/>
            <color indexed="81"/>
            <rFont val="Tahoma"/>
            <family val="2"/>
          </rPr>
          <t xml:space="preserve">
</t>
        </r>
      </text>
    </comment>
    <comment ref="G54" authorId="0" shapeId="0" xr:uid="{E84AE2EA-8522-4966-A88D-B56BC35E2CFB}">
      <text>
        <r>
          <rPr>
            <sz val="12"/>
            <color indexed="81"/>
            <rFont val="Tahoma"/>
            <family val="2"/>
          </rPr>
          <t xml:space="preserve">Zie je alleen maar nullen terwijl je wel CO2-emissie reduceert? Dan heb je waarschijnlijk geen werkelijk energieverbruik ingevuld bij jaar 2018 op de locatietabbladen. De reductie wordt uitgedrukt in een percentage t.o.v. jaar 2018.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Judith de Bree (Stimular)</author>
  </authors>
  <commentList>
    <comment ref="O22" authorId="0" shapeId="0" xr:uid="{FD78AE6F-D38E-417C-B812-BE91AB036266}">
      <text>
        <r>
          <rPr>
            <sz val="14"/>
            <color indexed="81"/>
            <rFont val="Tahoma"/>
            <family val="2"/>
          </rPr>
          <t xml:space="preserve">Je kunt in dit veld een jaartal invullen waarop de bouw CO2-neutraal plaatsvindt. De tool extrapoleert de CO2-reductie tot nul in de tussenliggende jaren (van 2018 tot het opgeven jaar). Als je geen gebruik wilt maken van extrapolatie, maar wel van wisselende CO2-emissies voor bouwprojecten, kun je de CO2-emissie per jaar in rij 59 (CO2-emissie bouw kg/jaar) handmatig overschrijven. Je moet hiervoor de beveiliging van de tool halen. 
Als je deze cel (O21) leeg laat, wordt de CO2-emissie van bouwmaterialen in de cel erboven voor ieder jaar tot en met 2050 gehanteerd.
</t>
        </r>
      </text>
    </comment>
    <comment ref="E23" authorId="0" shapeId="0" xr:uid="{BA84B634-A12B-44CC-A2E9-651D031EB452}">
      <text>
        <r>
          <rPr>
            <b/>
            <sz val="14"/>
            <color indexed="81"/>
            <rFont val="Tahoma"/>
            <family val="2"/>
          </rPr>
          <t xml:space="preserve">Energiezuinig bouwen? 
</t>
        </r>
        <r>
          <rPr>
            <sz val="14"/>
            <color indexed="81"/>
            <rFont val="Tahoma"/>
            <family val="2"/>
          </rPr>
          <t>Reken dan met een energievraag van 20 kWh/m2 gebruiksoppervlakte.</t>
        </r>
      </text>
    </comment>
    <comment ref="E26" authorId="0" shapeId="0" xr:uid="{D9F93175-CBAF-4A1C-B3C3-19107BD61089}">
      <text>
        <r>
          <rPr>
            <b/>
            <sz val="14"/>
            <color indexed="81"/>
            <rFont val="Tahoma"/>
            <family val="2"/>
          </rPr>
          <t xml:space="preserve">Uitgangspunten:
</t>
        </r>
        <r>
          <rPr>
            <sz val="14"/>
            <color indexed="81"/>
            <rFont val="Tahoma"/>
            <family val="2"/>
          </rPr>
          <t>- Gemiddelde opwek per m2 zonnecellen = 250 kWh</t>
        </r>
        <r>
          <rPr>
            <b/>
            <sz val="14"/>
            <color indexed="81"/>
            <rFont val="Tahoma"/>
            <family val="2"/>
          </rPr>
          <t xml:space="preserve">
- </t>
        </r>
        <r>
          <rPr>
            <sz val="14"/>
            <color indexed="81"/>
            <rFont val="Tahoma"/>
            <family val="2"/>
          </rPr>
          <t xml:space="preserve">gemiddelde aantal verdiepingen = 3,7 (voor berekenen dakoppervlakte vanuit gebruiksoppervlakte)
- Dakoppervlakte beschikbaar voor PV = 50%
250/3,7*0,5 = 34 kWh/m2 gebruiksoppervlakte
</t>
        </r>
      </text>
    </comment>
    <comment ref="E30" authorId="0" shapeId="0" xr:uid="{957A219C-CE3A-4572-8CF2-4B0A37739E17}">
      <text>
        <r>
          <rPr>
            <sz val="14"/>
            <color indexed="81"/>
            <rFont val="Tahoma"/>
            <family val="2"/>
          </rPr>
          <t xml:space="preserve">Alle nieuwbouwprojecten worden vanaf dit jaar uitgevoerd volgens energiezuinige bouwprincipes. De gebouwvraag wordt vanaf dit jaar op 20 kWh/m2 gebruiksoppervlakte gezet. 
Als de uitgangspunten per jaar handmatig wil aanpassen, kun je de rijen 41 t/m 56 overschrijven. Je moet hiervoor de beveiliging van de tool halen. 
Als je deze cel (E30) leeg laat, wordt de uitgangspunten zoals hierboven voor ieder jaar tot en met 2050 gehanteerd.
</t>
        </r>
      </text>
    </comment>
  </commentList>
</comments>
</file>

<file path=xl/sharedStrings.xml><?xml version="1.0" encoding="utf-8"?>
<sst xmlns="http://schemas.openxmlformats.org/spreadsheetml/2006/main" count="7271" uniqueCount="864">
  <si>
    <t>GA1</t>
  </si>
  <si>
    <t>GC1</t>
  </si>
  <si>
    <t>GC2</t>
  </si>
  <si>
    <t>GC4</t>
  </si>
  <si>
    <t>GD1</t>
  </si>
  <si>
    <t>FA3</t>
  </si>
  <si>
    <t>FA4</t>
  </si>
  <si>
    <t>GB1</t>
  </si>
  <si>
    <t>investering €</t>
  </si>
  <si>
    <t>ton CO2 reductie</t>
  </si>
  <si>
    <t>besparing € pj.</t>
  </si>
  <si>
    <t>Besparing</t>
  </si>
  <si>
    <t>www.milieuplatformzorg.nl</t>
  </si>
  <si>
    <t xml:space="preserve">Voor: </t>
  </si>
  <si>
    <t>Elektriciteit</t>
  </si>
  <si>
    <t>Aardgas</t>
  </si>
  <si>
    <t>Van toepassing?</t>
  </si>
  <si>
    <t xml:space="preserve"> </t>
  </si>
  <si>
    <t>Introductie</t>
  </si>
  <si>
    <t>gas reductie</t>
  </si>
  <si>
    <t>elektra reductie</t>
  </si>
  <si>
    <t>GC8</t>
  </si>
  <si>
    <t>GD3</t>
  </si>
  <si>
    <t>FB1</t>
  </si>
  <si>
    <t>FC1</t>
  </si>
  <si>
    <t>FG1</t>
  </si>
  <si>
    <t>FC2</t>
  </si>
  <si>
    <t>FC3</t>
  </si>
  <si>
    <t>FG2</t>
  </si>
  <si>
    <t>FH1</t>
  </si>
  <si>
    <t>FI1</t>
  </si>
  <si>
    <t>FJ1</t>
  </si>
  <si>
    <t>Reductie elektra (kwh)</t>
  </si>
  <si>
    <t>Investeringen per jaar (€/jaar)</t>
  </si>
  <si>
    <t xml:space="preserve">CO2 footprint (ton/jaar) </t>
  </si>
  <si>
    <t>1965 - 1975</t>
  </si>
  <si>
    <t>1975 - 1992</t>
  </si>
  <si>
    <t>1992 - 2021</t>
  </si>
  <si>
    <t>&lt;1965</t>
  </si>
  <si>
    <t>Terugverdientijd</t>
  </si>
  <si>
    <t>Versie:</t>
  </si>
  <si>
    <t>Nieuwbouw</t>
  </si>
  <si>
    <t>Locatie 1</t>
  </si>
  <si>
    <t>Locatie 2</t>
  </si>
  <si>
    <t>Locatie 3</t>
  </si>
  <si>
    <t>Locatie 4</t>
  </si>
  <si>
    <t>Locatie 5</t>
  </si>
  <si>
    <t>Locatie 6</t>
  </si>
  <si>
    <t>Locatie 7</t>
  </si>
  <si>
    <t>Locatie 8</t>
  </si>
  <si>
    <t>Locatie 9</t>
  </si>
  <si>
    <t>Locatie 10</t>
  </si>
  <si>
    <t>Locatie 11</t>
  </si>
  <si>
    <t>Locatie 12</t>
  </si>
  <si>
    <t>Locatie 13</t>
  </si>
  <si>
    <t>Locatie 14</t>
  </si>
  <si>
    <t>Locatie 15</t>
  </si>
  <si>
    <t>Locatie 16</t>
  </si>
  <si>
    <t>Locatie 17</t>
  </si>
  <si>
    <t>Locatie 18</t>
  </si>
  <si>
    <t>Locatie 19</t>
  </si>
  <si>
    <t>Locatie 20</t>
  </si>
  <si>
    <t>Locatie 21</t>
  </si>
  <si>
    <t>Locatie 22</t>
  </si>
  <si>
    <t>Locatie 23</t>
  </si>
  <si>
    <t>Locatie 24</t>
  </si>
  <si>
    <t>Locatie 25</t>
  </si>
  <si>
    <t>Locatie 26</t>
  </si>
  <si>
    <t>Locatie 27</t>
  </si>
  <si>
    <t>Locatie 28</t>
  </si>
  <si>
    <t>Locatie 29</t>
  </si>
  <si>
    <t>Locatie 30</t>
  </si>
  <si>
    <t>Locatie 31</t>
  </si>
  <si>
    <t>Locatie 32</t>
  </si>
  <si>
    <t>Locatie 33</t>
  </si>
  <si>
    <t>Locatie 34</t>
  </si>
  <si>
    <t>Locatie 35</t>
  </si>
  <si>
    <t>Locatie 36</t>
  </si>
  <si>
    <t>Locatie 37</t>
  </si>
  <si>
    <t>Locatie 38</t>
  </si>
  <si>
    <t>Locatie 39</t>
  </si>
  <si>
    <t>Locatie 40</t>
  </si>
  <si>
    <t>Locatie 41</t>
  </si>
  <si>
    <t>Locatie 42</t>
  </si>
  <si>
    <t>Locatie 43</t>
  </si>
  <si>
    <t>Locatie 44</t>
  </si>
  <si>
    <t>Locatie 45</t>
  </si>
  <si>
    <t>Locatie 46</t>
  </si>
  <si>
    <t>Locatie 47</t>
  </si>
  <si>
    <t>Locatie 48</t>
  </si>
  <si>
    <t>Locatie 49</t>
  </si>
  <si>
    <t>Locatie 50</t>
  </si>
  <si>
    <t>2050 of later</t>
  </si>
  <si>
    <t>Procent al uitgevoerd?</t>
  </si>
  <si>
    <t>GC3</t>
  </si>
  <si>
    <t>Eigendom</t>
  </si>
  <si>
    <t xml:space="preserve">  </t>
  </si>
  <si>
    <t>x</t>
  </si>
  <si>
    <t>nee</t>
  </si>
  <si>
    <t>2046 - 2050</t>
  </si>
  <si>
    <t>2041-2045</t>
  </si>
  <si>
    <t>2036 - 2040</t>
  </si>
  <si>
    <t>2031 - 2035</t>
  </si>
  <si>
    <t>[merk en type, bouwjaar, vermogen, HR/VR]</t>
  </si>
  <si>
    <t>Bronnen</t>
  </si>
  <si>
    <t>Kosten: Doorrekenen EBS maatregel in de erkende maatregellijst (LBP|Sight, 2017)
Besparingen: schatting Stimular</t>
  </si>
  <si>
    <t>Kosten: Actualisatie investeringskosten energiebesparende maatregelen bestaande utiliteitsbouw 2013 (Arcadis, 2013)
Besparingen: schatting Stimular</t>
  </si>
  <si>
    <t>Kosten en besparingen zijn geschat voor balansventilatie waarbij op meerdere plaatsen sensoren en kleppen aangebracht worden.</t>
  </si>
  <si>
    <t>Kosten: Actualisatie investeringskosten energiebesparende maatregelen bestaande utiliteitsbouw 2020 (Arcadis, 2020)
Besparingen: schatting Stimular, Energiebalans en energiekentallen care instellingen (Stimular, 2022)</t>
  </si>
  <si>
    <t>Kosten: Lampdirect
Besparingen: berekening Stimular</t>
  </si>
  <si>
    <t>Kosten: n.v.t.
Besparingen: berekening Stimular</t>
  </si>
  <si>
    <t>Kosten zijn € 60 per koel- of vriescel. Kleine gebouwen 1 cel, middelgrote gebouwen 2 cellen.
Besparing is geschat op basis van een terugverdientijd van 5 jaar.</t>
  </si>
  <si>
    <t>Kosten en besparingen: schatting Stimular</t>
  </si>
  <si>
    <t>Kosten en besparingen: Energiebesparing door best beschikbare technieken voor koeling serverruimt' (CE Delft, 2014) en schatting Stimular</t>
  </si>
  <si>
    <t>Kosten: diverse aanbieders
Besparingen: Consumentenbond</t>
  </si>
  <si>
    <t>Kosten: diverse aanbieders
Besparingen: Milieucentraal</t>
  </si>
  <si>
    <t>Besparingen: Salamander with plate detection (RollerGrill International, 2021), berekening Stimular</t>
  </si>
  <si>
    <t>Kosten: Lampdirect
Besparingen: berekening door Stimular</t>
  </si>
  <si>
    <t>Kosten: schatting Stimular
Besparingen: Energiebesparing door best beschikbare technieken voor koeling van serverruimtes (CE Delft, 2014) en schattingen Stimular</t>
  </si>
  <si>
    <t>Kosten: schatting Stimular
Besparingen: Noodstroom voor pc ups getest (ct.nl, 2018)</t>
  </si>
  <si>
    <t>Kosten: diverse aanbieders
Besparingen: warmteverliesberekening Stimular</t>
  </si>
  <si>
    <t>Kosten: Buldit
Besparingen: warmteverliesberekening Stimular</t>
  </si>
  <si>
    <t>Kosten: Milieucentraal
Besparingen: 3MNederland, Stimular</t>
  </si>
  <si>
    <t>Kosten: Milieucentraal
Besparingen: schatting Stimular</t>
  </si>
  <si>
    <t>Kosten: Diverse offertes
Besparingen: schatting Stimular, Energiebalans en energiekentallen care instellingen (Stimular, 2022)</t>
  </si>
  <si>
    <t>Kosten: diverse offertes
Besparingen: Energiebalans en energiekentallen care instellingen (Stimular, 2022)</t>
  </si>
  <si>
    <t>Uitgangspunt zijn vlakke plaat zonnecollectoren voor alleen warm tapwater.
Besparing is 33% op aardgas voor warm tapwater. Verwarmen van tapwater verbruikt 19% van het totale aardgasverbruik. De besparing is dus 6%. Toename van het elektriciteitsverbruik (pomp van de zonneboiler) is verwaarloosbaar.</t>
  </si>
  <si>
    <t>Kosten: diverse offertes
Besparingen: berekening Stimular</t>
  </si>
  <si>
    <t>warmte (GJ)</t>
  </si>
  <si>
    <t>Geplande Investering</t>
  </si>
  <si>
    <t>Jaar van afstoot/sloop</t>
  </si>
  <si>
    <t>Huur/eigendom</t>
  </si>
  <si>
    <t>Maatregel voor:</t>
  </si>
  <si>
    <t>EML</t>
  </si>
  <si>
    <t>ID</t>
  </si>
  <si>
    <t>Judith de Bree
Adriaan van Engelen 
Marjon Olijdam</t>
  </si>
  <si>
    <t>Auteurs:</t>
  </si>
  <si>
    <t xml:space="preserve">Beheerder: </t>
  </si>
  <si>
    <t>Versie 2.0</t>
  </si>
  <si>
    <t>Huurder</t>
  </si>
  <si>
    <t>Verhuurder</t>
  </si>
  <si>
    <t>FA1</t>
  </si>
  <si>
    <t>Perslucht</t>
  </si>
  <si>
    <t>Vergroot de persluchtbuffer.</t>
  </si>
  <si>
    <t>FA2</t>
  </si>
  <si>
    <t>Pas een flow-drukregelaar toe in het persluchtnet.</t>
  </si>
  <si>
    <t>Plaats een luchtkanaal zodat de persluchtcompressor (koude) buitenlucht aanzuigt.</t>
  </si>
  <si>
    <t>Categorie</t>
  </si>
  <si>
    <t>Omschrijving</t>
  </si>
  <si>
    <t>Aandrijvingen</t>
  </si>
  <si>
    <t>Pas een frequentieregeling toe op machines.</t>
  </si>
  <si>
    <t>Pas een frequentieregeling op pompen toe.</t>
  </si>
  <si>
    <t>FC4</t>
  </si>
  <si>
    <t>FC5</t>
  </si>
  <si>
    <t>Vervang IE3-elektromotoren door efficiëntieklasse IE4 of hoger.</t>
  </si>
  <si>
    <t>FD 1</t>
  </si>
  <si>
    <t>Productkoeling</t>
  </si>
  <si>
    <t>FD 2</t>
  </si>
  <si>
    <t>Plaats deuren voor verticale koelmeubels.</t>
  </si>
  <si>
    <t>FD 3</t>
  </si>
  <si>
    <t>Pas nachtafdekking toe bij semi-verticale koelmeubels.</t>
  </si>
  <si>
    <t>FD 4</t>
  </si>
  <si>
    <t>Pas dagafdekking op horizontale vriesmeubels.</t>
  </si>
  <si>
    <t>FD 5</t>
  </si>
  <si>
    <t>Isoleer koel- en vriesleidingen.</t>
  </si>
  <si>
    <t>FD 6</t>
  </si>
  <si>
    <t>Koppel de verdamperventilator aan de vriesceldeur.</t>
  </si>
  <si>
    <t>FD 7</t>
  </si>
  <si>
    <t>Isoleer de wanden van koelcellen om warmte buiten te houden.</t>
  </si>
  <si>
    <t>FD 8</t>
  </si>
  <si>
    <t>FD 9</t>
  </si>
  <si>
    <t>FD10</t>
  </si>
  <si>
    <t>FD11</t>
  </si>
  <si>
    <t>Pas een condensordrukregeling op buitenluchttemperatuur toe op de koelinstallatie</t>
  </si>
  <si>
    <t>FD12</t>
  </si>
  <si>
    <t>Gebruik de restwarmte van de condensors van de koelinstallatie.</t>
  </si>
  <si>
    <t>FD13</t>
  </si>
  <si>
    <t>Pas een dagafdekking toe bij semi-verticale koelmeubels.</t>
  </si>
  <si>
    <t>FD14</t>
  </si>
  <si>
    <t>Plaats LED-armaturen in koelcellen.</t>
  </si>
  <si>
    <t>FD15</t>
  </si>
  <si>
    <t>Pas heetgasontdooiing toe op de vriesinstallatie.</t>
  </si>
  <si>
    <t>FE1</t>
  </si>
  <si>
    <t>FE2</t>
  </si>
  <si>
    <t>Pas hot-fill toe bij bestaande vaatwasapparatuur in grootkeukens.</t>
  </si>
  <si>
    <t>FE3</t>
  </si>
  <si>
    <t>Pas een dubbelwandige vaatwasser toe in grootkeukens.</t>
  </si>
  <si>
    <t>FE4</t>
  </si>
  <si>
    <t>Pas een laagdebiet afzuigkap toe bij grootkeukens.</t>
  </si>
  <si>
    <t>FE5</t>
  </si>
  <si>
    <t>Pas een elektrisch frituurtoestel toe in plaats van een gasgestookt toestel.</t>
  </si>
  <si>
    <t>FE6</t>
  </si>
  <si>
    <t>Pas een elektrische combisteamer toe in plaats van een gasgestookte variant.</t>
  </si>
  <si>
    <t>Terreinverlichting</t>
  </si>
  <si>
    <t>Plaats een bewegingssensor op plaatsen waar de lampen niet altijd aan hoeven te zijn.</t>
  </si>
  <si>
    <t>FG3</t>
  </si>
  <si>
    <t>Plaats extra schakelaars voor de veldverlichting per veld.</t>
  </si>
  <si>
    <t>FG4</t>
  </si>
  <si>
    <t>FG5</t>
  </si>
  <si>
    <t>Serverruimte</t>
  </si>
  <si>
    <t>Pas virtualisatie en consolidatie toe bij servers.</t>
  </si>
  <si>
    <t>FI2</t>
  </si>
  <si>
    <t>Stel geautomatiseerd energiebeheer in op servers.</t>
  </si>
  <si>
    <t>FI3</t>
  </si>
  <si>
    <t>Neem een laagbelaste Uninterrupted Power Supply (UPS) uit bedrijf.</t>
  </si>
  <si>
    <t>FI4</t>
  </si>
  <si>
    <t>Pas een buitenluchtklep toe voor koeling van de serverruimte.</t>
  </si>
  <si>
    <t>FI5</t>
  </si>
  <si>
    <t>Pas een energiezuinige koelinstallatie toe voor de koeling van serverruimten.</t>
  </si>
  <si>
    <t>FI6</t>
  </si>
  <si>
    <t>Roltrap</t>
  </si>
  <si>
    <t>Zonnepanelen</t>
  </si>
  <si>
    <t>GB2</t>
  </si>
  <si>
    <t>GB3</t>
  </si>
  <si>
    <t>Pas een automatisch sluitmechanisme toe bij overheaddeuren.</t>
  </si>
  <si>
    <t>GB4</t>
  </si>
  <si>
    <t>GB5</t>
  </si>
  <si>
    <t>Vervang in bestaande kozijnen het enkelglas door HR++ glas.</t>
  </si>
  <si>
    <t>GB6</t>
  </si>
  <si>
    <t>Vervang in bestaande kozijnen en ramen dubbelglas door HR++-glas.</t>
  </si>
  <si>
    <t>GB7</t>
  </si>
  <si>
    <t>Gebruik opblaasbare luchtkussens bij een vrachtwagendocking.</t>
  </si>
  <si>
    <t>GB8</t>
  </si>
  <si>
    <t>Plaats een loopdeur in overheaddeuren.</t>
  </si>
  <si>
    <t>Ruimteverwarming</t>
  </si>
  <si>
    <t>Pas een klokregeling toe en regel deze in.</t>
  </si>
  <si>
    <t>Pas een weersafhankelijke regeling toe.</t>
  </si>
  <si>
    <t>Isoleer de verwarmingsleidingen en appendages in onverwarmde ruimtes</t>
  </si>
  <si>
    <t>GC5</t>
  </si>
  <si>
    <t>Isoleer ventilatiekanalen in onverwarmde ruimtes.</t>
  </si>
  <si>
    <t>GC6</t>
  </si>
  <si>
    <t>Pas een individuele regeling van de temperatuur per ruimte toe.</t>
  </si>
  <si>
    <t>GC7</t>
  </si>
  <si>
    <t>Pas frequentiegeregelde circulatiepompen toe.</t>
  </si>
  <si>
    <t>Ruimteventilatie</t>
  </si>
  <si>
    <t xml:space="preserve">Pas een klokregeling toe op het ventilatiesysteem. </t>
  </si>
  <si>
    <t>GD2</t>
  </si>
  <si>
    <t>Pas warmteterugwinning toe op een balansventilatiesysteem.</t>
  </si>
  <si>
    <t>Vervang ventilatoren van klasse IE1 door ventilatoren van klasse IE4 of hoger</t>
  </si>
  <si>
    <t>GD4</t>
  </si>
  <si>
    <t>Vervang indirect gedreven IE1-slakkehuisventilatoren door direct gedreven ventilatoren.</t>
  </si>
  <si>
    <t>GD5</t>
  </si>
  <si>
    <t>Vervang indirect gedreven IE2-slakkenhuisventilatoren door direct gedreven ventilatoren.</t>
  </si>
  <si>
    <t>GD6</t>
  </si>
  <si>
    <t>Vervang indirect gedreven IE3 slakkenhuisventilatoren door direct gedreven ventilatoren.</t>
  </si>
  <si>
    <t>GD7</t>
  </si>
  <si>
    <t>Vervang ventilatoren van klasse IE2 of IE3 door ventilatoren van klasse IE4 of hoger.</t>
  </si>
  <si>
    <t>GE1</t>
  </si>
  <si>
    <t>Warm tapwater</t>
  </si>
  <si>
    <t xml:space="preserve">Isoleer warmwaterleidingen en appendages. </t>
  </si>
  <si>
    <t>GE2</t>
  </si>
  <si>
    <t>Gebruik waterbesparende douchekoppen.</t>
  </si>
  <si>
    <t>GE3</t>
  </si>
  <si>
    <t>Vervang bij een indirect verwarmd voorraadvat de bestaande ketel door een HR-ketel.</t>
  </si>
  <si>
    <t>GF 1</t>
  </si>
  <si>
    <t>Binnenverlichting</t>
  </si>
  <si>
    <t>GF 2</t>
  </si>
  <si>
    <t>Vervang TL8-buizen door LED-buizen.</t>
  </si>
  <si>
    <t>GF 3</t>
  </si>
  <si>
    <t>Vervang T5-fluorescentiebuizen door LED-buizen.</t>
  </si>
  <si>
    <t>GF 4</t>
  </si>
  <si>
    <t>Vervang gloei-, halogeen- en spaarlampen door LED-lampen.</t>
  </si>
  <si>
    <t>GF 5</t>
  </si>
  <si>
    <t>Vervang gasontladingslampen door LED-lampen.</t>
  </si>
  <si>
    <t>GF 6</t>
  </si>
  <si>
    <t>Vervang montagebalken en lichtlijnen met TL8-buizen door LED-armaturen.</t>
  </si>
  <si>
    <t>GF 7</t>
  </si>
  <si>
    <t>Vervang plafondspots met spaarlampen door LED-spots.</t>
  </si>
  <si>
    <t>GF 8</t>
  </si>
  <si>
    <t>Vervang wandarmaturen met spaarlampen door LED-wandarmaturen.</t>
  </si>
  <si>
    <t>GF 9</t>
  </si>
  <si>
    <t>Vervang wandarmaturen met halogeenlampen door LED-wandarmaturen.</t>
  </si>
  <si>
    <t>GF10</t>
  </si>
  <si>
    <t>Vervang spots met halogeenlampen door LED-spots.</t>
  </si>
  <si>
    <t>GF11</t>
  </si>
  <si>
    <t>Vervang railspots met halogeenlampen door LED-railspots.</t>
  </si>
  <si>
    <t>GF12</t>
  </si>
  <si>
    <t>Vervang railspots met gasontladingslampen door LED-railspots.</t>
  </si>
  <si>
    <t>GF13</t>
  </si>
  <si>
    <t>GF14</t>
  </si>
  <si>
    <t>Vervang ingebouwde plafondarmaturen met TL8-buizen door LED-armaturen.</t>
  </si>
  <si>
    <t>GF15</t>
  </si>
  <si>
    <t>GG1</t>
  </si>
  <si>
    <t>Buitenverlichting</t>
  </si>
  <si>
    <t>Vervang armaturen met TL8-buizen door LED-armaturen.</t>
  </si>
  <si>
    <t>GG2</t>
  </si>
  <si>
    <t>Vervang wandarmaturen met halogeenlampen door LED-armaturen.</t>
  </si>
  <si>
    <t>GG3</t>
  </si>
  <si>
    <t>Vervang wandarmaturen met spaarlampen door LED-armaturen.</t>
  </si>
  <si>
    <t>GG4</t>
  </si>
  <si>
    <t>Vervang armaturen met gasontladingslampen door LED-armaturen.</t>
  </si>
  <si>
    <t>GH1</t>
  </si>
  <si>
    <t>FA5</t>
  </si>
  <si>
    <t>Gebruik zuinige persluchtgereedschappen.</t>
  </si>
  <si>
    <t>FA6</t>
  </si>
  <si>
    <t>FA7</t>
  </si>
  <si>
    <t>Gebruik een blower voor het schoonblazen in plaats van een persluchtcompressor</t>
  </si>
  <si>
    <t>FA8</t>
  </si>
  <si>
    <t>Stoom</t>
  </si>
  <si>
    <t>Verlaag de stoomdruk van het centrale stoomnet.</t>
  </si>
  <si>
    <t>FB2</t>
  </si>
  <si>
    <t>FB3</t>
  </si>
  <si>
    <t>FB4</t>
  </si>
  <si>
    <t>Vervang stoom als middel voor ruimteverwarming.</t>
  </si>
  <si>
    <t>FB5</t>
  </si>
  <si>
    <t>Isoleer ongeïsoleerde warme delen van de stoomketel.</t>
  </si>
  <si>
    <t>FB6</t>
  </si>
  <si>
    <t>Isoleer stoomleidingen en appendages.</t>
  </si>
  <si>
    <t>FB7</t>
  </si>
  <si>
    <t>Pas een reverse osmose (RO)-installatie toe om de ketelwaterkwaliteit te verbeteren.</t>
  </si>
  <si>
    <t>FB8</t>
  </si>
  <si>
    <t>FF</t>
  </si>
  <si>
    <t>Ovens</t>
  </si>
  <si>
    <t>Deze hele categorie is niet van toepassing in de care</t>
  </si>
  <si>
    <t>Zwembad</t>
  </si>
  <si>
    <t>FH2</t>
  </si>
  <si>
    <t>Pas isolatie toe op ongeïsoleerde zwembadwaterleidingen in een zwembad.</t>
  </si>
  <si>
    <t>FH3</t>
  </si>
  <si>
    <t>Dek het zwembad af met zwembadafdekking buiten de openingstijden.</t>
  </si>
  <si>
    <t>FH4</t>
  </si>
  <si>
    <t>FH5</t>
  </si>
  <si>
    <t>Isoleer de wanden van het zwembassin.</t>
  </si>
  <si>
    <t>FH6</t>
  </si>
  <si>
    <t>Win warmte terug uit het spoelwater door gebruik te maken van een spoelwaterbuffer.</t>
  </si>
  <si>
    <t>FH7</t>
  </si>
  <si>
    <t>Pas een HR-ketel toe voor zwembadwaterverwarming.</t>
  </si>
  <si>
    <t>FH8</t>
  </si>
  <si>
    <t>Verbeter de isolatie van het dak van het zwembad.</t>
  </si>
  <si>
    <t>FH9</t>
  </si>
  <si>
    <t>Pas een efficiënte warmtewisselaar toe op de balansventilatie van het zwembad.</t>
  </si>
  <si>
    <t>PA</t>
  </si>
  <si>
    <t>PB</t>
  </si>
  <si>
    <t>Drogen</t>
  </si>
  <si>
    <t>PC</t>
  </si>
  <si>
    <t>Procesbaden</t>
  </si>
  <si>
    <t>PD1</t>
  </si>
  <si>
    <t>Procesapparatuur</t>
  </si>
  <si>
    <t>Optimaliseer de procesparameters van procesapparatuur.</t>
  </si>
  <si>
    <t>PD2</t>
  </si>
  <si>
    <t>PD3</t>
  </si>
  <si>
    <t>Regel het luchtafzuigdebiet bij droog- en moffelovens op basis van de bezettingsgraad.</t>
  </si>
  <si>
    <t>PD4</t>
  </si>
  <si>
    <t>Pas een hoogfrequente HR-lader toe voor het opladen van tractiebatterijen.</t>
  </si>
  <si>
    <t>PD5</t>
  </si>
  <si>
    <t>PD6</t>
  </si>
  <si>
    <t>Pas een frequentieregelaar toe op de ventilator van de centrale stofafzuiging.</t>
  </si>
  <si>
    <t>PD7</t>
  </si>
  <si>
    <t>PD8</t>
  </si>
  <si>
    <t>PD9</t>
  </si>
  <si>
    <t>Vervang aanwezige verlichting op of nabij procesapparatuur door LED-verlichting.</t>
  </si>
  <si>
    <t>PE1</t>
  </si>
  <si>
    <t>Proceswarmte</t>
  </si>
  <si>
    <t>PE2</t>
  </si>
  <si>
    <t>Isoleer warme productleidingen en appendages.</t>
  </si>
  <si>
    <t>PE3</t>
  </si>
  <si>
    <t>Isoleer de wanden van hoge temperatuur procesvaten om warmteverlies te beperken.</t>
  </si>
  <si>
    <t>PE4</t>
  </si>
  <si>
    <t>Isoleer de wanden van verwarmde opslagtanks.</t>
  </si>
  <si>
    <t>PE5</t>
  </si>
  <si>
    <t>Pas een elektrische verwarmingsmantel toe voor IBC containers.</t>
  </si>
  <si>
    <t>PE6</t>
  </si>
  <si>
    <t>PE7</t>
  </si>
  <si>
    <t>PE8</t>
  </si>
  <si>
    <t>PF</t>
  </si>
  <si>
    <t>Proceskoeling</t>
  </si>
  <si>
    <t>PG</t>
  </si>
  <si>
    <t>Veehouderijen</t>
  </si>
  <si>
    <t>PH1</t>
  </si>
  <si>
    <t>Datacentrum</t>
  </si>
  <si>
    <t>Stel een hogere koeltemperatuur in voor de koeling van servers.</t>
  </si>
  <si>
    <t>PH2</t>
  </si>
  <si>
    <t>Pas een frequentieregelaar toe om het vermogen van de zaalkoelers te beperken.</t>
  </si>
  <si>
    <t>PH3</t>
  </si>
  <si>
    <t>Warmte</t>
  </si>
  <si>
    <t>Totaal</t>
  </si>
  <si>
    <t xml:space="preserve">    SAMENVATTING VAN:</t>
  </si>
  <si>
    <t>Locatie:</t>
  </si>
  <si>
    <t>Opwek PV (kWh/jaar)</t>
  </si>
  <si>
    <t>Gebruikoppervlakte (m2)</t>
  </si>
  <si>
    <t>Bruto vloeroppervlakte (m2)</t>
  </si>
  <si>
    <t xml:space="preserve">Vormfactor BVO &gt; GO: </t>
  </si>
  <si>
    <t>CO2-emissie gebruik (kg/jaar)</t>
  </si>
  <si>
    <t>CO2-emissie bouw (kg/jaar)</t>
  </si>
  <si>
    <t xml:space="preserve">Totale CO2 footprint (kg/jaar) </t>
  </si>
  <si>
    <t>Opwek per m2 GO (kWh/m2 jaar)</t>
  </si>
  <si>
    <t>Prijs per m3 aardgas:</t>
  </si>
  <si>
    <t>SAMENVATTING VAN:</t>
  </si>
  <si>
    <t>Energiekosten per jaar (€)</t>
  </si>
  <si>
    <t>Investeringen per jaar (€)</t>
  </si>
  <si>
    <t>GO - Gebruiksoppervlakte (m2)</t>
  </si>
  <si>
    <t>Besparingen per jaar (€)</t>
  </si>
  <si>
    <t>Bespaard t.o.v. ref.jaar (€)</t>
  </si>
  <si>
    <t>Bouwjaar</t>
  </si>
  <si>
    <t>Bouwlagen</t>
  </si>
  <si>
    <t>Bruto vloeroppervlak - BVO (m2)</t>
  </si>
  <si>
    <t>Gebruiksoppervlakte - GO (m2)</t>
  </si>
  <si>
    <t>Prijs per ingekochte kWh</t>
  </si>
  <si>
    <t>Prijs per ingekochte m3 aardgas</t>
  </si>
  <si>
    <t>Prijs per ingekochte GJ warmte</t>
  </si>
  <si>
    <t>Grootkeuken</t>
  </si>
  <si>
    <t>Isolatie van schil</t>
  </si>
  <si>
    <t>Natlakspuitcabine</t>
  </si>
  <si>
    <t>Energiebeheersys.</t>
  </si>
  <si>
    <t>Plaats een afsluiter met tijdschakelaar om verlies buiten bedrijfstijden te beperken.</t>
  </si>
  <si>
    <t>Gebruik elektrisch handgereedschap als vervanging voor pneumatisch gereedschap.</t>
  </si>
  <si>
    <t>Vervang de regelklepbediening obv perslucht door elektrische aandrijvingen.</t>
  </si>
  <si>
    <t>Gebruik een economiser om warmte uit rookgassen nuttig in te zetten.</t>
  </si>
  <si>
    <t>Gebruik een rookgascondensor om warmte uit rookgassen nuttig in te zetten.</t>
  </si>
  <si>
    <t>Plaats een warmtewisselaar bij uitgang van heetwaterproces.</t>
  </si>
  <si>
    <t>Pas frequentieregeling toe op compressor van o.a. koel-, vries- en persluchtinstallaties.</t>
  </si>
  <si>
    <t>Vervang elektromotoren met efficiëntieklasse IE2 of lager door moter met IE4 of hoger.</t>
  </si>
  <si>
    <t>Gebruik alternatief voor elektrische verwarming binnenzijde van verticaal vriesmeubel.</t>
  </si>
  <si>
    <t>Regel de verdamperventilatoren van koelcellen obv meerdere temperatuursensoren.</t>
  </si>
  <si>
    <t>Pas een frequentieregelaar toe bij gekoelde opslag van groente, fruit e.d.</t>
  </si>
  <si>
    <t>Scheid de luchttoevoer naar de koelinstallatie van  warme lucht uit koelinstallatie.</t>
  </si>
  <si>
    <t>Vervang de infrarood-salamander door een met automatische pan/bord detectie.</t>
  </si>
  <si>
    <t>Plaats tijdklok samen met daglichtregeling als verlichting vaste tijden moet branden.</t>
  </si>
  <si>
    <t>Vervang lichtmastarmaturen met spaar- of gasontladingslampen door LED-armaturen.</t>
  </si>
  <si>
    <t>Vervang bij verlichting zonder mast de gasontladingsarmaturen door LED-armaturen.</t>
  </si>
  <si>
    <t>Vervang in bestaande kozijnen en ramen in zwembadruimte enkelglas door HR++ glas.</t>
  </si>
  <si>
    <t>Plaats een glijbaanafsluiter op de uitgang van de waterglijbaan.</t>
  </si>
  <si>
    <t>Breng scheiding aan tussen koude aanvoerlucht en warme afvoerlucht in de datazaal.</t>
  </si>
  <si>
    <t>Pas aanbodafhankelijke regeling met 2 snelheden of onderbrekende besturing toe.</t>
  </si>
  <si>
    <t>Pas autom. energieregistratie- en bewakingssysteem (EBS) met rapportagefunctie toe.</t>
  </si>
  <si>
    <t>Vervang directgestookte gasheaters in bedrijfshal door directgestookte HR-gasheaters.</t>
  </si>
  <si>
    <t>Pas een regeling toe op de verlichting, zodat buiten gebruikstijden niet onnodig brandt.</t>
  </si>
  <si>
    <t>Vervang pendel- en opbouwarmaturen met gasontladingslampen door LED-armaturen.</t>
  </si>
  <si>
    <t>Vervang vluchtwegsignaleringsarmaturen met TL- of spaarlampen door LED-armaturen.</t>
  </si>
  <si>
    <t>Zuig warme lucht af bij grote warmteproducerende apparaten.</t>
  </si>
  <si>
    <t>Plaats filter op afvoerlucht van snipperafzuiger en blaas deze lucht terug de ruimte in.</t>
  </si>
  <si>
    <t>Plaats een stopknop om het onnodig aanstaan van stofzuigersysteem te voorkomen.</t>
  </si>
  <si>
    <t>Plaats freq.regelaar om opgenomen vermogen van centrale vacuümsysteem te beperken.</t>
  </si>
  <si>
    <t>Plaats aanvullende platen in platenwarmtewisselaar om warmteoverdracht te vergroten.</t>
  </si>
  <si>
    <t>Gebruik restwarmte uit blancheerproces door het plaatsen van warmtewisselaar.</t>
  </si>
  <si>
    <t>Gebruik warmte van folieblazen voor verwarming van dichtbijgelegen ruimte.</t>
  </si>
  <si>
    <t>Pas vrije koeling in datacenter toe.</t>
  </si>
  <si>
    <t>JA</t>
  </si>
  <si>
    <t>NEE</t>
  </si>
  <si>
    <t>Reductie aardgas (m3)</t>
  </si>
  <si>
    <t>Apparatuur</t>
  </si>
  <si>
    <t>Warmtenet</t>
  </si>
  <si>
    <t>Regel de CV waterzijdig in</t>
  </si>
  <si>
    <t>Pas radiatoren aan voor lagetemp. verwarming (LTV)</t>
  </si>
  <si>
    <t>Installeer een Warmte- Koudeopslag (WKO)</t>
  </si>
  <si>
    <t>Isoleer de buitenzijde van de gevelmuren</t>
  </si>
  <si>
    <t xml:space="preserve">Isoleer de vloer </t>
  </si>
  <si>
    <t>Plaats voorzetramen</t>
  </si>
  <si>
    <t>Installeer warmteterugwinning op douchewater</t>
  </si>
  <si>
    <t>Installeer een warmtepompboiler voor tapwater</t>
  </si>
  <si>
    <t>Installeer een zonneboiler</t>
  </si>
  <si>
    <t>Gebruik warm/koud water v. sterilisatiecyc. voor verwarmen/koelen van sterils.water.</t>
  </si>
  <si>
    <t>Schaf A++ of betere koelkasten aan</t>
  </si>
  <si>
    <t>Schaf A++ of betere vaatwasmachines aan</t>
  </si>
  <si>
    <t>Schaf A++ of betere tv's aan</t>
  </si>
  <si>
    <t>Schaf A++ of betere wasmachines/drogers aan</t>
  </si>
  <si>
    <t>Plaats zonwerende folie</t>
  </si>
  <si>
    <t>Plaats zonwering buiten</t>
  </si>
  <si>
    <t>Sluit aan op een duurzaam warmtenet</t>
  </si>
  <si>
    <t>Bruto vloeroppervlakte - BVO (m2)</t>
  </si>
  <si>
    <t>Direct uitvoeren?</t>
  </si>
  <si>
    <t>ja</t>
  </si>
  <si>
    <t>CO2-emissie bouwmaterialen (kg/m2 GO)</t>
  </si>
  <si>
    <t>Hernieuwbaar opgewekt met PV:</t>
  </si>
  <si>
    <t>kg/m2 GO</t>
  </si>
  <si>
    <t>Energievraag proces per m2 GO (kWh/m2 j)</t>
  </si>
  <si>
    <t>Energievraag gebouw per m2 GO (kWh/m2 j)</t>
  </si>
  <si>
    <t>Energievraag laadinfra (kWh/jaar)</t>
  </si>
  <si>
    <t>Energievraag gebouw:</t>
  </si>
  <si>
    <t>Energievraag proces:</t>
  </si>
  <si>
    <t>Energievraag laadinfrastructuur:</t>
  </si>
  <si>
    <t>Uitgangspunten per jaar</t>
  </si>
  <si>
    <t>Energievraag processen (kWh/jaar)</t>
  </si>
  <si>
    <t>Energievraag gebouwen (kWh/jaar)</t>
  </si>
  <si>
    <t>Energievraag laadinf. per m2 GO (kWh/m2 jaar)</t>
  </si>
  <si>
    <t>CO2-emissies per jaar</t>
  </si>
  <si>
    <t>Resterende energieinkoop (kWh/jaar)</t>
  </si>
  <si>
    <t>Totale energievraag (kWh/jaar)</t>
  </si>
  <si>
    <t>Totale energievraag per m2 GO (kWh/m2 jaar)</t>
  </si>
  <si>
    <t>Resterende energieinkoop per m2 GO (kWh/m2 jaar)</t>
  </si>
  <si>
    <t>Verwachte realisatie per jaar</t>
  </si>
  <si>
    <t>Totale energiekosten per jaar (€/jaar)</t>
  </si>
  <si>
    <t>Verwachte energieinkoop per jaar</t>
  </si>
  <si>
    <t>X</t>
  </si>
  <si>
    <t>I</t>
  </si>
  <si>
    <t>V</t>
  </si>
  <si>
    <t>H</t>
  </si>
  <si>
    <t>i</t>
  </si>
  <si>
    <t>Ja</t>
  </si>
  <si>
    <t>Uitvoer (realisatie+plan)</t>
  </si>
  <si>
    <t xml:space="preserve">Ja </t>
  </si>
  <si>
    <t>Plaats zonnepanelen op het dak</t>
  </si>
  <si>
    <t>Plaats zonnepanelen op de zuidgevel ( 25% oppervlak)</t>
  </si>
  <si>
    <t>Pas naast de bestaande verwarmingsketel een elektrische warmtepomp toe (hybride).</t>
  </si>
  <si>
    <t>geen</t>
  </si>
  <si>
    <t>Totaalverbruik (kWh)</t>
  </si>
  <si>
    <t>WEii (kWh/m2 GO)</t>
  </si>
  <si>
    <t>Parisproof-norm (kWh/m2 jaar)</t>
  </si>
  <si>
    <t>Elektriciteit inkoop (kWh/jaar)</t>
  </si>
  <si>
    <t>Elektriciteit inkoop per m2 GO (kWh/m2 jaar)</t>
  </si>
  <si>
    <t>Opwek met PV (kWh/jaar)</t>
  </si>
  <si>
    <t>Opwek met PV per m2 GO (kWh/m2 jaar)</t>
  </si>
  <si>
    <t>Energiekosten aardgas per jaar (€/jaar)</t>
  </si>
  <si>
    <t>Energiekosten warmte per jaar (€/jaar)</t>
  </si>
  <si>
    <t>Energiekosten elektriciteit per jaar (€/jaar)</t>
  </si>
  <si>
    <t>Energiekosten totaal per jaar (€/jaar)</t>
  </si>
  <si>
    <t>Bespaard t.o.v. het referentiejaar (€/jaar)</t>
  </si>
  <si>
    <t>Besparingen per jaar (€/jaar)</t>
  </si>
  <si>
    <t>Cumulatieve investering (€)</t>
  </si>
  <si>
    <t>PV Opwek</t>
  </si>
  <si>
    <t>Elektriciteitreductie (kWh/jaar)</t>
  </si>
  <si>
    <t>Aardgasreductie (m3/jaar)</t>
  </si>
  <si>
    <t>Aardgas inkoop (m3/jaar)</t>
  </si>
  <si>
    <t>Aardgas inkoop per m2 GO (m3/m2 jaar)</t>
  </si>
  <si>
    <t>Warmtereductie (m3/jaar)</t>
  </si>
  <si>
    <t>CO2 uitstoot per m2 GO (kg/m2 jaar)</t>
  </si>
  <si>
    <t>Totaalverbruik zonder aftrek PV (kWh/jaar)</t>
  </si>
  <si>
    <t>Cumulatieve besparing (€)</t>
  </si>
  <si>
    <t>Toelichting</t>
  </si>
  <si>
    <t>Kosten
per m2 GO</t>
  </si>
  <si>
    <t>Vaste kosten</t>
  </si>
  <si>
    <t>Elektra
reductie
(%)</t>
  </si>
  <si>
    <t>BRON</t>
  </si>
  <si>
    <t>KENGETALLEN MAATREGELEN</t>
  </si>
  <si>
    <t>Onderwerp</t>
  </si>
  <si>
    <t>Basis</t>
  </si>
  <si>
    <t>Niet opgenom.</t>
  </si>
  <si>
    <t xml:space="preserve">F </t>
  </si>
  <si>
    <t xml:space="preserve">A </t>
  </si>
  <si>
    <t xml:space="preserve">B </t>
  </si>
  <si>
    <t xml:space="preserve">C </t>
  </si>
  <si>
    <t xml:space="preserve">D </t>
  </si>
  <si>
    <t xml:space="preserve">E </t>
  </si>
  <si>
    <t>Grootkeukenapparatuur</t>
  </si>
  <si>
    <t xml:space="preserve">G </t>
  </si>
  <si>
    <t xml:space="preserve">H </t>
  </si>
  <si>
    <t xml:space="preserve">I </t>
  </si>
  <si>
    <t xml:space="preserve">J </t>
  </si>
  <si>
    <t xml:space="preserve">K </t>
  </si>
  <si>
    <t xml:space="preserve">P </t>
  </si>
  <si>
    <t>Natlakspuitcabines</t>
  </si>
  <si>
    <t>Energiebeheersysteem</t>
  </si>
  <si>
    <t>Isolatie van de schil</t>
  </si>
  <si>
    <t>G</t>
  </si>
  <si>
    <t>Onderdeel</t>
  </si>
  <si>
    <r>
      <t xml:space="preserve">Sinds 2023 is er een nieuwe erkende maatregelenlijst (EML). Deze lijst geldt voor alle branches, er is dus geen zorgspecifieke selectie meer. In de tool is onderscheid gemaakt in relevantie van de maatregelen voor zorginstellingen zodat de maatregelen sneller beoordeeld kunnen worden. De maatregelen zijn verdeeld in 3 categoriën (zie ook de tabel rechts):
</t>
    </r>
    <r>
      <rPr>
        <b/>
        <sz val="16"/>
        <color rgb="FFF4E285"/>
        <rFont val="Calibri"/>
        <family val="2"/>
        <scheme val="minor"/>
      </rPr>
      <t>Basis</t>
    </r>
    <r>
      <rPr>
        <sz val="16"/>
        <color rgb="FFF4E285"/>
        <rFont val="Calibri"/>
        <family val="2"/>
        <scheme val="minor"/>
      </rPr>
      <t>:</t>
    </r>
    <r>
      <rPr>
        <sz val="16"/>
        <color rgb="FFFDFDFF"/>
        <rFont val="Calibri"/>
        <family val="2"/>
        <scheme val="minor"/>
      </rPr>
      <t xml:space="preserve"> gebouwgebonden maatregelen (G) en veel voorkomende faciliteiten (F). Deze zijn voor vrijwel iedere instelling van toepassing. 
</t>
    </r>
    <r>
      <rPr>
        <b/>
        <sz val="16"/>
        <color rgb="FFF4E285"/>
        <rFont val="Calibri"/>
        <family val="2"/>
        <scheme val="minor"/>
      </rPr>
      <t>Aanvullend:</t>
    </r>
    <r>
      <rPr>
        <sz val="16"/>
        <color rgb="FFFDFDFF"/>
        <rFont val="Calibri"/>
        <family val="2"/>
        <scheme val="minor"/>
      </rPr>
      <t xml:space="preserve"> minder vaak voorkomende faciliteiten (F) en processen (P). Deze zijn voor sommige instellingen van toepassing. 
</t>
    </r>
    <r>
      <rPr>
        <b/>
        <sz val="16"/>
        <color rgb="FFF4E285"/>
        <rFont val="Calibri"/>
        <family val="2"/>
        <scheme val="minor"/>
      </rPr>
      <t>Niet opgenomen:</t>
    </r>
    <r>
      <rPr>
        <sz val="16"/>
        <color rgb="FFFDFDFF"/>
        <rFont val="Calibri"/>
        <family val="2"/>
        <scheme val="minor"/>
      </rPr>
      <t xml:space="preserve"> faciliteiten (F) en processen (P). Deze zijn zelden tot nooit van toepassing in de zorg. 
Alleen van de basismaatregelen staan standaard kengetallen in de tool. Maak voor aanvullende maatregelen zelf een inschatting van de kosten en besparingen. Je kunt dit hier in het tabblad </t>
    </r>
    <r>
      <rPr>
        <i/>
        <sz val="16"/>
        <color rgb="FFFDFDFF"/>
        <rFont val="Calibri"/>
        <family val="2"/>
        <scheme val="minor"/>
      </rPr>
      <t>Bron</t>
    </r>
    <r>
      <rPr>
        <sz val="16"/>
        <color rgb="FFFDFDFF"/>
        <rFont val="Calibri"/>
        <family val="2"/>
        <scheme val="minor"/>
      </rPr>
      <t xml:space="preserve"> invullen bij de betreffende maatregel zodat de kengetallen direct voor alle locaties gelden, of je kunt dit invullen op de tabbladen van de individuele locaties.
Naast erkende maatregelen staan er andere zinvolle energiebesparende maatregelen in de tool, zoals ook in versie 1.3. </t>
    </r>
  </si>
  <si>
    <t>Nieuw</t>
  </si>
  <si>
    <t>Status?</t>
  </si>
  <si>
    <t>voor zorg?</t>
  </si>
  <si>
    <t>Aardgas
of warmte
reductie (%)</t>
  </si>
  <si>
    <t>Aanvull.</t>
  </si>
  <si>
    <t>Kosten: berekening Stimular
Besparingen: schatting Stimular</t>
  </si>
  <si>
    <t>herzien</t>
  </si>
  <si>
    <t>Uitgangspunt is een bewegingssensor aanvullend op de tijdklok met daglichtregeling (FG1). Kosten zijn € 1.000. 
Er is geen besparing, de verlichting zal juist af en toe aan gaan. Maar zonder deze sensor is maatregel FG1 in deze situatie onmogelijk.</t>
  </si>
  <si>
    <t>Kosten: Lampdirect</t>
  </si>
  <si>
    <t>Besparingen: berekening Stimular</t>
  </si>
  <si>
    <t>Energielabel (G t/m A+++++)</t>
  </si>
  <si>
    <t>Kosten zijn € 1,0 per Wp (incl. montagesysteem, omvormers, optimizer, installatiemateriaal en installatiekosten). Uitgangspunt is panelen van 1,8 m2, 400 Wp, op 50% van het dak, in oost-west-opstelling, opbrengt 0,87 kWh/Wp.
Op dit tabblad zijn de kosten en besparing uitgedrukt per m2 PV-paneel. Dit wijkt af van andere maatregelen. Op de locatietabbladen wordt dit m.b.v. GO en aantal verdiepingen omgerekend in totale investering en besparing.
Zuid-opstelling? Dan is rendement 92%. Vermenigvuldig de opbrengst (negatieve elektriciteitsreductie) met 1,06. Pas dit aan op het locatie tabblad. De volledige opbrengst wordt in de CO2-tool als elektriciteits- en CO2-reductie gerekend. Vaak zal een deel teruggeleverd worden aan het net. Volgens CO2-footprintmethodiek mag je aan dat deel geen CO2-reductie toerekenen.</t>
  </si>
  <si>
    <t>Nieuw/
herzien</t>
  </si>
  <si>
    <t>Kosten: Actualisatie investeringskosten energiebesparende maatregelen bestaande utiliteitsbouw 2022 (Arcadis, 2022)
Besparingen: warmteverliesberekening Stimular</t>
  </si>
  <si>
    <t>Kosten zijn € 121 per m2 dak. Op het locatietabblad worden de totale kosten berekend m.b.v. GO en aantal verdiepingen. Dakrand wordt verhoogd en aansluitingen op HWA worden hersteld. De isolatiewaarde wordt verbeterd van Rc = 0,22 (ongeïsoleerd) naar Rc = 3,5. 
Aardgasreductie is 48 m3 per m2 dak. De aardgasreductiefactor is geschat uitgaande van een pand van 1 verdieping met een gasverbruik hoger dan gemiddeld (want ongeisoleerd dak). Op het locatietabblad wordt de besparing gecoorigeerd op basis van het aantal verdiepingen.</t>
  </si>
  <si>
    <t>Meerkosten zijn € 46 per m2 dak. Op het locatietabblad worden de totale kosten berekend m.b.v. het aantal verdiepingen. Bestaande dakbedekking wordt verwijderd, dakrand verhoogd en aansluitingen op HWA worden hersteld. De isolatiewaarde wordt verbeterd van Rc = 0,22 (ongeïsoleerd) naar Rc = 3,5.
Hoeft dakrand niet verhoogd te worden? Vermenigvuldig de kosten met 0,7. 
Aardgasreductie is 48 m3 per m2 dak. De aardgasreductiefactor is geschat uitgaande van een pand van 1 verdieping met een gasverbruik hoger dan gemiddeld (want ongeisoleerd dak). Op het locatietabblad wordt de besparing gecoorigeerd op basis van het aantal verdiepingen.</t>
  </si>
  <si>
    <t>Kosten zijn afhankelijk van de complexiteit van de cv-installatie, en minimaal € 125 voor simpele installatie. We gaan hier uit van € 1 per m2 GO.
Besparingen zijn tot 15% van het aardgasverbruik voor ruimteverwarming. We gaan hier uit van 5%. Ruimteverwarming verbruikt 81% van het totale aardgasverbruik. De besparing is dus 4%.</t>
  </si>
  <si>
    <t>Kosten zijn afhankelijk van de complexiteit van de cv-installatie, en minimaal € 125 voor simpele installatie. We gaan hier uit van € 1,2 per m2 GO.
Besparingen zijn 12% van het aardgasverbruik voor ruimteverwarming. We gaan hier uit van 5%. Ruimteverwarming verbruikt 81% van het totale aardgasverbruik. De besparing is dus 4%.</t>
  </si>
  <si>
    <t>Kosten: Actualisatie investeringskosten energiebesparende maatregelen bestaande utiliteitsbouw 2022 (Arcadis, 2022), Stimular
Besparingen: schatting Stimular, Energiebalans en energiekentallen care instellingen (Stimular, 2022)</t>
  </si>
  <si>
    <t xml:space="preserve">Besparing is geschat op basis van een terugverdientijd van 5 jaar. </t>
  </si>
  <si>
    <t>Kosten: Actualisatie investeringskosten energiebesparende maatregelen bestaande utiliteitsbouw 2022 (Arcadis, 2022)
Besparingen: schatting Stimular</t>
  </si>
  <si>
    <t>Kosten voor het isoleren van alle kanalen in een gebouw zijn € 12 per m2 GO. De kosten hier gaan uit van het isoleren van (alleen) kanalen in onverwarmde ruimten. In kleine gebouwen is 10% onverwarmd (temperatuurverschil &gt; 10 graden), in middelgrote gebouwen 5%. 
Besparing is geschat op 3% van het aardgasverbruik voor ruimteverwarming. Ruimteverwarming verbruikt 81% van het totale aardgasverbruik. De besparing is dus 2,5%.</t>
  </si>
  <si>
    <t>Meerkosten zijn er niet, frequentiegeregelde cv-pompen zijn standaard.
Uitgangspunt besparing is 1 Watt pompvermogen per m2 GO, allemaal nog niet ferquentiegeregeld. De besparing is 30%, gedurende de helft van het stookseizoen (andere deel is de pomp uit).</t>
  </si>
  <si>
    <t>Besparing: schatting Stimular</t>
  </si>
  <si>
    <t>Kosten gaan uit van het bijplaatsen van een twin-coil in een LBK (rendement 70%).
Besparing is geschat op 35% op het aardgasverbruik voor ruimteverwarming. Ruimteverwarming verbruikt 81% van het totale aardgasverbruik. De besparing is dus 28%.</t>
  </si>
  <si>
    <t>Kosten: Actualisatie investeringskosten energiebesparende maatregelen bestaande utiliteitsbouw 2022 (Arcadis, 2022)
Besparingen: schatting Stimular, Energiebalans en energiekentallen care instellingen (Stimular, 2022)</t>
  </si>
  <si>
    <t>Kosten: Actualisatie investeringskosten energiebesparende maatregelen bestaande utiliteitsbouw 2022 (Arcadis, 2022)
Besparingen: Energiebalans en energiekentallen care instellingen (Stimular, 2022) en schatting Stimular</t>
  </si>
  <si>
    <t>Kosten: Actualisatie investeringskosten energiebesparende maatregelen bestaande utiliteitsbouw 2022 (Arcadis, 2022)
Besparingen: schatting Stimular, Energiebalans en energiekentallen care instel. (Stimular, 2022)</t>
  </si>
  <si>
    <r>
      <t xml:space="preserve">Er zijn geen meerkosten, VR-ketels zijn (vanwege lage oplage) duurder dan HR-ketels.
</t>
    </r>
    <r>
      <rPr>
        <b/>
        <sz val="12"/>
        <color rgb="FF393D3F"/>
        <rFont val="Calibri"/>
        <family val="2"/>
        <scheme val="minor"/>
      </rPr>
      <t>Uitvoeren op ZM?</t>
    </r>
    <r>
      <rPr>
        <sz val="12"/>
        <color rgb="FF393D3F"/>
        <rFont val="Calibri"/>
        <family val="2"/>
        <scheme val="minor"/>
      </rPr>
      <t xml:space="preserve"> Kosten zijn € 520 per kW voor stookinstallatie en boilervat, voor tapwater is naar schatting 2,5 kW per 100 m2 GO aanwezig, dus € 13 per m2 GO.
Besparing is 20% van het aardgas voor warm tapwater. Tapwater verwarmen verbruikt 19% van het totale aardgasverbruik. De besparing is dus 4%.</t>
    </r>
  </si>
  <si>
    <t>Kosten: Actualisatie investeringskosten energiebesparende maatregelen bestaande utiliteitsbouw 2022 (Arcadis, 2022)
Besparingen: berekening Stimular</t>
  </si>
  <si>
    <t>Kosten: berekening Stimular
Besparingen: berekening Stimular</t>
  </si>
  <si>
    <t>Nieuw/ herzien</t>
  </si>
  <si>
    <t>Herzien</t>
  </si>
  <si>
    <t>Plaats zonnepanelen op de zuidgevel  (50% oppervlak)</t>
  </si>
  <si>
    <t>Vervang IE2 motor of lager zonder frequentieregeling door IE3 met toerenregeling</t>
  </si>
  <si>
    <t>Installeer efficient UPS systeem (&gt;96 %)</t>
  </si>
  <si>
    <t>Ruimtekoeling</t>
  </si>
  <si>
    <t>Pas zomernachtventilatie toe</t>
  </si>
  <si>
    <r>
      <t xml:space="preserve">Kosten zijn € 1.000 voor inregelen.
Besparing is 33% op het elektriciteitsverbruik voor koeling. Koeling is gemiddeld 10% van het elektriciteitsverbruik (maar kan fors meer zijn).
</t>
    </r>
    <r>
      <rPr>
        <b/>
        <sz val="12"/>
        <color rgb="FF393D3F"/>
        <rFont val="Calibri"/>
        <family val="2"/>
        <scheme val="minor"/>
      </rPr>
      <t>Is er geen koeling?</t>
    </r>
    <r>
      <rPr>
        <sz val="12"/>
        <color rgb="FF393D3F"/>
        <rFont val="Calibri"/>
        <family val="2"/>
        <scheme val="minor"/>
      </rPr>
      <t xml:space="preserve"> Dan is er geen elektrareductie. Pas dit aan op het locatie tabblad.</t>
    </r>
  </si>
  <si>
    <t>Installeer een cascaderegeling</t>
  </si>
  <si>
    <t>Installeer debietregeling op afzuiging</t>
  </si>
  <si>
    <t>Kosten: schatting Stimular
Besparingen: berekening Stimular</t>
  </si>
  <si>
    <t>Energielabels voor vaatwassers zijn 1 maart 2021 hernoemd: A++ is nu E of F. De meeste vaatwassers hebben energielabel E of D (juli 2022).
Vaatwassers worden veelal op een natuurlijk moment vervangen. Uitgangspunt is 1 vaatwasser voor een gezamenlijke ruimte voor 8 bewoners. Vaatwasser (10-15 jaar oud) wordt vervangen door extra energiezuinige (C of beter). Een vaatwasser met energielabel B is juli 2022 € 550 duurder dan een energielabel E. Hier zijn € 250 meerkosten per vaatwasser gerekend, omdat we er van uit gaan dat de prijsverschillen komende jaren dalen.
Een vaatwasser van 10-15 jaar oud gebruikt 580 kWh bij gebruik 1 maal per dag. Een nieuwe 230 kWh of minder, de besparing is 350 kWh. Dit is, met gemid. elektraverbruik per m2 GO, omgerekend naar de elektrareductiefactor.</t>
  </si>
  <si>
    <t>Energielabels voor tv's zijn 1 maart 2021 hernoemd: A++ is nu F of G. De meeste tv's hebben energielabel G (juli 2022).
TV's worden veelal op een natuurlijk moment vervangen. Uitgangspunt is 1 tv van 65 inch per bewoner. TV (5 jaar oud) wordt vervangen door extra energiezuinige (E). Een TV met energielabel E is juli 2022 € 50 duurder dan een energielabel G.
Een tv van 5 jaar oud gebruikt 350 kWh of meer bij 6 uur aan per dag en daarbuiten op stand-by. Een nieuwe 210 kWh of minder, de besparing is 140 kWh. Dit is, met gemiddeld elektraverbruik per m2 GO, omgerekend naar  elektrareductiefactor.</t>
  </si>
  <si>
    <t>Installeer toerentalregeling op ventilatie zaalkoeler</t>
  </si>
  <si>
    <t>Installeer deur-/bewegingsschakeling op verlichting</t>
  </si>
  <si>
    <t>Liften</t>
  </si>
  <si>
    <t>Installeer stand-by schakeling op verlichting en ventilatie</t>
  </si>
  <si>
    <t>Installeer LED in liftcabine</t>
  </si>
  <si>
    <t>Installeer LED-lamp i.p.v. TL8-lamp in koelcel</t>
  </si>
  <si>
    <r>
      <t xml:space="preserve">Isoleer </t>
    </r>
    <r>
      <rPr>
        <b/>
        <sz val="14"/>
        <color rgb="FF393D3F"/>
        <rFont val="Calibri"/>
        <family val="2"/>
        <scheme val="minor"/>
      </rPr>
      <t>geïsoleerde</t>
    </r>
    <r>
      <rPr>
        <sz val="14"/>
        <color rgb="FF393D3F"/>
        <rFont val="Calibri"/>
        <family val="2"/>
        <scheme val="minor"/>
      </rPr>
      <t xml:space="preserve"> daken extra (o.b.v. meerkosten bij renovatie)</t>
    </r>
  </si>
  <si>
    <t>Kosten: Actualisatie investeringskosten energiebesparende maatregelen bestaande utiliteitsbouw 2022 (Arcadis, 2022)
Besparingen: warmteverliesverekening Stimular</t>
  </si>
  <si>
    <t>Kosten: Actualisatie investeringskosten energiebesparende maatregelen bestaande utiliteitsbouw 2022 (Arcadis, 2022)
Besparingen: NTA8800, Energiebalans en energiekentallen care instellingen (Stimular, 2022)</t>
  </si>
  <si>
    <t>Isoleer schuin dak aan buitenzijde</t>
  </si>
  <si>
    <r>
      <t>Isoleer</t>
    </r>
    <r>
      <rPr>
        <b/>
        <sz val="14"/>
        <color rgb="FF393D3F"/>
        <rFont val="Calibri"/>
        <family val="2"/>
        <scheme val="minor"/>
      </rPr>
      <t xml:space="preserve"> geïsoleerde </t>
    </r>
    <r>
      <rPr>
        <sz val="14"/>
        <color rgb="FF393D3F"/>
        <rFont val="Calibri"/>
        <family val="2"/>
        <scheme val="minor"/>
      </rPr>
      <t>daken extra (o.b.v. meerkosten bij renovatie)</t>
    </r>
  </si>
  <si>
    <t>Plaats HR+++ glas i.p.v. HR in nieuwe kozijnen (24 uurs)</t>
  </si>
  <si>
    <t>Installeer een HR107 ketel i.p.v. VR-ketel</t>
  </si>
  <si>
    <r>
      <t xml:space="preserve">Isoleer spouwmuren van gebouwen. </t>
    </r>
    <r>
      <rPr>
        <b/>
        <sz val="14"/>
        <color rgb="FF393D3F"/>
        <rFont val="Calibri"/>
        <family val="2"/>
        <scheme val="minor"/>
      </rPr>
      <t>Exclusief steigerkosten.</t>
    </r>
  </si>
  <si>
    <r>
      <t xml:space="preserve">Isoleer spouwmuren van gebouwen. </t>
    </r>
    <r>
      <rPr>
        <b/>
        <sz val="14"/>
        <color rgb="FF393D3F"/>
        <rFont val="Calibri"/>
        <family val="2"/>
        <scheme val="minor"/>
      </rPr>
      <t>Exclusief steigerkosten</t>
    </r>
  </si>
  <si>
    <r>
      <t xml:space="preserve">Isoleer spouwmuren van gebouwen. </t>
    </r>
    <r>
      <rPr>
        <b/>
        <sz val="14"/>
        <color rgb="FF393D3F"/>
        <rFont val="Calibri"/>
        <family val="2"/>
        <scheme val="minor"/>
      </rPr>
      <t>Inclusief steigerkosten</t>
    </r>
    <r>
      <rPr>
        <sz val="14"/>
        <color rgb="FF393D3F"/>
        <rFont val="Calibri"/>
        <family val="2"/>
        <scheme val="minor"/>
      </rPr>
      <t>.</t>
    </r>
  </si>
  <si>
    <t>Kruisstroomwisselaar (bij aanschaffen nieuwe LBK)</t>
  </si>
  <si>
    <t>Kosten zijn voor een kruisstroomwisselaar (rendement 90%) in de LBK.
Besparing is 45% op het aardgasverbruik voor ruimteverwarming. Ruimteverwarming verbruikt 81% van het totale aardgasverbruik. De besparing is dus 36%.</t>
  </si>
  <si>
    <t>Kosten: Actualisatie investeringskosten energiebesparende maatregelen bestaande utiliteitsbouw 2022 (Arcadis, 2022)
Besparingen: Stimular, Energiebalans en energiekentallen care instellingen (Stimular, 2022)</t>
  </si>
  <si>
    <t>Warmtewiel (bij aanschaffen nieuwe LBK)</t>
  </si>
  <si>
    <t>Kosten zijn voor een warmtewiel (rendement 65%) in de LBK.
Besparing is 30% op het aardgasverbruik voor ruimteverwarming. Ruimteverwarming verbruikt 81% van het totale aardgasverbruik. De besparing is dus 24%.</t>
  </si>
  <si>
    <r>
      <t xml:space="preserve">Hier is er van uitgegaan dat het verwarmingssysteem waterzijdig ingeregeld kan worden (juiste ventielen aanwezig): kleine investering voor arbeid en kleine besparing.
</t>
    </r>
    <r>
      <rPr>
        <b/>
        <sz val="12"/>
        <color rgb="FF393D3F"/>
        <rFont val="Calibri"/>
        <family val="2"/>
        <scheme val="minor"/>
      </rPr>
      <t>Als niet de juiste ventielen aanwezig zijn</t>
    </r>
    <r>
      <rPr>
        <sz val="12"/>
        <color rgb="FF393D3F"/>
        <rFont val="Calibri"/>
        <family val="2"/>
        <scheme val="minor"/>
      </rPr>
      <t>, dan lopen kosten en de terugverdientijd flink op.</t>
    </r>
  </si>
  <si>
    <t>Kosten en besparingen: Besparingspotentieel van waterzijdig inregelen van cv-systemen (KIWA, 2019). www.installatie.nl/nieuws/waterzijdig-inregelen-toch-niet-verplicht-voor-bedrijven/ (Tijdo van der Zee, 2019)</t>
  </si>
  <si>
    <t>Plaats HR++ glas i.p.v. HR in nieuwe kozijnen (niet-24-uurs)</t>
  </si>
  <si>
    <t>Warm tapwater loskoppelen van ruimteverwarming</t>
  </si>
  <si>
    <t>Kosten zijn voor loskoppelen. Uitgangspunt is dat er geen extra cv-ketel nodig is (veelal zijn er al meerdere cv-ketels en is er overcapaciteit voor ruimteverwarming). Kosten zijn gebaseerd op een terugverdientijd van vijf jaar in een middelgroot gebouw. In een klein gebouw zijn de kosten vergelijkbaar, en is deze maatregel financieel minder aantrekkelijk.
Besparing is (conservatief geschat) 5% op het aardgasverbruik voor ruimteverwarming. Ruimteverwarming verbruikt 81% van het totale aardgasverbruik. De besparing is dus 4%.</t>
  </si>
  <si>
    <t>Kosten en besparing: schatting Stimular</t>
  </si>
  <si>
    <t xml:space="preserve">Minder vaak voorkomende faciliteit (F) of proces (P). Geen standaard kengetallen beschikbaar. </t>
  </si>
  <si>
    <t>Milieuthermometer Zorg certificaat?</t>
  </si>
  <si>
    <t>eigendom</t>
  </si>
  <si>
    <t>huur</t>
  </si>
  <si>
    <t>Tot.verb. zonder aftrek PV per m2 GO (kWh/m2 jaar)</t>
  </si>
  <si>
    <t>De wettelijke maximale tarieven voor warmtelevering (berekend door ACM) gelden niet voor zakelijke aansluitingen: de aansluitkosten en de jaarlijkse kosten kunnen daarom flink variëren tussen zorggebouwen. Hier is er van uitgegaan dat de aansluitkosten en de jaarlijkse kosten vergelijkbaar zijn aan het installeren en onderhouden van een cv-ketel. Er zijn daarom geen (meer)kosten opgenomen voor deze maatregel.
Deze maatregel levert geen besparing op de inkoop van aardgas, warmte of elektriciteit. Zie voor meer informatie hierover: www.expertisecentrumverduurzamingzorg.nl/veelgestelde-vragen/duurzaam-warmtenet/</t>
  </si>
  <si>
    <t>2031-2035</t>
  </si>
  <si>
    <t>2036-2040</t>
  </si>
  <si>
    <t>2046-2050</t>
  </si>
  <si>
    <t>in 2030</t>
  </si>
  <si>
    <t>in 2050</t>
  </si>
  <si>
    <t>Opwek PV (kWh)</t>
  </si>
  <si>
    <t>Inkoop in 2050:</t>
  </si>
  <si>
    <t>Gj/jaar</t>
  </si>
  <si>
    <t>kWh/jaar</t>
  </si>
  <si>
    <t>m3/jaar</t>
  </si>
  <si>
    <r>
      <t xml:space="preserve">Kosten zijn voor een water-water warmtepomp met een </t>
    </r>
    <r>
      <rPr>
        <b/>
        <sz val="12"/>
        <color rgb="FF393D3F"/>
        <rFont val="Calibri"/>
        <family val="2"/>
        <scheme val="minor"/>
      </rPr>
      <t>open of gesloten bron voor een klein gebouw</t>
    </r>
    <r>
      <rPr>
        <sz val="12"/>
        <color rgb="FF393D3F"/>
        <rFont val="Calibri"/>
        <family val="2"/>
        <scheme val="minor"/>
      </rPr>
      <t xml:space="preserve"> en met een </t>
    </r>
    <r>
      <rPr>
        <b/>
        <sz val="12"/>
        <color rgb="FF393D3F"/>
        <rFont val="Calibri"/>
        <family val="2"/>
        <scheme val="minor"/>
      </rPr>
      <t>open bron voor een middelgroot gebouw</t>
    </r>
    <r>
      <rPr>
        <sz val="12"/>
        <color rgb="FF393D3F"/>
        <rFont val="Calibri"/>
        <family val="2"/>
        <scheme val="minor"/>
      </rPr>
      <t xml:space="preserve"> waar al lage temperatuurverwarming is. De kosten zijn zeer beperkt afhankelijk van benodigd CV-vermogen, omdat het grootste deel van de kosten in realiseren van de bron zit. Daarom is gerekend met vaste kosten. Vermogen van de warmtepomp is gebaseerd op het huidige cv-vermogen, schatting daarvan op basis van 1.600 vollasturen en het gemiddelde gasverbruik per m2 GO (voor kleine gebouwen komt dat op 10,2 kW, voor middelgrote op 8,3 kW per 100 m2 GO).
De warmtepomp vervangt 100% van het aardgasverbruik door elektriciteit. De toename in elektriciteit wordt berekend in het locatieoverzicht (kolom Q), waarbij is gerekend met een seizoensgemiddelde efficientie (sCOP) van 4 voor de warmtevraag. Waarschijnlijk wordt er elektriciteit bespaard door efficiëntere koeling; maar anderzijds zal het gebruik van de koeling toenemen nu deze beschikbaar is. Daarom is dit niet meegerekend.
</t>
    </r>
    <r>
      <rPr>
        <b/>
        <sz val="12"/>
        <color rgb="FF393D3F"/>
        <rFont val="Calibri"/>
        <family val="2"/>
        <scheme val="minor"/>
      </rPr>
      <t>Als de warmtevraag door energiebesparende maatregelen wordt verminderd</t>
    </r>
    <r>
      <rPr>
        <sz val="12"/>
        <color rgb="FF393D3F"/>
        <rFont val="Calibri"/>
        <family val="2"/>
        <scheme val="minor"/>
      </rPr>
      <t>, kan de warmtepomp kleiner gedimensioneerd worden. Pas dan in kolom P (of R als je gebruik maakt van een warmtenet) op het locatietabblad de reductie hierop aan. Lees deze waarde af in cel V24 voor aardgas en CJ24 voor warmte. Controleer of het gasverbuik niet negatief wordt, zie voor meer informatie daarover: www.expertisecentrumverduurzamingzorg.nl/veelgestelde-vragen/duurzaam-warmtenet/</t>
    </r>
  </si>
  <si>
    <t>Meerkosten zijn € 75 per m2 dak. Op het locatietabblad worden de totale kosten berekend m.b.v. GO, aantal verdiepingen en dakhelling van 45°. De isolatiewaarde wordt met renovatieplaten aan de buitenzijde verbeterd van Rc = 1,4 (matig geïsoleerd) naar Rc = 6,3. 
Aardgasreductie is 6,3 m3 per m2 dak. Op het locatietabblad wordt de besparing gecorrigeerd op basis van het aantal verdiepingen. De aardgasreductiefactor is geschat uitgaande van een pand met een gasverbruik hoger dan gemiddeld.</t>
  </si>
  <si>
    <t>Totale inkoop (kWh)</t>
  </si>
  <si>
    <t>Zet stappen naar klimaatneutraal vastgoed</t>
  </si>
  <si>
    <t>Zorgorganisatie:</t>
  </si>
  <si>
    <t>www.stimular.nl</t>
  </si>
  <si>
    <t>Kosten: schatting Stimular
Besparingen: schatting Stimular, Energiebalans en energiekentallen care zorgorganisaties (Stimular, 2022)</t>
  </si>
  <si>
    <r>
      <t>CO</t>
    </r>
    <r>
      <rPr>
        <b/>
        <vertAlign val="subscript"/>
        <sz val="48"/>
        <color rgb="FF62929E"/>
        <rFont val="Calibri"/>
        <family val="2"/>
        <scheme val="minor"/>
      </rPr>
      <t>2</t>
    </r>
    <r>
      <rPr>
        <b/>
        <sz val="48"/>
        <color rgb="FF62929E"/>
        <rFont val="Calibri"/>
        <family val="2"/>
        <scheme val="minor"/>
      </rPr>
      <t>-REDUCTIETOOL ZORG</t>
    </r>
  </si>
  <si>
    <r>
      <t>CO</t>
    </r>
    <r>
      <rPr>
        <b/>
        <vertAlign val="subscript"/>
        <sz val="56"/>
        <color rgb="FF62929E"/>
        <rFont val="Calibri"/>
        <family val="2"/>
        <scheme val="minor"/>
      </rPr>
      <t>2</t>
    </r>
    <r>
      <rPr>
        <b/>
        <sz val="56"/>
        <color rgb="FF62929E"/>
        <rFont val="Calibri"/>
        <family val="2"/>
        <scheme val="minor"/>
      </rPr>
      <t>-REDUCTIETOOL ZORG</t>
    </r>
  </si>
  <si>
    <t>Totale inkoop per m2 (kWh/m2)</t>
  </si>
  <si>
    <t>Totale energie inkoop (kWh/jaar)</t>
  </si>
  <si>
    <t>Elektriciteit inkoop (kWh)</t>
  </si>
  <si>
    <t>Aardgas inkoop (m3)</t>
  </si>
  <si>
    <t>Aardgas inkoop per m2 (m3/m2)</t>
  </si>
  <si>
    <t>Warmte inkoop (GJ)</t>
  </si>
  <si>
    <t>Totale energie inkoop per m2 GO (kWh/m2 jaar)</t>
  </si>
  <si>
    <t>Totaalverbruik per m2 z.a. pv (kWh/m2)</t>
  </si>
  <si>
    <t>Vanaf welk jaar energieneutraal?</t>
  </si>
  <si>
    <t>Bruto vloeroppervlakte &gt; gebruiksoppervlakte</t>
  </si>
  <si>
    <t>kWh/m2 GO</t>
  </si>
  <si>
    <t>Elektriciteit inkoop per m2 (kWh/m2)</t>
  </si>
  <si>
    <t>[1-1-2023]</t>
  </si>
  <si>
    <t>[Naam van bestuurder/gemachtigde]</t>
  </si>
  <si>
    <t>Elek. inkoop (kWh)</t>
  </si>
  <si>
    <t xml:space="preserve">KVK-nummer: </t>
  </si>
  <si>
    <t>Postcode</t>
  </si>
  <si>
    <t>Plaats</t>
  </si>
  <si>
    <t>KVK-nummer</t>
  </si>
  <si>
    <t>KVK-vestigingsnummer</t>
  </si>
  <si>
    <t>[0000 0000 0000]</t>
  </si>
  <si>
    <t>[0000 0000]</t>
  </si>
  <si>
    <t>E-mailadres contactpersoon</t>
  </si>
  <si>
    <t>Naam contactpersoon van de locatie</t>
  </si>
  <si>
    <t>Telefoonnummer contactpersoon</t>
  </si>
  <si>
    <t>Is de locatie informatieplichtig?</t>
  </si>
  <si>
    <t>Nee</t>
  </si>
  <si>
    <t>Aantal panden op de locatie</t>
  </si>
  <si>
    <t>Jaar van ingebruikname na 2023 [optioneel]</t>
  </si>
  <si>
    <t>Huisnummer(reeks)</t>
  </si>
  <si>
    <t>Brons</t>
  </si>
  <si>
    <t>Zilver</t>
  </si>
  <si>
    <t>Goud</t>
  </si>
  <si>
    <t>Niveau certificaat</t>
  </si>
  <si>
    <t>Is locatie een monument?</t>
  </si>
  <si>
    <t>Aantal bedden/bewoners</t>
  </si>
  <si>
    <t>Optioneel:</t>
  </si>
  <si>
    <t>[Inregeling, EBS, slimme (tussen)meters, gebouwvorm- en delen, motivatie voor clustering etc.]</t>
  </si>
  <si>
    <t>Opwek PV bestaande bouw (kWh)</t>
  </si>
  <si>
    <t>Opwek PV nieuwbouw (kWh)</t>
  </si>
  <si>
    <t>Opwek PV totaal (kWh)</t>
  </si>
  <si>
    <t>Opwek PV totaal per m2 (kWh/m2)</t>
  </si>
  <si>
    <t>Care-organisaties</t>
  </si>
  <si>
    <t>ongewijz.</t>
  </si>
  <si>
    <t>Toon absoluut of per m2 gebruiksoppervlakte</t>
  </si>
  <si>
    <t>Totaalverbruik zonder aftrek pv (kWh)</t>
  </si>
  <si>
    <t>Cumulatieve investeringen (€)</t>
  </si>
  <si>
    <t>Cumulatieve besparingen (€)</t>
  </si>
  <si>
    <t>CO2-reductie directe emissie  t.o.v. 2018 (%)</t>
  </si>
  <si>
    <t>[merk en type (A,B,C,D), type warmteterugwinsysteem, bouwjaar, vermogen, HR/VR]</t>
  </si>
  <si>
    <t>Plaats zonnepanelen op het dak (ook FK1)</t>
  </si>
  <si>
    <t>Bron: Stichting Stimular.</t>
  </si>
  <si>
    <t>Hoe vul je de tool in?</t>
  </si>
  <si>
    <r>
      <t xml:space="preserve">Lees eerst deze uitleg helemaal door. De balk met tabbladen onderaan kun je gebruiken als een menu door de tool. Wat zie je? Na de uitleg volgt een tabblad </t>
    </r>
    <r>
      <rPr>
        <b/>
        <sz val="12"/>
        <color rgb="FF62929E"/>
        <rFont val="Calibri"/>
        <family val="2"/>
        <scheme val="minor"/>
      </rPr>
      <t>Bron</t>
    </r>
    <r>
      <rPr>
        <sz val="12"/>
        <rFont val="Calibri"/>
        <family val="2"/>
        <scheme val="minor"/>
      </rPr>
      <t xml:space="preserve"> waar de kostenkengetallen en besparingskengetallen per maatregel staan die in de tool opgenomen zijn. In de twee tabbladen erna zie je de samenvatting van jouw organisatie: </t>
    </r>
    <r>
      <rPr>
        <b/>
        <sz val="12"/>
        <color rgb="FF62929E"/>
        <rFont val="Calibri"/>
        <family val="2"/>
        <scheme val="minor"/>
      </rPr>
      <t>Dashboard</t>
    </r>
    <r>
      <rPr>
        <sz val="12"/>
        <rFont val="Calibri"/>
        <family val="2"/>
        <scheme val="minor"/>
      </rPr>
      <t xml:space="preserve"> en </t>
    </r>
    <r>
      <rPr>
        <b/>
        <sz val="12"/>
        <color rgb="FF62929E"/>
        <rFont val="Calibri"/>
        <family val="2"/>
        <scheme val="minor"/>
      </rPr>
      <t>Cijfers</t>
    </r>
    <r>
      <rPr>
        <sz val="12"/>
        <rFont val="Calibri"/>
        <family val="2"/>
        <scheme val="minor"/>
      </rPr>
      <t>. Deze geven het overzicht van alle locaties samen. Daarna volgt een tabblad voor</t>
    </r>
    <r>
      <rPr>
        <b/>
        <sz val="12"/>
        <color rgb="FF00B050"/>
        <rFont val="Calibri"/>
        <family val="2"/>
        <scheme val="minor"/>
      </rPr>
      <t xml:space="preserve"> </t>
    </r>
    <r>
      <rPr>
        <b/>
        <sz val="12"/>
        <color rgb="FF62929E"/>
        <rFont val="Calibri"/>
        <family val="2"/>
        <scheme val="minor"/>
      </rPr>
      <t>Nieuwbouw</t>
    </r>
    <r>
      <rPr>
        <sz val="12"/>
        <rFont val="Calibri"/>
        <family val="2"/>
        <scheme val="minor"/>
      </rPr>
      <t xml:space="preserve">. Als laatste zie je een tabblad voor de (eerste) </t>
    </r>
    <r>
      <rPr>
        <b/>
        <sz val="12"/>
        <color rgb="FF62929E"/>
        <rFont val="Calibri"/>
        <family val="2"/>
        <scheme val="minor"/>
      </rPr>
      <t>locatie</t>
    </r>
    <r>
      <rPr>
        <sz val="12"/>
        <rFont val="Calibri"/>
        <family val="2"/>
        <scheme val="minor"/>
      </rPr>
      <t xml:space="preserve">. </t>
    </r>
  </si>
  <si>
    <t xml:space="preserve">Vind je het lastig in te schatten voor hoeveel locaties je tabbladen moet maken? Begin dan met 5 tot 10 grote locaties. Richt je daarbij bijvoorbeeld op de locaties met &gt; 50.000 kWh elektriciteitsverbruik of &gt;25.000 m3 aardgas. Deze locaties moeten ook volgens de informatieplicht in kaart gebracht worden. </t>
  </si>
  <si>
    <t xml:space="preserve">Heb je locaties met meerdere grote panden (van verschillende bouwjaren)? Maak aparte tabbladen voor de gebouwen. Heb je juist zeer veel (kleine) panden of woningen? Dan kun je clusters maken op basis van bouwjaar en/of regio. </t>
  </si>
  <si>
    <t>Je bent nu klaar om de tool te vullen met locatiespecifieke informatie</t>
  </si>
  <si>
    <r>
      <rPr>
        <b/>
        <sz val="14"/>
        <color rgb="FF62929E"/>
        <rFont val="Calibri"/>
        <family val="2"/>
        <scheme val="minor"/>
      </rPr>
      <t>Stap 4: Vul basisgegevens locatie in</t>
    </r>
    <r>
      <rPr>
        <b/>
        <sz val="12"/>
        <color theme="8" tint="-0.249977111117893"/>
        <rFont val="Calibri"/>
        <family val="2"/>
        <scheme val="minor"/>
      </rPr>
      <t xml:space="preserve">
</t>
    </r>
    <r>
      <rPr>
        <sz val="12"/>
        <rFont val="Calibri"/>
        <family val="2"/>
        <scheme val="minor"/>
      </rPr>
      <t>Ga naar het tabblad van de eerste locatie en lees de invuluitleg goed door. Vul eerst de basisgegevens linksboven in (C4 t/m C39). Vul daarna het energieverbruik in van het afgelopen jaar (en ook de afgelopen jaren als je de tool wilt gebruiken om aan de EED plicht te voldoen). Dit doe je in het veld van U31 t/m  CJ37.</t>
    </r>
  </si>
  <si>
    <r>
      <rPr>
        <b/>
        <sz val="14"/>
        <color rgb="FF62929E"/>
        <rFont val="Calibri"/>
        <family val="2"/>
        <scheme val="minor"/>
      </rPr>
      <t>Stap 5: Beoordeel welke maatregelen relevant zijn</t>
    </r>
    <r>
      <rPr>
        <sz val="12"/>
        <rFont val="Calibri"/>
        <family val="2"/>
        <scheme val="minor"/>
      </rPr>
      <t xml:space="preserve">
Je bent nu klaar om de maatregelen te beoordelen. Maak gebruik van de knop (verberg basisgegevens) voor een overzichtelijker scherm. Volg de instructie om maatregelcategoriën en individuele maatregelen snel te beoordelen en eventueel weg te filteren. </t>
    </r>
  </si>
  <si>
    <t>De tool gebruikt standaard kengetallen voor kosten en besparingen. Je kunt dit finetunen op basis van je eigen inschatting.</t>
  </si>
  <si>
    <r>
      <rPr>
        <b/>
        <sz val="14"/>
        <color rgb="FF62929E"/>
        <rFont val="Calibri"/>
        <family val="2"/>
        <scheme val="minor"/>
      </rPr>
      <t>Stap 8: Finetune de kengetallen</t>
    </r>
    <r>
      <rPr>
        <b/>
        <sz val="12"/>
        <color theme="8" tint="-0.249977111117893"/>
        <rFont val="Calibri"/>
        <family val="2"/>
        <scheme val="minor"/>
      </rPr>
      <t xml:space="preserve">
</t>
    </r>
    <r>
      <rPr>
        <sz val="12"/>
        <rFont val="Calibri"/>
        <family val="2"/>
        <scheme val="minor"/>
      </rPr>
      <t xml:space="preserve">De tool gebruikt kengetallen voor kosten en besparingen. Als je een exacte prijs weet (bijvoorbeeld op basis van offerte), dan kun je die invullen in de brongegevens (zie het tabblad </t>
    </r>
    <r>
      <rPr>
        <b/>
        <sz val="12"/>
        <color rgb="FF62929E"/>
        <rFont val="Calibri"/>
        <family val="2"/>
        <scheme val="minor"/>
      </rPr>
      <t>Bron</t>
    </r>
    <r>
      <rPr>
        <sz val="12"/>
        <rFont val="Calibri"/>
        <family val="2"/>
        <scheme val="minor"/>
      </rPr>
      <t>). Als je de brongegevens wijzigt, wordt dit op iedere locatie doorgevoerd. Wil je dit niet? Wijzig dan de investeringskosten en/of de energiebesparing bij de betreffende locatie.</t>
    </r>
  </si>
  <si>
    <r>
      <t>1.</t>
    </r>
    <r>
      <rPr>
        <sz val="12"/>
        <color rgb="FF393D3F"/>
        <rFont val="Calibri"/>
        <family val="2"/>
        <scheme val="minor"/>
      </rPr>
      <t xml:space="preserve"> Zorg ervoor dat de namen uit kolom D op het tabblad </t>
    </r>
    <r>
      <rPr>
        <b/>
        <sz val="12"/>
        <color rgb="FF62929E"/>
        <rFont val="Calibri"/>
        <family val="2"/>
        <scheme val="minor"/>
      </rPr>
      <t>Cijfers</t>
    </r>
    <r>
      <rPr>
        <sz val="12"/>
        <color rgb="FF393D3F"/>
        <rFont val="Calibri"/>
        <family val="2"/>
        <scheme val="minor"/>
      </rPr>
      <t xml:space="preserve"> </t>
    </r>
    <r>
      <rPr>
        <u/>
        <sz val="12"/>
        <color rgb="FF393D3F"/>
        <rFont val="Calibri"/>
        <family val="2"/>
        <scheme val="minor"/>
      </rPr>
      <t>exact</t>
    </r>
    <r>
      <rPr>
        <sz val="12"/>
        <color rgb="FF393D3F"/>
        <rFont val="Calibri"/>
        <family val="2"/>
        <scheme val="minor"/>
      </rPr>
      <t xml:space="preserve"> overeenkomen met de locatietabbladen anders worden ze niet meegenomen in het dashboard.
</t>
    </r>
    <r>
      <rPr>
        <b/>
        <sz val="12"/>
        <color rgb="FF393D3F"/>
        <rFont val="Calibri"/>
        <family val="2"/>
        <scheme val="minor"/>
      </rPr>
      <t>2.</t>
    </r>
    <r>
      <rPr>
        <sz val="12"/>
        <color rgb="FF393D3F"/>
        <rFont val="Calibri"/>
        <family val="2"/>
        <scheme val="minor"/>
      </rPr>
      <t xml:space="preserve">  Je kunt op ieder moment locaties toevoegen via het tabblad Cijfers en op ieder moment locaties verwijderen: permanent door de tabbladen te deleten, tijdelijk door de naam uit kolom D van de 'Cijfers' te halen. Verwijder geen andere tabbladen (niet-locaties). Wil je ze toch uit beeld, verberg ze dan. 
</t>
    </r>
    <r>
      <rPr>
        <b/>
        <sz val="12"/>
        <color rgb="FF393D3F"/>
        <rFont val="Calibri"/>
        <family val="2"/>
        <scheme val="minor"/>
      </rPr>
      <t>3.</t>
    </r>
    <r>
      <rPr>
        <sz val="12"/>
        <color rgb="FF393D3F"/>
        <rFont val="Calibri"/>
        <family val="2"/>
        <scheme val="minor"/>
      </rPr>
      <t xml:space="preserve"> Vragen of feedback? Check de FAQ pagina. Kom je er niet uit? Stuur een mailtje naar MPZ met je Excel in de bijlage.</t>
    </r>
  </si>
  <si>
    <t xml:space="preserve">Vul in kolom D de locaties in die je in de tool wilt opnemen. Houd namen kort en krachtig, gebruik alleen letters a-z (geen bijzondere leestekens als: accenten, interpunctie, streepjes of spaties). Je kunt D5 ook overschrijven om de eerste locatie een andere naam te geven. Klik daarna op 'Maak locaties aan'. Voor iedere locatie in kolom D zal een tabblad gemaakt worden. Je kunt altijd later meer locaties toevoegen. </t>
  </si>
  <si>
    <t>Extra voor informatieplicht:</t>
  </si>
  <si>
    <r>
      <t xml:space="preserve">Isoleer </t>
    </r>
    <r>
      <rPr>
        <b/>
        <sz val="14"/>
        <color rgb="FF393D3F"/>
        <rFont val="Calibri"/>
        <family val="2"/>
        <scheme val="minor"/>
      </rPr>
      <t xml:space="preserve">ongeisoleerde </t>
    </r>
    <r>
      <rPr>
        <sz val="14"/>
        <color rgb="FF393D3F"/>
        <rFont val="Calibri"/>
        <family val="2"/>
        <scheme val="minor"/>
      </rPr>
      <t>platte daken (bovenop de dakbedekking).</t>
    </r>
  </si>
  <si>
    <r>
      <t xml:space="preserve">Isoleer </t>
    </r>
    <r>
      <rPr>
        <b/>
        <sz val="14"/>
        <color rgb="FF393D3F"/>
        <rFont val="Calibri"/>
        <family val="2"/>
        <scheme val="minor"/>
      </rPr>
      <t>ongeisoleerde</t>
    </r>
    <r>
      <rPr>
        <sz val="14"/>
        <color rgb="FF393D3F"/>
        <rFont val="Calibri"/>
        <family val="2"/>
        <scheme val="minor"/>
      </rPr>
      <t xml:space="preserve"> platte daken (bovenop de dakbedekking).</t>
    </r>
  </si>
  <si>
    <r>
      <t xml:space="preserve">Isoleer </t>
    </r>
    <r>
      <rPr>
        <b/>
        <sz val="14"/>
        <color rgb="FF393D3F"/>
        <rFont val="Calibri"/>
        <family val="2"/>
        <scheme val="minor"/>
      </rPr>
      <t xml:space="preserve">ongeisoleerde </t>
    </r>
    <r>
      <rPr>
        <sz val="14"/>
        <color rgb="FF393D3F"/>
        <rFont val="Calibri"/>
        <family val="2"/>
        <scheme val="minor"/>
      </rPr>
      <t>platte daken (onder de dakbedekking).</t>
    </r>
  </si>
  <si>
    <r>
      <t xml:space="preserve">Isoleer </t>
    </r>
    <r>
      <rPr>
        <b/>
        <sz val="14"/>
        <color rgb="FF393D3F"/>
        <rFont val="Calibri"/>
        <family val="2"/>
        <scheme val="minor"/>
      </rPr>
      <t xml:space="preserve">ongesïoleerde </t>
    </r>
    <r>
      <rPr>
        <sz val="14"/>
        <color rgb="FF393D3F"/>
        <rFont val="Calibri"/>
        <family val="2"/>
        <scheme val="minor"/>
      </rPr>
      <t>platte daken (onder de dakbedekking).</t>
    </r>
  </si>
  <si>
    <t xml:space="preserve">Als je later locatienamen aanpast, doe dit dan zowel in kolom D op het tabblad Cijfers als in onderaan bij de tabbladnaam! Dis is essentieel omdat de locatie anders niet wordt meegenomen in de berekeningen. Helemaal bovenin het locatietabblad ontstaat een rode waarschuwing als de locatienaam niet overeenkomt met één van de namen in kolom D. </t>
  </si>
  <si>
    <r>
      <t>Copyright © 2023. De CO</t>
    </r>
    <r>
      <rPr>
        <vertAlign val="subscript"/>
        <sz val="8"/>
        <color rgb="FF393D3F"/>
        <rFont val="Calibri"/>
        <family val="2"/>
        <scheme val="minor"/>
      </rPr>
      <t>2</t>
    </r>
    <r>
      <rPr>
        <sz val="8"/>
        <color rgb="FF393D3F"/>
        <rFont val="Calibri"/>
        <family val="2"/>
        <scheme val="minor"/>
      </rPr>
      <t>-reductietool is gemaakt in opdracht van het Expertisecentrum Verduurzaming Zorg (EVZ) en eigendom van Vereniging Milieuplatform Zorgsector (MPZ) en Stichting Stimular.</t>
    </r>
  </si>
  <si>
    <r>
      <rPr>
        <b/>
        <sz val="14"/>
        <color rgb="FF62929E"/>
        <rFont val="Calibri"/>
        <family val="2"/>
        <scheme val="minor"/>
      </rPr>
      <t>Stap 1: Sla het Excelbestand op en sta het gebruik van macro's toe</t>
    </r>
    <r>
      <rPr>
        <sz val="12"/>
        <rFont val="Calibri"/>
        <family val="2"/>
        <scheme val="minor"/>
      </rPr>
      <t xml:space="preserve">
Sla om te beginnen het Excelbestand </t>
    </r>
    <r>
      <rPr>
        <i/>
        <sz val="12"/>
        <rFont val="Calibri"/>
        <family val="2"/>
        <scheme val="minor"/>
      </rPr>
      <t>met macro's</t>
    </r>
    <r>
      <rPr>
        <sz val="12"/>
        <rFont val="Calibri"/>
        <family val="2"/>
        <scheme val="minor"/>
      </rPr>
      <t xml:space="preserve"> (.xlsm) en onder een eigen naam op. Klik na het openen altijd op inhoud inschakelen als daarom gevraagd wordt. Let op dat je dit bestand altijd opslaat als bestand </t>
    </r>
    <r>
      <rPr>
        <i/>
        <sz val="12"/>
        <rFont val="Calibri"/>
        <family val="2"/>
        <scheme val="minor"/>
      </rPr>
      <t xml:space="preserve">met macro's </t>
    </r>
    <r>
      <rPr>
        <sz val="12"/>
        <rFont val="Calibri"/>
        <family val="2"/>
        <scheme val="minor"/>
      </rPr>
      <t xml:space="preserve">anders verlies je essentiële functies in de tool. </t>
    </r>
  </si>
  <si>
    <t xml:space="preserve">Als je geen melding meer ziet om macro's in te schakelen (normaliter komt deze melding in een gele balk bovenin het scherm), ga dan naar het Excelicoontje op de taakbalk onderin je scherm. Klik met je rechtermuisknop op Excel (en eventueel nogmaals rechtermuisklik op 'Excel' als je meerdere bestanden open hebt staan en klik op 'eigenschappen'. Daar kun je macro blokkade opheffen. </t>
  </si>
  <si>
    <t>Voordat je begint, 3 laatste tips:</t>
  </si>
  <si>
    <t>Maak bij voorkeur gebruik van een Windows-computer. Sommige functies van de tool (zoals de import) werken niet op een macbook. We raden ook ten zeerste aan gebruik te maken van een groot scherm (geen laptopscherm), i.v.m. de overzichtelijkheid.</t>
  </si>
  <si>
    <t xml:space="preserve">Totaal energieverbruik: </t>
  </si>
  <si>
    <t xml:space="preserve">Energieinkoop: </t>
  </si>
  <si>
    <r>
      <t>Heb je veel te maken met verhuurders? Je kunt meerdere CO</t>
    </r>
    <r>
      <rPr>
        <vertAlign val="subscript"/>
        <sz val="12"/>
        <rFont val="Calibri"/>
        <family val="2"/>
        <scheme val="minor"/>
      </rPr>
      <t>2</t>
    </r>
    <r>
      <rPr>
        <sz val="12"/>
        <rFont val="Calibri"/>
        <family val="2"/>
        <scheme val="minor"/>
      </rPr>
      <t>-reductietool Excelbestanden naast elkaar gebruiken en samenvatten in een overkoepelend 'Main Dashboard'. Zie de website van EVZ voor dit bestand. Je kunt je verhuurder vragen een eigen CO</t>
    </r>
    <r>
      <rPr>
        <vertAlign val="subscript"/>
        <sz val="12"/>
        <rFont val="Calibri"/>
        <family val="2"/>
        <scheme val="minor"/>
      </rPr>
      <t>2</t>
    </r>
    <r>
      <rPr>
        <sz val="12"/>
        <rFont val="Calibri"/>
        <family val="2"/>
        <scheme val="minor"/>
      </rPr>
      <t xml:space="preserve">-reductietool in te vullen voor het gehuurde vastgoed. </t>
    </r>
  </si>
  <si>
    <r>
      <t>CO</t>
    </r>
    <r>
      <rPr>
        <b/>
        <vertAlign val="subscript"/>
        <sz val="16"/>
        <color rgb="FFFDFDFF"/>
        <rFont val="Calibri"/>
        <family val="2"/>
        <scheme val="minor"/>
      </rPr>
      <t>2</t>
    </r>
    <r>
      <rPr>
        <b/>
        <sz val="16"/>
        <color rgb="FFFDFDFF"/>
        <rFont val="Calibri"/>
        <family val="2"/>
        <scheme val="minor"/>
      </rPr>
      <t>-emissie bouwmaterialen in 2023:</t>
    </r>
  </si>
  <si>
    <r>
      <t>Vanaf welk jaar CO</t>
    </r>
    <r>
      <rPr>
        <b/>
        <vertAlign val="subscript"/>
        <sz val="16"/>
        <color rgb="FFFDFDFF"/>
        <rFont val="Calibri"/>
        <family val="2"/>
        <scheme val="minor"/>
      </rPr>
      <t>2</t>
    </r>
    <r>
      <rPr>
        <b/>
        <sz val="16"/>
        <color rgb="FFFDFDFF"/>
        <rFont val="Calibri"/>
        <family val="2"/>
        <scheme val="minor"/>
      </rPr>
      <t>-neutrale bouw?</t>
    </r>
  </si>
  <si>
    <r>
      <t>In versie 2 van de CO</t>
    </r>
    <r>
      <rPr>
        <vertAlign val="subscript"/>
        <sz val="16"/>
        <color theme="0"/>
        <rFont val="Calibri"/>
        <family val="2"/>
        <scheme val="minor"/>
      </rPr>
      <t>2</t>
    </r>
    <r>
      <rPr>
        <sz val="16"/>
        <color theme="0"/>
        <rFont val="Calibri"/>
        <family val="2"/>
        <scheme val="minor"/>
      </rPr>
      <t>-reductietool telt in de CO</t>
    </r>
    <r>
      <rPr>
        <vertAlign val="subscript"/>
        <sz val="16"/>
        <color theme="0"/>
        <rFont val="Calibri"/>
        <family val="2"/>
        <scheme val="minor"/>
      </rPr>
      <t>2</t>
    </r>
    <r>
      <rPr>
        <sz val="16"/>
        <color theme="0"/>
        <rFont val="Calibri"/>
        <family val="2"/>
        <scheme val="minor"/>
      </rPr>
      <t>-emissie van nieuwbouw ook de CO</t>
    </r>
    <r>
      <rPr>
        <vertAlign val="subscript"/>
        <sz val="16"/>
        <color theme="0"/>
        <rFont val="Calibri"/>
        <family val="2"/>
        <scheme val="minor"/>
      </rPr>
      <t>2</t>
    </r>
    <r>
      <rPr>
        <sz val="16"/>
        <color theme="0"/>
        <rFont val="Calibri"/>
        <family val="2"/>
        <scheme val="minor"/>
      </rPr>
      <t>-emissie van de bouw van het gebouw mee. Deze CO</t>
    </r>
    <r>
      <rPr>
        <vertAlign val="subscript"/>
        <sz val="16"/>
        <color theme="0"/>
        <rFont val="Calibri"/>
        <family val="2"/>
        <scheme val="minor"/>
      </rPr>
      <t>2</t>
    </r>
    <r>
      <rPr>
        <sz val="16"/>
        <color theme="0"/>
        <rFont val="Calibri"/>
        <family val="2"/>
        <scheme val="minor"/>
      </rPr>
      <t>-emissie wordt verdeeld over het bouwjaar en de twee jaren die eraan vooraf gaan.</t>
    </r>
  </si>
  <si>
    <r>
      <t>Vul hieronder de nieuwbouwprojecten in. Dit doe je door in het jaar van uitvoer het aantal m2 van het GO (gebruiksoppervlakte) in te vullen. De tool berekent volgens de uitgangspunten het verwachte verbruik en de CO</t>
    </r>
    <r>
      <rPr>
        <vertAlign val="subscript"/>
        <sz val="14"/>
        <color theme="0"/>
        <rFont val="Calibri"/>
        <family val="2"/>
        <scheme val="minor"/>
      </rPr>
      <t>2</t>
    </r>
    <r>
      <rPr>
        <sz val="14"/>
        <color theme="0"/>
        <rFont val="Calibri"/>
        <family val="2"/>
        <scheme val="minor"/>
      </rPr>
      <t>-uitstoot.</t>
    </r>
  </si>
  <si>
    <r>
      <t>De Nederlandse overheid heeft als doel gesteld om 55% CO</t>
    </r>
    <r>
      <rPr>
        <vertAlign val="subscript"/>
        <sz val="12"/>
        <color rgb="FF393D3F"/>
        <rFont val="Calibri"/>
        <family val="2"/>
        <scheme val="minor"/>
      </rPr>
      <t>2</t>
    </r>
    <r>
      <rPr>
        <sz val="12"/>
        <color rgb="FF393D3F"/>
        <rFont val="Calibri"/>
        <family val="2"/>
        <scheme val="minor"/>
      </rPr>
      <t xml:space="preserve"> reductie te behalen in 2030 en 100% reductie in 2050 t.o.v. 1990. Ook de zorg moet daaraan bijdragen. Naast het op korte termijn voldoen aan alle wettelijk erkende maatregelen energiebesparing vraagt dit om een aanpak in de zorg om alle maatregelen te nemen die zich tijdens de gebruiksduur terugverdienen en om energiezuinige nieuwbouw.
</t>
    </r>
  </si>
  <si>
    <r>
      <t>De CO</t>
    </r>
    <r>
      <rPr>
        <vertAlign val="subscript"/>
        <sz val="12"/>
        <color rgb="FF393D3F"/>
        <rFont val="Calibri"/>
        <family val="2"/>
        <scheme val="minor"/>
      </rPr>
      <t>2</t>
    </r>
    <r>
      <rPr>
        <sz val="12"/>
        <color rgb="FF393D3F"/>
        <rFont val="Calibri"/>
        <family val="2"/>
        <scheme val="minor"/>
      </rPr>
      <t xml:space="preserve">-reductietool is geen vervanging voor je MJOP. De inzichten uit deze tool kunnen wel ondersteunen bij het ivullen van het MJOP. Je kunt de tool daarnaast gebruiken voor de EED (Energy Efficiency Directive) en de Informatieplicht. </t>
    </r>
  </si>
  <si>
    <r>
      <rPr>
        <b/>
        <sz val="14"/>
        <color rgb="FF62929E"/>
        <rFont val="Calibri"/>
        <family val="2"/>
        <scheme val="minor"/>
      </rPr>
      <t>Stap 7: Nieuwbouw</t>
    </r>
    <r>
      <rPr>
        <b/>
        <sz val="12"/>
        <color rgb="FF62929E"/>
        <rFont val="Calibri"/>
        <family val="2"/>
        <scheme val="minor"/>
      </rPr>
      <t xml:space="preserve"> </t>
    </r>
    <r>
      <rPr>
        <sz val="12"/>
        <rFont val="Calibri"/>
        <family val="2"/>
        <scheme val="minor"/>
      </rPr>
      <t xml:space="preserve">
Vol tot slot het tabblad </t>
    </r>
    <r>
      <rPr>
        <b/>
        <sz val="12"/>
        <color rgb="FF62929E"/>
        <rFont val="Calibri"/>
        <family val="2"/>
        <scheme val="minor"/>
      </rPr>
      <t xml:space="preserve">nieuwbouw </t>
    </r>
    <r>
      <rPr>
        <sz val="12"/>
        <rFont val="Calibri"/>
        <family val="2"/>
        <scheme val="minor"/>
      </rPr>
      <t xml:space="preserve">in. Lees de invuluitleg op het tabblad. Je hoeft hier alleen de m2 van het gebruiksoppervlakte in te vullen in de nieuwbouwplanner. Nieuw in versie 2.0 is dat ook de co-emissie van de bouw van het gebouw in beeld gebracht is. </t>
    </r>
  </si>
  <si>
    <r>
      <t>Uit de zorg- vastgoedstrategie van de organisatie volgt welk vastgoed nog lang in beheer blijft. Voor dit vastgoed heeft MPZ de CO</t>
    </r>
    <r>
      <rPr>
        <vertAlign val="subscript"/>
        <sz val="12"/>
        <color rgb="FF393D3F"/>
        <rFont val="Calibri"/>
        <family val="2"/>
        <scheme val="minor"/>
      </rPr>
      <t>2</t>
    </r>
    <r>
      <rPr>
        <sz val="12"/>
        <color rgb="FF393D3F"/>
        <rFont val="Calibri"/>
        <family val="2"/>
        <scheme val="minor"/>
      </rPr>
      <t>-reductietool laten ontwikkelen. Deze tool geeft inzicht in de kosten en besparingen van maatregelen en het inzicht in de CO</t>
    </r>
    <r>
      <rPr>
        <vertAlign val="subscript"/>
        <sz val="12"/>
        <color rgb="FF393D3F"/>
        <rFont val="Calibri"/>
        <family val="2"/>
        <scheme val="minor"/>
      </rPr>
      <t>2</t>
    </r>
    <r>
      <rPr>
        <sz val="12"/>
        <color rgb="FF393D3F"/>
        <rFont val="Calibri"/>
        <family val="2"/>
        <scheme val="minor"/>
      </rPr>
      <t xml:space="preserve">-footprint van jouw zorgorganisatie. Hiermee krijg je op een eenvoudige manier inzicht in de mogelijkheden voor verduurzaming en kun je zelf de juiste maatregelen samenstellen en inplannen in het Meerjaren onderhoudsplan (MJOP). </t>
    </r>
  </si>
  <si>
    <r>
      <rPr>
        <b/>
        <sz val="14"/>
        <color rgb="FF62929E"/>
        <rFont val="Calibri"/>
        <family val="2"/>
        <scheme val="minor"/>
      </rPr>
      <t xml:space="preserve">Stap 2a (voor nieuwe gebruikers): Inventariseer locaties </t>
    </r>
    <r>
      <rPr>
        <b/>
        <sz val="12"/>
        <color theme="8" tint="-0.249977111117893"/>
        <rFont val="Calibri"/>
        <family val="2"/>
        <scheme val="minor"/>
      </rPr>
      <t xml:space="preserve">
</t>
    </r>
    <r>
      <rPr>
        <sz val="12"/>
        <rFont val="Calibri"/>
        <family val="2"/>
        <scheme val="minor"/>
      </rPr>
      <t xml:space="preserve">De tweede stap is het invullen van het aantal benodigde locaties en het klaarzetten van de locatie tabbladen. Je vult eerst in het tabblad </t>
    </r>
    <r>
      <rPr>
        <b/>
        <sz val="12"/>
        <color rgb="FF62929E"/>
        <rFont val="Calibri"/>
        <family val="2"/>
        <scheme val="minor"/>
      </rPr>
      <t>Cijfers</t>
    </r>
    <r>
      <rPr>
        <sz val="12"/>
        <rFont val="Calibri"/>
        <family val="2"/>
        <scheme val="minor"/>
      </rPr>
      <t xml:space="preserve"> de namen van de locaties in (kolom D). Houd de namen kort. Klik daarna op de knop 'Maak locatietabbladen' aan. </t>
    </r>
  </si>
  <si>
    <r>
      <rPr>
        <b/>
        <sz val="14"/>
        <color rgb="FF62929E"/>
        <rFont val="Calibri"/>
        <family val="2"/>
        <scheme val="minor"/>
      </rPr>
      <t>Stap 2b (voor bestaande gebruikers): Importeer locaties en data</t>
    </r>
    <r>
      <rPr>
        <b/>
        <sz val="12"/>
        <color theme="8" tint="-0.249977111117893"/>
        <rFont val="Calibri"/>
        <family val="2"/>
        <scheme val="minor"/>
      </rPr>
      <t xml:space="preserve">
</t>
    </r>
    <r>
      <rPr>
        <sz val="12"/>
        <rFont val="Calibri"/>
        <family val="2"/>
        <scheme val="minor"/>
      </rPr>
      <t xml:space="preserve">Bestaande gebruikers kunnen hun data van versie 1.3 of versie 1.3.1. van de tool zelf importeren. Zie de uitleg op het tabblad </t>
    </r>
    <r>
      <rPr>
        <b/>
        <sz val="12"/>
        <color rgb="FF62929E"/>
        <rFont val="Calibri"/>
        <family val="2"/>
        <scheme val="minor"/>
      </rPr>
      <t>Cijfers</t>
    </r>
    <r>
      <rPr>
        <sz val="12"/>
        <rFont val="Calibri"/>
        <family val="2"/>
        <scheme val="minor"/>
      </rPr>
      <t>. Let op, het importeren kan enkele minuten in beslag nemen, waarbij de computer (in ieder geval Excel) niet gebruikt kan worden.</t>
    </r>
  </si>
  <si>
    <r>
      <rPr>
        <b/>
        <sz val="14"/>
        <color rgb="FF62929E"/>
        <rFont val="Calibri"/>
        <family val="2"/>
        <scheme val="minor"/>
      </rPr>
      <t>Stap 3: Vul energieprijzen in</t>
    </r>
    <r>
      <rPr>
        <b/>
        <sz val="12"/>
        <color theme="8" tint="-0.249977111117893"/>
        <rFont val="Calibri"/>
        <family val="2"/>
        <scheme val="minor"/>
      </rPr>
      <t xml:space="preserve">
</t>
    </r>
    <r>
      <rPr>
        <sz val="12"/>
        <rFont val="Calibri"/>
        <family val="2"/>
        <scheme val="minor"/>
      </rPr>
      <t xml:space="preserve">Vervolgens vul je in het tabblad </t>
    </r>
    <r>
      <rPr>
        <b/>
        <sz val="12"/>
        <color rgb="FF62929E"/>
        <rFont val="Calibri"/>
        <family val="2"/>
        <scheme val="minor"/>
      </rPr>
      <t>Dashboard</t>
    </r>
    <r>
      <rPr>
        <b/>
        <sz val="12"/>
        <rFont val="Calibri"/>
        <family val="2"/>
        <scheme val="minor"/>
      </rPr>
      <t xml:space="preserve"> </t>
    </r>
    <r>
      <rPr>
        <sz val="12"/>
        <rFont val="Calibri"/>
        <family val="2"/>
        <scheme val="minor"/>
      </rPr>
      <t xml:space="preserve">de prijs in die je per kWh, per m3 aardgas en (als relevant) per Gj warmte betaalt. Ga uit van prijzen inclusief belasting, opslag en BTW. Hierna ben je klaar om locaties in te vullen. </t>
    </r>
  </si>
  <si>
    <r>
      <rPr>
        <b/>
        <sz val="14"/>
        <color rgb="FF62929E"/>
        <rFont val="Calibri"/>
        <family val="2"/>
        <scheme val="minor"/>
      </rPr>
      <t>Stap 6: Plan de relevante maatregelen in</t>
    </r>
    <r>
      <rPr>
        <sz val="12"/>
        <rFont val="Calibri"/>
        <family val="2"/>
        <scheme val="minor"/>
      </rPr>
      <t xml:space="preserve">
Nadat je de maatregelen die niet van toepassing zijn weggefilterd hebt, kun je de resterende maatregelen beoordelen en inplannen. Er zijn wettelijk erkende maatregelen en niet-wettelijk erkende maatregelen, er zijn maatregelen voor een zelfstandig moment (=direct uitvoerbaar) en maatregelen die je het best uit kunt voeren bij vervanging of renovatie.  Volg de invuluitleg en plan de maatregelen in. </t>
    </r>
  </si>
  <si>
    <t>Je kunt iedere maatregel toewijzen aan i (= ons, de zorgorganisatie), v (= de verhuuder), h (= de huurder) of op x (= niet van toepassing) te zetten. Je doet dit in kolom H.</t>
  </si>
  <si>
    <r>
      <t>Heb je al in een eerdere versie van de CO</t>
    </r>
    <r>
      <rPr>
        <vertAlign val="subscript"/>
        <sz val="14"/>
        <color rgb="FFFDFDFF"/>
        <rFont val="Calibri"/>
        <family val="2"/>
        <scheme val="minor"/>
      </rPr>
      <t>2</t>
    </r>
    <r>
      <rPr>
        <sz val="14"/>
        <color rgb="FFFDFDFF"/>
        <rFont val="Calibri"/>
        <family val="2"/>
        <scheme val="minor"/>
      </rPr>
      <t>-reductietool gewerkt? Maak dan gebruik van de importfunctie vanuit versie 1.3 of 1.3.1. Dat doe je eenvoudig door onderstaande twee stappen uit te voeren. Gebruik je nog versie 1.2 of ouder? Neem dan contact op met MPZ of Stimular.
Foutmelding? Kijk dan bij de troubleshoot op: www.expertisecentrumverduurzamingzorg.nl/veelgestelde-vragen/import-versie2/</t>
    </r>
  </si>
  <si>
    <t>Besparing per jaar</t>
  </si>
  <si>
    <r>
      <t xml:space="preserve">Volledige investering 
</t>
    </r>
    <r>
      <rPr>
        <sz val="16"/>
        <color rgb="FFFDFDFF"/>
        <rFont val="Calibri"/>
        <family val="2"/>
        <scheme val="minor"/>
      </rPr>
      <t>(direct uitvoeren)</t>
    </r>
  </si>
  <si>
    <r>
      <t xml:space="preserve">Alleen meerkosten
</t>
    </r>
    <r>
      <rPr>
        <sz val="16"/>
        <color rgb="FFFDFDFF"/>
        <rFont val="Calibri"/>
        <family val="2"/>
        <scheme val="minor"/>
      </rPr>
      <t>(natuurlijk moment)</t>
    </r>
  </si>
  <si>
    <t>Reductie CO2 footprint t.o.v. 2018 (%)</t>
  </si>
  <si>
    <t>Reductie warmte (GJ)</t>
  </si>
  <si>
    <t>Warmte inkoop (GJ/jaar)</t>
  </si>
  <si>
    <t>Warmte inkoop per m2 GO (GG/m2 jaar)</t>
  </si>
  <si>
    <t>Duurzame inkoop warmte per m2 GO (GJ/m2 jaar)</t>
  </si>
  <si>
    <t>Duurzame inkoop warmte (GJ/jaar)</t>
  </si>
  <si>
    <t>Warmte inkoop per m2 (GJ/m2)</t>
  </si>
  <si>
    <t>Duurzame warmte inkoop (GJ)</t>
  </si>
  <si>
    <t>Duurzame warmte inkoop per m2 (GJ/m2)</t>
  </si>
  <si>
    <t>[ruimte voor eigen opmerkingen]</t>
  </si>
  <si>
    <t>[Achternaam, voorletters]</t>
  </si>
  <si>
    <r>
      <t xml:space="preserve">In bovenstaande toelichtingen zijn voetnoten gebruikt. Dit om de tekst die bij de voetnoten hoort niet steeds te hoeven herhalen en de toelichting kort te houden.
</t>
    </r>
    <r>
      <rPr>
        <b/>
        <sz val="20"/>
        <color rgb="FFFDFDFF"/>
        <rFont val="Calibri"/>
        <family val="2"/>
        <scheme val="minor"/>
      </rPr>
      <t xml:space="preserve">
</t>
    </r>
    <r>
      <rPr>
        <b/>
        <sz val="20"/>
        <color rgb="FFF4E285"/>
        <rFont val="Calibri"/>
        <family val="2"/>
        <scheme val="minor"/>
      </rPr>
      <t xml:space="preserve">Voetnoot [1] </t>
    </r>
    <r>
      <rPr>
        <sz val="20"/>
        <color rgb="FFFDFDFF"/>
        <rFont val="Calibri"/>
        <family val="2"/>
        <scheme val="minor"/>
      </rPr>
      <t>en</t>
    </r>
    <r>
      <rPr>
        <sz val="20"/>
        <color rgb="FFF4E285"/>
        <rFont val="Calibri"/>
        <family val="2"/>
        <scheme val="minor"/>
      </rPr>
      <t xml:space="preserve"> </t>
    </r>
    <r>
      <rPr>
        <b/>
        <sz val="20"/>
        <color rgb="FFF4E285"/>
        <rFont val="Calibri"/>
        <family val="2"/>
        <scheme val="minor"/>
      </rPr>
      <t>[2]</t>
    </r>
    <r>
      <rPr>
        <sz val="20"/>
        <color rgb="FFFDFDFF"/>
        <rFont val="Calibri"/>
        <family val="2"/>
        <scheme val="minor"/>
      </rPr>
      <t xml:space="preserve"> verwijzen naar een uitleg van een specifiek stukje uit de berekening. Dit geeft je meer inzicht in de kengetallen.
</t>
    </r>
    <r>
      <rPr>
        <b/>
        <sz val="20"/>
        <color rgb="FFF4E285"/>
        <rFont val="Calibri"/>
        <family val="2"/>
        <scheme val="minor"/>
      </rPr>
      <t>Voetnoot [3]</t>
    </r>
    <r>
      <rPr>
        <sz val="20"/>
        <color rgb="FFFDFDFF"/>
        <rFont val="Calibri"/>
        <family val="2"/>
        <scheme val="minor"/>
      </rPr>
      <t xml:space="preserve"> verwijst naar een uitleg hoe je investeringskosten en besparingen aanpast op een locatietabblad. Dit kan wenselijk zijn om de kosten en besparingen beter op de specifieke locatie te laten aansluiten.
Hieronder lees je de uitleg op de voetnoten. Maar eerst lichten we toe wat vormfactoren zijn. Dit is nodig om de uitleg van voetnoot [1] en [2] te begrijpen. Bij die toelichting lees je ook hoe je voor een locatie de kengetallen kunt aanpassen. Je vindt hieronder ook rekenvoorbeelden.
</t>
    </r>
    <r>
      <rPr>
        <b/>
        <sz val="26"/>
        <color rgb="FFF4E285"/>
        <rFont val="Calibri"/>
        <family val="2"/>
        <scheme val="minor"/>
      </rPr>
      <t>Wat zijn vormfactoren?</t>
    </r>
    <r>
      <rPr>
        <sz val="20"/>
        <color rgb="FFFDFDFF"/>
        <rFont val="Calibri"/>
        <family val="2"/>
        <scheme val="minor"/>
      </rPr>
      <t xml:space="preserve">
Vormfactoren zijn gemiddelde verhoudingen van gebouwen. Wij onderscheiden gebouwfactoren, verbruiksfactoren en procesfactoren. Met vormfactoren zijn alle kosten om te zetten naar kosten per m2 GO (gebruiksoppervlak), waarmee in de CO2-reductietool gerekend wordt. De vormfactoren van deze kengetallen update zijn afkomstig van Arcadis (gebouwfactoren) en Stichting Stimular (verbruiks- en procesfactoren). Alle vormfactoren zijn specifiek voor kleine en middelgrote care-instellingen. In de CO2-tool zijn deze vormfactoren gebruikt:</t>
    </r>
  </si>
  <si>
    <t>In de toelichting bij elke maatregel (kolom R, tabblad Bron) zijn de kosten zo specifiek mogelijk benoemd. Bijvoorbeeld gevelisolatie per m2 muur of een vaatwasser per stuk. Veelal is een vormfactor gebruikt om te komen tot kosten per m2 gebruiksoppervlak (GO). Hieronder staan twee rekenvoorbeelden.</t>
  </si>
  <si>
    <t>Voorbeeld: Maatregel: Isoleer de buitenzijde van de gevelmuren</t>
  </si>
  <si>
    <t>Toelichting bij deze maatregel zoals deze in de CO2-tool staat. De kosten zijn € 283 per m2 gesloten gevel.</t>
  </si>
  <si>
    <t>In kleine gebouwen is er 0,43 m2 gesloten gevel t.o.v. 1 m2 GO. Per m2 GO zijn de kosten dus € 283 x 0,43 = € 121. Dit bedrag vind je in cel H113 van tabblad Bron.</t>
  </si>
  <si>
    <t>Voorbeeld: Maatregel: Schaf A++ of betere vaatwasmachines aan</t>
  </si>
  <si>
    <t xml:space="preserve">Toelichting bij deze maatregel zoals deze in de CO2-tool staat. </t>
  </si>
  <si>
    <t xml:space="preserve">De meerkosten zijn € 250 per vaatwasser. Er wordt gerekend met één vaatwasser per 8 bewoners. Kleine locaties hebben 0,016 bedden (of bewoners) per m2 GO.
</t>
  </si>
  <si>
    <t>Per m2 GO zijn er dus 1/ 8 x 0,016 = 0,002 vaatwassers. De kosten per m2 GO zijn dan € 250 x 0,002 = € 0,5. Dit bedrag vind je in cel H197 van tabblad Bron.</t>
  </si>
  <si>
    <t>In de toelichting bij elke maatregel (kolom R, tabblad Bron) zijn de besparingen zo specifiek mogelijk benoemd. Bijvoorbeeld bij de vervanging van lampen staat de vermogensreductie per lamp, het aantal branduren, de elektriciteitsreductie per lamp en het aantal lampen per m2 GO.
De specifieke besparingen, zoals de elektriciteitsreductie per lamp, hebben we omgerekend naar aardgas- en elektricteitsreductiefactoren. Zie kolommen I en J voor kleine gebouwen en N en O voor middelgrote gebouwen op het tabblad Bron. Dit zijn percentages die aangeven hoeveel aardgas of elektriciteit bespaard wordt ten opzichte van het totale aardgas of elektraverbruik. Op het locatietabblad in de CO2-tool worden deze reductiefactoren gecombineerd met het locatieverbruik om de exacte besparing in kWh en/of m3 aardgas en/of warmte voor de betreffende locatie te berekenen (locatietabblad kolommen P, Q en R).
Dit voorbeeld laat zien hoe we met specifieke besparingen de gemiddelde reductiefactoren berekend hebben.</t>
  </si>
  <si>
    <t>Voorbeeld: Maatregel: Vervang IE2 motor of lager zonder frequentieregeling</t>
  </si>
  <si>
    <t>Balansventilatie verbruikt 25 tot 30 kWh per m2 GO. De besparing is 15% op energie voor ventilatie. 27,5 kWh x 0,15 = 4,125 kWh per m2 GO.</t>
  </si>
  <si>
    <t>In kleine gebouwen is het elektriciteitsverbruik 63 kWh per m2 GO. 4,125 kWh / 63 * 100% = 8%. Dit percentage vind je in cel K139 van tabblad Bron.</t>
  </si>
  <si>
    <t>Bij meerdere maatregelen worden alternatieve kosten en besparingen genoemd voor situaties die afwijken van de uitgangssituatie van de maatregel. Zoals bij maatregel FI5 voor de serverruimte: “Is er vrije koeling? Vermenigvuldig de besparing met 0,2”. Met deze tips kun je de besparingen finetunen. Over het algemeen zal dit alternatief gelden voor één of enkele gebouwen. Daarom pas je de waarden niet op het brontabblad maar op het locatietabblad van de betreffende locatie aan. Aanpassingen in de bron worden namelijk voor alle locaties doorgevoerd.</t>
  </si>
  <si>
    <t>Als sprake is van alleen mechanische afvoer zijn de kosten en besparingen lager. Als dit voor alle locaties geldt kun je dit aanpassen in het brontabblad. Zo niet, dan gelden onderstaande stappen.</t>
  </si>
  <si>
    <r>
      <rPr>
        <b/>
        <sz val="20"/>
        <color rgb="FFFDFDFF"/>
        <rFont val="Calibri"/>
        <family val="2"/>
        <scheme val="minor"/>
      </rPr>
      <t>Aanpassing van de investering van deze maatregel:</t>
    </r>
    <r>
      <rPr>
        <sz val="20"/>
        <color rgb="FFFDFDFF"/>
        <rFont val="Calibri"/>
        <family val="2"/>
        <scheme val="minor"/>
      </rPr>
      <t xml:space="preserve">
&gt;  Ga naar het tabblad van de locatie waar afvoer alleen mechanisch is.
&gt; Ga naar cel L150  en voeg *0,5 toe aan het eind van de formule, zie geel gemarkeerd in de afbeelding.</t>
    </r>
  </si>
  <si>
    <r>
      <rPr>
        <b/>
        <sz val="20"/>
        <color rgb="FFFDFDFF"/>
        <rFont val="Calibri"/>
        <family val="2"/>
        <scheme val="minor"/>
      </rPr>
      <t xml:space="preserve">Aanpassing van de bijbehorende besparing van deze maatregel:
</t>
    </r>
    <r>
      <rPr>
        <sz val="20"/>
        <color rgb="FFFDFDFF"/>
        <rFont val="Calibri"/>
        <family val="2"/>
        <scheme val="minor"/>
      </rPr>
      <t xml:space="preserve">
&gt; Blijf op het tabblad van de locatie
&gt; Ga naar cel Q150 en voeg *0,5 toe aan het eind van de formule, zie geel gemarkeerd in de afbeelding.</t>
    </r>
  </si>
  <si>
    <t>Kosten zijn € 37 per m2 gesloten gevel excl. steigerkosten (NM). Met vormfactoren zijn kosten per m2 GO berekend.[1]
De breedte van de spouw (4 of 6 cm) en met welk materiaal deze wordt gevuld beïnvloedt de nieuwe Rc-waarde (1,3) nauwelijks. Aardgasreductie is 21 m3 per m2 gesloten gevel. De aardgasreductiefactor is geschat uitgaande van een pand met een gasverbruik hoger dan gemiddeld.</t>
  </si>
  <si>
    <t>Kosten zijn € 1,2 per Wp (incl. montagesysteem, omvormers, optimizer, installatiemateriaal en installatiekosten). Uitgangspunt is panelen van 1,8 m2, 400 Wp, 50% van de zuidgevel, opbrengt 0,6 kWh/Wp. Met vormfactoren zijn kosten per m2 GO berekend.[1]
De volledige opbrengst wordt in de CO2-tool als elektriciteits- en CO2-reductie gerekend. Vaak zal een deel teruggeleverd worden aan het net. Volgens CO2-footprintmethodiek mag je aan dat deel geen CO2-reductie toerekenen.</t>
  </si>
  <si>
    <t>Kosten zijn per koel- of vriescel max. € 300, want de de terugverdientijd is 5 jaar of minder. Kleine gebouwen 1 cel, middelgrote gebouwen 2 cellen. 
Een gecombineerde koel-/vriescel met een inhoud van 22 m3 verbruikt 5.000 kWh. Besparing is 5% op het elektriciteitsverbruik van de koel-/vriescel, ofwel 250 kWh. Dit is, met gemiddeld elektraverbruik per m2 GO, omgerekend naar de elektrareductiefactor.[2]</t>
  </si>
  <si>
    <t>Kosten zijn € 60 per m2 wand. Uitgangspunt is een zeer slecht geïsoleerde (Rc = 0,5) koel-/vriescel met een inhoud van 22 m3, oppervlak wanden en dak dus 40 m2. Kleine gebouwen 1 cel, middelgrote gebouwen 2 cellen. 
Deze koel-/vriescel verbruikt minstens 5.000 kWh extra t.o.v. een geïsoleerde (verbruik 5.000 kWh). Dit is, met gemiddeld elektraverbruik per m2 GO, omgerekend naar de elektrareductiefactor.[2]</t>
  </si>
  <si>
    <t>Kosten zijn per koel- of vriescel max. € 600, want de de terugverdientijd is 5 jaar of minder. Kleine gebouwen 1 cel, middelgrote gebouwen 2 cellen. 
Een gecombineerde koel-/vriescel met een inhoud van 22 m3 verbruikt 5.000 kWh. Besparing is 10% op het elektriciteitsverbruik van de koel-/vriescel, ofwel 500 kWh. Dit is, met gemiddeld elektraverbruik per m2 GO, omgerekend naar de elektrareductiefactor.[2]</t>
  </si>
  <si>
    <t>Meerkosten zijn per koel- of vriescel max. € 600, want de de terugverdientijd is 5 jaar of minder. Kleine gebouwen 1 cel, middelgrote gebouwen 2 cellen. 
Een gecombineerde koel-/vriescel met een inhoud van 22 m3 verbruikt 5.000 kWh. Besparing is 10% op het elektriciteitsverbruik van de koel-/vriescel, ofwel 500 kWh. Dit is, met gemiddeld elektraverbruik per m2 GO, omgerekend naar de elektrareductiefactor.[2]</t>
  </si>
  <si>
    <t>Uitgangspunt is 1 professionele vaatwasser in een grootkeuken. Kosten zijn geschat op basis van een terugverdientijd van 5 jaar in middelgroot gebouw, en dus zo'n € 1.300.
Deze verbruikt in middelgroot gebouw naar schatting 2.400 kWh, waarvan naar schatting 2/3 voor verwarmen. Met een warmtepomp (COP 3) is daar maar 1/3 van de electriciteit voor nodig. Besparing is 1.000 kWh. Dit is, met gemiddeld elektraverbruik per m2 GO, omgerekend naar de elektrareductiefactor.[2] Voor een klein gebouw is vergelijkbare elektrareductiefactor aangehouden, met langere terugverdientijd tot gevolg.</t>
  </si>
  <si>
    <t>Meerkosten zijn geschat op € 1.000 voor klein gebouw met 1 afzuiginstallatie (1,2 kW, 6 m2 oppervlakte ), en voor middelgroot gebouw € 2.000 voor 3 afzuiginstallaties. Uitgangsituatie is een systeem dat 8 uur per dag op vollast aan staat en waarvan het verbruik gehalveerd kan worden met een frequentieregelaar. 
Besparing is geschat op 1.750 kWh per afzuigsysteem. Dit is, met gemiddeld elektraverbruik per m2 GO, omgerekend naar de elektrareductiefactor.[2]</t>
  </si>
  <si>
    <t>Uitgangspunt is 1 buitenlamp per 100 m2 GO. Er zijn geen meerkosten, LED is standaard voor buitenverlichting.
Besparing gaat uit van vervangen van conventionele lamp (55W) voor led (18W) en is 81 kWh per lamp wanneer deze 6 uur per nacht aan staat. Dit is, met gemiddeld elektraverbruik per m2 GO, omgerekend naar de elektrareductiefactor.[2]</t>
  </si>
  <si>
    <t>Uitgangspunt is 1 kleine serverruimte: 6 servers van 1 kW (en 1,5 kW randapparatuur), opnamefactor 40%, verbruik servers 21.000 kWh. Koeling van servers (COP 2,5) verbruikt 8.400 kWh. De virtualisatie zorgt dat 1 op de 3 servers niet meer nodig is, kloksnelheid en dus opnamefactor van resterende servers wordt iets hoger (50%).
Kosten betreffen installatiekosten voor virtualiseren.
De besparing op het verbruik van de servers is 3.500 kWh, en 1.400 kWh voor de koeling. Dit is, met gemiddeld elektraverbruik per m2 GO, omgerekend naar de elektrareductiefactor.[2] De elektrareductiefactor voor een klein pand is geschat uitgaande van een pand met een elektriciteitsverbruik hoger dan gemiddeld.</t>
  </si>
  <si>
    <t>Uitgangspunt is 1 kleine serverruimte: 6 servers van 1 kW (en 1,5 kW randapparatuur), opnamefactor 40%, verbruik 21.000 kWh. Koeling van servers (COP 2,5) verbruikt 8.400 kWh.
Kosten zijn € 100 per server voor installatie van sofware.
Na powermanagement kan de kloksnelheid 10% omlaag, ofwel een besparing van 10% op het verbruik van de servers, ofwel 2.100 kWh, en 840 kWh voor de koeling. Dit is, met gemiddeld elektraverbruik per m2 GO, omgerekend naar de elektrareductiefactor.[2] De elektrareductiefactor voor een klein pand is geschat uitgaande van een pand met een elektriciteitsverbruik hoger dan gemiddeld.</t>
  </si>
  <si>
    <t xml:space="preserve">Kosten zijn gebaseerd op een terugverdientijd van 5 jaar. 1 roltrap per gebouw.
Besparing is 4.000 kWh per roltrap (6 uur per dag vermogensverlaging van 1,8 kW door standby in plaats van volle snelheid). Dit is, met gemiddeld elektraverbruik per m2 GO, omgerekend naar de elektrareductiefactor.[2] </t>
  </si>
  <si>
    <t>Kosten zijn € 240 voor een aanwezigheidsschakeling voor verlichting. Uitgangspunt is dat per 300 m2 GO er één ruimte is waar deze regeling zinvol is (stookhok, magazijn etc.). 
Besparing is geschat op 500 kWh per schakeling (bijv. 2 TLD-lampen (58W) 10 uur per dag extra uit, of 10 led-lampen (15W) 9 uur per dag extra uit). Dit is, met gemiddeld elektraverbruik per m2 GO, omgerekend naar de elektrareductiefactor.[2]</t>
  </si>
  <si>
    <t>Uitgangspunt is vervangen van TL-D noodarmatuur (10W) met starter door een led-noodarmatuur (3,5W), 1 noodarmatuur per 75 m2 GO. Meerkosten zijn er niet, want conventionele alternatieven zijn (bijna) niet meer te koop.
Besparing is 57 kWh per armatuur. Dit is, met gemiddeld elektraverbruik per m2 GO, omgerekend naar de elektrareductiefactor.[2]</t>
  </si>
  <si>
    <t>Energielabels voor koelkasten zijn 1 maart 2021 hernoemd: A++ is nu E. De meeste koelvriescombi's hebben energielabel E of D (juli 2022).
Koelkasten worden veelal op een natuurlijk moment vervangen. Uitgangspunt is 1 koelvriescombi van 1,8 m hoog voor een gezamenlijke ruimte voor 8 bewoners. Koelvriescombi (15 jaar oud) wordt vervangen door extra energiezuinige (lC of beter). Prijzen voor koelvriescombi's lopen uiteen, waarbij er momenteel nauwelijks een verband lijkt te zijn tussen prijs en energielabel. Daarom zijn hier geen meerkosten gerekend voor een extra energiezuinige koelvriescombi.
Een koelvriescombi van 15 jaar oud gebruikt 380 kWh, een nieuwe 160 kWh of minder, de besparing is 220 kWh. Dit is, met gemiddeld elektraverbruik per m2 GO, omgerekend naar de elektrareductiefactor.[2]</t>
  </si>
  <si>
    <t>Energielabels van wasmachines zijn 1 maart 2021 hernoemd: A++ is nu C of lager. De meeste wasmachines hebben energielabel A (juli 2022). Energielabels van drogers zijn nog niet hernoemd. De meeste drogers hebben energielabel A+++ (juli 2022).
Wasmachines en drogers worden veelal op een natuurlijk moment vervangen. Uitgangspunt is 1 wasmachine en 1 droger voor 8 bewoners. Wasmachine en droger (10 jaar oud) wordt vervangen door wasmachine met energielabel A en droger met A+++. Er zijn geen meerkosten want dit zijn momenteel de meest verkochte.
Wasmachine en droger die 2 keer per dag worden gebruikt besparen respectievelijk 400 en 1.000 kWh. Dit is, met gemiddeld elektraverbruik per m2 GO, omgerekend naar de elektrareductiefactor.[2]</t>
  </si>
  <si>
    <t>Kosten zijn € 283 per m2 gesloten gevel (incl. steigerkosten). Met vormfactoren zijn kosten per m2 GO berekend.[1] De isolatiewaarde wordt verbeterd van Rc = 1,3 (gevulde spouwmuur) naar Rc = 6,0.
Aardgasreductie is 6 m3 per m2 gesloten gevel. Dit is, met gemiddeld elektraverbruik per m2 GO, omgerekend naar de elektrareductiefactor.[2]</t>
  </si>
  <si>
    <t>Kosten zijn € 53 per m2 vloer. Op het locatietabblad worden de totale kosten berekend m.b.v. het aantal verdiepingen. De isolatiewaarde wordt verbeterd van Rc = 2,5 naar Rc = 5. Gekozen is voor de duurste optie met PUR (met HFO-schuim). Kies je voor EPS-platen of thermokussens? Vermenigvuldig de kosten met 0,73. 
Aardgasreductie is 1,6 m3 per m2 vloer. Dit is, met gemiddeld elektraverbruik per m2 GO, omgerekend naar de elektrareductiefactor.[2]</t>
  </si>
  <si>
    <t>Kosten zijn € 40 materiaal en € 20 arbeid (kwartier per douchekop), 1 per bewoner. Met vormfactoren zijn kosten per m2 GO berekend.[1] 
Besparing bij eenmaal douchen per dag is minstens 12 m3 aardgas. Dit is, met gemiddeld elektraverbruik per m2 GO, omgerekend naar de elektrareductiefactor.[2]</t>
  </si>
  <si>
    <t>Kosten zijn € 600 voor douchepijp WTW, 1 per bewoner, uitgangspunt is dat badkamer al vernieuwd wordt. Met vormfactoren zijn kosten per m2 GO berekend.[1] 
Besparing bij eenmaal douchen per dag is 24 m3 aardgas. Dit is, met gemiddeld elektraverbruik per m2 GO, omgerekend naar de elektrareductiefactor.[2]</t>
  </si>
  <si>
    <t>Uitgangspunt is vervangen van 1 TL-D armatuur met 2 lampen (ieder 36W) met starter door led-armaturen (28W). Kosten zijn max. € 40 per armatuur, want de terugverdientijd is 5 jaar of minder. Kleine gebouwen 1 cel, middelgrote gebouwen 2 cellen. 
Besparing is bij 365 branduren (EM noemt geen randvoorwaarde) 32 kWh per cel (23 kWh voor de verlichting en 9 voor het wegkoelen van deze warmte (COP 2,5)). Dit is, met gemiddeld elektraverbruik per m2 GO, omgerekend naar de elektrareductiefactor.[2]
Is er géén aanwezigheids- of deurschakeling? Vermenigvuldig de besparing met 6. Pas dit aan op het locatietabblad.[3]</t>
  </si>
  <si>
    <t>Kosten zijn € 60 per koel- of vriescel. Kleine gebouwen 1 cel, middelgrote gebouwen 2 cellen. 
Besparing is 700 kWh per koelcel (500 kWh voor 2 TL-buizen (58W) die 10 uur onnodig aan stonden en 200 kWh voor het wegkoelen van deze warmte (COP 2,5)). Dit is, met gemiddeld elektraverbruik per m2 GO, omgerekend naar de elektrareductiefactor.[2]
Hangt er led? Vermenigvuldig de besparing met 0,3. Pas dit aan op het locatietabblad.[3]</t>
  </si>
  <si>
    <t>Meerkosten van led-buizen (A-merk) zijn € 10 per buis. Per koelcel worden 2 TL8-buizen (58W) die 4,5 uur per dag aanstaan vervangen door retrofit led-buizen (24W). Kleine gebouwen 1 cel, middelgrote gebouwen 2 cellen. 
Besparing is 200 kWh per cel (145 kWh voor de verlichting en 55 voor het wegkoelen van deze warmte (COP 2,5)) . Dit is, met gemiddeld elektraverbruik per m2 GO, omgerekend naar de elektrareductiefactor.[2]
Is er géén aanwezigheids- of deurschakeling? Vermenigvuldig de besparing met 6. Pas dit aan op het locatietabblad.[3]</t>
  </si>
  <si>
    <t>Uitgangspunt is een tijdklok met daglichtregeling op de buitenverlichtingsgroep met 1 buitenlamp per 100 m2 GO. Kosten zijn € 1.000. 
Besparing gaat uit van led (18W) en is 39 kWh per lamp wanneer deze 6 uur per nacht langer uit staat. Dit is, met gemiddeld elektraverbruik per m2 GO, omgerekend naar de elektrareductiefactor.[2] 
Is er nog geen led-verlichting? vermenigvuldig de besparing met minstens 3. Pas dit aan op het locatietabblad.[3]</t>
  </si>
  <si>
    <t>Kosten en besparingen gaan uit van 1 kleine serverrruimte: 7,5 kW, opnamefactor 40%, verbruik 25.000 kWh. Koeling van serverruimte (COP 2,5) verbruikt 10.000 kWh. Kosten zijn voor aanvullende directe vrije koeling (kanalen, ventilator en regeling) en hangen sterk af van de locatie van de serverrruimte t.o.v. de gevel; hier geschat op basis van dakdoorvoer.
Besparing is 80% op de koeling, ofwel 8.000 kWh, mits de temperatuur waarop de koeling aanslaat wordt verhoogd naar minimaal 25 graden. Dit is, met gemiddeld elektraverbruik per m2 GO, omgerekend naar de elektrareductiefactor.[2] De elektrareductiefactor voor een klein pand is geschat uitgaande van een pand met een elektriciteitsverbruik hoger dan gemiddeld.
Is er een energiezuinige koelmachine (COP &gt; 5)? Vermenigvuldig de besparing met 0,5. Pas dit aan op het locatietabblad.[3]</t>
  </si>
  <si>
    <t>Uitgangspunt is 1 kleine serverruimte: 7,5 kW, opnamefactor 40%, verbruik 25.000 kWh. Koeling van serverruimte (COP 2,5) verbruikt 10.000 kWh.
Meerkosten zijn geschat op basis van een terugverdientijd van 5 jaar. 
Besparing is 50% op de koeling, ofwel 5.000 kWh. Dit is, met gemiddeld elektraverbruik per m2 GO, omgerekend naar de elektrareductiefactor.[2] De elektrareductiefactor voor een klein pand is geschat uitgaande van een pand met een elektriciteitsverbruik hoger dan gemiddeld.
Is er vrije koeling? Vermenigvuldig de besparing met 0,2. Pas dit aan op het locatietabblad.[3]</t>
  </si>
  <si>
    <t xml:space="preserve">Kosten zijn voor aanbrengen blind- en afdekplaten, dak en deuren. Uitgangspunt is 1 kleine serverruimte: 7,5 kW, opnamefactor 40%, verbruik 25.000 kWh. Koeling van serverruimte (COP 2,5) verbruikt 10.000 kWh. 
Besparing is 25% op de koeling, ofwel 2.500 kWh. Dit is, met gemiddeld elektraverbruik per m2 GO, omgerekend naar de elektrareductiefactor.[2] De elektrareductiefactor voor een klein pand is geschat uitgaande van een pand met een elektriciteitsverbruik hoger dan gemiddeld.
Is er een energiezuinige koelmachine (COP &gt; 5)? Vermenigvuldig de besparing met 0,5. Is er vrije koeling? Vermenigvuldig de besparing met 0,2. Pas dit aan op het locatietabblad.[3]
</t>
  </si>
  <si>
    <t>Uitgangspunt is 1 kleine gevirtualiseerde serverruimte: 4 servers van kW, opnamefactor 50%, 1,5 kW randapparatuur, opnamefactor 40%, verbruik 23.000 kWh. Koeling van serverruimte (COP 2,5) verbruikt 9.000 kWh. Meerkosten op basis van een UPS van 1,2 maal opgesteld ICT-vermogen serverruimte en een conversierendement van 85%. Deze wordt vervangen door een UPS met een conversierendement van 97%.
Besparing op verbruik van de UPS is 12% ofwel 2.700 kWh, en besparing op koeling 1.100 kWh. Dit is, met gemiddeld elektraverbruik per m2 GO, omgerekend naar de elektrareductiefactor.[2] De elektrareductiefactor voor een klein pand is geschat uitgaande van een pand met een elektriciteitsverbruik hoger dan gemiddeld.
Zijn de servers nog niet gevirtualiseerd? Dan is er een UPS met meer vermogen aanwezig. Vermenigvuldig de besparing met 1,5. Pas dit aan op het locatietabblad.[3]</t>
  </si>
  <si>
    <t>Uitgangspunt is 1 kleine serverruimte: 7,5 kW, opnamefactor 40%, verbruik 25.000 kWh. Koeling van serverruimte (COP 2,5) verbruikt 10.000 kWh; er is 1 toerentalregelaar nodig is. Meestal is de regelaar zelf in te regelen; kosten hiervoor zijn niet meegenomen. 
Besparing is 10% op de koeling, ofwel 1.000 kWh. Dit is, met gemiddeld elektraverbruik per m2 GO, omgerekend naar de elektrareductiefactor.[2] De elektrareductiefactor voor een klein pand is geschat uitgaande van een pand met een elektriciteitsverbruik hoger dan gemiddeld.
Is er een energiezuinige koelmachine (COP &gt; 5)? Vermenigvuldig de besparing met 0,5. Is er vrije koeling? Vermenigvuldig de besparing met 0,2. Pas dit aan op het locatietabblad.[3]</t>
  </si>
  <si>
    <t>Vast kosten betreffen toegang tot de data van de slimme meters voor een periode van 5 jaar (onafhankelijk van m2 GO). In kleine gebouwen zijn er meestal alleen datakosten omdat de portals van de meet- of energiebedrijven voldoen als ebs. Voor middelgrote gebouwen (grootverbruikers voor het meetbedrijf) komen daar kosten (per m2 GO) bij voor de ebs-software.
In gebouwen met een GBS, waaraan het ebs gekoppeld wordt, zijn de softwarekosten meestal hoger vanwege de koppeling met het GBS. Vermenigvuldig de kosten per m2 GO met 1,7. Pas dit aan op het locatietabblad.[3]
De besparing is in gebouwen met een GBS groter. Vermenigvuldig de besparing (aardgas én elektriciteit) met 1,5. Pas dit aan op het locatietabblad.[3]</t>
  </si>
  <si>
    <t>Meerkosten zijn € 149 per m2 dak. Op het locatietabblad worden de totale kosten berekend m.b.v. GO en aantal verdiepingen. Bestaande dakbedekking wordt verwijderd, dakrand verhoogd en aansluitingen op HWA worden hersteld. De isolatiewaarde wordt verbeterd van Rc = 3,5 naar Rc = 6.
Hoeft dakrand niet verhoogd te worden? Vermenigvuldig de kosten met 0,7. 
Aardgasreductie is 1,3 m3 per m2 dak. De aardgasreductiefactor is geschat uitgaande van een pand van 1 verdieping. op het locatietabblad wordt de besparing gecorrigeerd op basis van het aantal verdiepingen.
Huidige Rc lager? Vermenigvuldig de besparing met 2 als huidige Rc = 2,5 en met 4 als huidige Rc = 1,3. Pas dit aan op het locatietabblad.[3]</t>
  </si>
  <si>
    <t>Meerkosten zijn 10% voor IE4 t.o.v. IE3. Gebouwen met balansventilatie verbruiken 25 tot 30 kWh per m2 GO voor ventilatie. Besparing is 5 tot 10% per IE-stap, voor deze maatregel geschat op gemiddeld 10% van het verbruik voor ventilatie. Dit is, met gemiddeld elektraverbruik per m2 GO, omgerekend naar de elektrareductiefactor.[2]
Is er alleen mechanische afvoer? Vermenigvuldig de kosten en besparingen met 0,5. Pas dit aan op het locatietabblad.[3]</t>
  </si>
  <si>
    <t>Kosten zijn gebaseerd op het vernieuwen van de ventilatoren van de balansventilatie. 
Gebouwen met balansventilatie verbruiken 25 tot 30 kWh per m2 GO voor ventilatie. Besparing is 5 tot 10% per IE-stap, voor deze maatregel geschat op gemiddeld 15% van het verbruik voor ventilatie. Dit is, met gemiddeld elektraverbruik per m2 GO, omgerekend naar de elektrareductiefactor.[2]
Alleen mechanische afvoer? Vermenigvuldig kosten en besparingen met 0,5. Pas dit aan op het locatietabblad.[3]</t>
  </si>
  <si>
    <t>Meerkosten van led-lamp (A-merk) zijn € 6,5 per lamp. 4 halogeen lampen (50W) per lift die vervangen worden door led-lampen (5,5W). Kleine gebouwen 1 lift, middelgrote gebouwen 3 liften.
Besparing is 520 kWh per lift, op basis van 8 uur aan per dag. Dit is, met gemiddeld elektraverbruik per m2 GO, omgerekend naar de elektrareductiefactor.[2]
Is er géén aanwezigheids- of deurschakeling? Vermenigvuldig de besparing met 3. Pas dit aan op het locatietabblad.[3]</t>
  </si>
  <si>
    <r>
      <t xml:space="preserve">Kosten zijn max. € 1.750 per salamander, op basis van een terugverdientijd van 5 jaar of minder. </t>
    </r>
    <r>
      <rPr>
        <b/>
        <sz val="12"/>
        <color rgb="FF393D3F"/>
        <rFont val="Calibri"/>
        <family val="2"/>
        <scheme val="minor"/>
      </rPr>
      <t>Vervang je de salamander op een natuurlijk moment</t>
    </r>
    <r>
      <rPr>
        <sz val="12"/>
        <color rgb="FF393D3F"/>
        <rFont val="Calibri"/>
        <family val="2"/>
        <scheme val="minor"/>
      </rPr>
      <t>, verwijder dan de kosten. Doe dit op het tabblad locatie.
Besparing is geschat op 1.400 kWh per salamander: vermogen 4,5 kW, gemiddeld gebruik op 50% van vermogen, dagelijks 5 uur aan (randvoorwaarde EM is 4,6 uur), waarvan 33% onnodig. Kleine gebouwen 2 salamanders, middelgrote gebouwen 4 salamanders. Dit is, met gemiddeld elektraverbruik per m2 GO, omgerekend naar de elektrareductiefactor.[2] Gebruik je ze minder, pas de besparing aan. Doe dit op het tabblad locatie.</t>
    </r>
  </si>
  <si>
    <r>
      <t xml:space="preserve">Kosten van het bijplaatsen van een </t>
    </r>
    <r>
      <rPr>
        <b/>
        <sz val="12"/>
        <color rgb="FF393D3F"/>
        <rFont val="Calibri"/>
        <family val="2"/>
        <scheme val="minor"/>
      </rPr>
      <t>lucht-water warmtepomp</t>
    </r>
    <r>
      <rPr>
        <sz val="12"/>
        <color rgb="FF393D3F"/>
        <rFont val="Calibri"/>
        <family val="2"/>
        <scheme val="minor"/>
      </rPr>
      <t xml:space="preserve"> zijn € 1.500 per kW thermisch. Dit kan op een zelfstandig moment, of op het natuurlijk moment dat de cv vervangen wordt. Het thermisch vermogen van de warmtepomp is gedimensioneerd op 25% van het vermogen van de cv-ketel. Het cv-vermogen is geschat op basis van 1.600 vollasturen en het gemiddelde gasverbruik per m2 GO (voor kleine gebouwen komt dat op 10,2 kW, voor middelgrote op 8,3 kW per 100 m2 GO). Zo zijn kosten per m2 GO berekend. Daarnaast zijn onder vaste kosten extra onderhoudskosten opgenomen voor tien jaar.
De warmtepomp vervangt 70% van het aardgasverbruik voor verwarming door elektriciteit. Ruimteverwarming verbruikt 81% van het totale aardgasverbruik. De aardgasreductiefactor is dus 57%. De toename in elektriciteit wordt berekend in het locatieoverzicht, waarbij is gerekend met een seizoensgemiddelde efficientie (sCOP) van 3,5.</t>
    </r>
  </si>
  <si>
    <r>
      <t xml:space="preserve">Kosten zijn € 58,5 voor een programmeerbare (elektronische) thermostaatkraan. Omdat de maatregel voor een NM is, is arbeid voor waterzijdig inregelen niet meegerekend. Kleine gebouwen 1 radiatorknop per 15 m2 GO, middelgrote gebouwen 1 per 18 m2 GO.
</t>
    </r>
    <r>
      <rPr>
        <b/>
        <sz val="12"/>
        <color rgb="FF393D3F"/>
        <rFont val="Calibri"/>
        <family val="2"/>
        <scheme val="minor"/>
      </rPr>
      <t>Slimme thermostaatkranen</t>
    </r>
    <r>
      <rPr>
        <sz val="12"/>
        <color rgb="FF393D3F"/>
        <rFont val="Calibri"/>
        <family val="2"/>
        <scheme val="minor"/>
      </rPr>
      <t xml:space="preserve"> (zelflerend, op afstand bestuurbaar etc.) zijn duurder. Vermenigvuldig de kosten met 2. Pas dit aan op het locatietabblad.[3]
Besparing is geschat op basis van een terugverdientijd van 5 jaar.</t>
    </r>
  </si>
  <si>
    <r>
      <t>Kosten en besparingen zijn geschat voor mechanische afvoer waarbij iedere dakventilator wordt voorzien van een tijdschakelaar.
Is er een</t>
    </r>
    <r>
      <rPr>
        <b/>
        <sz val="12"/>
        <color rgb="FF393D3F"/>
        <rFont val="Calibri"/>
        <family val="2"/>
        <scheme val="minor"/>
      </rPr>
      <t xml:space="preserve"> LBK</t>
    </r>
    <r>
      <rPr>
        <sz val="12"/>
        <color rgb="FF393D3F"/>
        <rFont val="Calibri"/>
        <family val="2"/>
        <scheme val="minor"/>
      </rPr>
      <t>? Dan zijn de kosten veel lager. Vermenigvuldig de kosten met 0,3. Pas dit aan op het locatietabblad.[3]</t>
    </r>
  </si>
  <si>
    <r>
      <t xml:space="preserve">Uitgangspunt is vervangen van TL5-buizen van 120 cm (28W) door led-buizen (17W), 3,4 buizen per 20 m2 GO. Kosten per buis (A-merk) zijn € 30 en € 50 arbeidskosten.
Besparing bij 6.100 branduren is 67 kWh per buis. Dit is, met gemiddeld elektraverbruik per m2 GO, omgerekend naar de elektrareductiefactor.[2]
Bij </t>
    </r>
    <r>
      <rPr>
        <b/>
        <sz val="12"/>
        <color rgb="FF393D3F"/>
        <rFont val="Calibri"/>
        <family val="2"/>
        <scheme val="minor"/>
      </rPr>
      <t xml:space="preserve">meer / minder branduren </t>
    </r>
    <r>
      <rPr>
        <sz val="12"/>
        <color rgb="FF393D3F"/>
        <rFont val="Calibri"/>
        <family val="2"/>
        <scheme val="minor"/>
      </rPr>
      <t>pas je de besparing aan op het locatie tabblad.</t>
    </r>
  </si>
  <si>
    <r>
      <t xml:space="preserve">Uitgangspunt is vervangen van gasontladingslamp (50W) door led-lamp (5,5W), 1 lamp per 100 m2 GO. Kosten per lamp (A-merk) zijn € 15. 
Besparing bij 1.825 branduren is 81 kWh per lamp. Dit is, met gemiddeld elektraverbruik per m2 GO, omgerekend naar de elektrareductiefactor.[2]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</si>
  <si>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vervangen van wandarmaturen met spaarlamp (PL 18W) door led-lamp (7W). Als deze aanwezig zijn, vervangen ze veelal plafondspots in een deel van het gebouw, daarom 'maar' 1 armatuur per 20 m2. Kosten per armatuur zijn € 45, op basis van terugverdientijd van 5 jaar. 
Besparing bij 3.600 branduren (randvoorwaarde EM ZM) is 36 kWh per armatuur. Dit is, met gemiddeld elektraverbruik per m2 GO, omgerekend naar de elektrareductiefactor.[2]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</si>
  <si>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vervangen van 10 wandarmaturen (bijv. in centrale ruimte) met halogeenlamp (50W) door led-lamp (5,5W). Kosten per armatuur zijn € 62,5, op basis van terugverdientijd van 5 jaar. 
Besparing bij 1.100 branduren (randvoorwaarde EM ZM) is 50 kWh per armatuur. Dit is, met gemiddeld elektraverbruik per m2 GO, omgerekend naar de elektrareductiefactor.[2]
Bij </t>
    </r>
    <r>
      <rPr>
        <b/>
        <sz val="12"/>
        <color rgb="FF393D3F"/>
        <rFont val="Calibri"/>
        <family val="2"/>
        <scheme val="minor"/>
      </rPr>
      <t xml:space="preserve">meer / minder branduren </t>
    </r>
    <r>
      <rPr>
        <sz val="12"/>
        <color rgb="FF393D3F"/>
        <rFont val="Calibri"/>
        <family val="2"/>
        <scheme val="minor"/>
      </rPr>
      <t>pas je de besparing aan op het locatie tabblad.</t>
    </r>
  </si>
  <si>
    <r>
      <t xml:space="preserve">Uitgangspunt is vervangen van 5 spots (bijv. bij balie) met halogeenlamp (50W) door led-lamp (5,5W). Kosten per spot zijn € 130, op basis van terugverdientijd van 5 jaar. 
Besparing bij 2.400 branduren (randvoorwaarde EM ZM) is 107 kWh per spot. Dit is, met gemiddeld elektraverbruik per m2 GO, omgerekend naar de elektrareductiefactor.[2]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</si>
  <si>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vervangen van 5 railspots (bijv. bij balie) met halogeenlamp (50W) door led-lamp (5,5W), gebruik van gestaande rails. Kosten per spot zijn € 200, op basis van terugverdientijd van 5 jaar. 
Besparing bij 3.200 branduren (randvoorwaarde EM ZM) is 142 kWh per spot. Dit is, met gemiddeld elektraverbruik per m2 GO, omgerekend naar de elektrareductiefactor.[2]
Bij </t>
    </r>
    <r>
      <rPr>
        <b/>
        <sz val="12"/>
        <color rgb="FF393D3F"/>
        <rFont val="Calibri"/>
        <family val="2"/>
        <scheme val="minor"/>
      </rPr>
      <t xml:space="preserve">meer / minder branduren </t>
    </r>
    <r>
      <rPr>
        <sz val="12"/>
        <color rgb="FF393D3F"/>
        <rFont val="Calibri"/>
        <family val="2"/>
        <scheme val="minor"/>
      </rPr>
      <t>pas je de besparing aan op het locatie tabblad.</t>
    </r>
  </si>
  <si>
    <r>
      <t xml:space="preserve">Uitgangspunt is vervangen van 5 railspots (bijv. bij balie) met gasontladingslamp (50W) door led-lamp (5,5W), gebruik van gestaande rails. Kosten per spot zijn € 300, op basis van terugverdientijd van 5 jaar. 
Besparing bij 5.200 branduren (randvoorwaarde EM ZM) is 231 kWh per spot. Dit is, met gemiddeld elektraverbruik per m2 GO, omgerekend naar de elektrareductiefactor.[2]
Op een natuurlijk moment zijn de meerkosten per spot € 100. Vermenigvuldig de kosten met 0,33. Pas dit aan op het locatietabblad.[3] Bij </t>
    </r>
    <r>
      <rPr>
        <b/>
        <sz val="12"/>
        <color rgb="FF393D3F"/>
        <rFont val="Calibri"/>
        <family val="2"/>
        <scheme val="minor"/>
      </rPr>
      <t>meer / minder brandure</t>
    </r>
    <r>
      <rPr>
        <sz val="12"/>
        <color rgb="FF393D3F"/>
        <rFont val="Calibri"/>
        <family val="2"/>
        <scheme val="minor"/>
      </rPr>
      <t>n pas je de besparing aan op het locatie tabblad.</t>
    </r>
  </si>
  <si>
    <r>
      <t xml:space="preserve">Uitgangspunt is vervangen van gasontladingslamp (50W) door led-lamp (5,5W), 1 lamp per 100 m2 GO. Meerkosten zijn er niet.
Besparing bij 1.825 branduren is 81 kWh per lamp. Dit is, met gemiddeld elektraverbruik per m2 GO, omgerekend naar de elektrareductiefactor.[2]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</si>
  <si>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vervangen van TL-D armaturen met 2 lampen (ieder 36W) met starter door led-armaturen (28W), 1,7 armaturen per 20 m2 GO. Kosten zijn max. € 150 per armatuur op basis van 5 jaar terugverdientijd.
Besparing bij 1.825 branduren (EM noemt geen randvoorwaarde) is 117 kWh per armatuur. Dit is, met gemiddeld elektraverbruik per m2 GO, omgerekend naar de elektrareductiefactor.[2]
Zijn er </t>
    </r>
    <r>
      <rPr>
        <b/>
        <sz val="12"/>
        <color rgb="FF393D3F"/>
        <rFont val="Calibri"/>
        <family val="2"/>
        <scheme val="minor"/>
      </rPr>
      <t>T5-buizen</t>
    </r>
    <r>
      <rPr>
        <sz val="12"/>
        <color rgb="FF393D3F"/>
        <rFont val="Calibri"/>
        <family val="2"/>
        <scheme val="minor"/>
      </rPr>
      <t xml:space="preserve">? Vermenigvuldig de besparing met 0,5. Pas dit aan op het locatietabblad.[3]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</si>
  <si>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1 buitenlamp per 100 m2 GO. Er zijn geen meerkosten, LED is standaard voor buitenverlichting.
Besparing is voor alle buitenverliching gelijk gezet. Gaat uit van vervangen van conventionele lamp (55W) voor led (18W) en is 81 kWh per lamp wanneer deze 6 uur per nacht aan staat. Dit is, met gemiddeld elektraverbruik per m2 GO, omgerekend naar de elektrareductiefactor.[2]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</si>
  <si>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Uitgangspunt is 1 buitenlamp per 100 m2 GO. Er zijn geen meerkosten, LED is standaard voor buitenverlichting.
Besparing is voor alle buitenverliching gelijk gezet. Gaat uit van vervangen van conventionele lamp (55W) voor led (18W) en is 81 kWh per lamp wanneer deze 6 uur per nacht aan staat. Dit is, met gemiddeld elektraverbruik per m2 GO, omgerekend naar de elektrareductiefactor.[2]
Bij </t>
    </r>
    <r>
      <rPr>
        <b/>
        <sz val="12"/>
        <color rgb="FF393D3F"/>
        <rFont val="Calibri"/>
        <family val="2"/>
        <scheme val="minor"/>
      </rPr>
      <t xml:space="preserve">meer / minder branduren </t>
    </r>
    <r>
      <rPr>
        <sz val="12"/>
        <color rgb="FF393D3F"/>
        <rFont val="Calibri"/>
        <family val="2"/>
        <scheme val="minor"/>
      </rPr>
      <t>pas je de besparing aan op het locatie tabblad.</t>
    </r>
  </si>
  <si>
    <r>
      <t>Uitgangspunt is 1 buitenlamp per 100 m2 GO. Er zijn geen meerkosten, LED is standaard voor buitenverlichting.
Besparing is voor alle buitenverliching gelijk gezet. Gaat uit van vervangen van conventionele lamp (55W) voor led (18W) en is 81 kWh per lamp wanneer deze 6 uur per nacht aan staat. Dit is, met gemiddeld elektraverbruik per m2 GO, omgerekend naar de elektrareductiefactor.[2]
Bij</t>
    </r>
    <r>
      <rPr>
        <b/>
        <sz val="12"/>
        <color rgb="FF393D3F"/>
        <rFont val="Calibri"/>
        <family val="2"/>
        <scheme val="minor"/>
      </rPr>
      <t xml:space="preserve"> meer / minder branduren</t>
    </r>
    <r>
      <rPr>
        <sz val="12"/>
        <color rgb="FF393D3F"/>
        <rFont val="Calibri"/>
        <family val="2"/>
        <scheme val="minor"/>
      </rPr>
      <t xml:space="preserve"> pas je de besparing aan op het locatie tabblad.</t>
    </r>
  </si>
  <si>
    <r>
      <t xml:space="preserve">Uitgangspunt is vervangen van TL-D buizen van 120 cm (36W) met starter door led-buizen (14W), 3,4 buizen per 20 m2 GO. Kosten per buis (A-merk) zijn € 14 en € 50 arbeidskosten.
Besparing bij 1.825 branduren is 58 kWh per buis. Dit is, met gemiddeld elektraverbruik per m2 GO, omgerekend naar de elektrareductiefactor.[2] Zijn er </t>
    </r>
    <r>
      <rPr>
        <b/>
        <sz val="12"/>
        <color rgb="FF393D3F"/>
        <rFont val="Calibri"/>
        <family val="2"/>
        <scheme val="minor"/>
      </rPr>
      <t>elektronische voorschakelapparaten</t>
    </r>
    <r>
      <rPr>
        <sz val="12"/>
        <color rgb="FF393D3F"/>
        <rFont val="Calibri"/>
        <family val="2"/>
        <scheme val="minor"/>
      </rPr>
      <t xml:space="preserve">? Dan zijn er andere buizen nodig. Vermenigvuldig de kosten met 1,5. Pas dit aan op het locatietabblad.[3]
Bij </t>
    </r>
    <r>
      <rPr>
        <b/>
        <sz val="12"/>
        <color rgb="FF393D3F"/>
        <rFont val="Calibri"/>
        <family val="2"/>
        <scheme val="minor"/>
      </rPr>
      <t>meer / minder branduren</t>
    </r>
    <r>
      <rPr>
        <sz val="12"/>
        <color rgb="FF393D3F"/>
        <rFont val="Calibri"/>
        <family val="2"/>
        <scheme val="minor"/>
      </rPr>
      <t xml:space="preserve"> pas je de besparing aan op het locatie tabblad. </t>
    </r>
  </si>
  <si>
    <r>
      <t xml:space="preserve">Hier zijn kosten en besparingen van spaarlampen (PL, voor basisverlichting) opgenomen, omdat die het meeste voorkomen. Kosten en besparingen zijn vergelijkbaar aan TL-D buizen vervangen (zie GF2).
</t>
    </r>
    <r>
      <rPr>
        <b/>
        <sz val="12"/>
        <color rgb="FF393D3F"/>
        <rFont val="Calibri"/>
        <family val="2"/>
        <scheme val="minor"/>
      </rPr>
      <t>Heb je naast spaarlampen ook enkele gloei- en halogeenlampen</t>
    </r>
    <r>
      <rPr>
        <sz val="12"/>
        <color rgb="FF393D3F"/>
        <rFont val="Calibri"/>
        <family val="2"/>
        <scheme val="minor"/>
      </rPr>
      <t>? Vermenigvuldig de besparing met 1,08. Pas dit aan op het locatietabblad.[3]</t>
    </r>
    <r>
      <rPr>
        <b/>
        <sz val="12"/>
        <color rgb="FF393D3F"/>
        <rFont val="Calibri"/>
        <family val="2"/>
        <scheme val="minor"/>
      </rPr>
      <t xml:space="preserve"> Heb je alleen enkele gloei- of halogeenlampen</t>
    </r>
    <r>
      <rPr>
        <sz val="12"/>
        <color rgb="FF393D3F"/>
        <rFont val="Calibri"/>
        <family val="2"/>
        <scheme val="minor"/>
      </rPr>
      <t xml:space="preserve">? Vermenigvuldig de besparing met 0,08. Pas dit aan op het locatietabblad.[3]
Bij </t>
    </r>
    <r>
      <rPr>
        <b/>
        <sz val="12"/>
        <color rgb="FF393D3F"/>
        <rFont val="Calibri"/>
        <family val="2"/>
        <scheme val="minor"/>
      </rPr>
      <t>meer / minder branduren</t>
    </r>
    <r>
      <rPr>
        <sz val="12"/>
        <color rgb="FF393D3F"/>
        <rFont val="Calibri"/>
        <family val="2"/>
        <scheme val="minor"/>
      </rPr>
      <t xml:space="preserve"> pas je de besparing aan op het locatie tabblad.</t>
    </r>
  </si>
  <si>
    <r>
      <t xml:space="preserve">Kosten zijn gebaseerd op het vernieuwen van de ventilatoren van de balansventilatie. Kosten IE4 zijn 10% hoger dan IE3,
Gebouwen met balansventilatie verbruiken 25 tot 30 kWh per m2 GO voor ventilatie. Besparing is 5 tot 10% per IE-stap, voor deze maatregel geschat op gemiddeld 15% van het verbruik voor ventilatie. Dit is, met gemiddeld elektraverbruik per m2 GO, omgerekend naar de elektrareductiefactor.[2] Is er </t>
    </r>
    <r>
      <rPr>
        <b/>
        <sz val="12"/>
        <color rgb="FF393D3F"/>
        <rFont val="Calibri"/>
        <family val="2"/>
        <scheme val="minor"/>
      </rPr>
      <t>alleen mechanische afvoer</t>
    </r>
    <r>
      <rPr>
        <sz val="12"/>
        <color rgb="FF393D3F"/>
        <rFont val="Calibri"/>
        <family val="2"/>
        <scheme val="minor"/>
      </rPr>
      <t>? Vermenigvuldig de kosten en besparingen met 0,5. Pas dit aan op het locatietabblad.[3]</t>
    </r>
  </si>
  <si>
    <r>
      <t xml:space="preserve">Radiatoren zijn vrijwel zelden aan vervanging toe, daarom is gerekend met volledige kosten, € 1.100 per radiator zonder leidingen te vervangen. Kleine gebouwen 1 radiator per 15 m2 GO, middelgrote gebouwen 1 per 18 m2 GO.
</t>
    </r>
    <r>
      <rPr>
        <b/>
        <sz val="12"/>
        <color rgb="FF393D3F"/>
        <rFont val="Calibri"/>
        <family val="2"/>
        <scheme val="minor"/>
      </rPr>
      <t>Radiatoren aan vervanging toe</t>
    </r>
    <r>
      <rPr>
        <sz val="12"/>
        <color rgb="FF393D3F"/>
        <rFont val="Calibri"/>
        <family val="2"/>
        <scheme val="minor"/>
      </rPr>
      <t xml:space="preserve">? Vermenigvuldig de kosten met 0,5. Pas dit aan op het locatietabblad.[3] 
Besparing is 2,5% van het aardgas voor ruimteverwarming. Ruimteverwarming verbruikt 81% van het totale aardgasverbruik. De besparing is dus 2%. De milieuwinst zit in de mogelijkheid om een lage temperatuurbron te kunnen gebruiken. </t>
    </r>
  </si>
  <si>
    <r>
      <t xml:space="preserve">Kosten zijn € 150 per m2 glas. Niet op noordgevel, dus op 75% van het glasoppervlakte. Met vormfactoren en 0,7 m2 glas per m2 OG zijn kosten per m2 GO berekend.[1] Groot deel van kosten is voor inhuur van steigers/bouwkranen. </t>
    </r>
    <r>
      <rPr>
        <b/>
        <sz val="12"/>
        <color rgb="FF393D3F"/>
        <rFont val="Calibri"/>
        <family val="2"/>
        <scheme val="minor"/>
      </rPr>
      <t>Zijn alle ramen op de begane grond of plak je de folie aan de binnenzijde (niet doen bij HR-glas)</t>
    </r>
    <r>
      <rPr>
        <sz val="12"/>
        <color rgb="FF393D3F"/>
        <rFont val="Calibri"/>
        <family val="2"/>
        <scheme val="minor"/>
      </rPr>
      <t>? Vermenigvuldig de kosten met 0,3. Pas dit aan op het locatietabblad.[3] 
Besparing is 33% op het elektriciteitsverbruik voor koeling. Koeling is gemiddeld 10% van het elektriciteitsverbruik (maar kan fors meer zijn).</t>
    </r>
    <r>
      <rPr>
        <b/>
        <sz val="12"/>
        <color rgb="FF393D3F"/>
        <rFont val="Calibri"/>
        <family val="2"/>
        <scheme val="minor"/>
      </rPr>
      <t xml:space="preserve"> Is er geen koeling</t>
    </r>
    <r>
      <rPr>
        <sz val="12"/>
        <color rgb="FF393D3F"/>
        <rFont val="Calibri"/>
        <family val="2"/>
        <scheme val="minor"/>
      </rPr>
      <t>? Dan is er geen elektrareductie. Pas dit aan op het locatie tabblad. De folie laat bij lage zonstand (winter) wél zon door, en heeft daarom geen impact op het aardgasverbruik.</t>
    </r>
  </si>
  <si>
    <t>Kosten: Actualisatie investeringskosten energiebesparende maatregelen bestaande utiliteitsbouw 2022 (Arcadis, 2022)
Besparingen: Buitenzonwering en energiebesparing op verwarmen en koelen (TNO, 2008) en schatting Stimular</t>
  </si>
  <si>
    <t>Kosten zijn € 125 per m2 raam (glas+kozijn). Met vormfactoren zijn kosten per m2 GO berekend.
Aardgasreductie is 13 m3 aardgas per m2 raam door verbetering isolatiewaarde van Ug = 5,8 (enkel glas) naar Ug = 2,6. Dit is, met gemiddeld gasverbruik per m2 GO, omgerekend naar de aardgasreductiefactor.[2]</t>
  </si>
  <si>
    <t>Kosten zijn € 218 per m2 glas. Er is gerekend met volledige kosten, omdat er zelden een NM is. Daarbij is uitgegaan van HR++ glas (Ug = 1,2) in bestaande houten kozijnen (U = 3,0) met enkel glas (Ug = 5,8) die uitgefreesd worden.  Glas is 70% van de open gevel. Met vormfactoren zijn kosten per m2 GO berekend.[1]
Aardgasreductie is 32 m3 per m2 glas. Dit is, met gemiddeld gasverbruik per m2 GO, omgerekend naar de aardgasreductiefactor.[2]</t>
  </si>
  <si>
    <t>Kosten zijn € 220 per m2 glas. Er is gerekend met volledige kosten, omdat er zelden een NM is. Daarbij is uitgegaan van HR++ glas (Ug = 1,2) in bestaande houten kozijnen (U = 3,0)  met (standaard) dubbel glas (Ug = 3,2) die uitgefreesd worden. Glas is 70% van de open gevel. Met vormfactoren zijn kosten per m2 GO berekend.[1]
Aardgasreductie is 14 m3 per m2 glas. Dit is, met gemiddeld gasverbruik per m2 GO, omgerekend naar de aardgasreductiefactor.[2]</t>
  </si>
  <si>
    <r>
      <t xml:space="preserve">Er zijn geen meerkosten, HR++ glas  en -kozijn (Uw = 1,8) is standaard bij aanschaf van nieuwe kozijnen. 
Aardgasreductie is 15 m3 per m2 raam. Dit is, met gemiddeld gasverbruik per m2 GO, omgerekend naar de aardgasreductiefactor. Uitgangssituatie is houten kozijnen (Uf = 3,0) met (standaard) dubbel glas (Ug = 3,2).
Vermenigvuldig de besparing met 2,2 als </t>
    </r>
    <r>
      <rPr>
        <b/>
        <sz val="12"/>
        <color rgb="FF393D3F"/>
        <rFont val="Calibri"/>
        <family val="2"/>
        <scheme val="minor"/>
      </rPr>
      <t>enkel glas</t>
    </r>
    <r>
      <rPr>
        <sz val="12"/>
        <color rgb="FF393D3F"/>
        <rFont val="Calibri"/>
        <family val="2"/>
        <scheme val="minor"/>
      </rPr>
      <t xml:space="preserve"> aanwezig is, met 1,2 als de </t>
    </r>
    <r>
      <rPr>
        <b/>
        <sz val="12"/>
        <color rgb="FF393D3F"/>
        <rFont val="Calibri"/>
        <family val="2"/>
        <scheme val="minor"/>
      </rPr>
      <t>kozijnen van metaal zijn (met thermisch onderbreking)</t>
    </r>
    <r>
      <rPr>
        <sz val="12"/>
        <color rgb="FF393D3F"/>
        <rFont val="Calibri"/>
        <family val="2"/>
        <scheme val="minor"/>
      </rPr>
      <t xml:space="preserve"> </t>
    </r>
    <r>
      <rPr>
        <b/>
        <sz val="12"/>
        <color rgb="FF393D3F"/>
        <rFont val="Calibri"/>
        <family val="2"/>
        <scheme val="minor"/>
      </rPr>
      <t>met (standaard) dubbel glas</t>
    </r>
    <r>
      <rPr>
        <sz val="12"/>
        <color rgb="FF393D3F"/>
        <rFont val="Calibri"/>
        <family val="2"/>
        <scheme val="minor"/>
      </rPr>
      <t>. Pas dit aan op het locatietabblad.</t>
    </r>
  </si>
  <si>
    <r>
      <t xml:space="preserve">Kosten zijn voor kleine gebouwen € 190 per kW en voor middelgrote gebouwen € 150 per kW. Cv-vermogen is gebaseerd op 1.600 vollasturen en het het gemiddelde gasverbruik per m2 GO (voor kleine gebouwen komt dat op 10,2 kW, voor middelgrote op 8,3 kW per 100 m2 GO).
Besparing is 20% van het aardgas voor ruimteverwarming. Ruimteverwarming verbruikt 81% van het totale aardgasverbruik. De besparing is dus 16%. </t>
    </r>
    <r>
      <rPr>
        <b/>
        <sz val="12"/>
        <color rgb="FF393D3F"/>
        <rFont val="Calibri"/>
        <family val="2"/>
        <scheme val="minor"/>
      </rPr>
      <t>Is er een combiketel</t>
    </r>
    <r>
      <rPr>
        <sz val="12"/>
        <color rgb="FF393D3F"/>
        <rFont val="Calibri"/>
        <family val="2"/>
        <scheme val="minor"/>
      </rPr>
      <t xml:space="preserve"> (ruimteverwarming én tapwater)? Vermenigvuldig de kosten met 1,15 en de besparing met 1,2. Pas dit aan op het locatietabblad.[3]</t>
    </r>
  </si>
  <si>
    <r>
      <t xml:space="preserve">Meerkosten zijn € 219 per m2 raam (glas+kozijn). Deze bestaan uit meerkosten voor HR+++ glas t.o.v. HR++ glas en meerkosten voor houten kozijnen geschikt voor HR+++ glas (Uw = 1,8). De kosten voor het 1-op-1 vervangen van de kozijnen zijn hier niet in meegeteld. Met vormfactoren zijn kosten per m2 GO berekend.[1]
Vermenig de kosten met 0,25 als de </t>
    </r>
    <r>
      <rPr>
        <b/>
        <sz val="12"/>
        <color rgb="FF393D3F"/>
        <rFont val="Calibri"/>
        <family val="2"/>
        <scheme val="minor"/>
      </rPr>
      <t>nieuwe kozijnen van aluminium</t>
    </r>
    <r>
      <rPr>
        <sz val="12"/>
        <color rgb="FF393D3F"/>
        <rFont val="Calibri"/>
        <family val="2"/>
        <scheme val="minor"/>
      </rPr>
      <t xml:space="preserve"> zijn.
Aardgasreductie is 24 m3 per m2 raam. Dit is, met gemiddeld gasverbruik per m2 GO, omgerekend naar de aardgasreductiefactor.[2] Uitgangssituatie is houten kozijnen (Uf = 3,0) met standaard dubbel glas (Ug = 3,2).
Vermenigvuldig de besparing met 1,8 als </t>
    </r>
    <r>
      <rPr>
        <b/>
        <sz val="12"/>
        <color rgb="FF393D3F"/>
        <rFont val="Calibri"/>
        <family val="2"/>
        <scheme val="minor"/>
      </rPr>
      <t xml:space="preserve">enkel glas </t>
    </r>
    <r>
      <rPr>
        <sz val="12"/>
        <color rgb="FF393D3F"/>
        <rFont val="Calibri"/>
        <family val="2"/>
        <scheme val="minor"/>
      </rPr>
      <t xml:space="preserve">aanwezig is, met 1,1 als de </t>
    </r>
    <r>
      <rPr>
        <b/>
        <sz val="12"/>
        <color rgb="FF393D3F"/>
        <rFont val="Calibri"/>
        <family val="2"/>
        <scheme val="minor"/>
      </rPr>
      <t>kozijnen van metaal zijn (met thermisch onderbreking) met (standaard) dubbel glas</t>
    </r>
    <r>
      <rPr>
        <sz val="12"/>
        <color rgb="FF393D3F"/>
        <rFont val="Calibri"/>
        <family val="2"/>
        <scheme val="minor"/>
      </rPr>
      <t>. Pas dit aan op het locatietabblad.[3]</t>
    </r>
  </si>
  <si>
    <t>Kosten zijn geactualiseerd met gegevens van Arcadis. Toelichting is aangepast, besparing opnieuw berekend, overeenkomend de uitgangspunten van Arcadis.</t>
  </si>
  <si>
    <r>
      <t xml:space="preserve">Uitgangspunt is vervangen van TL-D armaturen met 1 lamp (36W) met starter door led-armaturen (14W), 3,4 armaturen per 20 m2 GO. Kosten zijn max. € 120 per armatuur op basis van 5 jaar terugverdientijd.
Besparing bij 3.100 branduren is 99 kWh per armatuur. Dit is, met gemiddeld elektraverbruik per m2 GO, omgerekend naar de elektrareductiefactor.[2]
Zijn er T5-buizen? Vermenigvuldig de besparing met 0,5. Pas dit aan op het locatietabblad.[3]
Bij </t>
    </r>
    <r>
      <rPr>
        <b/>
        <sz val="12"/>
        <color rgb="FF393D3F"/>
        <rFont val="Calibri"/>
        <family val="2"/>
        <scheme val="minor"/>
      </rPr>
      <t>meer / minder branduren</t>
    </r>
    <r>
      <rPr>
        <sz val="12"/>
        <color rgb="FF393D3F"/>
        <rFont val="Calibri"/>
        <family val="2"/>
        <scheme val="minor"/>
      </rPr>
      <t xml:space="preserve"> pas je de besparing aan op het locatie tabblad.</t>
    </r>
  </si>
  <si>
    <t>Uitgangspunt is vervangen van plafondspots met spaarlamp (PL 18W) door led-lamp (7W). 7 spots per 20 m2 GO. Kosten per spot zijn € 45, op basis van terugverdientijd van 5 jaar. 
Besparing bij 3.300 branduren (randvoorwaarde EM ZM) is 36 kWh per spot. Dit is, met gemiddeld elektraverbruik per m2 GO, omgerekend naar de elektrareductiefactor.[2]</t>
  </si>
  <si>
    <t>Kosten zijn voor aanschaf nieuwe koelkast met glazendeur (menshoog, 60 cm breed). Klein gebouw 1 koelkast, middelgroot gebouw 3 koelkasten.
Besparing 1.000 kWh per koelkast.</t>
  </si>
  <si>
    <r>
      <t>Kosten zijn € 380 per m2 raam voor elektrisch bediende schermen zonder lichtsensoren. Niet op noordgevel, dus op 75% van het raamoppervlakte. Met vormfactoren zijn kosten per m2 GO berekend.[1] Vermenigvuldig de kosten voor</t>
    </r>
    <r>
      <rPr>
        <b/>
        <sz val="12"/>
        <color rgb="FF393D3F"/>
        <rFont val="Calibri"/>
        <family val="2"/>
        <scheme val="minor"/>
      </rPr>
      <t xml:space="preserve"> handmatige bediening</t>
    </r>
    <r>
      <rPr>
        <sz val="12"/>
        <color rgb="FF393D3F"/>
        <rFont val="Calibri"/>
        <family val="2"/>
        <scheme val="minor"/>
      </rPr>
      <t xml:space="preserve"> met 0,4, voor elektrische bediening incl. lichtsensoren met 1,4. Bij lamellen i.p.v. scherm kosten en besparingen maal 1,15. Pas dit aan op het locatietabblad.[3]
Besparing is 66% op het elektriciteitsverbruik voor koeling. Koeling is gemiddeld 10% van het elektriciteitsverbruik (maar kan fors meer zijn). Is er </t>
    </r>
    <r>
      <rPr>
        <b/>
        <sz val="12"/>
        <color rgb="FF393D3F"/>
        <rFont val="Calibri"/>
        <family val="2"/>
        <scheme val="minor"/>
      </rPr>
      <t>geen koeling</t>
    </r>
    <r>
      <rPr>
        <sz val="12"/>
        <color rgb="FF393D3F"/>
        <rFont val="Calibri"/>
        <family val="2"/>
        <scheme val="minor"/>
      </rPr>
      <t xml:space="preserve">? Dan is er geen elektrareductie. Pas dit aan op het locatie tabblad.[3] Is er </t>
    </r>
    <r>
      <rPr>
        <b/>
        <sz val="12"/>
        <color rgb="FF393D3F"/>
        <rFont val="Calibri"/>
        <family val="2"/>
        <scheme val="minor"/>
      </rPr>
      <t>zonwerend glas</t>
    </r>
    <r>
      <rPr>
        <sz val="12"/>
        <color rgb="FF393D3F"/>
        <rFont val="Calibri"/>
        <family val="2"/>
        <scheme val="minor"/>
      </rPr>
      <t>? Vermenigvuldig de besparing met 0,5. Pas dit aan op het locatietabblad.[3]</t>
    </r>
  </si>
  <si>
    <t>Kosten zijn € 370 per lift. Kleine gebouwen 1 lift, middelgrote gebouwen 3 liften.
Besparing is 600 kWh per lift (ventilatie en verlichting is samen 100 Watt en kan 16 uur per dag uit door deze schakeling). Dit is, met gemiddeld elektraverbruik per m2 GO, omgerekend naar de elektrareductiefactor.[2]
Hangt er led? Vermenigvuldig de besparing met 0,5. Pas dit aan op het locatietabblad.[3]</t>
  </si>
  <si>
    <t>Bron: CO2-emissiefactoren.nl (2023)</t>
  </si>
  <si>
    <t>Kosten zijn per m2 gesloten gevel € 37 voor de BG (erkende maatregel, EM) en voor verdiepingen € 80 (incl. steigerkosten). 
Heb je alleen een begane grond vermenigvuldig de kosten dan met 0,5. Pas dit aan op het locatietabblad.[3] Let op, de EM is alleen verplicht voor begane grond (zonder steigerhuur). Deze maatregel gaat wél uit van steigerkosten. 
De breedte van de spouw (4 of 6 cm) en met welk materiaal deze wordt gevuld beïnvloedt de nieuwe Rc-waarde (1,3) nauwelijks. Aardgasreductie is 21 m3 per m2 gesloten gevel. De aardgasreductiefactor is geschat uitgaande van een pand met een gasverbruik hoger dan gemiddeld.</t>
  </si>
  <si>
    <t>Meerkosten zijn € 1.275 per boiler t.o.v. een gasgestookte HR-boiler. Uitgangspunt is installatie van 1 kleine boiler per 4 personen.Warmtepompboiler op centrale afzuiging van deze appartementen (300 liter, 2,5 kW) en een sCOP van 3,5. Als dit niet mogelijk is, is het vaak rendabeler te vervangen door individuele elektrische boilers. Niet geschikt bij balansventilatie met warmteterugwinning. Zo zijn kosten per m2 GO berekend. 
De warmtepomp vervangt 100% van het aardgasverbruik voor tapwater door elektriciteit. Verwarmen van tapwater verbruikt 19% van het totale aardgasverbruik. De aardgasreductiefactor is dus 19%. De toename in elektriciteit wordt berekend in het locatieoverzicht (kolom N).</t>
  </si>
  <si>
    <t>Toon grafiekwaarden absoluut of per m2 gebruiksoppervlakte</t>
  </si>
  <si>
    <t xml:space="preserve">Telefoonnummer: </t>
  </si>
  <si>
    <t xml:space="preserve">E-mailadres: </t>
  </si>
  <si>
    <t>[E-mailadres]</t>
  </si>
  <si>
    <t>[Telefoonnummer]</t>
  </si>
  <si>
    <t>CO2-emissie energieverbruik (ton)</t>
  </si>
  <si>
    <t>CO2-emissie  bouw (ton)</t>
  </si>
  <si>
    <t>CO2-reductie verbruik t.o.v. 2018 (%)</t>
  </si>
  <si>
    <t>2.0.1  (augustus 2023)</t>
  </si>
  <si>
    <t>Prijs per GJ warmte:</t>
  </si>
  <si>
    <t>Prijs per kWh elektriciteit:</t>
  </si>
  <si>
    <r>
      <t>CO</t>
    </r>
    <r>
      <rPr>
        <b/>
        <vertAlign val="subscript"/>
        <sz val="16"/>
        <color rgb="FFFDFDFF"/>
        <rFont val="Calibri"/>
        <family val="2"/>
        <scheme val="minor"/>
      </rPr>
      <t>2</t>
    </r>
    <r>
      <rPr>
        <b/>
        <sz val="16"/>
        <color rgb="FFFDFDFF"/>
        <rFont val="Calibri"/>
        <family val="2"/>
        <scheme val="minor"/>
      </rPr>
      <t>-emissie in kg per m3:</t>
    </r>
  </si>
  <si>
    <r>
      <t>CO</t>
    </r>
    <r>
      <rPr>
        <b/>
        <vertAlign val="subscript"/>
        <sz val="16"/>
        <color rgb="FFFDFDFF"/>
        <rFont val="Calibri"/>
        <family val="2"/>
        <scheme val="minor"/>
      </rPr>
      <t>2</t>
    </r>
    <r>
      <rPr>
        <b/>
        <sz val="16"/>
        <color rgb="FFFDFDFF"/>
        <rFont val="Calibri"/>
        <family val="2"/>
        <scheme val="minor"/>
      </rPr>
      <t>-emissie in kg per kWh:</t>
    </r>
  </si>
  <si>
    <r>
      <t>CO</t>
    </r>
    <r>
      <rPr>
        <b/>
        <vertAlign val="subscript"/>
        <sz val="16"/>
        <color rgb="FFFDFDFF"/>
        <rFont val="Calibri"/>
        <family val="2"/>
        <scheme val="minor"/>
      </rPr>
      <t>2</t>
    </r>
    <r>
      <rPr>
        <b/>
        <sz val="16"/>
        <color rgb="FFFDFDFF"/>
        <rFont val="Calibri"/>
        <family val="2"/>
        <scheme val="minor"/>
      </rPr>
      <t>-emissie in kg per GJ:</t>
    </r>
  </si>
  <si>
    <r>
      <t>Directe CO</t>
    </r>
    <r>
      <rPr>
        <b/>
        <vertAlign val="subscript"/>
        <sz val="16"/>
        <color rgb="FFC6C6B9"/>
        <rFont val="Calibri"/>
        <family val="2"/>
        <scheme val="minor"/>
      </rPr>
      <t>2</t>
    </r>
    <r>
      <rPr>
        <b/>
        <sz val="16"/>
        <color rgb="FFC6C6B9"/>
        <rFont val="Calibri"/>
        <family val="2"/>
        <scheme val="minor"/>
      </rPr>
      <t>-emissie:</t>
    </r>
  </si>
  <si>
    <t>cluster eigendom</t>
  </si>
  <si>
    <t>cluster huur</t>
  </si>
  <si>
    <t>Huur</t>
  </si>
  <si>
    <t>v</t>
  </si>
  <si>
    <t>Isoleer spouwmuren van gebouwen. Inclusief steigerkosten.</t>
  </si>
  <si>
    <t>Isoleer ongeisoleerde platte daken (bovenop de dakbedekking).</t>
  </si>
  <si>
    <t>Isoleer ongesïoleerde platte daken (onder de dakbedekking).</t>
  </si>
  <si>
    <t>Isoleer spouwmuren van gebouwen. Exclusief steigerkosten</t>
  </si>
  <si>
    <t>Isoleer geïsoleerde daken extra (o.b.v. meerkosten bij renovatie)</t>
  </si>
  <si>
    <t>?</t>
  </si>
  <si>
    <t>Locatie1</t>
  </si>
  <si>
    <t>Locatie2</t>
  </si>
  <si>
    <t>Locatie3</t>
  </si>
  <si>
    <t>Demo</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</si>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</sst>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 &quot;€&quot;\ * #,##0.00_ ;_ &quot;€&quot;\ * \-#,##0.00_ ;_ &quot;€&quot;\ * &quot;-&quot;??_ ;_ @_ "/>
    <numFmt numFmtId="43" formatCode="_ * #,##0.00_ ;_ * \-#,##0.00_ ;_ * &quot;-&quot;??_ ;_ @_ "/>
    <numFmt numFmtId="164" formatCode="&quot;€&quot;#,##0_);[Red]\(&quot;€&quot;#,##0\)"/>
    <numFmt numFmtId="165" formatCode="&quot;€&quot;#,##0.00_);\(&quot;€&quot;#,##0.00\)"/>
    <numFmt numFmtId="166" formatCode="_(&quot;€&quot;* #,##0.00_);_(&quot;€&quot;* \(#,##0.00\);_(&quot;€&quot;* &quot;-&quot;??_);_(@_)"/>
    <numFmt numFmtId="167" formatCode="_(* #,##0.00_);_(* \(#,##0.00\);_(* &quot;-&quot;??_);_(@_)"/>
    <numFmt numFmtId="168" formatCode="0.0"/>
    <numFmt numFmtId="169" formatCode="0.0%"/>
    <numFmt numFmtId="170" formatCode="_ &quot;€&quot;\ * #,##0_ ;_ &quot;€&quot;\ * \-#,##0_ ;_ &quot;€&quot;\ * &quot;-&quot;??_ ;_ @_ "/>
    <numFmt numFmtId="171" formatCode="_ * #,##0_ ;_ * \-#,##0_ ;_ * &quot;-&quot;??_ ;_ @_ "/>
    <numFmt numFmtId="172" formatCode="&quot;€&quot;\ #,##0.000;&quot;€&quot;\ \-#,##0.000"/>
    <numFmt numFmtId="173" formatCode="_ [$€-413]\ * #,##0.00_ ;_ [$€-413]\ * \-#,##0.00_ ;_ [$€-413]\ * &quot;-&quot;??_ ;_ @_ "/>
    <numFmt numFmtId="174" formatCode="&quot;€&quot;\ #,##0.00"/>
    <numFmt numFmtId="175" formatCode="&quot;€&quot;\ #,##0"/>
    <numFmt numFmtId="176" formatCode="_ [$€-413]\ * #,##0.0_ ;_ [$€-413]\ * \-#,##0.0_ ;_ [$€-413]\ * &quot;-&quot;??_ ;_ @_ "/>
    <numFmt numFmtId="177" formatCode="_ [$€-413]\ * #,##0_ ;_ [$€-413]\ * \-#,##0_ ;_ [$€-413]\ * &quot;-&quot;??_ ;_ @_ "/>
    <numFmt numFmtId="178" formatCode="#,##0.0"/>
    <numFmt numFmtId="179" formatCode="#,##0.000"/>
    <numFmt numFmtId="180" formatCode="_(&quot;€&quot;* #,##0_);_(&quot;€&quot;* \(#,##0\);_(&quot;€&quot;* &quot;-&quot;??_);_(@_)"/>
  </numFmts>
  <fonts count="175">
    <font>
      <sz val="11"/>
      <color theme="1"/>
      <name val="Calibri"/>
      <family val="2"/>
      <scheme val="minor"/>
    </font>
    <font>
      <b/>
      <sz val="11"/>
      <color theme="1"/>
      <name val="Calibri"/>
      <family val="2"/>
      <scheme val="minor"/>
    </font>
    <font>
      <b/>
      <sz val="10"/>
      <color theme="1"/>
      <name val="Calibri"/>
      <family val="2"/>
      <scheme val="minor"/>
    </font>
    <font>
      <b/>
      <sz val="16"/>
      <color theme="1"/>
      <name val="Calibri"/>
      <family val="2"/>
      <scheme val="minor"/>
    </font>
    <font>
      <sz val="11"/>
      <color theme="1" tint="0.34998626667073579"/>
      <name val="Calibri"/>
      <family val="2"/>
      <scheme val="minor"/>
    </font>
    <font>
      <sz val="11"/>
      <color theme="0" tint="-0.249977111117893"/>
      <name val="Calibri"/>
      <family val="2"/>
      <scheme val="minor"/>
    </font>
    <font>
      <sz val="11"/>
      <color theme="0"/>
      <name val="Calibri"/>
      <family val="2"/>
      <scheme val="minor"/>
    </font>
    <font>
      <sz val="11"/>
      <name val="Calibri"/>
      <family val="2"/>
      <scheme val="minor"/>
    </font>
    <font>
      <u/>
      <sz val="10"/>
      <color theme="10"/>
      <name val="Arial"/>
      <family val="2"/>
    </font>
    <font>
      <sz val="11"/>
      <color theme="1"/>
      <name val="Calibri"/>
      <family val="2"/>
      <scheme val="minor"/>
    </font>
    <font>
      <sz val="11"/>
      <color theme="1"/>
      <name val="Gisha"/>
      <family val="2"/>
    </font>
    <font>
      <sz val="11"/>
      <name val="Gisha"/>
      <family val="2"/>
    </font>
    <font>
      <sz val="9"/>
      <color theme="1"/>
      <name val="Gisha"/>
      <family val="2"/>
    </font>
    <font>
      <b/>
      <sz val="14"/>
      <color theme="1"/>
      <name val="Gisha"/>
      <family val="2"/>
    </font>
    <font>
      <b/>
      <sz val="11"/>
      <color theme="1"/>
      <name val="Gisha"/>
      <family val="2"/>
    </font>
    <font>
      <sz val="11"/>
      <color theme="0"/>
      <name val="Gisha"/>
      <family val="2"/>
    </font>
    <font>
      <b/>
      <sz val="12"/>
      <name val="Calibri"/>
      <family val="2"/>
      <scheme val="minor"/>
    </font>
    <font>
      <b/>
      <sz val="16"/>
      <name val="Calibri"/>
      <family val="2"/>
      <scheme val="minor"/>
    </font>
    <font>
      <b/>
      <sz val="12"/>
      <color theme="0"/>
      <name val="Calibri"/>
      <family val="2"/>
      <scheme val="minor"/>
    </font>
    <font>
      <b/>
      <sz val="14"/>
      <color theme="0"/>
      <name val="Calibri"/>
      <family val="2"/>
      <scheme val="minor"/>
    </font>
    <font>
      <b/>
      <sz val="16"/>
      <color theme="1"/>
      <name val="Calibri"/>
      <family val="2"/>
    </font>
    <font>
      <sz val="10"/>
      <name val="Verdana"/>
      <family val="2"/>
    </font>
    <font>
      <sz val="12"/>
      <name val="Calibri"/>
      <family val="2"/>
      <scheme val="minor"/>
    </font>
    <font>
      <b/>
      <sz val="12"/>
      <color theme="8" tint="-0.249977111117893"/>
      <name val="Calibri"/>
      <family val="2"/>
      <scheme val="minor"/>
    </font>
    <font>
      <sz val="10"/>
      <color theme="0"/>
      <name val="Calibri"/>
      <family val="2"/>
      <scheme val="minor"/>
    </font>
    <font>
      <sz val="10"/>
      <color theme="8" tint="0.59999389629810485"/>
      <name val="Calibri"/>
      <family val="2"/>
      <scheme val="minor"/>
    </font>
    <font>
      <sz val="9"/>
      <color theme="1"/>
      <name val="Calibri"/>
      <family val="2"/>
      <scheme val="minor"/>
    </font>
    <font>
      <sz val="10"/>
      <name val="Calibri"/>
      <family val="2"/>
      <scheme val="minor"/>
    </font>
    <font>
      <sz val="12"/>
      <color theme="1"/>
      <name val="Calibri"/>
      <family val="2"/>
      <scheme val="minor"/>
    </font>
    <font>
      <b/>
      <sz val="14"/>
      <name val="Calibri"/>
      <family val="2"/>
      <scheme val="minor"/>
    </font>
    <font>
      <b/>
      <sz val="12"/>
      <color theme="1"/>
      <name val="Calibri"/>
      <family val="2"/>
      <scheme val="minor"/>
    </font>
    <font>
      <b/>
      <sz val="26"/>
      <color theme="0"/>
      <name val="Calibri"/>
      <family val="2"/>
      <scheme val="minor"/>
    </font>
    <font>
      <b/>
      <sz val="16"/>
      <color theme="1" tint="0.249977111117893"/>
      <name val="Calibri"/>
      <family val="2"/>
      <scheme val="minor"/>
    </font>
    <font>
      <sz val="8"/>
      <color theme="1" tint="0.249977111117893"/>
      <name val="Calibri"/>
      <family val="2"/>
      <scheme val="minor"/>
    </font>
    <font>
      <b/>
      <sz val="26"/>
      <color theme="1" tint="0.249977111117893"/>
      <name val="Calibri"/>
      <family val="2"/>
      <scheme val="minor"/>
    </font>
    <font>
      <b/>
      <sz val="26"/>
      <color rgb="FF222222"/>
      <name val="Calibri"/>
      <family val="2"/>
      <scheme val="minor"/>
    </font>
    <font>
      <sz val="18"/>
      <color rgb="FF007033"/>
      <name val="Gisha"/>
      <family val="2"/>
    </font>
    <font>
      <b/>
      <sz val="12"/>
      <color rgb="FF00B050"/>
      <name val="Calibri"/>
      <family val="2"/>
      <scheme val="minor"/>
    </font>
    <font>
      <i/>
      <sz val="14"/>
      <color theme="1"/>
      <name val="Calibri"/>
      <family val="2"/>
      <scheme val="minor"/>
    </font>
    <font>
      <sz val="11"/>
      <color theme="0" tint="-0.499984740745262"/>
      <name val="Calibri"/>
      <family val="2"/>
      <scheme val="minor"/>
    </font>
    <font>
      <i/>
      <sz val="12"/>
      <name val="Calibri"/>
      <family val="2"/>
      <scheme val="minor"/>
    </font>
    <font>
      <sz val="14"/>
      <name val="Calibri"/>
      <family val="2"/>
      <scheme val="minor"/>
    </font>
    <font>
      <b/>
      <sz val="10"/>
      <color theme="0" tint="-0.499984740745262"/>
      <name val="Calibri"/>
      <family val="2"/>
      <scheme val="minor"/>
    </font>
    <font>
      <sz val="12"/>
      <color indexed="81"/>
      <name val="Tahoma"/>
      <family val="2"/>
    </font>
    <font>
      <sz val="14"/>
      <color theme="0"/>
      <name val="Calibri"/>
      <family val="2"/>
      <scheme val="minor"/>
    </font>
    <font>
      <sz val="11"/>
      <color theme="0" tint="-0.14999847407452621"/>
      <name val="Calibri"/>
      <family val="2"/>
      <scheme val="minor"/>
    </font>
    <font>
      <u/>
      <sz val="11"/>
      <color theme="10"/>
      <name val="Calibri"/>
      <family val="2"/>
      <scheme val="minor"/>
    </font>
    <font>
      <b/>
      <sz val="11"/>
      <color rgb="FF001219"/>
      <name val="Calibri"/>
      <family val="2"/>
      <scheme val="minor"/>
    </font>
    <font>
      <sz val="11"/>
      <color rgb="FF001219"/>
      <name val="Calibri"/>
      <family val="2"/>
      <scheme val="minor"/>
    </font>
    <font>
      <sz val="11"/>
      <color rgb="FF94D2BD"/>
      <name val="Calibri"/>
      <family val="2"/>
      <scheme val="minor"/>
    </font>
    <font>
      <b/>
      <sz val="10"/>
      <color rgb="FF94D2BD"/>
      <name val="Calibri"/>
      <family val="2"/>
      <scheme val="minor"/>
    </font>
    <font>
      <b/>
      <sz val="18"/>
      <color rgb="FF94D2BD"/>
      <name val="Calibri"/>
      <family val="2"/>
      <scheme val="minor"/>
    </font>
    <font>
      <sz val="20"/>
      <color rgb="FF001219"/>
      <name val="Calibri"/>
      <family val="2"/>
      <scheme val="minor"/>
    </font>
    <font>
      <b/>
      <sz val="16"/>
      <color rgb="FFC00000"/>
      <name val="Calibri"/>
      <family val="2"/>
      <scheme val="minor"/>
    </font>
    <font>
      <sz val="11"/>
      <color rgb="FFC6C5B9"/>
      <name val="Calibri"/>
      <family val="2"/>
      <scheme val="minor"/>
    </font>
    <font>
      <b/>
      <sz val="16"/>
      <color rgb="FF393D3F"/>
      <name val="Calibri"/>
      <family val="2"/>
      <scheme val="minor"/>
    </font>
    <font>
      <b/>
      <sz val="11"/>
      <color rgb="FF393D3F"/>
      <name val="Calibri"/>
      <family val="2"/>
      <scheme val="minor"/>
    </font>
    <font>
      <b/>
      <sz val="16"/>
      <color rgb="FFFDFDFF"/>
      <name val="Calibri"/>
      <family val="2"/>
      <scheme val="minor"/>
    </font>
    <font>
      <sz val="11"/>
      <color rgb="FFFDFDFF"/>
      <name val="Calibri"/>
      <family val="2"/>
      <scheme val="minor"/>
    </font>
    <font>
      <b/>
      <sz val="10"/>
      <color rgb="FFFDFDFF"/>
      <name val="Calibri"/>
      <family val="2"/>
      <scheme val="minor"/>
    </font>
    <font>
      <sz val="16"/>
      <color rgb="FFFDFDFF"/>
      <name val="Calibri"/>
      <family val="2"/>
      <scheme val="minor"/>
    </font>
    <font>
      <sz val="16"/>
      <color rgb="FF546A7B"/>
      <name val="Calibri"/>
      <family val="2"/>
      <scheme val="minor"/>
    </font>
    <font>
      <b/>
      <sz val="16"/>
      <color rgb="FF546A7B"/>
      <name val="Calibri"/>
      <family val="2"/>
      <scheme val="minor"/>
    </font>
    <font>
      <sz val="16"/>
      <color rgb="FF393D3F"/>
      <name val="Calibri"/>
      <family val="2"/>
      <scheme val="minor"/>
    </font>
    <font>
      <i/>
      <sz val="16"/>
      <color rgb="FF393D3F"/>
      <name val="Calibri"/>
      <family val="2"/>
      <scheme val="minor"/>
    </font>
    <font>
      <b/>
      <sz val="18"/>
      <color rgb="FFFDFDFF"/>
      <name val="Calibri"/>
      <family val="2"/>
      <scheme val="minor"/>
    </font>
    <font>
      <b/>
      <sz val="20"/>
      <color rgb="FFFDFDFF"/>
      <name val="Calibri"/>
      <family val="2"/>
      <scheme val="minor"/>
    </font>
    <font>
      <b/>
      <sz val="18"/>
      <color rgb="FF393D3F"/>
      <name val="Calibri"/>
      <family val="2"/>
      <scheme val="minor"/>
    </font>
    <font>
      <b/>
      <sz val="11"/>
      <color rgb="FFFDFDFF"/>
      <name val="Calibri"/>
      <family val="2"/>
      <scheme val="minor"/>
    </font>
    <font>
      <sz val="16"/>
      <color theme="1"/>
      <name val="Calibri"/>
      <family val="2"/>
      <scheme val="minor"/>
    </font>
    <font>
      <b/>
      <sz val="16"/>
      <color theme="1" tint="0.499984740745262"/>
      <name val="Calibri"/>
      <family val="2"/>
      <scheme val="minor"/>
    </font>
    <font>
      <b/>
      <sz val="16"/>
      <color rgb="FF00A804"/>
      <name val="Calibri"/>
      <family val="2"/>
      <scheme val="minor"/>
    </font>
    <font>
      <sz val="11"/>
      <color rgb="FF393D3F"/>
      <name val="Calibri"/>
      <family val="2"/>
      <scheme val="minor"/>
    </font>
    <font>
      <sz val="26"/>
      <color theme="1" tint="0.249977111117893"/>
      <name val="Calibri"/>
      <family val="2"/>
      <scheme val="minor"/>
    </font>
    <font>
      <b/>
      <sz val="12"/>
      <color rgb="FF393D3F"/>
      <name val="Calibri"/>
      <family val="2"/>
      <scheme val="minor"/>
    </font>
    <font>
      <b/>
      <sz val="28"/>
      <color rgb="FFC6C5B9"/>
      <name val="Calibri"/>
      <family val="2"/>
      <scheme val="minor"/>
    </font>
    <font>
      <b/>
      <sz val="18"/>
      <color rgb="FF62929E"/>
      <name val="Calibri"/>
      <family val="2"/>
      <scheme val="minor"/>
    </font>
    <font>
      <b/>
      <sz val="20"/>
      <color theme="1"/>
      <name val="Calibri"/>
      <family val="2"/>
      <scheme val="minor"/>
    </font>
    <font>
      <sz val="10"/>
      <color rgb="FFFDFDFF"/>
      <name val="Calibri"/>
      <family val="2"/>
      <scheme val="minor"/>
    </font>
    <font>
      <b/>
      <u/>
      <sz val="10"/>
      <color rgb="FFFDFDFF"/>
      <name val="Calibri"/>
      <family val="2"/>
      <scheme val="minor"/>
    </font>
    <font>
      <b/>
      <i/>
      <sz val="11"/>
      <color rgb="FF393D3F"/>
      <name val="Calibri"/>
      <family val="2"/>
      <scheme val="minor"/>
    </font>
    <font>
      <b/>
      <i/>
      <sz val="20"/>
      <color rgb="FF393D3F"/>
      <name val="Calibri"/>
      <family val="2"/>
      <scheme val="minor"/>
    </font>
    <font>
      <i/>
      <sz val="10"/>
      <color rgb="FFFDFDFF"/>
      <name val="Calibri"/>
      <family val="2"/>
      <scheme val="minor"/>
    </font>
    <font>
      <b/>
      <i/>
      <sz val="12"/>
      <color rgb="FFFDFDFF"/>
      <name val="Calibri"/>
      <family val="2"/>
      <scheme val="minor"/>
    </font>
    <font>
      <i/>
      <sz val="12"/>
      <color rgb="FFFDFDFF"/>
      <name val="Calibri"/>
      <family val="2"/>
      <scheme val="minor"/>
    </font>
    <font>
      <b/>
      <sz val="12"/>
      <color rgb="FFFDFDFF"/>
      <name val="Calibri"/>
      <family val="2"/>
      <scheme val="minor"/>
    </font>
    <font>
      <sz val="12"/>
      <color rgb="FF393D3F"/>
      <name val="Calibri"/>
      <family val="2"/>
      <scheme val="minor"/>
    </font>
    <font>
      <vertAlign val="subscript"/>
      <sz val="12"/>
      <color rgb="FF393D3F"/>
      <name val="Calibri"/>
      <family val="2"/>
      <scheme val="minor"/>
    </font>
    <font>
      <b/>
      <sz val="14"/>
      <color rgb="FF62929E"/>
      <name val="Calibri"/>
      <family val="2"/>
      <scheme val="minor"/>
    </font>
    <font>
      <b/>
      <sz val="12"/>
      <color rgb="FF62929E"/>
      <name val="Calibri"/>
      <family val="2"/>
      <scheme val="minor"/>
    </font>
    <font>
      <b/>
      <sz val="20"/>
      <color rgb="FF393D3F"/>
      <name val="Calibri"/>
      <family val="2"/>
      <scheme val="minor"/>
    </font>
    <font>
      <b/>
      <sz val="18"/>
      <color rgb="FFC6C5B9"/>
      <name val="Calibri"/>
      <family val="2"/>
      <scheme val="minor"/>
    </font>
    <font>
      <i/>
      <sz val="18"/>
      <color theme="1"/>
      <name val="Calibri"/>
      <family val="2"/>
      <scheme val="minor"/>
    </font>
    <font>
      <i/>
      <sz val="18"/>
      <color rgb="FF393D3F"/>
      <name val="Calibri"/>
      <family val="2"/>
      <scheme val="minor"/>
    </font>
    <font>
      <i/>
      <sz val="16"/>
      <color rgb="FFFDFDFF"/>
      <name val="Calibri"/>
      <family val="2"/>
      <scheme val="minor"/>
    </font>
    <font>
      <sz val="9"/>
      <color rgb="FF393D3F"/>
      <name val="Calibri"/>
      <family val="2"/>
      <scheme val="minor"/>
    </font>
    <font>
      <sz val="8"/>
      <color rgb="FF393D3F"/>
      <name val="Calibri"/>
      <family val="2"/>
      <scheme val="minor"/>
    </font>
    <font>
      <sz val="14"/>
      <color rgb="FF393D3F"/>
      <name val="Calibri"/>
      <family val="2"/>
      <scheme val="minor"/>
    </font>
    <font>
      <i/>
      <sz val="11"/>
      <color rgb="FF393D3F"/>
      <name val="Calibri"/>
      <family val="2"/>
      <scheme val="minor"/>
    </font>
    <font>
      <b/>
      <sz val="16"/>
      <color rgb="FFBC4B51"/>
      <name val="Calibri"/>
      <family val="2"/>
      <scheme val="minor"/>
    </font>
    <font>
      <b/>
      <sz val="22"/>
      <color rgb="FF62929E"/>
      <name val="Calibri"/>
      <family val="2"/>
      <scheme val="minor"/>
    </font>
    <font>
      <b/>
      <sz val="22"/>
      <color rgb="FF393D3F"/>
      <name val="Calibri"/>
      <family val="2"/>
      <scheme val="minor"/>
    </font>
    <font>
      <b/>
      <sz val="11"/>
      <color theme="0" tint="-0.14999847407452621"/>
      <name val="Calibri"/>
      <family val="2"/>
      <scheme val="minor"/>
    </font>
    <font>
      <b/>
      <sz val="36"/>
      <color rgb="FF393D3F"/>
      <name val="Calibri"/>
      <family val="2"/>
      <scheme val="minor"/>
    </font>
    <font>
      <b/>
      <sz val="36"/>
      <color theme="1" tint="0.249977111117893"/>
      <name val="Calibri"/>
      <family val="2"/>
      <scheme val="minor"/>
    </font>
    <font>
      <b/>
      <sz val="14"/>
      <color rgb="FF393D3F"/>
      <name val="Calibri"/>
      <family val="2"/>
      <scheme val="minor"/>
    </font>
    <font>
      <sz val="14"/>
      <color rgb="FFFDFDFF"/>
      <name val="Calibri"/>
      <family val="2"/>
      <scheme val="minor"/>
    </font>
    <font>
      <b/>
      <sz val="14"/>
      <color rgb="FFFDFDFF"/>
      <name val="Calibri"/>
      <family val="2"/>
      <scheme val="minor"/>
    </font>
    <font>
      <sz val="12"/>
      <color rgb="FFFDFDFF"/>
      <name val="Calibri"/>
      <family val="2"/>
      <scheme val="minor"/>
    </font>
    <font>
      <b/>
      <sz val="14"/>
      <color indexed="81"/>
      <name val="Tahoma"/>
      <family val="2"/>
    </font>
    <font>
      <sz val="14"/>
      <color indexed="81"/>
      <name val="Tahoma"/>
      <family val="2"/>
    </font>
    <font>
      <b/>
      <sz val="18"/>
      <color rgb="FFF4E285"/>
      <name val="Calibri"/>
      <family val="2"/>
      <scheme val="minor"/>
    </font>
    <font>
      <b/>
      <sz val="18"/>
      <color rgb="FFF4A259"/>
      <name val="Calibri"/>
      <family val="2"/>
      <scheme val="minor"/>
    </font>
    <font>
      <vertAlign val="subscript"/>
      <sz val="8"/>
      <color rgb="FF393D3F"/>
      <name val="Calibri"/>
      <family val="2"/>
      <scheme val="minor"/>
    </font>
    <font>
      <sz val="10"/>
      <color rgb="FF393D3F"/>
      <name val="Calibri"/>
      <family val="2"/>
      <scheme val="minor"/>
    </font>
    <font>
      <b/>
      <sz val="16"/>
      <color rgb="FF62929E"/>
      <name val="Calibri"/>
      <family val="2"/>
      <scheme val="minor"/>
    </font>
    <font>
      <sz val="16"/>
      <color theme="0"/>
      <name val="Calibri"/>
      <family val="2"/>
      <scheme val="minor"/>
    </font>
    <font>
      <b/>
      <sz val="16"/>
      <color rgb="FFF4E285"/>
      <name val="Calibri"/>
      <family val="2"/>
      <scheme val="minor"/>
    </font>
    <font>
      <b/>
      <sz val="16"/>
      <color rgb="FFF4A259"/>
      <name val="Calibri"/>
      <family val="2"/>
      <scheme val="minor"/>
    </font>
    <font>
      <b/>
      <sz val="48"/>
      <color rgb="FF62929E"/>
      <name val="Calibri"/>
      <family val="2"/>
      <scheme val="minor"/>
    </font>
    <font>
      <b/>
      <vertAlign val="subscript"/>
      <sz val="48"/>
      <color rgb="FF62929E"/>
      <name val="Calibri"/>
      <family val="2"/>
      <scheme val="minor"/>
    </font>
    <font>
      <b/>
      <sz val="56"/>
      <color rgb="FF62929E"/>
      <name val="Calibri"/>
      <family val="2"/>
      <scheme val="minor"/>
    </font>
    <font>
      <b/>
      <vertAlign val="subscript"/>
      <sz val="56"/>
      <color rgb="FF62929E"/>
      <name val="Calibri"/>
      <family val="2"/>
      <scheme val="minor"/>
    </font>
    <font>
      <u/>
      <sz val="12"/>
      <color rgb="FF393D3F"/>
      <name val="Calibri"/>
      <family val="2"/>
      <scheme val="minor"/>
    </font>
    <font>
      <b/>
      <sz val="20"/>
      <color rgb="FF62929E"/>
      <name val="Calibri"/>
      <family val="2"/>
      <scheme val="minor"/>
    </font>
    <font>
      <b/>
      <sz val="14"/>
      <color rgb="FF6E9BA6"/>
      <name val="Calibri"/>
      <family val="2"/>
      <scheme val="minor"/>
    </font>
    <font>
      <sz val="14"/>
      <color rgb="FF6E9BA6"/>
      <name val="Calibri"/>
      <family val="2"/>
      <scheme val="minor"/>
    </font>
    <font>
      <sz val="11"/>
      <color theme="1"/>
      <name val="Calibri"/>
      <family val="2"/>
    </font>
    <font>
      <b/>
      <sz val="16"/>
      <color rgb="FF001219"/>
      <name val="Calibri"/>
      <family val="2"/>
      <scheme val="minor"/>
    </font>
    <font>
      <b/>
      <sz val="16"/>
      <color rgb="FF8CB369"/>
      <name val="Calibri"/>
      <family val="2"/>
      <scheme val="minor"/>
    </font>
    <font>
      <sz val="16"/>
      <color indexed="81"/>
      <name val="Tahoma"/>
      <family val="2"/>
    </font>
    <font>
      <b/>
      <sz val="18"/>
      <color rgb="FFC6C6B9"/>
      <name val="Calibri"/>
      <family val="2"/>
      <scheme val="minor"/>
    </font>
    <font>
      <sz val="11"/>
      <color rgb="FFC6C6B9"/>
      <name val="Calibri"/>
      <family val="2"/>
      <scheme val="minor"/>
    </font>
    <font>
      <b/>
      <sz val="36"/>
      <color rgb="FF62929E"/>
      <name val="Calibri"/>
      <family val="2"/>
      <scheme val="minor"/>
    </font>
    <font>
      <b/>
      <sz val="14"/>
      <color theme="0"/>
      <name val="Calibri  "/>
    </font>
    <font>
      <b/>
      <sz val="14"/>
      <color rgb="FF546A7B"/>
      <name val="Calibri  "/>
    </font>
    <font>
      <sz val="14"/>
      <color rgb="FFFDFDFF"/>
      <name val="Calibri  "/>
    </font>
    <font>
      <sz val="16"/>
      <color rgb="FFF4E285"/>
      <name val="Calibri"/>
      <family val="2"/>
      <scheme val="minor"/>
    </font>
    <font>
      <b/>
      <sz val="16"/>
      <color rgb="FFC6C6B9"/>
      <name val="Calibri"/>
      <family val="2"/>
      <scheme val="minor"/>
    </font>
    <font>
      <sz val="12"/>
      <color theme="0"/>
      <name val="Calibri"/>
      <family val="2"/>
      <scheme val="minor"/>
    </font>
    <font>
      <b/>
      <sz val="26"/>
      <color rgb="FF393D3F"/>
      <name val="Calibri"/>
      <family val="2"/>
      <scheme val="minor"/>
    </font>
    <font>
      <b/>
      <sz val="11"/>
      <color rgb="FFF4E285"/>
      <name val="Calibri"/>
      <family val="2"/>
      <scheme val="minor"/>
    </font>
    <font>
      <b/>
      <sz val="12"/>
      <color rgb="FFF4E285"/>
      <name val="Calibri"/>
      <family val="2"/>
      <scheme val="minor"/>
    </font>
    <font>
      <b/>
      <sz val="15.5"/>
      <color rgb="FFF4A259"/>
      <name val="Calibri"/>
      <family val="2"/>
      <scheme val="minor"/>
    </font>
    <font>
      <sz val="16"/>
      <color rgb="FFFF0000"/>
      <name val="Calibri"/>
      <family val="2"/>
      <scheme val="minor"/>
    </font>
    <font>
      <b/>
      <i/>
      <sz val="24"/>
      <color rgb="FF393D3F"/>
      <name val="Calibri"/>
      <family val="2"/>
      <scheme val="minor"/>
    </font>
    <font>
      <b/>
      <sz val="16"/>
      <color indexed="81"/>
      <name val="Tahoma"/>
      <family val="2"/>
    </font>
    <font>
      <b/>
      <sz val="11"/>
      <color rgb="FFF4A259"/>
      <name val="Calibri"/>
      <family val="2"/>
      <scheme val="minor"/>
    </font>
    <font>
      <b/>
      <sz val="11"/>
      <color rgb="FF62929E"/>
      <name val="Calibri"/>
      <family val="2"/>
      <scheme val="minor"/>
    </font>
    <font>
      <b/>
      <sz val="11"/>
      <color rgb="FF8CB369"/>
      <name val="Calibri"/>
      <family val="2"/>
      <scheme val="minor"/>
    </font>
    <font>
      <b/>
      <sz val="12"/>
      <color rgb="FFF4A259"/>
      <name val="Calibri"/>
      <family val="2"/>
      <scheme val="minor"/>
    </font>
    <font>
      <b/>
      <sz val="12"/>
      <color rgb="FF8CB369"/>
      <name val="Calibri"/>
      <family val="2"/>
      <scheme val="minor"/>
    </font>
    <font>
      <b/>
      <sz val="12"/>
      <color rgb="FFC6C6B9"/>
      <name val="Calibri"/>
      <family val="2"/>
      <scheme val="minor"/>
    </font>
    <font>
      <i/>
      <sz val="11"/>
      <color theme="1"/>
      <name val="Calibri"/>
      <family val="2"/>
      <scheme val="minor"/>
    </font>
    <font>
      <sz val="16"/>
      <color rgb="FF62929E"/>
      <name val="Calibri"/>
      <family val="2"/>
      <scheme val="minor"/>
    </font>
    <font>
      <sz val="11"/>
      <color theme="1"/>
      <name val="Wingdings"/>
      <charset val="2"/>
    </font>
    <font>
      <b/>
      <sz val="18"/>
      <color rgb="FF94D2BD"/>
      <name val="Calibri"/>
      <family val="2"/>
    </font>
    <font>
      <b/>
      <sz val="1"/>
      <color rgb="FF393D3F"/>
      <name val="Calibri"/>
      <family val="2"/>
      <scheme val="minor"/>
    </font>
    <font>
      <sz val="1"/>
      <color rgb="FF393D3F"/>
      <name val="Calibri"/>
      <family val="2"/>
      <scheme val="minor"/>
    </font>
    <font>
      <sz val="9"/>
      <color indexed="81"/>
      <name val="Tahoma"/>
      <family val="2"/>
    </font>
    <font>
      <b/>
      <sz val="14"/>
      <color rgb="FFFDFDFF"/>
      <name val="Calibri  "/>
    </font>
    <font>
      <sz val="14"/>
      <color theme="0" tint="-0.499984740745262"/>
      <name val="Calibri"/>
      <family val="2"/>
      <scheme val="minor"/>
    </font>
    <font>
      <vertAlign val="subscript"/>
      <sz val="12"/>
      <name val="Calibri"/>
      <family val="2"/>
      <scheme val="minor"/>
    </font>
    <font>
      <b/>
      <vertAlign val="subscript"/>
      <sz val="16"/>
      <color rgb="FFC6C6B9"/>
      <name val="Calibri"/>
      <family val="2"/>
      <scheme val="minor"/>
    </font>
    <font>
      <b/>
      <vertAlign val="subscript"/>
      <sz val="16"/>
      <color rgb="FFFDFDFF"/>
      <name val="Calibri"/>
      <family val="2"/>
      <scheme val="minor"/>
    </font>
    <font>
      <vertAlign val="subscript"/>
      <sz val="14"/>
      <color rgb="FFFDFDFF"/>
      <name val="Calibri"/>
      <family val="2"/>
      <scheme val="minor"/>
    </font>
    <font>
      <vertAlign val="subscript"/>
      <sz val="16"/>
      <color theme="0"/>
      <name val="Calibri"/>
      <family val="2"/>
      <scheme val="minor"/>
    </font>
    <font>
      <vertAlign val="subscript"/>
      <sz val="14"/>
      <color theme="0"/>
      <name val="Calibri"/>
      <family val="2"/>
      <scheme val="minor"/>
    </font>
    <font>
      <b/>
      <i/>
      <sz val="20"/>
      <color rgb="FFFDFDFF"/>
      <name val="Calibri"/>
      <family val="2"/>
      <scheme val="minor"/>
    </font>
    <font>
      <sz val="20"/>
      <color rgb="FFFDFDFF"/>
      <name val="Calibri"/>
      <family val="2"/>
      <scheme val="minor"/>
    </font>
    <font>
      <sz val="20"/>
      <color rgb="FFF4E285"/>
      <name val="Calibri"/>
      <family val="2"/>
      <scheme val="minor"/>
    </font>
    <font>
      <b/>
      <sz val="20"/>
      <color rgb="FFF4E285"/>
      <name val="Calibri"/>
      <family val="2"/>
      <scheme val="minor"/>
    </font>
    <font>
      <b/>
      <sz val="26"/>
      <color rgb="FFF4E285"/>
      <name val="Calibri"/>
      <family val="2"/>
      <scheme val="minor"/>
    </font>
    <font>
      <b/>
      <i/>
      <sz val="18"/>
      <color rgb="FFF4E285"/>
      <name val="Calibri"/>
      <family val="2"/>
      <scheme val="minor"/>
    </font>
    <font>
      <sz val="9"/>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C6C5B9"/>
        <bgColor indexed="64"/>
      </patternFill>
    </fill>
    <fill>
      <patternFill patternType="solid">
        <fgColor rgb="FF393D3F"/>
        <bgColor indexed="64"/>
      </patternFill>
    </fill>
    <fill>
      <patternFill patternType="solid">
        <fgColor rgb="FF546A7B"/>
        <bgColor indexed="64"/>
      </patternFill>
    </fill>
    <fill>
      <patternFill patternType="solid">
        <fgColor rgb="FFFDFDFF"/>
        <bgColor indexed="64"/>
      </patternFill>
    </fill>
    <fill>
      <patternFill patternType="solid">
        <fgColor rgb="FF62929E"/>
        <bgColor indexed="64"/>
      </patternFill>
    </fill>
    <fill>
      <patternFill patternType="solid">
        <fgColor rgb="FF62929E"/>
        <bgColor auto="1"/>
      </patternFill>
    </fill>
    <fill>
      <gradientFill degree="90">
        <stop position="0">
          <color rgb="FF62929E"/>
        </stop>
        <stop position="1">
          <color rgb="FF393D3F"/>
        </stop>
      </gradientFill>
    </fill>
    <fill>
      <patternFill patternType="solid">
        <fgColor rgb="FFF4E285"/>
        <bgColor indexed="64"/>
      </patternFill>
    </fill>
    <fill>
      <patternFill patternType="solid">
        <fgColor rgb="FF393D3F"/>
        <bgColor auto="1"/>
      </patternFill>
    </fill>
    <fill>
      <patternFill patternType="solid">
        <fgColor rgb="FFC6C5B9"/>
        <bgColor auto="1"/>
      </patternFill>
    </fill>
    <fill>
      <patternFill patternType="solid">
        <fgColor rgb="FFC6C6B9"/>
        <bgColor indexed="64"/>
      </patternFill>
    </fill>
    <fill>
      <patternFill patternType="solid">
        <fgColor rgb="FF8CB369"/>
        <bgColor indexed="64"/>
      </patternFill>
    </fill>
    <fill>
      <patternFill patternType="solid">
        <fgColor rgb="FFCBDBDF"/>
        <bgColor indexed="64"/>
      </patternFill>
    </fill>
    <fill>
      <patternFill patternType="solid">
        <fgColor rgb="FFC9E0E1"/>
        <bgColor indexed="64"/>
      </patternFill>
    </fill>
  </fills>
  <borders count="78">
    <border>
      <left/>
      <right/>
      <top/>
      <bottom/>
      <diagonal/>
    </border>
    <border>
      <left style="thin">
        <color theme="8" tint="-0.499984740745262"/>
      </left>
      <right/>
      <top/>
      <bottom/>
      <diagonal/>
    </border>
    <border>
      <left style="thin">
        <color auto="1"/>
      </left>
      <right style="thin">
        <color auto="1"/>
      </right>
      <top style="thin">
        <color indexed="64"/>
      </top>
      <bottom style="thin">
        <color indexed="64"/>
      </bottom>
      <diagonal/>
    </border>
    <border>
      <left/>
      <right style="thin">
        <color indexed="64"/>
      </right>
      <top/>
      <bottom/>
      <diagonal/>
    </border>
    <border>
      <left style="thin">
        <color auto="1"/>
      </left>
      <right/>
      <top style="thin">
        <color indexed="64"/>
      </top>
      <bottom/>
      <diagonal/>
    </border>
    <border>
      <left style="thin">
        <color auto="1"/>
      </left>
      <right/>
      <top/>
      <bottom/>
      <diagonal/>
    </border>
    <border>
      <left/>
      <right/>
      <top style="thin">
        <color auto="1"/>
      </top>
      <bottom/>
      <diagonal/>
    </border>
    <border>
      <left style="thin">
        <color theme="1"/>
      </left>
      <right style="thin">
        <color theme="1"/>
      </right>
      <top style="thin">
        <color theme="1"/>
      </top>
      <bottom style="thin">
        <color theme="1"/>
      </bottom>
      <diagonal/>
    </border>
    <border>
      <left style="thin">
        <color auto="1"/>
      </left>
      <right style="thin">
        <color auto="1"/>
      </right>
      <top/>
      <bottom/>
      <diagonal/>
    </border>
    <border>
      <left style="thin">
        <color rgb="FF001219"/>
      </left>
      <right style="thin">
        <color rgb="FF001219"/>
      </right>
      <top style="thin">
        <color rgb="FF001219"/>
      </top>
      <bottom style="thin">
        <color rgb="FF001219"/>
      </bottom>
      <diagonal/>
    </border>
    <border>
      <left/>
      <right/>
      <top/>
      <bottom style="thick">
        <color rgb="FF001219"/>
      </bottom>
      <diagonal/>
    </border>
    <border>
      <left/>
      <right/>
      <top style="thin">
        <color rgb="FF393D3F"/>
      </top>
      <bottom style="thin">
        <color rgb="FF393D3F"/>
      </bottom>
      <diagonal/>
    </border>
    <border>
      <left/>
      <right/>
      <top/>
      <bottom style="thin">
        <color rgb="FF393D3F"/>
      </bottom>
      <diagonal/>
    </border>
    <border>
      <left/>
      <right style="medium">
        <color rgb="FF393D3F"/>
      </right>
      <top/>
      <bottom/>
      <diagonal/>
    </border>
    <border>
      <left/>
      <right style="thin">
        <color rgb="FF393D3F"/>
      </right>
      <top/>
      <bottom/>
      <diagonal/>
    </border>
    <border>
      <left style="thin">
        <color rgb="FF393D3F"/>
      </left>
      <right style="thin">
        <color rgb="FF393D3F"/>
      </right>
      <top/>
      <bottom style="thin">
        <color rgb="FF393D3F"/>
      </bottom>
      <diagonal/>
    </border>
    <border>
      <left/>
      <right/>
      <top style="thin">
        <color rgb="FF393D3F"/>
      </top>
      <bottom/>
      <diagonal/>
    </border>
    <border>
      <left style="thin">
        <color rgb="FF393D3F"/>
      </left>
      <right/>
      <top style="thin">
        <color rgb="FF393D3F"/>
      </top>
      <bottom style="thin">
        <color rgb="FF393D3F"/>
      </bottom>
      <diagonal/>
    </border>
    <border>
      <left/>
      <right style="thin">
        <color rgb="FF393D3F"/>
      </right>
      <top style="thin">
        <color rgb="FF393D3F"/>
      </top>
      <bottom style="thin">
        <color rgb="FF393D3F"/>
      </bottom>
      <diagonal/>
    </border>
    <border>
      <left style="thin">
        <color auto="1"/>
      </left>
      <right style="thin">
        <color auto="1"/>
      </right>
      <top style="thin">
        <color indexed="64"/>
      </top>
      <bottom/>
      <diagonal/>
    </border>
    <border>
      <left style="thin">
        <color rgb="FF393D3F"/>
      </left>
      <right style="thin">
        <color rgb="FF393D3F"/>
      </right>
      <top style="thin">
        <color rgb="FF393D3F"/>
      </top>
      <bottom style="thin">
        <color rgb="FF393D3F"/>
      </bottom>
      <diagonal/>
    </border>
    <border>
      <left/>
      <right style="thick">
        <color rgb="FF393D3F"/>
      </right>
      <top/>
      <bottom/>
      <diagonal/>
    </border>
    <border>
      <left/>
      <right style="thick">
        <color rgb="FF393D3F"/>
      </right>
      <top style="thin">
        <color rgb="FF393D3F"/>
      </top>
      <bottom style="thin">
        <color rgb="FF393D3F"/>
      </bottom>
      <diagonal/>
    </border>
    <border>
      <left style="thick">
        <color rgb="FF393D3F"/>
      </left>
      <right/>
      <top/>
      <bottom style="thin">
        <color rgb="FF393D3F"/>
      </bottom>
      <diagonal/>
    </border>
    <border>
      <left style="thick">
        <color rgb="FF393D3F"/>
      </left>
      <right/>
      <top style="thin">
        <color rgb="FF393D3F"/>
      </top>
      <bottom style="thin">
        <color rgb="FF393D3F"/>
      </bottom>
      <diagonal/>
    </border>
    <border>
      <left/>
      <right style="thin">
        <color rgb="FF393D3F"/>
      </right>
      <top/>
      <bottom style="thin">
        <color rgb="FF393D3F"/>
      </bottom>
      <diagonal/>
    </border>
    <border>
      <left style="thin">
        <color rgb="FF393D3F"/>
      </left>
      <right/>
      <top/>
      <bottom style="thin">
        <color rgb="FF393D3F"/>
      </bottom>
      <diagonal/>
    </border>
    <border>
      <left style="thin">
        <color rgb="FF393D3F"/>
      </left>
      <right/>
      <top style="thin">
        <color rgb="FF393D3F"/>
      </top>
      <bottom/>
      <diagonal/>
    </border>
    <border>
      <left/>
      <right style="thin">
        <color rgb="FF393D3F"/>
      </right>
      <top style="thin">
        <color rgb="FF393D3F"/>
      </top>
      <bottom/>
      <diagonal/>
    </border>
    <border>
      <left style="thin">
        <color rgb="FF393D3F"/>
      </left>
      <right/>
      <top/>
      <bottom/>
      <diagonal/>
    </border>
    <border>
      <left style="thick">
        <color rgb="FF393D3F"/>
      </left>
      <right/>
      <top style="thin">
        <color rgb="FFFDFDFF"/>
      </top>
      <bottom/>
      <diagonal/>
    </border>
    <border>
      <left/>
      <right/>
      <top style="thin">
        <color rgb="FFFDFDFF"/>
      </top>
      <bottom/>
      <diagonal/>
    </border>
    <border>
      <left/>
      <right style="medium">
        <color rgb="FF393D3F"/>
      </right>
      <top style="thin">
        <color rgb="FF393D3F"/>
      </top>
      <bottom style="thin">
        <color rgb="FF393D3F"/>
      </bottom>
      <diagonal/>
    </border>
    <border>
      <left/>
      <right style="medium">
        <color rgb="FF393D3F"/>
      </right>
      <top/>
      <bottom style="thin">
        <color rgb="FF393D3F"/>
      </bottom>
      <diagonal/>
    </border>
    <border>
      <left style="thin">
        <color rgb="FF393D3F"/>
      </left>
      <right style="thin">
        <color rgb="FF393D3F"/>
      </right>
      <top style="thin">
        <color rgb="FF393D3F"/>
      </top>
      <bottom/>
      <diagonal/>
    </border>
    <border>
      <left style="thin">
        <color rgb="FF393D3F"/>
      </left>
      <right style="thick">
        <color rgb="FF393D3F"/>
      </right>
      <top style="thin">
        <color rgb="FF393D3F"/>
      </top>
      <bottom style="thin">
        <color rgb="FF393D3F"/>
      </bottom>
      <diagonal/>
    </border>
    <border>
      <left/>
      <right/>
      <top style="thin">
        <color rgb="FFC6C6B9"/>
      </top>
      <bottom style="thin">
        <color rgb="FFC6C6B9"/>
      </bottom>
      <diagonal/>
    </border>
    <border>
      <left/>
      <right/>
      <top style="thin">
        <color rgb="FFC6C6B9"/>
      </top>
      <bottom/>
      <diagonal/>
    </border>
    <border>
      <left/>
      <right style="thin">
        <color rgb="FF62929E"/>
      </right>
      <top/>
      <bottom/>
      <diagonal/>
    </border>
    <border>
      <left style="thin">
        <color rgb="FF62929E"/>
      </left>
      <right style="thin">
        <color rgb="FF62929E"/>
      </right>
      <top/>
      <bottom/>
      <diagonal/>
    </border>
    <border>
      <left style="thin">
        <color rgb="FF62929E"/>
      </left>
      <right/>
      <top/>
      <bottom/>
      <diagonal/>
    </border>
    <border>
      <left style="thin">
        <color auto="1"/>
      </left>
      <right/>
      <top/>
      <bottom style="thin">
        <color rgb="FF393D3F"/>
      </bottom>
      <diagonal/>
    </border>
    <border>
      <left/>
      <right/>
      <top/>
      <bottom style="thin">
        <color rgb="FFC6C6B9"/>
      </bottom>
      <diagonal/>
    </border>
    <border>
      <left/>
      <right/>
      <top/>
      <bottom style="thin">
        <color rgb="FFFDFDFF"/>
      </bottom>
      <diagonal/>
    </border>
    <border>
      <left style="thick">
        <color rgb="FF393D3F"/>
      </left>
      <right/>
      <top style="thin">
        <color rgb="FF393D3F"/>
      </top>
      <bottom/>
      <diagonal/>
    </border>
    <border>
      <left/>
      <right style="medium">
        <color rgb="FF393D3F"/>
      </right>
      <top style="thin">
        <color rgb="FF393D3F"/>
      </top>
      <bottom/>
      <diagonal/>
    </border>
    <border>
      <left/>
      <right style="thick">
        <color rgb="FF393D3F"/>
      </right>
      <top style="thick">
        <color rgb="FF393D3F"/>
      </top>
      <bottom style="thin">
        <color rgb="FF393D3F"/>
      </bottom>
      <diagonal/>
    </border>
    <border>
      <left/>
      <right style="thick">
        <color rgb="FF393D3F"/>
      </right>
      <top/>
      <bottom style="thin">
        <color rgb="FF393D3F"/>
      </bottom>
      <diagonal/>
    </border>
    <border>
      <left style="thick">
        <color rgb="FF393D3F"/>
      </left>
      <right/>
      <top style="thick">
        <color rgb="FF393D3F"/>
      </top>
      <bottom/>
      <diagonal/>
    </border>
    <border>
      <left/>
      <right style="thick">
        <color rgb="FF393D3F"/>
      </right>
      <top style="thick">
        <color rgb="FF393D3F"/>
      </top>
      <bottom/>
      <diagonal/>
    </border>
    <border>
      <left style="thin">
        <color auto="1"/>
      </left>
      <right style="thin">
        <color auto="1"/>
      </right>
      <top style="thin">
        <color auto="1"/>
      </top>
      <bottom style="thin">
        <color rgb="FF393D3F"/>
      </bottom>
      <diagonal/>
    </border>
    <border>
      <left style="thin">
        <color auto="1"/>
      </left>
      <right style="thin">
        <color auto="1"/>
      </right>
      <top style="thin">
        <color rgb="FF393D3F"/>
      </top>
      <bottom style="thin">
        <color rgb="FF393D3F"/>
      </bottom>
      <diagonal/>
    </border>
    <border>
      <left style="thin">
        <color auto="1"/>
      </left>
      <right style="thin">
        <color auto="1"/>
      </right>
      <top style="thin">
        <color rgb="FF393D3F"/>
      </top>
      <bottom style="thin">
        <color auto="1"/>
      </bottom>
      <diagonal/>
    </border>
    <border>
      <left style="thin">
        <color rgb="FFC6C6B9"/>
      </left>
      <right/>
      <top style="thin">
        <color rgb="FFC6C6B9"/>
      </top>
      <bottom style="thin">
        <color rgb="FFC6C6B9"/>
      </bottom>
      <diagonal/>
    </border>
    <border>
      <left/>
      <right style="thin">
        <color rgb="FFC6C6B9"/>
      </right>
      <top style="thin">
        <color rgb="FFC6C6B9"/>
      </top>
      <bottom style="thin">
        <color rgb="FFC6C6B9"/>
      </bottom>
      <diagonal/>
    </border>
    <border>
      <left/>
      <right style="thin">
        <color rgb="FFC6C6B9"/>
      </right>
      <top/>
      <bottom/>
      <diagonal/>
    </border>
    <border>
      <left style="thin">
        <color rgb="FF393D3F"/>
      </left>
      <right style="thin">
        <color rgb="FF393D3F"/>
      </right>
      <top style="thin">
        <color rgb="FF393D3F"/>
      </top>
      <bottom style="thin">
        <color rgb="FFC6C6B9"/>
      </bottom>
      <diagonal/>
    </border>
    <border>
      <left style="thin">
        <color rgb="FF393D3F"/>
      </left>
      <right style="thin">
        <color rgb="FF393D3F"/>
      </right>
      <top style="thin">
        <color rgb="FFC6C6B9"/>
      </top>
      <bottom style="thin">
        <color rgb="FF393D3F"/>
      </bottom>
      <diagonal/>
    </border>
    <border>
      <left style="thin">
        <color rgb="FFC6C6B9"/>
      </left>
      <right style="thin">
        <color rgb="FF393D3F"/>
      </right>
      <top style="thin">
        <color rgb="FFC6C6B9"/>
      </top>
      <bottom style="thin">
        <color rgb="FF393D3F"/>
      </bottom>
      <diagonal/>
    </border>
    <border>
      <left style="thin">
        <color rgb="FF393D3F"/>
      </left>
      <right style="thin">
        <color rgb="FFC6C6B9"/>
      </right>
      <top style="thin">
        <color rgb="FFC6C6B9"/>
      </top>
      <bottom style="thin">
        <color rgb="FF393D3F"/>
      </bottom>
      <diagonal/>
    </border>
    <border>
      <left style="thin">
        <color rgb="FFC6C6B9"/>
      </left>
      <right style="thin">
        <color rgb="FF393D3F"/>
      </right>
      <top style="thin">
        <color rgb="FF393D3F"/>
      </top>
      <bottom style="thin">
        <color rgb="FF393D3F"/>
      </bottom>
      <diagonal/>
    </border>
    <border>
      <left style="thin">
        <color rgb="FF393D3F"/>
      </left>
      <right style="thin">
        <color rgb="FFC6C6B9"/>
      </right>
      <top style="thin">
        <color rgb="FF393D3F"/>
      </top>
      <bottom style="thin">
        <color rgb="FF393D3F"/>
      </bottom>
      <diagonal/>
    </border>
    <border>
      <left style="thin">
        <color rgb="FFC6C6B9"/>
      </left>
      <right style="thin">
        <color rgb="FF393D3F"/>
      </right>
      <top style="thin">
        <color rgb="FF393D3F"/>
      </top>
      <bottom style="thin">
        <color rgb="FFC6C6B9"/>
      </bottom>
      <diagonal/>
    </border>
    <border>
      <left style="thin">
        <color rgb="FF393D3F"/>
      </left>
      <right style="thin">
        <color rgb="FFC6C6B9"/>
      </right>
      <top style="thin">
        <color rgb="FF393D3F"/>
      </top>
      <bottom style="thin">
        <color rgb="FFC6C6B9"/>
      </bottom>
      <diagonal/>
    </border>
    <border>
      <left style="thin">
        <color rgb="FFC6C5B9"/>
      </left>
      <right style="thin">
        <color rgb="FF393D3F"/>
      </right>
      <top style="thin">
        <color rgb="FF393D3F"/>
      </top>
      <bottom style="thin">
        <color rgb="FFC6C6B9"/>
      </bottom>
      <diagonal/>
    </border>
    <border>
      <left style="thin">
        <color rgb="FFC6C5B9"/>
      </left>
      <right style="thin">
        <color rgb="FF393D3F"/>
      </right>
      <top style="thin">
        <color rgb="FFC6C6B9"/>
      </top>
      <bottom style="thin">
        <color rgb="FF393D3F"/>
      </bottom>
      <diagonal/>
    </border>
    <border>
      <left style="thin">
        <color rgb="FFC6C5B9"/>
      </left>
      <right style="thin">
        <color rgb="FF393D3F"/>
      </right>
      <top style="thin">
        <color rgb="FF393D3F"/>
      </top>
      <bottom style="thin">
        <color rgb="FF393D3F"/>
      </bottom>
      <diagonal/>
    </border>
    <border>
      <left style="thin">
        <color rgb="FF393D3F"/>
      </left>
      <right style="thin">
        <color rgb="FFC6C5B9"/>
      </right>
      <top style="thin">
        <color rgb="FF393D3F"/>
      </top>
      <bottom style="thin">
        <color rgb="FF393D3F"/>
      </bottom>
      <diagonal/>
    </border>
    <border>
      <left style="thin">
        <color rgb="FF393D3F"/>
      </left>
      <right style="thin">
        <color rgb="FF393D3F"/>
      </right>
      <top/>
      <bottom/>
      <diagonal/>
    </border>
    <border>
      <left style="thin">
        <color rgb="FF393D3F"/>
      </left>
      <right style="thin">
        <color rgb="FFC6C5B9"/>
      </right>
      <top style="thin">
        <color rgb="FF393D3F"/>
      </top>
      <bottom/>
      <diagonal/>
    </border>
    <border>
      <left/>
      <right style="thin">
        <color rgb="FF393D3F"/>
      </right>
      <top style="thin">
        <color rgb="FF393D3F"/>
      </top>
      <bottom style="thin">
        <color rgb="FFC6C6B9"/>
      </bottom>
      <diagonal/>
    </border>
    <border>
      <left/>
      <right style="thin">
        <color rgb="FF393D3F"/>
      </right>
      <top style="thin">
        <color rgb="FFC6C6B9"/>
      </top>
      <bottom style="thin">
        <color rgb="FF393D3F"/>
      </bottom>
      <diagonal/>
    </border>
    <border>
      <left/>
      <right/>
      <top/>
      <bottom style="thin">
        <color auto="1"/>
      </bottom>
      <diagonal/>
    </border>
    <border>
      <left style="thin">
        <color rgb="FF001219"/>
      </left>
      <right style="thin">
        <color rgb="FF001219"/>
      </right>
      <top style="thin">
        <color rgb="FF001219"/>
      </top>
      <bottom/>
      <diagonal/>
    </border>
    <border>
      <left style="thin">
        <color rgb="FF001219"/>
      </left>
      <right style="thin">
        <color rgb="FF001219"/>
      </right>
      <top/>
      <bottom/>
      <diagonal/>
    </border>
    <border>
      <left style="thick">
        <color rgb="FF393D3F"/>
      </left>
      <right/>
      <top style="thick">
        <color rgb="FF393D3F"/>
      </top>
      <bottom style="medium">
        <color rgb="FF62929E"/>
      </bottom>
      <diagonal/>
    </border>
    <border>
      <left style="thin">
        <color rgb="FF393D3F"/>
      </left>
      <right style="thick">
        <color rgb="FF393D3F"/>
      </right>
      <top style="thin">
        <color rgb="FF393D3F"/>
      </top>
      <bottom/>
      <diagonal/>
    </border>
    <border>
      <left/>
      <right style="thin">
        <color rgb="FF393D3F"/>
      </right>
      <top style="thin">
        <color rgb="FFC6C5B9"/>
      </top>
      <bottom style="thin">
        <color rgb="FF393D3F"/>
      </bottom>
      <diagonal/>
    </border>
  </borders>
  <cellStyleXfs count="9">
    <xf numFmtId="0" fontId="0" fillId="0" borderId="0"/>
    <xf numFmtId="0" fontId="8" fillId="0" borderId="0" applyNumberForma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46" fillId="0" borderId="0" applyNumberForma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174" fillId="0" borderId="0"/>
  </cellStyleXfs>
  <cellXfs count="842">
    <xf numFmtId="0" fontId="0" fillId="0" borderId="0" xfId="0"/>
    <xf numFmtId="0" fontId="10" fillId="2" borderId="0" xfId="0" applyFont="1" applyFill="1"/>
    <xf numFmtId="0" fontId="6" fillId="2" borderId="0" xfId="0" applyFont="1" applyFill="1" applyAlignment="1">
      <alignment horizontal="right" vertical="top"/>
    </xf>
    <xf numFmtId="0" fontId="0" fillId="2" borderId="0" xfId="0" applyFill="1" applyAlignment="1">
      <alignment horizontal="right" vertical="top"/>
    </xf>
    <xf numFmtId="169" fontId="0" fillId="2" borderId="0" xfId="0" applyNumberFormat="1" applyFill="1" applyAlignment="1">
      <alignment horizontal="right" vertical="top"/>
    </xf>
    <xf numFmtId="174" fontId="0" fillId="2" borderId="0" xfId="0" applyNumberFormat="1" applyFill="1" applyAlignment="1">
      <alignment horizontal="right" vertical="top"/>
    </xf>
    <xf numFmtId="175" fontId="0" fillId="2" borderId="0" xfId="0" applyNumberFormat="1" applyFill="1" applyAlignment="1">
      <alignment horizontal="right" vertical="top"/>
    </xf>
    <xf numFmtId="0" fontId="0" fillId="3" borderId="0" xfId="0" applyFill="1"/>
    <xf numFmtId="0" fontId="0" fillId="4" borderId="0" xfId="0" applyFill="1"/>
    <xf numFmtId="0" fontId="0" fillId="7" borderId="0" xfId="0" applyFill="1"/>
    <xf numFmtId="0" fontId="6" fillId="7" borderId="0" xfId="0" applyFont="1" applyFill="1"/>
    <xf numFmtId="3" fontId="63" fillId="2" borderId="9" xfId="0" applyNumberFormat="1" applyFont="1" applyFill="1" applyBorder="1" applyAlignment="1" applyProtection="1">
      <alignment horizontal="right"/>
      <protection locked="0"/>
    </xf>
    <xf numFmtId="1" fontId="63" fillId="2" borderId="9" xfId="0" applyNumberFormat="1" applyFont="1" applyFill="1" applyBorder="1" applyAlignment="1" applyProtection="1">
      <alignment horizontal="right"/>
      <protection locked="0"/>
    </xf>
    <xf numFmtId="0" fontId="58" fillId="4" borderId="0" xfId="0" applyFont="1" applyFill="1"/>
    <xf numFmtId="0" fontId="3" fillId="4" borderId="0" xfId="0" applyFont="1" applyFill="1"/>
    <xf numFmtId="1" fontId="3" fillId="4" borderId="0" xfId="0" applyNumberFormat="1" applyFont="1" applyFill="1"/>
    <xf numFmtId="168" fontId="3" fillId="4" borderId="0" xfId="0" applyNumberFormat="1" applyFont="1" applyFill="1"/>
    <xf numFmtId="0" fontId="57" fillId="9" borderId="0" xfId="0" applyFont="1" applyFill="1" applyAlignment="1">
      <alignment horizontal="center"/>
    </xf>
    <xf numFmtId="0" fontId="57" fillId="9" borderId="0" xfId="0" applyFont="1" applyFill="1" applyAlignment="1">
      <alignment horizontal="center" textRotation="45"/>
    </xf>
    <xf numFmtId="0" fontId="57" fillId="9" borderId="0" xfId="0" applyFont="1" applyFill="1" applyAlignment="1">
      <alignment horizontal="left"/>
    </xf>
    <xf numFmtId="0" fontId="69" fillId="4" borderId="0" xfId="0" applyFont="1" applyFill="1" applyAlignment="1" applyProtection="1">
      <alignment horizontal="center"/>
      <protection locked="0"/>
    </xf>
    <xf numFmtId="9" fontId="69" fillId="4" borderId="0" xfId="2" applyFont="1" applyFill="1" applyBorder="1" applyAlignment="1" applyProtection="1">
      <alignment horizontal="center"/>
      <protection locked="0"/>
    </xf>
    <xf numFmtId="170" fontId="53" fillId="4" borderId="0" xfId="3" applyNumberFormat="1" applyFont="1" applyFill="1" applyBorder="1" applyProtection="1">
      <protection locked="0"/>
    </xf>
    <xf numFmtId="0" fontId="22" fillId="2" borderId="0" xfId="0" applyFont="1" applyFill="1" applyAlignment="1" applyProtection="1">
      <alignment horizontal="left" vertical="center" wrapText="1" indent="5"/>
      <protection locked="0"/>
    </xf>
    <xf numFmtId="0" fontId="22" fillId="2" borderId="0" xfId="0" applyFont="1" applyFill="1" applyAlignment="1" applyProtection="1">
      <alignment horizontal="left" vertical="center" indent="5"/>
      <protection locked="0"/>
    </xf>
    <xf numFmtId="0" fontId="10" fillId="3" borderId="0" xfId="0" applyFont="1" applyFill="1"/>
    <xf numFmtId="0" fontId="13" fillId="3" borderId="0" xfId="0" applyFont="1" applyFill="1"/>
    <xf numFmtId="0" fontId="14" fillId="3" borderId="0" xfId="0" applyFont="1" applyFill="1"/>
    <xf numFmtId="0" fontId="26" fillId="3" borderId="0" xfId="0" applyFont="1" applyFill="1"/>
    <xf numFmtId="0" fontId="26" fillId="7" borderId="0" xfId="0" applyFont="1" applyFill="1"/>
    <xf numFmtId="0" fontId="58" fillId="7" borderId="0" xfId="0" applyFont="1" applyFill="1"/>
    <xf numFmtId="0" fontId="78" fillId="7" borderId="0" xfId="0" applyFont="1" applyFill="1"/>
    <xf numFmtId="0" fontId="78" fillId="7" borderId="0" xfId="0" applyFont="1" applyFill="1" applyAlignment="1">
      <alignment wrapText="1"/>
    </xf>
    <xf numFmtId="0" fontId="78" fillId="7" borderId="0" xfId="0" applyFont="1" applyFill="1" applyAlignment="1">
      <alignment vertical="top"/>
    </xf>
    <xf numFmtId="0" fontId="59" fillId="7" borderId="0" xfId="0" applyFont="1" applyFill="1" applyAlignment="1">
      <alignment vertical="top" wrapText="1"/>
    </xf>
    <xf numFmtId="0" fontId="10" fillId="7" borderId="0" xfId="0" applyFont="1" applyFill="1"/>
    <xf numFmtId="0" fontId="10" fillId="7" borderId="0" xfId="0" applyFont="1" applyFill="1" applyProtection="1">
      <protection locked="0"/>
    </xf>
    <xf numFmtId="0" fontId="12" fillId="7" borderId="0" xfId="0" applyFont="1" applyFill="1" applyProtection="1">
      <protection locked="0"/>
    </xf>
    <xf numFmtId="0" fontId="20" fillId="3" borderId="0" xfId="0" applyFont="1" applyFill="1"/>
    <xf numFmtId="0" fontId="10" fillId="3" borderId="0" xfId="0" applyFont="1" applyFill="1" applyAlignment="1">
      <alignment wrapText="1"/>
    </xf>
    <xf numFmtId="0" fontId="11" fillId="3" borderId="0" xfId="0" applyFont="1" applyFill="1" applyAlignment="1">
      <alignment wrapText="1"/>
    </xf>
    <xf numFmtId="0" fontId="21" fillId="3" borderId="0" xfId="0" applyFont="1" applyFill="1" applyAlignment="1">
      <alignment horizontal="left" vertical="center" wrapText="1"/>
    </xf>
    <xf numFmtId="0" fontId="22" fillId="3" borderId="0" xfId="0" applyFont="1" applyFill="1" applyAlignment="1">
      <alignment vertical="center" wrapText="1"/>
    </xf>
    <xf numFmtId="0" fontId="21" fillId="3" borderId="0" xfId="0" applyFont="1" applyFill="1" applyAlignment="1">
      <alignment horizontal="left" vertical="top"/>
    </xf>
    <xf numFmtId="0" fontId="22" fillId="3" borderId="0" xfId="0" applyFont="1" applyFill="1" applyAlignment="1">
      <alignment vertical="center"/>
    </xf>
    <xf numFmtId="0" fontId="21" fillId="3" borderId="0" xfId="0" applyFont="1" applyFill="1"/>
    <xf numFmtId="0" fontId="15" fillId="3" borderId="0" xfId="0" applyFont="1" applyFill="1"/>
    <xf numFmtId="0" fontId="11" fillId="3" borderId="0" xfId="0" applyFont="1" applyFill="1"/>
    <xf numFmtId="0" fontId="21" fillId="3" borderId="0" xfId="0" applyFont="1" applyFill="1" applyAlignment="1">
      <alignment vertical="center"/>
    </xf>
    <xf numFmtId="0" fontId="12" fillId="7" borderId="0" xfId="0" applyFont="1" applyFill="1"/>
    <xf numFmtId="0" fontId="0" fillId="7" borderId="0" xfId="0" applyFill="1" applyAlignment="1">
      <alignment vertical="center"/>
    </xf>
    <xf numFmtId="0" fontId="29" fillId="7" borderId="0" xfId="0" applyFont="1" applyFill="1" applyAlignment="1">
      <alignment vertical="center"/>
    </xf>
    <xf numFmtId="0" fontId="17" fillId="2" borderId="0" xfId="0" applyFont="1" applyFill="1" applyAlignment="1" applyProtection="1">
      <alignment horizontal="left" vertical="center" indent="5"/>
      <protection locked="0"/>
    </xf>
    <xf numFmtId="0" fontId="22" fillId="2" borderId="0" xfId="0" applyFont="1" applyFill="1" applyAlignment="1" applyProtection="1">
      <alignment horizontal="left" vertical="top" wrapText="1" indent="5"/>
      <protection locked="0"/>
    </xf>
    <xf numFmtId="0" fontId="10" fillId="4" borderId="0" xfId="0" applyFont="1" applyFill="1"/>
    <xf numFmtId="0" fontId="0" fillId="3" borderId="0" xfId="0" applyFill="1" applyProtection="1">
      <protection locked="0"/>
    </xf>
    <xf numFmtId="0" fontId="1" fillId="6" borderId="0" xfId="0" applyFont="1" applyFill="1"/>
    <xf numFmtId="0" fontId="1" fillId="6" borderId="0" xfId="0" applyFont="1" applyFill="1" applyAlignment="1">
      <alignment horizontal="center" vertical="top" wrapText="1"/>
    </xf>
    <xf numFmtId="0" fontId="59" fillId="7" borderId="0" xfId="0" applyFont="1" applyFill="1" applyAlignment="1">
      <alignment vertical="top"/>
    </xf>
    <xf numFmtId="0" fontId="78" fillId="7" borderId="0" xfId="0" applyFont="1" applyFill="1" applyAlignment="1">
      <alignment vertical="top" wrapText="1"/>
    </xf>
    <xf numFmtId="0" fontId="24" fillId="7" borderId="0" xfId="0" applyFont="1" applyFill="1" applyAlignment="1">
      <alignment vertical="top" wrapText="1"/>
    </xf>
    <xf numFmtId="0" fontId="25" fillId="7" borderId="0" xfId="0" applyFont="1" applyFill="1" applyAlignment="1">
      <alignment horizontal="left" vertical="top" wrapText="1"/>
    </xf>
    <xf numFmtId="0" fontId="10" fillId="6" borderId="0" xfId="0" applyFont="1" applyFill="1"/>
    <xf numFmtId="0" fontId="0" fillId="3" borderId="0" xfId="0" applyFill="1" applyAlignment="1">
      <alignment horizontal="center"/>
    </xf>
    <xf numFmtId="0" fontId="7" fillId="3" borderId="0" xfId="0" applyFont="1" applyFill="1"/>
    <xf numFmtId="0" fontId="1" fillId="3" borderId="0" xfId="0" applyFont="1" applyFill="1"/>
    <xf numFmtId="0" fontId="7" fillId="6" borderId="0" xfId="0" applyFont="1" applyFill="1"/>
    <xf numFmtId="0" fontId="36" fillId="6" borderId="0" xfId="0" applyFont="1" applyFill="1" applyAlignment="1">
      <alignment horizontal="left" vertical="center"/>
    </xf>
    <xf numFmtId="0" fontId="72" fillId="3" borderId="0" xfId="0" applyFont="1" applyFill="1"/>
    <xf numFmtId="0" fontId="56" fillId="3" borderId="0" xfId="0" applyFont="1" applyFill="1"/>
    <xf numFmtId="0" fontId="91" fillId="6" borderId="0" xfId="0" applyFont="1" applyFill="1" applyAlignment="1">
      <alignment vertical="center"/>
    </xf>
    <xf numFmtId="0" fontId="42" fillId="6" borderId="0" xfId="0" applyFont="1" applyFill="1" applyAlignment="1">
      <alignment vertical="center"/>
    </xf>
    <xf numFmtId="0" fontId="35" fillId="6" borderId="0" xfId="0" applyFont="1" applyFill="1"/>
    <xf numFmtId="0" fontId="104" fillId="6" borderId="0" xfId="0" applyFont="1" applyFill="1"/>
    <xf numFmtId="0" fontId="1" fillId="7" borderId="0" xfId="0" applyFont="1" applyFill="1"/>
    <xf numFmtId="0" fontId="107" fillId="4" borderId="0" xfId="0" applyFont="1" applyFill="1"/>
    <xf numFmtId="1" fontId="107" fillId="4" borderId="0" xfId="0" applyNumberFormat="1" applyFont="1" applyFill="1" applyAlignment="1">
      <alignment vertical="center"/>
    </xf>
    <xf numFmtId="0" fontId="106" fillId="4" borderId="0" xfId="0" applyFont="1" applyFill="1" applyAlignment="1">
      <alignment vertical="center"/>
    </xf>
    <xf numFmtId="0" fontId="107" fillId="4" borderId="0" xfId="0" applyFont="1" applyFill="1" applyAlignment="1">
      <alignment vertical="center"/>
    </xf>
    <xf numFmtId="0" fontId="0" fillId="4" borderId="0" xfId="0" applyFill="1" applyAlignment="1">
      <alignment vertical="center"/>
    </xf>
    <xf numFmtId="0" fontId="0" fillId="3" borderId="0" xfId="0" applyFill="1" applyAlignment="1">
      <alignment vertical="center"/>
    </xf>
    <xf numFmtId="0" fontId="72" fillId="3" borderId="0" xfId="0" applyFont="1" applyFill="1" applyAlignment="1">
      <alignment vertical="center"/>
    </xf>
    <xf numFmtId="0" fontId="92" fillId="7" borderId="0" xfId="0" applyFont="1" applyFill="1" applyAlignment="1" applyProtection="1">
      <alignment vertical="top"/>
      <protection locked="0"/>
    </xf>
    <xf numFmtId="164" fontId="99" fillId="7" borderId="0" xfId="0" applyNumberFormat="1" applyFont="1" applyFill="1"/>
    <xf numFmtId="0" fontId="93" fillId="7" borderId="0" xfId="0" applyFont="1" applyFill="1" applyAlignment="1" applyProtection="1">
      <alignment vertical="top"/>
      <protection locked="0"/>
    </xf>
    <xf numFmtId="164" fontId="60" fillId="4" borderId="0" xfId="0" applyNumberFormat="1" applyFont="1" applyFill="1" applyAlignment="1">
      <alignment vertical="center"/>
    </xf>
    <xf numFmtId="0" fontId="66" fillId="4" borderId="0" xfId="0" applyFont="1" applyFill="1" applyAlignment="1">
      <alignment vertical="center"/>
    </xf>
    <xf numFmtId="0" fontId="0" fillId="4" borderId="0" xfId="0" applyFill="1" applyAlignment="1">
      <alignment vertical="top"/>
    </xf>
    <xf numFmtId="0" fontId="94" fillId="4" borderId="0" xfId="0" applyFont="1" applyFill="1" applyAlignment="1">
      <alignment vertical="top"/>
    </xf>
    <xf numFmtId="0" fontId="116" fillId="7" borderId="0" xfId="0" applyFont="1" applyFill="1" applyAlignment="1">
      <alignment vertical="top"/>
    </xf>
    <xf numFmtId="0" fontId="99" fillId="4" borderId="0" xfId="0" applyFont="1" applyFill="1"/>
    <xf numFmtId="0" fontId="0" fillId="4" borderId="0" xfId="0" applyFill="1" applyAlignment="1">
      <alignment horizontal="right"/>
    </xf>
    <xf numFmtId="0" fontId="55" fillId="7" borderId="23" xfId="0" applyFont="1" applyFill="1" applyBorder="1" applyAlignment="1">
      <alignment horizontal="center" vertical="center"/>
    </xf>
    <xf numFmtId="0" fontId="55" fillId="7" borderId="24" xfId="0" applyFont="1" applyFill="1" applyBorder="1" applyAlignment="1">
      <alignment horizontal="center" vertical="center"/>
    </xf>
    <xf numFmtId="0" fontId="100" fillId="6" borderId="0" xfId="0" applyFont="1" applyFill="1" applyAlignment="1">
      <alignment vertical="center" wrapText="1"/>
    </xf>
    <xf numFmtId="0" fontId="58" fillId="4" borderId="0" xfId="0" applyFont="1" applyFill="1" applyAlignment="1">
      <alignment vertical="top"/>
    </xf>
    <xf numFmtId="0" fontId="57" fillId="4" borderId="0" xfId="0" applyFont="1" applyFill="1" applyAlignment="1">
      <alignment horizontal="right" vertical="top"/>
    </xf>
    <xf numFmtId="0" fontId="80" fillId="4" borderId="0" xfId="0" applyFont="1" applyFill="1"/>
    <xf numFmtId="0" fontId="24" fillId="4" borderId="0" xfId="0" applyFont="1" applyFill="1" applyAlignment="1">
      <alignment horizontal="right" vertical="center"/>
    </xf>
    <xf numFmtId="0" fontId="7" fillId="4" borderId="0" xfId="0" applyFont="1" applyFill="1" applyAlignment="1">
      <alignment horizontal="right"/>
    </xf>
    <xf numFmtId="0" fontId="27" fillId="4" borderId="0" xfId="0" applyFont="1" applyFill="1" applyAlignment="1">
      <alignment horizontal="left"/>
    </xf>
    <xf numFmtId="0" fontId="72" fillId="4" borderId="0" xfId="0" applyFont="1" applyFill="1" applyAlignment="1">
      <alignment horizontal="left"/>
    </xf>
    <xf numFmtId="0" fontId="59" fillId="4" borderId="0" xfId="0" applyFont="1" applyFill="1" applyAlignment="1">
      <alignment vertical="top"/>
    </xf>
    <xf numFmtId="0" fontId="79" fillId="4" borderId="0" xfId="1" applyFont="1" applyFill="1" applyBorder="1" applyAlignment="1" applyProtection="1">
      <alignment horizontal="left" vertical="top"/>
      <protection locked="0"/>
    </xf>
    <xf numFmtId="0" fontId="72" fillId="6" borderId="0" xfId="0" applyFont="1" applyFill="1"/>
    <xf numFmtId="0" fontId="30" fillId="6" borderId="0" xfId="0" applyFont="1" applyFill="1" applyAlignment="1" applyProtection="1">
      <alignment vertical="center"/>
      <protection locked="0"/>
    </xf>
    <xf numFmtId="0" fontId="7" fillId="6" borderId="0" xfId="0" applyFont="1" applyFill="1" applyAlignment="1">
      <alignment vertical="top"/>
    </xf>
    <xf numFmtId="0" fontId="18" fillId="6" borderId="0" xfId="0" applyFont="1" applyFill="1" applyAlignment="1" applyProtection="1">
      <alignment horizontal="left" vertical="center" wrapText="1" indent="5"/>
      <protection locked="0"/>
    </xf>
    <xf numFmtId="0" fontId="19" fillId="6" borderId="0" xfId="1" applyFont="1" applyFill="1" applyBorder="1" applyAlignment="1" applyProtection="1">
      <alignment horizontal="center"/>
      <protection locked="0"/>
    </xf>
    <xf numFmtId="1" fontId="0" fillId="3" borderId="0" xfId="0" applyNumberFormat="1" applyFill="1"/>
    <xf numFmtId="0" fontId="4" fillId="3" borderId="0" xfId="0" applyFont="1" applyFill="1"/>
    <xf numFmtId="0" fontId="1" fillId="3" borderId="0" xfId="3" applyNumberFormat="1" applyFont="1" applyFill="1" applyProtection="1"/>
    <xf numFmtId="3" fontId="33" fillId="7" borderId="0" xfId="3" applyNumberFormat="1" applyFont="1" applyFill="1" applyBorder="1" applyProtection="1"/>
    <xf numFmtId="0" fontId="1" fillId="7" borderId="0" xfId="3" applyNumberFormat="1" applyFont="1" applyFill="1" applyBorder="1" applyProtection="1"/>
    <xf numFmtId="0" fontId="1" fillId="7" borderId="0" xfId="3" applyNumberFormat="1" applyFont="1" applyFill="1" applyProtection="1"/>
    <xf numFmtId="3" fontId="41" fillId="6" borderId="2" xfId="3" applyNumberFormat="1" applyFont="1" applyFill="1" applyBorder="1" applyAlignment="1" applyProtection="1">
      <alignment horizontal="left"/>
      <protection locked="0"/>
    </xf>
    <xf numFmtId="0" fontId="31" fillId="7" borderId="0" xfId="0" applyFont="1" applyFill="1" applyAlignment="1">
      <alignment vertical="center"/>
    </xf>
    <xf numFmtId="0" fontId="72" fillId="7" borderId="0" xfId="0" applyFont="1" applyFill="1" applyAlignment="1">
      <alignment vertical="center"/>
    </xf>
    <xf numFmtId="0" fontId="126" fillId="4" borderId="0" xfId="0" applyFont="1" applyFill="1" applyAlignment="1">
      <alignment vertical="center"/>
    </xf>
    <xf numFmtId="0" fontId="107" fillId="4" borderId="21" xfId="0" applyFont="1" applyFill="1" applyBorder="1"/>
    <xf numFmtId="0" fontId="72" fillId="7" borderId="0" xfId="0" applyFont="1" applyFill="1"/>
    <xf numFmtId="0" fontId="97" fillId="7" borderId="18" xfId="0" applyFont="1" applyFill="1" applyBorder="1" applyAlignment="1">
      <alignment vertical="center"/>
    </xf>
    <xf numFmtId="0" fontId="97" fillId="7" borderId="25" xfId="0" applyFont="1" applyFill="1" applyBorder="1" applyAlignment="1">
      <alignment vertical="center"/>
    </xf>
    <xf numFmtId="0" fontId="1" fillId="4" borderId="0" xfId="0" applyFont="1" applyFill="1"/>
    <xf numFmtId="168" fontId="0" fillId="4" borderId="0" xfId="0" applyNumberFormat="1" applyFill="1"/>
    <xf numFmtId="0" fontId="38" fillId="4" borderId="0" xfId="0" applyFont="1" applyFill="1" applyAlignment="1">
      <alignment vertical="top" wrapText="1"/>
    </xf>
    <xf numFmtId="0" fontId="31" fillId="4" borderId="0" xfId="0" applyFont="1" applyFill="1" applyAlignment="1">
      <alignment vertical="center"/>
    </xf>
    <xf numFmtId="0" fontId="4" fillId="4" borderId="0" xfId="0" applyFont="1" applyFill="1"/>
    <xf numFmtId="0" fontId="66" fillId="7" borderId="0" xfId="0" applyFont="1" applyFill="1" applyAlignment="1">
      <alignment vertical="center"/>
    </xf>
    <xf numFmtId="0" fontId="111" fillId="4" borderId="0" xfId="0" applyFont="1" applyFill="1" applyAlignment="1">
      <alignment horizontal="left" indent="1"/>
    </xf>
    <xf numFmtId="0" fontId="0" fillId="4" borderId="0" xfId="0" applyFill="1" applyAlignment="1">
      <alignment horizontal="left" indent="1"/>
    </xf>
    <xf numFmtId="0" fontId="112" fillId="4" borderId="0" xfId="0" applyFont="1" applyFill="1" applyAlignment="1">
      <alignment horizontal="left" indent="1"/>
    </xf>
    <xf numFmtId="0" fontId="76" fillId="4" borderId="0" xfId="0" applyFont="1" applyFill="1" applyAlignment="1">
      <alignment horizontal="left" indent="1"/>
    </xf>
    <xf numFmtId="0" fontId="0" fillId="4" borderId="12" xfId="0" applyFill="1" applyBorder="1"/>
    <xf numFmtId="0" fontId="94" fillId="4" borderId="12" xfId="0" applyFont="1" applyFill="1" applyBorder="1" applyAlignment="1">
      <alignment vertical="top"/>
    </xf>
    <xf numFmtId="0" fontId="65" fillId="4" borderId="12" xfId="0" applyFont="1" applyFill="1" applyBorder="1" applyAlignment="1">
      <alignment vertical="center"/>
    </xf>
    <xf numFmtId="164" fontId="60" fillId="4" borderId="12" xfId="0" applyNumberFormat="1" applyFont="1" applyFill="1" applyBorder="1" applyAlignment="1">
      <alignment vertical="center"/>
    </xf>
    <xf numFmtId="0" fontId="115" fillId="4" borderId="12" xfId="0" applyFont="1" applyFill="1" applyBorder="1" applyAlignment="1">
      <alignment horizontal="center" vertical="center"/>
    </xf>
    <xf numFmtId="0" fontId="66" fillId="4" borderId="12" xfId="0" applyFont="1" applyFill="1" applyBorder="1" applyAlignment="1">
      <alignment vertical="center"/>
    </xf>
    <xf numFmtId="0" fontId="58" fillId="4" borderId="0" xfId="0" applyFont="1" applyFill="1" applyAlignment="1">
      <alignment horizontal="left" vertical="top" indent="2"/>
    </xf>
    <xf numFmtId="0" fontId="4" fillId="4" borderId="0" xfId="0" applyFont="1" applyFill="1" applyProtection="1">
      <protection locked="0"/>
    </xf>
    <xf numFmtId="0" fontId="0" fillId="4" borderId="13" xfId="0" applyFill="1" applyBorder="1"/>
    <xf numFmtId="0" fontId="94" fillId="4" borderId="13" xfId="0" applyFont="1" applyFill="1" applyBorder="1" applyAlignment="1">
      <alignment vertical="top"/>
    </xf>
    <xf numFmtId="0" fontId="94" fillId="4" borderId="33" xfId="0" applyFont="1" applyFill="1" applyBorder="1" applyAlignment="1">
      <alignment vertical="top"/>
    </xf>
    <xf numFmtId="0" fontId="116" fillId="7" borderId="16" xfId="0" applyFont="1" applyFill="1" applyBorder="1" applyAlignment="1">
      <alignment vertical="center"/>
    </xf>
    <xf numFmtId="0" fontId="116" fillId="7" borderId="0" xfId="0" applyFont="1" applyFill="1" applyAlignment="1">
      <alignment vertical="center"/>
    </xf>
    <xf numFmtId="0" fontId="63" fillId="6" borderId="20" xfId="0" applyFont="1" applyFill="1" applyBorder="1" applyAlignment="1" applyProtection="1">
      <alignment horizontal="center" vertical="center" shrinkToFit="1"/>
      <protection locked="0"/>
    </xf>
    <xf numFmtId="170" fontId="61" fillId="5" borderId="20" xfId="0" applyNumberFormat="1" applyFont="1" applyFill="1" applyBorder="1" applyAlignment="1">
      <alignment horizontal="center"/>
    </xf>
    <xf numFmtId="1" fontId="61" fillId="5" borderId="20" xfId="0" applyNumberFormat="1" applyFont="1" applyFill="1" applyBorder="1" applyAlignment="1">
      <alignment horizontal="center"/>
    </xf>
    <xf numFmtId="168" fontId="61" fillId="5" borderId="20" xfId="0" applyNumberFormat="1" applyFont="1" applyFill="1" applyBorder="1" applyAlignment="1">
      <alignment horizontal="center"/>
    </xf>
    <xf numFmtId="3" fontId="61" fillId="5" borderId="20" xfId="0" applyNumberFormat="1" applyFont="1" applyFill="1" applyBorder="1" applyAlignment="1">
      <alignment horizontal="center"/>
    </xf>
    <xf numFmtId="9" fontId="97" fillId="6" borderId="20" xfId="2" applyFont="1" applyFill="1" applyBorder="1" applyAlignment="1" applyProtection="1">
      <alignment horizontal="center"/>
      <protection locked="0"/>
    </xf>
    <xf numFmtId="3" fontId="57" fillId="4" borderId="0" xfId="0" applyNumberFormat="1" applyFont="1" applyFill="1" applyAlignment="1" applyProtection="1">
      <alignment horizontal="left"/>
      <protection locked="0"/>
    </xf>
    <xf numFmtId="3" fontId="64" fillId="4" borderId="0" xfId="0" applyNumberFormat="1" applyFont="1" applyFill="1" applyAlignment="1" applyProtection="1">
      <alignment horizontal="left"/>
      <protection locked="0"/>
    </xf>
    <xf numFmtId="3" fontId="64" fillId="4" borderId="0" xfId="0" applyNumberFormat="1" applyFont="1" applyFill="1" applyAlignment="1" applyProtection="1">
      <alignment horizontal="left" wrapText="1"/>
      <protection locked="0"/>
    </xf>
    <xf numFmtId="3" fontId="64" fillId="4" borderId="0" xfId="0" applyNumberFormat="1" applyFont="1" applyFill="1" applyAlignment="1" applyProtection="1">
      <alignment horizontal="left" vertical="top" wrapText="1"/>
      <protection locked="0"/>
    </xf>
    <xf numFmtId="3" fontId="63" fillId="4" borderId="20" xfId="0" applyNumberFormat="1" applyFont="1" applyFill="1" applyBorder="1"/>
    <xf numFmtId="1" fontId="0" fillId="7" borderId="0" xfId="0" applyNumberFormat="1" applyFill="1"/>
    <xf numFmtId="0" fontId="57" fillId="9" borderId="0" xfId="0" applyFont="1" applyFill="1" applyAlignment="1">
      <alignment horizontal="left" wrapText="1"/>
    </xf>
    <xf numFmtId="0" fontId="44" fillId="4" borderId="0" xfId="0" applyFont="1" applyFill="1" applyAlignment="1">
      <alignment vertical="top" wrapText="1"/>
    </xf>
    <xf numFmtId="0" fontId="107" fillId="4" borderId="0" xfId="0" applyFont="1" applyFill="1" applyAlignment="1">
      <alignment horizontal="right" vertical="center"/>
    </xf>
    <xf numFmtId="0" fontId="108" fillId="4" borderId="0" xfId="0" quotePrefix="1" applyFont="1" applyFill="1" applyAlignment="1">
      <alignment vertical="top" wrapText="1"/>
    </xf>
    <xf numFmtId="0" fontId="125" fillId="4" borderId="0" xfId="0" applyFont="1" applyFill="1" applyAlignment="1">
      <alignment horizontal="left" vertical="center" indent="1"/>
    </xf>
    <xf numFmtId="0" fontId="58" fillId="4" borderId="0" xfId="0" applyFont="1" applyFill="1" applyAlignment="1">
      <alignment horizontal="left" vertical="top" indent="1"/>
    </xf>
    <xf numFmtId="0" fontId="97" fillId="7" borderId="12" xfId="0" applyFont="1" applyFill="1" applyBorder="1" applyAlignment="1">
      <alignment vertical="center"/>
    </xf>
    <xf numFmtId="171" fontId="86" fillId="7" borderId="15" xfId="4" applyNumberFormat="1" applyFont="1" applyFill="1" applyBorder="1" applyAlignment="1" applyProtection="1">
      <alignment horizontal="center" vertical="center"/>
    </xf>
    <xf numFmtId="171" fontId="86" fillId="7" borderId="20" xfId="4" applyNumberFormat="1" applyFont="1" applyFill="1" applyBorder="1" applyAlignment="1" applyProtection="1">
      <alignment horizontal="center" vertical="center"/>
    </xf>
    <xf numFmtId="0" fontId="105" fillId="6" borderId="2" xfId="0" applyFont="1" applyFill="1" applyBorder="1" applyAlignment="1" applyProtection="1">
      <alignment vertical="center"/>
      <protection locked="0"/>
    </xf>
    <xf numFmtId="171" fontId="105" fillId="6" borderId="19" xfId="4" applyNumberFormat="1" applyFont="1" applyFill="1" applyBorder="1" applyAlignment="1" applyProtection="1">
      <alignment vertical="center"/>
      <protection locked="0"/>
    </xf>
    <xf numFmtId="1" fontId="105" fillId="6" borderId="2" xfId="0" applyNumberFormat="1" applyFont="1" applyFill="1" applyBorder="1" applyAlignment="1" applyProtection="1">
      <alignment vertical="center"/>
      <protection locked="0"/>
    </xf>
    <xf numFmtId="1" fontId="105" fillId="6" borderId="7" xfId="0" applyNumberFormat="1" applyFont="1" applyFill="1" applyBorder="1" applyAlignment="1" applyProtection="1">
      <alignment vertical="center"/>
      <protection locked="0"/>
    </xf>
    <xf numFmtId="0" fontId="72" fillId="3" borderId="0" xfId="0" applyFont="1" applyFill="1" applyProtection="1">
      <protection locked="0"/>
    </xf>
    <xf numFmtId="0" fontId="63" fillId="7" borderId="0" xfId="0" applyFont="1" applyFill="1" applyAlignment="1" applyProtection="1">
      <alignment horizontal="center" vertical="center" shrinkToFit="1"/>
      <protection locked="0"/>
    </xf>
    <xf numFmtId="9" fontId="97" fillId="7" borderId="0" xfId="2" applyFont="1" applyFill="1" applyBorder="1" applyAlignment="1" applyProtection="1">
      <alignment horizontal="center"/>
      <protection locked="0"/>
    </xf>
    <xf numFmtId="170" fontId="63" fillId="7" borderId="0" xfId="3" applyNumberFormat="1" applyFont="1" applyFill="1" applyBorder="1" applyProtection="1">
      <protection locked="0"/>
    </xf>
    <xf numFmtId="171" fontId="97" fillId="6" borderId="20" xfId="4" applyNumberFormat="1" applyFont="1" applyFill="1" applyBorder="1" applyAlignment="1" applyProtection="1">
      <alignment horizontal="center"/>
      <protection locked="0"/>
    </xf>
    <xf numFmtId="9" fontId="63" fillId="7" borderId="12" xfId="2" applyFont="1" applyFill="1" applyBorder="1" applyAlignment="1" applyProtection="1">
      <alignment horizontal="center"/>
    </xf>
    <xf numFmtId="0" fontId="0" fillId="13" borderId="0" xfId="0" applyFill="1"/>
    <xf numFmtId="0" fontId="132" fillId="4" borderId="0" xfId="0" applyFont="1" applyFill="1"/>
    <xf numFmtId="174" fontId="0" fillId="13" borderId="0" xfId="0" applyNumberFormat="1" applyFill="1" applyAlignment="1">
      <alignment horizontal="right" vertical="top"/>
    </xf>
    <xf numFmtId="175" fontId="0" fillId="13" borderId="0" xfId="0" applyNumberFormat="1" applyFill="1" applyAlignment="1">
      <alignment horizontal="right" vertical="top"/>
    </xf>
    <xf numFmtId="169" fontId="0" fillId="13" borderId="0" xfId="0" applyNumberFormat="1" applyFill="1" applyAlignment="1">
      <alignment horizontal="right" vertical="top"/>
    </xf>
    <xf numFmtId="0" fontId="6" fillId="13" borderId="0" xfId="0" applyFont="1" applyFill="1" applyAlignment="1">
      <alignment horizontal="right" vertical="top"/>
    </xf>
    <xf numFmtId="169" fontId="0" fillId="13" borderId="0" xfId="0" applyNumberFormat="1" applyFill="1" applyAlignment="1">
      <alignment horizontal="right" vertical="top" wrapText="1"/>
    </xf>
    <xf numFmtId="49" fontId="0" fillId="13" borderId="0" xfId="0" applyNumberFormat="1" applyFill="1" applyAlignment="1">
      <alignment horizontal="left" vertical="top" wrapText="1"/>
    </xf>
    <xf numFmtId="174" fontId="0" fillId="7" borderId="0" xfId="0" applyNumberFormat="1" applyFill="1" applyAlignment="1">
      <alignment horizontal="right" vertical="top"/>
    </xf>
    <xf numFmtId="175" fontId="0" fillId="7" borderId="0" xfId="0" applyNumberFormat="1" applyFill="1" applyAlignment="1">
      <alignment horizontal="right" vertical="top"/>
    </xf>
    <xf numFmtId="169" fontId="0" fillId="7" borderId="0" xfId="0" applyNumberFormat="1" applyFill="1" applyAlignment="1">
      <alignment horizontal="right" vertical="top"/>
    </xf>
    <xf numFmtId="0" fontId="6" fillId="7" borderId="0" xfId="0" applyFont="1" applyFill="1" applyAlignment="1">
      <alignment horizontal="right" vertical="top"/>
    </xf>
    <xf numFmtId="0" fontId="0" fillId="7" borderId="0" xfId="0" applyFill="1" applyAlignment="1">
      <alignment horizontal="right" vertical="top"/>
    </xf>
    <xf numFmtId="0" fontId="133" fillId="2" borderId="0" xfId="0" applyFont="1" applyFill="1" applyAlignment="1">
      <alignment vertical="center"/>
    </xf>
    <xf numFmtId="174" fontId="0" fillId="4" borderId="0" xfId="0" applyNumberFormat="1" applyFill="1" applyAlignment="1">
      <alignment horizontal="right" vertical="top"/>
    </xf>
    <xf numFmtId="175" fontId="0" fillId="4" borderId="0" xfId="0" applyNumberFormat="1" applyFill="1" applyAlignment="1">
      <alignment horizontal="right" vertical="top"/>
    </xf>
    <xf numFmtId="169" fontId="0" fillId="4" borderId="0" xfId="0" applyNumberFormat="1" applyFill="1" applyAlignment="1">
      <alignment horizontal="right" vertical="top"/>
    </xf>
    <xf numFmtId="0" fontId="6" fillId="4" borderId="0" xfId="0" applyFont="1" applyFill="1" applyAlignment="1">
      <alignment horizontal="right" vertical="top"/>
    </xf>
    <xf numFmtId="169" fontId="0" fillId="4" borderId="0" xfId="0" applyNumberFormat="1" applyFill="1" applyAlignment="1">
      <alignment horizontal="right" vertical="top" wrapText="1"/>
    </xf>
    <xf numFmtId="49" fontId="0" fillId="4" borderId="0" xfId="0" applyNumberFormat="1" applyFill="1" applyAlignment="1">
      <alignment horizontal="left" vertical="top" wrapText="1"/>
    </xf>
    <xf numFmtId="0" fontId="57" fillId="9" borderId="8" xfId="0" applyFont="1" applyFill="1" applyBorder="1" applyAlignment="1">
      <alignment horizontal="left" wrapText="1"/>
    </xf>
    <xf numFmtId="0" fontId="57" fillId="9" borderId="12" xfId="0" applyFont="1" applyFill="1" applyBorder="1" applyAlignment="1">
      <alignment horizontal="left"/>
    </xf>
    <xf numFmtId="0" fontId="103" fillId="2" borderId="0" xfId="0" applyFont="1" applyFill="1" applyAlignment="1">
      <alignment vertical="center"/>
    </xf>
    <xf numFmtId="0" fontId="0" fillId="4" borderId="0" xfId="0" applyFill="1" applyAlignment="1">
      <alignment horizontal="right" vertical="top"/>
    </xf>
    <xf numFmtId="0" fontId="107" fillId="7" borderId="11" xfId="0" applyFont="1" applyFill="1" applyBorder="1" applyAlignment="1">
      <alignment vertical="top" wrapText="1"/>
    </xf>
    <xf numFmtId="0" fontId="106" fillId="7" borderId="11" xfId="0" applyFont="1" applyFill="1" applyBorder="1" applyAlignment="1">
      <alignment horizontal="left" vertical="top"/>
    </xf>
    <xf numFmtId="0" fontId="105" fillId="13" borderId="11" xfId="0" applyFont="1" applyFill="1" applyBorder="1" applyAlignment="1">
      <alignment vertical="top" wrapText="1"/>
    </xf>
    <xf numFmtId="0" fontId="97" fillId="13" borderId="11" xfId="0" applyFont="1" applyFill="1" applyBorder="1" applyAlignment="1">
      <alignment horizontal="left" vertical="top"/>
    </xf>
    <xf numFmtId="0" fontId="107" fillId="7" borderId="0" xfId="0" applyFont="1" applyFill="1" applyAlignment="1">
      <alignment vertical="top" wrapText="1"/>
    </xf>
    <xf numFmtId="0" fontId="106" fillId="7" borderId="0" xfId="0" applyFont="1" applyFill="1" applyAlignment="1">
      <alignment horizontal="left" vertical="top"/>
    </xf>
    <xf numFmtId="0" fontId="0" fillId="13" borderId="0" xfId="0" applyFill="1" applyAlignment="1">
      <alignment vertical="top"/>
    </xf>
    <xf numFmtId="0" fontId="97" fillId="6" borderId="11" xfId="0" applyFont="1" applyFill="1" applyBorder="1" applyAlignment="1">
      <alignment vertical="top" wrapText="1"/>
    </xf>
    <xf numFmtId="0" fontId="97" fillId="13" borderId="11" xfId="0" applyFont="1" applyFill="1" applyBorder="1" applyAlignment="1">
      <alignment vertical="top" wrapText="1"/>
    </xf>
    <xf numFmtId="0" fontId="0" fillId="2" borderId="0" xfId="0" applyFill="1" applyAlignment="1">
      <alignment vertical="top"/>
    </xf>
    <xf numFmtId="0" fontId="0" fillId="7" borderId="0" xfId="0" applyFill="1" applyAlignment="1">
      <alignment vertical="top"/>
    </xf>
    <xf numFmtId="0" fontId="60" fillId="4" borderId="0" xfId="0" applyFont="1" applyFill="1" applyAlignment="1">
      <alignment horizontal="center" vertical="center" wrapText="1"/>
    </xf>
    <xf numFmtId="0" fontId="135" fillId="7" borderId="0" xfId="0" applyFont="1" applyFill="1"/>
    <xf numFmtId="0" fontId="136" fillId="7" borderId="0" xfId="0" applyFont="1" applyFill="1" applyAlignment="1">
      <alignment horizontal="center"/>
    </xf>
    <xf numFmtId="0" fontId="134" fillId="7" borderId="0" xfId="0" applyFont="1" applyFill="1" applyAlignment="1">
      <alignment horizontal="center"/>
    </xf>
    <xf numFmtId="170" fontId="97" fillId="4" borderId="20" xfId="3" applyNumberFormat="1" applyFont="1" applyFill="1" applyBorder="1" applyAlignment="1" applyProtection="1">
      <alignment horizontal="center" vertical="center"/>
      <protection locked="0"/>
    </xf>
    <xf numFmtId="170" fontId="97" fillId="4" borderId="0" xfId="3" applyNumberFormat="1" applyFont="1" applyFill="1" applyBorder="1" applyAlignment="1" applyProtection="1">
      <alignment horizontal="center" vertical="center"/>
      <protection locked="0"/>
    </xf>
    <xf numFmtId="169" fontId="97" fillId="6" borderId="20" xfId="2" applyNumberFormat="1" applyFont="1" applyFill="1" applyBorder="1" applyAlignment="1" applyProtection="1">
      <alignment horizontal="center" vertical="center"/>
      <protection locked="0"/>
    </xf>
    <xf numFmtId="169" fontId="97" fillId="13" borderId="20" xfId="2" applyNumberFormat="1" applyFont="1" applyFill="1" applyBorder="1" applyAlignment="1" applyProtection="1">
      <alignment horizontal="center" vertical="center"/>
      <protection locked="0"/>
    </xf>
    <xf numFmtId="0" fontId="0" fillId="13" borderId="0" xfId="0" applyFill="1" applyAlignment="1">
      <alignment horizontal="right"/>
    </xf>
    <xf numFmtId="177" fontId="97" fillId="6" borderId="20" xfId="0" applyNumberFormat="1" applyFont="1" applyFill="1" applyBorder="1" applyAlignment="1" applyProtection="1">
      <alignment horizontal="right" vertical="center" shrinkToFit="1"/>
      <protection locked="0"/>
    </xf>
    <xf numFmtId="177" fontId="97" fillId="13" borderId="20" xfId="0" applyNumberFormat="1" applyFont="1" applyFill="1" applyBorder="1" applyAlignment="1" applyProtection="1">
      <alignment horizontal="right" vertical="center" shrinkToFit="1"/>
      <protection locked="0"/>
    </xf>
    <xf numFmtId="9" fontId="97" fillId="6" borderId="20" xfId="2" applyFont="1" applyFill="1" applyBorder="1" applyAlignment="1" applyProtection="1">
      <alignment horizontal="center" vertical="center"/>
      <protection locked="0"/>
    </xf>
    <xf numFmtId="10" fontId="97" fillId="6" borderId="20" xfId="2" applyNumberFormat="1" applyFont="1" applyFill="1" applyBorder="1" applyAlignment="1" applyProtection="1">
      <alignment horizontal="center" vertical="center"/>
      <protection locked="0"/>
    </xf>
    <xf numFmtId="0" fontId="0" fillId="2" borderId="0" xfId="0" applyFill="1" applyAlignment="1">
      <alignment horizontal="right" vertical="top" wrapText="1"/>
    </xf>
    <xf numFmtId="171" fontId="97" fillId="6" borderId="20" xfId="4" applyNumberFormat="1" applyFont="1" applyFill="1" applyBorder="1" applyAlignment="1" applyProtection="1">
      <alignment horizontal="center" vertical="center"/>
      <protection locked="0"/>
    </xf>
    <xf numFmtId="176" fontId="97" fillId="6" borderId="20" xfId="0" applyNumberFormat="1" applyFont="1" applyFill="1" applyBorder="1" applyAlignment="1" applyProtection="1">
      <alignment horizontal="right" vertical="center" shrinkToFit="1"/>
      <protection locked="0"/>
    </xf>
    <xf numFmtId="0" fontId="16" fillId="13" borderId="0" xfId="0" applyFont="1" applyFill="1" applyAlignment="1">
      <alignment vertical="top"/>
    </xf>
    <xf numFmtId="0" fontId="16" fillId="2" borderId="0" xfId="0" applyFont="1" applyFill="1" applyAlignment="1">
      <alignment vertical="top"/>
    </xf>
    <xf numFmtId="0" fontId="16" fillId="7" borderId="0" xfId="0" applyFont="1" applyFill="1" applyAlignment="1">
      <alignment vertical="top"/>
    </xf>
    <xf numFmtId="0" fontId="16" fillId="4" borderId="0" xfId="0" applyFont="1" applyFill="1" applyAlignment="1">
      <alignment vertical="top"/>
    </xf>
    <xf numFmtId="0" fontId="45" fillId="4" borderId="11" xfId="0" applyFont="1" applyFill="1" applyBorder="1" applyAlignment="1">
      <alignment horizontal="center" vertical="top"/>
    </xf>
    <xf numFmtId="0" fontId="97" fillId="6" borderId="16" xfId="0" applyFont="1" applyFill="1" applyBorder="1" applyAlignment="1">
      <alignment vertical="top" wrapText="1"/>
    </xf>
    <xf numFmtId="0" fontId="107" fillId="7" borderId="6" xfId="0" applyFont="1" applyFill="1" applyBorder="1" applyAlignment="1">
      <alignment vertical="top" wrapText="1"/>
    </xf>
    <xf numFmtId="0" fontId="106" fillId="7" borderId="6" xfId="0" applyFont="1" applyFill="1" applyBorder="1" applyAlignment="1">
      <alignment horizontal="left" vertical="top"/>
    </xf>
    <xf numFmtId="0" fontId="97" fillId="6" borderId="6" xfId="0" applyFont="1" applyFill="1" applyBorder="1" applyAlignment="1">
      <alignment vertical="top" wrapText="1"/>
    </xf>
    <xf numFmtId="0" fontId="97" fillId="6" borderId="17" xfId="0" applyFont="1" applyFill="1" applyBorder="1" applyAlignment="1">
      <alignment vertical="top" wrapText="1"/>
    </xf>
    <xf numFmtId="0" fontId="57" fillId="9" borderId="0" xfId="0" applyFont="1" applyFill="1"/>
    <xf numFmtId="0" fontId="65" fillId="3" borderId="0" xfId="0" applyFont="1" applyFill="1" applyAlignment="1" applyProtection="1">
      <alignment vertical="center"/>
      <protection locked="0"/>
    </xf>
    <xf numFmtId="0" fontId="0" fillId="13" borderId="0" xfId="0" applyFill="1" applyProtection="1">
      <protection locked="0"/>
    </xf>
    <xf numFmtId="177" fontId="97" fillId="6" borderId="20" xfId="0" applyNumberFormat="1" applyFont="1" applyFill="1" applyBorder="1" applyAlignment="1" applyProtection="1">
      <alignment horizontal="right" vertical="center"/>
      <protection locked="0"/>
    </xf>
    <xf numFmtId="177" fontId="97" fillId="13" borderId="20" xfId="0" applyNumberFormat="1" applyFont="1" applyFill="1" applyBorder="1" applyAlignment="1" applyProtection="1">
      <alignment horizontal="right" vertical="center"/>
      <protection locked="0"/>
    </xf>
    <xf numFmtId="176" fontId="97" fillId="6" borderId="20" xfId="0" applyNumberFormat="1" applyFont="1" applyFill="1" applyBorder="1" applyAlignment="1" applyProtection="1">
      <alignment horizontal="right" vertical="center"/>
      <protection locked="0"/>
    </xf>
    <xf numFmtId="0" fontId="10" fillId="3" borderId="0" xfId="0" applyFont="1" applyFill="1" applyProtection="1">
      <protection locked="0"/>
    </xf>
    <xf numFmtId="0" fontId="55" fillId="7" borderId="44" xfId="0" applyFont="1" applyFill="1" applyBorder="1" applyAlignment="1">
      <alignment horizontal="center" vertical="center"/>
    </xf>
    <xf numFmtId="164" fontId="60" fillId="4" borderId="31" xfId="0" applyNumberFormat="1" applyFont="1" applyFill="1" applyBorder="1"/>
    <xf numFmtId="0" fontId="76" fillId="4" borderId="0" xfId="0" applyFont="1" applyFill="1" applyAlignment="1">
      <alignment horizontal="left" vertical="center" indent="1"/>
    </xf>
    <xf numFmtId="0" fontId="65" fillId="4" borderId="30" xfId="0" applyFont="1" applyFill="1" applyBorder="1" applyAlignment="1">
      <alignment horizontal="left" indent="1"/>
    </xf>
    <xf numFmtId="9" fontId="138" fillId="4" borderId="0" xfId="0" applyNumberFormat="1" applyFont="1" applyFill="1" applyAlignment="1">
      <alignment vertical="top"/>
    </xf>
    <xf numFmtId="9" fontId="138" fillId="4" borderId="0" xfId="2" applyFont="1" applyFill="1" applyBorder="1" applyAlignment="1">
      <alignment vertical="top"/>
    </xf>
    <xf numFmtId="0" fontId="116" fillId="4" borderId="0" xfId="0" applyFont="1" applyFill="1"/>
    <xf numFmtId="171" fontId="97" fillId="6" borderId="7" xfId="4" applyNumberFormat="1" applyFont="1" applyFill="1" applyBorder="1" applyAlignment="1" applyProtection="1">
      <alignment vertical="center"/>
      <protection locked="0"/>
    </xf>
    <xf numFmtId="0" fontId="140" fillId="6" borderId="0" xfId="0" applyFont="1" applyFill="1"/>
    <xf numFmtId="171" fontId="86" fillId="7" borderId="20" xfId="4" applyNumberFormat="1" applyFont="1" applyFill="1" applyBorder="1" applyAlignment="1" applyProtection="1">
      <alignment horizontal="center" vertical="center"/>
      <protection locked="0"/>
    </xf>
    <xf numFmtId="0" fontId="107" fillId="7" borderId="0" xfId="0" applyFont="1" applyFill="1"/>
    <xf numFmtId="170" fontId="63" fillId="15" borderId="20" xfId="3" applyNumberFormat="1" applyFont="1" applyFill="1" applyBorder="1" applyProtection="1">
      <protection locked="0"/>
    </xf>
    <xf numFmtId="3" fontId="63" fillId="15" borderId="20" xfId="0" applyNumberFormat="1" applyFont="1" applyFill="1" applyBorder="1" applyProtection="1">
      <protection locked="0"/>
    </xf>
    <xf numFmtId="9" fontId="61" fillId="15" borderId="18" xfId="2" applyFont="1" applyFill="1" applyBorder="1" applyAlignment="1" applyProtection="1">
      <alignment horizontal="center"/>
    </xf>
    <xf numFmtId="170" fontId="62" fillId="15" borderId="20" xfId="3" applyNumberFormat="1" applyFont="1" applyFill="1" applyBorder="1" applyProtection="1"/>
    <xf numFmtId="170" fontId="144" fillId="15" borderId="20" xfId="3" applyNumberFormat="1" applyFont="1" applyFill="1" applyBorder="1" applyProtection="1">
      <protection locked="0"/>
    </xf>
    <xf numFmtId="171" fontId="97" fillId="13" borderId="7" xfId="4" applyNumberFormat="1" applyFont="1" applyFill="1" applyBorder="1" applyAlignment="1" applyProtection="1">
      <alignment vertical="center"/>
      <protection locked="0"/>
    </xf>
    <xf numFmtId="0" fontId="65" fillId="8" borderId="0" xfId="0" applyFont="1" applyFill="1" applyAlignment="1">
      <alignment vertical="center"/>
    </xf>
    <xf numFmtId="0" fontId="57" fillId="7" borderId="0" xfId="0" applyFont="1" applyFill="1" applyAlignment="1">
      <alignment horizontal="left" indent="2"/>
    </xf>
    <xf numFmtId="0" fontId="75" fillId="7" borderId="0" xfId="0" applyFont="1" applyFill="1" applyAlignment="1">
      <alignment horizontal="left" vertical="center"/>
    </xf>
    <xf numFmtId="0" fontId="52" fillId="7" borderId="0" xfId="0" applyFont="1" applyFill="1" applyAlignment="1">
      <alignment horizontal="left"/>
    </xf>
    <xf numFmtId="0" fontId="2" fillId="7" borderId="0" xfId="0" applyFont="1" applyFill="1" applyAlignment="1">
      <alignment horizontal="left" wrapText="1"/>
    </xf>
    <xf numFmtId="0" fontId="47" fillId="7" borderId="0" xfId="0" applyFont="1" applyFill="1" applyAlignment="1">
      <alignment vertical="center"/>
    </xf>
    <xf numFmtId="0" fontId="50" fillId="7" borderId="0" xfId="0" applyFont="1" applyFill="1" applyAlignment="1">
      <alignment horizontal="left" wrapText="1"/>
    </xf>
    <xf numFmtId="0" fontId="57" fillId="7" borderId="0" xfId="0" applyFont="1" applyFill="1"/>
    <xf numFmtId="0" fontId="51" fillId="7" borderId="0" xfId="0" applyFont="1" applyFill="1"/>
    <xf numFmtId="0" fontId="57" fillId="7" borderId="0" xfId="0" applyFont="1" applyFill="1" applyAlignment="1">
      <alignment horizontal="left" vertical="top" indent="2"/>
    </xf>
    <xf numFmtId="3" fontId="57" fillId="7" borderId="0" xfId="0" applyNumberFormat="1" applyFont="1" applyFill="1"/>
    <xf numFmtId="0" fontId="6" fillId="7" borderId="0" xfId="0" applyFont="1" applyFill="1" applyAlignment="1">
      <alignment vertical="top" wrapText="1"/>
    </xf>
    <xf numFmtId="166" fontId="63" fillId="15" borderId="9" xfId="3" applyFont="1" applyFill="1" applyBorder="1" applyAlignment="1" applyProtection="1">
      <alignment horizontal="right" vertical="center"/>
      <protection locked="0"/>
    </xf>
    <xf numFmtId="0" fontId="28" fillId="7" borderId="0" xfId="0" applyFont="1" applyFill="1"/>
    <xf numFmtId="0" fontId="0" fillId="7" borderId="48" xfId="0" applyFill="1" applyBorder="1"/>
    <xf numFmtId="0" fontId="0" fillId="7" borderId="49" xfId="0" applyFill="1" applyBorder="1"/>
    <xf numFmtId="1" fontId="107" fillId="7" borderId="50" xfId="0" applyNumberFormat="1" applyFont="1" applyFill="1" applyBorder="1" applyAlignment="1" applyProtection="1">
      <alignment horizontal="left" vertical="center"/>
      <protection locked="0"/>
    </xf>
    <xf numFmtId="1" fontId="107" fillId="7" borderId="51" xfId="0" applyNumberFormat="1" applyFont="1" applyFill="1" applyBorder="1" applyAlignment="1">
      <alignment horizontal="left" vertical="center"/>
    </xf>
    <xf numFmtId="1" fontId="107" fillId="7" borderId="52" xfId="0" applyNumberFormat="1" applyFont="1" applyFill="1" applyBorder="1" applyAlignment="1">
      <alignment horizontal="left" vertical="center"/>
    </xf>
    <xf numFmtId="0" fontId="138" fillId="4" borderId="0" xfId="0" applyFont="1" applyFill="1" applyAlignment="1">
      <alignment horizontal="left" vertical="top" indent="3"/>
    </xf>
    <xf numFmtId="0" fontId="138" fillId="4" borderId="0" xfId="0" applyFont="1" applyFill="1" applyAlignment="1">
      <alignment horizontal="center" vertical="top"/>
    </xf>
    <xf numFmtId="0" fontId="138" fillId="4" borderId="0" xfId="0" applyFont="1" applyFill="1" applyAlignment="1">
      <alignment horizontal="left" vertical="top"/>
    </xf>
    <xf numFmtId="0" fontId="138" fillId="4" borderId="0" xfId="0" applyFont="1" applyFill="1" applyAlignment="1">
      <alignment vertical="top"/>
    </xf>
    <xf numFmtId="46" fontId="138" fillId="4" borderId="0" xfId="0" quotePrefix="1" applyNumberFormat="1" applyFont="1" applyFill="1" applyAlignment="1">
      <alignment horizontal="left" vertical="top"/>
    </xf>
    <xf numFmtId="0" fontId="107" fillId="4" borderId="0" xfId="0" applyFont="1" applyFill="1" applyAlignment="1">
      <alignment vertical="top" wrapText="1"/>
    </xf>
    <xf numFmtId="0" fontId="57" fillId="4" borderId="0" xfId="0" applyFont="1" applyFill="1" applyAlignment="1">
      <alignment vertical="center"/>
    </xf>
    <xf numFmtId="0" fontId="57" fillId="4" borderId="0" xfId="0" applyFont="1" applyFill="1" applyAlignment="1">
      <alignment horizontal="right" vertical="center"/>
    </xf>
    <xf numFmtId="0" fontId="60" fillId="4" borderId="0" xfId="0" applyFont="1" applyFill="1" applyAlignment="1">
      <alignment vertical="center"/>
    </xf>
    <xf numFmtId="0" fontId="69" fillId="4" borderId="0" xfId="0" applyFont="1" applyFill="1"/>
    <xf numFmtId="0" fontId="144" fillId="4" borderId="0" xfId="0" applyFont="1" applyFill="1" applyAlignment="1">
      <alignment vertical="center"/>
    </xf>
    <xf numFmtId="0" fontId="69" fillId="4" borderId="0" xfId="0" applyFont="1" applyFill="1" applyAlignment="1">
      <alignment vertical="center"/>
    </xf>
    <xf numFmtId="0" fontId="57" fillId="4" borderId="0" xfId="0" applyFont="1" applyFill="1" applyAlignment="1">
      <alignment horizontal="left" vertical="center"/>
    </xf>
    <xf numFmtId="0" fontId="139" fillId="4" borderId="0" xfId="0" applyFont="1" applyFill="1" applyAlignment="1">
      <alignment vertical="top"/>
    </xf>
    <xf numFmtId="0" fontId="57" fillId="4" borderId="0" xfId="0" applyFont="1" applyFill="1" applyAlignment="1">
      <alignment horizontal="left" vertical="center" indent="4"/>
    </xf>
    <xf numFmtId="1" fontId="85" fillId="4" borderId="0" xfId="0" applyNumberFormat="1" applyFont="1" applyFill="1" applyAlignment="1">
      <alignment horizontal="left"/>
    </xf>
    <xf numFmtId="1" fontId="85" fillId="4" borderId="0" xfId="0" applyNumberFormat="1" applyFont="1" applyFill="1" applyAlignment="1">
      <alignment horizontal="left" vertical="center" indent="2"/>
    </xf>
    <xf numFmtId="168" fontId="150" fillId="4" borderId="0" xfId="0" applyNumberFormat="1" applyFont="1" applyFill="1" applyAlignment="1">
      <alignment horizontal="left"/>
    </xf>
    <xf numFmtId="168" fontId="142" fillId="4" borderId="0" xfId="0" applyNumberFormat="1" applyFont="1" applyFill="1" applyAlignment="1">
      <alignment horizontal="left"/>
    </xf>
    <xf numFmtId="168" fontId="89" fillId="4" borderId="0" xfId="0" applyNumberFormat="1" applyFont="1" applyFill="1" applyAlignment="1">
      <alignment horizontal="left"/>
    </xf>
    <xf numFmtId="168" fontId="85" fillId="4" borderId="0" xfId="0" applyNumberFormat="1" applyFont="1" applyFill="1" applyAlignment="1">
      <alignment horizontal="left"/>
    </xf>
    <xf numFmtId="168" fontId="151" fillId="4" borderId="0" xfId="0" applyNumberFormat="1" applyFont="1" applyFill="1" applyAlignment="1">
      <alignment horizontal="left"/>
    </xf>
    <xf numFmtId="0" fontId="0" fillId="4" borderId="37" xfId="0" applyFill="1" applyBorder="1"/>
    <xf numFmtId="1" fontId="152" fillId="4" borderId="0" xfId="0" applyNumberFormat="1" applyFont="1" applyFill="1" applyAlignment="1">
      <alignment horizontal="left"/>
    </xf>
    <xf numFmtId="168" fontId="152" fillId="4" borderId="0" xfId="0" applyNumberFormat="1" applyFont="1" applyFill="1" applyAlignment="1">
      <alignment horizontal="left"/>
    </xf>
    <xf numFmtId="1" fontId="85" fillId="4" borderId="37" xfId="0" applyNumberFormat="1" applyFont="1" applyFill="1" applyBorder="1" applyAlignment="1">
      <alignment horizontal="left"/>
    </xf>
    <xf numFmtId="168" fontId="150" fillId="4" borderId="37" xfId="0" applyNumberFormat="1" applyFont="1" applyFill="1" applyBorder="1" applyAlignment="1">
      <alignment horizontal="left"/>
    </xf>
    <xf numFmtId="168" fontId="151" fillId="4" borderId="37" xfId="0" applyNumberFormat="1" applyFont="1" applyFill="1" applyBorder="1" applyAlignment="1">
      <alignment horizontal="left"/>
    </xf>
    <xf numFmtId="1" fontId="152" fillId="4" borderId="37" xfId="0" applyNumberFormat="1" applyFont="1" applyFill="1" applyBorder="1" applyAlignment="1">
      <alignment horizontal="left"/>
    </xf>
    <xf numFmtId="0" fontId="107" fillId="4" borderId="42" xfId="0" applyFont="1" applyFill="1" applyBorder="1" applyAlignment="1">
      <alignment vertical="top"/>
    </xf>
    <xf numFmtId="1" fontId="3" fillId="7" borderId="57" xfId="0" applyNumberFormat="1" applyFont="1" applyFill="1" applyBorder="1"/>
    <xf numFmtId="168" fontId="3" fillId="7" borderId="57" xfId="0" applyNumberFormat="1" applyFont="1" applyFill="1" applyBorder="1"/>
    <xf numFmtId="1" fontId="3" fillId="7" borderId="56" xfId="0" applyNumberFormat="1" applyFont="1" applyFill="1" applyBorder="1"/>
    <xf numFmtId="168" fontId="3" fillId="7" borderId="56" xfId="0" applyNumberFormat="1" applyFont="1" applyFill="1" applyBorder="1"/>
    <xf numFmtId="1" fontId="3" fillId="7" borderId="20" xfId="0" applyNumberFormat="1" applyFont="1" applyFill="1" applyBorder="1"/>
    <xf numFmtId="168" fontId="3" fillId="7" borderId="20" xfId="0" applyNumberFormat="1" applyFont="1" applyFill="1" applyBorder="1"/>
    <xf numFmtId="178" fontId="3" fillId="7" borderId="20" xfId="0" applyNumberFormat="1" applyFont="1" applyFill="1" applyBorder="1"/>
    <xf numFmtId="171" fontId="72" fillId="7" borderId="57" xfId="4" applyNumberFormat="1" applyFont="1" applyFill="1" applyBorder="1" applyProtection="1"/>
    <xf numFmtId="9" fontId="72" fillId="7" borderId="20" xfId="2" applyFont="1" applyFill="1" applyBorder="1" applyProtection="1"/>
    <xf numFmtId="171" fontId="72" fillId="7" borderId="71" xfId="4" applyNumberFormat="1" applyFont="1" applyFill="1" applyBorder="1" applyProtection="1"/>
    <xf numFmtId="171" fontId="72" fillId="7" borderId="18" xfId="4" applyNumberFormat="1" applyFont="1" applyFill="1" applyBorder="1" applyProtection="1"/>
    <xf numFmtId="171" fontId="72" fillId="7" borderId="70" xfId="4" applyNumberFormat="1" applyFont="1" applyFill="1" applyBorder="1" applyProtection="1"/>
    <xf numFmtId="1" fontId="85" fillId="4" borderId="42" xfId="0" applyNumberFormat="1" applyFont="1" applyFill="1" applyBorder="1" applyAlignment="1">
      <alignment horizontal="left" vertical="center" indent="2"/>
    </xf>
    <xf numFmtId="168" fontId="85" fillId="4" borderId="42" xfId="0" applyNumberFormat="1" applyFont="1" applyFill="1" applyBorder="1" applyAlignment="1">
      <alignment horizontal="left"/>
    </xf>
    <xf numFmtId="0" fontId="127" fillId="3" borderId="0" xfId="0" applyFont="1" applyFill="1"/>
    <xf numFmtId="0" fontId="100" fillId="3" borderId="0" xfId="0" applyFont="1" applyFill="1" applyAlignment="1">
      <alignment vertical="center" wrapText="1"/>
    </xf>
    <xf numFmtId="172" fontId="115" fillId="4" borderId="0" xfId="3" applyNumberFormat="1" applyFont="1" applyFill="1" applyBorder="1" applyAlignment="1" applyProtection="1">
      <alignment vertical="center"/>
    </xf>
    <xf numFmtId="0" fontId="92" fillId="7" borderId="0" xfId="0" applyFont="1" applyFill="1" applyAlignment="1">
      <alignment vertical="top"/>
    </xf>
    <xf numFmtId="0" fontId="92" fillId="4" borderId="0" xfId="0" applyFont="1" applyFill="1" applyAlignment="1">
      <alignment vertical="top"/>
    </xf>
    <xf numFmtId="0" fontId="93" fillId="7" borderId="0" xfId="0" applyFont="1" applyFill="1" applyAlignment="1">
      <alignment vertical="top"/>
    </xf>
    <xf numFmtId="3" fontId="154" fillId="7" borderId="6" xfId="0" applyNumberFormat="1" applyFont="1" applyFill="1" applyBorder="1" applyAlignment="1" applyProtection="1">
      <alignment horizontal="right" vertical="center"/>
      <protection locked="0"/>
    </xf>
    <xf numFmtId="0" fontId="115" fillId="7" borderId="0" xfId="0" applyFont="1" applyFill="1" applyAlignment="1">
      <alignment horizontal="left" indent="2"/>
    </xf>
    <xf numFmtId="3" fontId="63" fillId="2" borderId="74" xfId="0" applyNumberFormat="1" applyFont="1" applyFill="1" applyBorder="1" applyAlignment="1" applyProtection="1">
      <alignment horizontal="right"/>
      <protection locked="0"/>
    </xf>
    <xf numFmtId="3" fontId="63" fillId="2" borderId="20" xfId="0" applyNumberFormat="1" applyFont="1" applyFill="1" applyBorder="1" applyAlignment="1" applyProtection="1">
      <alignment horizontal="right" vertical="top"/>
      <protection locked="0"/>
    </xf>
    <xf numFmtId="0" fontId="57" fillId="7" borderId="0" xfId="0" applyFont="1" applyFill="1" applyAlignment="1">
      <alignment vertical="center"/>
    </xf>
    <xf numFmtId="0" fontId="57" fillId="7" borderId="0" xfId="0" applyFont="1" applyFill="1" applyAlignment="1">
      <alignment vertical="top"/>
    </xf>
    <xf numFmtId="9" fontId="72" fillId="7" borderId="70" xfId="2" applyFont="1" applyFill="1" applyBorder="1" applyProtection="1"/>
    <xf numFmtId="171" fontId="72" fillId="7" borderId="70" xfId="4" applyNumberFormat="1" applyFont="1" applyFill="1" applyBorder="1" applyAlignment="1" applyProtection="1">
      <alignment vertical="top" wrapText="1"/>
    </xf>
    <xf numFmtId="0" fontId="47" fillId="4" borderId="0" xfId="0" applyFont="1" applyFill="1"/>
    <xf numFmtId="0" fontId="0" fillId="7" borderId="5" xfId="0" applyFill="1" applyBorder="1"/>
    <xf numFmtId="0" fontId="65" fillId="12" borderId="0" xfId="0" applyFont="1" applyFill="1" applyAlignment="1" applyProtection="1">
      <alignment vertical="center"/>
      <protection locked="0"/>
    </xf>
    <xf numFmtId="0" fontId="0" fillId="12" borderId="0" xfId="0" applyFill="1" applyProtection="1">
      <protection locked="0"/>
    </xf>
    <xf numFmtId="0" fontId="0" fillId="3" borderId="0" xfId="0" applyFill="1" applyAlignment="1" applyProtection="1">
      <alignment horizontal="center"/>
      <protection locked="0"/>
    </xf>
    <xf numFmtId="3" fontId="63" fillId="15" borderId="35" xfId="0" applyNumberFormat="1" applyFont="1" applyFill="1" applyBorder="1" applyProtection="1">
      <protection locked="0"/>
    </xf>
    <xf numFmtId="0" fontId="156" fillId="7" borderId="0" xfId="0" applyFont="1" applyFill="1"/>
    <xf numFmtId="0" fontId="155" fillId="7" borderId="0" xfId="0" applyFont="1" applyFill="1"/>
    <xf numFmtId="171" fontId="97" fillId="13" borderId="20" xfId="4" applyNumberFormat="1" applyFont="1" applyFill="1" applyBorder="1" applyAlignment="1" applyProtection="1">
      <alignment horizontal="right"/>
      <protection locked="0"/>
    </xf>
    <xf numFmtId="0" fontId="47" fillId="13" borderId="0" xfId="0" applyFont="1" applyFill="1" applyAlignment="1" applyProtection="1">
      <alignment horizontal="right"/>
      <protection locked="0"/>
    </xf>
    <xf numFmtId="171" fontId="54" fillId="3" borderId="0" xfId="0" applyNumberFormat="1" applyFont="1" applyFill="1"/>
    <xf numFmtId="0" fontId="54" fillId="3" borderId="0" xfId="0" applyFont="1" applyFill="1"/>
    <xf numFmtId="1" fontId="54" fillId="3" borderId="0" xfId="0" applyNumberFormat="1" applyFont="1" applyFill="1"/>
    <xf numFmtId="0" fontId="65" fillId="7" borderId="75" xfId="0" applyFont="1" applyFill="1" applyBorder="1" applyAlignment="1">
      <alignment horizontal="right"/>
    </xf>
    <xf numFmtId="0" fontId="58" fillId="7" borderId="0" xfId="0" applyFont="1" applyFill="1" applyAlignment="1">
      <alignment horizontal="right" vertical="top"/>
    </xf>
    <xf numFmtId="0" fontId="58" fillId="7" borderId="0" xfId="0" applyFont="1" applyFill="1" applyAlignment="1">
      <alignment horizontal="right" vertical="top" wrapText="1"/>
    </xf>
    <xf numFmtId="0" fontId="60" fillId="4" borderId="38" xfId="0" applyFont="1" applyFill="1" applyBorder="1" applyAlignment="1">
      <alignment horizontal="left" vertical="center" wrapText="1"/>
    </xf>
    <xf numFmtId="0" fontId="60" fillId="4" borderId="39" xfId="0" applyFont="1" applyFill="1" applyBorder="1" applyAlignment="1">
      <alignment horizontal="left" vertical="center" wrapText="1"/>
    </xf>
    <xf numFmtId="0" fontId="60" fillId="4" borderId="39" xfId="0" applyFont="1" applyFill="1" applyBorder="1" applyAlignment="1">
      <alignment horizontal="center" vertical="center" wrapText="1"/>
    </xf>
    <xf numFmtId="0" fontId="60" fillId="4" borderId="40" xfId="0" applyFont="1" applyFill="1" applyBorder="1" applyAlignment="1">
      <alignment horizontal="center" vertical="center" wrapText="1"/>
    </xf>
    <xf numFmtId="0" fontId="160" fillId="7" borderId="36" xfId="0" applyFont="1" applyFill="1" applyBorder="1" applyAlignment="1">
      <alignment horizontal="center" vertical="center" wrapText="1"/>
    </xf>
    <xf numFmtId="0" fontId="136" fillId="7" borderId="36" xfId="0" applyFont="1" applyFill="1" applyBorder="1" applyAlignment="1">
      <alignment horizontal="center" vertical="center" wrapText="1"/>
    </xf>
    <xf numFmtId="0" fontId="136" fillId="7" borderId="36" xfId="0" applyFont="1" applyFill="1" applyBorder="1" applyAlignment="1">
      <alignment vertical="center" wrapText="1"/>
    </xf>
    <xf numFmtId="0" fontId="160" fillId="7" borderId="36" xfId="0" applyFont="1" applyFill="1" applyBorder="1" applyAlignment="1">
      <alignment wrapText="1"/>
    </xf>
    <xf numFmtId="0" fontId="160" fillId="7" borderId="36" xfId="0" applyFont="1" applyFill="1" applyBorder="1" applyAlignment="1">
      <alignment horizontal="center" wrapText="1"/>
    </xf>
    <xf numFmtId="0" fontId="160" fillId="7" borderId="36" xfId="0" applyFont="1" applyFill="1" applyBorder="1"/>
    <xf numFmtId="0" fontId="136" fillId="7" borderId="36" xfId="0" applyFont="1" applyFill="1" applyBorder="1" applyAlignment="1">
      <alignment horizontal="center"/>
    </xf>
    <xf numFmtId="0" fontId="160" fillId="7" borderId="36" xfId="0" applyFont="1" applyFill="1" applyBorder="1" applyAlignment="1">
      <alignment horizontal="center"/>
    </xf>
    <xf numFmtId="0" fontId="136" fillId="7" borderId="36" xfId="0" applyFont="1" applyFill="1" applyBorder="1" applyAlignment="1">
      <alignment horizontal="center" wrapText="1"/>
    </xf>
    <xf numFmtId="0" fontId="136" fillId="7" borderId="36" xfId="0" applyFont="1" applyFill="1" applyBorder="1" applyAlignment="1">
      <alignment wrapText="1"/>
    </xf>
    <xf numFmtId="0" fontId="57" fillId="9" borderId="12" xfId="0" applyFont="1" applyFill="1" applyBorder="1" applyAlignment="1">
      <alignment horizontal="left" wrapText="1"/>
    </xf>
    <xf numFmtId="0" fontId="105" fillId="14" borderId="20" xfId="0" applyFont="1" applyFill="1" applyBorder="1" applyAlignment="1">
      <alignment vertical="top" wrapText="1"/>
    </xf>
    <xf numFmtId="0" fontId="105" fillId="10" borderId="20" xfId="0" applyFont="1" applyFill="1" applyBorder="1" applyAlignment="1">
      <alignment vertical="top" wrapText="1"/>
    </xf>
    <xf numFmtId="0" fontId="97" fillId="13" borderId="20" xfId="0" applyFont="1" applyFill="1" applyBorder="1" applyAlignment="1">
      <alignment vertical="top" wrapText="1"/>
    </xf>
    <xf numFmtId="0" fontId="161" fillId="6" borderId="20" xfId="0" applyFont="1" applyFill="1" applyBorder="1" applyAlignment="1">
      <alignment vertical="top" wrapText="1"/>
    </xf>
    <xf numFmtId="177" fontId="97" fillId="6" borderId="18" xfId="0" applyNumberFormat="1" applyFont="1" applyFill="1" applyBorder="1" applyAlignment="1" applyProtection="1">
      <alignment horizontal="right" vertical="center" shrinkToFit="1"/>
      <protection locked="0"/>
    </xf>
    <xf numFmtId="177" fontId="97" fillId="13" borderId="18" xfId="0" applyNumberFormat="1" applyFont="1" applyFill="1" applyBorder="1" applyAlignment="1" applyProtection="1">
      <alignment horizontal="right" vertical="center" shrinkToFit="1"/>
      <protection locked="0"/>
    </xf>
    <xf numFmtId="176" fontId="97" fillId="6" borderId="18" xfId="0" applyNumberFormat="1" applyFont="1" applyFill="1" applyBorder="1" applyAlignment="1" applyProtection="1">
      <alignment horizontal="right" vertical="center" shrinkToFit="1"/>
      <protection locked="0"/>
    </xf>
    <xf numFmtId="0" fontId="97" fillId="6" borderId="35" xfId="0" applyFont="1" applyFill="1" applyBorder="1" applyAlignment="1">
      <alignment vertical="top" wrapText="1"/>
    </xf>
    <xf numFmtId="0" fontId="97" fillId="13" borderId="35" xfId="0" applyFont="1" applyFill="1" applyBorder="1" applyAlignment="1">
      <alignment vertical="top" wrapText="1"/>
    </xf>
    <xf numFmtId="0" fontId="97" fillId="6" borderId="76" xfId="0" applyFont="1" applyFill="1" applyBorder="1" applyAlignment="1">
      <alignment vertical="top" wrapText="1"/>
    </xf>
    <xf numFmtId="0" fontId="57" fillId="9" borderId="8" xfId="0" applyFont="1" applyFill="1" applyBorder="1" applyAlignment="1">
      <alignment horizontal="center" vertical="center" wrapText="1"/>
    </xf>
    <xf numFmtId="0" fontId="57" fillId="9" borderId="3" xfId="0" applyFont="1" applyFill="1" applyBorder="1" applyAlignment="1">
      <alignment horizontal="center" vertical="center" wrapText="1"/>
    </xf>
    <xf numFmtId="0" fontId="57" fillId="9" borderId="1" xfId="0" applyFont="1" applyFill="1" applyBorder="1" applyAlignment="1">
      <alignment horizontal="center" vertical="center" wrapText="1"/>
    </xf>
    <xf numFmtId="0" fontId="57" fillId="9" borderId="41" xfId="0" applyFont="1" applyFill="1" applyBorder="1" applyAlignment="1">
      <alignment horizontal="center" vertical="center" wrapText="1"/>
    </xf>
    <xf numFmtId="1" fontId="85" fillId="4" borderId="42" xfId="0" applyNumberFormat="1" applyFont="1" applyFill="1" applyBorder="1" applyAlignment="1">
      <alignment horizontal="left" wrapText="1"/>
    </xf>
    <xf numFmtId="171" fontId="72" fillId="7" borderId="28" xfId="4" applyNumberFormat="1" applyFont="1" applyFill="1" applyBorder="1" applyProtection="1"/>
    <xf numFmtId="171" fontId="72" fillId="7" borderId="77" xfId="4" applyNumberFormat="1" applyFont="1" applyFill="1" applyBorder="1" applyProtection="1"/>
    <xf numFmtId="9" fontId="72" fillId="7" borderId="18" xfId="2" applyFont="1" applyFill="1" applyBorder="1" applyProtection="1"/>
    <xf numFmtId="171" fontId="86" fillId="7" borderId="20" xfId="4" applyNumberFormat="1" applyFont="1" applyFill="1" applyBorder="1" applyAlignment="1" applyProtection="1">
      <alignment vertical="top"/>
    </xf>
    <xf numFmtId="0" fontId="97" fillId="7" borderId="11" xfId="0" applyFont="1" applyFill="1" applyBorder="1" applyAlignment="1">
      <alignment vertical="center"/>
    </xf>
    <xf numFmtId="0" fontId="97" fillId="7" borderId="16" xfId="0" applyFont="1" applyFill="1" applyBorder="1" applyAlignment="1">
      <alignment vertical="center"/>
    </xf>
    <xf numFmtId="0" fontId="65" fillId="3" borderId="0" xfId="0" applyFont="1" applyFill="1" applyAlignment="1">
      <alignment vertical="center"/>
    </xf>
    <xf numFmtId="0" fontId="131" fillId="3" borderId="0" xfId="0" applyFont="1" applyFill="1" applyAlignment="1">
      <alignment vertical="center"/>
    </xf>
    <xf numFmtId="0" fontId="6" fillId="3" borderId="0" xfId="0" applyFont="1" applyFill="1"/>
    <xf numFmtId="0" fontId="91" fillId="3" borderId="0" xfId="0" applyFont="1" applyFill="1" applyAlignment="1">
      <alignment vertical="center"/>
    </xf>
    <xf numFmtId="0" fontId="65" fillId="6" borderId="0" xfId="0" applyFont="1" applyFill="1" applyAlignment="1">
      <alignment vertical="center"/>
    </xf>
    <xf numFmtId="0" fontId="103" fillId="6" borderId="0" xfId="0" applyFont="1" applyFill="1" applyAlignment="1">
      <alignment vertical="center"/>
    </xf>
    <xf numFmtId="0" fontId="103" fillId="6" borderId="0" xfId="0" applyFont="1" applyFill="1" applyAlignment="1">
      <alignment horizontal="left" vertical="center"/>
    </xf>
    <xf numFmtId="0" fontId="0" fillId="6" borderId="0" xfId="0" applyFill="1"/>
    <xf numFmtId="0" fontId="6" fillId="6" borderId="0" xfId="0" applyFont="1" applyFill="1"/>
    <xf numFmtId="0" fontId="67" fillId="6" borderId="0" xfId="0" applyFont="1" applyFill="1" applyAlignment="1">
      <alignment vertical="center"/>
    </xf>
    <xf numFmtId="0" fontId="76" fillId="8" borderId="0" xfId="0" applyFont="1" applyFill="1" applyAlignment="1">
      <alignment vertical="center"/>
    </xf>
    <xf numFmtId="0" fontId="6" fillId="7" borderId="10" xfId="0" applyFont="1" applyFill="1" applyBorder="1"/>
    <xf numFmtId="0" fontId="67" fillId="8" borderId="0" xfId="0" applyFont="1" applyFill="1" applyAlignment="1">
      <alignment vertical="center"/>
    </xf>
    <xf numFmtId="0" fontId="91" fillId="8" borderId="0" xfId="0" applyFont="1" applyFill="1" applyAlignment="1">
      <alignment vertical="center"/>
    </xf>
    <xf numFmtId="0" fontId="91" fillId="7" borderId="0" xfId="0" applyFont="1" applyFill="1" applyAlignment="1">
      <alignment vertical="center"/>
    </xf>
    <xf numFmtId="0" fontId="155" fillId="3" borderId="0" xfId="0" applyFont="1" applyFill="1"/>
    <xf numFmtId="0" fontId="52" fillId="4" borderId="0" xfId="0" applyFont="1" applyFill="1" applyAlignment="1">
      <alignment horizontal="left"/>
    </xf>
    <xf numFmtId="0" fontId="47" fillId="7" borderId="0" xfId="0" applyFont="1" applyFill="1"/>
    <xf numFmtId="0" fontId="96" fillId="3" borderId="0" xfId="0" applyFont="1" applyFill="1"/>
    <xf numFmtId="0" fontId="2" fillId="4" borderId="0" xfId="0" applyFont="1" applyFill="1" applyAlignment="1">
      <alignment horizontal="left" wrapText="1"/>
    </xf>
    <xf numFmtId="0" fontId="50" fillId="4" borderId="0" xfId="0" applyFont="1" applyFill="1" applyAlignment="1">
      <alignment horizontal="left" wrapText="1"/>
    </xf>
    <xf numFmtId="0" fontId="86" fillId="3" borderId="0" xfId="0" applyFont="1" applyFill="1"/>
    <xf numFmtId="0" fontId="49" fillId="3" borderId="0" xfId="0" applyFont="1" applyFill="1"/>
    <xf numFmtId="0" fontId="48" fillId="7" borderId="0" xfId="0" applyFont="1" applyFill="1"/>
    <xf numFmtId="0" fontId="48" fillId="3" borderId="0" xfId="0" applyFont="1" applyFill="1"/>
    <xf numFmtId="170" fontId="74" fillId="3" borderId="0" xfId="3" applyNumberFormat="1" applyFont="1" applyFill="1" applyBorder="1" applyAlignment="1" applyProtection="1">
      <alignment horizontal="left" vertical="top"/>
    </xf>
    <xf numFmtId="170" fontId="56" fillId="3" borderId="0" xfId="3" applyNumberFormat="1" applyFont="1" applyFill="1" applyBorder="1" applyAlignment="1" applyProtection="1">
      <alignment horizontal="left"/>
    </xf>
    <xf numFmtId="0" fontId="51" fillId="4" borderId="0" xfId="0" applyFont="1" applyFill="1"/>
    <xf numFmtId="0" fontId="98" fillId="3" borderId="0" xfId="0" applyFont="1" applyFill="1" applyAlignment="1">
      <alignment horizontal="right"/>
    </xf>
    <xf numFmtId="170" fontId="74" fillId="3" borderId="0" xfId="3" applyNumberFormat="1" applyFont="1" applyFill="1" applyBorder="1" applyAlignment="1" applyProtection="1">
      <alignment horizontal="left" vertical="center"/>
    </xf>
    <xf numFmtId="0" fontId="0" fillId="7" borderId="0" xfId="0" applyFill="1" applyAlignment="1">
      <alignment horizontal="center"/>
    </xf>
    <xf numFmtId="171" fontId="117" fillId="4" borderId="0" xfId="4" applyNumberFormat="1" applyFont="1" applyFill="1" applyBorder="1" applyAlignment="1" applyProtection="1">
      <alignment vertical="center"/>
    </xf>
    <xf numFmtId="171" fontId="118" fillId="4" borderId="0" xfId="4" applyNumberFormat="1" applyFont="1" applyFill="1" applyBorder="1" applyAlignment="1" applyProtection="1">
      <alignment vertical="center"/>
    </xf>
    <xf numFmtId="171" fontId="143" fillId="4" borderId="0" xfId="4" applyNumberFormat="1" applyFont="1" applyFill="1" applyBorder="1" applyAlignment="1" applyProtection="1">
      <alignment vertical="center"/>
    </xf>
    <xf numFmtId="3" fontId="115" fillId="4" borderId="0" xfId="0" applyNumberFormat="1" applyFont="1" applyFill="1" applyAlignment="1">
      <alignment horizontal="center" vertical="center"/>
    </xf>
    <xf numFmtId="0" fontId="74" fillId="3" borderId="0" xfId="0" applyFont="1" applyFill="1" applyAlignment="1">
      <alignment horizontal="left"/>
    </xf>
    <xf numFmtId="1" fontId="74" fillId="3" borderId="0" xfId="0" applyNumberFormat="1" applyFont="1" applyFill="1" applyAlignment="1">
      <alignment horizontal="right"/>
    </xf>
    <xf numFmtId="0" fontId="118" fillId="4" borderId="0" xfId="0" applyFont="1" applyFill="1"/>
    <xf numFmtId="166" fontId="118" fillId="4" borderId="0" xfId="0" applyNumberFormat="1" applyFont="1" applyFill="1"/>
    <xf numFmtId="0" fontId="74" fillId="3" borderId="0" xfId="0" applyFont="1" applyFill="1" applyAlignment="1">
      <alignment horizontal="left" vertical="center"/>
    </xf>
    <xf numFmtId="1" fontId="74" fillId="3" borderId="0" xfId="0" applyNumberFormat="1" applyFont="1" applyFill="1" applyAlignment="1">
      <alignment horizontal="right" vertical="center"/>
    </xf>
    <xf numFmtId="0" fontId="117" fillId="4" borderId="0" xfId="0" applyFont="1" applyFill="1"/>
    <xf numFmtId="166" fontId="117" fillId="4" borderId="0" xfId="0" applyNumberFormat="1" applyFont="1" applyFill="1"/>
    <xf numFmtId="0" fontId="74" fillId="3" borderId="0" xfId="0" applyFont="1" applyFill="1" applyAlignment="1">
      <alignment horizontal="left" vertical="top"/>
    </xf>
    <xf numFmtId="1" fontId="74" fillId="3" borderId="0" xfId="0" applyNumberFormat="1" applyFont="1" applyFill="1" applyAlignment="1">
      <alignment horizontal="right" vertical="top"/>
    </xf>
    <xf numFmtId="0" fontId="115" fillId="4" borderId="0" xfId="0" applyFont="1" applyFill="1"/>
    <xf numFmtId="173" fontId="115" fillId="4" borderId="0" xfId="0" applyNumberFormat="1" applyFont="1" applyFill="1"/>
    <xf numFmtId="3" fontId="55" fillId="3" borderId="0" xfId="0" applyNumberFormat="1" applyFont="1" applyFill="1" applyAlignment="1">
      <alignment horizontal="right" vertical="top"/>
    </xf>
    <xf numFmtId="0" fontId="57" fillId="4" borderId="0" xfId="0" applyFont="1" applyFill="1"/>
    <xf numFmtId="166" fontId="57" fillId="4" borderId="0" xfId="0" applyNumberFormat="1" applyFont="1" applyFill="1"/>
    <xf numFmtId="0" fontId="57" fillId="4" borderId="0" xfId="0" applyFont="1" applyFill="1" applyAlignment="1">
      <alignment vertical="top"/>
    </xf>
    <xf numFmtId="0" fontId="47" fillId="4" borderId="0" xfId="0" applyFont="1" applyFill="1" applyAlignment="1">
      <alignment vertical="top"/>
    </xf>
    <xf numFmtId="166" fontId="68" fillId="4" borderId="0" xfId="0" applyNumberFormat="1" applyFont="1" applyFill="1"/>
    <xf numFmtId="171" fontId="97" fillId="4" borderId="0" xfId="4" applyNumberFormat="1" applyFont="1" applyFill="1" applyBorder="1" applyAlignment="1" applyProtection="1"/>
    <xf numFmtId="0" fontId="118" fillId="4" borderId="0" xfId="0" applyFont="1" applyFill="1" applyAlignment="1">
      <alignment horizontal="right" indent="2"/>
    </xf>
    <xf numFmtId="0" fontId="117" fillId="4" borderId="0" xfId="0" applyFont="1" applyFill="1" applyAlignment="1">
      <alignment horizontal="right" indent="2"/>
    </xf>
    <xf numFmtId="0" fontId="129" fillId="4" borderId="0" xfId="0" applyFont="1" applyFill="1" applyAlignment="1">
      <alignment horizontal="right"/>
    </xf>
    <xf numFmtId="0" fontId="115" fillId="4" borderId="0" xfId="0" applyFont="1" applyFill="1" applyAlignment="1">
      <alignment horizontal="right" indent="2"/>
    </xf>
    <xf numFmtId="0" fontId="57" fillId="4" borderId="0" xfId="0" applyFont="1" applyFill="1" applyAlignment="1">
      <alignment horizontal="right" indent="2"/>
    </xf>
    <xf numFmtId="0" fontId="95" fillId="3" borderId="0" xfId="0" applyFont="1" applyFill="1"/>
    <xf numFmtId="0" fontId="47" fillId="4" borderId="0" xfId="0" applyFont="1" applyFill="1" applyAlignment="1">
      <alignment horizontal="right"/>
    </xf>
    <xf numFmtId="0" fontId="129" fillId="4" borderId="0" xfId="0" applyFont="1" applyFill="1" applyAlignment="1">
      <alignment horizontal="right" indent="2"/>
    </xf>
    <xf numFmtId="0" fontId="0" fillId="4" borderId="0" xfId="0" applyFill="1" applyAlignment="1">
      <alignment horizontal="left"/>
    </xf>
    <xf numFmtId="0" fontId="6" fillId="7" borderId="0" xfId="0" applyFont="1" applyFill="1" applyAlignment="1">
      <alignment horizontal="left" vertical="top" wrapText="1"/>
    </xf>
    <xf numFmtId="0" fontId="128" fillId="7" borderId="0" xfId="0" applyFont="1" applyFill="1"/>
    <xf numFmtId="0" fontId="0" fillId="7" borderId="0" xfId="0" applyFill="1" applyAlignment="1">
      <alignment textRotation="45"/>
    </xf>
    <xf numFmtId="0" fontId="0" fillId="7" borderId="0" xfId="0" applyFill="1" applyAlignment="1">
      <alignment textRotation="45" wrapText="1"/>
    </xf>
    <xf numFmtId="1" fontId="0" fillId="7" borderId="0" xfId="0" applyNumberFormat="1" applyFill="1" applyAlignment="1">
      <alignment textRotation="45"/>
    </xf>
    <xf numFmtId="0" fontId="0" fillId="7" borderId="0" xfId="0" applyFill="1" applyAlignment="1">
      <alignment horizontal="center" textRotation="45"/>
    </xf>
    <xf numFmtId="0" fontId="0" fillId="4" borderId="0" xfId="0" applyFill="1" applyAlignment="1">
      <alignment horizontal="center" textRotation="45"/>
    </xf>
    <xf numFmtId="0" fontId="0" fillId="4" borderId="0" xfId="0" applyFill="1" applyAlignment="1">
      <alignment textRotation="45"/>
    </xf>
    <xf numFmtId="0" fontId="57" fillId="9" borderId="8" xfId="0" applyFont="1" applyFill="1" applyBorder="1" applyAlignment="1">
      <alignment horizontal="center" textRotation="45"/>
    </xf>
    <xf numFmtId="0" fontId="57" fillId="9" borderId="3" xfId="0" applyFont="1" applyFill="1" applyBorder="1" applyAlignment="1">
      <alignment horizontal="center" textRotation="45"/>
    </xf>
    <xf numFmtId="0" fontId="57" fillId="9" borderId="1" xfId="0" applyFont="1" applyFill="1" applyBorder="1" applyAlignment="1">
      <alignment horizontal="center" textRotation="45"/>
    </xf>
    <xf numFmtId="0" fontId="57" fillId="9" borderId="8" xfId="0" applyFont="1" applyFill="1" applyBorder="1" applyAlignment="1">
      <alignment horizontal="center" textRotation="45" wrapText="1"/>
    </xf>
    <xf numFmtId="0" fontId="57" fillId="9" borderId="15" xfId="0" applyFont="1" applyFill="1" applyBorder="1" applyAlignment="1">
      <alignment horizontal="center" textRotation="45"/>
    </xf>
    <xf numFmtId="0" fontId="58" fillId="9" borderId="8" xfId="0" applyFont="1" applyFill="1" applyBorder="1" applyAlignment="1">
      <alignment horizontal="center" textRotation="45"/>
    </xf>
    <xf numFmtId="1" fontId="58" fillId="9" borderId="8" xfId="0" applyNumberFormat="1" applyFont="1" applyFill="1" applyBorder="1" applyAlignment="1">
      <alignment horizontal="center" textRotation="45"/>
    </xf>
    <xf numFmtId="0" fontId="57" fillId="9" borderId="5" xfId="0" applyFont="1" applyFill="1" applyBorder="1" applyAlignment="1">
      <alignment horizontal="center" textRotation="45"/>
    </xf>
    <xf numFmtId="0" fontId="157" fillId="9" borderId="5" xfId="0" applyFont="1" applyFill="1" applyBorder="1" applyAlignment="1">
      <alignment horizontal="center" textRotation="45"/>
    </xf>
    <xf numFmtId="0" fontId="58" fillId="9" borderId="0" xfId="0" applyFont="1" applyFill="1" applyAlignment="1">
      <alignment horizontal="center" textRotation="45"/>
    </xf>
    <xf numFmtId="1" fontId="58" fillId="9" borderId="0" xfId="0" applyNumberFormat="1" applyFont="1" applyFill="1" applyAlignment="1">
      <alignment horizontal="center" textRotation="45"/>
    </xf>
    <xf numFmtId="0" fontId="57" fillId="9" borderId="4" xfId="0" applyFont="1" applyFill="1" applyBorder="1" applyAlignment="1">
      <alignment horizontal="center" textRotation="45"/>
    </xf>
    <xf numFmtId="0" fontId="57" fillId="9" borderId="12" xfId="0" applyFont="1" applyFill="1" applyBorder="1" applyAlignment="1">
      <alignment horizontal="center" textRotation="45"/>
    </xf>
    <xf numFmtId="0" fontId="158" fillId="9" borderId="0" xfId="0" applyFont="1" applyFill="1"/>
    <xf numFmtId="0" fontId="157" fillId="4" borderId="0" xfId="0" applyFont="1" applyFill="1" applyAlignment="1">
      <alignment horizontal="center" textRotation="45"/>
    </xf>
    <xf numFmtId="0" fontId="157" fillId="4" borderId="5" xfId="0" applyFont="1" applyFill="1" applyBorder="1" applyAlignment="1">
      <alignment horizontal="center" textRotation="45"/>
    </xf>
    <xf numFmtId="0" fontId="158" fillId="9" borderId="5" xfId="0" applyFont="1" applyFill="1" applyBorder="1"/>
    <xf numFmtId="0" fontId="5" fillId="9" borderId="0" xfId="0" applyFont="1" applyFill="1"/>
    <xf numFmtId="0" fontId="102" fillId="11" borderId="0" xfId="0" applyFont="1" applyFill="1" applyAlignment="1">
      <alignment horizontal="center"/>
    </xf>
    <xf numFmtId="0" fontId="57" fillId="11" borderId="0" xfId="0" applyFont="1" applyFill="1" applyAlignment="1">
      <alignment horizontal="left"/>
    </xf>
    <xf numFmtId="0" fontId="57" fillId="11" borderId="0" xfId="0" applyFont="1" applyFill="1"/>
    <xf numFmtId="0" fontId="57" fillId="11" borderId="0" xfId="0" applyFont="1" applyFill="1" applyAlignment="1">
      <alignment horizontal="center" textRotation="45"/>
    </xf>
    <xf numFmtId="0" fontId="58" fillId="11" borderId="0" xfId="0" applyFont="1" applyFill="1" applyAlignment="1">
      <alignment horizontal="center" textRotation="45"/>
    </xf>
    <xf numFmtId="1" fontId="58" fillId="11" borderId="0" xfId="0" applyNumberFormat="1" applyFont="1" applyFill="1" applyAlignment="1">
      <alignment horizontal="center" textRotation="45"/>
    </xf>
    <xf numFmtId="0" fontId="57" fillId="4" borderId="0" xfId="0" applyFont="1" applyFill="1" applyAlignment="1">
      <alignment horizontal="center" textRotation="45"/>
    </xf>
    <xf numFmtId="0" fontId="5" fillId="11" borderId="0" xfId="0" applyFont="1" applyFill="1"/>
    <xf numFmtId="0" fontId="45" fillId="4" borderId="0" xfId="0" applyFont="1" applyFill="1" applyAlignment="1">
      <alignment horizontal="center"/>
    </xf>
    <xf numFmtId="0" fontId="107" fillId="7" borderId="20" xfId="0" applyFont="1" applyFill="1" applyBorder="1"/>
    <xf numFmtId="0" fontId="106" fillId="7" borderId="20" xfId="0" applyFont="1" applyFill="1" applyBorder="1" applyAlignment="1">
      <alignment horizontal="left"/>
    </xf>
    <xf numFmtId="0" fontId="97" fillId="15" borderId="17" xfId="0" applyFont="1" applyFill="1" applyBorder="1"/>
    <xf numFmtId="0" fontId="63" fillId="15" borderId="11" xfId="0" applyFont="1" applyFill="1" applyBorder="1"/>
    <xf numFmtId="0" fontId="63" fillId="15" borderId="18" xfId="0" applyFont="1" applyFill="1" applyBorder="1"/>
    <xf numFmtId="0" fontId="97" fillId="15" borderId="20" xfId="0" applyFont="1" applyFill="1" applyBorder="1" applyAlignment="1">
      <alignment horizontal="left" vertical="center"/>
    </xf>
    <xf numFmtId="3" fontId="63" fillId="15" borderId="20" xfId="0" applyNumberFormat="1" applyFont="1" applyFill="1" applyBorder="1"/>
    <xf numFmtId="170" fontId="63" fillId="15" borderId="20" xfId="3" applyNumberFormat="1" applyFont="1" applyFill="1" applyBorder="1" applyProtection="1"/>
    <xf numFmtId="3" fontId="97" fillId="15" borderId="20" xfId="0" applyNumberFormat="1" applyFont="1" applyFill="1" applyBorder="1"/>
    <xf numFmtId="170" fontId="61" fillId="6" borderId="20" xfId="0" applyNumberFormat="1" applyFont="1" applyFill="1" applyBorder="1" applyAlignment="1">
      <alignment horizontal="center"/>
    </xf>
    <xf numFmtId="1" fontId="61" fillId="6" borderId="20" xfId="0" applyNumberFormat="1" applyFont="1" applyFill="1" applyBorder="1" applyAlignment="1">
      <alignment horizontal="center"/>
    </xf>
    <xf numFmtId="168" fontId="61" fillId="6" borderId="20" xfId="0" applyNumberFormat="1" applyFont="1" applyFill="1" applyBorder="1" applyAlignment="1">
      <alignment horizontal="center"/>
    </xf>
    <xf numFmtId="170" fontId="61" fillId="6" borderId="20" xfId="3" applyNumberFormat="1" applyFont="1" applyFill="1" applyBorder="1" applyAlignment="1" applyProtection="1">
      <alignment horizontal="center"/>
    </xf>
    <xf numFmtId="0" fontId="72" fillId="4" borderId="0" xfId="0" applyFont="1" applyFill="1"/>
    <xf numFmtId="0" fontId="77" fillId="3" borderId="0" xfId="0" applyFont="1" applyFill="1"/>
    <xf numFmtId="0" fontId="55" fillId="15" borderId="11" xfId="0" applyFont="1" applyFill="1" applyBorder="1"/>
    <xf numFmtId="0" fontId="55" fillId="15" borderId="18" xfId="0" applyFont="1" applyFill="1" applyBorder="1"/>
    <xf numFmtId="0" fontId="39" fillId="4" borderId="0" xfId="0" applyFont="1" applyFill="1"/>
    <xf numFmtId="0" fontId="107" fillId="7" borderId="20" xfId="0" applyFont="1" applyFill="1" applyBorder="1" applyAlignment="1">
      <alignment horizontal="left"/>
    </xf>
    <xf numFmtId="0" fontId="105" fillId="15" borderId="17" xfId="0" applyFont="1" applyFill="1" applyBorder="1"/>
    <xf numFmtId="170" fontId="61" fillId="5" borderId="18" xfId="0" applyNumberFormat="1" applyFont="1" applyFill="1" applyBorder="1" applyAlignment="1">
      <alignment horizontal="center"/>
    </xf>
    <xf numFmtId="3" fontId="61" fillId="5" borderId="17" xfId="0" applyNumberFormat="1" applyFont="1" applyFill="1" applyBorder="1" applyAlignment="1">
      <alignment horizontal="center"/>
    </xf>
    <xf numFmtId="0" fontId="106" fillId="7" borderId="0" xfId="0" applyFont="1" applyFill="1" applyAlignment="1">
      <alignment horizontal="left"/>
    </xf>
    <xf numFmtId="0" fontId="63" fillId="7" borderId="0" xfId="0" applyFont="1" applyFill="1"/>
    <xf numFmtId="0" fontId="97" fillId="7" borderId="0" xfId="0" applyFont="1" applyFill="1" applyAlignment="1">
      <alignment horizontal="left" vertical="center"/>
    </xf>
    <xf numFmtId="3" fontId="63" fillId="7" borderId="0" xfId="0" applyNumberFormat="1" applyFont="1" applyFill="1"/>
    <xf numFmtId="170" fontId="63" fillId="7" borderId="0" xfId="3" applyNumberFormat="1" applyFont="1" applyFill="1" applyBorder="1" applyProtection="1"/>
    <xf numFmtId="3" fontId="97" fillId="7" borderId="0" xfId="0" applyNumberFormat="1" applyFont="1" applyFill="1"/>
    <xf numFmtId="0" fontId="5" fillId="4" borderId="0" xfId="0" applyFont="1" applyFill="1"/>
    <xf numFmtId="0" fontId="69" fillId="4" borderId="0" xfId="0" applyFont="1" applyFill="1" applyAlignment="1">
      <alignment horizontal="left"/>
    </xf>
    <xf numFmtId="0" fontId="3" fillId="4" borderId="0" xfId="0" applyFont="1" applyFill="1" applyAlignment="1">
      <alignment horizontal="left"/>
    </xf>
    <xf numFmtId="1" fontId="70" fillId="4" borderId="0" xfId="0" applyNumberFormat="1" applyFont="1" applyFill="1" applyAlignment="1">
      <alignment horizontal="center"/>
    </xf>
    <xf numFmtId="166" fontId="70" fillId="4" borderId="0" xfId="0" applyNumberFormat="1" applyFont="1" applyFill="1" applyAlignment="1">
      <alignment horizontal="center"/>
    </xf>
    <xf numFmtId="170" fontId="71" fillId="4" borderId="0" xfId="3" applyNumberFormat="1" applyFont="1" applyFill="1" applyBorder="1" applyProtection="1"/>
    <xf numFmtId="3" fontId="32" fillId="4" borderId="0" xfId="0" applyNumberFormat="1" applyFont="1" applyFill="1"/>
    <xf numFmtId="170" fontId="69" fillId="4" borderId="0" xfId="0" applyNumberFormat="1" applyFont="1" applyFill="1" applyAlignment="1">
      <alignment horizontal="center"/>
    </xf>
    <xf numFmtId="1" fontId="69" fillId="4" borderId="0" xfId="0" applyNumberFormat="1" applyFont="1" applyFill="1" applyAlignment="1">
      <alignment horizontal="center"/>
    </xf>
    <xf numFmtId="168" fontId="69" fillId="4" borderId="0" xfId="0" applyNumberFormat="1" applyFont="1" applyFill="1" applyAlignment="1">
      <alignment horizontal="center"/>
    </xf>
    <xf numFmtId="1" fontId="3" fillId="4" borderId="13" xfId="0" applyNumberFormat="1" applyFont="1" applyFill="1" applyBorder="1" applyAlignment="1">
      <alignment horizontal="center"/>
    </xf>
    <xf numFmtId="0" fontId="48" fillId="4" borderId="0" xfId="0" applyFont="1" applyFill="1"/>
    <xf numFmtId="0" fontId="4" fillId="4" borderId="0" xfId="0" applyFont="1" applyFill="1" applyAlignment="1">
      <alignment horizontal="center"/>
    </xf>
    <xf numFmtId="1" fontId="57" fillId="4" borderId="0" xfId="0" applyNumberFormat="1" applyFont="1" applyFill="1"/>
    <xf numFmtId="0" fontId="60" fillId="4" borderId="0" xfId="0" applyFont="1" applyFill="1"/>
    <xf numFmtId="0" fontId="57" fillId="4" borderId="0" xfId="0" applyFont="1" applyFill="1" applyAlignment="1">
      <alignment horizontal="center"/>
    </xf>
    <xf numFmtId="0" fontId="60" fillId="4" borderId="0" xfId="0" applyFont="1" applyFill="1" applyAlignment="1">
      <alignment horizontal="center"/>
    </xf>
    <xf numFmtId="0" fontId="45" fillId="4" borderId="0" xfId="0" applyFont="1" applyFill="1"/>
    <xf numFmtId="0" fontId="3" fillId="4" borderId="0" xfId="0" applyFont="1" applyFill="1" applyAlignment="1">
      <alignment horizontal="center"/>
    </xf>
    <xf numFmtId="0" fontId="34" fillId="4" borderId="0" xfId="0" applyFont="1" applyFill="1" applyAlignment="1">
      <alignment vertical="center"/>
    </xf>
    <xf numFmtId="0" fontId="73" fillId="4" borderId="0" xfId="0" applyFont="1" applyFill="1" applyAlignment="1">
      <alignment vertical="center"/>
    </xf>
    <xf numFmtId="0" fontId="57" fillId="4" borderId="37" xfId="0" applyFont="1" applyFill="1" applyBorder="1" applyAlignment="1">
      <alignment horizontal="left" indent="2"/>
    </xf>
    <xf numFmtId="0" fontId="68" fillId="4" borderId="37" xfId="0" applyFont="1" applyFill="1" applyBorder="1" applyAlignment="1">
      <alignment horizontal="right"/>
    </xf>
    <xf numFmtId="3" fontId="86" fillId="7" borderId="58" xfId="0" applyNumberFormat="1" applyFont="1" applyFill="1" applyBorder="1" applyAlignment="1">
      <alignment horizontal="right"/>
    </xf>
    <xf numFmtId="3" fontId="86" fillId="7" borderId="57" xfId="0" applyNumberFormat="1" applyFont="1" applyFill="1" applyBorder="1" applyAlignment="1">
      <alignment horizontal="right"/>
    </xf>
    <xf numFmtId="0" fontId="57" fillId="7" borderId="57" xfId="0" applyFont="1" applyFill="1" applyBorder="1"/>
    <xf numFmtId="1" fontId="57" fillId="7" borderId="57" xfId="0" applyNumberFormat="1" applyFont="1" applyFill="1" applyBorder="1"/>
    <xf numFmtId="0" fontId="57" fillId="7" borderId="57" xfId="0" applyFont="1" applyFill="1" applyBorder="1" applyAlignment="1">
      <alignment horizontal="center"/>
    </xf>
    <xf numFmtId="3" fontId="86" fillId="7" borderId="59" xfId="0" applyNumberFormat="1" applyFont="1" applyFill="1" applyBorder="1" applyAlignment="1">
      <alignment horizontal="right"/>
    </xf>
    <xf numFmtId="0" fontId="60" fillId="4" borderId="29" xfId="0" applyFont="1" applyFill="1" applyBorder="1"/>
    <xf numFmtId="0" fontId="1" fillId="4" borderId="0" xfId="0" applyFont="1" applyFill="1" applyAlignment="1">
      <alignment horizontal="center"/>
    </xf>
    <xf numFmtId="0" fontId="57" fillId="4" borderId="42" xfId="0" applyFont="1" applyFill="1" applyBorder="1" applyAlignment="1">
      <alignment horizontal="left" indent="2"/>
    </xf>
    <xf numFmtId="0" fontId="68" fillId="4" borderId="42" xfId="0" applyFont="1" applyFill="1" applyBorder="1" applyAlignment="1">
      <alignment horizontal="right"/>
    </xf>
    <xf numFmtId="3" fontId="86" fillId="7" borderId="62" xfId="0" applyNumberFormat="1" applyFont="1" applyFill="1" applyBorder="1" applyAlignment="1">
      <alignment horizontal="right"/>
    </xf>
    <xf numFmtId="3" fontId="86" fillId="7" borderId="56" xfId="0" applyNumberFormat="1" applyFont="1" applyFill="1" applyBorder="1" applyAlignment="1">
      <alignment horizontal="right"/>
    </xf>
    <xf numFmtId="0" fontId="57" fillId="7" borderId="56" xfId="0" applyFont="1" applyFill="1" applyBorder="1"/>
    <xf numFmtId="1" fontId="57" fillId="7" borderId="56" xfId="0" applyNumberFormat="1" applyFont="1" applyFill="1" applyBorder="1"/>
    <xf numFmtId="0" fontId="57" fillId="7" borderId="56" xfId="0" applyFont="1" applyFill="1" applyBorder="1" applyAlignment="1">
      <alignment horizontal="center"/>
    </xf>
    <xf numFmtId="3" fontId="86" fillId="7" borderId="63" xfId="0" applyNumberFormat="1" applyFont="1" applyFill="1" applyBorder="1" applyAlignment="1">
      <alignment horizontal="right"/>
    </xf>
    <xf numFmtId="1" fontId="57" fillId="4" borderId="37" xfId="0" applyNumberFormat="1" applyFont="1" applyFill="1" applyBorder="1" applyAlignment="1">
      <alignment horizontal="left" indent="2"/>
    </xf>
    <xf numFmtId="0" fontId="68" fillId="4" borderId="37" xfId="3" applyNumberFormat="1" applyFont="1" applyFill="1" applyBorder="1" applyProtection="1"/>
    <xf numFmtId="0" fontId="0" fillId="4" borderId="42" xfId="0" applyFill="1" applyBorder="1"/>
    <xf numFmtId="0" fontId="72" fillId="4" borderId="42" xfId="0" applyFont="1" applyFill="1" applyBorder="1"/>
    <xf numFmtId="0" fontId="57" fillId="4" borderId="37" xfId="0" applyFont="1" applyFill="1" applyBorder="1"/>
    <xf numFmtId="1" fontId="57" fillId="4" borderId="37" xfId="0" applyNumberFormat="1" applyFont="1" applyFill="1" applyBorder="1"/>
    <xf numFmtId="170" fontId="86" fillId="7" borderId="58" xfId="3" applyNumberFormat="1" applyFont="1" applyFill="1" applyBorder="1" applyProtection="1"/>
    <xf numFmtId="170" fontId="86" fillId="7" borderId="57" xfId="3" applyNumberFormat="1" applyFont="1" applyFill="1" applyBorder="1" applyProtection="1"/>
    <xf numFmtId="170" fontId="86" fillId="7" borderId="59" xfId="3" applyNumberFormat="1" applyFont="1" applyFill="1" applyBorder="1" applyProtection="1"/>
    <xf numFmtId="0" fontId="1" fillId="3" borderId="0" xfId="3" applyNumberFormat="1" applyFont="1" applyFill="1" applyBorder="1" applyProtection="1"/>
    <xf numFmtId="168" fontId="57" fillId="4" borderId="0" xfId="0" applyNumberFormat="1" applyFont="1" applyFill="1" applyAlignment="1">
      <alignment horizontal="left" indent="2"/>
    </xf>
    <xf numFmtId="0" fontId="68" fillId="4" borderId="0" xfId="3" applyNumberFormat="1" applyFont="1" applyFill="1" applyBorder="1" applyProtection="1"/>
    <xf numFmtId="0" fontId="86" fillId="4" borderId="18" xfId="3" applyNumberFormat="1" applyFont="1" applyFill="1" applyBorder="1" applyProtection="1"/>
    <xf numFmtId="177" fontId="86" fillId="4" borderId="20" xfId="3" applyNumberFormat="1" applyFont="1" applyFill="1" applyBorder="1" applyProtection="1"/>
    <xf numFmtId="0" fontId="57" fillId="4" borderId="20" xfId="0" applyFont="1" applyFill="1" applyBorder="1"/>
    <xf numFmtId="1" fontId="57" fillId="4" borderId="20" xfId="0" applyNumberFormat="1" applyFont="1" applyFill="1" applyBorder="1"/>
    <xf numFmtId="177" fontId="86" fillId="4" borderId="61" xfId="3" applyNumberFormat="1" applyFont="1" applyFill="1" applyBorder="1" applyProtection="1"/>
    <xf numFmtId="177" fontId="86" fillId="7" borderId="60" xfId="3" applyNumberFormat="1" applyFont="1" applyFill="1" applyBorder="1" applyProtection="1"/>
    <xf numFmtId="0" fontId="57" fillId="7" borderId="20" xfId="0" applyFont="1" applyFill="1" applyBorder="1"/>
    <xf numFmtId="1" fontId="57" fillId="7" borderId="20" xfId="0" applyNumberFormat="1" applyFont="1" applyFill="1" applyBorder="1"/>
    <xf numFmtId="177" fontId="86" fillId="7" borderId="20" xfId="3" applyNumberFormat="1" applyFont="1" applyFill="1" applyBorder="1" applyProtection="1"/>
    <xf numFmtId="0" fontId="57" fillId="7" borderId="20" xfId="0" applyFont="1" applyFill="1" applyBorder="1" applyAlignment="1">
      <alignment horizontal="center"/>
    </xf>
    <xf numFmtId="177" fontId="86" fillId="7" borderId="61" xfId="3" applyNumberFormat="1" applyFont="1" applyFill="1" applyBorder="1" applyProtection="1"/>
    <xf numFmtId="1" fontId="57" fillId="4" borderId="0" xfId="0" applyNumberFormat="1" applyFont="1" applyFill="1" applyAlignment="1">
      <alignment horizontal="left" indent="2"/>
    </xf>
    <xf numFmtId="1" fontId="3" fillId="4" borderId="20" xfId="0" applyNumberFormat="1" applyFont="1" applyFill="1" applyBorder="1"/>
    <xf numFmtId="168" fontId="3" fillId="4" borderId="20" xfId="0" applyNumberFormat="1" applyFont="1" applyFill="1" applyBorder="1"/>
    <xf numFmtId="177" fontId="86" fillId="4" borderId="17" xfId="3" applyNumberFormat="1" applyFont="1" applyFill="1" applyBorder="1" applyProtection="1"/>
    <xf numFmtId="168" fontId="57" fillId="4" borderId="42" xfId="0" applyNumberFormat="1" applyFont="1" applyFill="1" applyBorder="1" applyAlignment="1">
      <alignment horizontal="left" indent="2"/>
    </xf>
    <xf numFmtId="0" fontId="68" fillId="4" borderId="42" xfId="3" applyNumberFormat="1" applyFont="1" applyFill="1" applyBorder="1" applyProtection="1"/>
    <xf numFmtId="3" fontId="86" fillId="4" borderId="42" xfId="0" applyNumberFormat="1" applyFont="1" applyFill="1" applyBorder="1" applyAlignment="1">
      <alignment horizontal="right"/>
    </xf>
    <xf numFmtId="0" fontId="57" fillId="4" borderId="42" xfId="0" applyFont="1" applyFill="1" applyBorder="1"/>
    <xf numFmtId="1" fontId="57" fillId="4" borderId="42" xfId="0" applyNumberFormat="1" applyFont="1" applyFill="1" applyBorder="1"/>
    <xf numFmtId="177" fontId="86" fillId="7" borderId="62" xfId="3" applyNumberFormat="1" applyFont="1" applyFill="1" applyBorder="1" applyProtection="1"/>
    <xf numFmtId="177" fontId="86" fillId="7" borderId="56" xfId="3" applyNumberFormat="1" applyFont="1" applyFill="1" applyBorder="1" applyProtection="1"/>
    <xf numFmtId="177" fontId="72" fillId="7" borderId="56" xfId="3" applyNumberFormat="1" applyFont="1" applyFill="1" applyBorder="1" applyProtection="1"/>
    <xf numFmtId="177" fontId="86" fillId="7" borderId="63" xfId="3" applyNumberFormat="1" applyFont="1" applyFill="1" applyBorder="1" applyProtection="1"/>
    <xf numFmtId="0" fontId="1" fillId="4" borderId="42" xfId="3" applyNumberFormat="1" applyFont="1" applyFill="1" applyBorder="1" applyAlignment="1" applyProtection="1">
      <alignment horizontal="left" indent="4"/>
    </xf>
    <xf numFmtId="0" fontId="1" fillId="4" borderId="42" xfId="3" applyNumberFormat="1" applyFont="1" applyFill="1" applyBorder="1" applyProtection="1"/>
    <xf numFmtId="0" fontId="1" fillId="4" borderId="36" xfId="3" applyNumberFormat="1" applyFont="1" applyFill="1" applyBorder="1" applyProtection="1"/>
    <xf numFmtId="0" fontId="57" fillId="4" borderId="36" xfId="0" applyFont="1" applyFill="1" applyBorder="1"/>
    <xf numFmtId="1" fontId="57" fillId="4" borderId="36" xfId="0" applyNumberFormat="1" applyFont="1" applyFill="1" applyBorder="1"/>
    <xf numFmtId="1" fontId="3" fillId="4" borderId="36" xfId="0" applyNumberFormat="1" applyFont="1" applyFill="1" applyBorder="1"/>
    <xf numFmtId="168" fontId="3" fillId="4" borderId="36" xfId="0" applyNumberFormat="1" applyFont="1" applyFill="1" applyBorder="1"/>
    <xf numFmtId="168" fontId="118" fillId="4" borderId="37" xfId="0" applyNumberFormat="1" applyFont="1" applyFill="1" applyBorder="1" applyAlignment="1">
      <alignment horizontal="left" indent="2"/>
    </xf>
    <xf numFmtId="168" fontId="147" fillId="4" borderId="37" xfId="0" applyNumberFormat="1" applyFont="1" applyFill="1" applyBorder="1" applyAlignment="1">
      <alignment horizontal="right"/>
    </xf>
    <xf numFmtId="168" fontId="118" fillId="4" borderId="0" xfId="0" applyNumberFormat="1" applyFont="1" applyFill="1" applyAlignment="1">
      <alignment horizontal="left" indent="2"/>
    </xf>
    <xf numFmtId="168" fontId="147" fillId="4" borderId="0" xfId="0" applyNumberFormat="1" applyFont="1" applyFill="1" applyAlignment="1">
      <alignment horizontal="right"/>
    </xf>
    <xf numFmtId="3" fontId="86" fillId="7" borderId="66" xfId="0" applyNumberFormat="1" applyFont="1" applyFill="1" applyBorder="1" applyAlignment="1">
      <alignment horizontal="right"/>
    </xf>
    <xf numFmtId="3" fontId="86" fillId="7" borderId="20" xfId="0" applyNumberFormat="1" applyFont="1" applyFill="1" applyBorder="1" applyAlignment="1">
      <alignment horizontal="right"/>
    </xf>
    <xf numFmtId="0" fontId="57" fillId="7" borderId="15" xfId="0" applyFont="1" applyFill="1" applyBorder="1"/>
    <xf numFmtId="1" fontId="57" fillId="7" borderId="15" xfId="0" applyNumberFormat="1" applyFont="1" applyFill="1" applyBorder="1"/>
    <xf numFmtId="1" fontId="3" fillId="7" borderId="15" xfId="0" applyNumberFormat="1" applyFont="1" applyFill="1" applyBorder="1"/>
    <xf numFmtId="168" fontId="3" fillId="7" borderId="15" xfId="0" applyNumberFormat="1" applyFont="1" applyFill="1" applyBorder="1"/>
    <xf numFmtId="3" fontId="86" fillId="7" borderId="60" xfId="0" applyNumberFormat="1" applyFont="1" applyFill="1" applyBorder="1" applyAlignment="1">
      <alignment horizontal="right"/>
    </xf>
    <xf numFmtId="3" fontId="86" fillId="7" borderId="61" xfId="0" applyNumberFormat="1" applyFont="1" applyFill="1" applyBorder="1" applyAlignment="1">
      <alignment horizontal="right"/>
    </xf>
    <xf numFmtId="0" fontId="57" fillId="7" borderId="34" xfId="0" applyFont="1" applyFill="1" applyBorder="1"/>
    <xf numFmtId="1" fontId="57" fillId="7" borderId="34" xfId="0" applyNumberFormat="1" applyFont="1" applyFill="1" applyBorder="1"/>
    <xf numFmtId="168" fontId="117" fillId="4" borderId="0" xfId="0" applyNumberFormat="1" applyFont="1" applyFill="1" applyAlignment="1">
      <alignment horizontal="left" indent="2"/>
    </xf>
    <xf numFmtId="168" fontId="141" fillId="4" borderId="0" xfId="0" applyNumberFormat="1" applyFont="1" applyFill="1" applyAlignment="1">
      <alignment horizontal="right"/>
    </xf>
    <xf numFmtId="3" fontId="86" fillId="4" borderId="18" xfId="0" applyNumberFormat="1" applyFont="1" applyFill="1" applyBorder="1"/>
    <xf numFmtId="3" fontId="86" fillId="4" borderId="20" xfId="0" applyNumberFormat="1" applyFont="1" applyFill="1" applyBorder="1"/>
    <xf numFmtId="0" fontId="57" fillId="4" borderId="68" xfId="0" applyFont="1" applyFill="1" applyBorder="1"/>
    <xf numFmtId="1" fontId="57" fillId="4" borderId="68" xfId="0" applyNumberFormat="1" applyFont="1" applyFill="1" applyBorder="1"/>
    <xf numFmtId="1" fontId="3" fillId="4" borderId="68" xfId="0" applyNumberFormat="1" applyFont="1" applyFill="1" applyBorder="1"/>
    <xf numFmtId="168" fontId="3" fillId="4" borderId="68" xfId="0" applyNumberFormat="1" applyFont="1" applyFill="1" applyBorder="1"/>
    <xf numFmtId="3" fontId="86" fillId="4" borderId="67" xfId="0" applyNumberFormat="1" applyFont="1" applyFill="1" applyBorder="1"/>
    <xf numFmtId="178" fontId="86" fillId="7" borderId="66" xfId="0" applyNumberFormat="1" applyFont="1" applyFill="1" applyBorder="1" applyAlignment="1">
      <alignment horizontal="right"/>
    </xf>
    <xf numFmtId="178" fontId="86" fillId="7" borderId="20" xfId="0" applyNumberFormat="1" applyFont="1" applyFill="1" applyBorder="1" applyAlignment="1">
      <alignment horizontal="right"/>
    </xf>
    <xf numFmtId="178" fontId="57" fillId="7" borderId="34" xfId="0" applyNumberFormat="1" applyFont="1" applyFill="1" applyBorder="1"/>
    <xf numFmtId="178" fontId="3" fillId="7" borderId="34" xfId="0" applyNumberFormat="1" applyFont="1" applyFill="1" applyBorder="1"/>
    <xf numFmtId="178" fontId="57" fillId="4" borderId="0" xfId="0" applyNumberFormat="1" applyFont="1" applyFill="1"/>
    <xf numFmtId="178" fontId="86" fillId="7" borderId="60" xfId="0" applyNumberFormat="1" applyFont="1" applyFill="1" applyBorder="1" applyAlignment="1">
      <alignment horizontal="right"/>
    </xf>
    <xf numFmtId="178" fontId="57" fillId="7" borderId="20" xfId="0" applyNumberFormat="1" applyFont="1" applyFill="1" applyBorder="1" applyAlignment="1">
      <alignment horizontal="center"/>
    </xf>
    <xf numFmtId="178" fontId="57" fillId="7" borderId="20" xfId="0" applyNumberFormat="1" applyFont="1" applyFill="1" applyBorder="1"/>
    <xf numFmtId="178" fontId="86" fillId="7" borderId="61" xfId="0" applyNumberFormat="1" applyFont="1" applyFill="1" applyBorder="1" applyAlignment="1">
      <alignment horizontal="right"/>
    </xf>
    <xf numFmtId="168" fontId="115" fillId="4" borderId="0" xfId="0" applyNumberFormat="1" applyFont="1" applyFill="1" applyAlignment="1">
      <alignment horizontal="left" indent="2"/>
    </xf>
    <xf numFmtId="168" fontId="148" fillId="4" borderId="0" xfId="0" applyNumberFormat="1" applyFont="1" applyFill="1" applyAlignment="1">
      <alignment horizontal="right"/>
    </xf>
    <xf numFmtId="3" fontId="86" fillId="7" borderId="66" xfId="0" applyNumberFormat="1" applyFont="1" applyFill="1" applyBorder="1"/>
    <xf numFmtId="3" fontId="86" fillId="7" borderId="20" xfId="0" applyNumberFormat="1" applyFont="1" applyFill="1" applyBorder="1"/>
    <xf numFmtId="0" fontId="57" fillId="4" borderId="0" xfId="0" applyFont="1" applyFill="1" applyAlignment="1">
      <alignment horizontal="left" indent="2"/>
    </xf>
    <xf numFmtId="0" fontId="58" fillId="4" borderId="42" xfId="0" applyFont="1" applyFill="1" applyBorder="1"/>
    <xf numFmtId="3" fontId="86" fillId="7" borderId="64" xfId="0" applyNumberFormat="1" applyFont="1" applyFill="1" applyBorder="1" applyAlignment="1">
      <alignment horizontal="right"/>
    </xf>
    <xf numFmtId="1" fontId="0" fillId="4" borderId="0" xfId="0" applyNumberFormat="1" applyFill="1"/>
    <xf numFmtId="0" fontId="0" fillId="4" borderId="0" xfId="0" applyFill="1" applyAlignment="1">
      <alignment horizontal="center"/>
    </xf>
    <xf numFmtId="168" fontId="129" fillId="4" borderId="37" xfId="0" applyNumberFormat="1" applyFont="1" applyFill="1" applyBorder="1" applyAlignment="1">
      <alignment horizontal="left" indent="2"/>
    </xf>
    <xf numFmtId="168" fontId="149" fillId="4" borderId="37" xfId="0" applyNumberFormat="1" applyFont="1" applyFill="1" applyBorder="1" applyAlignment="1">
      <alignment horizontal="right"/>
    </xf>
    <xf numFmtId="3" fontId="86" fillId="7" borderId="65" xfId="0" applyNumberFormat="1" applyFont="1" applyFill="1" applyBorder="1" applyAlignment="1">
      <alignment horizontal="right"/>
    </xf>
    <xf numFmtId="168" fontId="129" fillId="4" borderId="0" xfId="0" applyNumberFormat="1" applyFont="1" applyFill="1" applyAlignment="1">
      <alignment horizontal="left" indent="2"/>
    </xf>
    <xf numFmtId="168" fontId="149" fillId="4" borderId="0" xfId="0" applyNumberFormat="1" applyFont="1" applyFill="1" applyAlignment="1">
      <alignment horizontal="right"/>
    </xf>
    <xf numFmtId="178" fontId="86" fillId="7" borderId="66" xfId="0" applyNumberFormat="1" applyFont="1" applyFill="1" applyBorder="1"/>
    <xf numFmtId="178" fontId="86" fillId="7" borderId="20" xfId="0" applyNumberFormat="1" applyFont="1" applyFill="1" applyBorder="1"/>
    <xf numFmtId="3" fontId="86" fillId="4" borderId="11" xfId="0" applyNumberFormat="1" applyFont="1" applyFill="1" applyBorder="1" applyAlignment="1">
      <alignment horizontal="right"/>
    </xf>
    <xf numFmtId="3" fontId="86" fillId="4" borderId="28" xfId="0" applyNumberFormat="1" applyFont="1" applyFill="1" applyBorder="1" applyAlignment="1">
      <alignment horizontal="right"/>
    </xf>
    <xf numFmtId="3" fontId="86" fillId="4" borderId="34" xfId="0" applyNumberFormat="1" applyFont="1" applyFill="1" applyBorder="1" applyAlignment="1">
      <alignment horizontal="right"/>
    </xf>
    <xf numFmtId="3" fontId="86" fillId="4" borderId="69" xfId="0" applyNumberFormat="1" applyFont="1" applyFill="1" applyBorder="1" applyAlignment="1">
      <alignment horizontal="right"/>
    </xf>
    <xf numFmtId="179" fontId="86" fillId="7" borderId="60" xfId="0" applyNumberFormat="1" applyFont="1" applyFill="1" applyBorder="1" applyAlignment="1">
      <alignment horizontal="right"/>
    </xf>
    <xf numFmtId="0" fontId="58" fillId="4" borderId="55" xfId="0" applyFont="1" applyFill="1" applyBorder="1"/>
    <xf numFmtId="3" fontId="86" fillId="7" borderId="25" xfId="0" applyNumberFormat="1" applyFont="1" applyFill="1" applyBorder="1" applyAlignment="1">
      <alignment horizontal="right"/>
    </xf>
    <xf numFmtId="3" fontId="86" fillId="7" borderId="15" xfId="0" applyNumberFormat="1" applyFont="1" applyFill="1" applyBorder="1" applyAlignment="1">
      <alignment horizontal="right"/>
    </xf>
    <xf numFmtId="1" fontId="3" fillId="4" borderId="53" xfId="0" applyNumberFormat="1" applyFont="1" applyFill="1" applyBorder="1"/>
    <xf numFmtId="0" fontId="0" fillId="4" borderId="54" xfId="0" applyFill="1" applyBorder="1"/>
    <xf numFmtId="1" fontId="68" fillId="4" borderId="37" xfId="0" applyNumberFormat="1" applyFont="1" applyFill="1" applyBorder="1" applyAlignment="1">
      <alignment horizontal="right"/>
    </xf>
    <xf numFmtId="1" fontId="68" fillId="4" borderId="0" xfId="0" applyNumberFormat="1" applyFont="1" applyFill="1" applyAlignment="1">
      <alignment horizontal="right"/>
    </xf>
    <xf numFmtId="1" fontId="3" fillId="7" borderId="34" xfId="0" applyNumberFormat="1" applyFont="1" applyFill="1" applyBorder="1"/>
    <xf numFmtId="168" fontId="3" fillId="7" borderId="34" xfId="0" applyNumberFormat="1" applyFont="1" applyFill="1" applyBorder="1"/>
    <xf numFmtId="1" fontId="57" fillId="4" borderId="42" xfId="0" applyNumberFormat="1" applyFont="1" applyFill="1" applyBorder="1" applyAlignment="1">
      <alignment horizontal="left" indent="2"/>
    </xf>
    <xf numFmtId="1" fontId="68" fillId="4" borderId="42" xfId="0" applyNumberFormat="1" applyFont="1" applyFill="1" applyBorder="1" applyAlignment="1">
      <alignment horizontal="right"/>
    </xf>
    <xf numFmtId="0" fontId="0" fillId="4" borderId="42" xfId="0" applyFill="1" applyBorder="1" applyAlignment="1">
      <alignment horizontal="left" indent="4"/>
    </xf>
    <xf numFmtId="1" fontId="138" fillId="4" borderId="37" xfId="0" applyNumberFormat="1" applyFont="1" applyFill="1" applyBorder="1" applyAlignment="1">
      <alignment horizontal="left" vertical="center" indent="2"/>
    </xf>
    <xf numFmtId="1" fontId="138" fillId="4" borderId="0" xfId="0" applyNumberFormat="1" applyFont="1" applyFill="1" applyAlignment="1">
      <alignment horizontal="left" vertical="center" indent="2"/>
    </xf>
    <xf numFmtId="3" fontId="86" fillId="7" borderId="61" xfId="0" applyNumberFormat="1" applyFont="1" applyFill="1" applyBorder="1"/>
    <xf numFmtId="1" fontId="138" fillId="4" borderId="42" xfId="0" applyNumberFormat="1" applyFont="1" applyFill="1" applyBorder="1" applyAlignment="1">
      <alignment horizontal="left" vertical="center" indent="2"/>
    </xf>
    <xf numFmtId="9" fontId="86" fillId="7" borderId="56" xfId="2" applyFont="1" applyFill="1" applyBorder="1" applyProtection="1"/>
    <xf numFmtId="0" fontId="57" fillId="4" borderId="42" xfId="0" applyFont="1" applyFill="1" applyBorder="1" applyAlignment="1">
      <alignment horizontal="left" vertical="center" indent="2"/>
    </xf>
    <xf numFmtId="0" fontId="0" fillId="4" borderId="42" xfId="0" applyFill="1" applyBorder="1" applyAlignment="1">
      <alignment vertical="center"/>
    </xf>
    <xf numFmtId="0" fontId="106" fillId="4" borderId="42" xfId="0" applyFont="1" applyFill="1" applyBorder="1" applyAlignment="1">
      <alignment vertical="center"/>
    </xf>
    <xf numFmtId="1" fontId="58" fillId="4" borderId="0" xfId="0" applyNumberFormat="1" applyFont="1" applyFill="1"/>
    <xf numFmtId="3" fontId="63" fillId="2" borderId="20" xfId="0" applyNumberFormat="1" applyFont="1" applyFill="1" applyBorder="1" applyAlignment="1" applyProtection="1">
      <alignment horizontal="left" vertical="top"/>
      <protection locked="0"/>
    </xf>
    <xf numFmtId="3" fontId="63" fillId="16" borderId="20" xfId="0" applyNumberFormat="1" applyFont="1" applyFill="1" applyBorder="1" applyAlignment="1" applyProtection="1">
      <alignment horizontal="left" vertical="top"/>
      <protection locked="0"/>
    </xf>
    <xf numFmtId="0" fontId="63" fillId="6" borderId="20" xfId="0" applyFont="1" applyFill="1" applyBorder="1" applyAlignment="1" applyProtection="1">
      <alignment horizontal="center"/>
      <protection locked="0"/>
    </xf>
    <xf numFmtId="170" fontId="63" fillId="6" borderId="20" xfId="0" applyNumberFormat="1" applyFont="1" applyFill="1" applyBorder="1" applyAlignment="1">
      <alignment horizontal="center"/>
    </xf>
    <xf numFmtId="1" fontId="63" fillId="6" borderId="20" xfId="0" applyNumberFormat="1" applyFont="1" applyFill="1" applyBorder="1" applyAlignment="1">
      <alignment horizontal="center"/>
    </xf>
    <xf numFmtId="168" fontId="63" fillId="6" borderId="20" xfId="0" applyNumberFormat="1" applyFont="1" applyFill="1" applyBorder="1" applyAlignment="1">
      <alignment horizontal="center"/>
    </xf>
    <xf numFmtId="170" fontId="63" fillId="6" borderId="20" xfId="3" applyNumberFormat="1" applyFont="1" applyFill="1" applyBorder="1" applyAlignment="1" applyProtection="1">
      <alignment horizontal="center"/>
    </xf>
    <xf numFmtId="0" fontId="63" fillId="5" borderId="20" xfId="0" applyFont="1" applyFill="1" applyBorder="1" applyAlignment="1" applyProtection="1">
      <alignment horizontal="center"/>
      <protection locked="0"/>
    </xf>
    <xf numFmtId="170" fontId="63" fillId="5" borderId="20" xfId="0" applyNumberFormat="1" applyFont="1" applyFill="1" applyBorder="1" applyAlignment="1">
      <alignment horizontal="center"/>
    </xf>
    <xf numFmtId="1" fontId="63" fillId="5" borderId="20" xfId="0" applyNumberFormat="1" applyFont="1" applyFill="1" applyBorder="1" applyAlignment="1">
      <alignment horizontal="center"/>
    </xf>
    <xf numFmtId="168" fontId="63" fillId="5" borderId="20" xfId="0" applyNumberFormat="1" applyFont="1" applyFill="1" applyBorder="1" applyAlignment="1">
      <alignment horizontal="center"/>
    </xf>
    <xf numFmtId="3" fontId="63" fillId="5" borderId="20" xfId="0" applyNumberFormat="1" applyFont="1" applyFill="1" applyBorder="1" applyAlignment="1">
      <alignment horizontal="center"/>
    </xf>
    <xf numFmtId="0" fontId="63" fillId="5" borderId="20" xfId="0" applyFont="1" applyFill="1" applyBorder="1" applyAlignment="1">
      <alignment horizontal="center"/>
    </xf>
    <xf numFmtId="0" fontId="96" fillId="6" borderId="0" xfId="0" applyFont="1" applyFill="1" applyAlignment="1">
      <alignment vertical="top" wrapText="1"/>
    </xf>
    <xf numFmtId="0" fontId="22" fillId="2" borderId="0" xfId="0" applyFont="1" applyFill="1" applyAlignment="1" applyProtection="1">
      <alignment vertical="center" wrapText="1"/>
      <protection locked="0"/>
    </xf>
    <xf numFmtId="0" fontId="86" fillId="2" borderId="0" xfId="0" applyFont="1" applyFill="1" applyAlignment="1" applyProtection="1">
      <alignment vertical="top" wrapText="1"/>
      <protection locked="0"/>
    </xf>
    <xf numFmtId="174" fontId="58" fillId="4" borderId="0" xfId="0" applyNumberFormat="1" applyFont="1" applyFill="1" applyAlignment="1">
      <alignment horizontal="right" vertical="top"/>
    </xf>
    <xf numFmtId="175" fontId="58" fillId="4" borderId="0" xfId="0" applyNumberFormat="1" applyFont="1" applyFill="1" applyAlignment="1">
      <alignment horizontal="right" vertical="top"/>
    </xf>
    <xf numFmtId="169" fontId="58" fillId="4" borderId="0" xfId="0" applyNumberFormat="1" applyFont="1" applyFill="1" applyAlignment="1">
      <alignment horizontal="right" vertical="top"/>
    </xf>
    <xf numFmtId="0" fontId="58" fillId="4" borderId="0" xfId="0" applyFont="1" applyFill="1" applyAlignment="1">
      <alignment horizontal="right" vertical="top"/>
    </xf>
    <xf numFmtId="0" fontId="168" fillId="4" borderId="0" xfId="0" applyFont="1" applyFill="1" applyAlignment="1">
      <alignment horizontal="left" indent="3"/>
    </xf>
    <xf numFmtId="0" fontId="168" fillId="4" borderId="0" xfId="0" applyFont="1" applyFill="1" applyAlignment="1">
      <alignment horizontal="left" vertical="center" indent="3"/>
    </xf>
    <xf numFmtId="0" fontId="115" fillId="6" borderId="0" xfId="1" applyFont="1" applyFill="1" applyBorder="1" applyAlignment="1" applyProtection="1">
      <alignment vertical="center" wrapText="1"/>
    </xf>
    <xf numFmtId="9" fontId="63" fillId="7" borderId="0" xfId="2" applyFont="1" applyFill="1" applyBorder="1" applyAlignment="1" applyProtection="1">
      <alignment horizontal="center"/>
    </xf>
    <xf numFmtId="170" fontId="61" fillId="5" borderId="0" xfId="0" applyNumberFormat="1" applyFont="1" applyFill="1" applyAlignment="1">
      <alignment horizontal="center"/>
    </xf>
    <xf numFmtId="1" fontId="61" fillId="5" borderId="0" xfId="0" applyNumberFormat="1" applyFont="1" applyFill="1" applyAlignment="1">
      <alignment horizontal="center"/>
    </xf>
    <xf numFmtId="168" fontId="61" fillId="5" borderId="0" xfId="0" applyNumberFormat="1" applyFont="1" applyFill="1" applyAlignment="1">
      <alignment horizontal="center"/>
    </xf>
    <xf numFmtId="3" fontId="61" fillId="5" borderId="0" xfId="0" applyNumberFormat="1" applyFont="1" applyFill="1" applyAlignment="1">
      <alignment horizontal="center"/>
    </xf>
    <xf numFmtId="0" fontId="107" fillId="7" borderId="34" xfId="0" applyFont="1" applyFill="1" applyBorder="1"/>
    <xf numFmtId="0" fontId="106" fillId="7" borderId="34" xfId="0" applyFont="1" applyFill="1" applyBorder="1" applyAlignment="1">
      <alignment horizontal="left"/>
    </xf>
    <xf numFmtId="0" fontId="97" fillId="15" borderId="27" xfId="0" applyFont="1" applyFill="1" applyBorder="1"/>
    <xf numFmtId="0" fontId="63" fillId="15" borderId="16" xfId="0" applyFont="1" applyFill="1" applyBorder="1"/>
    <xf numFmtId="0" fontId="63" fillId="15" borderId="28" xfId="0" applyFont="1" applyFill="1" applyBorder="1"/>
    <xf numFmtId="0" fontId="63" fillId="6" borderId="34" xfId="0" applyFont="1" applyFill="1" applyBorder="1" applyAlignment="1" applyProtection="1">
      <alignment horizontal="center" vertical="center" shrinkToFit="1"/>
      <protection locked="0"/>
    </xf>
    <xf numFmtId="0" fontId="97" fillId="15" borderId="34" xfId="0" applyFont="1" applyFill="1" applyBorder="1" applyAlignment="1">
      <alignment horizontal="left" vertical="center"/>
    </xf>
    <xf numFmtId="3" fontId="63" fillId="15" borderId="34" xfId="0" applyNumberFormat="1" applyFont="1" applyFill="1" applyBorder="1"/>
    <xf numFmtId="170" fontId="63" fillId="15" borderId="34" xfId="3" applyNumberFormat="1" applyFont="1" applyFill="1" applyBorder="1" applyProtection="1">
      <protection locked="0"/>
    </xf>
    <xf numFmtId="170" fontId="63" fillId="15" borderId="34" xfId="3" applyNumberFormat="1" applyFont="1" applyFill="1" applyBorder="1" applyProtection="1"/>
    <xf numFmtId="3" fontId="97" fillId="15" borderId="34" xfId="0" applyNumberFormat="1" applyFont="1" applyFill="1" applyBorder="1"/>
    <xf numFmtId="3" fontId="63" fillId="15" borderId="34" xfId="0" applyNumberFormat="1" applyFont="1" applyFill="1" applyBorder="1" applyProtection="1">
      <protection locked="0"/>
    </xf>
    <xf numFmtId="3" fontId="63" fillId="15" borderId="76" xfId="0" applyNumberFormat="1" applyFont="1" applyFill="1" applyBorder="1" applyProtection="1">
      <protection locked="0"/>
    </xf>
    <xf numFmtId="9" fontId="61" fillId="15" borderId="28" xfId="2" applyFont="1" applyFill="1" applyBorder="1" applyAlignment="1" applyProtection="1">
      <alignment horizontal="center"/>
    </xf>
    <xf numFmtId="170" fontId="62" fillId="15" borderId="34" xfId="3" applyNumberFormat="1" applyFont="1" applyFill="1" applyBorder="1" applyProtection="1"/>
    <xf numFmtId="0" fontId="63" fillId="6" borderId="34" xfId="0" applyFont="1" applyFill="1" applyBorder="1" applyAlignment="1" applyProtection="1">
      <alignment horizontal="center"/>
      <protection locked="0"/>
    </xf>
    <xf numFmtId="170" fontId="63" fillId="6" borderId="34" xfId="0" applyNumberFormat="1" applyFont="1" applyFill="1" applyBorder="1" applyAlignment="1">
      <alignment horizontal="center"/>
    </xf>
    <xf numFmtId="1" fontId="63" fillId="6" borderId="34" xfId="0" applyNumberFormat="1" applyFont="1" applyFill="1" applyBorder="1" applyAlignment="1">
      <alignment horizontal="center"/>
    </xf>
    <xf numFmtId="168" fontId="63" fillId="6" borderId="34" xfId="0" applyNumberFormat="1" applyFont="1" applyFill="1" applyBorder="1" applyAlignment="1">
      <alignment horizontal="center"/>
    </xf>
    <xf numFmtId="170" fontId="63" fillId="6" borderId="34" xfId="3" applyNumberFormat="1" applyFont="1" applyFill="1" applyBorder="1" applyAlignment="1" applyProtection="1">
      <alignment horizontal="center"/>
    </xf>
    <xf numFmtId="0" fontId="63" fillId="5" borderId="34" xfId="0" applyFont="1" applyFill="1" applyBorder="1" applyAlignment="1">
      <alignment horizontal="center"/>
    </xf>
    <xf numFmtId="170" fontId="63" fillId="5" borderId="34" xfId="0" applyNumberFormat="1" applyFont="1" applyFill="1" applyBorder="1" applyAlignment="1">
      <alignment horizontal="center"/>
    </xf>
    <xf numFmtId="1" fontId="63" fillId="5" borderId="34" xfId="0" applyNumberFormat="1" applyFont="1" applyFill="1" applyBorder="1" applyAlignment="1">
      <alignment horizontal="center"/>
    </xf>
    <xf numFmtId="168" fontId="63" fillId="5" borderId="34" xfId="0" applyNumberFormat="1" applyFont="1" applyFill="1" applyBorder="1" applyAlignment="1">
      <alignment horizontal="center"/>
    </xf>
    <xf numFmtId="3" fontId="63" fillId="5" borderId="34" xfId="0" applyNumberFormat="1" applyFont="1" applyFill="1" applyBorder="1" applyAlignment="1">
      <alignment horizontal="center"/>
    </xf>
    <xf numFmtId="0" fontId="63" fillId="5" borderId="34" xfId="0" applyFont="1" applyFill="1" applyBorder="1" applyAlignment="1" applyProtection="1">
      <alignment horizontal="center"/>
      <protection locked="0"/>
    </xf>
    <xf numFmtId="0" fontId="107" fillId="7" borderId="6" xfId="0" applyFont="1" applyFill="1" applyBorder="1"/>
    <xf numFmtId="0" fontId="106" fillId="7" borderId="6" xfId="0" applyFont="1" applyFill="1" applyBorder="1" applyAlignment="1">
      <alignment horizontal="left"/>
    </xf>
    <xf numFmtId="0" fontId="63" fillId="7" borderId="6" xfId="0" applyFont="1" applyFill="1" applyBorder="1"/>
    <xf numFmtId="0" fontId="63" fillId="7" borderId="6" xfId="0" applyFont="1" applyFill="1" applyBorder="1" applyAlignment="1" applyProtection="1">
      <alignment horizontal="center" vertical="center" shrinkToFit="1"/>
      <protection locked="0"/>
    </xf>
    <xf numFmtId="0" fontId="97" fillId="7" borderId="6" xfId="0" applyFont="1" applyFill="1" applyBorder="1" applyAlignment="1">
      <alignment horizontal="left" vertical="center"/>
    </xf>
    <xf numFmtId="3" fontId="63" fillId="7" borderId="6" xfId="0" applyNumberFormat="1" applyFont="1" applyFill="1" applyBorder="1"/>
    <xf numFmtId="9" fontId="97" fillId="7" borderId="6" xfId="2" applyFont="1" applyFill="1" applyBorder="1" applyAlignment="1" applyProtection="1">
      <alignment horizontal="center"/>
      <protection locked="0"/>
    </xf>
    <xf numFmtId="170" fontId="63" fillId="7" borderId="6" xfId="3" applyNumberFormat="1" applyFont="1" applyFill="1" applyBorder="1" applyProtection="1">
      <protection locked="0"/>
    </xf>
    <xf numFmtId="170" fontId="63" fillId="7" borderId="6" xfId="3" applyNumberFormat="1" applyFont="1" applyFill="1" applyBorder="1" applyProtection="1"/>
    <xf numFmtId="3" fontId="97" fillId="7" borderId="6" xfId="0" applyNumberFormat="1" applyFont="1" applyFill="1" applyBorder="1"/>
    <xf numFmtId="9" fontId="63" fillId="7" borderId="6" xfId="2" applyFont="1" applyFill="1" applyBorder="1" applyAlignment="1" applyProtection="1">
      <alignment horizontal="center"/>
    </xf>
    <xf numFmtId="170" fontId="61" fillId="5" borderId="6" xfId="0" applyNumberFormat="1" applyFont="1" applyFill="1" applyBorder="1" applyAlignment="1">
      <alignment horizontal="center"/>
    </xf>
    <xf numFmtId="1" fontId="61" fillId="5" borderId="6" xfId="0" applyNumberFormat="1" applyFont="1" applyFill="1" applyBorder="1" applyAlignment="1">
      <alignment horizontal="center"/>
    </xf>
    <xf numFmtId="168" fontId="61" fillId="5" borderId="6" xfId="0" applyNumberFormat="1" applyFont="1" applyFill="1" applyBorder="1" applyAlignment="1">
      <alignment horizontal="center"/>
    </xf>
    <xf numFmtId="3" fontId="61" fillId="5" borderId="6" xfId="0" applyNumberFormat="1" applyFont="1" applyFill="1" applyBorder="1" applyAlignment="1">
      <alignment horizontal="center"/>
    </xf>
    <xf numFmtId="180" fontId="97" fillId="6" borderId="47" xfId="0" applyNumberFormat="1" applyFont="1" applyFill="1" applyBorder="1" applyAlignment="1">
      <alignment horizontal="center" vertical="center"/>
    </xf>
    <xf numFmtId="180" fontId="97" fillId="6" borderId="22" xfId="0" applyNumberFormat="1" applyFont="1" applyFill="1" applyBorder="1" applyAlignment="1">
      <alignment horizontal="center" vertical="center"/>
    </xf>
    <xf numFmtId="180" fontId="97" fillId="6" borderId="32" xfId="0" applyNumberFormat="1" applyFont="1" applyFill="1" applyBorder="1" applyAlignment="1">
      <alignment horizontal="center" vertical="center"/>
    </xf>
    <xf numFmtId="180" fontId="97" fillId="6" borderId="45" xfId="0" applyNumberFormat="1" applyFont="1" applyFill="1" applyBorder="1" applyAlignment="1">
      <alignment horizontal="center" vertical="center"/>
    </xf>
    <xf numFmtId="180" fontId="97" fillId="6" borderId="46" xfId="0" applyNumberFormat="1" applyFont="1" applyFill="1" applyBorder="1" applyAlignment="1">
      <alignment horizontal="center"/>
    </xf>
    <xf numFmtId="0" fontId="68" fillId="4" borderId="0" xfId="0" applyFont="1" applyFill="1" applyAlignment="1" applyProtection="1">
      <alignment vertical="top"/>
      <protection locked="0"/>
    </xf>
    <xf numFmtId="0" fontId="168" fillId="4" borderId="0" xfId="0" applyFont="1" applyFill="1" applyAlignment="1">
      <alignment vertical="center"/>
    </xf>
    <xf numFmtId="0" fontId="169" fillId="4" borderId="0" xfId="0" applyFont="1" applyFill="1" applyAlignment="1">
      <alignment vertical="top" wrapText="1"/>
    </xf>
    <xf numFmtId="0" fontId="171" fillId="4" borderId="0" xfId="0" applyFont="1" applyFill="1" applyAlignment="1">
      <alignment vertical="top"/>
    </xf>
    <xf numFmtId="0" fontId="58" fillId="4" borderId="0" xfId="0" applyFont="1" applyFill="1" applyAlignment="1">
      <alignment horizontal="right" vertical="center"/>
    </xf>
    <xf numFmtId="0" fontId="138" fillId="4" borderId="0" xfId="0" applyFont="1" applyFill="1" applyAlignment="1">
      <alignment horizontal="left" vertical="top" indent="4"/>
    </xf>
    <xf numFmtId="0" fontId="76" fillId="6" borderId="0" xfId="0" applyFont="1" applyFill="1" applyAlignment="1">
      <alignment vertical="center"/>
    </xf>
    <xf numFmtId="178" fontId="63" fillId="2" borderId="73" xfId="0" applyNumberFormat="1" applyFont="1" applyFill="1" applyBorder="1" applyAlignment="1" applyProtection="1">
      <alignment horizontal="right"/>
      <protection locked="0"/>
    </xf>
    <xf numFmtId="0" fontId="79" fillId="4" borderId="0" xfId="1" applyFont="1" applyFill="1" applyBorder="1" applyAlignment="1" applyProtection="1">
      <alignment horizontal="left"/>
      <protection locked="0"/>
    </xf>
    <xf numFmtId="171" fontId="86" fillId="3" borderId="20" xfId="4" applyNumberFormat="1" applyFont="1" applyFill="1" applyBorder="1" applyAlignment="1" applyProtection="1">
      <alignment horizontal="right"/>
    </xf>
    <xf numFmtId="1" fontId="86" fillId="3" borderId="20" xfId="4" applyNumberFormat="1" applyFont="1" applyFill="1" applyBorder="1" applyAlignment="1" applyProtection="1">
      <alignment horizontal="right"/>
    </xf>
    <xf numFmtId="165" fontId="118" fillId="4" borderId="0" xfId="3" applyNumberFormat="1" applyFont="1" applyFill="1" applyBorder="1" applyAlignment="1" applyProtection="1">
      <alignment horizontal="center" vertical="top"/>
      <protection locked="0"/>
    </xf>
    <xf numFmtId="2" fontId="118" fillId="4" borderId="0" xfId="0" applyNumberFormat="1" applyFont="1" applyFill="1" applyAlignment="1">
      <alignment horizontal="center" vertical="top"/>
    </xf>
    <xf numFmtId="165" fontId="115" fillId="4" borderId="0" xfId="3" applyNumberFormat="1" applyFont="1" applyFill="1" applyBorder="1" applyAlignment="1" applyProtection="1">
      <alignment horizontal="center" vertical="top"/>
      <protection locked="0"/>
    </xf>
    <xf numFmtId="0" fontId="115" fillId="4" borderId="0" xfId="0" applyFont="1" applyFill="1" applyAlignment="1">
      <alignment horizontal="center" vertical="top"/>
    </xf>
    <xf numFmtId="165" fontId="117" fillId="4" borderId="0" xfId="3" applyNumberFormat="1" applyFont="1" applyFill="1" applyBorder="1" applyAlignment="1" applyProtection="1">
      <alignment horizontal="center" vertical="top"/>
      <protection locked="0"/>
    </xf>
    <xf numFmtId="0" fontId="117" fillId="4" borderId="0" xfId="0" applyFont="1" applyFill="1" applyAlignment="1">
      <alignment horizontal="center" vertical="top"/>
    </xf>
    <xf numFmtId="168" fontId="63" fillId="2" borderId="73" xfId="0" applyNumberFormat="1" applyFont="1" applyFill="1" applyBorder="1" applyAlignment="1" applyProtection="1">
      <alignment horizontal="right"/>
      <protection locked="0"/>
    </xf>
    <xf numFmtId="3" fontId="41" fillId="6" borderId="2" xfId="6" applyNumberFormat="1" applyFont="1" applyFill="1" applyBorder="1" applyAlignment="1" applyProtection="1">
      <alignment horizontal="left"/>
      <protection locked="0"/>
    </xf>
    <xf numFmtId="171" fontId="97" fillId="6" borderId="7" xfId="7" applyNumberFormat="1" applyFont="1" applyFill="1" applyBorder="1" applyAlignment="1" applyProtection="1">
      <alignment vertical="center"/>
      <protection locked="0"/>
    </xf>
    <xf numFmtId="171" fontId="97" fillId="13" borderId="20" xfId="7" applyNumberFormat="1" applyFont="1" applyFill="1" applyBorder="1" applyAlignment="1" applyProtection="1">
      <alignment horizontal="right"/>
      <protection locked="0"/>
    </xf>
    <xf numFmtId="0" fontId="114" fillId="6" borderId="17" xfId="0" applyFont="1" applyFill="1" applyBorder="1" applyAlignment="1" applyProtection="1">
      <alignment horizontal="left" vertical="center"/>
      <protection locked="0"/>
    </xf>
    <xf numFmtId="0" fontId="114" fillId="6" borderId="11" xfId="0" applyFont="1" applyFill="1" applyBorder="1" applyAlignment="1" applyProtection="1">
      <alignment horizontal="left" vertical="center"/>
      <protection locked="0"/>
    </xf>
    <xf numFmtId="0" fontId="114" fillId="6" borderId="18" xfId="0" applyFont="1" applyFill="1" applyBorder="1" applyAlignment="1" applyProtection="1">
      <alignment horizontal="left" vertical="center"/>
      <protection locked="0"/>
    </xf>
    <xf numFmtId="0" fontId="79" fillId="4" borderId="0" xfId="1" applyFont="1" applyFill="1" applyBorder="1" applyAlignment="1" applyProtection="1">
      <alignment horizontal="left"/>
      <protection locked="0"/>
    </xf>
    <xf numFmtId="0" fontId="96" fillId="6" borderId="0" xfId="0" applyFont="1" applyFill="1" applyAlignment="1">
      <alignment horizontal="left" vertical="center" wrapText="1"/>
    </xf>
    <xf numFmtId="0" fontId="119" fillId="6" borderId="0" xfId="0" applyFont="1" applyFill="1" applyAlignment="1">
      <alignment horizontal="center" vertical="center"/>
    </xf>
    <xf numFmtId="0" fontId="81" fillId="7" borderId="0" xfId="0" applyFont="1" applyFill="1" applyAlignment="1">
      <alignment horizontal="center" vertical="top"/>
    </xf>
    <xf numFmtId="0" fontId="78" fillId="7" borderId="0" xfId="0" applyFont="1" applyFill="1" applyAlignment="1">
      <alignment vertical="top" wrapText="1"/>
    </xf>
    <xf numFmtId="0" fontId="82" fillId="7" borderId="0" xfId="0" applyFont="1" applyFill="1" applyAlignment="1">
      <alignment horizontal="left" vertical="top" wrapText="1"/>
    </xf>
    <xf numFmtId="0" fontId="22" fillId="2" borderId="0" xfId="0" applyFont="1" applyFill="1" applyAlignment="1" applyProtection="1">
      <alignment horizontal="left" vertical="center" wrapText="1" indent="5"/>
      <protection locked="0"/>
    </xf>
    <xf numFmtId="0" fontId="22" fillId="2" borderId="0" xfId="0" applyFont="1" applyFill="1" applyAlignment="1" applyProtection="1">
      <alignment horizontal="left" vertical="center" indent="5"/>
      <protection locked="0"/>
    </xf>
    <xf numFmtId="0" fontId="121" fillId="6" borderId="0" xfId="0" applyFont="1" applyFill="1" applyAlignment="1">
      <alignment horizontal="center" vertical="center"/>
    </xf>
    <xf numFmtId="0" fontId="74" fillId="6" borderId="0" xfId="0" applyFont="1" applyFill="1" applyAlignment="1" applyProtection="1">
      <alignment horizontal="left" vertical="center" wrapText="1" indent="5"/>
      <protection locked="0"/>
    </xf>
    <xf numFmtId="0" fontId="83" fillId="4" borderId="0" xfId="0" applyFont="1" applyFill="1" applyAlignment="1" applyProtection="1">
      <alignment horizontal="left" vertical="center" wrapText="1" indent="2"/>
      <protection locked="0"/>
    </xf>
    <xf numFmtId="0" fontId="82" fillId="4" borderId="0" xfId="0" applyFont="1" applyFill="1" applyAlignment="1" applyProtection="1">
      <alignment horizontal="left" vertical="center" wrapText="1" indent="2"/>
      <protection locked="0"/>
    </xf>
    <xf numFmtId="0" fontId="145" fillId="7" borderId="0" xfId="0" applyFont="1" applyFill="1" applyAlignment="1">
      <alignment horizontal="center" vertical="top"/>
    </xf>
    <xf numFmtId="0" fontId="23" fillId="2" borderId="0" xfId="0" applyFont="1" applyFill="1" applyAlignment="1" applyProtection="1">
      <alignment horizontal="left" vertical="center" wrapText="1" indent="5"/>
      <protection locked="0"/>
    </xf>
    <xf numFmtId="0" fontId="55" fillId="2" borderId="0" xfId="0" applyFont="1" applyFill="1" applyAlignment="1" applyProtection="1">
      <alignment horizontal="left" vertical="center" indent="5"/>
      <protection locked="0"/>
    </xf>
    <xf numFmtId="0" fontId="86" fillId="2" borderId="0" xfId="0" applyFont="1" applyFill="1" applyAlignment="1">
      <alignment horizontal="left" vertical="top" wrapText="1" indent="5"/>
    </xf>
    <xf numFmtId="0" fontId="83" fillId="4" borderId="0" xfId="0" applyFont="1" applyFill="1" applyAlignment="1" applyProtection="1">
      <alignment horizontal="left" vertical="center" indent="2"/>
      <protection locked="0"/>
    </xf>
    <xf numFmtId="0" fontId="84" fillId="4" borderId="0" xfId="0" applyFont="1" applyFill="1" applyAlignment="1" applyProtection="1">
      <alignment horizontal="left" vertical="center" wrapText="1" indent="2"/>
      <protection locked="0"/>
    </xf>
    <xf numFmtId="0" fontId="60" fillId="4" borderId="0" xfId="0" applyFont="1" applyFill="1" applyAlignment="1">
      <alignment horizontal="left" vertical="top" wrapText="1"/>
    </xf>
    <xf numFmtId="0" fontId="60" fillId="4" borderId="0" xfId="0" applyFont="1" applyFill="1" applyAlignment="1">
      <alignment horizontal="right" vertical="top" wrapText="1"/>
    </xf>
    <xf numFmtId="3" fontId="86" fillId="6" borderId="17" xfId="0" applyNumberFormat="1" applyFont="1" applyFill="1" applyBorder="1" applyAlignment="1">
      <alignment horizontal="left" vertical="top" wrapText="1"/>
    </xf>
    <xf numFmtId="3" fontId="86" fillId="6" borderId="11" xfId="0" applyNumberFormat="1" applyFont="1" applyFill="1" applyBorder="1" applyAlignment="1">
      <alignment horizontal="left" vertical="top" wrapText="1"/>
    </xf>
    <xf numFmtId="3" fontId="86" fillId="6" borderId="18" xfId="0" applyNumberFormat="1" applyFont="1" applyFill="1" applyBorder="1" applyAlignment="1">
      <alignment horizontal="left" vertical="top" wrapText="1"/>
    </xf>
    <xf numFmtId="3" fontId="86" fillId="13" borderId="17" xfId="0" applyNumberFormat="1" applyFont="1" applyFill="1" applyBorder="1" applyAlignment="1">
      <alignment horizontal="left" vertical="top" wrapText="1"/>
    </xf>
    <xf numFmtId="3" fontId="86" fillId="13" borderId="11" xfId="0" applyNumberFormat="1" applyFont="1" applyFill="1" applyBorder="1" applyAlignment="1">
      <alignment horizontal="left" vertical="top" wrapText="1"/>
    </xf>
    <xf numFmtId="3" fontId="86" fillId="13" borderId="18" xfId="0" applyNumberFormat="1" applyFont="1" applyFill="1" applyBorder="1" applyAlignment="1">
      <alignment horizontal="left" vertical="top" wrapText="1"/>
    </xf>
    <xf numFmtId="3" fontId="86" fillId="6" borderId="17" xfId="0" quotePrefix="1" applyNumberFormat="1" applyFont="1" applyFill="1" applyBorder="1" applyAlignment="1">
      <alignment horizontal="left" vertical="top" wrapText="1"/>
    </xf>
    <xf numFmtId="0" fontId="169" fillId="4" borderId="0" xfId="0" applyFont="1" applyFill="1" applyAlignment="1">
      <alignment horizontal="left" vertical="top" wrapText="1"/>
    </xf>
    <xf numFmtId="3" fontId="86" fillId="6" borderId="18" xfId="0" quotePrefix="1" applyNumberFormat="1" applyFont="1" applyFill="1" applyBorder="1" applyAlignment="1">
      <alignment horizontal="left" vertical="top" wrapText="1"/>
    </xf>
    <xf numFmtId="14" fontId="0" fillId="7" borderId="72" xfId="0" applyNumberFormat="1" applyFill="1" applyBorder="1" applyAlignment="1" applyProtection="1">
      <alignment horizontal="center" vertical="top"/>
      <protection locked="0"/>
    </xf>
    <xf numFmtId="0" fontId="0" fillId="7" borderId="72" xfId="0" applyFill="1" applyBorder="1" applyAlignment="1" applyProtection="1">
      <alignment horizontal="center" vertical="top"/>
      <protection locked="0"/>
    </xf>
    <xf numFmtId="0" fontId="0" fillId="7" borderId="72" xfId="0" applyFill="1" applyBorder="1" applyAlignment="1" applyProtection="1">
      <alignment horizontal="left" vertical="top"/>
      <protection locked="0"/>
    </xf>
    <xf numFmtId="0" fontId="153" fillId="7" borderId="72" xfId="0" applyFont="1" applyFill="1" applyBorder="1" applyAlignment="1" applyProtection="1">
      <alignment horizontal="left" vertical="top"/>
      <protection locked="0"/>
    </xf>
    <xf numFmtId="0" fontId="44" fillId="7" borderId="27" xfId="0" applyFont="1" applyFill="1" applyBorder="1" applyAlignment="1" applyProtection="1">
      <alignment horizontal="left" vertical="top" wrapText="1"/>
      <protection locked="0"/>
    </xf>
    <xf numFmtId="0" fontId="44" fillId="7" borderId="16" xfId="0" applyFont="1" applyFill="1" applyBorder="1" applyAlignment="1" applyProtection="1">
      <alignment horizontal="left" vertical="top" wrapText="1"/>
      <protection locked="0"/>
    </xf>
    <xf numFmtId="0" fontId="44" fillId="7" borderId="28" xfId="0" applyFont="1" applyFill="1" applyBorder="1" applyAlignment="1" applyProtection="1">
      <alignment horizontal="left" vertical="top" wrapText="1"/>
      <protection locked="0"/>
    </xf>
    <xf numFmtId="0" fontId="44" fillId="7" borderId="29" xfId="0" applyFont="1" applyFill="1" applyBorder="1" applyAlignment="1" applyProtection="1">
      <alignment horizontal="left" vertical="top" wrapText="1"/>
      <protection locked="0"/>
    </xf>
    <xf numFmtId="0" fontId="44" fillId="7" borderId="0" xfId="0" applyFont="1" applyFill="1" applyAlignment="1" applyProtection="1">
      <alignment horizontal="left" vertical="top" wrapText="1"/>
      <protection locked="0"/>
    </xf>
    <xf numFmtId="0" fontId="44" fillId="7" borderId="14" xfId="0" applyFont="1" applyFill="1" applyBorder="1" applyAlignment="1" applyProtection="1">
      <alignment horizontal="left" vertical="top" wrapText="1"/>
      <protection locked="0"/>
    </xf>
    <xf numFmtId="0" fontId="44" fillId="7" borderId="26" xfId="0" applyFont="1" applyFill="1" applyBorder="1" applyAlignment="1" applyProtection="1">
      <alignment horizontal="left" vertical="top" wrapText="1"/>
      <protection locked="0"/>
    </xf>
    <xf numFmtId="0" fontId="44" fillId="7" borderId="12" xfId="0" applyFont="1" applyFill="1" applyBorder="1" applyAlignment="1" applyProtection="1">
      <alignment horizontal="left" vertical="top" wrapText="1"/>
      <protection locked="0"/>
    </xf>
    <xf numFmtId="0" fontId="44" fillId="7" borderId="25" xfId="0" applyFont="1" applyFill="1" applyBorder="1" applyAlignment="1" applyProtection="1">
      <alignment horizontal="left" vertical="top" wrapText="1"/>
      <protection locked="0"/>
    </xf>
    <xf numFmtId="164" fontId="60" fillId="4" borderId="0" xfId="0" applyNumberFormat="1" applyFont="1" applyFill="1" applyAlignment="1">
      <alignment horizontal="right" vertical="center"/>
    </xf>
    <xf numFmtId="164" fontId="60" fillId="4" borderId="43" xfId="0" applyNumberFormat="1" applyFont="1" applyFill="1" applyBorder="1" applyAlignment="1">
      <alignment horizontal="right" vertical="center"/>
    </xf>
    <xf numFmtId="164" fontId="60" fillId="4" borderId="31" xfId="0" applyNumberFormat="1" applyFont="1" applyFill="1" applyBorder="1" applyAlignment="1">
      <alignment horizontal="right"/>
    </xf>
    <xf numFmtId="0" fontId="60" fillId="4" borderId="31" xfId="0" applyFont="1" applyFill="1" applyBorder="1" applyAlignment="1">
      <alignment horizontal="right"/>
    </xf>
    <xf numFmtId="0" fontId="0" fillId="7" borderId="0" xfId="0" applyFill="1" applyAlignment="1">
      <alignment horizontal="center"/>
    </xf>
    <xf numFmtId="0" fontId="100" fillId="6" borderId="0" xfId="0" applyFont="1" applyFill="1" applyAlignment="1">
      <alignment horizontal="left" vertical="center" wrapText="1"/>
    </xf>
    <xf numFmtId="0" fontId="101" fillId="6" borderId="0" xfId="0" applyFont="1" applyFill="1" applyAlignment="1">
      <alignment horizontal="left" vertical="center"/>
    </xf>
    <xf numFmtId="0" fontId="31" fillId="7" borderId="0" xfId="0" applyFont="1" applyFill="1" applyAlignment="1">
      <alignment horizontal="left" vertical="center"/>
    </xf>
    <xf numFmtId="0" fontId="57" fillId="4" borderId="0" xfId="0" applyFont="1" applyFill="1" applyAlignment="1">
      <alignment horizontal="right" vertical="top"/>
    </xf>
    <xf numFmtId="0" fontId="138" fillId="6" borderId="0" xfId="0" applyFont="1" applyFill="1" applyAlignment="1">
      <alignment horizontal="center" vertical="center"/>
    </xf>
    <xf numFmtId="0" fontId="115" fillId="6" borderId="0" xfId="1" applyFont="1" applyFill="1" applyBorder="1" applyAlignment="1" applyProtection="1">
      <alignment horizontal="left" vertical="center" wrapText="1"/>
    </xf>
    <xf numFmtId="0" fontId="57" fillId="4" borderId="0" xfId="0" applyFont="1" applyFill="1" applyAlignment="1">
      <alignment horizontal="right"/>
    </xf>
    <xf numFmtId="0" fontId="60" fillId="7" borderId="0" xfId="0" applyFont="1" applyFill="1" applyAlignment="1" applyProtection="1">
      <alignment horizontal="left" vertical="top"/>
      <protection locked="0"/>
    </xf>
    <xf numFmtId="3" fontId="97" fillId="2" borderId="17" xfId="0" applyNumberFormat="1" applyFont="1" applyFill="1" applyBorder="1" applyAlignment="1" applyProtection="1">
      <alignment horizontal="left" vertical="center"/>
      <protection locked="0"/>
    </xf>
    <xf numFmtId="3" fontId="97" fillId="2" borderId="18" xfId="0" applyNumberFormat="1" applyFont="1" applyFill="1" applyBorder="1" applyAlignment="1" applyProtection="1">
      <alignment horizontal="left" vertical="center"/>
      <protection locked="0"/>
    </xf>
    <xf numFmtId="0" fontId="57" fillId="9" borderId="0" xfId="0" applyFont="1" applyFill="1" applyAlignment="1">
      <alignment horizontal="left" wrapText="1"/>
    </xf>
    <xf numFmtId="0" fontId="57" fillId="11" borderId="12" xfId="0" applyFont="1" applyFill="1" applyBorder="1" applyAlignment="1">
      <alignment horizontal="center"/>
    </xf>
    <xf numFmtId="0" fontId="60" fillId="7" borderId="0" xfId="0" applyFont="1" applyFill="1" applyAlignment="1" applyProtection="1">
      <alignment horizontal="left" vertical="top" wrapText="1"/>
      <protection locked="0"/>
    </xf>
    <xf numFmtId="14" fontId="57" fillId="4" borderId="0" xfId="0" applyNumberFormat="1" applyFont="1" applyFill="1" applyAlignment="1" applyProtection="1">
      <alignment horizontal="left"/>
      <protection locked="0"/>
    </xf>
    <xf numFmtId="0" fontId="57" fillId="4" borderId="0" xfId="0" applyFont="1" applyFill="1" applyAlignment="1" applyProtection="1">
      <alignment horizontal="left"/>
      <protection locked="0"/>
    </xf>
    <xf numFmtId="0" fontId="142" fillId="4" borderId="0" xfId="0" applyFont="1" applyFill="1" applyAlignment="1">
      <alignment horizontal="left" vertical="top" wrapText="1"/>
    </xf>
    <xf numFmtId="0" fontId="44" fillId="4" borderId="0" xfId="0" applyFont="1" applyFill="1" applyAlignment="1">
      <alignment horizontal="left" vertical="top" wrapText="1" indent="1"/>
    </xf>
    <xf numFmtId="0" fontId="106" fillId="4" borderId="0" xfId="0" applyFont="1" applyFill="1" applyAlignment="1">
      <alignment horizontal="left" vertical="top" wrapText="1" indent="3"/>
    </xf>
    <xf numFmtId="0" fontId="124" fillId="6" borderId="0" xfId="0" applyFont="1" applyFill="1" applyAlignment="1">
      <alignment horizontal="center" vertical="center" wrapText="1"/>
    </xf>
    <xf numFmtId="0" fontId="90" fillId="6" borderId="0" xfId="0" applyFont="1" applyFill="1" applyAlignment="1">
      <alignment horizontal="left" vertical="center"/>
    </xf>
    <xf numFmtId="0" fontId="173" fillId="4" borderId="0" xfId="0" applyFont="1" applyFill="1" applyAlignment="1" applyProtection="1">
      <alignment horizontal="left"/>
      <protection locked="0"/>
    </xf>
    <xf numFmtId="0" fontId="44" fillId="4" borderId="0" xfId="0" applyFont="1" applyFill="1" applyAlignment="1">
      <alignment horizontal="left" vertical="center" wrapText="1" indent="6"/>
    </xf>
    <xf numFmtId="0" fontId="116" fillId="4" borderId="0" xfId="0" applyFont="1" applyFill="1" applyAlignment="1">
      <alignment horizontal="left" vertical="top" wrapText="1" indent="3"/>
    </xf>
    <xf numFmtId="0" fontId="106" fillId="4" borderId="0" xfId="0" quotePrefix="1" applyFont="1" applyFill="1" applyAlignment="1">
      <alignment horizontal="left" vertical="top" wrapText="1"/>
    </xf>
  </cellXfs>
  <cellStyles count="9">
    <cellStyle name="Hyperlink" xfId="1" builtinId="8"/>
    <cellStyle name="Hyperlink 2" xfId="5" xr:uid="{E0201FEA-F926-436C-B821-72509BA25474}"/>
    <cellStyle name="Komma" xfId="4" builtinId="3"/>
    <cellStyle name="Komma 2" xfId="7" xr:uid="{00000000-0005-0000-0000-000032000000}"/>
    <cellStyle name="Procent" xfId="2" builtinId="5"/>
    <cellStyle name="Standaard" xfId="0" builtinId="0"/>
    <cellStyle name="Standaard 2" xfId="8" xr:uid="{A1D4F4B5-F4FE-478B-A571-2D8A139179AC}"/>
    <cellStyle name="Valuta" xfId="3" builtinId="4"/>
    <cellStyle name="Valuta 2" xfId="6" xr:uid="{00000000-0005-0000-0000-000034000000}"/>
  </cellStyles>
  <dxfs count="232">
    <dxf>
      <font>
        <color rgb="FFC6C5B9"/>
      </font>
      <fill>
        <patternFill>
          <bgColor rgb="FFC6C5B9"/>
        </patternFill>
      </fill>
    </dxf>
    <dxf>
      <font>
        <b/>
        <i val="0"/>
        <color rgb="FF393D3F"/>
      </font>
      <fill>
        <patternFill>
          <bgColor rgb="FFC6C5B9"/>
        </patternFill>
      </fill>
    </dxf>
    <dxf>
      <fill>
        <patternFill>
          <bgColor rgb="FFC6BDB9"/>
        </patternFill>
      </fill>
    </dxf>
    <dxf>
      <fill>
        <patternFill>
          <bgColor rgb="FFF4E285"/>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ill>
        <patternFill>
          <bgColor rgb="FFFDFDFF"/>
        </patternFill>
      </fill>
    </dxf>
    <dxf>
      <fill>
        <patternFill>
          <bgColor rgb="FFF4E285"/>
        </patternFill>
      </fill>
    </dxf>
    <dxf>
      <font>
        <b/>
        <i val="0"/>
      </font>
      <fill>
        <patternFill>
          <bgColor rgb="FFD39D9D"/>
        </patternFill>
      </fill>
    </dxf>
    <dxf>
      <font>
        <b val="0"/>
        <i val="0"/>
        <color rgb="FF393D3F"/>
      </font>
      <fill>
        <patternFill>
          <bgColor rgb="FF62929E"/>
        </patternFill>
      </fill>
    </dxf>
    <dxf>
      <font>
        <color rgb="FFFDFDF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theme="1" tint="0.34998626667073579"/>
      </font>
      <fill>
        <patternFill>
          <bgColor rgb="FFC6C5B9"/>
        </patternFill>
      </fill>
    </dxf>
    <dxf>
      <font>
        <color rgb="FFFDFDFF"/>
      </font>
      <fill>
        <patternFill>
          <bgColor rgb="FF393D3F"/>
        </patternFill>
      </fill>
    </dxf>
    <dxf>
      <font>
        <color rgb="FFFDFDFF"/>
      </font>
      <fill>
        <patternFill>
          <bgColor rgb="FF546A7B"/>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ont>
        <color rgb="FFC6C5B9"/>
      </font>
      <fill>
        <patternFill>
          <bgColor rgb="FFC6C5B9"/>
        </patternFill>
      </fill>
    </dxf>
    <dxf>
      <font>
        <b/>
        <i val="0"/>
        <color rgb="FF393D3F"/>
      </font>
      <fill>
        <patternFill>
          <bgColor rgb="FFC6C5B9"/>
        </patternFill>
      </fill>
    </dxf>
    <dxf>
      <fill>
        <patternFill>
          <bgColor rgb="FFC6BDB9"/>
        </patternFill>
      </fill>
    </dxf>
    <dxf>
      <fill>
        <patternFill>
          <bgColor rgb="FFF4E285"/>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ill>
        <patternFill>
          <bgColor rgb="FFFDFDFF"/>
        </patternFill>
      </fill>
    </dxf>
    <dxf>
      <fill>
        <patternFill>
          <bgColor rgb="FFF4E285"/>
        </patternFill>
      </fill>
    </dxf>
    <dxf>
      <font>
        <b/>
        <i val="0"/>
      </font>
      <fill>
        <patternFill>
          <bgColor rgb="FFD39D9D"/>
        </patternFill>
      </fill>
    </dxf>
    <dxf>
      <font>
        <b val="0"/>
        <i val="0"/>
        <color rgb="FF393D3F"/>
      </font>
      <fill>
        <patternFill>
          <bgColor rgb="FF62929E"/>
        </patternFill>
      </fill>
    </dxf>
    <dxf>
      <font>
        <color rgb="FFFDFDF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theme="1" tint="0.34998626667073579"/>
      </font>
      <fill>
        <patternFill>
          <bgColor rgb="FFC6C5B9"/>
        </patternFill>
      </fill>
    </dxf>
    <dxf>
      <font>
        <color rgb="FFFDFDFF"/>
      </font>
      <fill>
        <patternFill>
          <bgColor rgb="FF393D3F"/>
        </patternFill>
      </fill>
    </dxf>
    <dxf>
      <font>
        <color rgb="FFFDFDFF"/>
      </font>
      <fill>
        <patternFill>
          <bgColor rgb="FF546A7B"/>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ont>
        <color rgb="FFC6C5B9"/>
      </font>
      <fill>
        <patternFill>
          <bgColor rgb="FFC6C5B9"/>
        </patternFill>
      </fill>
    </dxf>
    <dxf>
      <font>
        <b/>
        <i val="0"/>
        <color rgb="FF393D3F"/>
      </font>
      <fill>
        <patternFill>
          <bgColor rgb="FFC6C5B9"/>
        </patternFill>
      </fill>
    </dxf>
    <dxf>
      <fill>
        <patternFill>
          <bgColor rgb="FFC6BDB9"/>
        </patternFill>
      </fill>
    </dxf>
    <dxf>
      <fill>
        <patternFill>
          <bgColor rgb="FFF4E285"/>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ill>
        <patternFill>
          <bgColor rgb="FFFDFDFF"/>
        </patternFill>
      </fill>
    </dxf>
    <dxf>
      <fill>
        <patternFill>
          <bgColor rgb="FFF4E285"/>
        </patternFill>
      </fill>
    </dxf>
    <dxf>
      <font>
        <b/>
        <i val="0"/>
      </font>
      <fill>
        <patternFill>
          <bgColor rgb="FFD39D9D"/>
        </patternFill>
      </fill>
    </dxf>
    <dxf>
      <font>
        <b val="0"/>
        <i val="0"/>
        <color rgb="FF393D3F"/>
      </font>
      <fill>
        <patternFill>
          <bgColor rgb="FF62929E"/>
        </patternFill>
      </fill>
    </dxf>
    <dxf>
      <font>
        <color rgb="FFFDFDF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theme="1" tint="0.34998626667073579"/>
      </font>
      <fill>
        <patternFill>
          <bgColor rgb="FFC6C5B9"/>
        </patternFill>
      </fill>
    </dxf>
    <dxf>
      <font>
        <color rgb="FFFDFDFF"/>
      </font>
      <fill>
        <patternFill>
          <bgColor rgb="FF393D3F"/>
        </patternFill>
      </fill>
    </dxf>
    <dxf>
      <font>
        <color rgb="FFFDFDFF"/>
      </font>
      <fill>
        <patternFill>
          <bgColor rgb="FF546A7B"/>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ont>
        <color rgb="FFC6C5B9"/>
      </font>
      <fill>
        <patternFill>
          <bgColor rgb="FFC6C5B9"/>
        </patternFill>
      </fill>
    </dxf>
    <dxf>
      <font>
        <b/>
        <i val="0"/>
        <color rgb="FF393D3F"/>
      </font>
      <fill>
        <patternFill>
          <bgColor rgb="FFC6C5B9"/>
        </patternFill>
      </fill>
    </dxf>
    <dxf>
      <fill>
        <patternFill>
          <bgColor rgb="FFC6BDB9"/>
        </patternFill>
      </fill>
    </dxf>
    <dxf>
      <fill>
        <patternFill>
          <bgColor rgb="FFF4E285"/>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ill>
        <patternFill>
          <bgColor rgb="FFFDFDFF"/>
        </patternFill>
      </fill>
    </dxf>
    <dxf>
      <fill>
        <patternFill>
          <bgColor rgb="FFF4E285"/>
        </patternFill>
      </fill>
    </dxf>
    <dxf>
      <font>
        <b/>
        <i val="0"/>
      </font>
      <fill>
        <patternFill>
          <bgColor rgb="FFD39D9D"/>
        </patternFill>
      </fill>
    </dxf>
    <dxf>
      <font>
        <b val="0"/>
        <i val="0"/>
        <color rgb="FF393D3F"/>
      </font>
      <fill>
        <patternFill>
          <bgColor rgb="FF62929E"/>
        </patternFill>
      </fill>
    </dxf>
    <dxf>
      <font>
        <color rgb="FFFDFDF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theme="1" tint="0.34998626667073579"/>
      </font>
      <fill>
        <patternFill>
          <bgColor rgb="FFC6C5B9"/>
        </patternFill>
      </fill>
    </dxf>
    <dxf>
      <font>
        <color rgb="FFFDFDFF"/>
      </font>
      <fill>
        <patternFill>
          <bgColor rgb="FF393D3F"/>
        </patternFill>
      </fill>
    </dxf>
    <dxf>
      <font>
        <color rgb="FFFDFDFF"/>
      </font>
      <fill>
        <patternFill>
          <bgColor rgb="FF546A7B"/>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ont>
        <color rgb="FFC6C5B9"/>
      </font>
      <fill>
        <patternFill>
          <bgColor rgb="FFC6C5B9"/>
        </patternFill>
      </fill>
    </dxf>
    <dxf>
      <font>
        <b/>
        <i val="0"/>
        <color rgb="FF393D3F"/>
      </font>
      <fill>
        <patternFill>
          <bgColor rgb="FFC6C5B9"/>
        </patternFill>
      </fill>
    </dxf>
    <dxf>
      <fill>
        <patternFill>
          <bgColor rgb="FFC6BDB9"/>
        </patternFill>
      </fill>
    </dxf>
    <dxf>
      <fill>
        <patternFill>
          <bgColor rgb="FFF4E285"/>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ill>
        <patternFill>
          <bgColor rgb="FFFDFDFF"/>
        </patternFill>
      </fill>
    </dxf>
    <dxf>
      <fill>
        <patternFill>
          <bgColor rgb="FFF4E285"/>
        </patternFill>
      </fill>
    </dxf>
    <dxf>
      <font>
        <b/>
        <i val="0"/>
      </font>
      <fill>
        <patternFill>
          <bgColor rgb="FFD39D9D"/>
        </patternFill>
      </fill>
    </dxf>
    <dxf>
      <font>
        <b val="0"/>
        <i val="0"/>
        <color rgb="FF393D3F"/>
      </font>
      <fill>
        <patternFill>
          <bgColor rgb="FF62929E"/>
        </patternFill>
      </fill>
    </dxf>
    <dxf>
      <font>
        <color rgb="FFFDFDF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theme="1" tint="0.34998626667073579"/>
      </font>
      <fill>
        <patternFill>
          <bgColor rgb="FFC6C5B9"/>
        </patternFill>
      </fill>
    </dxf>
    <dxf>
      <font>
        <color rgb="FFFDFDFF"/>
      </font>
      <fill>
        <patternFill>
          <bgColor rgb="FF393D3F"/>
        </patternFill>
      </fill>
    </dxf>
    <dxf>
      <font>
        <color rgb="FFFDFDFF"/>
      </font>
      <fill>
        <patternFill>
          <bgColor rgb="FF546A7B"/>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ill>
        <patternFill>
          <bgColor rgb="FFF4E285"/>
        </patternFill>
      </fill>
    </dxf>
    <dxf>
      <fill>
        <patternFill>
          <bgColor rgb="FFF4E285"/>
        </patternFill>
      </fill>
    </dxf>
    <dxf>
      <font>
        <b/>
        <i val="0"/>
        <color rgb="FF393D3F"/>
      </font>
      <fill>
        <patternFill>
          <bgColor rgb="FFC6C5B9"/>
        </patternFill>
      </fill>
    </dxf>
    <dxf>
      <font>
        <color rgb="FFC6C5B9"/>
      </font>
      <fill>
        <patternFill>
          <bgColor rgb="FFC6C5B9"/>
        </patternFill>
      </fill>
    </dxf>
    <dxf>
      <fill>
        <patternFill>
          <bgColor rgb="FFF4E285"/>
        </patternFill>
      </fill>
    </dxf>
    <dxf>
      <fill>
        <patternFill>
          <bgColor rgb="FFC6BDB9"/>
        </patternFill>
      </fill>
    </dxf>
    <dxf>
      <font>
        <b/>
        <i val="0"/>
        <color rgb="FFFDFDFF"/>
      </font>
      <fill>
        <patternFill>
          <bgColor rgb="FF62929E"/>
        </patternFill>
      </fill>
    </dxf>
    <dxf>
      <font>
        <b/>
        <i val="0"/>
        <color rgb="FF393D3F"/>
      </font>
      <fill>
        <patternFill>
          <bgColor rgb="FFC6C5B9"/>
        </patternFill>
      </fill>
    </dxf>
    <dxf>
      <font>
        <b/>
        <i val="0"/>
        <color rgb="FF393D3F"/>
      </font>
      <fill>
        <patternFill>
          <bgColor rgb="FFC6C5B9"/>
        </patternFill>
      </fill>
    </dxf>
    <dxf>
      <font>
        <b/>
        <i val="0"/>
        <color rgb="FF393D3F"/>
      </font>
      <fill>
        <patternFill>
          <bgColor rgb="FFC6C5B9"/>
        </patternFill>
      </fill>
    </dxf>
    <dxf>
      <fill>
        <patternFill>
          <bgColor rgb="FFFDFDFF"/>
        </patternFill>
      </fill>
    </dxf>
    <dxf>
      <fill>
        <patternFill>
          <bgColor rgb="FFF4E285"/>
        </patternFill>
      </fill>
    </dxf>
    <dxf>
      <font>
        <b/>
        <i val="0"/>
      </font>
      <fill>
        <patternFill>
          <bgColor rgb="FFD39D9D"/>
        </patternFill>
      </fill>
    </dxf>
    <dxf>
      <font>
        <color rgb="FFFDFDFF"/>
      </font>
      <fill>
        <patternFill>
          <bgColor rgb="FF62929E"/>
        </patternFill>
      </fill>
    </dxf>
    <dxf>
      <font>
        <b val="0"/>
        <i val="0"/>
        <color rgb="FF393D3F"/>
      </font>
      <fill>
        <patternFill>
          <bgColor rgb="FF62929E"/>
        </patternFill>
      </fill>
    </dxf>
    <dxf>
      <font>
        <color theme="0" tint="-0.34998626667073579"/>
      </font>
    </dxf>
    <dxf>
      <font>
        <color theme="0" tint="-0.34998626667073579"/>
      </font>
    </dxf>
    <dxf>
      <font>
        <color theme="0" tint="-0.34998626667073579"/>
      </font>
    </dxf>
    <dxf>
      <font>
        <color rgb="FFFFFFEF"/>
      </font>
    </dxf>
    <dxf>
      <font>
        <color rgb="FFC6C5B9"/>
      </font>
      <fill>
        <patternFill>
          <bgColor rgb="FFC6C5B9"/>
        </patternFill>
      </fill>
    </dxf>
    <dxf>
      <font>
        <color rgb="FFC6C5B9"/>
      </font>
      <fill>
        <patternFill>
          <bgColor rgb="FFC6C5B9"/>
        </patternFill>
      </fill>
    </dxf>
    <dxf>
      <font>
        <color theme="0" tint="-0.34998626667073579"/>
      </font>
    </dxf>
    <dxf>
      <font>
        <color rgb="FFFDFDFF"/>
      </font>
      <fill>
        <patternFill>
          <bgColor rgb="FF393D3F"/>
        </patternFill>
      </fill>
    </dxf>
    <dxf>
      <font>
        <color rgb="FFFDFDFF"/>
      </font>
      <fill>
        <patternFill>
          <bgColor rgb="FF546A7B"/>
        </patternFill>
      </fill>
    </dxf>
    <dxf>
      <font>
        <color theme="1" tint="0.34998626667073579"/>
      </font>
      <fill>
        <patternFill>
          <bgColor rgb="FFC6C5B9"/>
        </patternFill>
      </fill>
    </dxf>
    <dxf>
      <font>
        <color theme="0" tint="-0.34998626667073579"/>
      </font>
    </dxf>
    <dxf>
      <font>
        <color theme="1" tint="0.499984740745262"/>
      </font>
    </dxf>
    <dxf>
      <font>
        <b/>
        <i val="0"/>
        <color rgb="FFFF0000"/>
      </font>
    </dxf>
    <dxf>
      <font>
        <color theme="0" tint="-0.34998626667073579"/>
      </font>
    </dxf>
    <dxf>
      <font>
        <color rgb="FFFDFDFF"/>
      </font>
    </dxf>
    <dxf>
      <font>
        <color theme="1" tint="0.499984740745262"/>
      </font>
      <fill>
        <patternFill>
          <bgColor rgb="FFC6C5B9"/>
        </patternFill>
      </fill>
    </dxf>
    <dxf>
      <font>
        <color rgb="FF393D3F"/>
      </font>
      <fill>
        <patternFill>
          <bgColor rgb="FFFDFDFF"/>
        </patternFill>
      </fill>
      <border>
        <left style="thin">
          <color rgb="FF393D3F"/>
        </left>
        <right style="thin">
          <color rgb="FF393D3F"/>
        </right>
        <top style="thin">
          <color rgb="FF393D3F"/>
        </top>
        <bottom style="thin">
          <color rgb="FF393D3F"/>
        </bottom>
      </border>
    </dxf>
    <dxf>
      <fill>
        <patternFill>
          <bgColor rgb="FFFF0000"/>
        </patternFill>
      </fill>
    </dxf>
    <dxf>
      <fill>
        <patternFill>
          <bgColor rgb="FFFF0000"/>
        </patternFill>
      </fill>
    </dxf>
    <dxf>
      <font>
        <color rgb="FFC6C5B9"/>
      </font>
      <fill>
        <patternFill>
          <bgColor rgb="FFC6C5B9"/>
        </patternFill>
      </fill>
    </dxf>
    <dxf>
      <font>
        <color rgb="FFC6C5B9"/>
      </font>
      <fill>
        <patternFill>
          <bgColor rgb="FFC6C5B9"/>
        </patternFill>
      </fill>
    </dxf>
    <dxf>
      <font>
        <color rgb="FFC6C5B9"/>
      </font>
      <fill>
        <patternFill>
          <bgColor rgb="FFC6C5B9"/>
        </patternFill>
      </fill>
    </dxf>
    <dxf>
      <font>
        <color rgb="FFC6C5B9"/>
      </font>
      <fill>
        <patternFill>
          <bgColor rgb="FFC6C5B9"/>
        </patternFill>
      </fill>
    </dxf>
    <dxf>
      <font>
        <color theme="0" tint="-0.34998626667073579"/>
      </font>
    </dxf>
    <dxf>
      <font>
        <color rgb="FFC6C5B9"/>
      </font>
      <fill>
        <patternFill>
          <bgColor rgb="FFC6C5B9"/>
        </patternFill>
      </fill>
    </dxf>
    <dxf>
      <font>
        <color rgb="FFC6C5B9"/>
      </font>
      <fill>
        <patternFill>
          <bgColor rgb="FFC6C5B9"/>
        </patternFill>
      </fill>
    </dxf>
    <dxf>
      <font>
        <color theme="1" tint="0.499984740745262"/>
      </font>
      <fill>
        <patternFill>
          <bgColor rgb="FFC6C5B9"/>
        </patternFill>
      </fill>
    </dxf>
    <dxf>
      <font>
        <color theme="1" tint="0.499984740745262"/>
      </font>
      <fill>
        <patternFill>
          <bgColor rgb="FFC6C5B9"/>
        </patternFill>
      </fill>
    </dxf>
    <dxf>
      <font>
        <color theme="1" tint="0.499984740745262"/>
      </font>
      <fill>
        <patternFill>
          <bgColor rgb="FFC6C5B9"/>
        </patternFill>
      </fill>
    </dxf>
    <dxf>
      <font>
        <color rgb="FFFDFDFF"/>
      </font>
      <fill>
        <patternFill>
          <bgColor rgb="FF546A7B"/>
        </patternFill>
      </fill>
    </dxf>
    <dxf>
      <font>
        <color rgb="FFFDFDFF"/>
      </font>
      <fill>
        <patternFill>
          <bgColor rgb="FF393D3F"/>
        </patternFill>
      </fill>
    </dxf>
    <dxf>
      <font>
        <color rgb="FFFDFDFF"/>
      </font>
      <fill>
        <patternFill>
          <bgColor rgb="FF62929E"/>
        </patternFill>
      </fill>
    </dxf>
    <dxf>
      <font>
        <color rgb="FFFDFDFF"/>
      </font>
      <fill>
        <patternFill>
          <bgColor rgb="FF62929E"/>
        </patternFill>
      </fill>
    </dxf>
    <dxf>
      <font>
        <color rgb="FFFDFDFF"/>
      </font>
      <fill>
        <patternFill>
          <bgColor rgb="FF546A7B"/>
        </patternFill>
      </fill>
    </dxf>
    <dxf>
      <font>
        <color rgb="FFFDFDFF"/>
      </font>
      <fill>
        <patternFill>
          <bgColor rgb="FF393D3F"/>
        </patternFill>
      </fill>
    </dxf>
    <dxf>
      <font>
        <color rgb="FFFDFDFF"/>
      </font>
      <fill>
        <patternFill>
          <bgColor rgb="FF62929E"/>
        </patternFill>
      </fill>
    </dxf>
    <dxf>
      <font>
        <color rgb="FFFDFDFF"/>
      </font>
      <fill>
        <patternFill>
          <bgColor rgb="FF546A7B"/>
        </patternFill>
      </fill>
    </dxf>
    <dxf>
      <font>
        <color rgb="FFFDFDFF"/>
      </font>
      <fill>
        <patternFill>
          <bgColor rgb="FF393D3F"/>
        </patternFill>
      </fill>
    </dxf>
    <dxf>
      <font>
        <color rgb="FFFDFDFF"/>
      </font>
      <fill>
        <patternFill>
          <bgColor rgb="FF62929E"/>
        </patternFill>
      </fill>
    </dxf>
    <dxf>
      <font>
        <color rgb="FFFDFDFF"/>
      </font>
      <fill>
        <patternFill>
          <bgColor rgb="FF546A7B"/>
        </patternFill>
      </fill>
    </dxf>
    <dxf>
      <font>
        <color rgb="FFFDFDFF"/>
      </font>
      <fill>
        <patternFill>
          <bgColor rgb="FF393D3F"/>
        </patternFill>
      </fill>
    </dxf>
    <dxf>
      <font>
        <color theme="0" tint="-0.34998626667073579"/>
      </font>
    </dxf>
    <dxf>
      <font>
        <color theme="0" tint="-0.34998626667073579"/>
      </font>
    </dxf>
    <dxf>
      <font>
        <color theme="0" tint="-0.34998626667073579"/>
      </font>
    </dxf>
    <dxf>
      <font>
        <color theme="0" tint="-0.34998626667073579"/>
      </font>
    </dxf>
    <dxf>
      <font>
        <color theme="1" tint="0.499984740745262"/>
      </font>
      <fill>
        <patternFill>
          <bgColor rgb="FFC6C5B9"/>
        </patternFill>
      </fill>
    </dxf>
    <dxf>
      <font>
        <color rgb="FFFF0000"/>
      </font>
    </dxf>
  </dxfs>
  <tableStyles count="0" defaultTableStyle="TableStyleMedium2" defaultPivotStyle="PivotStyleLight16"/>
  <colors>
    <mruColors>
      <color rgb="FF393D3F"/>
      <color rgb="FF8CB369"/>
      <color rgb="FFF4A259"/>
      <color rgb="FF62929E"/>
      <color rgb="FFFDFDFF"/>
      <color rgb="FFF4E285"/>
      <color rgb="FF546A7B"/>
      <color rgb="FFC6C5B9"/>
      <color rgb="FFC6C6B9"/>
      <color rgb="FFC9E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13841668488525"/>
          <c:y val="0.21218574214724353"/>
          <c:w val="0.54202560680602752"/>
          <c:h val="0.6323285402526595"/>
        </c:manualLayout>
      </c:layout>
      <c:barChart>
        <c:barDir val="col"/>
        <c:grouping val="stacked"/>
        <c:varyColors val="0"/>
        <c:ser>
          <c:idx val="0"/>
          <c:order val="0"/>
          <c:tx>
            <c:strRef>
              <c:f>Cijfers!$G$24</c:f>
              <c:strCache>
                <c:ptCount val="1"/>
                <c:pt idx="0">
                  <c:v>&lt;1965</c:v>
                </c:pt>
              </c:strCache>
            </c:strRef>
          </c:tx>
          <c:spPr>
            <a:solidFill>
              <a:srgbClr val="393D3F"/>
            </a:solidFill>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Cijfers!$H$24:$AN$24</c:f>
              <c:numCache>
                <c:formatCode>_ * #,##0_ ;_ * \-#,##0_ ;_ * "-"??_ ;_ @_ </c:formatCode>
                <c:ptCount val="33"/>
                <c:pt idx="0">
                  <c:v>3152.16</c:v>
                </c:pt>
                <c:pt idx="1">
                  <c:v>3152.16</c:v>
                </c:pt>
                <c:pt idx="2">
                  <c:v>3152.16</c:v>
                </c:pt>
                <c:pt idx="3">
                  <c:v>3152.16</c:v>
                </c:pt>
                <c:pt idx="4">
                  <c:v>3152.16</c:v>
                </c:pt>
                <c:pt idx="5">
                  <c:v>3152.16</c:v>
                </c:pt>
                <c:pt idx="6">
                  <c:v>3152.16</c:v>
                </c:pt>
                <c:pt idx="7">
                  <c:v>3152.16</c:v>
                </c:pt>
                <c:pt idx="8">
                  <c:v>3152.16</c:v>
                </c:pt>
                <c:pt idx="9">
                  <c:v>3152.16</c:v>
                </c:pt>
                <c:pt idx="10">
                  <c:v>3152.16</c:v>
                </c:pt>
                <c:pt idx="11">
                  <c:v>3152.16</c:v>
                </c:pt>
                <c:pt idx="12">
                  <c:v>3152.16</c:v>
                </c:pt>
                <c:pt idx="13">
                  <c:v>3152.16</c:v>
                </c:pt>
                <c:pt idx="14">
                  <c:v>3152.16</c:v>
                </c:pt>
                <c:pt idx="15">
                  <c:v>3152.16</c:v>
                </c:pt>
                <c:pt idx="16">
                  <c:v>3152.16</c:v>
                </c:pt>
                <c:pt idx="17">
                  <c:v>3152.16</c:v>
                </c:pt>
                <c:pt idx="18">
                  <c:v>3152.16</c:v>
                </c:pt>
                <c:pt idx="19">
                  <c:v>3152.16</c:v>
                </c:pt>
                <c:pt idx="20">
                  <c:v>3152.16</c:v>
                </c:pt>
                <c:pt idx="21">
                  <c:v>3152.16</c:v>
                </c:pt>
                <c:pt idx="22">
                  <c:v>3152.16</c:v>
                </c:pt>
                <c:pt idx="23">
                  <c:v>3152.16</c:v>
                </c:pt>
                <c:pt idx="24">
                  <c:v>3152.16</c:v>
                </c:pt>
                <c:pt idx="25">
                  <c:v>3152.16</c:v>
                </c:pt>
                <c:pt idx="26">
                  <c:v>3152.16</c:v>
                </c:pt>
                <c:pt idx="27">
                  <c:v>3152.16</c:v>
                </c:pt>
                <c:pt idx="28">
                  <c:v>3152.16</c:v>
                </c:pt>
                <c:pt idx="29">
                  <c:v>3152.16</c:v>
                </c:pt>
                <c:pt idx="30">
                  <c:v>3152.16</c:v>
                </c:pt>
                <c:pt idx="31">
                  <c:v>3152.16</c:v>
                </c:pt>
                <c:pt idx="32">
                  <c:v>3152.16</c:v>
                </c:pt>
              </c:numCache>
            </c:numRef>
          </c:val>
          <c:extLst>
            <c:ext xmlns:c16="http://schemas.microsoft.com/office/drawing/2014/chart" uri="{C3380CC4-5D6E-409C-BE32-E72D297353CC}">
              <c16:uniqueId val="{00000000-4D59-477F-8CC2-C988BDD5982E}"/>
            </c:ext>
          </c:extLst>
        </c:ser>
        <c:ser>
          <c:idx val="1"/>
          <c:order val="1"/>
          <c:tx>
            <c:strRef>
              <c:f>Cijfers!$G$25</c:f>
              <c:strCache>
                <c:ptCount val="1"/>
                <c:pt idx="0">
                  <c:v>1965 - 1975</c:v>
                </c:pt>
              </c:strCache>
            </c:strRef>
          </c:tx>
          <c:spPr>
            <a:solidFill>
              <a:schemeClr val="tx1">
                <a:lumMod val="50000"/>
                <a:lumOff val="50000"/>
              </a:schemeClr>
            </a:solidFill>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Cijfers!$H$25:$AN$25</c:f>
              <c:numCache>
                <c:formatCode>_ * #,##0_ ;_ * \-#,##0_ ;_ * "-"??_ ;_ @_ </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4D59-477F-8CC2-C988BDD5982E}"/>
            </c:ext>
          </c:extLst>
        </c:ser>
        <c:ser>
          <c:idx val="2"/>
          <c:order val="2"/>
          <c:tx>
            <c:strRef>
              <c:f>Cijfers!$G$26</c:f>
              <c:strCache>
                <c:ptCount val="1"/>
                <c:pt idx="0">
                  <c:v>1975 - 1992</c:v>
                </c:pt>
              </c:strCache>
            </c:strRef>
          </c:tx>
          <c:spPr>
            <a:solidFill>
              <a:srgbClr val="D9D9D1"/>
            </a:solidFill>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Cijfers!$H$26:$AN$26</c:f>
              <c:numCache>
                <c:formatCode>_ * #,##0_ ;_ * \-#,##0_ ;_ * "-"??_ ;_ @_ </c:formatCode>
                <c:ptCount val="33"/>
                <c:pt idx="0">
                  <c:v>18560.559999999998</c:v>
                </c:pt>
                <c:pt idx="1">
                  <c:v>18560.559999999998</c:v>
                </c:pt>
                <c:pt idx="2">
                  <c:v>18560.559999999998</c:v>
                </c:pt>
                <c:pt idx="3">
                  <c:v>18560.559999999998</c:v>
                </c:pt>
                <c:pt idx="4">
                  <c:v>18560.559999999998</c:v>
                </c:pt>
                <c:pt idx="5">
                  <c:v>18560.559999999998</c:v>
                </c:pt>
                <c:pt idx="6">
                  <c:v>18560.559999999998</c:v>
                </c:pt>
                <c:pt idx="7">
                  <c:v>18560.559999999998</c:v>
                </c:pt>
                <c:pt idx="8">
                  <c:v>18560.559999999998</c:v>
                </c:pt>
                <c:pt idx="9">
                  <c:v>8122</c:v>
                </c:pt>
                <c:pt idx="10">
                  <c:v>8122</c:v>
                </c:pt>
                <c:pt idx="11">
                  <c:v>8122</c:v>
                </c:pt>
                <c:pt idx="12">
                  <c:v>8122</c:v>
                </c:pt>
                <c:pt idx="13">
                  <c:v>8122</c:v>
                </c:pt>
                <c:pt idx="14">
                  <c:v>5342.96</c:v>
                </c:pt>
                <c:pt idx="15">
                  <c:v>5342.96</c:v>
                </c:pt>
                <c:pt idx="16">
                  <c:v>5342.96</c:v>
                </c:pt>
                <c:pt idx="17">
                  <c:v>5342.96</c:v>
                </c:pt>
                <c:pt idx="18">
                  <c:v>5342.96</c:v>
                </c:pt>
                <c:pt idx="19">
                  <c:v>5342.96</c:v>
                </c:pt>
                <c:pt idx="20">
                  <c:v>5342.96</c:v>
                </c:pt>
                <c:pt idx="21">
                  <c:v>5342.96</c:v>
                </c:pt>
                <c:pt idx="22">
                  <c:v>3172.4</c:v>
                </c:pt>
                <c:pt idx="23">
                  <c:v>3172.4</c:v>
                </c:pt>
                <c:pt idx="24">
                  <c:v>3172.4</c:v>
                </c:pt>
                <c:pt idx="25">
                  <c:v>3172.4</c:v>
                </c:pt>
                <c:pt idx="26">
                  <c:v>3172.4</c:v>
                </c:pt>
                <c:pt idx="27">
                  <c:v>3172.4</c:v>
                </c:pt>
                <c:pt idx="28">
                  <c:v>3172.4</c:v>
                </c:pt>
                <c:pt idx="29">
                  <c:v>3172.4</c:v>
                </c:pt>
                <c:pt idx="30">
                  <c:v>3172.4</c:v>
                </c:pt>
                <c:pt idx="31">
                  <c:v>3172.4</c:v>
                </c:pt>
                <c:pt idx="32">
                  <c:v>3172.4</c:v>
                </c:pt>
              </c:numCache>
            </c:numRef>
          </c:val>
          <c:extLst>
            <c:ext xmlns:c16="http://schemas.microsoft.com/office/drawing/2014/chart" uri="{C3380CC4-5D6E-409C-BE32-E72D297353CC}">
              <c16:uniqueId val="{00000002-4D59-477F-8CC2-C988BDD5982E}"/>
            </c:ext>
          </c:extLst>
        </c:ser>
        <c:ser>
          <c:idx val="3"/>
          <c:order val="3"/>
          <c:tx>
            <c:strRef>
              <c:f>Cijfers!$G$27</c:f>
              <c:strCache>
                <c:ptCount val="1"/>
                <c:pt idx="0">
                  <c:v>1992 - 2021</c:v>
                </c:pt>
              </c:strCache>
            </c:strRef>
          </c:tx>
          <c:spPr>
            <a:solidFill>
              <a:srgbClr val="62929E"/>
            </a:solidFill>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Cijfers!$H$27:$AN$27</c:f>
              <c:numCache>
                <c:formatCode>_ * #,##0_ ;_ * \-#,##0_ ;_ * "-"??_ ;_ @_ </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3-4D59-477F-8CC2-C988BDD5982E}"/>
            </c:ext>
          </c:extLst>
        </c:ser>
        <c:ser>
          <c:idx val="4"/>
          <c:order val="4"/>
          <c:tx>
            <c:strRef>
              <c:f>Cijfers!$G$28</c:f>
              <c:strCache>
                <c:ptCount val="1"/>
                <c:pt idx="0">
                  <c:v>Nieuwbouw</c:v>
                </c:pt>
              </c:strCache>
            </c:strRef>
          </c:tx>
          <c:spPr>
            <a:solidFill>
              <a:srgbClr val="546A7B"/>
            </a:solidFill>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Cijfers!$H$28:$AN$28</c:f>
              <c:numCache>
                <c:formatCode>_ * #,##0_ ;_ * \-#,##0_ ;_ * "-"??_ ;_ @_ </c:formatCode>
                <c:ptCount val="33"/>
                <c:pt idx="0">
                  <c:v>0</c:v>
                </c:pt>
                <c:pt idx="1">
                  <c:v>0</c:v>
                </c:pt>
                <c:pt idx="2">
                  <c:v>0</c:v>
                </c:pt>
                <c:pt idx="3">
                  <c:v>0</c:v>
                </c:pt>
                <c:pt idx="4">
                  <c:v>0</c:v>
                </c:pt>
                <c:pt idx="5">
                  <c:v>0</c:v>
                </c:pt>
                <c:pt idx="6">
                  <c:v>0</c:v>
                </c:pt>
                <c:pt idx="7">
                  <c:v>0</c:v>
                </c:pt>
                <c:pt idx="8">
                  <c:v>0</c:v>
                </c:pt>
                <c:pt idx="9">
                  <c:v>10439</c:v>
                </c:pt>
                <c:pt idx="10">
                  <c:v>10439</c:v>
                </c:pt>
                <c:pt idx="11">
                  <c:v>10439</c:v>
                </c:pt>
                <c:pt idx="12">
                  <c:v>10439</c:v>
                </c:pt>
                <c:pt idx="13">
                  <c:v>10439</c:v>
                </c:pt>
                <c:pt idx="14">
                  <c:v>13218</c:v>
                </c:pt>
                <c:pt idx="15">
                  <c:v>13218</c:v>
                </c:pt>
                <c:pt idx="16">
                  <c:v>13218</c:v>
                </c:pt>
                <c:pt idx="17">
                  <c:v>13218</c:v>
                </c:pt>
                <c:pt idx="18">
                  <c:v>13218</c:v>
                </c:pt>
                <c:pt idx="19">
                  <c:v>13218</c:v>
                </c:pt>
                <c:pt idx="20">
                  <c:v>13218</c:v>
                </c:pt>
                <c:pt idx="21">
                  <c:v>13218</c:v>
                </c:pt>
                <c:pt idx="22">
                  <c:v>15389</c:v>
                </c:pt>
                <c:pt idx="23">
                  <c:v>15389</c:v>
                </c:pt>
                <c:pt idx="24">
                  <c:v>15389</c:v>
                </c:pt>
                <c:pt idx="25">
                  <c:v>15389</c:v>
                </c:pt>
                <c:pt idx="26">
                  <c:v>15389</c:v>
                </c:pt>
                <c:pt idx="27">
                  <c:v>15389</c:v>
                </c:pt>
                <c:pt idx="28">
                  <c:v>15389</c:v>
                </c:pt>
                <c:pt idx="29">
                  <c:v>15389</c:v>
                </c:pt>
                <c:pt idx="30">
                  <c:v>15389</c:v>
                </c:pt>
                <c:pt idx="31">
                  <c:v>15389</c:v>
                </c:pt>
                <c:pt idx="32">
                  <c:v>15389</c:v>
                </c:pt>
              </c:numCache>
            </c:numRef>
          </c:val>
          <c:extLst>
            <c:ext xmlns:c16="http://schemas.microsoft.com/office/drawing/2014/chart" uri="{C3380CC4-5D6E-409C-BE32-E72D297353CC}">
              <c16:uniqueId val="{00000004-4D59-477F-8CC2-C988BDD5982E}"/>
            </c:ext>
          </c:extLst>
        </c:ser>
        <c:dLbls>
          <c:showLegendKey val="0"/>
          <c:showVal val="0"/>
          <c:showCatName val="0"/>
          <c:showSerName val="0"/>
          <c:showPercent val="0"/>
          <c:showBubbleSize val="0"/>
        </c:dLbls>
        <c:gapWidth val="0"/>
        <c:overlap val="100"/>
        <c:axId val="548062367"/>
        <c:axId val="548042351"/>
      </c:barChart>
      <c:lineChart>
        <c:grouping val="standard"/>
        <c:varyColors val="0"/>
        <c:ser>
          <c:idx val="5"/>
          <c:order val="5"/>
          <c:tx>
            <c:v>Totale m2</c:v>
          </c:tx>
          <c:spPr>
            <a:ln>
              <a:noFill/>
            </a:ln>
            <a:effectLst>
              <a:outerShdw blurRad="50800" dist="38100" dir="2700000" algn="tl" rotWithShape="0">
                <a:prstClr val="black">
                  <a:alpha val="40000"/>
                </a:prstClr>
              </a:outerShdw>
            </a:effectLst>
          </c:spPr>
          <c:marker>
            <c:symbol val="none"/>
          </c:marker>
          <c:val>
            <c:numRef>
              <c:f>Cijfers!$H$23:$AN$23</c:f>
              <c:numCache>
                <c:formatCode>_ * #,##0_ ;_ * \-#,##0_ ;_ * "-"??_ ;_ @_ </c:formatCode>
                <c:ptCount val="33"/>
                <c:pt idx="0">
                  <c:v>21712.719999999998</c:v>
                </c:pt>
                <c:pt idx="1">
                  <c:v>21712.719999999998</c:v>
                </c:pt>
                <c:pt idx="2">
                  <c:v>21712.719999999998</c:v>
                </c:pt>
                <c:pt idx="3">
                  <c:v>21712.719999999998</c:v>
                </c:pt>
                <c:pt idx="4">
                  <c:v>21712.719999999998</c:v>
                </c:pt>
                <c:pt idx="5">
                  <c:v>21712.719999999998</c:v>
                </c:pt>
                <c:pt idx="6">
                  <c:v>21712.719999999998</c:v>
                </c:pt>
                <c:pt idx="7">
                  <c:v>21712.719999999998</c:v>
                </c:pt>
                <c:pt idx="8">
                  <c:v>21712.719999999998</c:v>
                </c:pt>
                <c:pt idx="9">
                  <c:v>21713.16</c:v>
                </c:pt>
                <c:pt idx="10">
                  <c:v>21713.16</c:v>
                </c:pt>
                <c:pt idx="11">
                  <c:v>21713.16</c:v>
                </c:pt>
                <c:pt idx="12">
                  <c:v>21713.16</c:v>
                </c:pt>
                <c:pt idx="13">
                  <c:v>21713.16</c:v>
                </c:pt>
                <c:pt idx="14">
                  <c:v>21713.119999999999</c:v>
                </c:pt>
                <c:pt idx="15">
                  <c:v>21713.119999999999</c:v>
                </c:pt>
                <c:pt idx="16">
                  <c:v>21713.119999999999</c:v>
                </c:pt>
                <c:pt idx="17">
                  <c:v>21713.119999999999</c:v>
                </c:pt>
                <c:pt idx="18">
                  <c:v>21713.119999999999</c:v>
                </c:pt>
                <c:pt idx="19">
                  <c:v>21713.119999999999</c:v>
                </c:pt>
                <c:pt idx="20">
                  <c:v>21713.119999999999</c:v>
                </c:pt>
                <c:pt idx="21">
                  <c:v>21713.119999999999</c:v>
                </c:pt>
                <c:pt idx="22">
                  <c:v>21713.559999999998</c:v>
                </c:pt>
                <c:pt idx="23">
                  <c:v>21713.559999999998</c:v>
                </c:pt>
                <c:pt idx="24">
                  <c:v>21713.559999999998</c:v>
                </c:pt>
                <c:pt idx="25">
                  <c:v>21713.559999999998</c:v>
                </c:pt>
                <c:pt idx="26">
                  <c:v>21713.559999999998</c:v>
                </c:pt>
                <c:pt idx="27">
                  <c:v>21713.559999999998</c:v>
                </c:pt>
                <c:pt idx="28">
                  <c:v>21713.559999999998</c:v>
                </c:pt>
                <c:pt idx="29">
                  <c:v>21713.559999999998</c:v>
                </c:pt>
                <c:pt idx="30">
                  <c:v>21713.559999999998</c:v>
                </c:pt>
                <c:pt idx="31">
                  <c:v>21713.559999999998</c:v>
                </c:pt>
                <c:pt idx="32">
                  <c:v>21713.559999999998</c:v>
                </c:pt>
              </c:numCache>
            </c:numRef>
          </c:val>
          <c:smooth val="0"/>
          <c:extLst>
            <c:ext xmlns:c16="http://schemas.microsoft.com/office/drawing/2014/chart" uri="{C3380CC4-5D6E-409C-BE32-E72D297353CC}">
              <c16:uniqueId val="{00000000-85BF-471D-A340-A0A7EDD67780}"/>
            </c:ext>
          </c:extLst>
        </c:ser>
        <c:dLbls>
          <c:showLegendKey val="0"/>
          <c:showVal val="0"/>
          <c:showCatName val="0"/>
          <c:showSerName val="0"/>
          <c:showPercent val="0"/>
          <c:showBubbleSize val="0"/>
        </c:dLbls>
        <c:marker val="1"/>
        <c:smooth val="0"/>
        <c:axId val="388725807"/>
        <c:axId val="2106648095"/>
      </c:lineChart>
      <c:valAx>
        <c:axId val="548042351"/>
        <c:scaling>
          <c:orientation val="minMax"/>
          <c:min val="0"/>
        </c:scaling>
        <c:delete val="0"/>
        <c:axPos val="r"/>
        <c:numFmt formatCode="_ * #,##0_ ;_ * \-#,##0_ ;_ * &quot;-&quot;??_ ;_ @_ " sourceLinked="1"/>
        <c:majorTickMark val="out"/>
        <c:minorTickMark val="none"/>
        <c:tickLblPos val="nextTo"/>
        <c:txPr>
          <a:bodyPr/>
          <a:lstStyle/>
          <a:p>
            <a:pPr>
              <a:defRPr sz="1600" b="0">
                <a:solidFill>
                  <a:srgbClr val="FDFDFF"/>
                </a:solidFill>
              </a:defRPr>
            </a:pPr>
            <a:endParaRPr lang="nl-NL"/>
          </a:p>
        </c:txPr>
        <c:crossAx val="548062367"/>
        <c:crosses val="max"/>
        <c:crossBetween val="between"/>
        <c:dispUnits>
          <c:builtInUnit val="thousands"/>
        </c:dispUnits>
      </c:valAx>
      <c:catAx>
        <c:axId val="548062367"/>
        <c:scaling>
          <c:orientation val="minMax"/>
        </c:scaling>
        <c:delete val="0"/>
        <c:axPos val="b"/>
        <c:numFmt formatCode="General" sourceLinked="1"/>
        <c:majorTickMark val="out"/>
        <c:minorTickMark val="none"/>
        <c:tickLblPos val="nextTo"/>
        <c:txPr>
          <a:bodyPr/>
          <a:lstStyle/>
          <a:p>
            <a:pPr>
              <a:defRPr sz="1600" b="1" i="0" baseline="0">
                <a:solidFill>
                  <a:srgbClr val="393D3F"/>
                </a:solidFill>
              </a:defRPr>
            </a:pPr>
            <a:endParaRPr lang="nl-NL"/>
          </a:p>
        </c:txPr>
        <c:crossAx val="548042351"/>
        <c:crosses val="autoZero"/>
        <c:auto val="1"/>
        <c:lblAlgn val="ctr"/>
        <c:lblOffset val="100"/>
        <c:tickLblSkip val="6"/>
        <c:tickMarkSkip val="6"/>
        <c:noMultiLvlLbl val="0"/>
      </c:catAx>
      <c:valAx>
        <c:axId val="2106648095"/>
        <c:scaling>
          <c:orientation val="minMax"/>
          <c:min val="0"/>
        </c:scaling>
        <c:delete val="0"/>
        <c:axPos val="l"/>
        <c:title>
          <c:tx>
            <c:rich>
              <a:bodyPr rot="0" vert="horz"/>
              <a:lstStyle/>
              <a:p>
                <a:pPr algn="l">
                  <a:defRPr sz="1400">
                    <a:solidFill>
                      <a:srgbClr val="393D3F"/>
                    </a:solidFill>
                  </a:defRPr>
                </a:pPr>
                <a:r>
                  <a:rPr lang="nl-NL" sz="1400">
                    <a:solidFill>
                      <a:srgbClr val="393D3F"/>
                    </a:solidFill>
                  </a:rPr>
                  <a:t>m2</a:t>
                </a:r>
              </a:p>
            </c:rich>
          </c:tx>
          <c:layout>
            <c:manualLayout>
              <c:xMode val="edge"/>
              <c:yMode val="edge"/>
              <c:x val="3.6503173593591343E-2"/>
              <c:y val="4.6665710746225081E-2"/>
            </c:manualLayout>
          </c:layout>
          <c:overlay val="0"/>
        </c:title>
        <c:numFmt formatCode="_ * #,##0_ ;_ * \-#,##0_ ;_ * &quot;-&quot;??_ ;_ @_ " sourceLinked="1"/>
        <c:majorTickMark val="out"/>
        <c:minorTickMark val="none"/>
        <c:tickLblPos val="nextTo"/>
        <c:txPr>
          <a:bodyPr/>
          <a:lstStyle/>
          <a:p>
            <a:pPr>
              <a:defRPr sz="1600">
                <a:solidFill>
                  <a:srgbClr val="393D3F"/>
                </a:solidFill>
              </a:defRPr>
            </a:pPr>
            <a:endParaRPr lang="nl-NL"/>
          </a:p>
        </c:txPr>
        <c:crossAx val="388725807"/>
        <c:crosses val="autoZero"/>
        <c:crossBetween val="between"/>
      </c:valAx>
      <c:catAx>
        <c:axId val="388725807"/>
        <c:scaling>
          <c:orientation val="minMax"/>
        </c:scaling>
        <c:delete val="1"/>
        <c:axPos val="b"/>
        <c:majorTickMark val="out"/>
        <c:minorTickMark val="none"/>
        <c:tickLblPos val="nextTo"/>
        <c:crossAx val="2106648095"/>
        <c:crosses val="autoZero"/>
        <c:auto val="1"/>
        <c:lblAlgn val="ctr"/>
        <c:lblOffset val="100"/>
        <c:noMultiLvlLbl val="0"/>
      </c:catAx>
      <c:spPr>
        <a:ln w="34925">
          <a:noFill/>
        </a:ln>
      </c:spPr>
    </c:plotArea>
    <c:legend>
      <c:legendPos val="r"/>
      <c:legendEntry>
        <c:idx val="5"/>
        <c:txPr>
          <a:bodyPr/>
          <a:lstStyle/>
          <a:p>
            <a:pPr>
              <a:defRPr sz="1600" b="1">
                <a:solidFill>
                  <a:srgbClr val="FDFDFF"/>
                </a:solidFill>
              </a:defRPr>
            </a:pPr>
            <a:endParaRPr lang="nl-NL"/>
          </a:p>
        </c:txPr>
      </c:legendEntry>
      <c:layout>
        <c:manualLayout>
          <c:xMode val="edge"/>
          <c:yMode val="edge"/>
          <c:x val="0.74825063443826767"/>
          <c:y val="0.36767960428485591"/>
          <c:w val="0.23880816064556895"/>
          <c:h val="0.58933948570066264"/>
        </c:manualLayout>
      </c:layout>
      <c:overlay val="0"/>
      <c:spPr>
        <a:solidFill>
          <a:schemeClr val="bg1"/>
        </a:solidFill>
        <a:ln>
          <a:noFill/>
        </a:ln>
      </c:spPr>
      <c:txPr>
        <a:bodyPr/>
        <a:lstStyle/>
        <a:p>
          <a:pPr>
            <a:defRPr sz="1600" b="1">
              <a:solidFill>
                <a:srgbClr val="393D3F"/>
              </a:solidFill>
            </a:defRPr>
          </a:pPr>
          <a:endParaRPr lang="nl-NL"/>
        </a:p>
      </c:txPr>
    </c:legend>
    <c:plotVisOnly val="1"/>
    <c:dispBlanksAs val="gap"/>
    <c:showDLblsOverMax val="0"/>
  </c:chart>
  <c:spPr>
    <a:solidFill>
      <a:srgbClr val="FDFDFF"/>
    </a:solid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0390007605812"/>
          <c:y val="2.8972410527652991E-2"/>
          <c:w val="0.77938635627497477"/>
          <c:h val="0.83134409657662645"/>
        </c:manualLayout>
      </c:layout>
      <c:pieChart>
        <c:varyColors val="1"/>
        <c:ser>
          <c:idx val="0"/>
          <c:order val="0"/>
          <c:tx>
            <c:v>2030</c:v>
          </c:tx>
          <c:spPr>
            <a:solidFill>
              <a:srgbClr val="FFF28F"/>
            </a:solidFill>
          </c:spPr>
          <c:dPt>
            <c:idx val="0"/>
            <c:bubble3D val="0"/>
            <c:spPr>
              <a:solidFill>
                <a:srgbClr val="F4A259"/>
              </a:solidFill>
            </c:spPr>
            <c:extLst>
              <c:ext xmlns:c16="http://schemas.microsoft.com/office/drawing/2014/chart" uri="{C3380CC4-5D6E-409C-BE32-E72D297353CC}">
                <c16:uniqueId val="{00000001-E45F-4EE7-A360-9E795B4E07F1}"/>
              </c:ext>
            </c:extLst>
          </c:dPt>
          <c:dPt>
            <c:idx val="1"/>
            <c:bubble3D val="0"/>
            <c:spPr>
              <a:solidFill>
                <a:srgbClr val="F4E285"/>
              </a:solidFill>
            </c:spPr>
            <c:extLst>
              <c:ext xmlns:c16="http://schemas.microsoft.com/office/drawing/2014/chart" uri="{C3380CC4-5D6E-409C-BE32-E72D297353CC}">
                <c16:uniqueId val="{00000003-E45F-4EE7-A360-9E795B4E07F1}"/>
              </c:ext>
            </c:extLst>
          </c:dPt>
          <c:dPt>
            <c:idx val="2"/>
            <c:bubble3D val="0"/>
            <c:spPr>
              <a:solidFill>
                <a:srgbClr val="62929E"/>
              </a:solidFill>
            </c:spPr>
            <c:extLst>
              <c:ext xmlns:c16="http://schemas.microsoft.com/office/drawing/2014/chart" uri="{C3380CC4-5D6E-409C-BE32-E72D297353CC}">
                <c16:uniqueId val="{00000005-E45F-4EE7-A360-9E795B4E07F1}"/>
              </c:ext>
            </c:extLst>
          </c:dPt>
          <c:dLbls>
            <c:delete val="1"/>
          </c:dLbls>
          <c:val>
            <c:numRef>
              <c:f>Cijfers!$T$57:$T$59</c:f>
              <c:numCache>
                <c:formatCode>_ * #,##0_ ;_ * \-#,##0_ ;_ * "-"??_ ;_ @_ </c:formatCode>
                <c:ptCount val="3"/>
                <c:pt idx="0">
                  <c:v>323731.61926007824</c:v>
                </c:pt>
                <c:pt idx="1">
                  <c:v>61149.077879999997</c:v>
                </c:pt>
                <c:pt idx="2">
                  <c:v>-19054.8</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E45F-4EE7-A360-9E795B4E07F1}"/>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Blanco!$U$253:$GZ$253</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D84-4DA3-B607-486ECD33065D}"/>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Blanco!$AN$219:$DN$219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Blanco!$AN$224:$DN$224</c:f>
              <c:numCache>
                <c:formatCode>_ [$€-413]\ * #,##0_ ;_ [$€-413]\ * \-#,##0_ ;_ [$€-413]\ * "-"??_ ;_ @_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5F9-4438-9E00-51DD6597FEDE}"/>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75F9-4438-9E00-51DD6597FEDE}"/>
            </c:ext>
          </c:extLst>
        </c:ser>
        <c:ser>
          <c:idx val="0"/>
          <c:order val="2"/>
          <c:tx>
            <c:v>Besparingen</c:v>
          </c:tx>
          <c:spPr>
            <a:ln w="38100" cap="rnd">
              <a:solidFill>
                <a:srgbClr val="8CB369"/>
              </a:solidFill>
              <a:round/>
            </a:ln>
            <a:effectLst/>
          </c:spPr>
          <c:marker>
            <c:symbol val="none"/>
          </c:marker>
          <c:cat>
            <c:numRef>
              <c:f>Blanco!$AN$219:$DN$219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Blanco!$AN$226:$DN$226</c:f>
              <c:numCache>
                <c:formatCode>_ [$€-413]\ * #,##0_ ;_ [$€-413]\ * \-#,##0_ ;_ [$€-413]\ * "-"??_ ;_ @_ </c:formatCode>
                <c:ptCount val="14"/>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5F9-4438-9E00-51DD6597FEDE}"/>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Blanco!$U$232:$GZ$232</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1C77-4639-AB06-0C9C9E1A2DC6}"/>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Blanco!$U$229:$GZ$229</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C5D-44FB-B740-19B6FC0B8FE6}"/>
            </c:ext>
          </c:extLst>
        </c:ser>
        <c:ser>
          <c:idx val="3"/>
          <c:order val="1"/>
          <c:tx>
            <c:v>Opwek met PV</c:v>
          </c:tx>
          <c:spPr>
            <a:solidFill>
              <a:srgbClr val="8CB369">
                <a:alpha val="76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Blanco!$U$240:$GZ$240</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5C5D-44FB-B740-19B6FC0B8FE6}"/>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Blanco!$U$235:$GZ$235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449-445E-834E-4072D41010D4}"/>
            </c:ext>
          </c:extLst>
        </c:ser>
        <c:ser>
          <c:idx val="4"/>
          <c:order val="1"/>
          <c:tx>
            <c:v>Duurzame warmte</c:v>
          </c:tx>
          <c:spPr>
            <a:solidFill>
              <a:srgbClr val="8CB369">
                <a:alpha val="75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Blanco!$U$242:$GZ$242</c:f>
              <c:numCache>
                <c:formatCode>#,##0</c:formatCode>
                <c:ptCount val="33"/>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D449-445E-834E-4072D41010D4}"/>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Blanco!$U$245:$GZ$245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4C07-49EB-83CC-1804E90F1287}"/>
            </c:ext>
          </c:extLst>
        </c:ser>
        <c:ser>
          <c:idx val="1"/>
          <c:order val="1"/>
          <c:tx>
            <c:v>Energie inkoop = WEii (kWh/m2)</c:v>
          </c:tx>
          <c:spPr>
            <a:solidFill>
              <a:srgbClr val="393D3F">
                <a:alpha val="80000"/>
              </a:srgbClr>
            </a:solidFill>
            <a:ln>
              <a:noFill/>
            </a:ln>
            <a:effectLst/>
          </c:spPr>
          <c:invertIfNegative val="0"/>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Blanco!$U$238:$GZ$238</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4C07-49EB-83CC-1804E90F1287}"/>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Blanco!$U$219:$GZ$219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Blanco!$U$256:$GZ$256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4C07-49EB-83CC-1804E90F1287}"/>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282B2C"/>
                </a:solidFill>
                <a:latin typeface="+mn-lt"/>
                <a:ea typeface="+mn-ea"/>
                <a:cs typeface="+mn-cs"/>
              </a:defRPr>
            </a:pPr>
            <a:r>
              <a:rPr lang="en-US" sz="2000" b="1">
                <a:solidFill>
                  <a:srgbClr val="282B2C"/>
                </a:solidFill>
              </a:rPr>
              <a:t>CO2-emissie nieuwbouw</a:t>
            </a:r>
            <a:r>
              <a:rPr lang="en-US" sz="2000" b="1" baseline="0">
                <a:solidFill>
                  <a:srgbClr val="282B2C"/>
                </a:solidFill>
              </a:rPr>
              <a:t> </a:t>
            </a:r>
            <a:r>
              <a:rPr lang="en-US" sz="2000" b="1">
                <a:solidFill>
                  <a:srgbClr val="282B2C"/>
                </a:solidFill>
              </a:rPr>
              <a:t>(ton/jaar)</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282B2C"/>
              </a:solidFill>
              <a:latin typeface="+mn-lt"/>
              <a:ea typeface="+mn-ea"/>
              <a:cs typeface="+mn-cs"/>
            </a:defRPr>
          </a:pPr>
          <a:endParaRPr lang="nl-NL"/>
        </a:p>
      </c:txPr>
    </c:title>
    <c:autoTitleDeleted val="0"/>
    <c:plotArea>
      <c:layout>
        <c:manualLayout>
          <c:layoutTarget val="inner"/>
          <c:xMode val="edge"/>
          <c:yMode val="edge"/>
          <c:x val="0.13139762566434562"/>
          <c:y val="0.18592342969715864"/>
          <c:w val="0.54377252678223553"/>
          <c:h val="0.6393350030759456"/>
        </c:manualLayout>
      </c:layout>
      <c:barChart>
        <c:barDir val="col"/>
        <c:grouping val="clustered"/>
        <c:varyColors val="0"/>
        <c:ser>
          <c:idx val="2"/>
          <c:order val="0"/>
          <c:tx>
            <c:v>Totale emissie</c:v>
          </c:tx>
          <c:spPr>
            <a:solidFill>
              <a:srgbClr val="C6C6B9"/>
            </a:solidFill>
            <a:ln w="15875">
              <a:noFill/>
              <a:prstDash val="dash"/>
            </a:ln>
            <a:effectLst/>
          </c:spPr>
          <c:invertIfNegative val="0"/>
          <c:val>
            <c:numRef>
              <c:f>Nieuwbouw!$E$60:$AK$60</c:f>
              <c:numCache>
                <c:formatCode>_ * #,##0_ ;_ * \-#,##0_ ;_ * "-"??_ ;_ @_ </c:formatCode>
                <c:ptCount val="33"/>
                <c:pt idx="0">
                  <c:v>0</c:v>
                </c:pt>
                <c:pt idx="1">
                  <c:v>0</c:v>
                </c:pt>
                <c:pt idx="2">
                  <c:v>0</c:v>
                </c:pt>
                <c:pt idx="3">
                  <c:v>0</c:v>
                </c:pt>
                <c:pt idx="4">
                  <c:v>0</c:v>
                </c:pt>
                <c:pt idx="5">
                  <c:v>0</c:v>
                </c:pt>
                <c:pt idx="6">
                  <c:v>0</c:v>
                </c:pt>
                <c:pt idx="7">
                  <c:v>1183086.6666666665</c:v>
                </c:pt>
                <c:pt idx="8">
                  <c:v>1183086.6666666665</c:v>
                </c:pt>
                <c:pt idx="9">
                  <c:v>1297738.2036666665</c:v>
                </c:pt>
                <c:pt idx="10">
                  <c:v>114651.53700000001</c:v>
                </c:pt>
                <c:pt idx="11">
                  <c:v>114651.53700000001</c:v>
                </c:pt>
                <c:pt idx="12">
                  <c:v>429604.87033333333</c:v>
                </c:pt>
                <c:pt idx="13">
                  <c:v>429604.87033333333</c:v>
                </c:pt>
                <c:pt idx="14">
                  <c:v>460126.62733333331</c:v>
                </c:pt>
                <c:pt idx="15">
                  <c:v>145173.29399999999</c:v>
                </c:pt>
                <c:pt idx="16">
                  <c:v>145173.29399999999</c:v>
                </c:pt>
                <c:pt idx="17">
                  <c:v>145173.29399999999</c:v>
                </c:pt>
                <c:pt idx="18">
                  <c:v>145173.29399999999</c:v>
                </c:pt>
                <c:pt idx="19">
                  <c:v>145173.29399999999</c:v>
                </c:pt>
                <c:pt idx="20">
                  <c:v>391219.96066666662</c:v>
                </c:pt>
                <c:pt idx="21">
                  <c:v>391219.96066666662</c:v>
                </c:pt>
                <c:pt idx="22">
                  <c:v>415064.05366666667</c:v>
                </c:pt>
                <c:pt idx="23">
                  <c:v>169017.38700000002</c:v>
                </c:pt>
                <c:pt idx="24">
                  <c:v>169017.38700000002</c:v>
                </c:pt>
                <c:pt idx="25">
                  <c:v>169017.38700000002</c:v>
                </c:pt>
                <c:pt idx="26">
                  <c:v>169017.38700000002</c:v>
                </c:pt>
                <c:pt idx="27">
                  <c:v>169017.38700000002</c:v>
                </c:pt>
                <c:pt idx="28">
                  <c:v>169017.38700000002</c:v>
                </c:pt>
                <c:pt idx="29">
                  <c:v>169017.38700000002</c:v>
                </c:pt>
                <c:pt idx="30">
                  <c:v>169017.38700000002</c:v>
                </c:pt>
                <c:pt idx="31">
                  <c:v>169017.38700000002</c:v>
                </c:pt>
                <c:pt idx="32">
                  <c:v>169017.38700000002</c:v>
                </c:pt>
              </c:numCache>
            </c:numRef>
          </c:val>
          <c:extLst>
            <c:ext xmlns:c16="http://schemas.microsoft.com/office/drawing/2014/chart" uri="{C3380CC4-5D6E-409C-BE32-E72D297353CC}">
              <c16:uniqueId val="{00000001-A9FB-42C4-A6DE-30305A47E7F2}"/>
            </c:ext>
          </c:extLst>
        </c:ser>
        <c:dLbls>
          <c:showLegendKey val="0"/>
          <c:showVal val="0"/>
          <c:showCatName val="0"/>
          <c:showSerName val="0"/>
          <c:showPercent val="0"/>
          <c:showBubbleSize val="0"/>
        </c:dLbls>
        <c:gapWidth val="0"/>
        <c:axId val="693501487"/>
        <c:axId val="348211263"/>
      </c:barChart>
      <c:lineChart>
        <c:grouping val="standard"/>
        <c:varyColors val="0"/>
        <c:ser>
          <c:idx val="0"/>
          <c:order val="1"/>
          <c:tx>
            <c:v>Emissie uit verbruik</c:v>
          </c:tx>
          <c:spPr>
            <a:ln w="28575" cap="rnd" cmpd="sng">
              <a:solidFill>
                <a:srgbClr val="62929E"/>
              </a:solidFill>
              <a:round/>
            </a:ln>
            <a:effectLst/>
          </c:spPr>
          <c:marker>
            <c:symbol val="none"/>
          </c:marker>
          <c:cat>
            <c:numRef>
              <c:f>Nieuwbouw!$E$36:$AK$36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Nieuwbouw!$E$58:$AK$58</c:f>
              <c:numCache>
                <c:formatCode>_ * #,##0_ ;_ * \-#,##0_ ;_ * "-"??_ ;_ @_ </c:formatCode>
                <c:ptCount val="33"/>
                <c:pt idx="0">
                  <c:v>0</c:v>
                </c:pt>
                <c:pt idx="1">
                  <c:v>0</c:v>
                </c:pt>
                <c:pt idx="2">
                  <c:v>0</c:v>
                </c:pt>
                <c:pt idx="3">
                  <c:v>0</c:v>
                </c:pt>
                <c:pt idx="4">
                  <c:v>0</c:v>
                </c:pt>
                <c:pt idx="5">
                  <c:v>0</c:v>
                </c:pt>
                <c:pt idx="6">
                  <c:v>0</c:v>
                </c:pt>
                <c:pt idx="7">
                  <c:v>0</c:v>
                </c:pt>
                <c:pt idx="8">
                  <c:v>0</c:v>
                </c:pt>
                <c:pt idx="9">
                  <c:v>114651.53700000001</c:v>
                </c:pt>
                <c:pt idx="10">
                  <c:v>114651.53700000001</c:v>
                </c:pt>
                <c:pt idx="11">
                  <c:v>114651.53700000001</c:v>
                </c:pt>
                <c:pt idx="12">
                  <c:v>114651.53700000001</c:v>
                </c:pt>
                <c:pt idx="13">
                  <c:v>114651.53700000001</c:v>
                </c:pt>
                <c:pt idx="14">
                  <c:v>145173.29399999999</c:v>
                </c:pt>
                <c:pt idx="15">
                  <c:v>145173.29399999999</c:v>
                </c:pt>
                <c:pt idx="16">
                  <c:v>145173.29399999999</c:v>
                </c:pt>
                <c:pt idx="17">
                  <c:v>145173.29399999999</c:v>
                </c:pt>
                <c:pt idx="18">
                  <c:v>145173.29399999999</c:v>
                </c:pt>
                <c:pt idx="19">
                  <c:v>145173.29399999999</c:v>
                </c:pt>
                <c:pt idx="20">
                  <c:v>145173.29399999999</c:v>
                </c:pt>
                <c:pt idx="21">
                  <c:v>145173.29399999999</c:v>
                </c:pt>
                <c:pt idx="22">
                  <c:v>169017.38700000002</c:v>
                </c:pt>
                <c:pt idx="23">
                  <c:v>169017.38700000002</c:v>
                </c:pt>
                <c:pt idx="24">
                  <c:v>169017.38700000002</c:v>
                </c:pt>
                <c:pt idx="25">
                  <c:v>169017.38700000002</c:v>
                </c:pt>
                <c:pt idx="26">
                  <c:v>169017.38700000002</c:v>
                </c:pt>
                <c:pt idx="27">
                  <c:v>169017.38700000002</c:v>
                </c:pt>
                <c:pt idx="28">
                  <c:v>169017.38700000002</c:v>
                </c:pt>
                <c:pt idx="29">
                  <c:v>169017.38700000002</c:v>
                </c:pt>
                <c:pt idx="30">
                  <c:v>169017.38700000002</c:v>
                </c:pt>
                <c:pt idx="31">
                  <c:v>169017.38700000002</c:v>
                </c:pt>
                <c:pt idx="32">
                  <c:v>169017.38700000002</c:v>
                </c:pt>
              </c:numCache>
            </c:numRef>
          </c:val>
          <c:smooth val="0"/>
          <c:extLst>
            <c:ext xmlns:c16="http://schemas.microsoft.com/office/drawing/2014/chart" uri="{C3380CC4-5D6E-409C-BE32-E72D297353CC}">
              <c16:uniqueId val="{00000000-E04E-4C2F-B3C1-841D2122FF41}"/>
            </c:ext>
          </c:extLst>
        </c:ser>
        <c:ser>
          <c:idx val="1"/>
          <c:order val="2"/>
          <c:tx>
            <c:v>Emissie uit bouw</c:v>
          </c:tx>
          <c:spPr>
            <a:ln w="25400" cap="rnd">
              <a:solidFill>
                <a:srgbClr val="393D3F"/>
              </a:solidFill>
              <a:round/>
            </a:ln>
            <a:effectLst/>
          </c:spPr>
          <c:marker>
            <c:symbol val="none"/>
          </c:marker>
          <c:val>
            <c:numRef>
              <c:f>Nieuwbouw!$E$59:$AK$59</c:f>
              <c:numCache>
                <c:formatCode>_ * #,##0_ ;_ * \-#,##0_ ;_ * "-"??_ ;_ @_ </c:formatCode>
                <c:ptCount val="33"/>
                <c:pt idx="0">
                  <c:v>0</c:v>
                </c:pt>
                <c:pt idx="1">
                  <c:v>0</c:v>
                </c:pt>
                <c:pt idx="2">
                  <c:v>0</c:v>
                </c:pt>
                <c:pt idx="3">
                  <c:v>0</c:v>
                </c:pt>
                <c:pt idx="4">
                  <c:v>0</c:v>
                </c:pt>
                <c:pt idx="5">
                  <c:v>0</c:v>
                </c:pt>
                <c:pt idx="6">
                  <c:v>0</c:v>
                </c:pt>
                <c:pt idx="7">
                  <c:v>1183086.6666666665</c:v>
                </c:pt>
                <c:pt idx="8">
                  <c:v>1183086.6666666665</c:v>
                </c:pt>
                <c:pt idx="9">
                  <c:v>1183086.6666666665</c:v>
                </c:pt>
                <c:pt idx="10">
                  <c:v>0</c:v>
                </c:pt>
                <c:pt idx="11">
                  <c:v>0</c:v>
                </c:pt>
                <c:pt idx="12">
                  <c:v>314953.33333333331</c:v>
                </c:pt>
                <c:pt idx="13">
                  <c:v>314953.33333333331</c:v>
                </c:pt>
                <c:pt idx="14">
                  <c:v>314953.33333333331</c:v>
                </c:pt>
                <c:pt idx="15">
                  <c:v>0</c:v>
                </c:pt>
                <c:pt idx="16">
                  <c:v>0</c:v>
                </c:pt>
                <c:pt idx="17">
                  <c:v>0</c:v>
                </c:pt>
                <c:pt idx="18">
                  <c:v>0</c:v>
                </c:pt>
                <c:pt idx="19">
                  <c:v>0</c:v>
                </c:pt>
                <c:pt idx="20">
                  <c:v>246046.66666666666</c:v>
                </c:pt>
                <c:pt idx="21">
                  <c:v>246046.66666666666</c:v>
                </c:pt>
                <c:pt idx="22">
                  <c:v>246046.66666666666</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2-A744-4944-B241-A26229D65879}"/>
            </c:ext>
          </c:extLst>
        </c:ser>
        <c:dLbls>
          <c:showLegendKey val="0"/>
          <c:showVal val="0"/>
          <c:showCatName val="0"/>
          <c:showSerName val="0"/>
          <c:showPercent val="0"/>
          <c:showBubbleSize val="0"/>
        </c:dLbls>
        <c:marker val="1"/>
        <c:smooth val="0"/>
        <c:axId val="693501487"/>
        <c:axId val="348211263"/>
      </c:lineChart>
      <c:catAx>
        <c:axId val="693501487"/>
        <c:scaling>
          <c:orientation val="minMax"/>
        </c:scaling>
        <c:delete val="0"/>
        <c:axPos val="b"/>
        <c:numFmt formatCode="General" sourceLinked="1"/>
        <c:majorTickMark val="in"/>
        <c:minorTickMark val="none"/>
        <c:tickLblPos val="nextTo"/>
        <c:spPr>
          <a:noFill/>
          <a:ln w="9525" cap="flat" cmpd="sng" algn="ctr">
            <a:solidFill>
              <a:srgbClr val="393D3F">
                <a:alpha val="37000"/>
              </a:srgbClr>
            </a:solidFill>
            <a:round/>
          </a:ln>
          <a:effectLst/>
        </c:spPr>
        <c:txPr>
          <a:bodyPr rot="-60000000" spcFirstLastPara="1" vertOverflow="ellipsis" vert="horz" wrap="square" anchor="ctr" anchorCtr="1"/>
          <a:lstStyle/>
          <a:p>
            <a:pPr>
              <a:defRPr sz="1600" b="1" i="0" u="none" strike="noStrike" kern="1200" baseline="0">
                <a:solidFill>
                  <a:srgbClr val="282B2C"/>
                </a:solidFill>
                <a:latin typeface="+mn-lt"/>
                <a:ea typeface="+mn-ea"/>
                <a:cs typeface="+mn-cs"/>
              </a:defRPr>
            </a:pPr>
            <a:endParaRPr lang="nl-NL"/>
          </a:p>
        </c:txPr>
        <c:crossAx val="348211263"/>
        <c:crosses val="autoZero"/>
        <c:auto val="1"/>
        <c:lblAlgn val="ctr"/>
        <c:lblOffset val="100"/>
        <c:tickLblSkip val="6"/>
        <c:tickMarkSkip val="6"/>
        <c:noMultiLvlLbl val="0"/>
      </c:catAx>
      <c:valAx>
        <c:axId val="348211263"/>
        <c:scaling>
          <c:orientation val="minMax"/>
          <c:min val="0"/>
        </c:scaling>
        <c:delete val="0"/>
        <c:axPos val="l"/>
        <c:majorGridlines>
          <c:spPr>
            <a:ln w="9525" cap="flat" cmpd="sng" algn="ctr">
              <a:solidFill>
                <a:srgbClr val="393D3F">
                  <a:alpha val="37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282B2C"/>
                </a:solidFill>
                <a:latin typeface="+mn-lt"/>
                <a:ea typeface="+mn-ea"/>
                <a:cs typeface="+mn-cs"/>
              </a:defRPr>
            </a:pPr>
            <a:endParaRPr lang="nl-NL"/>
          </a:p>
        </c:txPr>
        <c:crossAx val="693501487"/>
        <c:crosses val="autoZero"/>
        <c:crossBetween val="midCat"/>
        <c:minorUnit val="2000"/>
        <c:dispUnits>
          <c:builtInUnit val="thousands"/>
        </c:dispUnits>
      </c:valAx>
      <c:spPr>
        <a:noFill/>
        <a:ln>
          <a:noFill/>
        </a:ln>
        <a:effectLst/>
      </c:spPr>
    </c:plotArea>
    <c:legend>
      <c:legendPos val="b"/>
      <c:layout>
        <c:manualLayout>
          <c:xMode val="edge"/>
          <c:yMode val="edge"/>
          <c:x val="0.69067866883400864"/>
          <c:y val="0.23232302553818587"/>
          <c:w val="0.29611565291176939"/>
          <c:h val="0.44897040045242498"/>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282B2C"/>
              </a:solidFill>
              <a:latin typeface="+mn-lt"/>
              <a:ea typeface="+mn-ea"/>
              <a:cs typeface="+mn-cs"/>
            </a:defRPr>
          </a:pPr>
          <a:endParaRPr lang="nl-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282B2C"/>
                </a:solidFill>
                <a:latin typeface="+mn-lt"/>
                <a:ea typeface="+mn-ea"/>
                <a:cs typeface="+mn-cs"/>
              </a:defRPr>
            </a:pPr>
            <a:r>
              <a:rPr lang="en-US" sz="2000" b="1">
                <a:solidFill>
                  <a:srgbClr val="282B2C"/>
                </a:solidFill>
              </a:rPr>
              <a:t>Uitgangpunten energievraag per jaar (kWh/m2 gebruiksoppervlakte)</a:t>
            </a:r>
          </a:p>
        </c:rich>
      </c:tx>
      <c:layout>
        <c:manualLayout>
          <c:xMode val="edge"/>
          <c:yMode val="edge"/>
          <c:x val="0.15692372098241786"/>
          <c:y val="2.532919926968153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rgbClr val="282B2C"/>
              </a:solidFill>
              <a:latin typeface="+mn-lt"/>
              <a:ea typeface="+mn-ea"/>
              <a:cs typeface="+mn-cs"/>
            </a:defRPr>
          </a:pPr>
          <a:endParaRPr lang="nl-NL"/>
        </a:p>
      </c:txPr>
    </c:title>
    <c:autoTitleDeleted val="0"/>
    <c:plotArea>
      <c:layout>
        <c:manualLayout>
          <c:layoutTarget val="inner"/>
          <c:xMode val="edge"/>
          <c:yMode val="edge"/>
          <c:x val="0.11281352890430749"/>
          <c:y val="0.22965366945458829"/>
          <c:w val="0.62414540673442587"/>
          <c:h val="0.6319495317217585"/>
        </c:manualLayout>
      </c:layout>
      <c:barChart>
        <c:barDir val="col"/>
        <c:grouping val="stacked"/>
        <c:varyColors val="0"/>
        <c:ser>
          <c:idx val="1"/>
          <c:order val="0"/>
          <c:tx>
            <c:v>Gebouw</c:v>
          </c:tx>
          <c:spPr>
            <a:solidFill>
              <a:srgbClr val="393D3F">
                <a:alpha val="80000"/>
              </a:srgbClr>
            </a:solidFill>
            <a:ln>
              <a:noFill/>
              <a:prstDash val="dash"/>
            </a:ln>
            <a:effectLst/>
          </c:spPr>
          <c:invertIfNegative val="0"/>
          <c:cat>
            <c:numRef>
              <c:f>Nieuwbouw!$E$36:$AK$36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Nieuwbouw!$E$41:$AK$41</c:f>
              <c:numCache>
                <c:formatCode>_ * #,##0_ ;_ * \-#,##0_ ;_ * "-"??_ ;_ @_ </c:formatCode>
                <c:ptCount val="33"/>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numCache>
            </c:numRef>
          </c:val>
          <c:extLst>
            <c:ext xmlns:c16="http://schemas.microsoft.com/office/drawing/2014/chart" uri="{C3380CC4-5D6E-409C-BE32-E72D297353CC}">
              <c16:uniqueId val="{00000004-0452-42ED-9CF0-41ADC52469A9}"/>
            </c:ext>
          </c:extLst>
        </c:ser>
        <c:ser>
          <c:idx val="0"/>
          <c:order val="1"/>
          <c:tx>
            <c:v>Proces</c:v>
          </c:tx>
          <c:spPr>
            <a:solidFill>
              <a:srgbClr val="62929E">
                <a:alpha val="80000"/>
              </a:srgbClr>
            </a:solidFill>
            <a:ln w="25400">
              <a:noFill/>
            </a:ln>
            <a:effectLst/>
          </c:spPr>
          <c:invertIfNegative val="0"/>
          <c:cat>
            <c:numRef>
              <c:f>Nieuwbouw!$E$36:$AK$36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Nieuwbouw!$E$42:$AK$42</c:f>
              <c:numCache>
                <c:formatCode>_ * #,##0_ ;_ * \-#,##0_ ;_ * "-"??_ ;_ @_ </c:formatCode>
                <c:ptCount val="33"/>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numCache>
            </c:numRef>
          </c:val>
          <c:extLst>
            <c:ext xmlns:c16="http://schemas.microsoft.com/office/drawing/2014/chart" uri="{C3380CC4-5D6E-409C-BE32-E72D297353CC}">
              <c16:uniqueId val="{00000012-5714-4BDD-BACC-E73EA61AAB29}"/>
            </c:ext>
          </c:extLst>
        </c:ser>
        <c:ser>
          <c:idx val="2"/>
          <c:order val="2"/>
          <c:tx>
            <c:v>Laadinfra</c:v>
          </c:tx>
          <c:spPr>
            <a:solidFill>
              <a:srgbClr val="C6C6B9"/>
            </a:solidFill>
            <a:ln>
              <a:noFill/>
            </a:ln>
            <a:effectLst/>
          </c:spPr>
          <c:invertIfNegative val="0"/>
          <c:cat>
            <c:numRef>
              <c:f>Nieuwbouw!$E$36:$AK$36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Nieuwbouw!$E$43:$AK$43</c:f>
              <c:numCache>
                <c:formatCode>_ * #,##0_ ;_ * \-#,##0_ ;_ * "-"??_ ;_ @_ </c:formatCode>
                <c:ptCount val="3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numCache>
            </c:numRef>
          </c:val>
          <c:extLst>
            <c:ext xmlns:c16="http://schemas.microsoft.com/office/drawing/2014/chart" uri="{C3380CC4-5D6E-409C-BE32-E72D297353CC}">
              <c16:uniqueId val="{00000002-E711-4ECF-B16C-3FC9DB5E35FA}"/>
            </c:ext>
          </c:extLst>
        </c:ser>
        <c:dLbls>
          <c:showLegendKey val="0"/>
          <c:showVal val="0"/>
          <c:showCatName val="0"/>
          <c:showSerName val="0"/>
          <c:showPercent val="0"/>
          <c:showBubbleSize val="0"/>
        </c:dLbls>
        <c:gapWidth val="0"/>
        <c:overlap val="100"/>
        <c:axId val="693501487"/>
        <c:axId val="348211263"/>
      </c:barChart>
      <c:lineChart>
        <c:grouping val="standard"/>
        <c:varyColors val="0"/>
        <c:ser>
          <c:idx val="3"/>
          <c:order val="3"/>
          <c:tx>
            <c:v>Opwek PV</c:v>
          </c:tx>
          <c:spPr>
            <a:ln w="28575" cap="rnd">
              <a:solidFill>
                <a:srgbClr val="393D3F"/>
              </a:solidFill>
              <a:prstDash val="dash"/>
              <a:round/>
            </a:ln>
            <a:effectLst/>
          </c:spPr>
          <c:marker>
            <c:symbol val="none"/>
          </c:marker>
          <c:cat>
            <c:numRef>
              <c:f>Nieuwbouw!$E$36:$AK$36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Nieuwbouw!$E$44:$AK$44</c:f>
              <c:numCache>
                <c:formatCode>_ * #,##0_ ;_ * \-#,##0_ ;_ * "-"??_ ;_ @_ </c:formatCode>
                <c:ptCount val="33"/>
                <c:pt idx="0">
                  <c:v>34</c:v>
                </c:pt>
                <c:pt idx="1">
                  <c:v>34</c:v>
                </c:pt>
                <c:pt idx="2">
                  <c:v>34</c:v>
                </c:pt>
                <c:pt idx="3">
                  <c:v>34</c:v>
                </c:pt>
                <c:pt idx="4">
                  <c:v>34</c:v>
                </c:pt>
                <c:pt idx="5">
                  <c:v>34</c:v>
                </c:pt>
                <c:pt idx="6">
                  <c:v>34</c:v>
                </c:pt>
                <c:pt idx="7">
                  <c:v>34</c:v>
                </c:pt>
                <c:pt idx="8">
                  <c:v>34</c:v>
                </c:pt>
                <c:pt idx="9">
                  <c:v>34</c:v>
                </c:pt>
                <c:pt idx="10">
                  <c:v>34</c:v>
                </c:pt>
                <c:pt idx="11">
                  <c:v>34</c:v>
                </c:pt>
                <c:pt idx="12">
                  <c:v>34</c:v>
                </c:pt>
                <c:pt idx="13">
                  <c:v>34</c:v>
                </c:pt>
                <c:pt idx="14">
                  <c:v>34</c:v>
                </c:pt>
                <c:pt idx="15">
                  <c:v>34</c:v>
                </c:pt>
                <c:pt idx="16">
                  <c:v>34</c:v>
                </c:pt>
                <c:pt idx="17">
                  <c:v>34</c:v>
                </c:pt>
                <c:pt idx="18">
                  <c:v>34</c:v>
                </c:pt>
                <c:pt idx="19">
                  <c:v>34</c:v>
                </c:pt>
                <c:pt idx="20">
                  <c:v>34</c:v>
                </c:pt>
                <c:pt idx="21">
                  <c:v>34</c:v>
                </c:pt>
                <c:pt idx="22">
                  <c:v>34</c:v>
                </c:pt>
                <c:pt idx="23">
                  <c:v>34</c:v>
                </c:pt>
                <c:pt idx="24">
                  <c:v>34</c:v>
                </c:pt>
                <c:pt idx="25">
                  <c:v>34</c:v>
                </c:pt>
                <c:pt idx="26">
                  <c:v>34</c:v>
                </c:pt>
                <c:pt idx="27">
                  <c:v>34</c:v>
                </c:pt>
                <c:pt idx="28">
                  <c:v>34</c:v>
                </c:pt>
                <c:pt idx="29">
                  <c:v>34</c:v>
                </c:pt>
                <c:pt idx="30">
                  <c:v>34</c:v>
                </c:pt>
                <c:pt idx="31">
                  <c:v>34</c:v>
                </c:pt>
                <c:pt idx="32">
                  <c:v>34</c:v>
                </c:pt>
              </c:numCache>
            </c:numRef>
          </c:val>
          <c:smooth val="0"/>
          <c:extLst>
            <c:ext xmlns:c16="http://schemas.microsoft.com/office/drawing/2014/chart" uri="{C3380CC4-5D6E-409C-BE32-E72D297353CC}">
              <c16:uniqueId val="{00000003-E711-4ECF-B16C-3FC9DB5E35FA}"/>
            </c:ext>
          </c:extLst>
        </c:ser>
        <c:dLbls>
          <c:showLegendKey val="0"/>
          <c:showVal val="0"/>
          <c:showCatName val="0"/>
          <c:showSerName val="0"/>
          <c:showPercent val="0"/>
          <c:showBubbleSize val="0"/>
        </c:dLbls>
        <c:marker val="1"/>
        <c:smooth val="0"/>
        <c:axId val="693501487"/>
        <c:axId val="348211263"/>
      </c:lineChart>
      <c:catAx>
        <c:axId val="693501487"/>
        <c:scaling>
          <c:orientation val="minMax"/>
        </c:scaling>
        <c:delete val="0"/>
        <c:axPos val="b"/>
        <c:numFmt formatCode="General" sourceLinked="1"/>
        <c:majorTickMark val="in"/>
        <c:minorTickMark val="none"/>
        <c:tickLblPos val="nextTo"/>
        <c:spPr>
          <a:solidFill>
            <a:srgbClr val="FDFDFF"/>
          </a:solidFill>
          <a:ln w="9525" cap="flat" cmpd="sng" algn="ctr">
            <a:solidFill>
              <a:srgbClr val="FDFDFF">
                <a:alpha val="37000"/>
              </a:srgbClr>
            </a:solidFill>
            <a:round/>
          </a:ln>
          <a:effectLst/>
        </c:spPr>
        <c:txPr>
          <a:bodyPr rot="-60000000" spcFirstLastPara="1" vertOverflow="ellipsis" vert="horz" wrap="square" anchor="ctr" anchorCtr="1"/>
          <a:lstStyle/>
          <a:p>
            <a:pPr>
              <a:defRPr sz="1600" b="1" i="0" u="none" strike="noStrike" kern="1200" baseline="0">
                <a:solidFill>
                  <a:srgbClr val="282B2C"/>
                </a:solidFill>
                <a:latin typeface="+mn-lt"/>
                <a:ea typeface="+mn-ea"/>
                <a:cs typeface="+mn-cs"/>
              </a:defRPr>
            </a:pPr>
            <a:endParaRPr lang="nl-NL"/>
          </a:p>
        </c:txPr>
        <c:crossAx val="348211263"/>
        <c:crosses val="autoZero"/>
        <c:auto val="1"/>
        <c:lblAlgn val="ctr"/>
        <c:lblOffset val="100"/>
        <c:tickLblSkip val="6"/>
        <c:tickMarkSkip val="6"/>
        <c:noMultiLvlLbl val="0"/>
      </c:catAx>
      <c:valAx>
        <c:axId val="348211263"/>
        <c:scaling>
          <c:orientation val="minMax"/>
          <c:min val="0"/>
        </c:scaling>
        <c:delete val="0"/>
        <c:axPos val="l"/>
        <c:majorGridlines>
          <c:spPr>
            <a:ln w="9525" cap="flat" cmpd="sng" algn="ctr">
              <a:solidFill>
                <a:srgbClr val="393D3F">
                  <a:alpha val="37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rgbClr val="282B2C"/>
                </a:solidFill>
                <a:latin typeface="+mn-lt"/>
                <a:ea typeface="+mn-ea"/>
                <a:cs typeface="+mn-cs"/>
              </a:defRPr>
            </a:pPr>
            <a:endParaRPr lang="nl-NL"/>
          </a:p>
        </c:txPr>
        <c:crossAx val="693501487"/>
        <c:crosses val="autoZero"/>
        <c:crossBetween val="midCat"/>
      </c:valAx>
      <c:spPr>
        <a:noFill/>
        <a:ln>
          <a:noFill/>
        </a:ln>
        <a:effectLst/>
      </c:spPr>
    </c:plotArea>
    <c:legend>
      <c:legendPos val="b"/>
      <c:layout>
        <c:manualLayout>
          <c:xMode val="edge"/>
          <c:yMode val="edge"/>
          <c:x val="0.78907774411674936"/>
          <c:y val="0.20026467624014396"/>
          <c:w val="0.20585809247853989"/>
          <c:h val="0.5078925940124183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282B2C"/>
              </a:solidFill>
              <a:latin typeface="+mn-lt"/>
              <a:ea typeface="+mn-ea"/>
              <a:cs typeface="+mn-cs"/>
            </a:defRPr>
          </a:pPr>
          <a:endParaRPr lang="nl-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DFDFF"/>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Locatie1!$U$253:$GZ$253</c:f>
              <c:numCache>
                <c:formatCode>#,##0</c:formatCode>
                <c:ptCount val="33"/>
                <c:pt idx="0">
                  <c:v>88.765051999999997</c:v>
                </c:pt>
                <c:pt idx="1">
                  <c:v>88.765051999999997</c:v>
                </c:pt>
                <c:pt idx="2">
                  <c:v>88.765051999999997</c:v>
                </c:pt>
                <c:pt idx="3">
                  <c:v>88.765051999999997</c:v>
                </c:pt>
                <c:pt idx="4">
                  <c:v>88.765051999999997</c:v>
                </c:pt>
                <c:pt idx="5">
                  <c:v>79.952023023055858</c:v>
                </c:pt>
                <c:pt idx="6">
                  <c:v>67.666855805509456</c:v>
                </c:pt>
                <c:pt idx="7">
                  <c:v>39.202549240470638</c:v>
                </c:pt>
                <c:pt idx="8">
                  <c:v>35.853730985431824</c:v>
                </c:pt>
                <c:pt idx="9">
                  <c:v>33.151037597611285</c:v>
                </c:pt>
                <c:pt idx="10">
                  <c:v>33.151037597611285</c:v>
                </c:pt>
                <c:pt idx="11">
                  <c:v>33.151037597611285</c:v>
                </c:pt>
                <c:pt idx="12">
                  <c:v>33.151037597611285</c:v>
                </c:pt>
                <c:pt idx="13">
                  <c:v>33.151037597611285</c:v>
                </c:pt>
                <c:pt idx="14">
                  <c:v>33.151037597611285</c:v>
                </c:pt>
                <c:pt idx="15">
                  <c:v>33.151037597611285</c:v>
                </c:pt>
                <c:pt idx="16">
                  <c:v>33.151037597611285</c:v>
                </c:pt>
                <c:pt idx="17">
                  <c:v>33.151037597611285</c:v>
                </c:pt>
                <c:pt idx="18">
                  <c:v>33.151037597611285</c:v>
                </c:pt>
                <c:pt idx="19">
                  <c:v>33.151037597611285</c:v>
                </c:pt>
                <c:pt idx="20">
                  <c:v>33.151037597611285</c:v>
                </c:pt>
                <c:pt idx="21">
                  <c:v>33.151037597611285</c:v>
                </c:pt>
                <c:pt idx="22">
                  <c:v>33.151037597611285</c:v>
                </c:pt>
                <c:pt idx="23">
                  <c:v>33.151037597611285</c:v>
                </c:pt>
                <c:pt idx="24">
                  <c:v>33.151037597611285</c:v>
                </c:pt>
                <c:pt idx="25">
                  <c:v>33.151037597611285</c:v>
                </c:pt>
                <c:pt idx="26">
                  <c:v>33.151037597611285</c:v>
                </c:pt>
                <c:pt idx="27">
                  <c:v>33.151037597611285</c:v>
                </c:pt>
                <c:pt idx="28">
                  <c:v>33.151037597611285</c:v>
                </c:pt>
                <c:pt idx="29">
                  <c:v>33.151037597611285</c:v>
                </c:pt>
                <c:pt idx="30">
                  <c:v>33.151037597611285</c:v>
                </c:pt>
                <c:pt idx="31">
                  <c:v>33.151037597611285</c:v>
                </c:pt>
                <c:pt idx="32">
                  <c:v>33.151037597611285</c:v>
                </c:pt>
              </c:numCache>
            </c:numRef>
          </c:val>
          <c:extLst>
            <c:ext xmlns:c16="http://schemas.microsoft.com/office/drawing/2014/chart" uri="{C3380CC4-5D6E-409C-BE32-E72D297353CC}">
              <c16:uniqueId val="{00000000-4DDE-4162-870F-A2C8CFABA214}"/>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4886773862736E-2"/>
          <c:y val="0.16095130950594697"/>
          <c:w val="0.82914331376537165"/>
          <c:h val="0.57876537294876196"/>
        </c:manualLayout>
      </c:layout>
      <c:barChart>
        <c:barDir val="col"/>
        <c:grouping val="clustered"/>
        <c:varyColors val="0"/>
        <c:ser>
          <c:idx val="1"/>
          <c:order val="0"/>
          <c:tx>
            <c:v>Energie verbruik</c:v>
          </c:tx>
          <c:spPr>
            <a:solidFill>
              <a:srgbClr val="C6C6B9">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Cijfers!$H$44:$AN$44</c:f>
              <c:numCache>
                <c:formatCode>_ * #,##0_ ;_ * \-#,##0_ ;_ * "-"??_ ;_ @_ </c:formatCode>
                <c:ptCount val="33"/>
                <c:pt idx="0">
                  <c:v>152.25626655711494</c:v>
                </c:pt>
                <c:pt idx="1">
                  <c:v>152.25985155245408</c:v>
                </c:pt>
                <c:pt idx="2">
                  <c:v>152.25985155245408</c:v>
                </c:pt>
                <c:pt idx="3">
                  <c:v>152.25985155245408</c:v>
                </c:pt>
                <c:pt idx="4">
                  <c:v>152.25985155245408</c:v>
                </c:pt>
                <c:pt idx="5">
                  <c:v>93.994871254607133</c:v>
                </c:pt>
                <c:pt idx="6">
                  <c:v>87.01883528768181</c:v>
                </c:pt>
                <c:pt idx="7">
                  <c:v>82.199411721464486</c:v>
                </c:pt>
                <c:pt idx="8">
                  <c:v>79.4303832042783</c:v>
                </c:pt>
                <c:pt idx="9">
                  <c:v>81.991878122898513</c:v>
                </c:pt>
                <c:pt idx="10">
                  <c:v>80.818044757132583</c:v>
                </c:pt>
                <c:pt idx="11">
                  <c:v>79.64218847070471</c:v>
                </c:pt>
                <c:pt idx="12">
                  <c:v>78.466332184276837</c:v>
                </c:pt>
                <c:pt idx="13">
                  <c:v>77.290475897848964</c:v>
                </c:pt>
                <c:pt idx="14">
                  <c:v>70.030729733624526</c:v>
                </c:pt>
                <c:pt idx="15">
                  <c:v>70.030729733624526</c:v>
                </c:pt>
                <c:pt idx="16">
                  <c:v>70.030729733624526</c:v>
                </c:pt>
                <c:pt idx="17">
                  <c:v>70.030729733624526</c:v>
                </c:pt>
                <c:pt idx="18">
                  <c:v>66.503154375838875</c:v>
                </c:pt>
                <c:pt idx="19">
                  <c:v>66.503154375838875</c:v>
                </c:pt>
                <c:pt idx="20">
                  <c:v>66.503154375838875</c:v>
                </c:pt>
                <c:pt idx="21">
                  <c:v>66.503154375838875</c:v>
                </c:pt>
                <c:pt idx="22">
                  <c:v>54.975923107086743</c:v>
                </c:pt>
                <c:pt idx="23">
                  <c:v>54.975923107086743</c:v>
                </c:pt>
                <c:pt idx="24">
                  <c:v>54.975923107086743</c:v>
                </c:pt>
                <c:pt idx="25">
                  <c:v>54.975923107086743</c:v>
                </c:pt>
                <c:pt idx="26">
                  <c:v>54.975923107086743</c:v>
                </c:pt>
                <c:pt idx="27">
                  <c:v>54.975923107086743</c:v>
                </c:pt>
                <c:pt idx="28">
                  <c:v>54.975923107086743</c:v>
                </c:pt>
                <c:pt idx="29">
                  <c:v>54.975923107086743</c:v>
                </c:pt>
                <c:pt idx="30">
                  <c:v>54.975923107086743</c:v>
                </c:pt>
                <c:pt idx="31">
                  <c:v>54.975923107086743</c:v>
                </c:pt>
                <c:pt idx="32">
                  <c:v>54.975923107086743</c:v>
                </c:pt>
              </c:numCache>
            </c:numRef>
          </c:val>
          <c:extLst>
            <c:ext xmlns:c16="http://schemas.microsoft.com/office/drawing/2014/chart" uri="{C3380CC4-5D6E-409C-BE32-E72D297353CC}">
              <c16:uniqueId val="{00000001-B80F-4BB8-A01E-1C43185597B4}"/>
            </c:ext>
          </c:extLst>
        </c:ser>
        <c:ser>
          <c:idx val="3"/>
          <c:order val="1"/>
          <c:tx>
            <c:v>Energie inkoop = WEii</c:v>
          </c:tx>
          <c:spPr>
            <a:solidFill>
              <a:srgbClr val="393D3F">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Cijfers!$H$36:$AN$36</c:f>
              <c:numCache>
                <c:formatCode>_ * #,##0_ ;_ * \-#,##0_ ;_ * "-"??_ ;_ @_ </c:formatCode>
                <c:ptCount val="33"/>
                <c:pt idx="0">
                  <c:v>152.25626655711494</c:v>
                </c:pt>
                <c:pt idx="1">
                  <c:v>152.25985155245408</c:v>
                </c:pt>
                <c:pt idx="2">
                  <c:v>152.25985155245408</c:v>
                </c:pt>
                <c:pt idx="3">
                  <c:v>152.25985155245408</c:v>
                </c:pt>
                <c:pt idx="4">
                  <c:v>152.25985155245408</c:v>
                </c:pt>
                <c:pt idx="5">
                  <c:v>76.338054605196092</c:v>
                </c:pt>
                <c:pt idx="6">
                  <c:v>69.362018638270769</c:v>
                </c:pt>
                <c:pt idx="7">
                  <c:v>59.277803972642587</c:v>
                </c:pt>
                <c:pt idx="8">
                  <c:v>56.508775455456416</c:v>
                </c:pt>
                <c:pt idx="9">
                  <c:v>54.322658580464349</c:v>
                </c:pt>
                <c:pt idx="10">
                  <c:v>53.148825214698412</c:v>
                </c:pt>
                <c:pt idx="11">
                  <c:v>51.972968928270525</c:v>
                </c:pt>
                <c:pt idx="12">
                  <c:v>50.797112641842652</c:v>
                </c:pt>
                <c:pt idx="13">
                  <c:v>49.621256355414779</c:v>
                </c:pt>
                <c:pt idx="14">
                  <c:v>39.244990282085539</c:v>
                </c:pt>
                <c:pt idx="15">
                  <c:v>39.244990282085539</c:v>
                </c:pt>
                <c:pt idx="16">
                  <c:v>39.244990282085539</c:v>
                </c:pt>
                <c:pt idx="17">
                  <c:v>39.244990282085539</c:v>
                </c:pt>
                <c:pt idx="18">
                  <c:v>35.717414924299888</c:v>
                </c:pt>
                <c:pt idx="19">
                  <c:v>35.717414924299888</c:v>
                </c:pt>
                <c:pt idx="20">
                  <c:v>35.717414924299888</c:v>
                </c:pt>
                <c:pt idx="21">
                  <c:v>35.717414924299888</c:v>
                </c:pt>
                <c:pt idx="22">
                  <c:v>25.614596129843026</c:v>
                </c:pt>
                <c:pt idx="23">
                  <c:v>25.614596129843026</c:v>
                </c:pt>
                <c:pt idx="24">
                  <c:v>25.614596129843026</c:v>
                </c:pt>
                <c:pt idx="25">
                  <c:v>25.614596129843026</c:v>
                </c:pt>
                <c:pt idx="26">
                  <c:v>25.614596129843026</c:v>
                </c:pt>
                <c:pt idx="27">
                  <c:v>25.614596129843026</c:v>
                </c:pt>
                <c:pt idx="28">
                  <c:v>25.614596129843026</c:v>
                </c:pt>
                <c:pt idx="29">
                  <c:v>25.614596129843026</c:v>
                </c:pt>
                <c:pt idx="30">
                  <c:v>25.614596129843026</c:v>
                </c:pt>
                <c:pt idx="31">
                  <c:v>25.614596129843026</c:v>
                </c:pt>
                <c:pt idx="32">
                  <c:v>25.614596129843026</c:v>
                </c:pt>
              </c:numCache>
            </c:numRef>
          </c:val>
          <c:extLst>
            <c:ext xmlns:c16="http://schemas.microsoft.com/office/drawing/2014/chart" uri="{C3380CC4-5D6E-409C-BE32-E72D297353CC}">
              <c16:uniqueId val="{00000000-B80F-4BB8-A01E-1C43185597B4}"/>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lgn="l">
                  <a:defRPr sz="1400" b="1" i="0" u="none" strike="noStrike" kern="1200" baseline="0">
                    <a:solidFill>
                      <a:schemeClr val="tx1">
                        <a:lumMod val="65000"/>
                        <a:lumOff val="35000"/>
                      </a:schemeClr>
                    </a:solidFill>
                    <a:latin typeface="+mn-lt"/>
                    <a:ea typeface="+mn-ea"/>
                    <a:cs typeface="+mn-cs"/>
                  </a:defRPr>
                </a:pPr>
                <a:r>
                  <a:rPr lang="nl-NL" sz="1400" b="1"/>
                  <a:t>kWh/m2</a:t>
                </a:r>
              </a:p>
            </c:rich>
          </c:tx>
          <c:layout>
            <c:manualLayout>
              <c:xMode val="edge"/>
              <c:yMode val="edge"/>
              <c:x val="1.4439464952281076E-2"/>
              <c:y val="2.3088106720725952E-2"/>
            </c:manualLayout>
          </c:layout>
          <c:overlay val="0"/>
          <c:spPr>
            <a:noFill/>
            <a:ln>
              <a:noFill/>
            </a:ln>
            <a:effectLst/>
          </c:spPr>
          <c:txPr>
            <a:bodyPr rot="0" spcFirstLastPara="1" vertOverflow="ellipsis" wrap="square" anchor="ctr" anchorCtr="1"/>
            <a:lstStyle/>
            <a:p>
              <a:pPr algn="l">
                <a:defRPr sz="14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r"/>
      <c:layout>
        <c:manualLayout>
          <c:xMode val="edge"/>
          <c:yMode val="edge"/>
          <c:x val="0.2441109929138684"/>
          <c:y val="1.062811078633466E-2"/>
          <c:w val="0.49067485817169548"/>
          <c:h val="0.1254594470557501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Locatie1!$AN$219:$DN$219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Locatie1!$AN$224:$DN$224</c:f>
              <c:numCache>
                <c:formatCode>_ [$€-413]\ * #,##0_ ;_ [$€-413]\ * \-#,##0_ ;_ [$€-413]\ * "-"??_ ;_ @_ </c:formatCode>
                <c:ptCount val="14"/>
                <c:pt idx="0">
                  <c:v>0</c:v>
                </c:pt>
                <c:pt idx="1">
                  <c:v>40131.212000000007</c:v>
                </c:pt>
                <c:pt idx="2">
                  <c:v>122718.63600000003</c:v>
                </c:pt>
                <c:pt idx="3">
                  <c:v>207447.43000000002</c:v>
                </c:pt>
                <c:pt idx="4">
                  <c:v>239910.93400000001</c:v>
                </c:pt>
                <c:pt idx="5">
                  <c:v>269328.93400000001</c:v>
                </c:pt>
                <c:pt idx="6">
                  <c:v>269328.93400000001</c:v>
                </c:pt>
                <c:pt idx="7">
                  <c:v>269328.93400000001</c:v>
                </c:pt>
                <c:pt idx="8">
                  <c:v>269328.93400000001</c:v>
                </c:pt>
                <c:pt idx="9">
                  <c:v>269328.93400000001</c:v>
                </c:pt>
                <c:pt idx="10">
                  <c:v>269328.93400000001</c:v>
                </c:pt>
                <c:pt idx="11">
                  <c:v>269328.93400000001</c:v>
                </c:pt>
                <c:pt idx="12">
                  <c:v>269328.93400000001</c:v>
                </c:pt>
                <c:pt idx="13">
                  <c:v>269328.93400000001</c:v>
                </c:pt>
              </c:numCache>
            </c:numRef>
          </c:val>
          <c:smooth val="0"/>
          <c:extLst>
            <c:ext xmlns:c16="http://schemas.microsoft.com/office/drawing/2014/chart" uri="{C3380CC4-5D6E-409C-BE32-E72D297353CC}">
              <c16:uniqueId val="{00000000-9D64-4460-A572-71BBC3334808}"/>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9D64-4460-A572-71BBC3334808}"/>
            </c:ext>
          </c:extLst>
        </c:ser>
        <c:ser>
          <c:idx val="0"/>
          <c:order val="2"/>
          <c:tx>
            <c:v>Besparingen</c:v>
          </c:tx>
          <c:spPr>
            <a:ln w="38100" cap="rnd">
              <a:solidFill>
                <a:srgbClr val="8CB369"/>
              </a:solidFill>
              <a:round/>
            </a:ln>
            <a:effectLst/>
          </c:spPr>
          <c:marker>
            <c:symbol val="none"/>
          </c:marker>
          <c:cat>
            <c:numRef>
              <c:f>Locatie1!$AN$219:$DN$219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Locatie1!$AN$226:$DN$226</c:f>
              <c:numCache>
                <c:formatCode>_ [$€-413]\ * #,##0_ ;_ [$€-413]\ * \-#,##0_ ;_ [$€-413]\ * "-"??_ ;_ @_ </c:formatCode>
                <c:ptCount val="14"/>
                <c:pt idx="0" formatCode="#,##0">
                  <c:v>0</c:v>
                </c:pt>
                <c:pt idx="1">
                  <c:v>5536.5762186688589</c:v>
                </c:pt>
                <c:pt idx="2">
                  <c:v>19433.03565677708</c:v>
                </c:pt>
                <c:pt idx="3">
                  <c:v>49967.47873301123</c:v>
                </c:pt>
                <c:pt idx="4">
                  <c:v>84002.589297371305</c:v>
                </c:pt>
                <c:pt idx="5">
                  <c:v>120829.98497617959</c:v>
                </c:pt>
                <c:pt idx="6">
                  <c:v>157657.38065498788</c:v>
                </c:pt>
                <c:pt idx="7">
                  <c:v>194484.77633379615</c:v>
                </c:pt>
                <c:pt idx="8">
                  <c:v>231312.17201260442</c:v>
                </c:pt>
                <c:pt idx="9">
                  <c:v>268139.5676914127</c:v>
                </c:pt>
                <c:pt idx="10">
                  <c:v>304966.96337022097</c:v>
                </c:pt>
                <c:pt idx="11">
                  <c:v>341794.35904902924</c:v>
                </c:pt>
                <c:pt idx="12">
                  <c:v>378621.75472783751</c:v>
                </c:pt>
                <c:pt idx="13">
                  <c:v>415449.15040664579</c:v>
                </c:pt>
              </c:numCache>
            </c:numRef>
          </c:val>
          <c:smooth val="0"/>
          <c:extLst>
            <c:ext xmlns:c16="http://schemas.microsoft.com/office/drawing/2014/chart" uri="{C3380CC4-5D6E-409C-BE32-E72D297353CC}">
              <c16:uniqueId val="{00000002-9D64-4460-A572-71BBC3334808}"/>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Locatie1!$U$232:$GZ$232</c:f>
              <c:numCache>
                <c:formatCode>#,##0</c:formatCode>
                <c:ptCount val="33"/>
                <c:pt idx="0">
                  <c:v>26973</c:v>
                </c:pt>
                <c:pt idx="1">
                  <c:v>26973</c:v>
                </c:pt>
                <c:pt idx="2">
                  <c:v>26973</c:v>
                </c:pt>
                <c:pt idx="3">
                  <c:v>26973</c:v>
                </c:pt>
                <c:pt idx="4">
                  <c:v>26973</c:v>
                </c:pt>
                <c:pt idx="5">
                  <c:v>23709.267</c:v>
                </c:pt>
                <c:pt idx="6">
                  <c:v>17491.9905</c:v>
                </c:pt>
                <c:pt idx="7">
                  <c:v>10182.307500000001</c:v>
                </c:pt>
                <c:pt idx="8">
                  <c:v>5313.6810000000014</c:v>
                </c:pt>
                <c:pt idx="9">
                  <c:v>1470.0285000000017</c:v>
                </c:pt>
                <c:pt idx="10">
                  <c:v>1470.0285000000017</c:v>
                </c:pt>
                <c:pt idx="11">
                  <c:v>1470.0285000000017</c:v>
                </c:pt>
                <c:pt idx="12">
                  <c:v>1470.0285000000017</c:v>
                </c:pt>
                <c:pt idx="13">
                  <c:v>1470.0285000000017</c:v>
                </c:pt>
                <c:pt idx="14">
                  <c:v>1470.0285000000017</c:v>
                </c:pt>
                <c:pt idx="15">
                  <c:v>1470.0285000000017</c:v>
                </c:pt>
                <c:pt idx="16">
                  <c:v>1470.0285000000017</c:v>
                </c:pt>
                <c:pt idx="17">
                  <c:v>1470.0285000000017</c:v>
                </c:pt>
                <c:pt idx="18">
                  <c:v>1470.0285000000017</c:v>
                </c:pt>
                <c:pt idx="19">
                  <c:v>1470.0285000000017</c:v>
                </c:pt>
                <c:pt idx="20">
                  <c:v>1470.0285000000017</c:v>
                </c:pt>
                <c:pt idx="21">
                  <c:v>1470.0285000000017</c:v>
                </c:pt>
                <c:pt idx="22">
                  <c:v>1470.0285000000017</c:v>
                </c:pt>
                <c:pt idx="23">
                  <c:v>1470.0285000000017</c:v>
                </c:pt>
                <c:pt idx="24">
                  <c:v>1470.0285000000017</c:v>
                </c:pt>
                <c:pt idx="25">
                  <c:v>1470.0285000000017</c:v>
                </c:pt>
                <c:pt idx="26">
                  <c:v>1470.0285000000017</c:v>
                </c:pt>
                <c:pt idx="27">
                  <c:v>1470.0285000000017</c:v>
                </c:pt>
                <c:pt idx="28">
                  <c:v>1470.0285000000017</c:v>
                </c:pt>
                <c:pt idx="29">
                  <c:v>1470.0285000000017</c:v>
                </c:pt>
                <c:pt idx="30">
                  <c:v>1470.0285000000017</c:v>
                </c:pt>
                <c:pt idx="31">
                  <c:v>1470.0285000000017</c:v>
                </c:pt>
                <c:pt idx="32">
                  <c:v>1470.0285000000017</c:v>
                </c:pt>
              </c:numCache>
            </c:numRef>
          </c:val>
          <c:extLst>
            <c:ext xmlns:c16="http://schemas.microsoft.com/office/drawing/2014/chart" uri="{C3380CC4-5D6E-409C-BE32-E72D297353CC}">
              <c16:uniqueId val="{00000000-C7A5-4FF5-A8BC-DF5BEC2AF7E9}"/>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Locatie1!$U$229:$GZ$229</c:f>
              <c:numCache>
                <c:formatCode>#,##0</c:formatCode>
                <c:ptCount val="33"/>
                <c:pt idx="0">
                  <c:v>61934</c:v>
                </c:pt>
                <c:pt idx="1">
                  <c:v>61934</c:v>
                </c:pt>
                <c:pt idx="2">
                  <c:v>61934</c:v>
                </c:pt>
                <c:pt idx="3">
                  <c:v>61934</c:v>
                </c:pt>
                <c:pt idx="4">
                  <c:v>61934</c:v>
                </c:pt>
                <c:pt idx="5">
                  <c:v>58125.535359571426</c:v>
                </c:pt>
                <c:pt idx="6">
                  <c:v>59481.062448392855</c:v>
                </c:pt>
                <c:pt idx="7">
                  <c:v>34266.781195928561</c:v>
                </c:pt>
                <c:pt idx="8">
                  <c:v>47319.574943464278</c:v>
                </c:pt>
                <c:pt idx="9">
                  <c:v>57511.812681857133</c:v>
                </c:pt>
                <c:pt idx="10">
                  <c:v>57511.812681857133</c:v>
                </c:pt>
                <c:pt idx="11">
                  <c:v>57511.812681857133</c:v>
                </c:pt>
                <c:pt idx="12">
                  <c:v>57511.812681857133</c:v>
                </c:pt>
                <c:pt idx="13">
                  <c:v>57511.812681857133</c:v>
                </c:pt>
                <c:pt idx="14">
                  <c:v>57511.812681857133</c:v>
                </c:pt>
                <c:pt idx="15">
                  <c:v>57511.812681857133</c:v>
                </c:pt>
                <c:pt idx="16">
                  <c:v>57511.812681857133</c:v>
                </c:pt>
                <c:pt idx="17">
                  <c:v>57511.812681857133</c:v>
                </c:pt>
                <c:pt idx="18">
                  <c:v>57511.812681857133</c:v>
                </c:pt>
                <c:pt idx="19">
                  <c:v>57511.812681857133</c:v>
                </c:pt>
                <c:pt idx="20">
                  <c:v>57511.812681857133</c:v>
                </c:pt>
                <c:pt idx="21">
                  <c:v>57511.812681857133</c:v>
                </c:pt>
                <c:pt idx="22">
                  <c:v>57511.812681857133</c:v>
                </c:pt>
                <c:pt idx="23">
                  <c:v>57511.812681857133</c:v>
                </c:pt>
                <c:pt idx="24">
                  <c:v>57511.812681857133</c:v>
                </c:pt>
                <c:pt idx="25">
                  <c:v>57511.812681857133</c:v>
                </c:pt>
                <c:pt idx="26">
                  <c:v>57511.812681857133</c:v>
                </c:pt>
                <c:pt idx="27">
                  <c:v>57511.812681857133</c:v>
                </c:pt>
                <c:pt idx="28">
                  <c:v>57511.812681857133</c:v>
                </c:pt>
                <c:pt idx="29">
                  <c:v>57511.812681857133</c:v>
                </c:pt>
                <c:pt idx="30">
                  <c:v>57511.812681857133</c:v>
                </c:pt>
                <c:pt idx="31">
                  <c:v>57511.812681857133</c:v>
                </c:pt>
                <c:pt idx="32">
                  <c:v>57511.812681857133</c:v>
                </c:pt>
              </c:numCache>
            </c:numRef>
          </c:val>
          <c:extLst>
            <c:ext xmlns:c16="http://schemas.microsoft.com/office/drawing/2014/chart" uri="{C3380CC4-5D6E-409C-BE32-E72D297353CC}">
              <c16:uniqueId val="{00000000-8461-4747-88A0-7BE636863599}"/>
            </c:ext>
          </c:extLst>
        </c:ser>
        <c:ser>
          <c:idx val="3"/>
          <c:order val="1"/>
          <c:tx>
            <c:v>Opwek met PV</c:v>
          </c:tx>
          <c:spPr>
            <a:solidFill>
              <a:srgbClr val="8CB369">
                <a:alpha val="76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Locatie1!$U$240:$GZ$240</c:f>
              <c:numCache>
                <c:formatCode>#,##0</c:formatCode>
                <c:ptCount val="33"/>
                <c:pt idx="0">
                  <c:v>0</c:v>
                </c:pt>
                <c:pt idx="1">
                  <c:v>0</c:v>
                </c:pt>
                <c:pt idx="2">
                  <c:v>0</c:v>
                </c:pt>
                <c:pt idx="3">
                  <c:v>0</c:v>
                </c:pt>
                <c:pt idx="4">
                  <c:v>0</c:v>
                </c:pt>
                <c:pt idx="5">
                  <c:v>0</c:v>
                </c:pt>
                <c:pt idx="6">
                  <c:v>0</c:v>
                </c:pt>
                <c:pt idx="7">
                  <c:v>38267.075000000004</c:v>
                </c:pt>
                <c:pt idx="8">
                  <c:v>38267.075000000004</c:v>
                </c:pt>
                <c:pt idx="9">
                  <c:v>38267.075000000004</c:v>
                </c:pt>
                <c:pt idx="10">
                  <c:v>38267.075000000004</c:v>
                </c:pt>
                <c:pt idx="11">
                  <c:v>38267.075000000004</c:v>
                </c:pt>
                <c:pt idx="12">
                  <c:v>38267.075000000004</c:v>
                </c:pt>
                <c:pt idx="13">
                  <c:v>38267.075000000004</c:v>
                </c:pt>
                <c:pt idx="14">
                  <c:v>38267.075000000004</c:v>
                </c:pt>
                <c:pt idx="15">
                  <c:v>38267.075000000004</c:v>
                </c:pt>
                <c:pt idx="16">
                  <c:v>38267.075000000004</c:v>
                </c:pt>
                <c:pt idx="17">
                  <c:v>38267.075000000004</c:v>
                </c:pt>
                <c:pt idx="18">
                  <c:v>38267.075000000004</c:v>
                </c:pt>
                <c:pt idx="19">
                  <c:v>38267.075000000004</c:v>
                </c:pt>
                <c:pt idx="20">
                  <c:v>38267.075000000004</c:v>
                </c:pt>
                <c:pt idx="21">
                  <c:v>38267.075000000004</c:v>
                </c:pt>
                <c:pt idx="22">
                  <c:v>38267.075000000004</c:v>
                </c:pt>
                <c:pt idx="23">
                  <c:v>38267.075000000004</c:v>
                </c:pt>
                <c:pt idx="24">
                  <c:v>38267.075000000004</c:v>
                </c:pt>
                <c:pt idx="25">
                  <c:v>38267.075000000004</c:v>
                </c:pt>
                <c:pt idx="26">
                  <c:v>38267.075000000004</c:v>
                </c:pt>
                <c:pt idx="27">
                  <c:v>38267.075000000004</c:v>
                </c:pt>
                <c:pt idx="28">
                  <c:v>38267.075000000004</c:v>
                </c:pt>
                <c:pt idx="29">
                  <c:v>38267.075000000004</c:v>
                </c:pt>
                <c:pt idx="30">
                  <c:v>38267.075000000004</c:v>
                </c:pt>
                <c:pt idx="31">
                  <c:v>38267.075000000004</c:v>
                </c:pt>
                <c:pt idx="32">
                  <c:v>38267.075000000004</c:v>
                </c:pt>
              </c:numCache>
            </c:numRef>
          </c:val>
          <c:extLst>
            <c:ext xmlns:c16="http://schemas.microsoft.com/office/drawing/2014/chart" uri="{C3380CC4-5D6E-409C-BE32-E72D297353CC}">
              <c16:uniqueId val="{00000001-8461-4747-88A0-7BE636863599}"/>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Locatie1!$U$235:$GZ$235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6B89-4149-A9DE-AA8F5D2B2BCD}"/>
            </c:ext>
          </c:extLst>
        </c:ser>
        <c:ser>
          <c:idx val="4"/>
          <c:order val="1"/>
          <c:tx>
            <c:v>Duurzame warmte</c:v>
          </c:tx>
          <c:spPr>
            <a:solidFill>
              <a:srgbClr val="8CB369">
                <a:alpha val="75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Locatie1!$U$242:$GZ$242</c:f>
              <c:numCache>
                <c:formatCode>#,##0</c:formatCode>
                <c:ptCount val="33"/>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6B89-4149-A9DE-AA8F5D2B2BCD}"/>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Locatie1!$U$245:$GZ$245</c:f>
              <c:numCache>
                <c:formatCode>#,##0</c:formatCode>
                <c:ptCount val="33"/>
                <c:pt idx="0">
                  <c:v>102.7272027487076</c:v>
                </c:pt>
                <c:pt idx="1">
                  <c:v>102.7272027487076</c:v>
                </c:pt>
                <c:pt idx="2">
                  <c:v>102.7272027487076</c:v>
                </c:pt>
                <c:pt idx="3">
                  <c:v>102.7272027487076</c:v>
                </c:pt>
                <c:pt idx="4">
                  <c:v>102.7272027487076</c:v>
                </c:pt>
                <c:pt idx="5">
                  <c:v>91.458965521867171</c:v>
                </c:pt>
                <c:pt idx="6">
                  <c:v>72.707628760998873</c:v>
                </c:pt>
                <c:pt idx="7">
                  <c:v>54.273709932835885</c:v>
                </c:pt>
                <c:pt idx="8">
                  <c:v>43.369793282519325</c:v>
                </c:pt>
                <c:pt idx="9">
                  <c:v>34.725944579137924</c:v>
                </c:pt>
                <c:pt idx="10">
                  <c:v>34.725944579137924</c:v>
                </c:pt>
                <c:pt idx="11">
                  <c:v>34.725944579137924</c:v>
                </c:pt>
                <c:pt idx="12">
                  <c:v>34.725944579137924</c:v>
                </c:pt>
                <c:pt idx="13">
                  <c:v>34.725944579137924</c:v>
                </c:pt>
                <c:pt idx="14">
                  <c:v>34.725944579137924</c:v>
                </c:pt>
                <c:pt idx="15">
                  <c:v>34.725944579137924</c:v>
                </c:pt>
                <c:pt idx="16">
                  <c:v>34.725944579137924</c:v>
                </c:pt>
                <c:pt idx="17">
                  <c:v>34.725944579137924</c:v>
                </c:pt>
                <c:pt idx="18">
                  <c:v>34.725944579137924</c:v>
                </c:pt>
                <c:pt idx="19">
                  <c:v>34.725944579137924</c:v>
                </c:pt>
                <c:pt idx="20">
                  <c:v>34.725944579137924</c:v>
                </c:pt>
                <c:pt idx="21">
                  <c:v>34.725944579137924</c:v>
                </c:pt>
                <c:pt idx="22">
                  <c:v>34.725944579137924</c:v>
                </c:pt>
                <c:pt idx="23">
                  <c:v>34.725944579137924</c:v>
                </c:pt>
                <c:pt idx="24">
                  <c:v>34.725944579137924</c:v>
                </c:pt>
                <c:pt idx="25">
                  <c:v>34.725944579137924</c:v>
                </c:pt>
                <c:pt idx="26">
                  <c:v>34.725944579137924</c:v>
                </c:pt>
                <c:pt idx="27">
                  <c:v>34.725944579137924</c:v>
                </c:pt>
                <c:pt idx="28">
                  <c:v>34.725944579137924</c:v>
                </c:pt>
                <c:pt idx="29">
                  <c:v>34.725944579137924</c:v>
                </c:pt>
                <c:pt idx="30">
                  <c:v>34.725944579137924</c:v>
                </c:pt>
                <c:pt idx="31">
                  <c:v>34.725944579137924</c:v>
                </c:pt>
                <c:pt idx="32">
                  <c:v>34.725944579137924</c:v>
                </c:pt>
              </c:numCache>
            </c:numRef>
          </c:val>
          <c:extLst>
            <c:ext xmlns:c16="http://schemas.microsoft.com/office/drawing/2014/chart" uri="{C3380CC4-5D6E-409C-BE32-E72D297353CC}">
              <c16:uniqueId val="{00000000-4C81-4D72-B076-7BECEADA3EA7}"/>
            </c:ext>
          </c:extLst>
        </c:ser>
        <c:ser>
          <c:idx val="1"/>
          <c:order val="1"/>
          <c:tx>
            <c:v>Energie inkoop = WEii (kWh/m2)</c:v>
          </c:tx>
          <c:spPr>
            <a:solidFill>
              <a:srgbClr val="393D3F">
                <a:alpha val="80000"/>
              </a:srgbClr>
            </a:solidFill>
            <a:ln>
              <a:noFill/>
            </a:ln>
            <a:effectLst/>
          </c:spPr>
          <c:invertIfNegative val="0"/>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Locatie1!$U$238:$GZ$238</c:f>
              <c:numCache>
                <c:formatCode>#,##0</c:formatCode>
                <c:ptCount val="33"/>
                <c:pt idx="0">
                  <c:v>102.7272027487076</c:v>
                </c:pt>
                <c:pt idx="1">
                  <c:v>102.7272027487076</c:v>
                </c:pt>
                <c:pt idx="2">
                  <c:v>102.7272027487076</c:v>
                </c:pt>
                <c:pt idx="3">
                  <c:v>102.7272027487076</c:v>
                </c:pt>
                <c:pt idx="4">
                  <c:v>102.7272027487076</c:v>
                </c:pt>
                <c:pt idx="5">
                  <c:v>91.458965521867171</c:v>
                </c:pt>
                <c:pt idx="6">
                  <c:v>72.707628760998873</c:v>
                </c:pt>
                <c:pt idx="7">
                  <c:v>42.211209932835885</c:v>
                </c:pt>
                <c:pt idx="8">
                  <c:v>31.307293282519321</c:v>
                </c:pt>
                <c:pt idx="9">
                  <c:v>22.66344457913792</c:v>
                </c:pt>
                <c:pt idx="10">
                  <c:v>22.66344457913792</c:v>
                </c:pt>
                <c:pt idx="11">
                  <c:v>22.66344457913792</c:v>
                </c:pt>
                <c:pt idx="12">
                  <c:v>22.66344457913792</c:v>
                </c:pt>
                <c:pt idx="13">
                  <c:v>22.66344457913792</c:v>
                </c:pt>
                <c:pt idx="14">
                  <c:v>22.66344457913792</c:v>
                </c:pt>
                <c:pt idx="15">
                  <c:v>22.66344457913792</c:v>
                </c:pt>
                <c:pt idx="16">
                  <c:v>22.66344457913792</c:v>
                </c:pt>
                <c:pt idx="17">
                  <c:v>22.66344457913792</c:v>
                </c:pt>
                <c:pt idx="18">
                  <c:v>22.66344457913792</c:v>
                </c:pt>
                <c:pt idx="19">
                  <c:v>22.66344457913792</c:v>
                </c:pt>
                <c:pt idx="20">
                  <c:v>22.66344457913792</c:v>
                </c:pt>
                <c:pt idx="21">
                  <c:v>22.66344457913792</c:v>
                </c:pt>
                <c:pt idx="22">
                  <c:v>22.66344457913792</c:v>
                </c:pt>
                <c:pt idx="23">
                  <c:v>22.66344457913792</c:v>
                </c:pt>
                <c:pt idx="24">
                  <c:v>22.66344457913792</c:v>
                </c:pt>
                <c:pt idx="25">
                  <c:v>22.66344457913792</c:v>
                </c:pt>
                <c:pt idx="26">
                  <c:v>22.66344457913792</c:v>
                </c:pt>
                <c:pt idx="27">
                  <c:v>22.66344457913792</c:v>
                </c:pt>
                <c:pt idx="28">
                  <c:v>22.66344457913792</c:v>
                </c:pt>
                <c:pt idx="29">
                  <c:v>22.66344457913792</c:v>
                </c:pt>
                <c:pt idx="30">
                  <c:v>22.66344457913792</c:v>
                </c:pt>
                <c:pt idx="31">
                  <c:v>22.66344457913792</c:v>
                </c:pt>
                <c:pt idx="32">
                  <c:v>22.66344457913792</c:v>
                </c:pt>
              </c:numCache>
            </c:numRef>
          </c:val>
          <c:extLst>
            <c:ext xmlns:c16="http://schemas.microsoft.com/office/drawing/2014/chart" uri="{C3380CC4-5D6E-409C-BE32-E72D297353CC}">
              <c16:uniqueId val="{00000001-4C81-4D72-B076-7BECEADA3EA7}"/>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Locatie1!$U$219:$GZ$219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Locatie1!$U$256:$GZ$256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4C81-4D72-B076-7BECEADA3EA7}"/>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Locatie2!$U$253:$GZ$253</c:f>
              <c:numCache>
                <c:formatCode>#,##0</c:formatCode>
                <c:ptCount val="33"/>
                <c:pt idx="0">
                  <c:v>121.78592999999999</c:v>
                </c:pt>
                <c:pt idx="1">
                  <c:v>121.793434</c:v>
                </c:pt>
                <c:pt idx="2">
                  <c:v>121.793434</c:v>
                </c:pt>
                <c:pt idx="3">
                  <c:v>121.793434</c:v>
                </c:pt>
                <c:pt idx="4">
                  <c:v>121.793434</c:v>
                </c:pt>
                <c:pt idx="5">
                  <c:v>55.596638755599997</c:v>
                </c:pt>
                <c:pt idx="6">
                  <c:v>55.336974067200003</c:v>
                </c:pt>
                <c:pt idx="7">
                  <c:v>54.240854067200004</c:v>
                </c:pt>
                <c:pt idx="8">
                  <c:v>54.240854067200004</c:v>
                </c:pt>
                <c:pt idx="9">
                  <c:v>54.240854067200004</c:v>
                </c:pt>
                <c:pt idx="10">
                  <c:v>16.135488467200002</c:v>
                </c:pt>
                <c:pt idx="11">
                  <c:v>16.135488467200002</c:v>
                </c:pt>
                <c:pt idx="12">
                  <c:v>16.135488467200002</c:v>
                </c:pt>
                <c:pt idx="13">
                  <c:v>16.135488467200002</c:v>
                </c:pt>
                <c:pt idx="14">
                  <c:v>16.135488467200002</c:v>
                </c:pt>
                <c:pt idx="15">
                  <c:v>16.135488467200002</c:v>
                </c:pt>
                <c:pt idx="16">
                  <c:v>16.135488467200002</c:v>
                </c:pt>
                <c:pt idx="17">
                  <c:v>16.135488467200002</c:v>
                </c:pt>
                <c:pt idx="18">
                  <c:v>16.135488467200002</c:v>
                </c:pt>
                <c:pt idx="19">
                  <c:v>16.135488467200002</c:v>
                </c:pt>
                <c:pt idx="20">
                  <c:v>16.135488467200002</c:v>
                </c:pt>
                <c:pt idx="21">
                  <c:v>16.135488467200002</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FD80-4843-90D8-74B0C4AFDD3D}"/>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Locatie2!$AN$219:$DN$219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Locatie2!$AN$224:$DN$224</c:f>
              <c:numCache>
                <c:formatCode>_ [$€-413]\ * #,##0_ ;_ [$€-413]\ * \-#,##0_ ;_ [$€-413]\ * "-"??_ ;_ @_ </c:formatCode>
                <c:ptCount val="14"/>
                <c:pt idx="0">
                  <c:v>0</c:v>
                </c:pt>
                <c:pt idx="1">
                  <c:v>141415.984</c:v>
                </c:pt>
                <c:pt idx="2">
                  <c:v>141415.984</c:v>
                </c:pt>
                <c:pt idx="3">
                  <c:v>303122.70400000003</c:v>
                </c:pt>
                <c:pt idx="4">
                  <c:v>303122.70400000003</c:v>
                </c:pt>
                <c:pt idx="5">
                  <c:v>303122.70400000003</c:v>
                </c:pt>
                <c:pt idx="6">
                  <c:v>303122.70400000003</c:v>
                </c:pt>
                <c:pt idx="7">
                  <c:v>303122.70400000003</c:v>
                </c:pt>
                <c:pt idx="8">
                  <c:v>303122.70400000003</c:v>
                </c:pt>
                <c:pt idx="9">
                  <c:v>303122.70400000003</c:v>
                </c:pt>
                <c:pt idx="10">
                  <c:v>303122.70400000003</c:v>
                </c:pt>
                <c:pt idx="11">
                  <c:v>303122.70400000003</c:v>
                </c:pt>
                <c:pt idx="12">
                  <c:v>303122.70400000003</c:v>
                </c:pt>
                <c:pt idx="13">
                  <c:v>303122.70400000003</c:v>
                </c:pt>
              </c:numCache>
            </c:numRef>
          </c:val>
          <c:smooth val="0"/>
          <c:extLst>
            <c:ext xmlns:c16="http://schemas.microsoft.com/office/drawing/2014/chart" uri="{C3380CC4-5D6E-409C-BE32-E72D297353CC}">
              <c16:uniqueId val="{00000000-1C30-468E-9D5A-D61BAF166BAE}"/>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1C30-468E-9D5A-D61BAF166BAE}"/>
            </c:ext>
          </c:extLst>
        </c:ser>
        <c:ser>
          <c:idx val="0"/>
          <c:order val="2"/>
          <c:tx>
            <c:v>Besparingen</c:v>
          </c:tx>
          <c:spPr>
            <a:ln w="38100" cap="rnd">
              <a:solidFill>
                <a:srgbClr val="8CB369"/>
              </a:solidFill>
              <a:round/>
            </a:ln>
            <a:effectLst/>
          </c:spPr>
          <c:marker>
            <c:symbol val="none"/>
          </c:marker>
          <c:cat>
            <c:numRef>
              <c:f>Locatie2!$AN$219:$DN$219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Locatie2!$AN$226:$DN$226</c:f>
              <c:numCache>
                <c:formatCode>_ [$€-413]\ * #,##0_ ;_ [$€-413]\ * \-#,##0_ ;_ [$€-413]\ * "-"??_ ;_ @_ </c:formatCode>
                <c:ptCount val="14"/>
                <c:pt idx="0" formatCode="#,##0">
                  <c:v>0</c:v>
                </c:pt>
                <c:pt idx="1">
                  <c:v>34573.11675120001</c:v>
                </c:pt>
                <c:pt idx="2">
                  <c:v>69272.342165600014</c:v>
                </c:pt>
                <c:pt idx="3">
                  <c:v>106000.20758000002</c:v>
                </c:pt>
                <c:pt idx="4">
                  <c:v>142728.07299440002</c:v>
                </c:pt>
                <c:pt idx="5">
                  <c:v>179455.93840880002</c:v>
                </c:pt>
                <c:pt idx="6">
                  <c:v>216175.96702320004</c:v>
                </c:pt>
                <c:pt idx="7">
                  <c:v>252895.99563760005</c:v>
                </c:pt>
                <c:pt idx="8">
                  <c:v>289616.02425200003</c:v>
                </c:pt>
                <c:pt idx="9">
                  <c:v>326336.05286640004</c:v>
                </c:pt>
                <c:pt idx="10">
                  <c:v>363056.08148080006</c:v>
                </c:pt>
                <c:pt idx="11">
                  <c:v>399776.11009520007</c:v>
                </c:pt>
                <c:pt idx="12">
                  <c:v>436496.13870960008</c:v>
                </c:pt>
                <c:pt idx="13">
                  <c:v>473216.1673240001</c:v>
                </c:pt>
              </c:numCache>
            </c:numRef>
          </c:val>
          <c:smooth val="0"/>
          <c:extLst>
            <c:ext xmlns:c16="http://schemas.microsoft.com/office/drawing/2014/chart" uri="{C3380CC4-5D6E-409C-BE32-E72D297353CC}">
              <c16:uniqueId val="{00000002-1C30-468E-9D5A-D61BAF166BAE}"/>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Locatie2!$U$232:$GZ$232</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CF32-4E1F-BFEB-8025A305D05F}"/>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Locatie2!$U$229:$GZ$229</c:f>
              <c:numCache>
                <c:formatCode>#,##0</c:formatCode>
                <c:ptCount val="33"/>
                <c:pt idx="0">
                  <c:v>190958</c:v>
                </c:pt>
                <c:pt idx="1">
                  <c:v>190958</c:v>
                </c:pt>
                <c:pt idx="2">
                  <c:v>190958</c:v>
                </c:pt>
                <c:pt idx="3">
                  <c:v>190958</c:v>
                </c:pt>
                <c:pt idx="4">
                  <c:v>190958</c:v>
                </c:pt>
                <c:pt idx="5">
                  <c:v>67781.9372</c:v>
                </c:pt>
                <c:pt idx="6">
                  <c:v>67285.446400000001</c:v>
                </c:pt>
                <c:pt idx="7">
                  <c:v>67285.446400000001</c:v>
                </c:pt>
                <c:pt idx="8">
                  <c:v>67285.446400000001</c:v>
                </c:pt>
                <c:pt idx="9">
                  <c:v>67285.446400000001</c:v>
                </c:pt>
                <c:pt idx="10">
                  <c:v>67285.446400000001</c:v>
                </c:pt>
                <c:pt idx="11">
                  <c:v>67285.446400000001</c:v>
                </c:pt>
                <c:pt idx="12">
                  <c:v>67285.446400000001</c:v>
                </c:pt>
                <c:pt idx="13">
                  <c:v>67285.446400000001</c:v>
                </c:pt>
                <c:pt idx="14">
                  <c:v>67285.446400000001</c:v>
                </c:pt>
                <c:pt idx="15">
                  <c:v>67285.446400000001</c:v>
                </c:pt>
                <c:pt idx="16">
                  <c:v>67285.446400000001</c:v>
                </c:pt>
                <c:pt idx="17">
                  <c:v>67285.446400000001</c:v>
                </c:pt>
                <c:pt idx="18">
                  <c:v>67285.446400000001</c:v>
                </c:pt>
                <c:pt idx="19">
                  <c:v>67285.446400000001</c:v>
                </c:pt>
                <c:pt idx="20">
                  <c:v>67285.446400000001</c:v>
                </c:pt>
                <c:pt idx="21">
                  <c:v>67285.446400000001</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8F7-4A8F-9D0F-759CC21C2E97}"/>
            </c:ext>
          </c:extLst>
        </c:ser>
        <c:ser>
          <c:idx val="3"/>
          <c:order val="1"/>
          <c:tx>
            <c:v>Opwek met PV</c:v>
          </c:tx>
          <c:spPr>
            <a:solidFill>
              <a:srgbClr val="8CB369">
                <a:alpha val="76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Locatie2!$U$240:$GZ$240</c:f>
              <c:numCache>
                <c:formatCode>#,##0</c:formatCode>
                <c:ptCount val="33"/>
                <c:pt idx="0">
                  <c:v>0</c:v>
                </c:pt>
                <c:pt idx="1">
                  <c:v>0</c:v>
                </c:pt>
                <c:pt idx="2">
                  <c:v>0</c:v>
                </c:pt>
                <c:pt idx="3">
                  <c:v>0</c:v>
                </c:pt>
                <c:pt idx="4">
                  <c:v>0</c:v>
                </c:pt>
                <c:pt idx="5">
                  <c:v>104729.52</c:v>
                </c:pt>
                <c:pt idx="6">
                  <c:v>104729.52</c:v>
                </c:pt>
                <c:pt idx="7">
                  <c:v>104729.52</c:v>
                </c:pt>
                <c:pt idx="8">
                  <c:v>104729.52</c:v>
                </c:pt>
                <c:pt idx="9">
                  <c:v>104729.52</c:v>
                </c:pt>
                <c:pt idx="10">
                  <c:v>104729.52</c:v>
                </c:pt>
                <c:pt idx="11">
                  <c:v>104729.52</c:v>
                </c:pt>
                <c:pt idx="12">
                  <c:v>104729.52</c:v>
                </c:pt>
                <c:pt idx="13">
                  <c:v>104729.52</c:v>
                </c:pt>
                <c:pt idx="14">
                  <c:v>104729.52</c:v>
                </c:pt>
                <c:pt idx="15">
                  <c:v>104729.52</c:v>
                </c:pt>
                <c:pt idx="16">
                  <c:v>104729.52</c:v>
                </c:pt>
                <c:pt idx="17">
                  <c:v>104729.52</c:v>
                </c:pt>
                <c:pt idx="18">
                  <c:v>104729.52</c:v>
                </c:pt>
                <c:pt idx="19">
                  <c:v>104729.52</c:v>
                </c:pt>
                <c:pt idx="20">
                  <c:v>104729.52</c:v>
                </c:pt>
                <c:pt idx="21">
                  <c:v>104729.52</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08F7-4A8F-9D0F-759CC21C2E97}"/>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Locatie2!$U$235:$GZ$235</c:f>
              <c:numCache>
                <c:formatCode>#,##0</c:formatCode>
                <c:ptCount val="33"/>
                <c:pt idx="0">
                  <c:v>817.72</c:v>
                </c:pt>
                <c:pt idx="1">
                  <c:v>818</c:v>
                </c:pt>
                <c:pt idx="2">
                  <c:v>818</c:v>
                </c:pt>
                <c:pt idx="3">
                  <c:v>818</c:v>
                </c:pt>
                <c:pt idx="4">
                  <c:v>818</c:v>
                </c:pt>
                <c:pt idx="5">
                  <c:v>751.74199999999996</c:v>
                </c:pt>
                <c:pt idx="6">
                  <c:v>751.74199999999996</c:v>
                </c:pt>
                <c:pt idx="7">
                  <c:v>710.84199999999998</c:v>
                </c:pt>
                <c:pt idx="8">
                  <c:v>710.84199999999998</c:v>
                </c:pt>
                <c:pt idx="9">
                  <c:v>710.84199999999998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BFBD-4196-BE96-28F9821D6900}"/>
            </c:ext>
          </c:extLst>
        </c:ser>
        <c:ser>
          <c:idx val="4"/>
          <c:order val="1"/>
          <c:tx>
            <c:v>Duurzame warmte</c:v>
          </c:tx>
          <c:spPr>
            <a:solidFill>
              <a:srgbClr val="8CB369">
                <a:alpha val="75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Locatie2!$U$242:$GZ$242</c:f>
              <c:numCache>
                <c:formatCode>#,##0</c:formatCode>
                <c:ptCount val="33"/>
                <c:pt idx="5">
                  <c:v>0</c:v>
                </c:pt>
                <c:pt idx="6">
                  <c:v>0</c:v>
                </c:pt>
                <c:pt idx="7">
                  <c:v>0</c:v>
                </c:pt>
                <c:pt idx="8">
                  <c:v>0</c:v>
                </c:pt>
                <c:pt idx="9">
                  <c:v>0</c:v>
                </c:pt>
                <c:pt idx="10">
                  <c:v>711</c:v>
                </c:pt>
                <c:pt idx="11">
                  <c:v>711</c:v>
                </c:pt>
                <c:pt idx="12">
                  <c:v>711</c:v>
                </c:pt>
                <c:pt idx="13">
                  <c:v>711</c:v>
                </c:pt>
                <c:pt idx="14">
                  <c:v>711</c:v>
                </c:pt>
                <c:pt idx="15">
                  <c:v>711</c:v>
                </c:pt>
                <c:pt idx="16">
                  <c:v>711</c:v>
                </c:pt>
                <c:pt idx="17">
                  <c:v>711</c:v>
                </c:pt>
                <c:pt idx="18">
                  <c:v>711</c:v>
                </c:pt>
                <c:pt idx="19">
                  <c:v>711</c:v>
                </c:pt>
                <c:pt idx="20">
                  <c:v>711</c:v>
                </c:pt>
                <c:pt idx="21">
                  <c:v>711</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BFBD-4196-BE96-28F9821D6900}"/>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81833187140541"/>
          <c:y val="0.18930604363933273"/>
          <c:w val="0.73262504519220406"/>
          <c:h val="0.68630949908675287"/>
        </c:manualLayout>
      </c:layout>
      <c:barChart>
        <c:barDir val="col"/>
        <c:grouping val="clustered"/>
        <c:varyColors val="0"/>
        <c:ser>
          <c:idx val="4"/>
          <c:order val="0"/>
          <c:tx>
            <c:v>Aardgas inkoop</c:v>
          </c:tx>
          <c:spPr>
            <a:solidFill>
              <a:srgbClr val="F4E285">
                <a:alpha val="85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Cijfers!$H$32:$AN$32</c:f>
              <c:numCache>
                <c:formatCode>_ * #,##0_ ;_ * \-#,##0_ ;_ * "-"??_ ;_ @_ </c:formatCode>
                <c:ptCount val="33"/>
                <c:pt idx="0">
                  <c:v>11.068811277444743</c:v>
                </c:pt>
                <c:pt idx="1">
                  <c:v>11.068811277444743</c:v>
                </c:pt>
                <c:pt idx="2">
                  <c:v>11.068811277444743</c:v>
                </c:pt>
                <c:pt idx="3">
                  <c:v>11.068811277444743</c:v>
                </c:pt>
                <c:pt idx="4">
                  <c:v>11.068811277444743</c:v>
                </c:pt>
                <c:pt idx="5">
                  <c:v>4.0454275650402156</c:v>
                </c:pt>
                <c:pt idx="6">
                  <c:v>3.4376350360525998</c:v>
                </c:pt>
                <c:pt idx="7">
                  <c:v>2.8917657483723826</c:v>
                </c:pt>
                <c:pt idx="8">
                  <c:v>2.5019080750822558</c:v>
                </c:pt>
                <c:pt idx="9">
                  <c:v>1.8443498781384191</c:v>
                </c:pt>
                <c:pt idx="10">
                  <c:v>1.6787247917852584</c:v>
                </c:pt>
                <c:pt idx="11">
                  <c:v>1.5130997054320974</c:v>
                </c:pt>
                <c:pt idx="12">
                  <c:v>1.3474746190789364</c:v>
                </c:pt>
                <c:pt idx="13">
                  <c:v>1.1818495327257756</c:v>
                </c:pt>
                <c:pt idx="14">
                  <c:v>0.72257639620653347</c:v>
                </c:pt>
                <c:pt idx="15">
                  <c:v>0.72257639620653347</c:v>
                </c:pt>
                <c:pt idx="16">
                  <c:v>0.72257639620653347</c:v>
                </c:pt>
                <c:pt idx="17">
                  <c:v>0.72257639620653347</c:v>
                </c:pt>
                <c:pt idx="18">
                  <c:v>0.22570022180138122</c:v>
                </c:pt>
                <c:pt idx="19">
                  <c:v>0.22570022180138122</c:v>
                </c:pt>
                <c:pt idx="20">
                  <c:v>0.22570022180138122</c:v>
                </c:pt>
                <c:pt idx="21">
                  <c:v>0.22570022180138122</c:v>
                </c:pt>
                <c:pt idx="22">
                  <c:v>0.22569564824929708</c:v>
                </c:pt>
                <c:pt idx="23">
                  <c:v>0.22569564824929708</c:v>
                </c:pt>
                <c:pt idx="24">
                  <c:v>0.22569564824929708</c:v>
                </c:pt>
                <c:pt idx="25">
                  <c:v>0.22569564824929708</c:v>
                </c:pt>
                <c:pt idx="26">
                  <c:v>0.22569564824929708</c:v>
                </c:pt>
                <c:pt idx="27">
                  <c:v>0.22569564824929708</c:v>
                </c:pt>
                <c:pt idx="28">
                  <c:v>0.22569564824929708</c:v>
                </c:pt>
                <c:pt idx="29">
                  <c:v>0.22569564824929708</c:v>
                </c:pt>
                <c:pt idx="30">
                  <c:v>0.22569564824929708</c:v>
                </c:pt>
                <c:pt idx="31">
                  <c:v>0.22569564824929708</c:v>
                </c:pt>
                <c:pt idx="32">
                  <c:v>0.22569564824929708</c:v>
                </c:pt>
              </c:numCache>
            </c:numRef>
          </c:val>
          <c:extLst>
            <c:ext xmlns:c16="http://schemas.microsoft.com/office/drawing/2014/chart" uri="{C3380CC4-5D6E-409C-BE32-E72D297353CC}">
              <c16:uniqueId val="{00000000-AC32-4A9D-B262-369405FEABA1}"/>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500" b="1" i="0" u="none" strike="noStrike" kern="1200" baseline="0">
                    <a:solidFill>
                      <a:schemeClr val="tx1">
                        <a:lumMod val="65000"/>
                        <a:lumOff val="35000"/>
                      </a:schemeClr>
                    </a:solidFill>
                    <a:latin typeface="+mn-lt"/>
                    <a:ea typeface="+mn-ea"/>
                    <a:cs typeface="+mn-cs"/>
                  </a:defRPr>
                </a:pPr>
                <a:r>
                  <a:rPr lang="en-US" sz="1500" b="1"/>
                  <a:t>m3/m2</a:t>
                </a:r>
              </a:p>
            </c:rich>
          </c:tx>
          <c:layout>
            <c:manualLayout>
              <c:xMode val="edge"/>
              <c:yMode val="edge"/>
              <c:x val="3.6924170754526017E-2"/>
              <c:y val="9.1882129836081516E-2"/>
            </c:manualLayout>
          </c:layout>
          <c:overlay val="0"/>
          <c:spPr>
            <a:noFill/>
            <a:ln>
              <a:noFill/>
            </a:ln>
            <a:effectLst/>
          </c:spPr>
          <c:txPr>
            <a:bodyPr rot="0" spcFirstLastPara="1" vertOverflow="ellipsis" wrap="square" anchor="ctr" anchorCtr="1"/>
            <a:lstStyle/>
            <a:p>
              <a:pPr>
                <a:defRPr sz="15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8961379925698477"/>
          <c:y val="4.8339334618115418E-2"/>
          <c:w val="0.56624598053739195"/>
          <c:h val="8.927104343166146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rgbClr val="C6C6B9"/>
      </a:solidFill>
      <a:round/>
    </a:ln>
    <a:effectLst/>
  </c:spPr>
  <c:txPr>
    <a:bodyPr/>
    <a:lstStyle/>
    <a:p>
      <a:pPr>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Locatie2!$U$245:$GZ$245</c:f>
              <c:numCache>
                <c:formatCode>#,##0</c:formatCode>
                <c:ptCount val="33"/>
                <c:pt idx="0">
                  <c:v>192.70794633642933</c:v>
                </c:pt>
                <c:pt idx="1">
                  <c:v>192.7438080495356</c:v>
                </c:pt>
                <c:pt idx="2">
                  <c:v>192.7438080495356</c:v>
                </c:pt>
                <c:pt idx="3">
                  <c:v>192.7438080495356</c:v>
                </c:pt>
                <c:pt idx="4">
                  <c:v>192.7438080495356</c:v>
                </c:pt>
                <c:pt idx="5">
                  <c:v>175.75912815126051</c:v>
                </c:pt>
                <c:pt idx="6">
                  <c:v>175.53038957688338</c:v>
                </c:pt>
                <c:pt idx="7">
                  <c:v>170.29201791242815</c:v>
                </c:pt>
                <c:pt idx="8">
                  <c:v>170.29201791242815</c:v>
                </c:pt>
                <c:pt idx="9">
                  <c:v>170.29201791242815</c:v>
                </c:pt>
                <c:pt idx="10">
                  <c:v>170.31225416482386</c:v>
                </c:pt>
                <c:pt idx="11">
                  <c:v>170.31225416482386</c:v>
                </c:pt>
                <c:pt idx="12">
                  <c:v>170.31225416482386</c:v>
                </c:pt>
                <c:pt idx="13">
                  <c:v>170.31225416482386</c:v>
                </c:pt>
                <c:pt idx="14">
                  <c:v>170.31225416482386</c:v>
                </c:pt>
                <c:pt idx="15">
                  <c:v>170.31225416482386</c:v>
                </c:pt>
                <c:pt idx="16">
                  <c:v>170.31225416482386</c:v>
                </c:pt>
                <c:pt idx="17">
                  <c:v>170.31225416482386</c:v>
                </c:pt>
                <c:pt idx="18">
                  <c:v>170.31225416482386</c:v>
                </c:pt>
                <c:pt idx="19">
                  <c:v>170.31225416482386</c:v>
                </c:pt>
                <c:pt idx="20">
                  <c:v>170.31225416482386</c:v>
                </c:pt>
                <c:pt idx="21">
                  <c:v>170.31225416482386</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680-4ECB-874A-BB722AAE01D1}"/>
            </c:ext>
          </c:extLst>
        </c:ser>
        <c:ser>
          <c:idx val="1"/>
          <c:order val="1"/>
          <c:tx>
            <c:v>Energie inkoop = WEii (kWh/m2)</c:v>
          </c:tx>
          <c:spPr>
            <a:solidFill>
              <a:srgbClr val="393D3F">
                <a:alpha val="80000"/>
              </a:srgbClr>
            </a:solidFill>
            <a:ln>
              <a:noFill/>
            </a:ln>
            <a:effectLst/>
          </c:spPr>
          <c:invertIfNegative val="0"/>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Locatie2!$U$238:$GZ$238</c:f>
              <c:numCache>
                <c:formatCode>#,##0</c:formatCode>
                <c:ptCount val="33"/>
                <c:pt idx="0">
                  <c:v>192.70794633642933</c:v>
                </c:pt>
                <c:pt idx="1">
                  <c:v>192.7438080495356</c:v>
                </c:pt>
                <c:pt idx="2">
                  <c:v>192.7438080495356</c:v>
                </c:pt>
                <c:pt idx="3">
                  <c:v>192.7438080495356</c:v>
                </c:pt>
                <c:pt idx="4">
                  <c:v>192.7438080495356</c:v>
                </c:pt>
                <c:pt idx="5">
                  <c:v>127.50912815126051</c:v>
                </c:pt>
                <c:pt idx="6">
                  <c:v>127.28038957688338</c:v>
                </c:pt>
                <c:pt idx="7">
                  <c:v>122.04201791242814</c:v>
                </c:pt>
                <c:pt idx="8">
                  <c:v>122.04201791242814</c:v>
                </c:pt>
                <c:pt idx="9">
                  <c:v>122.04201791242814</c:v>
                </c:pt>
                <c:pt idx="10">
                  <c:v>122.06225416482384</c:v>
                </c:pt>
                <c:pt idx="11">
                  <c:v>122.06225416482384</c:v>
                </c:pt>
                <c:pt idx="12">
                  <c:v>122.06225416482384</c:v>
                </c:pt>
                <c:pt idx="13">
                  <c:v>122.06225416482384</c:v>
                </c:pt>
                <c:pt idx="14">
                  <c:v>122.06225416482384</c:v>
                </c:pt>
                <c:pt idx="15">
                  <c:v>122.06225416482384</c:v>
                </c:pt>
                <c:pt idx="16">
                  <c:v>122.06225416482384</c:v>
                </c:pt>
                <c:pt idx="17">
                  <c:v>122.06225416482384</c:v>
                </c:pt>
                <c:pt idx="18">
                  <c:v>122.06225416482384</c:v>
                </c:pt>
                <c:pt idx="19">
                  <c:v>122.06225416482384</c:v>
                </c:pt>
                <c:pt idx="20">
                  <c:v>122.06225416482384</c:v>
                </c:pt>
                <c:pt idx="21">
                  <c:v>122.06225416482384</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5680-4ECB-874A-BB722AAE01D1}"/>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Locatie2!$U$219:$GZ$219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Locatie2!$U$256:$GZ$256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5680-4ECB-874A-BB722AAE01D1}"/>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Locatie3!$U$253:$GZ$253</c:f>
              <c:numCache>
                <c:formatCode>#,##0</c:formatCode>
                <c:ptCount val="33"/>
                <c:pt idx="0">
                  <c:v>173.895636</c:v>
                </c:pt>
                <c:pt idx="1">
                  <c:v>173.895636</c:v>
                </c:pt>
                <c:pt idx="2">
                  <c:v>173.895636</c:v>
                </c:pt>
                <c:pt idx="3">
                  <c:v>173.895636</c:v>
                </c:pt>
                <c:pt idx="4">
                  <c:v>173.895636</c:v>
                </c:pt>
                <c:pt idx="5">
                  <c:v>118.15837357759523</c:v>
                </c:pt>
                <c:pt idx="6">
                  <c:v>118.15837357759523</c:v>
                </c:pt>
                <c:pt idx="7">
                  <c:v>118.15837357759523</c:v>
                </c:pt>
                <c:pt idx="8">
                  <c:v>118.15837357759523</c:v>
                </c:pt>
                <c:pt idx="9">
                  <c:v>118.15837357759523</c:v>
                </c:pt>
                <c:pt idx="10">
                  <c:v>118.15837357759523</c:v>
                </c:pt>
                <c:pt idx="11">
                  <c:v>118.15837357759523</c:v>
                </c:pt>
                <c:pt idx="12">
                  <c:v>118.15837357759523</c:v>
                </c:pt>
                <c:pt idx="13">
                  <c:v>118.15837357759523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C91-49C9-A54A-5B36AFC5D95D}"/>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Locatie3!$AN$219:$DN$219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Locatie3!$AN$224:$DN$224</c:f>
              <c:numCache>
                <c:formatCode>_ [$€-413]\ * #,##0_ ;_ [$€-413]\ * \-#,##0_ ;_ [$€-413]\ * "-"??_ ;_ @_ </c:formatCode>
                <c:ptCount val="14"/>
                <c:pt idx="0">
                  <c:v>0</c:v>
                </c:pt>
                <c:pt idx="1">
                  <c:v>180494.67199999999</c:v>
                </c:pt>
                <c:pt idx="2">
                  <c:v>180494.67199999999</c:v>
                </c:pt>
                <c:pt idx="3">
                  <c:v>180494.67199999999</c:v>
                </c:pt>
                <c:pt idx="4">
                  <c:v>180494.67199999999</c:v>
                </c:pt>
                <c:pt idx="5">
                  <c:v>180494.67199999999</c:v>
                </c:pt>
                <c:pt idx="6">
                  <c:v>180494.67199999999</c:v>
                </c:pt>
                <c:pt idx="7">
                  <c:v>180494.67199999999</c:v>
                </c:pt>
                <c:pt idx="8">
                  <c:v>180494.67199999999</c:v>
                </c:pt>
                <c:pt idx="9">
                  <c:v>180494.67199999999</c:v>
                </c:pt>
                <c:pt idx="10">
                  <c:v>180494.67199999999</c:v>
                </c:pt>
                <c:pt idx="11">
                  <c:v>180494.67199999999</c:v>
                </c:pt>
                <c:pt idx="12">
                  <c:v>180494.67199999999</c:v>
                </c:pt>
                <c:pt idx="13">
                  <c:v>180494.67199999999</c:v>
                </c:pt>
              </c:numCache>
            </c:numRef>
          </c:val>
          <c:smooth val="0"/>
          <c:extLst>
            <c:ext xmlns:c16="http://schemas.microsoft.com/office/drawing/2014/chart" uri="{C3380CC4-5D6E-409C-BE32-E72D297353CC}">
              <c16:uniqueId val="{00000000-289A-4BC5-8FD4-CE66B32720B8}"/>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289A-4BC5-8FD4-CE66B32720B8}"/>
            </c:ext>
          </c:extLst>
        </c:ser>
        <c:ser>
          <c:idx val="0"/>
          <c:order val="2"/>
          <c:tx>
            <c:v>Besparingen</c:v>
          </c:tx>
          <c:spPr>
            <a:ln w="38100" cap="rnd">
              <a:solidFill>
                <a:srgbClr val="8CB369"/>
              </a:solidFill>
              <a:round/>
            </a:ln>
            <a:effectLst/>
          </c:spPr>
          <c:marker>
            <c:symbol val="none"/>
          </c:marker>
          <c:cat>
            <c:numRef>
              <c:f>Locatie3!$AN$219:$DN$219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Locatie3!$AN$226:$DN$226</c:f>
              <c:numCache>
                <c:formatCode>_ [$€-413]\ * #,##0_ ;_ [$€-413]\ * \-#,##0_ ;_ [$€-413]\ * "-"??_ ;_ @_ </c:formatCode>
                <c:ptCount val="14"/>
                <c:pt idx="0" formatCode="#,##0">
                  <c:v>0</c:v>
                </c:pt>
                <c:pt idx="1">
                  <c:v>42917.723467095253</c:v>
                </c:pt>
                <c:pt idx="2">
                  <c:v>85835.446934190506</c:v>
                </c:pt>
                <c:pt idx="3">
                  <c:v>128753.17040128575</c:v>
                </c:pt>
                <c:pt idx="4">
                  <c:v>171670.89386838101</c:v>
                </c:pt>
                <c:pt idx="5">
                  <c:v>214588.61733547627</c:v>
                </c:pt>
                <c:pt idx="6">
                  <c:v>257506.34080257153</c:v>
                </c:pt>
                <c:pt idx="7">
                  <c:v>300424.06426966679</c:v>
                </c:pt>
                <c:pt idx="8">
                  <c:v>343341.78773676202</c:v>
                </c:pt>
                <c:pt idx="9">
                  <c:v>386259.51120385726</c:v>
                </c:pt>
                <c:pt idx="10">
                  <c:v>386259.51120385726</c:v>
                </c:pt>
                <c:pt idx="11">
                  <c:v>386259.51120385726</c:v>
                </c:pt>
                <c:pt idx="12">
                  <c:v>386259.51120385726</c:v>
                </c:pt>
                <c:pt idx="13">
                  <c:v>386259.51120385726</c:v>
                </c:pt>
              </c:numCache>
            </c:numRef>
          </c:val>
          <c:smooth val="0"/>
          <c:extLst>
            <c:ext xmlns:c16="http://schemas.microsoft.com/office/drawing/2014/chart" uri="{C3380CC4-5D6E-409C-BE32-E72D297353CC}">
              <c16:uniqueId val="{00000002-289A-4BC5-8FD4-CE66B32720B8}"/>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Locatie3!$U$232:$GZ$232</c:f>
              <c:numCache>
                <c:formatCode>#,##0</c:formatCode>
                <c:ptCount val="33"/>
                <c:pt idx="0">
                  <c:v>51140</c:v>
                </c:pt>
                <c:pt idx="1">
                  <c:v>51140</c:v>
                </c:pt>
                <c:pt idx="2">
                  <c:v>51140</c:v>
                </c:pt>
                <c:pt idx="3">
                  <c:v>51140</c:v>
                </c:pt>
                <c:pt idx="4">
                  <c:v>51140</c:v>
                </c:pt>
                <c:pt idx="5">
                  <c:v>9972.2999999999956</c:v>
                </c:pt>
                <c:pt idx="6">
                  <c:v>9972.2999999999956</c:v>
                </c:pt>
                <c:pt idx="7">
                  <c:v>9972.2999999999956</c:v>
                </c:pt>
                <c:pt idx="8">
                  <c:v>9972.2999999999956</c:v>
                </c:pt>
                <c:pt idx="9">
                  <c:v>9972.2999999999956</c:v>
                </c:pt>
                <c:pt idx="10">
                  <c:v>9972.2999999999956</c:v>
                </c:pt>
                <c:pt idx="11">
                  <c:v>9972.2999999999956</c:v>
                </c:pt>
                <c:pt idx="12">
                  <c:v>9972.2999999999956</c:v>
                </c:pt>
                <c:pt idx="13">
                  <c:v>9972.2999999999956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62D-4ECD-BA0F-957AD317B55C}"/>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Locatie3!$U$229:$GZ$229</c:f>
              <c:numCache>
                <c:formatCode>#,##0</c:formatCode>
                <c:ptCount val="33"/>
                <c:pt idx="0">
                  <c:v>128132</c:v>
                </c:pt>
                <c:pt idx="1">
                  <c:v>128132</c:v>
                </c:pt>
                <c:pt idx="2">
                  <c:v>128132</c:v>
                </c:pt>
                <c:pt idx="3">
                  <c:v>128132</c:v>
                </c:pt>
                <c:pt idx="4">
                  <c:v>128132</c:v>
                </c:pt>
                <c:pt idx="5">
                  <c:v>186073.16745238093</c:v>
                </c:pt>
                <c:pt idx="6">
                  <c:v>186073.16745238093</c:v>
                </c:pt>
                <c:pt idx="7">
                  <c:v>186073.16745238093</c:v>
                </c:pt>
                <c:pt idx="8">
                  <c:v>186073.16745238093</c:v>
                </c:pt>
                <c:pt idx="9">
                  <c:v>186073.16745238093</c:v>
                </c:pt>
                <c:pt idx="10">
                  <c:v>186073.16745238093</c:v>
                </c:pt>
                <c:pt idx="11">
                  <c:v>186073.16745238093</c:v>
                </c:pt>
                <c:pt idx="12">
                  <c:v>186073.16745238093</c:v>
                </c:pt>
                <c:pt idx="13">
                  <c:v>186073.16745238093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B391-44DE-B1DC-532F88199041}"/>
            </c:ext>
          </c:extLst>
        </c:ser>
        <c:ser>
          <c:idx val="3"/>
          <c:order val="1"/>
          <c:tx>
            <c:v>Opwek met PV</c:v>
          </c:tx>
          <c:spPr>
            <a:solidFill>
              <a:srgbClr val="8CB369">
                <a:alpha val="76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Locatie3!$U$240:$GZ$240</c:f>
              <c:numCache>
                <c:formatCode>#,##0</c:formatCode>
                <c:ptCount val="33"/>
                <c:pt idx="0">
                  <c:v>0</c:v>
                </c:pt>
                <c:pt idx="1">
                  <c:v>0</c:v>
                </c:pt>
                <c:pt idx="2">
                  <c:v>0</c:v>
                </c:pt>
                <c:pt idx="3">
                  <c:v>0</c:v>
                </c:pt>
                <c:pt idx="4">
                  <c:v>0</c:v>
                </c:pt>
                <c:pt idx="5">
                  <c:v>26817.736000000001</c:v>
                </c:pt>
                <c:pt idx="6">
                  <c:v>26817.736000000001</c:v>
                </c:pt>
                <c:pt idx="7">
                  <c:v>26817.736000000001</c:v>
                </c:pt>
                <c:pt idx="8">
                  <c:v>26817.736000000001</c:v>
                </c:pt>
                <c:pt idx="9">
                  <c:v>26817.736000000001</c:v>
                </c:pt>
                <c:pt idx="10">
                  <c:v>26817.736000000001</c:v>
                </c:pt>
                <c:pt idx="11">
                  <c:v>26817.736000000001</c:v>
                </c:pt>
                <c:pt idx="12">
                  <c:v>26817.736000000001</c:v>
                </c:pt>
                <c:pt idx="13">
                  <c:v>26817.736000000001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B391-44DE-B1DC-532F88199041}"/>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Locatie3!$U$235:$GZ$235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570-4F19-99F0-39B7A820C492}"/>
            </c:ext>
          </c:extLst>
        </c:ser>
        <c:ser>
          <c:idx val="4"/>
          <c:order val="1"/>
          <c:tx>
            <c:v>Duurzame warmte</c:v>
          </c:tx>
          <c:spPr>
            <a:solidFill>
              <a:srgbClr val="8CB369">
                <a:alpha val="75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Locatie3!$U$242:$GZ$242</c:f>
              <c:numCache>
                <c:formatCode>#,##0</c:formatCode>
                <c:ptCount val="33"/>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5570-4F19-99F0-39B7A820C492}"/>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Locatie3!$U$245:$GZ$245</c:f>
              <c:numCache>
                <c:formatCode>#,##0</c:formatCode>
                <c:ptCount val="33"/>
                <c:pt idx="0">
                  <c:v>226.18891415740688</c:v>
                </c:pt>
                <c:pt idx="1">
                  <c:v>226.18891415740688</c:v>
                </c:pt>
                <c:pt idx="2">
                  <c:v>226.18891415740688</c:v>
                </c:pt>
                <c:pt idx="3">
                  <c:v>226.18891415740688</c:v>
                </c:pt>
                <c:pt idx="4">
                  <c:v>226.18891415740688</c:v>
                </c:pt>
                <c:pt idx="5">
                  <c:v>111.72197278642295</c:v>
                </c:pt>
                <c:pt idx="6">
                  <c:v>111.72197278642295</c:v>
                </c:pt>
                <c:pt idx="7">
                  <c:v>111.72197278642295</c:v>
                </c:pt>
                <c:pt idx="8">
                  <c:v>111.72197278642295</c:v>
                </c:pt>
                <c:pt idx="9">
                  <c:v>111.72197278642295</c:v>
                </c:pt>
                <c:pt idx="10">
                  <c:v>111.72197278642295</c:v>
                </c:pt>
                <c:pt idx="11">
                  <c:v>111.72197278642295</c:v>
                </c:pt>
                <c:pt idx="12">
                  <c:v>111.72197278642295</c:v>
                </c:pt>
                <c:pt idx="13">
                  <c:v>111.72197278642295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BECB-491A-9281-8BEB7240A21B}"/>
            </c:ext>
          </c:extLst>
        </c:ser>
        <c:ser>
          <c:idx val="1"/>
          <c:order val="1"/>
          <c:tx>
            <c:v>Energie inkoop = WEii (kWh/m2)</c:v>
          </c:tx>
          <c:spPr>
            <a:solidFill>
              <a:srgbClr val="393D3F">
                <a:alpha val="80000"/>
              </a:srgbClr>
            </a:solidFill>
            <a:ln>
              <a:noFill/>
            </a:ln>
            <a:effectLst/>
          </c:spPr>
          <c:invertIfNegative val="0"/>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Locatie3!$U$238:$GZ$238</c:f>
              <c:numCache>
                <c:formatCode>#,##0</c:formatCode>
                <c:ptCount val="33"/>
                <c:pt idx="0">
                  <c:v>226.18891415740688</c:v>
                </c:pt>
                <c:pt idx="1">
                  <c:v>226.18891415740688</c:v>
                </c:pt>
                <c:pt idx="2">
                  <c:v>226.18891415740688</c:v>
                </c:pt>
                <c:pt idx="3">
                  <c:v>226.18891415740688</c:v>
                </c:pt>
                <c:pt idx="4">
                  <c:v>226.18891415740688</c:v>
                </c:pt>
                <c:pt idx="5">
                  <c:v>102.07197278642296</c:v>
                </c:pt>
                <c:pt idx="6">
                  <c:v>102.07197278642296</c:v>
                </c:pt>
                <c:pt idx="7">
                  <c:v>102.07197278642296</c:v>
                </c:pt>
                <c:pt idx="8">
                  <c:v>102.07197278642296</c:v>
                </c:pt>
                <c:pt idx="9">
                  <c:v>102.07197278642296</c:v>
                </c:pt>
                <c:pt idx="10">
                  <c:v>102.07197278642296</c:v>
                </c:pt>
                <c:pt idx="11">
                  <c:v>102.07197278642296</c:v>
                </c:pt>
                <c:pt idx="12">
                  <c:v>102.07197278642296</c:v>
                </c:pt>
                <c:pt idx="13">
                  <c:v>102.07197278642296</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BECB-491A-9281-8BEB7240A21B}"/>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Locatie3!$U$219:$GZ$219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Locatie3!$U$256:$GZ$256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BECB-491A-9281-8BEB7240A21B}"/>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eigendom'!$U$253:$GZ$253</c:f>
              <c:numCache>
                <c:formatCode>#,##0</c:formatCode>
                <c:ptCount val="33"/>
                <c:pt idx="0">
                  <c:v>166.97143599999998</c:v>
                </c:pt>
                <c:pt idx="1">
                  <c:v>166.97143599999998</c:v>
                </c:pt>
                <c:pt idx="2">
                  <c:v>166.97143599999998</c:v>
                </c:pt>
                <c:pt idx="3">
                  <c:v>166.97143599999998</c:v>
                </c:pt>
                <c:pt idx="4">
                  <c:v>166.97143599999998</c:v>
                </c:pt>
                <c:pt idx="5">
                  <c:v>166.97143599999998</c:v>
                </c:pt>
                <c:pt idx="6">
                  <c:v>140.25915718054424</c:v>
                </c:pt>
                <c:pt idx="7">
                  <c:v>96.045941916732119</c:v>
                </c:pt>
                <c:pt idx="8">
                  <c:v>93.582645632920062</c:v>
                </c:pt>
                <c:pt idx="9">
                  <c:v>91.119349349107978</c:v>
                </c:pt>
                <c:pt idx="10">
                  <c:v>88.656053065295907</c:v>
                </c:pt>
                <c:pt idx="11">
                  <c:v>86.192756781483837</c:v>
                </c:pt>
                <c:pt idx="12">
                  <c:v>83.729460497671766</c:v>
                </c:pt>
                <c:pt idx="13">
                  <c:v>81.26616421385971</c:v>
                </c:pt>
                <c:pt idx="14">
                  <c:v>81.26616421385971</c:v>
                </c:pt>
                <c:pt idx="15">
                  <c:v>81.26616421385971</c:v>
                </c:pt>
                <c:pt idx="16">
                  <c:v>81.26616421385971</c:v>
                </c:pt>
                <c:pt idx="17">
                  <c:v>81.26616421385971</c:v>
                </c:pt>
                <c:pt idx="18">
                  <c:v>73.876275362423485</c:v>
                </c:pt>
                <c:pt idx="19">
                  <c:v>73.876275362423485</c:v>
                </c:pt>
                <c:pt idx="20">
                  <c:v>73.876275362423485</c:v>
                </c:pt>
                <c:pt idx="21">
                  <c:v>73.876275362423485</c:v>
                </c:pt>
                <c:pt idx="22">
                  <c:v>73.876275362423485</c:v>
                </c:pt>
                <c:pt idx="23">
                  <c:v>73.876275362423485</c:v>
                </c:pt>
                <c:pt idx="24">
                  <c:v>73.876275362423485</c:v>
                </c:pt>
                <c:pt idx="25">
                  <c:v>73.876275362423485</c:v>
                </c:pt>
                <c:pt idx="26">
                  <c:v>73.876275362423485</c:v>
                </c:pt>
                <c:pt idx="27">
                  <c:v>73.876275362423485</c:v>
                </c:pt>
                <c:pt idx="28">
                  <c:v>73.876275362423485</c:v>
                </c:pt>
                <c:pt idx="29">
                  <c:v>73.876275362423485</c:v>
                </c:pt>
                <c:pt idx="30">
                  <c:v>73.876275362423485</c:v>
                </c:pt>
                <c:pt idx="31">
                  <c:v>73.876275362423485</c:v>
                </c:pt>
                <c:pt idx="32">
                  <c:v>73.876275362423485</c:v>
                </c:pt>
              </c:numCache>
            </c:numRef>
          </c:val>
          <c:extLst>
            <c:ext xmlns:c16="http://schemas.microsoft.com/office/drawing/2014/chart" uri="{C3380CC4-5D6E-409C-BE32-E72D297353CC}">
              <c16:uniqueId val="{00000000-EA49-40E0-A443-233B57961B6E}"/>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'cluster eigendom'!$AN$219:$DN$219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'cluster eigendom'!$AN$224:$DN$224</c:f>
              <c:numCache>
                <c:formatCode>_ [$€-413]\ * #,##0_ ;_ [$€-413]\ * \-#,##0_ ;_ [$€-413]\ * "-"??_ ;_ @_ </c:formatCode>
                <c:ptCount val="14"/>
                <c:pt idx="0">
                  <c:v>0</c:v>
                </c:pt>
                <c:pt idx="1">
                  <c:v>0</c:v>
                </c:pt>
                <c:pt idx="2">
                  <c:v>83862.249599999981</c:v>
                </c:pt>
                <c:pt idx="3">
                  <c:v>278488.57439999998</c:v>
                </c:pt>
                <c:pt idx="4">
                  <c:v>291708.09119999997</c:v>
                </c:pt>
                <c:pt idx="5">
                  <c:v>304927.60799999995</c:v>
                </c:pt>
                <c:pt idx="6">
                  <c:v>318147.12479999993</c:v>
                </c:pt>
                <c:pt idx="7">
                  <c:v>331366.64159999992</c:v>
                </c:pt>
                <c:pt idx="8">
                  <c:v>344586.1583999999</c:v>
                </c:pt>
                <c:pt idx="9">
                  <c:v>357805.67519999988</c:v>
                </c:pt>
                <c:pt idx="10">
                  <c:v>357805.67519999988</c:v>
                </c:pt>
                <c:pt idx="11">
                  <c:v>357805.67519999988</c:v>
                </c:pt>
                <c:pt idx="12">
                  <c:v>357805.67519999988</c:v>
                </c:pt>
                <c:pt idx="13">
                  <c:v>357805.67519999988</c:v>
                </c:pt>
              </c:numCache>
            </c:numRef>
          </c:val>
          <c:smooth val="0"/>
          <c:extLst>
            <c:ext xmlns:c16="http://schemas.microsoft.com/office/drawing/2014/chart" uri="{C3380CC4-5D6E-409C-BE32-E72D297353CC}">
              <c16:uniqueId val="{00000000-493E-4C03-8BA3-39AB113E1B63}"/>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493E-4C03-8BA3-39AB113E1B63}"/>
            </c:ext>
          </c:extLst>
        </c:ser>
        <c:ser>
          <c:idx val="0"/>
          <c:order val="2"/>
          <c:tx>
            <c:v>Besparingen</c:v>
          </c:tx>
          <c:spPr>
            <a:ln w="38100" cap="rnd">
              <a:solidFill>
                <a:srgbClr val="8CB369"/>
              </a:solidFill>
              <a:round/>
            </a:ln>
            <a:effectLst/>
          </c:spPr>
          <c:marker>
            <c:symbol val="none"/>
          </c:marker>
          <c:cat>
            <c:numRef>
              <c:f>'cluster eigendom'!$AN$219:$DN$219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'cluster eigendom'!$AN$226:$DN$226</c:f>
              <c:numCache>
                <c:formatCode>_ [$€-413]\ * #,##0_ ;_ [$€-413]\ * \-#,##0_ ;_ [$€-413]\ * "-"??_ ;_ @_ </c:formatCode>
                <c:ptCount val="14"/>
                <c:pt idx="0" formatCode="#,##0">
                  <c:v>0</c:v>
                </c:pt>
                <c:pt idx="1">
                  <c:v>0</c:v>
                </c:pt>
                <c:pt idx="2">
                  <c:v>15660.0036720684</c:v>
                </c:pt>
                <c:pt idx="3">
                  <c:v>54541.362206791229</c:v>
                </c:pt>
                <c:pt idx="4">
                  <c:v>96003.495164168489</c:v>
                </c:pt>
                <c:pt idx="5">
                  <c:v>140046.40254420019</c:v>
                </c:pt>
                <c:pt idx="6">
                  <c:v>186670.08434688632</c:v>
                </c:pt>
                <c:pt idx="7">
                  <c:v>235874.54057222686</c:v>
                </c:pt>
                <c:pt idx="8">
                  <c:v>287659.77122022182</c:v>
                </c:pt>
                <c:pt idx="9">
                  <c:v>342025.7762908712</c:v>
                </c:pt>
                <c:pt idx="10">
                  <c:v>396391.78136152058</c:v>
                </c:pt>
                <c:pt idx="11">
                  <c:v>450757.78643216996</c:v>
                </c:pt>
                <c:pt idx="12">
                  <c:v>505123.79150281934</c:v>
                </c:pt>
                <c:pt idx="13">
                  <c:v>559489.79657346872</c:v>
                </c:pt>
              </c:numCache>
            </c:numRef>
          </c:val>
          <c:smooth val="0"/>
          <c:extLst>
            <c:ext xmlns:c16="http://schemas.microsoft.com/office/drawing/2014/chart" uri="{C3380CC4-5D6E-409C-BE32-E72D297353CC}">
              <c16:uniqueId val="{00000002-493E-4C03-8BA3-39AB113E1B63}"/>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eigendom'!$U$232:$GZ$232</c:f>
              <c:numCache>
                <c:formatCode>#,##0</c:formatCode>
                <c:ptCount val="33"/>
                <c:pt idx="0">
                  <c:v>47319</c:v>
                </c:pt>
                <c:pt idx="1">
                  <c:v>47319</c:v>
                </c:pt>
                <c:pt idx="2">
                  <c:v>47319</c:v>
                </c:pt>
                <c:pt idx="3">
                  <c:v>47319</c:v>
                </c:pt>
                <c:pt idx="4">
                  <c:v>47319</c:v>
                </c:pt>
                <c:pt idx="5">
                  <c:v>47319</c:v>
                </c:pt>
                <c:pt idx="6">
                  <c:v>40339.447500000002</c:v>
                </c:pt>
                <c:pt idx="7">
                  <c:v>35796.823499999999</c:v>
                </c:pt>
                <c:pt idx="8">
                  <c:v>32200.5795</c:v>
                </c:pt>
                <c:pt idx="9">
                  <c:v>28604.335500000001</c:v>
                </c:pt>
                <c:pt idx="10">
                  <c:v>25008.091500000002</c:v>
                </c:pt>
                <c:pt idx="11">
                  <c:v>21411.847500000003</c:v>
                </c:pt>
                <c:pt idx="12">
                  <c:v>17815.603500000005</c:v>
                </c:pt>
                <c:pt idx="13">
                  <c:v>14219.359500000004</c:v>
                </c:pt>
                <c:pt idx="14">
                  <c:v>14219.359500000004</c:v>
                </c:pt>
                <c:pt idx="15">
                  <c:v>14219.359500000004</c:v>
                </c:pt>
                <c:pt idx="16">
                  <c:v>14219.359500000004</c:v>
                </c:pt>
                <c:pt idx="17">
                  <c:v>14219.359500000004</c:v>
                </c:pt>
                <c:pt idx="18">
                  <c:v>3430.6275000000041</c:v>
                </c:pt>
                <c:pt idx="19">
                  <c:v>3430.6275000000041</c:v>
                </c:pt>
                <c:pt idx="20">
                  <c:v>3430.6275000000041</c:v>
                </c:pt>
                <c:pt idx="21">
                  <c:v>3430.6275000000041</c:v>
                </c:pt>
                <c:pt idx="22">
                  <c:v>3430.6275000000041</c:v>
                </c:pt>
                <c:pt idx="23">
                  <c:v>3430.6275000000041</c:v>
                </c:pt>
                <c:pt idx="24">
                  <c:v>3430.6275000000041</c:v>
                </c:pt>
                <c:pt idx="25">
                  <c:v>3430.6275000000041</c:v>
                </c:pt>
                <c:pt idx="26">
                  <c:v>3430.6275000000041</c:v>
                </c:pt>
                <c:pt idx="27">
                  <c:v>3430.6275000000041</c:v>
                </c:pt>
                <c:pt idx="28">
                  <c:v>3430.6275000000041</c:v>
                </c:pt>
                <c:pt idx="29">
                  <c:v>3430.6275000000041</c:v>
                </c:pt>
                <c:pt idx="30">
                  <c:v>3430.6275000000041</c:v>
                </c:pt>
                <c:pt idx="31">
                  <c:v>3430.6275000000041</c:v>
                </c:pt>
                <c:pt idx="32">
                  <c:v>3430.6275000000041</c:v>
                </c:pt>
              </c:numCache>
            </c:numRef>
          </c:val>
          <c:extLst>
            <c:ext xmlns:c16="http://schemas.microsoft.com/office/drawing/2014/chart" uri="{C3380CC4-5D6E-409C-BE32-E72D297353CC}">
              <c16:uniqueId val="{00000000-F0DF-46B9-91FC-5F8715980DDA}"/>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42809711786226"/>
          <c:y val="0.19374605271039005"/>
          <c:w val="0.71854786389530612"/>
          <c:h val="0.68466137909927371"/>
        </c:manualLayout>
      </c:layout>
      <c:barChart>
        <c:barDir val="col"/>
        <c:grouping val="stacked"/>
        <c:varyColors val="0"/>
        <c:ser>
          <c:idx val="0"/>
          <c:order val="0"/>
          <c:tx>
            <c:v>Elektriciteit inkoop</c:v>
          </c:tx>
          <c:spPr>
            <a:solidFill>
              <a:srgbClr val="F4A259">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Cijfers!$H$30:$AN$30</c:f>
              <c:numCache>
                <c:formatCode>_ * #,##0_ ;_ * \-#,##0_ ;_ * "-"??_ ;_ @_ </c:formatCode>
                <c:ptCount val="33"/>
                <c:pt idx="0">
                  <c:v>33.467156579184923</c:v>
                </c:pt>
                <c:pt idx="1">
                  <c:v>33.467156579184923</c:v>
                </c:pt>
                <c:pt idx="2">
                  <c:v>33.467156579184923</c:v>
                </c:pt>
                <c:pt idx="3">
                  <c:v>33.467156579184923</c:v>
                </c:pt>
                <c:pt idx="4">
                  <c:v>33.467156579184923</c:v>
                </c:pt>
                <c:pt idx="5">
                  <c:v>27.124530574305446</c:v>
                </c:pt>
                <c:pt idx="6">
                  <c:v>26.096352296052949</c:v>
                </c:pt>
                <c:pt idx="7">
                  <c:v>21.877679870273099</c:v>
                </c:pt>
                <c:pt idx="8">
                  <c:v>22.923798543904109</c:v>
                </c:pt>
                <c:pt idx="9">
                  <c:v>27.172730614935602</c:v>
                </c:pt>
                <c:pt idx="10">
                  <c:v>27.617681423559763</c:v>
                </c:pt>
                <c:pt idx="11">
                  <c:v>28.062632232183919</c:v>
                </c:pt>
                <c:pt idx="12">
                  <c:v>28.507583040808075</c:v>
                </c:pt>
                <c:pt idx="13">
                  <c:v>28.952533849432236</c:v>
                </c:pt>
                <c:pt idx="14">
                  <c:v>23.07069792023243</c:v>
                </c:pt>
                <c:pt idx="15">
                  <c:v>23.07069792023243</c:v>
                </c:pt>
                <c:pt idx="16">
                  <c:v>23.07069792023243</c:v>
                </c:pt>
                <c:pt idx="17">
                  <c:v>23.07069792023243</c:v>
                </c:pt>
                <c:pt idx="18">
                  <c:v>24.405552805175592</c:v>
                </c:pt>
                <c:pt idx="19">
                  <c:v>24.405552805175592</c:v>
                </c:pt>
                <c:pt idx="20">
                  <c:v>24.405552805175592</c:v>
                </c:pt>
                <c:pt idx="21">
                  <c:v>24.405552805175592</c:v>
                </c:pt>
                <c:pt idx="22">
                  <c:v>23.405938516075405</c:v>
                </c:pt>
                <c:pt idx="23">
                  <c:v>23.405938516075405</c:v>
                </c:pt>
                <c:pt idx="24">
                  <c:v>23.405938516075405</c:v>
                </c:pt>
                <c:pt idx="25">
                  <c:v>23.405938516075405</c:v>
                </c:pt>
                <c:pt idx="26">
                  <c:v>23.405938516075405</c:v>
                </c:pt>
                <c:pt idx="27">
                  <c:v>23.405938516075405</c:v>
                </c:pt>
                <c:pt idx="28">
                  <c:v>23.405938516075405</c:v>
                </c:pt>
                <c:pt idx="29">
                  <c:v>23.405938516075405</c:v>
                </c:pt>
                <c:pt idx="30">
                  <c:v>23.405938516075405</c:v>
                </c:pt>
                <c:pt idx="31">
                  <c:v>23.405938516075405</c:v>
                </c:pt>
                <c:pt idx="32">
                  <c:v>23.405938516075405</c:v>
                </c:pt>
              </c:numCache>
            </c:numRef>
          </c:val>
          <c:extLst>
            <c:ext xmlns:c16="http://schemas.microsoft.com/office/drawing/2014/chart" uri="{C3380CC4-5D6E-409C-BE32-E72D297353CC}">
              <c16:uniqueId val="{00000000-BCD2-4592-88D5-304406AB642B}"/>
            </c:ext>
          </c:extLst>
        </c:ser>
        <c:ser>
          <c:idx val="3"/>
          <c:order val="1"/>
          <c:tx>
            <c:v>Opwek met PV</c:v>
          </c:tx>
          <c:spPr>
            <a:solidFill>
              <a:srgbClr val="8CB369">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Cijfers!$H$40:$AN$40</c:f>
              <c:numCache>
                <c:formatCode>_ * #,##0_ ;_ * \-#,##0_ ;_ * "-"??_ ;_ @_ </c:formatCode>
                <c:ptCount val="33"/>
                <c:pt idx="0">
                  <c:v>0</c:v>
                </c:pt>
                <c:pt idx="1">
                  <c:v>0</c:v>
                </c:pt>
                <c:pt idx="2">
                  <c:v>0</c:v>
                </c:pt>
                <c:pt idx="3">
                  <c:v>0</c:v>
                </c:pt>
                <c:pt idx="4">
                  <c:v>0</c:v>
                </c:pt>
                <c:pt idx="5">
                  <c:v>17.656816649411034</c:v>
                </c:pt>
                <c:pt idx="6">
                  <c:v>17.656816649411034</c:v>
                </c:pt>
                <c:pt idx="7">
                  <c:v>22.921607748821891</c:v>
                </c:pt>
                <c:pt idx="8">
                  <c:v>22.921607748821891</c:v>
                </c:pt>
                <c:pt idx="9">
                  <c:v>27.669219542434174</c:v>
                </c:pt>
                <c:pt idx="10">
                  <c:v>27.669219542434174</c:v>
                </c:pt>
                <c:pt idx="11">
                  <c:v>27.669219542434174</c:v>
                </c:pt>
                <c:pt idx="12">
                  <c:v>27.669219542434174</c:v>
                </c:pt>
                <c:pt idx="13">
                  <c:v>27.669219542434174</c:v>
                </c:pt>
                <c:pt idx="14">
                  <c:v>30.785739451538984</c:v>
                </c:pt>
                <c:pt idx="15">
                  <c:v>30.785739451538984</c:v>
                </c:pt>
                <c:pt idx="16">
                  <c:v>30.785739451538984</c:v>
                </c:pt>
                <c:pt idx="17">
                  <c:v>30.785739451538984</c:v>
                </c:pt>
                <c:pt idx="18">
                  <c:v>30.785739451538984</c:v>
                </c:pt>
                <c:pt idx="19">
                  <c:v>30.785739451538984</c:v>
                </c:pt>
                <c:pt idx="20">
                  <c:v>30.785739451538984</c:v>
                </c:pt>
                <c:pt idx="21">
                  <c:v>30.785739451538984</c:v>
                </c:pt>
                <c:pt idx="22">
                  <c:v>29.361326977243717</c:v>
                </c:pt>
                <c:pt idx="23">
                  <c:v>29.361326977243717</c:v>
                </c:pt>
                <c:pt idx="24">
                  <c:v>29.361326977243717</c:v>
                </c:pt>
                <c:pt idx="25">
                  <c:v>29.361326977243717</c:v>
                </c:pt>
                <c:pt idx="26">
                  <c:v>29.361326977243717</c:v>
                </c:pt>
                <c:pt idx="27">
                  <c:v>29.361326977243717</c:v>
                </c:pt>
                <c:pt idx="28">
                  <c:v>29.361326977243717</c:v>
                </c:pt>
                <c:pt idx="29">
                  <c:v>29.361326977243717</c:v>
                </c:pt>
                <c:pt idx="30">
                  <c:v>29.361326977243717</c:v>
                </c:pt>
                <c:pt idx="31">
                  <c:v>29.361326977243717</c:v>
                </c:pt>
                <c:pt idx="32">
                  <c:v>29.361326977243717</c:v>
                </c:pt>
              </c:numCache>
            </c:numRef>
          </c:val>
          <c:extLst>
            <c:ext xmlns:c16="http://schemas.microsoft.com/office/drawing/2014/chart" uri="{C3380CC4-5D6E-409C-BE32-E72D297353CC}">
              <c16:uniqueId val="{00000000-EDB9-4575-A12E-E81960E6D30B}"/>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70" b="1"/>
                  <a:t>kWh/m2</a:t>
                </a:r>
              </a:p>
            </c:rich>
          </c:tx>
          <c:layout>
            <c:manualLayout>
              <c:xMode val="edge"/>
              <c:yMode val="edge"/>
              <c:x val="4.8832606407921995E-2"/>
              <c:y val="9.4815318023599202E-2"/>
            </c:manualLayout>
          </c:layout>
          <c:overlay val="0"/>
          <c:spPr>
            <a:noFill/>
            <a:ln>
              <a:noFill/>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5598465327409192"/>
          <c:y val="1.1815269247167366E-2"/>
          <c:w val="0.61195357087405133"/>
          <c:h val="0.15405593721639221"/>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eigendom'!$U$229:$GZ$229</c:f>
              <c:numCache>
                <c:formatCode>#,##0</c:formatCode>
                <c:ptCount val="33"/>
                <c:pt idx="0">
                  <c:v>130162</c:v>
                </c:pt>
                <c:pt idx="1">
                  <c:v>130162</c:v>
                </c:pt>
                <c:pt idx="2">
                  <c:v>130162</c:v>
                </c:pt>
                <c:pt idx="3">
                  <c:v>130162</c:v>
                </c:pt>
                <c:pt idx="4">
                  <c:v>130162</c:v>
                </c:pt>
                <c:pt idx="5">
                  <c:v>130162</c:v>
                </c:pt>
                <c:pt idx="6">
                  <c:v>106978.41664539999</c:v>
                </c:pt>
                <c:pt idx="7">
                  <c:v>40593.844745185706</c:v>
                </c:pt>
                <c:pt idx="8">
                  <c:v>50255.13284497142</c:v>
                </c:pt>
                <c:pt idx="9">
                  <c:v>59916.420944757134</c:v>
                </c:pt>
                <c:pt idx="10">
                  <c:v>69577.709044542848</c:v>
                </c:pt>
                <c:pt idx="11">
                  <c:v>79238.997144328561</c:v>
                </c:pt>
                <c:pt idx="12">
                  <c:v>88900.285244114275</c:v>
                </c:pt>
                <c:pt idx="13">
                  <c:v>98561.573343899989</c:v>
                </c:pt>
                <c:pt idx="14">
                  <c:v>98561.573343899989</c:v>
                </c:pt>
                <c:pt idx="15">
                  <c:v>98561.573343899989</c:v>
                </c:pt>
                <c:pt idx="16">
                  <c:v>98561.573343899989</c:v>
                </c:pt>
                <c:pt idx="17">
                  <c:v>98561.573343899989</c:v>
                </c:pt>
                <c:pt idx="18">
                  <c:v>127545.43764325713</c:v>
                </c:pt>
                <c:pt idx="19">
                  <c:v>127545.43764325713</c:v>
                </c:pt>
                <c:pt idx="20">
                  <c:v>127545.43764325713</c:v>
                </c:pt>
                <c:pt idx="21">
                  <c:v>127545.43764325713</c:v>
                </c:pt>
                <c:pt idx="22">
                  <c:v>127545.43764325713</c:v>
                </c:pt>
                <c:pt idx="23">
                  <c:v>127545.43764325713</c:v>
                </c:pt>
                <c:pt idx="24">
                  <c:v>127545.43764325713</c:v>
                </c:pt>
                <c:pt idx="25">
                  <c:v>127545.43764325713</c:v>
                </c:pt>
                <c:pt idx="26">
                  <c:v>127545.43764325713</c:v>
                </c:pt>
                <c:pt idx="27">
                  <c:v>127545.43764325713</c:v>
                </c:pt>
                <c:pt idx="28">
                  <c:v>127545.43764325713</c:v>
                </c:pt>
                <c:pt idx="29">
                  <c:v>127545.43764325713</c:v>
                </c:pt>
                <c:pt idx="30">
                  <c:v>127545.43764325713</c:v>
                </c:pt>
                <c:pt idx="31">
                  <c:v>127545.43764325713</c:v>
                </c:pt>
                <c:pt idx="32">
                  <c:v>127545.43764325713</c:v>
                </c:pt>
              </c:numCache>
            </c:numRef>
          </c:val>
          <c:extLst>
            <c:ext xmlns:c16="http://schemas.microsoft.com/office/drawing/2014/chart" uri="{C3380CC4-5D6E-409C-BE32-E72D297353CC}">
              <c16:uniqueId val="{00000000-7F7E-4B51-9DD3-3FAB7A3F4E18}"/>
            </c:ext>
          </c:extLst>
        </c:ser>
        <c:ser>
          <c:idx val="3"/>
          <c:order val="1"/>
          <c:tx>
            <c:v>Opwek met PV</c:v>
          </c:tx>
          <c:spPr>
            <a:solidFill>
              <a:srgbClr val="8CB369">
                <a:alpha val="76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eigendom'!$U$240:$GZ$240</c:f>
              <c:numCache>
                <c:formatCode>#,##0</c:formatCode>
                <c:ptCount val="33"/>
                <c:pt idx="0">
                  <c:v>0</c:v>
                </c:pt>
                <c:pt idx="1">
                  <c:v>0</c:v>
                </c:pt>
                <c:pt idx="2">
                  <c:v>0</c:v>
                </c:pt>
                <c:pt idx="3">
                  <c:v>0</c:v>
                </c:pt>
                <c:pt idx="4">
                  <c:v>0</c:v>
                </c:pt>
                <c:pt idx="5">
                  <c:v>0</c:v>
                </c:pt>
                <c:pt idx="6">
                  <c:v>0</c:v>
                </c:pt>
                <c:pt idx="7">
                  <c:v>76045.86</c:v>
                </c:pt>
                <c:pt idx="8">
                  <c:v>76045.86</c:v>
                </c:pt>
                <c:pt idx="9">
                  <c:v>76045.86</c:v>
                </c:pt>
                <c:pt idx="10">
                  <c:v>76045.86</c:v>
                </c:pt>
                <c:pt idx="11">
                  <c:v>76045.86</c:v>
                </c:pt>
                <c:pt idx="12">
                  <c:v>76045.86</c:v>
                </c:pt>
                <c:pt idx="13">
                  <c:v>76045.86</c:v>
                </c:pt>
                <c:pt idx="14">
                  <c:v>76045.86</c:v>
                </c:pt>
                <c:pt idx="15">
                  <c:v>76045.86</c:v>
                </c:pt>
                <c:pt idx="16">
                  <c:v>76045.86</c:v>
                </c:pt>
                <c:pt idx="17">
                  <c:v>76045.86</c:v>
                </c:pt>
                <c:pt idx="18">
                  <c:v>76045.86</c:v>
                </c:pt>
                <c:pt idx="19">
                  <c:v>76045.86</c:v>
                </c:pt>
                <c:pt idx="20">
                  <c:v>76045.86</c:v>
                </c:pt>
                <c:pt idx="21">
                  <c:v>76045.86</c:v>
                </c:pt>
                <c:pt idx="22">
                  <c:v>76045.86</c:v>
                </c:pt>
                <c:pt idx="23">
                  <c:v>76045.86</c:v>
                </c:pt>
                <c:pt idx="24">
                  <c:v>76045.86</c:v>
                </c:pt>
                <c:pt idx="25">
                  <c:v>76045.86</c:v>
                </c:pt>
                <c:pt idx="26">
                  <c:v>76045.86</c:v>
                </c:pt>
                <c:pt idx="27">
                  <c:v>76045.86</c:v>
                </c:pt>
                <c:pt idx="28">
                  <c:v>76045.86</c:v>
                </c:pt>
                <c:pt idx="29">
                  <c:v>76045.86</c:v>
                </c:pt>
                <c:pt idx="30">
                  <c:v>76045.86</c:v>
                </c:pt>
                <c:pt idx="31">
                  <c:v>76045.86</c:v>
                </c:pt>
                <c:pt idx="32">
                  <c:v>76045.86</c:v>
                </c:pt>
              </c:numCache>
            </c:numRef>
          </c:val>
          <c:extLst>
            <c:ext xmlns:c16="http://schemas.microsoft.com/office/drawing/2014/chart" uri="{C3380CC4-5D6E-409C-BE32-E72D297353CC}">
              <c16:uniqueId val="{00000001-7F7E-4B51-9DD3-3FAB7A3F4E18}"/>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eigendom'!$U$235:$GZ$235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8E0-4C00-B4B9-2C6E7DEB81A8}"/>
            </c:ext>
          </c:extLst>
        </c:ser>
        <c:ser>
          <c:idx val="4"/>
          <c:order val="1"/>
          <c:tx>
            <c:v>Duurzame warmte</c:v>
          </c:tx>
          <c:spPr>
            <a:solidFill>
              <a:srgbClr val="8CB369">
                <a:alpha val="75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eigendom'!$U$242:$GZ$242</c:f>
              <c:numCache>
                <c:formatCode>#,##0</c:formatCode>
                <c:ptCount val="33"/>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D8E0-4C00-B4B9-2C6E7DEB81A8}"/>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eigendom'!$U$245:$GZ$245</c:f>
              <c:numCache>
                <c:formatCode>#,##0</c:formatCode>
                <c:ptCount val="33"/>
                <c:pt idx="0">
                  <c:v>188.19658075732195</c:v>
                </c:pt>
                <c:pt idx="1">
                  <c:v>188.19658075732195</c:v>
                </c:pt>
                <c:pt idx="2">
                  <c:v>188.19658075732195</c:v>
                </c:pt>
                <c:pt idx="3">
                  <c:v>188.19658075732195</c:v>
                </c:pt>
                <c:pt idx="4">
                  <c:v>188.19658075732195</c:v>
                </c:pt>
                <c:pt idx="5">
                  <c:v>188.19658075732195</c:v>
                </c:pt>
                <c:pt idx="6">
                  <c:v>159.17347148634587</c:v>
                </c:pt>
                <c:pt idx="7">
                  <c:v>148.13569727303997</c:v>
                </c:pt>
                <c:pt idx="8">
                  <c:v>140.0359955814335</c:v>
                </c:pt>
                <c:pt idx="9">
                  <c:v>131.936293889827</c:v>
                </c:pt>
                <c:pt idx="10">
                  <c:v>123.83659219822054</c:v>
                </c:pt>
                <c:pt idx="11">
                  <c:v>115.73689050661406</c:v>
                </c:pt>
                <c:pt idx="12">
                  <c:v>107.63718881500759</c:v>
                </c:pt>
                <c:pt idx="13">
                  <c:v>99.537487123401107</c:v>
                </c:pt>
                <c:pt idx="14">
                  <c:v>99.537487123401107</c:v>
                </c:pt>
                <c:pt idx="15">
                  <c:v>99.537487123401107</c:v>
                </c:pt>
                <c:pt idx="16">
                  <c:v>99.537487123401107</c:v>
                </c:pt>
                <c:pt idx="17">
                  <c:v>99.537487123401107</c:v>
                </c:pt>
                <c:pt idx="18">
                  <c:v>75.238382048581656</c:v>
                </c:pt>
                <c:pt idx="19">
                  <c:v>75.238382048581656</c:v>
                </c:pt>
                <c:pt idx="20">
                  <c:v>75.238382048581656</c:v>
                </c:pt>
                <c:pt idx="21">
                  <c:v>75.238382048581656</c:v>
                </c:pt>
                <c:pt idx="22">
                  <c:v>75.238382048581656</c:v>
                </c:pt>
                <c:pt idx="23">
                  <c:v>75.238382048581656</c:v>
                </c:pt>
                <c:pt idx="24">
                  <c:v>75.238382048581656</c:v>
                </c:pt>
                <c:pt idx="25">
                  <c:v>75.238382048581656</c:v>
                </c:pt>
                <c:pt idx="26">
                  <c:v>75.238382048581656</c:v>
                </c:pt>
                <c:pt idx="27">
                  <c:v>75.238382048581656</c:v>
                </c:pt>
                <c:pt idx="28">
                  <c:v>75.238382048581656</c:v>
                </c:pt>
                <c:pt idx="29">
                  <c:v>75.238382048581656</c:v>
                </c:pt>
                <c:pt idx="30">
                  <c:v>75.238382048581656</c:v>
                </c:pt>
                <c:pt idx="31">
                  <c:v>75.238382048581656</c:v>
                </c:pt>
                <c:pt idx="32">
                  <c:v>75.238382048581656</c:v>
                </c:pt>
              </c:numCache>
            </c:numRef>
          </c:val>
          <c:extLst>
            <c:ext xmlns:c16="http://schemas.microsoft.com/office/drawing/2014/chart" uri="{C3380CC4-5D6E-409C-BE32-E72D297353CC}">
              <c16:uniqueId val="{00000000-CB3D-4880-B794-EEABBF58C381}"/>
            </c:ext>
          </c:extLst>
        </c:ser>
        <c:ser>
          <c:idx val="1"/>
          <c:order val="1"/>
          <c:tx>
            <c:v>Energie inkoop = WEii (kWh/m2)</c:v>
          </c:tx>
          <c:spPr>
            <a:solidFill>
              <a:srgbClr val="393D3F">
                <a:alpha val="80000"/>
              </a:srgbClr>
            </a:solidFill>
            <a:ln>
              <a:noFill/>
            </a:ln>
            <a:effectLst/>
          </c:spPr>
          <c:invertIfNegative val="0"/>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eigendom'!$U$238:$GZ$238</c:f>
              <c:numCache>
                <c:formatCode>#,##0</c:formatCode>
                <c:ptCount val="33"/>
                <c:pt idx="0">
                  <c:v>188.19658075732195</c:v>
                </c:pt>
                <c:pt idx="1">
                  <c:v>188.19658075732195</c:v>
                </c:pt>
                <c:pt idx="2">
                  <c:v>188.19658075732195</c:v>
                </c:pt>
                <c:pt idx="3">
                  <c:v>188.19658075732195</c:v>
                </c:pt>
                <c:pt idx="4">
                  <c:v>188.19658075732195</c:v>
                </c:pt>
                <c:pt idx="5">
                  <c:v>188.19658075732195</c:v>
                </c:pt>
                <c:pt idx="6">
                  <c:v>159.17347148634587</c:v>
                </c:pt>
                <c:pt idx="7">
                  <c:v>124.01069727303997</c:v>
                </c:pt>
                <c:pt idx="8">
                  <c:v>115.91099558143351</c:v>
                </c:pt>
                <c:pt idx="9">
                  <c:v>107.81129388982701</c:v>
                </c:pt>
                <c:pt idx="10">
                  <c:v>99.711592198220544</c:v>
                </c:pt>
                <c:pt idx="11">
                  <c:v>91.611890506614074</c:v>
                </c:pt>
                <c:pt idx="12">
                  <c:v>83.51218881500759</c:v>
                </c:pt>
                <c:pt idx="13">
                  <c:v>75.412487123401107</c:v>
                </c:pt>
                <c:pt idx="14">
                  <c:v>75.412487123401107</c:v>
                </c:pt>
                <c:pt idx="15">
                  <c:v>75.412487123401107</c:v>
                </c:pt>
                <c:pt idx="16">
                  <c:v>75.412487123401107</c:v>
                </c:pt>
                <c:pt idx="17">
                  <c:v>75.412487123401107</c:v>
                </c:pt>
                <c:pt idx="18">
                  <c:v>51.113382048581663</c:v>
                </c:pt>
                <c:pt idx="19">
                  <c:v>51.113382048581663</c:v>
                </c:pt>
                <c:pt idx="20">
                  <c:v>51.113382048581663</c:v>
                </c:pt>
                <c:pt idx="21">
                  <c:v>51.113382048581663</c:v>
                </c:pt>
                <c:pt idx="22">
                  <c:v>51.113382048581663</c:v>
                </c:pt>
                <c:pt idx="23">
                  <c:v>51.113382048581663</c:v>
                </c:pt>
                <c:pt idx="24">
                  <c:v>51.113382048581663</c:v>
                </c:pt>
                <c:pt idx="25">
                  <c:v>51.113382048581663</c:v>
                </c:pt>
                <c:pt idx="26">
                  <c:v>51.113382048581663</c:v>
                </c:pt>
                <c:pt idx="27">
                  <c:v>51.113382048581663</c:v>
                </c:pt>
                <c:pt idx="28">
                  <c:v>51.113382048581663</c:v>
                </c:pt>
                <c:pt idx="29">
                  <c:v>51.113382048581663</c:v>
                </c:pt>
                <c:pt idx="30">
                  <c:v>51.113382048581663</c:v>
                </c:pt>
                <c:pt idx="31">
                  <c:v>51.113382048581663</c:v>
                </c:pt>
                <c:pt idx="32">
                  <c:v>51.113382048581663</c:v>
                </c:pt>
              </c:numCache>
            </c:numRef>
          </c:val>
          <c:extLst>
            <c:ext xmlns:c16="http://schemas.microsoft.com/office/drawing/2014/chart" uri="{C3380CC4-5D6E-409C-BE32-E72D297353CC}">
              <c16:uniqueId val="{00000001-CB3D-4880-B794-EEABBF58C381}"/>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'cluster eigendom'!$U$219:$GZ$219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eigendom'!$U$256:$GZ$256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CB3D-4880-B794-EEABBF58C381}"/>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80678404669754"/>
          <c:y val="0.18173523805314637"/>
          <c:w val="0.78210202249582195"/>
          <c:h val="0.57879592028088278"/>
        </c:manualLayout>
      </c:layout>
      <c:barChart>
        <c:barDir val="col"/>
        <c:grouping val="clustered"/>
        <c:varyColors val="0"/>
        <c:ser>
          <c:idx val="1"/>
          <c:order val="0"/>
          <c:tx>
            <c:v>CO2-emissie (ton)</c:v>
          </c:tx>
          <c:spPr>
            <a:solidFill>
              <a:srgbClr val="C6C6B9">
                <a:alpha val="79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huur'!$U$253:$GZ$253</c:f>
              <c:numCache>
                <c:formatCode>#,##0</c:formatCode>
                <c:ptCount val="33"/>
                <c:pt idx="0">
                  <c:v>352.839651</c:v>
                </c:pt>
                <c:pt idx="1">
                  <c:v>352.839651</c:v>
                </c:pt>
                <c:pt idx="2">
                  <c:v>352.839651</c:v>
                </c:pt>
                <c:pt idx="3">
                  <c:v>352.839651</c:v>
                </c:pt>
                <c:pt idx="4">
                  <c:v>352.839651</c:v>
                </c:pt>
                <c:pt idx="5">
                  <c:v>91.067494991716217</c:v>
                </c:pt>
                <c:pt idx="6">
                  <c:v>91.067494991716217</c:v>
                </c:pt>
                <c:pt idx="7">
                  <c:v>91.067494991716217</c:v>
                </c:pt>
                <c:pt idx="8">
                  <c:v>91.067494991716217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B07-4D80-BDAC-ECE3834801DC}"/>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rgbClr val="C6C6B9"/>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39676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7724088364415"/>
          <c:y val="0.16867295292946941"/>
          <c:w val="0.71920042637679293"/>
          <c:h val="0.67520624876197211"/>
        </c:manualLayout>
      </c:layout>
      <c:lineChart>
        <c:grouping val="standard"/>
        <c:varyColors val="0"/>
        <c:ser>
          <c:idx val="3"/>
          <c:order val="0"/>
          <c:tx>
            <c:v>Investeringen</c:v>
          </c:tx>
          <c:spPr>
            <a:ln w="38100" cap="rnd">
              <a:solidFill>
                <a:srgbClr val="C9918D"/>
              </a:solidFill>
              <a:round/>
            </a:ln>
            <a:effectLst/>
          </c:spPr>
          <c:marker>
            <c:symbol val="none"/>
          </c:marker>
          <c:cat>
            <c:numRef>
              <c:f>'cluster huur'!$AN$219:$DN$219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'cluster huur'!$AN$224:$DN$224</c:f>
              <c:numCache>
                <c:formatCode>_ [$€-413]\ * #,##0_ ;_ [$€-413]\ * \-#,##0_ ;_ [$€-413]\ * "-"??_ ;_ @_ </c:formatCode>
                <c:ptCount val="14"/>
                <c:pt idx="0">
                  <c:v>0</c:v>
                </c:pt>
                <c:pt idx="1">
                  <c:v>938150.31359999999</c:v>
                </c:pt>
                <c:pt idx="2">
                  <c:v>938150.31359999999</c:v>
                </c:pt>
                <c:pt idx="3">
                  <c:v>938150.31359999999</c:v>
                </c:pt>
                <c:pt idx="4">
                  <c:v>938150.31359999999</c:v>
                </c:pt>
                <c:pt idx="5">
                  <c:v>938150.31359999999</c:v>
                </c:pt>
                <c:pt idx="6">
                  <c:v>938150.31359999999</c:v>
                </c:pt>
                <c:pt idx="7">
                  <c:v>938150.31359999999</c:v>
                </c:pt>
                <c:pt idx="8">
                  <c:v>938150.31359999999</c:v>
                </c:pt>
                <c:pt idx="9">
                  <c:v>938150.31359999999</c:v>
                </c:pt>
                <c:pt idx="10">
                  <c:v>938150.31359999999</c:v>
                </c:pt>
                <c:pt idx="11">
                  <c:v>938150.31359999999</c:v>
                </c:pt>
                <c:pt idx="12">
                  <c:v>938150.31359999999</c:v>
                </c:pt>
                <c:pt idx="13">
                  <c:v>938150.31359999999</c:v>
                </c:pt>
              </c:numCache>
            </c:numRef>
          </c:val>
          <c:smooth val="0"/>
          <c:extLst>
            <c:ext xmlns:c16="http://schemas.microsoft.com/office/drawing/2014/chart" uri="{C3380CC4-5D6E-409C-BE32-E72D297353CC}">
              <c16:uniqueId val="{00000000-D503-488E-B2F5-6554ADE13353}"/>
            </c:ext>
          </c:extLst>
        </c:ser>
        <c:ser>
          <c:idx val="4"/>
          <c:order val="1"/>
          <c:tx>
            <c:v>Besparingen</c:v>
          </c:tx>
          <c:spPr>
            <a:ln w="28575" cap="rnd">
              <a:solidFill>
                <a:srgbClr val="8CB369"/>
              </a:solidFill>
              <a:round/>
            </a:ln>
            <a:effectLst/>
          </c:spPr>
          <c:marker>
            <c:symbol val="none"/>
          </c:marker>
          <c:cat>
            <c:multiLvlStrRef>
              <c:f>#REF!$AN$219:$DN$219</c:f>
            </c:multiLvlStrRef>
          </c:cat>
          <c:val>
            <c:numRef>
              <c:f>#REF!$HA$240:$HE$240</c:f>
              <c:numCache>
                <c:formatCode>General</c:formatCode>
                <c:ptCount val="1"/>
                <c:pt idx="0">
                  <c:v>1</c:v>
                </c:pt>
              </c:numCache>
            </c:numRef>
          </c:val>
          <c:smooth val="0"/>
          <c:extLst>
            <c:ext xmlns:c16="http://schemas.microsoft.com/office/drawing/2014/chart" uri="{C3380CC4-5D6E-409C-BE32-E72D297353CC}">
              <c16:uniqueId val="{00000001-D503-488E-B2F5-6554ADE13353}"/>
            </c:ext>
          </c:extLst>
        </c:ser>
        <c:ser>
          <c:idx val="0"/>
          <c:order val="2"/>
          <c:tx>
            <c:v>Besparingen</c:v>
          </c:tx>
          <c:spPr>
            <a:ln w="38100" cap="rnd">
              <a:solidFill>
                <a:srgbClr val="8CB369"/>
              </a:solidFill>
              <a:round/>
            </a:ln>
            <a:effectLst/>
          </c:spPr>
          <c:marker>
            <c:symbol val="none"/>
          </c:marker>
          <c:cat>
            <c:numRef>
              <c:f>'cluster huur'!$AN$219:$DN$219</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'cluster huur'!$AN$226:$DN$226</c:f>
              <c:numCache>
                <c:formatCode>_ [$€-413]\ * #,##0_ ;_ [$€-413]\ * \-#,##0_ ;_ [$€-413]\ * "-"??_ ;_ @_ </c:formatCode>
                <c:ptCount val="14"/>
                <c:pt idx="0" formatCode="#,##0">
                  <c:v>0</c:v>
                </c:pt>
                <c:pt idx="1">
                  <c:v>168734.22824023722</c:v>
                </c:pt>
                <c:pt idx="2">
                  <c:v>337468.45648047444</c:v>
                </c:pt>
                <c:pt idx="3">
                  <c:v>506202.68472071167</c:v>
                </c:pt>
                <c:pt idx="4">
                  <c:v>674936.91296094889</c:v>
                </c:pt>
                <c:pt idx="5">
                  <c:v>674936.91296094889</c:v>
                </c:pt>
                <c:pt idx="6">
                  <c:v>674936.91296094889</c:v>
                </c:pt>
                <c:pt idx="7">
                  <c:v>674936.91296094889</c:v>
                </c:pt>
                <c:pt idx="8">
                  <c:v>674936.91296094889</c:v>
                </c:pt>
                <c:pt idx="9">
                  <c:v>674936.91296094889</c:v>
                </c:pt>
                <c:pt idx="10">
                  <c:v>674936.91296094889</c:v>
                </c:pt>
                <c:pt idx="11">
                  <c:v>674936.91296094889</c:v>
                </c:pt>
                <c:pt idx="12">
                  <c:v>674936.91296094889</c:v>
                </c:pt>
                <c:pt idx="13">
                  <c:v>674936.91296094889</c:v>
                </c:pt>
              </c:numCache>
            </c:numRef>
          </c:val>
          <c:smooth val="0"/>
          <c:extLst>
            <c:ext xmlns:c16="http://schemas.microsoft.com/office/drawing/2014/chart" uri="{C3380CC4-5D6E-409C-BE32-E72D297353CC}">
              <c16:uniqueId val="{00000002-D503-488E-B2F5-6554ADE13353}"/>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7999296"/>
        <c:crosses val="autoZero"/>
        <c:auto val="1"/>
        <c:lblAlgn val="ctr"/>
        <c:lblOffset val="100"/>
        <c:tickLblSkip val="4"/>
        <c:tickMarkSkip val="4"/>
        <c:noMultiLvlLbl val="0"/>
      </c:catAx>
      <c:valAx>
        <c:axId val="247999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3072"/>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Entry>
      <c:layout>
        <c:manualLayout>
          <c:xMode val="edge"/>
          <c:yMode val="edge"/>
          <c:x val="8.0399343366351878E-2"/>
          <c:y val="2.615060029107855E-2"/>
          <c:w val="0.84318562701903543"/>
          <c:h val="0.10550181986089263"/>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3695564311705"/>
          <c:y val="0.19576454143081617"/>
          <c:w val="0.73266696648202689"/>
          <c:h val="0.68548643586632585"/>
        </c:manualLayout>
      </c:layout>
      <c:barChart>
        <c:barDir val="col"/>
        <c:grouping val="clustered"/>
        <c:varyColors val="0"/>
        <c:ser>
          <c:idx val="4"/>
          <c:order val="0"/>
          <c:tx>
            <c:v>Aardgas inkoop</c:v>
          </c:tx>
          <c:spPr>
            <a:solidFill>
              <a:srgbClr val="F4E285">
                <a:alpha val="80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huur'!$U$232:$GZ$232</c:f>
              <c:numCache>
                <c:formatCode>#,##0</c:formatCode>
                <c:ptCount val="33"/>
                <c:pt idx="0">
                  <c:v>114902</c:v>
                </c:pt>
                <c:pt idx="1">
                  <c:v>114902</c:v>
                </c:pt>
                <c:pt idx="2">
                  <c:v>114902</c:v>
                </c:pt>
                <c:pt idx="3">
                  <c:v>114902</c:v>
                </c:pt>
                <c:pt idx="4">
                  <c:v>114902</c:v>
                </c:pt>
                <c:pt idx="5">
                  <c:v>6836.6689999999944</c:v>
                </c:pt>
                <c:pt idx="6">
                  <c:v>6836.6689999999944</c:v>
                </c:pt>
                <c:pt idx="7">
                  <c:v>6836.6689999999944</c:v>
                </c:pt>
                <c:pt idx="8">
                  <c:v>6836.6689999999944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F880-4E28-9E15-863C2F9F3AFF}"/>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m3</a:t>
                </a:r>
              </a:p>
            </c:rich>
          </c:tx>
          <c:layout>
            <c:manualLayout>
              <c:xMode val="edge"/>
              <c:yMode val="edge"/>
              <c:x val="3.0841468086268427E-2"/>
              <c:y val="6.9252875025696048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24765522296376968"/>
          <c:y val="4.7032446611570786E-2"/>
          <c:w val="0.58791006222266295"/>
          <c:h val="8.850102655176309E-2"/>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86779291880224"/>
          <c:y val="0.21561919324086015"/>
          <c:w val="0.71345286096766802"/>
          <c:h val="0.66027423204978819"/>
        </c:manualLayout>
      </c:layout>
      <c:barChart>
        <c:barDir val="col"/>
        <c:grouping val="stacked"/>
        <c:varyColors val="0"/>
        <c:ser>
          <c:idx val="0"/>
          <c:order val="0"/>
          <c:tx>
            <c:v>Elektriciteit inkoop</c:v>
          </c:tx>
          <c:spPr>
            <a:solidFill>
              <a:srgbClr val="F4A259">
                <a:alpha val="74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huur'!$U$229:$GZ$229</c:f>
              <c:numCache>
                <c:formatCode>#,##0</c:formatCode>
                <c:ptCount val="33"/>
                <c:pt idx="0">
                  <c:v>215477</c:v>
                </c:pt>
                <c:pt idx="1">
                  <c:v>215477</c:v>
                </c:pt>
                <c:pt idx="2">
                  <c:v>215477</c:v>
                </c:pt>
                <c:pt idx="3">
                  <c:v>215477</c:v>
                </c:pt>
                <c:pt idx="4">
                  <c:v>215477</c:v>
                </c:pt>
                <c:pt idx="5">
                  <c:v>146804.69747938093</c:v>
                </c:pt>
                <c:pt idx="6">
                  <c:v>146804.69747938093</c:v>
                </c:pt>
                <c:pt idx="7">
                  <c:v>146804.69747938093</c:v>
                </c:pt>
                <c:pt idx="8">
                  <c:v>146804.69747938093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9DFB-475E-9E0E-3C238C18A1EE}"/>
            </c:ext>
          </c:extLst>
        </c:ser>
        <c:ser>
          <c:idx val="3"/>
          <c:order val="1"/>
          <c:tx>
            <c:v>Opwek met PV</c:v>
          </c:tx>
          <c:spPr>
            <a:solidFill>
              <a:srgbClr val="8CB369">
                <a:alpha val="76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huur'!$U$240:$GZ$240</c:f>
              <c:numCache>
                <c:formatCode>#,##0</c:formatCode>
                <c:ptCount val="33"/>
                <c:pt idx="0">
                  <c:v>0</c:v>
                </c:pt>
                <c:pt idx="1">
                  <c:v>0</c:v>
                </c:pt>
                <c:pt idx="2">
                  <c:v>0</c:v>
                </c:pt>
                <c:pt idx="3">
                  <c:v>0</c:v>
                </c:pt>
                <c:pt idx="4">
                  <c:v>0</c:v>
                </c:pt>
                <c:pt idx="5">
                  <c:v>251830.25999999998</c:v>
                </c:pt>
                <c:pt idx="6">
                  <c:v>251830.25999999998</c:v>
                </c:pt>
                <c:pt idx="7">
                  <c:v>251830.25999999998</c:v>
                </c:pt>
                <c:pt idx="8">
                  <c:v>251830.25999999998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9DFB-475E-9E0E-3C238C18A1EE}"/>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t>kWh</a:t>
                </a:r>
              </a:p>
            </c:rich>
          </c:tx>
          <c:layout>
            <c:manualLayout>
              <c:xMode val="edge"/>
              <c:yMode val="edge"/>
              <c:x val="3.5241749468599613E-2"/>
              <c:y val="8.7742485969243555E-2"/>
            </c:manualLayout>
          </c:layout>
          <c:overlay val="0"/>
          <c:spPr>
            <a:noFill/>
            <a:ln>
              <a:noFill/>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6144"/>
        <c:crosses val="autoZero"/>
        <c:crossBetween val="midCat"/>
      </c:valAx>
      <c:spPr>
        <a:noFill/>
        <a:ln>
          <a:noFill/>
        </a:ln>
        <a:effectLst/>
      </c:spPr>
    </c:plotArea>
    <c:legend>
      <c:legendPos val="t"/>
      <c:layout>
        <c:manualLayout>
          <c:xMode val="edge"/>
          <c:yMode val="edge"/>
          <c:x val="0.18654284838498261"/>
          <c:y val="2.6400002771653833E-2"/>
          <c:w val="0.66893646621698288"/>
          <c:h val="0.17260197087684734"/>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8247109585137"/>
          <c:y val="0.2169007581508974"/>
          <c:w val="0.7376452988372818"/>
          <c:h val="0.65931950438573317"/>
        </c:manualLayout>
      </c:layout>
      <c:barChart>
        <c:barDir val="col"/>
        <c:grouping val="stacked"/>
        <c:varyColors val="0"/>
        <c:ser>
          <c:idx val="0"/>
          <c:order val="0"/>
          <c:tx>
            <c:v>Warmte inkoop</c:v>
          </c:tx>
          <c:spPr>
            <a:solidFill>
              <a:srgbClr val="62929E">
                <a:alpha val="75000"/>
              </a:srgbClr>
            </a:solidFill>
            <a:ln w="25400">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huur'!$U$235:$GZ$235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E06B-406A-8141-AD7F6607B8F6}"/>
            </c:ext>
          </c:extLst>
        </c:ser>
        <c:ser>
          <c:idx val="4"/>
          <c:order val="1"/>
          <c:tx>
            <c:v>Duurzame warmte</c:v>
          </c:tx>
          <c:spPr>
            <a:solidFill>
              <a:srgbClr val="8CB369">
                <a:alpha val="75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huur'!$U$242:$GZ$242</c:f>
              <c:numCache>
                <c:formatCode>#,##0</c:formatCode>
                <c:ptCount val="33"/>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E06B-406A-8141-AD7F6607B8F6}"/>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solidFill>
            <a:srgbClr val="FDFDFF"/>
          </a:solidFill>
          <a:ln w="9525" cap="flat" cmpd="sng" algn="ctr">
            <a:solidFill>
              <a:srgbClr val="393D3F">
                <a:alpha val="50000"/>
              </a:srgbClr>
            </a:solidFill>
            <a:round/>
          </a:ln>
          <a:effectLst/>
        </c:spPr>
        <c:txPr>
          <a:bodyPr rot="0" spcFirstLastPara="1" vertOverflow="ellipsis" wrap="square" anchor="ctr" anchorCtr="1"/>
          <a:lstStyle/>
          <a:p>
            <a:pPr>
              <a:defRPr lang="nl-NL" sz="1600" b="1" i="0" u="none" strike="noStrike" kern="1200" baseline="0">
                <a:solidFill>
                  <a:srgbClr val="393D3F"/>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rgbClr val="C6C6B9"/>
              </a:solidFill>
              <a:round/>
            </a:ln>
            <a:effectLst/>
          </c:spPr>
        </c:majorGridlines>
        <c:title>
          <c:tx>
            <c:rich>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r>
                  <a:rPr lang="en-US" sz="1800" b="1"/>
                  <a:t>GJ</a:t>
                </a:r>
              </a:p>
            </c:rich>
          </c:tx>
          <c:layout>
            <c:manualLayout>
              <c:xMode val="edge"/>
              <c:yMode val="edge"/>
              <c:x val="1.264433961700594E-2"/>
              <c:y val="9.9333720596726086E-2"/>
            </c:manualLayout>
          </c:layout>
          <c:overlay val="0"/>
          <c:spPr>
            <a:noFill/>
            <a:ln>
              <a:noFill/>
            </a:ln>
            <a:effectLst/>
          </c:spPr>
          <c:txPr>
            <a:bodyPr rot="0" spcFirstLastPara="1" vertOverflow="ellipsis" wrap="square" anchor="ctr" anchorCtr="1"/>
            <a:lstStyle/>
            <a:p>
              <a:pPr>
                <a:defRPr lang="nl-NL" sz="1800" b="1" i="0" u="none" strike="noStrike" kern="1200" baseline="0">
                  <a:solidFill>
                    <a:schemeClr val="tx1"/>
                  </a:solidFill>
                  <a:latin typeface="+mn-lt"/>
                  <a:ea typeface="+mn-ea"/>
                  <a:cs typeface="+mn-cs"/>
                </a:defRPr>
              </a:pPr>
              <a:endParaRPr lang="nl-NL"/>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lang="nl-NL" sz="1600" b="0" i="0" u="none" strike="noStrike" kern="1200" baseline="0">
                <a:solidFill>
                  <a:srgbClr val="393D3F"/>
                </a:solidFill>
                <a:latin typeface="+mn-lt"/>
                <a:ea typeface="+mn-ea"/>
                <a:cs typeface="+mn-cs"/>
              </a:defRPr>
            </a:pPr>
            <a:endParaRPr lang="nl-NL"/>
          </a:p>
        </c:txPr>
        <c:crossAx val="249286144"/>
        <c:crosses val="autoZero"/>
        <c:crossBetween val="between"/>
      </c:valAx>
      <c:spPr>
        <a:noFill/>
        <a:ln>
          <a:noFill/>
        </a:ln>
        <a:effectLst/>
      </c:spPr>
    </c:plotArea>
    <c:legend>
      <c:legendPos val="t"/>
      <c:layout>
        <c:manualLayout>
          <c:xMode val="edge"/>
          <c:yMode val="edge"/>
          <c:x val="0.2105140525102468"/>
          <c:y val="2.6255612050935427E-2"/>
          <c:w val="0.66391805628729306"/>
          <c:h val="0.15707150002699069"/>
        </c:manualLayout>
      </c:layout>
      <c:overlay val="0"/>
      <c:spPr>
        <a:noFill/>
        <a:ln>
          <a:noFill/>
        </a:ln>
        <a:effectLst/>
      </c:spPr>
      <c:txPr>
        <a:bodyPr rot="0" spcFirstLastPara="1" vertOverflow="ellipsis" vert="horz" wrap="square" anchor="ctr" anchorCtr="1"/>
        <a:lstStyle/>
        <a:p>
          <a:pPr>
            <a:defRPr lang="nl-NL" sz="20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nl-NL"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6625422958436E-2"/>
          <c:y val="8.1797451517596598E-2"/>
          <c:w val="0.62283649394811713"/>
          <c:h val="0.76982210666913842"/>
        </c:manualLayout>
      </c:layout>
      <c:barChart>
        <c:barDir val="col"/>
        <c:grouping val="clustered"/>
        <c:varyColors val="0"/>
        <c:ser>
          <c:idx val="3"/>
          <c:order val="0"/>
          <c:tx>
            <c:v>Energie verbruik (kWh/m2)</c:v>
          </c:tx>
          <c:spPr>
            <a:solidFill>
              <a:srgbClr val="C6C6B9">
                <a:alpha val="80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huur'!$U$245:$GZ$245</c:f>
              <c:numCache>
                <c:formatCode>#,##0</c:formatCode>
                <c:ptCount val="33"/>
                <c:pt idx="0">
                  <c:v>128.36138049692678</c:v>
                </c:pt>
                <c:pt idx="1">
                  <c:v>128.36138049692678</c:v>
                </c:pt>
                <c:pt idx="2">
                  <c:v>128.36138049692678</c:v>
                </c:pt>
                <c:pt idx="3">
                  <c:v>128.36138049692678</c:v>
                </c:pt>
                <c:pt idx="4">
                  <c:v>128.36138049692678</c:v>
                </c:pt>
                <c:pt idx="5">
                  <c:v>44.597971397719689</c:v>
                </c:pt>
                <c:pt idx="6">
                  <c:v>44.597971397719689</c:v>
                </c:pt>
                <c:pt idx="7">
                  <c:v>44.597971397719689</c:v>
                </c:pt>
                <c:pt idx="8">
                  <c:v>44.597971397719689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FD29-4D61-B78F-46B1BC106574}"/>
            </c:ext>
          </c:extLst>
        </c:ser>
        <c:ser>
          <c:idx val="1"/>
          <c:order val="1"/>
          <c:tx>
            <c:v>Energie inkoop = WEii (kWh/m2)</c:v>
          </c:tx>
          <c:spPr>
            <a:solidFill>
              <a:srgbClr val="393D3F">
                <a:alpha val="80000"/>
              </a:srgbClr>
            </a:solidFill>
            <a:ln>
              <a:noFill/>
            </a:ln>
            <a:effectLst/>
          </c:spPr>
          <c:invertIfNegative val="0"/>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huur'!$U$238:$GZ$238</c:f>
              <c:numCache>
                <c:formatCode>#,##0</c:formatCode>
                <c:ptCount val="33"/>
                <c:pt idx="0">
                  <c:v>128.36138049692678</c:v>
                </c:pt>
                <c:pt idx="1">
                  <c:v>128.36138049692678</c:v>
                </c:pt>
                <c:pt idx="2">
                  <c:v>128.36138049692678</c:v>
                </c:pt>
                <c:pt idx="3">
                  <c:v>128.36138049692678</c:v>
                </c:pt>
                <c:pt idx="4">
                  <c:v>128.36138049692678</c:v>
                </c:pt>
                <c:pt idx="5">
                  <c:v>20.472971397719693</c:v>
                </c:pt>
                <c:pt idx="6">
                  <c:v>20.472971397719693</c:v>
                </c:pt>
                <c:pt idx="7">
                  <c:v>20.472971397719693</c:v>
                </c:pt>
                <c:pt idx="8">
                  <c:v>20.472971397719693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FD29-4D61-B78F-46B1BC106574}"/>
            </c:ext>
          </c:extLst>
        </c:ser>
        <c:dLbls>
          <c:showLegendKey val="0"/>
          <c:showVal val="0"/>
          <c:showCatName val="0"/>
          <c:showSerName val="0"/>
          <c:showPercent val="0"/>
          <c:showBubbleSize val="0"/>
        </c:dLbls>
        <c:gapWidth val="0"/>
        <c:overlap val="100"/>
        <c:axId val="249286144"/>
        <c:axId val="248003328"/>
      </c:barChart>
      <c:lineChart>
        <c:grouping val="standard"/>
        <c:varyColors val="0"/>
        <c:ser>
          <c:idx val="0"/>
          <c:order val="2"/>
          <c:tx>
            <c:v>PARISPROOF (kWh/m2)</c:v>
          </c:tx>
          <c:spPr>
            <a:ln w="28575" cap="rnd">
              <a:solidFill>
                <a:srgbClr val="F4A259"/>
              </a:solidFill>
              <a:prstDash val="dash"/>
              <a:round/>
            </a:ln>
            <a:effectLst/>
          </c:spPr>
          <c:marker>
            <c:symbol val="none"/>
          </c:marker>
          <c:cat>
            <c:numRef>
              <c:f>'cluster huur'!$U$219:$GZ$219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'cluster huur'!$U$256:$GZ$256</c:f>
              <c:numCache>
                <c:formatCode>General</c:formatCode>
                <c:ptCount val="33"/>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numCache>
            </c:numRef>
          </c:val>
          <c:smooth val="0"/>
          <c:extLst>
            <c:ext xmlns:c16="http://schemas.microsoft.com/office/drawing/2014/chart" uri="{C3380CC4-5D6E-409C-BE32-E72D297353CC}">
              <c16:uniqueId val="{00000002-FD29-4D61-B78F-46B1BC106574}"/>
            </c:ext>
          </c:extLst>
        </c:ser>
        <c:dLbls>
          <c:showLegendKey val="0"/>
          <c:showVal val="0"/>
          <c:showCatName val="0"/>
          <c:showSerName val="0"/>
          <c:showPercent val="0"/>
          <c:showBubbleSize val="0"/>
        </c:dLbls>
        <c:marker val="1"/>
        <c:smooth val="0"/>
        <c:axId val="249286144"/>
        <c:axId val="248003328"/>
      </c:lineChart>
      <c:catAx>
        <c:axId val="2492861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4"/>
        <c:tickMarkSkip val="4"/>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nl-NL"/>
          </a:p>
        </c:txPr>
        <c:crossAx val="249286144"/>
        <c:crossesAt val="1"/>
        <c:crossBetween val="midCat"/>
      </c:valAx>
      <c:spPr>
        <a:noFill/>
        <a:ln>
          <a:noFill/>
        </a:ln>
        <a:effectLst/>
      </c:spPr>
    </c:plotArea>
    <c:legend>
      <c:legendPos val="b"/>
      <c:layout>
        <c:manualLayout>
          <c:xMode val="edge"/>
          <c:yMode val="edge"/>
          <c:x val="0.70354054088177365"/>
          <c:y val="0.25718886662838703"/>
          <c:w val="0.27377257882598521"/>
          <c:h val="0.43800868544525035"/>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60448828679391"/>
          <c:y val="0.20446076594620191"/>
          <c:w val="0.74520134591651022"/>
          <c:h val="0.67619682561135452"/>
        </c:manualLayout>
      </c:layout>
      <c:barChart>
        <c:barDir val="col"/>
        <c:grouping val="clustered"/>
        <c:varyColors val="0"/>
        <c:ser>
          <c:idx val="4"/>
          <c:order val="0"/>
          <c:tx>
            <c:v>Warmte inkoop</c:v>
          </c:tx>
          <c:spPr>
            <a:solidFill>
              <a:srgbClr val="62929E">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Cijfers!$H$34:$AN$34</c:f>
              <c:numCache>
                <c:formatCode>_ * #,##0_ ;_ * \-#,##0_ ;_ * "-"??_ ;_ @_ </c:formatCode>
                <c:ptCount val="33"/>
                <c:pt idx="0">
                  <c:v>3.7660873441927131E-2</c:v>
                </c:pt>
                <c:pt idx="1">
                  <c:v>3.7673769108614676E-2</c:v>
                </c:pt>
                <c:pt idx="2">
                  <c:v>3.7673769108614676E-2</c:v>
                </c:pt>
                <c:pt idx="3">
                  <c:v>3.7673769108614676E-2</c:v>
                </c:pt>
                <c:pt idx="4">
                  <c:v>3.7673769108614676E-2</c:v>
                </c:pt>
                <c:pt idx="5">
                  <c:v>3.4622193810816888E-2</c:v>
                </c:pt>
                <c:pt idx="6">
                  <c:v>3.4622193810816888E-2</c:v>
                </c:pt>
                <c:pt idx="7">
                  <c:v>3.2738505355386152E-2</c:v>
                </c:pt>
                <c:pt idx="8">
                  <c:v>3.2738505355386152E-2</c:v>
                </c:pt>
                <c:pt idx="9">
                  <c:v>3.2737841935489814E-2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229A-46A4-B56A-5C22B56984FD}"/>
            </c:ext>
          </c:extLst>
        </c:ser>
        <c:ser>
          <c:idx val="0"/>
          <c:order val="1"/>
          <c:tx>
            <c:v>Duurzame warmte</c:v>
          </c:tx>
          <c:spPr>
            <a:solidFill>
              <a:srgbClr val="8CB369">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Cijfers!$H$42:$AN$42</c:f>
              <c:numCache>
                <c:formatCode>_ * #,##0_ ;_ * \-#,##0_ ;_ * "-"??_ ;_ @_ </c:formatCode>
                <c:ptCount val="33"/>
                <c:pt idx="0">
                  <c:v>0</c:v>
                </c:pt>
                <c:pt idx="1">
                  <c:v>0</c:v>
                </c:pt>
                <c:pt idx="2">
                  <c:v>0</c:v>
                </c:pt>
                <c:pt idx="3">
                  <c:v>0</c:v>
                </c:pt>
                <c:pt idx="4">
                  <c:v>0</c:v>
                </c:pt>
                <c:pt idx="5">
                  <c:v>0</c:v>
                </c:pt>
                <c:pt idx="6">
                  <c:v>0</c:v>
                </c:pt>
                <c:pt idx="7">
                  <c:v>0</c:v>
                </c:pt>
                <c:pt idx="8">
                  <c:v>0</c:v>
                </c:pt>
                <c:pt idx="9">
                  <c:v>0</c:v>
                </c:pt>
                <c:pt idx="10">
                  <c:v>3.2745118628518373E-2</c:v>
                </c:pt>
                <c:pt idx="11">
                  <c:v>3.2745118628518373E-2</c:v>
                </c:pt>
                <c:pt idx="12">
                  <c:v>3.2745118628518373E-2</c:v>
                </c:pt>
                <c:pt idx="13">
                  <c:v>3.2745118628518373E-2</c:v>
                </c:pt>
                <c:pt idx="14">
                  <c:v>3.2745178951712146E-2</c:v>
                </c:pt>
                <c:pt idx="15">
                  <c:v>3.2745178951712146E-2</c:v>
                </c:pt>
                <c:pt idx="16">
                  <c:v>3.2745178951712146E-2</c:v>
                </c:pt>
                <c:pt idx="17">
                  <c:v>3.2745178951712146E-2</c:v>
                </c:pt>
                <c:pt idx="18">
                  <c:v>3.2745178951712146E-2</c:v>
                </c:pt>
                <c:pt idx="19">
                  <c:v>3.2745178951712146E-2</c:v>
                </c:pt>
                <c:pt idx="20">
                  <c:v>3.2745178951712146E-2</c:v>
                </c:pt>
                <c:pt idx="21">
                  <c:v>3.2745178951712146E-2</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B6C-43C9-A7B5-0D961A32430F}"/>
            </c:ext>
          </c:extLst>
        </c:ser>
        <c:dLbls>
          <c:showLegendKey val="0"/>
          <c:showVal val="0"/>
          <c:showCatName val="0"/>
          <c:showSerName val="0"/>
          <c:showPercent val="0"/>
          <c:showBubbleSize val="0"/>
        </c:dLbls>
        <c:gapWidth val="0"/>
        <c:overlap val="100"/>
        <c:axId val="249286144"/>
        <c:axId val="248003328"/>
      </c:barChart>
      <c:catAx>
        <c:axId val="249286144"/>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nl-NL"/>
          </a:p>
        </c:txPr>
        <c:crossAx val="248003328"/>
        <c:crosses val="autoZero"/>
        <c:auto val="1"/>
        <c:lblAlgn val="ctr"/>
        <c:lblOffset val="100"/>
        <c:tickLblSkip val="6"/>
        <c:tickMarkSkip val="6"/>
        <c:noMultiLvlLbl val="0"/>
      </c:catAx>
      <c:valAx>
        <c:axId val="2480033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500" b="1" i="0" u="none" strike="noStrike" kern="1200" baseline="0">
                    <a:solidFill>
                      <a:schemeClr val="tx1">
                        <a:lumMod val="65000"/>
                        <a:lumOff val="35000"/>
                      </a:schemeClr>
                    </a:solidFill>
                    <a:latin typeface="+mn-lt"/>
                    <a:ea typeface="+mn-ea"/>
                    <a:cs typeface="+mn-cs"/>
                  </a:defRPr>
                </a:pPr>
                <a:r>
                  <a:rPr lang="en-US" sz="1500" b="1"/>
                  <a:t>GJ/m2</a:t>
                </a:r>
              </a:p>
            </c:rich>
          </c:tx>
          <c:layout>
            <c:manualLayout>
              <c:xMode val="edge"/>
              <c:yMode val="edge"/>
              <c:x val="2.8878516337023374E-2"/>
              <c:y val="0.10070209129607505"/>
            </c:manualLayout>
          </c:layout>
          <c:overlay val="0"/>
          <c:spPr>
            <a:noFill/>
            <a:ln>
              <a:noFill/>
            </a:ln>
            <a:effectLst/>
          </c:spPr>
          <c:txPr>
            <a:bodyPr rot="0" spcFirstLastPara="1" vertOverflow="ellipsis" wrap="square" anchor="ctr" anchorCtr="1"/>
            <a:lstStyle/>
            <a:p>
              <a:pPr>
                <a:defRPr sz="1500" b="1" i="0" u="none" strike="noStrike" kern="1200" baseline="0">
                  <a:solidFill>
                    <a:schemeClr val="tx1">
                      <a:lumMod val="65000"/>
                      <a:lumOff val="35000"/>
                    </a:schemeClr>
                  </a:solidFill>
                  <a:latin typeface="+mn-lt"/>
                  <a:ea typeface="+mn-ea"/>
                  <a:cs typeface="+mn-cs"/>
                </a:defRPr>
              </a:pPr>
              <a:endParaRPr lang="nl-NL"/>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249286144"/>
        <c:crosses val="autoZero"/>
        <c:crossBetween val="midCat"/>
      </c:valAx>
      <c:spPr>
        <a:noFill/>
        <a:ln>
          <a:noFill/>
        </a:ln>
        <a:effectLst/>
      </c:spPr>
    </c:plotArea>
    <c:legend>
      <c:legendPos val="b"/>
      <c:layout>
        <c:manualLayout>
          <c:xMode val="edge"/>
          <c:yMode val="edge"/>
          <c:x val="0.15831015734552367"/>
          <c:y val="1.4095217320833199E-2"/>
          <c:w val="0.80639795470426412"/>
          <c:h val="0.1561181019147581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68667296414654"/>
          <c:y val="0.20714398422992839"/>
          <c:w val="0.75532467179570417"/>
          <c:h val="0.67237596161762148"/>
        </c:manualLayout>
      </c:layout>
      <c:lineChart>
        <c:grouping val="standard"/>
        <c:varyColors val="0"/>
        <c:ser>
          <c:idx val="3"/>
          <c:order val="0"/>
          <c:tx>
            <c:v>Investeringen (cumulatief)</c:v>
          </c:tx>
          <c:spPr>
            <a:ln w="38100" cap="rnd">
              <a:solidFill>
                <a:schemeClr val="accent2"/>
              </a:solidFill>
              <a:round/>
            </a:ln>
            <a:effectLst>
              <a:outerShdw blurRad="50800" dist="38100" dir="2700000" algn="tl" rotWithShape="0">
                <a:prstClr val="black">
                  <a:alpha val="40000"/>
                </a:prstClr>
              </a:outerShdw>
            </a:effectLst>
          </c:spPr>
          <c:marker>
            <c:symbol val="none"/>
          </c:marker>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Cijfers!$H$47:$AN$47</c:f>
              <c:numCache>
                <c:formatCode>_ * #,##0_ ;_ * \-#,##0_ ;_ * "-"??_ ;_ @_ </c:formatCode>
                <c:ptCount val="33"/>
                <c:pt idx="0">
                  <c:v>0</c:v>
                </c:pt>
                <c:pt idx="1">
                  <c:v>0</c:v>
                </c:pt>
                <c:pt idx="2">
                  <c:v>0</c:v>
                </c:pt>
                <c:pt idx="3">
                  <c:v>0</c:v>
                </c:pt>
                <c:pt idx="4">
                  <c:v>0</c:v>
                </c:pt>
                <c:pt idx="5">
                  <c:v>1300192.1816</c:v>
                </c:pt>
                <c:pt idx="6">
                  <c:v>1466641.8552000001</c:v>
                </c:pt>
                <c:pt idx="7">
                  <c:v>1907703.6940000001</c:v>
                </c:pt>
                <c:pt idx="8">
                  <c:v>1953386.7148</c:v>
                </c:pt>
                <c:pt idx="9">
                  <c:v>1996024.2316000001</c:v>
                </c:pt>
                <c:pt idx="10">
                  <c:v>2009243.7483999999</c:v>
                </c:pt>
                <c:pt idx="11">
                  <c:v>2022463.2652</c:v>
                </c:pt>
                <c:pt idx="12">
                  <c:v>2035682.7819999999</c:v>
                </c:pt>
                <c:pt idx="13">
                  <c:v>2048902.2988</c:v>
                </c:pt>
                <c:pt idx="14">
                  <c:v>2048902.2988</c:v>
                </c:pt>
                <c:pt idx="15">
                  <c:v>2048902.2988</c:v>
                </c:pt>
                <c:pt idx="16">
                  <c:v>2048902.2988</c:v>
                </c:pt>
                <c:pt idx="17">
                  <c:v>2048902.2988</c:v>
                </c:pt>
                <c:pt idx="18">
                  <c:v>2088560.8492000001</c:v>
                </c:pt>
                <c:pt idx="19">
                  <c:v>2088560.8492000001</c:v>
                </c:pt>
                <c:pt idx="20">
                  <c:v>2088560.8492000001</c:v>
                </c:pt>
                <c:pt idx="21">
                  <c:v>2088560.8492000001</c:v>
                </c:pt>
                <c:pt idx="22">
                  <c:v>2088560.8492000001</c:v>
                </c:pt>
                <c:pt idx="23">
                  <c:v>2088560.8492000001</c:v>
                </c:pt>
                <c:pt idx="24">
                  <c:v>2088560.8492000001</c:v>
                </c:pt>
                <c:pt idx="25">
                  <c:v>2088560.8492000001</c:v>
                </c:pt>
                <c:pt idx="26">
                  <c:v>2088560.8492000001</c:v>
                </c:pt>
                <c:pt idx="27">
                  <c:v>2088560.8492000001</c:v>
                </c:pt>
                <c:pt idx="28">
                  <c:v>2088560.8492000001</c:v>
                </c:pt>
                <c:pt idx="29">
                  <c:v>2088560.8492000001</c:v>
                </c:pt>
                <c:pt idx="30">
                  <c:v>2088560.8492000001</c:v>
                </c:pt>
                <c:pt idx="31">
                  <c:v>2088560.8492000001</c:v>
                </c:pt>
                <c:pt idx="32">
                  <c:v>2088560.8492000001</c:v>
                </c:pt>
              </c:numCache>
            </c:numRef>
          </c:val>
          <c:smooth val="0"/>
          <c:extLst>
            <c:ext xmlns:c16="http://schemas.microsoft.com/office/drawing/2014/chart" uri="{C3380CC4-5D6E-409C-BE32-E72D297353CC}">
              <c16:uniqueId val="{00000000-1BCB-4D1D-A4FD-BE7A7ADA4B4E}"/>
            </c:ext>
          </c:extLst>
        </c:ser>
        <c:ser>
          <c:idx val="4"/>
          <c:order val="1"/>
          <c:tx>
            <c:v>Besparingen (cumulatief)</c:v>
          </c:tx>
          <c:spPr>
            <a:ln w="38100" cap="rnd">
              <a:solidFill>
                <a:srgbClr val="8CB369"/>
              </a:solidFill>
              <a:round/>
            </a:ln>
            <a:effectLst>
              <a:outerShdw blurRad="50800" dist="38100" dir="2700000" algn="tl" rotWithShape="0">
                <a:prstClr val="black">
                  <a:alpha val="40000"/>
                </a:prstClr>
              </a:outerShdw>
            </a:effectLst>
          </c:spPr>
          <c:marker>
            <c:symbol val="none"/>
          </c:marker>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Cijfers!$H$49:$AN$49</c:f>
              <c:numCache>
                <c:formatCode>_ * #,##0_ ;_ * \-#,##0_ ;_ * "-"??_ ;_ @_ </c:formatCode>
                <c:ptCount val="33"/>
                <c:pt idx="0">
                  <c:v>0</c:v>
                </c:pt>
                <c:pt idx="1">
                  <c:v>0</c:v>
                </c:pt>
                <c:pt idx="2">
                  <c:v>0</c:v>
                </c:pt>
                <c:pt idx="3">
                  <c:v>0</c:v>
                </c:pt>
                <c:pt idx="4">
                  <c:v>0</c:v>
                </c:pt>
                <c:pt idx="5">
                  <c:v>251761.64467720134</c:v>
                </c:pt>
                <c:pt idx="6">
                  <c:v>527669.28490911052</c:v>
                </c:pt>
                <c:pt idx="7">
                  <c:v>845464.90364179993</c:v>
                </c:pt>
                <c:pt idx="8">
                  <c:v>1169341.9642852696</c:v>
                </c:pt>
                <c:pt idx="9">
                  <c:v>1329857.8562256049</c:v>
                </c:pt>
                <c:pt idx="10">
                  <c:v>1492946.6857885947</c:v>
                </c:pt>
                <c:pt idx="11">
                  <c:v>1658616.2897742386</c:v>
                </c:pt>
                <c:pt idx="12">
                  <c:v>1826866.6681825372</c:v>
                </c:pt>
                <c:pt idx="13">
                  <c:v>1997697.8210134902</c:v>
                </c:pt>
                <c:pt idx="14">
                  <c:v>2125611.2503773477</c:v>
                </c:pt>
                <c:pt idx="15">
                  <c:v>2253524.6797412052</c:v>
                </c:pt>
                <c:pt idx="16">
                  <c:v>2381438.1091050631</c:v>
                </c:pt>
                <c:pt idx="17">
                  <c:v>2509351.5384689206</c:v>
                </c:pt>
                <c:pt idx="18">
                  <c:v>2645007.2911007418</c:v>
                </c:pt>
                <c:pt idx="19">
                  <c:v>2780663.0437325626</c:v>
                </c:pt>
                <c:pt idx="20">
                  <c:v>2916318.7963643838</c:v>
                </c:pt>
                <c:pt idx="21">
                  <c:v>3051974.548996205</c:v>
                </c:pt>
                <c:pt idx="22">
                  <c:v>3150910.2730136253</c:v>
                </c:pt>
                <c:pt idx="23">
                  <c:v>3249845.9970310465</c:v>
                </c:pt>
                <c:pt idx="24">
                  <c:v>3348781.7210484678</c:v>
                </c:pt>
                <c:pt idx="25">
                  <c:v>3447717.445065889</c:v>
                </c:pt>
                <c:pt idx="26">
                  <c:v>3546653.1690833094</c:v>
                </c:pt>
                <c:pt idx="27">
                  <c:v>3645588.8931007306</c:v>
                </c:pt>
                <c:pt idx="28">
                  <c:v>3744524.6171181514</c:v>
                </c:pt>
                <c:pt idx="29">
                  <c:v>3843460.3411355722</c:v>
                </c:pt>
                <c:pt idx="30">
                  <c:v>3942396.065152993</c:v>
                </c:pt>
                <c:pt idx="31">
                  <c:v>4041331.7891704137</c:v>
                </c:pt>
                <c:pt idx="32">
                  <c:v>4140267.513187835</c:v>
                </c:pt>
              </c:numCache>
            </c:numRef>
          </c:val>
          <c:smooth val="0"/>
          <c:extLst>
            <c:ext xmlns:c16="http://schemas.microsoft.com/office/drawing/2014/chart" uri="{C3380CC4-5D6E-409C-BE32-E72D297353CC}">
              <c16:uniqueId val="{00000001-1BCB-4D1D-A4FD-BE7A7ADA4B4E}"/>
            </c:ext>
          </c:extLst>
        </c:ser>
        <c:dLbls>
          <c:showLegendKey val="0"/>
          <c:showVal val="0"/>
          <c:showCatName val="0"/>
          <c:showSerName val="0"/>
          <c:showPercent val="0"/>
          <c:showBubbleSize val="0"/>
        </c:dLbls>
        <c:smooth val="0"/>
        <c:axId val="249283072"/>
        <c:axId val="247999296"/>
      </c:lineChart>
      <c:catAx>
        <c:axId val="249283072"/>
        <c:scaling>
          <c:orientation val="minMax"/>
        </c:scaling>
        <c:delete val="0"/>
        <c:axPos val="b"/>
        <c:numFmt formatCode="General" sourceLinked="1"/>
        <c:majorTickMark val="in"/>
        <c:minorTickMark val="none"/>
        <c:tickLblPos val="nextTo"/>
        <c:spPr>
          <a:noFill/>
          <a:ln w="9525" cap="flat" cmpd="sng" algn="ctr">
            <a:solidFill>
              <a:srgbClr val="282B2C">
                <a:alpha val="50000"/>
              </a:srgbClr>
            </a:solidFill>
            <a:round/>
          </a:ln>
          <a:effectLst/>
        </c:spPr>
        <c:txPr>
          <a:bodyPr rot="0" spcFirstLastPara="1" vertOverflow="ellipsis" wrap="square" anchor="ctr" anchorCtr="1"/>
          <a:lstStyle/>
          <a:p>
            <a:pPr>
              <a:defRPr sz="1600" b="1" i="0" u="none" strike="noStrike" kern="1200" baseline="0">
                <a:solidFill>
                  <a:srgbClr val="393D3F"/>
                </a:solidFill>
                <a:latin typeface="+mn-lt"/>
                <a:ea typeface="+mn-ea"/>
                <a:cs typeface="+mn-cs"/>
              </a:defRPr>
            </a:pPr>
            <a:endParaRPr lang="nl-NL"/>
          </a:p>
        </c:txPr>
        <c:crossAx val="247999296"/>
        <c:crosses val="autoZero"/>
        <c:auto val="1"/>
        <c:lblAlgn val="ctr"/>
        <c:lblOffset val="100"/>
        <c:tickLblSkip val="6"/>
        <c:tickMarkSkip val="6"/>
        <c:noMultiLvlLbl val="0"/>
      </c:catAx>
      <c:valAx>
        <c:axId val="247999296"/>
        <c:scaling>
          <c:orientation val="minMax"/>
          <c:min val="0"/>
        </c:scaling>
        <c:delete val="0"/>
        <c:axPos val="l"/>
        <c:majorGridlines>
          <c:spPr>
            <a:ln w="9525" cap="flat" cmpd="sng" algn="ctr">
              <a:solidFill>
                <a:srgbClr val="393D3F">
                  <a:alpha val="37000"/>
                </a:srgb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49283072"/>
        <c:crosses val="autoZero"/>
        <c:crossBetween val="midCat"/>
        <c:dispUnits>
          <c:builtInUnit val="thousands"/>
          <c:dispUnitsLbl>
            <c:layout>
              <c:manualLayout>
                <c:xMode val="edge"/>
                <c:yMode val="edge"/>
                <c:x val="2.0758356464190757E-2"/>
                <c:y val="1.1104339513908582E-2"/>
              </c:manualLayout>
            </c:layout>
            <c:tx>
              <c:rich>
                <a:bodyPr rot="0" spcFirstLastPara="1" vertOverflow="ellipsis" wrap="square" anchor="ctr" anchorCtr="1"/>
                <a:lstStyle/>
                <a:p>
                  <a:pPr algn="l">
                    <a:defRPr sz="1400" b="1" i="0" u="none" strike="noStrike" kern="1200" cap="all" baseline="0">
                      <a:solidFill>
                        <a:srgbClr val="393D3F"/>
                      </a:solidFill>
                      <a:latin typeface="+mn-lt"/>
                      <a:ea typeface="+mn-ea"/>
                      <a:cs typeface="+mn-cs"/>
                    </a:defRPr>
                  </a:pPr>
                  <a:r>
                    <a:rPr lang="en-US" sz="1400">
                      <a:solidFill>
                        <a:srgbClr val="393D3F"/>
                      </a:solidFill>
                    </a:rPr>
                    <a:t>Euro </a:t>
                  </a:r>
                </a:p>
                <a:p>
                  <a:pPr algn="l">
                    <a:defRPr sz="1400">
                      <a:solidFill>
                        <a:srgbClr val="393D3F"/>
                      </a:solidFill>
                    </a:defRPr>
                  </a:pPr>
                  <a:r>
                    <a:rPr lang="en-US" sz="1400">
                      <a:solidFill>
                        <a:srgbClr val="393D3F"/>
                      </a:solidFill>
                    </a:rPr>
                    <a:t>x 1.000</a:t>
                  </a:r>
                </a:p>
              </c:rich>
            </c:tx>
            <c:spPr>
              <a:noFill/>
              <a:ln>
                <a:noFill/>
              </a:ln>
              <a:effectLst/>
            </c:spPr>
            <c:txPr>
              <a:bodyPr rot="0" spcFirstLastPara="1" vertOverflow="ellipsis" wrap="square" anchor="ctr" anchorCtr="1"/>
              <a:lstStyle/>
              <a:p>
                <a:pPr algn="l">
                  <a:defRPr sz="1400" b="1" i="0" u="none" strike="noStrike" kern="1200" cap="all" baseline="0">
                    <a:solidFill>
                      <a:srgbClr val="393D3F"/>
                    </a:solidFill>
                    <a:latin typeface="+mn-lt"/>
                    <a:ea typeface="+mn-ea"/>
                    <a:cs typeface="+mn-cs"/>
                  </a:defRPr>
                </a:pPr>
                <a:endParaRPr lang="nl-NL"/>
              </a:p>
            </c:txPr>
          </c:dispUnitsLbl>
        </c:dispUnits>
      </c:valAx>
      <c:spPr>
        <a:noFill/>
        <a:ln>
          <a:noFill/>
        </a:ln>
        <a:effectLst/>
      </c:spPr>
    </c:plotArea>
    <c:legend>
      <c:legendPos val="b"/>
      <c:legendEntry>
        <c:idx val="0"/>
        <c:txPr>
          <a:bodyPr rot="0" spcFirstLastPara="1" vertOverflow="ellipsis" vert="horz" wrap="square" anchor="ctr" anchorCtr="1"/>
          <a:lstStyle/>
          <a:p>
            <a:pPr>
              <a:defRPr sz="1800" b="1" i="0" u="none" strike="noStrike" kern="1200" baseline="0">
                <a:solidFill>
                  <a:srgbClr val="393D3F"/>
                </a:solidFill>
                <a:latin typeface="+mn-lt"/>
                <a:ea typeface="+mn-ea"/>
                <a:cs typeface="+mn-cs"/>
              </a:defRPr>
            </a:pPr>
            <a:endParaRPr lang="nl-NL"/>
          </a:p>
        </c:txPr>
      </c:legendEntry>
      <c:layout>
        <c:manualLayout>
          <c:xMode val="edge"/>
          <c:yMode val="edge"/>
          <c:x val="0.14958114851536183"/>
          <c:y val="2.1975972068760955E-2"/>
          <c:w val="0.80942877185555651"/>
          <c:h val="0.14469204068590044"/>
        </c:manualLayout>
      </c:layout>
      <c:overlay val="0"/>
      <c:spPr>
        <a:noFill/>
        <a:ln>
          <a:noFill/>
        </a:ln>
        <a:effectLst/>
      </c:spPr>
      <c:txPr>
        <a:bodyPr rot="0" spcFirstLastPara="1" vertOverflow="ellipsis" vert="horz" wrap="square" anchor="ctr" anchorCtr="1"/>
        <a:lstStyle/>
        <a:p>
          <a:pPr>
            <a:defRPr sz="1800" b="1" i="0" u="none" strike="noStrike" kern="1200" baseline="0">
              <a:solidFill>
                <a:srgbClr val="393D3F"/>
              </a:solidFill>
              <a:latin typeface="+mn-lt"/>
              <a:ea typeface="+mn-ea"/>
              <a:cs typeface="+mn-cs"/>
            </a:defRPr>
          </a:pPr>
          <a:endParaRPr lang="nl-NL"/>
        </a:p>
      </c:txPr>
    </c:legend>
    <c:plotVisOnly val="1"/>
    <c:dispBlanksAs val="gap"/>
    <c:showDLblsOverMax val="0"/>
  </c:chart>
  <c:spPr>
    <a:solidFill>
      <a:srgbClr val="FDFDFF"/>
    </a:solidFill>
    <a:ln>
      <a:noFill/>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68588268684063"/>
          <c:y val="0.21946467345629675"/>
          <c:w val="0.8027542819930118"/>
          <c:h val="0.66339819957030266"/>
        </c:manualLayout>
      </c:layout>
      <c:barChart>
        <c:barDir val="col"/>
        <c:grouping val="stacked"/>
        <c:varyColors val="0"/>
        <c:ser>
          <c:idx val="1"/>
          <c:order val="0"/>
          <c:tx>
            <c:v>CO2-emissie verbruik (scope 1,2)</c:v>
          </c:tx>
          <c:spPr>
            <a:solidFill>
              <a:srgbClr val="546A7B">
                <a:alpha val="80000"/>
              </a:srgbClr>
            </a:solidFill>
            <a:ln>
              <a:noFill/>
            </a:ln>
            <a:effectLst/>
          </c:spPr>
          <c:invertIfNegative val="0"/>
          <c:dPt>
            <c:idx val="12"/>
            <c:invertIfNegative val="0"/>
            <c:bubble3D val="0"/>
            <c:extLst>
              <c:ext xmlns:c16="http://schemas.microsoft.com/office/drawing/2014/chart" uri="{C3380CC4-5D6E-409C-BE32-E72D297353CC}">
                <c16:uniqueId val="{00000000-7771-47DC-A2C7-29B1C4CD7CFA}"/>
              </c:ext>
            </c:extLst>
          </c:dPt>
          <c:dPt>
            <c:idx val="32"/>
            <c:invertIfNegative val="0"/>
            <c:bubble3D val="0"/>
            <c:extLst>
              <c:ext xmlns:c16="http://schemas.microsoft.com/office/drawing/2014/chart" uri="{C3380CC4-5D6E-409C-BE32-E72D297353CC}">
                <c16:uniqueId val="{00000001-7771-47DC-A2C7-29B1C4CD7CFA}"/>
              </c:ext>
            </c:extLst>
          </c:dPt>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Cijfers!$H$51:$AN$51</c:f>
              <c:numCache>
                <c:formatCode>_ * #,##0_ ;_ * \-#,##0_ ;_ * "-"??_ ;_ @_ </c:formatCode>
                <c:ptCount val="33"/>
                <c:pt idx="0">
                  <c:v>904.25770499999987</c:v>
                </c:pt>
                <c:pt idx="1">
                  <c:v>904.26520899999991</c:v>
                </c:pt>
                <c:pt idx="2">
                  <c:v>904.26520899999991</c:v>
                </c:pt>
                <c:pt idx="3">
                  <c:v>904.26520899999991</c:v>
                </c:pt>
                <c:pt idx="4">
                  <c:v>904.26520899999991</c:v>
                </c:pt>
                <c:pt idx="5">
                  <c:v>511.74596634796734</c:v>
                </c:pt>
                <c:pt idx="6">
                  <c:v>472.48885562256515</c:v>
                </c:pt>
                <c:pt idx="7">
                  <c:v>398.71521379371416</c:v>
                </c:pt>
                <c:pt idx="8">
                  <c:v>392.90309925486332</c:v>
                </c:pt>
                <c:pt idx="9">
                  <c:v>411.32115159151448</c:v>
                </c:pt>
                <c:pt idx="10">
                  <c:v>389.80728970770247</c:v>
                </c:pt>
                <c:pt idx="11">
                  <c:v>387.34399342389031</c:v>
                </c:pt>
                <c:pt idx="12">
                  <c:v>384.88069714007821</c:v>
                </c:pt>
                <c:pt idx="13">
                  <c:v>382.41740085626623</c:v>
                </c:pt>
                <c:pt idx="14">
                  <c:v>294.78078427867104</c:v>
                </c:pt>
                <c:pt idx="15">
                  <c:v>294.78078427867104</c:v>
                </c:pt>
                <c:pt idx="16">
                  <c:v>294.78078427867104</c:v>
                </c:pt>
                <c:pt idx="17">
                  <c:v>294.78078427867104</c:v>
                </c:pt>
                <c:pt idx="18">
                  <c:v>287.39089542723474</c:v>
                </c:pt>
                <c:pt idx="19">
                  <c:v>287.39089542723474</c:v>
                </c:pt>
                <c:pt idx="20">
                  <c:v>287.39089542723474</c:v>
                </c:pt>
                <c:pt idx="21">
                  <c:v>287.39089542723474</c:v>
                </c:pt>
                <c:pt idx="22">
                  <c:v>276.04469996003473</c:v>
                </c:pt>
                <c:pt idx="23">
                  <c:v>276.04469996003473</c:v>
                </c:pt>
                <c:pt idx="24">
                  <c:v>276.04469996003473</c:v>
                </c:pt>
                <c:pt idx="25">
                  <c:v>276.04469996003473</c:v>
                </c:pt>
                <c:pt idx="26">
                  <c:v>276.04469996003473</c:v>
                </c:pt>
                <c:pt idx="27">
                  <c:v>276.04469996003473</c:v>
                </c:pt>
                <c:pt idx="28">
                  <c:v>276.04469996003473</c:v>
                </c:pt>
                <c:pt idx="29">
                  <c:v>276.04469996003473</c:v>
                </c:pt>
                <c:pt idx="30">
                  <c:v>276.04469996003473</c:v>
                </c:pt>
                <c:pt idx="31">
                  <c:v>276.04469996003473</c:v>
                </c:pt>
                <c:pt idx="32">
                  <c:v>276.04469996003473</c:v>
                </c:pt>
              </c:numCache>
            </c:numRef>
          </c:val>
          <c:extLst>
            <c:ext xmlns:c16="http://schemas.microsoft.com/office/drawing/2014/chart" uri="{C3380CC4-5D6E-409C-BE32-E72D297353CC}">
              <c16:uniqueId val="{00000002-7771-47DC-A2C7-29B1C4CD7CFA}"/>
            </c:ext>
          </c:extLst>
        </c:ser>
        <c:ser>
          <c:idx val="0"/>
          <c:order val="1"/>
          <c:tx>
            <c:v>CO2-emissie bouw (scope 3)</c:v>
          </c:tx>
          <c:spPr>
            <a:solidFill>
              <a:srgbClr val="C6C5B9">
                <a:alpha val="80000"/>
              </a:srgbClr>
            </a:solidFill>
            <a:ln>
              <a:noFill/>
            </a:ln>
            <a:effectLst/>
          </c:spPr>
          <c:invertIfNegative val="0"/>
          <c:cat>
            <c:numRef>
              <c:f>Cijfers!$H$22:$AN$22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Cijfers!$H$52:$AN$52</c:f>
              <c:numCache>
                <c:formatCode>_ * #,##0_ ;_ * \-#,##0_ ;_ * "-"??_ ;_ @_ </c:formatCode>
                <c:ptCount val="33"/>
                <c:pt idx="0">
                  <c:v>0</c:v>
                </c:pt>
                <c:pt idx="1">
                  <c:v>0</c:v>
                </c:pt>
                <c:pt idx="2">
                  <c:v>0</c:v>
                </c:pt>
                <c:pt idx="3">
                  <c:v>0</c:v>
                </c:pt>
                <c:pt idx="4">
                  <c:v>0</c:v>
                </c:pt>
                <c:pt idx="5">
                  <c:v>0</c:v>
                </c:pt>
                <c:pt idx="6">
                  <c:v>0</c:v>
                </c:pt>
                <c:pt idx="7">
                  <c:v>1183.0866666666666</c:v>
                </c:pt>
                <c:pt idx="8">
                  <c:v>1183.0866666666666</c:v>
                </c:pt>
                <c:pt idx="9">
                  <c:v>1183.0866666666666</c:v>
                </c:pt>
                <c:pt idx="10">
                  <c:v>0</c:v>
                </c:pt>
                <c:pt idx="11">
                  <c:v>0</c:v>
                </c:pt>
                <c:pt idx="12">
                  <c:v>314.95333333333332</c:v>
                </c:pt>
                <c:pt idx="13">
                  <c:v>314.95333333333332</c:v>
                </c:pt>
                <c:pt idx="14">
                  <c:v>314.95333333333332</c:v>
                </c:pt>
                <c:pt idx="15">
                  <c:v>0</c:v>
                </c:pt>
                <c:pt idx="16">
                  <c:v>0</c:v>
                </c:pt>
                <c:pt idx="17">
                  <c:v>0</c:v>
                </c:pt>
                <c:pt idx="18">
                  <c:v>0</c:v>
                </c:pt>
                <c:pt idx="19">
                  <c:v>0</c:v>
                </c:pt>
                <c:pt idx="20">
                  <c:v>246.04666666666665</c:v>
                </c:pt>
                <c:pt idx="21">
                  <c:v>246.04666666666665</c:v>
                </c:pt>
                <c:pt idx="22">
                  <c:v>246.04666666666665</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8-947D-4A59-831F-45706FA19554}"/>
            </c:ext>
          </c:extLst>
        </c:ser>
        <c:dLbls>
          <c:showLegendKey val="0"/>
          <c:showVal val="0"/>
          <c:showCatName val="0"/>
          <c:showSerName val="0"/>
          <c:showPercent val="0"/>
          <c:showBubbleSize val="0"/>
        </c:dLbls>
        <c:gapWidth val="0"/>
        <c:overlap val="100"/>
        <c:axId val="239676928"/>
        <c:axId val="240011520"/>
      </c:barChart>
      <c:catAx>
        <c:axId val="239676928"/>
        <c:scaling>
          <c:orientation val="minMax"/>
        </c:scaling>
        <c:delete val="0"/>
        <c:axPos val="b"/>
        <c:numFmt formatCode="General" sourceLinked="1"/>
        <c:majorTickMark val="in"/>
        <c:minorTickMark val="none"/>
        <c:tickLblPos val="nextTo"/>
        <c:spPr>
          <a:noFill/>
          <a:ln w="9525" cap="flat" cmpd="sng" algn="ctr">
            <a:solidFill>
              <a:srgbClr val="393D3F">
                <a:alpha val="50000"/>
              </a:srgbClr>
            </a:solidFill>
            <a:round/>
          </a:ln>
          <a:effectLst/>
        </c:spPr>
        <c:txPr>
          <a:bodyPr rot="-60000000" spcFirstLastPara="1" vertOverflow="ellipsis" vert="horz" wrap="square" anchor="ctr" anchorCtr="1"/>
          <a:lstStyle/>
          <a:p>
            <a:pPr>
              <a:defRPr sz="1600" b="1" i="0" u="none" strike="noStrike" kern="1200" baseline="0">
                <a:solidFill>
                  <a:srgbClr val="393D3F"/>
                </a:solidFill>
                <a:latin typeface="+mn-lt"/>
                <a:ea typeface="+mn-ea"/>
                <a:cs typeface="+mn-cs"/>
              </a:defRPr>
            </a:pPr>
            <a:endParaRPr lang="nl-NL"/>
          </a:p>
        </c:txPr>
        <c:crossAx val="240011520"/>
        <c:crosses val="autoZero"/>
        <c:auto val="1"/>
        <c:lblAlgn val="ctr"/>
        <c:lblOffset val="100"/>
        <c:tickLblSkip val="6"/>
        <c:tickMarkSkip val="6"/>
        <c:noMultiLvlLbl val="0"/>
      </c:catAx>
      <c:valAx>
        <c:axId val="24001152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sz="1400" b="1">
                    <a:solidFill>
                      <a:srgbClr val="393D3F"/>
                    </a:solidFill>
                  </a:rPr>
                  <a:t>Ton CO2</a:t>
                </a:r>
                <a:endParaRPr lang="nl-NL" b="1">
                  <a:solidFill>
                    <a:srgbClr val="393D3F"/>
                  </a:solidFill>
                </a:endParaRPr>
              </a:p>
            </c:rich>
          </c:tx>
          <c:layout>
            <c:manualLayout>
              <c:xMode val="edge"/>
              <c:yMode val="edge"/>
              <c:x val="1.2639016882583695E-2"/>
              <c:y val="5.992204875205502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393D3F"/>
                </a:solidFill>
                <a:latin typeface="+mn-lt"/>
                <a:ea typeface="+mn-ea"/>
                <a:cs typeface="+mn-cs"/>
              </a:defRPr>
            </a:pPr>
            <a:endParaRPr lang="nl-NL"/>
          </a:p>
        </c:txPr>
        <c:crossAx val="239676928"/>
        <c:crosses val="autoZero"/>
        <c:crossBetween val="midCat"/>
      </c:valAx>
      <c:spPr>
        <a:noFill/>
        <a:ln>
          <a:noFill/>
        </a:ln>
        <a:effectLst/>
      </c:spPr>
    </c:plotArea>
    <c:legend>
      <c:legendPos val="r"/>
      <c:layout>
        <c:manualLayout>
          <c:xMode val="edge"/>
          <c:yMode val="edge"/>
          <c:x val="0.21120603562544263"/>
          <c:y val="2.2512480759606986E-2"/>
          <c:w val="0.6903352382390554"/>
          <c:h val="0.18390155710497744"/>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5076735513953"/>
          <c:y val="0.19216994834319495"/>
          <c:w val="0.58225355495173559"/>
          <c:h val="0.68445459531131769"/>
        </c:manualLayout>
      </c:layout>
      <c:pieChart>
        <c:varyColors val="1"/>
        <c:ser>
          <c:idx val="0"/>
          <c:order val="0"/>
          <c:tx>
            <c:v>2023</c:v>
          </c:tx>
          <c:spPr>
            <a:solidFill>
              <a:srgbClr val="FFF28F"/>
            </a:solidFill>
          </c:spPr>
          <c:dPt>
            <c:idx val="0"/>
            <c:bubble3D val="0"/>
            <c:spPr>
              <a:solidFill>
                <a:srgbClr val="F4A259"/>
              </a:solidFill>
            </c:spPr>
            <c:extLst>
              <c:ext xmlns:c16="http://schemas.microsoft.com/office/drawing/2014/chart" uri="{C3380CC4-5D6E-409C-BE32-E72D297353CC}">
                <c16:uniqueId val="{00000001-3F96-4E04-B1D7-64DBAE742AB4}"/>
              </c:ext>
            </c:extLst>
          </c:dPt>
          <c:dPt>
            <c:idx val="1"/>
            <c:bubble3D val="0"/>
            <c:spPr>
              <a:solidFill>
                <a:srgbClr val="F4E285"/>
              </a:solidFill>
            </c:spPr>
            <c:extLst>
              <c:ext xmlns:c16="http://schemas.microsoft.com/office/drawing/2014/chart" uri="{C3380CC4-5D6E-409C-BE32-E72D297353CC}">
                <c16:uniqueId val="{00000003-3F96-4E04-B1D7-64DBAE742AB4}"/>
              </c:ext>
            </c:extLst>
          </c:dPt>
          <c:dPt>
            <c:idx val="2"/>
            <c:bubble3D val="0"/>
            <c:spPr>
              <a:solidFill>
                <a:srgbClr val="62929E"/>
              </a:solidFill>
            </c:spPr>
            <c:extLst>
              <c:ext xmlns:c16="http://schemas.microsoft.com/office/drawing/2014/chart" uri="{C3380CC4-5D6E-409C-BE32-E72D297353CC}">
                <c16:uniqueId val="{00000005-3F96-4E04-B1D7-64DBAE742AB4}"/>
              </c:ext>
            </c:extLst>
          </c:dPt>
          <c:dLbls>
            <c:delete val="1"/>
          </c:dLbls>
          <c:val>
            <c:numRef>
              <c:f>Cijfers!$M$57:$M$59</c:f>
              <c:numCache>
                <c:formatCode>_ * #,##0_ ;_ * \-#,##0_ ;_ * "-"??_ ;_ @_ </c:formatCode>
                <c:ptCount val="3"/>
                <c:pt idx="0">
                  <c:v>308019.45750796731</c:v>
                </c:pt>
                <c:pt idx="1">
                  <c:v>183579.82323999997</c:v>
                </c:pt>
                <c:pt idx="2">
                  <c:v>20146.685600000001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6-4E04-B1D7-64DBAE742AB4}"/>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0390007605812"/>
          <c:y val="2.8972410527652991E-2"/>
          <c:w val="0.77938635627497477"/>
          <c:h val="0.83134409657662645"/>
        </c:manualLayout>
      </c:layout>
      <c:pieChart>
        <c:varyColors val="1"/>
        <c:ser>
          <c:idx val="0"/>
          <c:order val="0"/>
          <c:tx>
            <c:v>2050</c:v>
          </c:tx>
          <c:spPr>
            <a:solidFill>
              <a:srgbClr val="FFF28F"/>
            </a:solidFill>
          </c:spPr>
          <c:dPt>
            <c:idx val="0"/>
            <c:bubble3D val="0"/>
            <c:spPr>
              <a:solidFill>
                <a:srgbClr val="F4A259"/>
              </a:solidFill>
            </c:spPr>
            <c:extLst>
              <c:ext xmlns:c16="http://schemas.microsoft.com/office/drawing/2014/chart" uri="{C3380CC4-5D6E-409C-BE32-E72D297353CC}">
                <c16:uniqueId val="{00000001-0596-48B5-B1C9-635B932A3C6F}"/>
              </c:ext>
            </c:extLst>
          </c:dPt>
          <c:dPt>
            <c:idx val="1"/>
            <c:bubble3D val="0"/>
            <c:spPr>
              <a:solidFill>
                <a:srgbClr val="F4E285"/>
              </a:solidFill>
            </c:spPr>
            <c:extLst>
              <c:ext xmlns:c16="http://schemas.microsoft.com/office/drawing/2014/chart" uri="{C3380CC4-5D6E-409C-BE32-E72D297353CC}">
                <c16:uniqueId val="{00000003-0596-48B5-B1C9-635B932A3C6F}"/>
              </c:ext>
            </c:extLst>
          </c:dPt>
          <c:dPt>
            <c:idx val="2"/>
            <c:bubble3D val="0"/>
            <c:spPr>
              <a:solidFill>
                <a:srgbClr val="62929E"/>
              </a:solidFill>
            </c:spPr>
            <c:extLst>
              <c:ext xmlns:c16="http://schemas.microsoft.com/office/drawing/2014/chart" uri="{C3380CC4-5D6E-409C-BE32-E72D297353CC}">
                <c16:uniqueId val="{00000005-0596-48B5-B1C9-635B932A3C6F}"/>
              </c:ext>
            </c:extLst>
          </c:dPt>
          <c:dLbls>
            <c:delete val="1"/>
          </c:dLbls>
          <c:val>
            <c:numRef>
              <c:f>Cijfers!$AN$57:$AN$59</c:f>
              <c:numCache>
                <c:formatCode>_ * #,##0_ ;_ * \-#,##0_ ;_ * "-"??_ ;_ @_ </c:formatCode>
                <c:ptCount val="3"/>
                <c:pt idx="0">
                  <c:v>265802.32892003475</c:v>
                </c:pt>
                <c:pt idx="1">
                  <c:v>10242.371040000013</c:v>
                </c:pt>
                <c:pt idx="2">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0596-48B5-B1C9-635B932A3C6F}"/>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Uitleg!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3.xml"/><Relationship Id="rId7" Type="http://schemas.openxmlformats.org/officeDocument/2006/relationships/image" Target="../media/image1.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1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9.xml"/><Relationship Id="rId7" Type="http://schemas.openxmlformats.org/officeDocument/2006/relationships/image" Target="../media/image1.pn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45.xml"/><Relationship Id="rId7" Type="http://schemas.openxmlformats.org/officeDocument/2006/relationships/image" Target="../media/image1.png"/><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8" Type="http://schemas.openxmlformats.org/officeDocument/2006/relationships/hyperlink" Target="https://www.expertisecentrumverduurzamingzorg.nl/kennisbank/subsidies-financiele-regelingen/" TargetMode="External"/><Relationship Id="rId3" Type="http://schemas.openxmlformats.org/officeDocument/2006/relationships/hyperlink" Target="#Cijfers!A1"/><Relationship Id="rId7" Type="http://schemas.openxmlformats.org/officeDocument/2006/relationships/hyperlink" Target="https://www.expertisecentrumverduurzamingzorg.nl/kennisbank/monitoring-energiebesparing-en-co2-doelen/" TargetMode="External"/><Relationship Id="rId2" Type="http://schemas.openxmlformats.org/officeDocument/2006/relationships/hyperlink" Target="https://www.expertisecentrumverduurzamingzorg.nl/contact/" TargetMode="External"/><Relationship Id="rId1" Type="http://schemas.openxmlformats.org/officeDocument/2006/relationships/hyperlink" Target="https://www.expertisecentrumverduurzamingzorg.nl/veelgestelde-vragen/" TargetMode="External"/><Relationship Id="rId6" Type="http://schemas.openxmlformats.org/officeDocument/2006/relationships/hyperlink" Target="https://www.expertisecentrumverduurzamingzorg.nl/care/co2-routekaart/wegwijzer/informatieplicht-co2-reductietool-care/" TargetMode="External"/><Relationship Id="rId5" Type="http://schemas.openxmlformats.org/officeDocument/2006/relationships/hyperlink" Target="https://www.expertisecentrumverduurzamingzorg.nl/kennisbank/evz-rapport-duurzame-nieuwbouw-bij-zorgvastgoed/" TargetMode="External"/><Relationship Id="rId10" Type="http://schemas.openxmlformats.org/officeDocument/2006/relationships/hyperlink" Target="https://www.expertisecentrumverduurzamingzorg.nl/care/co2-routekaart/wegwijzer/eed-co2-reductietool-care/" TargetMode="External"/><Relationship Id="rId4" Type="http://schemas.openxmlformats.org/officeDocument/2006/relationships/hyperlink" Target="https://www.expertisecentrumverduurzamingzorg.nl/care/co2-routekaart/wegwijzer-co2-reductietool/" TargetMode="External"/><Relationship Id="rId9" Type="http://schemas.openxmlformats.org/officeDocument/2006/relationships/hyperlink" Target="https://www.expertisecentrumverduurzamingzorg.nl/kennisbank/brief-verhuurder-split-incentive/"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png"/><Relationship Id="rId7" Type="http://schemas.openxmlformats.org/officeDocument/2006/relationships/image" Target="../media/image4.png"/><Relationship Id="rId12" Type="http://schemas.openxmlformats.org/officeDocument/2006/relationships/image" Target="../media/image9.emf"/><Relationship Id="rId2" Type="http://schemas.openxmlformats.org/officeDocument/2006/relationships/hyperlink" Target="https://www.expertisecentrumverduurzamingzorg.nl/kennisbank/handleiding-energiekosten-en-terugverdientijd-berekenen/" TargetMode="External"/><Relationship Id="rId1" Type="http://schemas.openxmlformats.org/officeDocument/2006/relationships/hyperlink" Target="https://data.rvo.nl/eml" TargetMode="External"/><Relationship Id="rId6" Type="http://schemas.openxmlformats.org/officeDocument/2006/relationships/hyperlink" Target="#Bron!A1"/><Relationship Id="rId11" Type="http://schemas.openxmlformats.org/officeDocument/2006/relationships/image" Target="../media/image8.png"/><Relationship Id="rId5" Type="http://schemas.openxmlformats.org/officeDocument/2006/relationships/hyperlink" Target="#Bron!A237"/><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13" Type="http://schemas.microsoft.com/office/2007/relationships/hdphoto" Target="../media/hdphoto1.wdp"/><Relationship Id="rId18" Type="http://schemas.microsoft.com/office/2007/relationships/hdphoto" Target="../media/hdphoto3.wdp"/><Relationship Id="rId3" Type="http://schemas.openxmlformats.org/officeDocument/2006/relationships/image" Target="../media/image2.png"/><Relationship Id="rId7" Type="http://schemas.openxmlformats.org/officeDocument/2006/relationships/chart" Target="../charts/chart5.xml"/><Relationship Id="rId12" Type="http://schemas.openxmlformats.org/officeDocument/2006/relationships/image" Target="../media/image10.png"/><Relationship Id="rId17" Type="http://schemas.openxmlformats.org/officeDocument/2006/relationships/image" Target="../media/image12.png"/><Relationship Id="rId2" Type="http://schemas.openxmlformats.org/officeDocument/2006/relationships/image" Target="../media/image1.png"/><Relationship Id="rId16" Type="http://schemas.openxmlformats.org/officeDocument/2006/relationships/chart" Target="../charts/chart10.xml"/><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microsoft.com/office/2007/relationships/hdphoto" Target="../media/hdphoto2.wdp"/><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3.xml"/><Relationship Id="rId7" Type="http://schemas.openxmlformats.org/officeDocument/2006/relationships/image" Target="../media/image1.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21.xml"/><Relationship Id="rId7" Type="http://schemas.openxmlformats.org/officeDocument/2006/relationships/image" Target="../media/image1.png"/><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27.xml"/><Relationship Id="rId7" Type="http://schemas.openxmlformats.org/officeDocument/2006/relationships/image" Target="../media/image1.pn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editAs="oneCell">
    <xdr:from>
      <xdr:col>2</xdr:col>
      <xdr:colOff>246183</xdr:colOff>
      <xdr:row>24</xdr:row>
      <xdr:rowOff>121329</xdr:rowOff>
    </xdr:from>
    <xdr:to>
      <xdr:col>3</xdr:col>
      <xdr:colOff>505240</xdr:colOff>
      <xdr:row>24</xdr:row>
      <xdr:rowOff>347871</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627"/>
        <a:stretch/>
      </xdr:blipFill>
      <xdr:spPr>
        <a:xfrm>
          <a:off x="875661" y="4229503"/>
          <a:ext cx="929949" cy="226542"/>
        </a:xfrm>
        <a:prstGeom prst="rect">
          <a:avLst/>
        </a:prstGeom>
      </xdr:spPr>
    </xdr:pic>
    <xdr:clientData/>
  </xdr:twoCellAnchor>
  <xdr:twoCellAnchor editAs="oneCell">
    <xdr:from>
      <xdr:col>0</xdr:col>
      <xdr:colOff>179508</xdr:colOff>
      <xdr:row>23</xdr:row>
      <xdr:rowOff>171025</xdr:rowOff>
    </xdr:from>
    <xdr:to>
      <xdr:col>2</xdr:col>
      <xdr:colOff>213032</xdr:colOff>
      <xdr:row>25</xdr:row>
      <xdr:rowOff>47436</xdr:rowOff>
    </xdr:to>
    <xdr:pic>
      <xdr:nvPicPr>
        <xdr:cNvPr id="7" name="Afbeelding 6" descr="MPZ - Expertisecentrum Verduurzaming Zor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508" y="4088699"/>
          <a:ext cx="663002" cy="46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628650</xdr:colOff>
      <xdr:row>16</xdr:row>
      <xdr:rowOff>19050</xdr:rowOff>
    </xdr:from>
    <xdr:to>
      <xdr:col>12</xdr:col>
      <xdr:colOff>466725</xdr:colOff>
      <xdr:row>20</xdr:row>
      <xdr:rowOff>19050</xdr:rowOff>
    </xdr:to>
    <xdr:sp macro="" textlink="">
      <xdr:nvSpPr>
        <xdr:cNvPr id="4" name="Rechthoek: afgeronde hoeken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591175" y="3543300"/>
          <a:ext cx="1562100" cy="43815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START </a:t>
          </a:r>
          <a:r>
            <a:rPr lang="nl-NL" sz="1400" b="1" baseline="0">
              <a:solidFill>
                <a:srgbClr val="393D3F"/>
              </a:solidFill>
              <a:sym typeface="Wingdings" panose="05000000000000000000" pitchFamily="2" charset="2"/>
            </a:rPr>
            <a:t></a:t>
          </a:r>
          <a:endParaRPr lang="nl-NL" sz="1800" b="0" baseline="0">
            <a:solidFill>
              <a:srgbClr val="393D3F"/>
            </a:solidFill>
          </a:endParaRPr>
        </a:p>
      </xdr:txBody>
    </xdr:sp>
    <xdr:clientData/>
  </xdr:twoCellAnchor>
  <xdr:twoCellAnchor editAs="oneCell">
    <xdr:from>
      <xdr:col>13</xdr:col>
      <xdr:colOff>24849</xdr:colOff>
      <xdr:row>24</xdr:row>
      <xdr:rowOff>24849</xdr:rowOff>
    </xdr:from>
    <xdr:to>
      <xdr:col>13</xdr:col>
      <xdr:colOff>356680</xdr:colOff>
      <xdr:row>24</xdr:row>
      <xdr:rowOff>356152</xdr:rowOff>
    </xdr:to>
    <xdr:pic>
      <xdr:nvPicPr>
        <xdr:cNvPr id="6" name="Afbeelding 5" descr="Expertisecentrum Verduurzaming Zor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92719" y="4133023"/>
          <a:ext cx="331831" cy="331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150091</xdr:colOff>
      <xdr:row>23</xdr:row>
      <xdr:rowOff>106330</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1885C00F-04F6-4796-B9BB-F12385EF1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315003</xdr:colOff>
      <xdr:row>23</xdr:row>
      <xdr:rowOff>106330</xdr:rowOff>
    </xdr:from>
    <xdr:to>
      <xdr:col>10</xdr:col>
      <xdr:colOff>587622</xdr:colOff>
      <xdr:row>37</xdr:row>
      <xdr:rowOff>218446</xdr:rowOff>
    </xdr:to>
    <xdr:graphicFrame macro="">
      <xdr:nvGraphicFramePr>
        <xdr:cNvPr id="3" name="Grafiek 2">
          <a:extLst>
            <a:ext uri="{FF2B5EF4-FFF2-40B4-BE49-F238E27FC236}">
              <a16:creationId xmlns:a16="http://schemas.microsoft.com/office/drawing/2014/main" id="{6E15CE31-5293-4D3E-8415-2462BD2CB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106330</xdr:rowOff>
    </xdr:from>
    <xdr:to>
      <xdr:col>27</xdr:col>
      <xdr:colOff>715200</xdr:colOff>
      <xdr:row>22</xdr:row>
      <xdr:rowOff>37632</xdr:rowOff>
    </xdr:to>
    <xdr:graphicFrame macro="">
      <xdr:nvGraphicFramePr>
        <xdr:cNvPr id="4" name="Grafiek 3">
          <a:extLst>
            <a:ext uri="{FF2B5EF4-FFF2-40B4-BE49-F238E27FC236}">
              <a16:creationId xmlns:a16="http://schemas.microsoft.com/office/drawing/2014/main" id="{8E3C3F2D-67B7-4423-BAD3-32D0B9B75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51CBFAA5-1563-4987-861E-DB549B0FA92F}"/>
            </a:ext>
          </a:extLst>
        </xdr:cNvPr>
        <xdr:cNvSpPr/>
      </xdr:nvSpPr>
      <xdr:spPr>
        <a:xfrm>
          <a:off x="573604" y="60902850"/>
          <a:ext cx="2100447" cy="418521"/>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4AA40D8C-220F-4300-90B0-5F55C8A44657}"/>
            </a:ext>
          </a:extLst>
        </xdr:cNvPr>
        <xdr:cNvSpPr/>
      </xdr:nvSpPr>
      <xdr:spPr>
        <a:xfrm>
          <a:off x="15566881" y="59693175"/>
          <a:ext cx="2308822" cy="446768"/>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3796FDDB-A5AE-4E28-83B2-883C55DB1B8D}"/>
            </a:ext>
          </a:extLst>
        </xdr:cNvPr>
        <xdr:cNvSpPr>
          <a:spLocks/>
        </xdr:cNvSpPr>
      </xdr:nvSpPr>
      <xdr:spPr>
        <a:xfrm>
          <a:off x="654917" y="11808962"/>
          <a:ext cx="34520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426028</xdr:colOff>
      <xdr:row>28</xdr:row>
      <xdr:rowOff>68761</xdr:rowOff>
    </xdr:to>
    <xdr:sp macro="" textlink="">
      <xdr:nvSpPr>
        <xdr:cNvPr id="8" name="Rechthoek: afgeronde hoeken 7">
          <a:extLst>
            <a:ext uri="{FF2B5EF4-FFF2-40B4-BE49-F238E27FC236}">
              <a16:creationId xmlns:a16="http://schemas.microsoft.com/office/drawing/2014/main" id="{8A8633BC-B5D8-4EF5-9580-332F3A2B894B}"/>
            </a:ext>
          </a:extLst>
        </xdr:cNvPr>
        <xdr:cNvSpPr/>
      </xdr:nvSpPr>
      <xdr:spPr>
        <a:xfrm>
          <a:off x="18489757" y="6879181"/>
          <a:ext cx="379614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848797</xdr:colOff>
      <xdr:row>4</xdr:row>
      <xdr:rowOff>106328</xdr:rowOff>
    </xdr:from>
    <xdr:to>
      <xdr:col>57</xdr:col>
      <xdr:colOff>828098</xdr:colOff>
      <xdr:row>22</xdr:row>
      <xdr:rowOff>37632</xdr:rowOff>
    </xdr:to>
    <xdr:graphicFrame macro="">
      <xdr:nvGraphicFramePr>
        <xdr:cNvPr id="9" name="Grafiek 8">
          <a:extLst>
            <a:ext uri="{FF2B5EF4-FFF2-40B4-BE49-F238E27FC236}">
              <a16:creationId xmlns:a16="http://schemas.microsoft.com/office/drawing/2014/main" id="{0E2FE380-C62B-4D5C-B50D-9309917D9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164497</xdr:colOff>
      <xdr:row>4</xdr:row>
      <xdr:rowOff>83961</xdr:rowOff>
    </xdr:from>
    <xdr:to>
      <xdr:col>93</xdr:col>
      <xdr:colOff>744681</xdr:colOff>
      <xdr:row>22</xdr:row>
      <xdr:rowOff>48600</xdr:rowOff>
    </xdr:to>
    <xdr:graphicFrame macro="">
      <xdr:nvGraphicFramePr>
        <xdr:cNvPr id="10" name="Grafiek 9">
          <a:extLst>
            <a:ext uri="{FF2B5EF4-FFF2-40B4-BE49-F238E27FC236}">
              <a16:creationId xmlns:a16="http://schemas.microsoft.com/office/drawing/2014/main" id="{31776817-77D0-4C20-A0F3-717CD9C02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277282</xdr:colOff>
      <xdr:row>4</xdr:row>
      <xdr:rowOff>106331</xdr:rowOff>
    </xdr:from>
    <xdr:to>
      <xdr:col>16</xdr:col>
      <xdr:colOff>258576</xdr:colOff>
      <xdr:row>22</xdr:row>
      <xdr:rowOff>37632</xdr:rowOff>
    </xdr:to>
    <xdr:graphicFrame macro="">
      <xdr:nvGraphicFramePr>
        <xdr:cNvPr id="11" name="Grafiek 10">
          <a:extLst>
            <a:ext uri="{FF2B5EF4-FFF2-40B4-BE49-F238E27FC236}">
              <a16:creationId xmlns:a16="http://schemas.microsoft.com/office/drawing/2014/main" id="{B2C9FBDB-A306-4DBE-931A-307D59A30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4B0D6C6E-36DF-498E-B7D1-5ADCC813E274}"/>
            </a:ext>
          </a:extLst>
        </xdr:cNvPr>
        <xdr:cNvSpPr/>
      </xdr:nvSpPr>
      <xdr:spPr>
        <a:xfrm>
          <a:off x="38326731" y="10591800"/>
          <a:ext cx="1869"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C49D096B-AB30-49F2-A56F-2B50EBA148F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6509325" y="570698"/>
          <a:ext cx="1551096"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EF30F111-45BC-4256-85D2-C7FF5A9490F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5125890" y="436997"/>
          <a:ext cx="1326285" cy="56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7999</xdr:colOff>
      <xdr:row>36</xdr:row>
      <xdr:rowOff>142435</xdr:rowOff>
    </xdr:from>
    <xdr:to>
      <xdr:col>16</xdr:col>
      <xdr:colOff>105350</xdr:colOff>
      <xdr:row>37</xdr:row>
      <xdr:rowOff>73038</xdr:rowOff>
    </xdr:to>
    <xdr:sp macro="" textlink="CO2reductieperc_2050">
      <xdr:nvSpPr>
        <xdr:cNvPr id="15" name="Rechthoek: afgeronde hoeken 14">
          <a:extLst>
            <a:ext uri="{FF2B5EF4-FFF2-40B4-BE49-F238E27FC236}">
              <a16:creationId xmlns:a16="http://schemas.microsoft.com/office/drawing/2014/main" id="{A2303C31-F14F-4661-B251-35DC685519D7}"/>
            </a:ext>
          </a:extLst>
        </xdr:cNvPr>
        <xdr:cNvSpPr/>
      </xdr:nvSpPr>
      <xdr:spPr>
        <a:xfrm>
          <a:off x="17067274" y="9772210"/>
          <a:ext cx="973651" cy="283028"/>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0%</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102190</xdr:rowOff>
    </xdr:from>
    <xdr:to>
      <xdr:col>13</xdr:col>
      <xdr:colOff>59251</xdr:colOff>
      <xdr:row>37</xdr:row>
      <xdr:rowOff>142473</xdr:rowOff>
    </xdr:to>
    <xdr:sp macro="" textlink="">
      <xdr:nvSpPr>
        <xdr:cNvPr id="16" name="Rechthoek: afgeronde hoeken 15">
          <a:extLst>
            <a:ext uri="{FF2B5EF4-FFF2-40B4-BE49-F238E27FC236}">
              <a16:creationId xmlns:a16="http://schemas.microsoft.com/office/drawing/2014/main" id="{1EEE24EC-BBDA-42EB-BB9D-E99956C337DD}"/>
            </a:ext>
          </a:extLst>
        </xdr:cNvPr>
        <xdr:cNvSpPr/>
      </xdr:nvSpPr>
      <xdr:spPr>
        <a:xfrm>
          <a:off x="13584544" y="9731965"/>
          <a:ext cx="1943307" cy="39270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850608</xdr:colOff>
      <xdr:row>36</xdr:row>
      <xdr:rowOff>122149</xdr:rowOff>
    </xdr:from>
    <xdr:to>
      <xdr:col>15</xdr:col>
      <xdr:colOff>190169</xdr:colOff>
      <xdr:row>37</xdr:row>
      <xdr:rowOff>124265</xdr:rowOff>
    </xdr:to>
    <xdr:sp macro="" textlink="">
      <xdr:nvSpPr>
        <xdr:cNvPr id="17" name="Rechthoek: afgeronde hoeken 16">
          <a:extLst>
            <a:ext uri="{FF2B5EF4-FFF2-40B4-BE49-F238E27FC236}">
              <a16:creationId xmlns:a16="http://schemas.microsoft.com/office/drawing/2014/main" id="{0FB0FFE1-212C-4978-9112-5688596320F7}"/>
            </a:ext>
          </a:extLst>
        </xdr:cNvPr>
        <xdr:cNvSpPr/>
      </xdr:nvSpPr>
      <xdr:spPr>
        <a:xfrm>
          <a:off x="16319208" y="9751924"/>
          <a:ext cx="930236"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162929</xdr:rowOff>
    </xdr:from>
    <xdr:to>
      <xdr:col>13</xdr:col>
      <xdr:colOff>845950</xdr:colOff>
      <xdr:row>37</xdr:row>
      <xdr:rowOff>84005</xdr:rowOff>
    </xdr:to>
    <xdr:sp macro="" textlink="CO2reductieperc_2030">
      <xdr:nvSpPr>
        <xdr:cNvPr id="18" name="Rechthoek: afgeronde hoeken 17">
          <a:extLst>
            <a:ext uri="{FF2B5EF4-FFF2-40B4-BE49-F238E27FC236}">
              <a16:creationId xmlns:a16="http://schemas.microsoft.com/office/drawing/2014/main" id="{543492FA-AC19-403E-BB0A-C05273738BF8}"/>
            </a:ext>
          </a:extLst>
        </xdr:cNvPr>
        <xdr:cNvSpPr/>
      </xdr:nvSpPr>
      <xdr:spPr>
        <a:xfrm>
          <a:off x="15269975" y="9792704"/>
          <a:ext cx="1044575" cy="27350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-32%</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2980E7FD-45BB-4CAE-BA49-9D02DAE45461}"/>
            </a:ext>
          </a:extLst>
        </xdr:cNvPr>
        <xdr:cNvSpPr/>
      </xdr:nvSpPr>
      <xdr:spPr>
        <a:xfrm>
          <a:off x="6849053" y="12541539"/>
          <a:ext cx="2981324"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1C6516D9-9D69-4D1A-9E91-BE4E16618061}"/>
            </a:ext>
          </a:extLst>
        </xdr:cNvPr>
        <xdr:cNvSpPr/>
      </xdr:nvSpPr>
      <xdr:spPr>
        <a:xfrm>
          <a:off x="6849051" y="11637817"/>
          <a:ext cx="2964007" cy="39514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C142D7AD-B9E4-4358-9F46-51FFDA326590}"/>
            </a:ext>
          </a:extLst>
        </xdr:cNvPr>
        <xdr:cNvSpPr/>
      </xdr:nvSpPr>
      <xdr:spPr>
        <a:xfrm>
          <a:off x="6845589" y="12084916"/>
          <a:ext cx="2967469"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11607</xdr:colOff>
      <xdr:row>2</xdr:row>
      <xdr:rowOff>141721</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11E61D65-A38B-4408-8FF0-D21235F9AC86}"/>
            </a:ext>
          </a:extLst>
        </xdr:cNvPr>
        <xdr:cNvSpPr/>
      </xdr:nvSpPr>
      <xdr:spPr>
        <a:xfrm>
          <a:off x="8003082" y="1103746"/>
          <a:ext cx="5142448" cy="499592"/>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7A102614-93CC-4CE8-AE1D-2CE7B1433B6B}"/>
            </a:ext>
          </a:extLst>
        </xdr:cNvPr>
        <xdr:cNvSpPr/>
      </xdr:nvSpPr>
      <xdr:spPr>
        <a:xfrm>
          <a:off x="620280" y="10750839"/>
          <a:ext cx="1558636" cy="44998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C507A8B5-C050-4E01-BD91-C16DC6F2E390}"/>
            </a:ext>
          </a:extLst>
        </xdr:cNvPr>
        <xdr:cNvSpPr/>
      </xdr:nvSpPr>
      <xdr:spPr>
        <a:xfrm>
          <a:off x="598056" y="63366771"/>
          <a:ext cx="21420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150C3664-B19B-4C75-9A55-F87821BEBF9E}"/>
            </a:ext>
          </a:extLst>
        </xdr:cNvPr>
        <xdr:cNvSpPr/>
      </xdr:nvSpPr>
      <xdr:spPr>
        <a:xfrm>
          <a:off x="553236" y="64968785"/>
          <a:ext cx="28841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3B03AEC9-624D-4631-B8EA-F2A33C5CAA24}"/>
            </a:ext>
          </a:extLst>
        </xdr:cNvPr>
        <xdr:cNvSpPr/>
      </xdr:nvSpPr>
      <xdr:spPr>
        <a:xfrm>
          <a:off x="573780" y="66741064"/>
          <a:ext cx="2276436"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DFC4E3DA-BB26-4B29-87B8-B7F2627F00D3}"/>
            </a:ext>
          </a:extLst>
        </xdr:cNvPr>
        <xdr:cNvSpPr/>
      </xdr:nvSpPr>
      <xdr:spPr>
        <a:xfrm>
          <a:off x="578348" y="68502646"/>
          <a:ext cx="2161965"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4E91498B-5824-4EE8-96F5-CE1B3BE52602}"/>
            </a:ext>
          </a:extLst>
        </xdr:cNvPr>
        <xdr:cNvSpPr/>
      </xdr:nvSpPr>
      <xdr:spPr>
        <a:xfrm>
          <a:off x="550955" y="70110639"/>
          <a:ext cx="3879663"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6B57D117-12D6-4E46-ABDE-768CA77DDD43}"/>
            </a:ext>
          </a:extLst>
        </xdr:cNvPr>
        <xdr:cNvSpPr/>
      </xdr:nvSpPr>
      <xdr:spPr>
        <a:xfrm>
          <a:off x="3188566" y="10750838"/>
          <a:ext cx="2981902" cy="82867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08BA07EF-5ACD-44F7-8379-DE6046B9A583}"/>
            </a:ext>
          </a:extLst>
        </xdr:cNvPr>
        <xdr:cNvSpPr/>
      </xdr:nvSpPr>
      <xdr:spPr>
        <a:xfrm>
          <a:off x="6260234" y="10750838"/>
          <a:ext cx="3529158"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1C17F0AB-017F-489A-9753-8DF22F037ADA}"/>
            </a:ext>
          </a:extLst>
        </xdr:cNvPr>
        <xdr:cNvSpPr/>
      </xdr:nvSpPr>
      <xdr:spPr>
        <a:xfrm>
          <a:off x="6360967" y="59693175"/>
          <a:ext cx="3518190"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A7738881-83F4-417F-BCEF-89D8655276E3}"/>
            </a:ext>
          </a:extLst>
        </xdr:cNvPr>
        <xdr:cNvSpPr/>
      </xdr:nvSpPr>
      <xdr:spPr>
        <a:xfrm>
          <a:off x="18375539" y="408668"/>
          <a:ext cx="1567748" cy="3563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33" name="Rechthoek: afgeronde hoeken 32">
          <a:extLst>
            <a:ext uri="{FF2B5EF4-FFF2-40B4-BE49-F238E27FC236}">
              <a16:creationId xmlns:a16="http://schemas.microsoft.com/office/drawing/2014/main" id="{40B586DF-4BC0-453B-8C85-E3BCF70C20A4}"/>
            </a:ext>
          </a:extLst>
        </xdr:cNvPr>
        <xdr:cNvSpPr/>
      </xdr:nvSpPr>
      <xdr:spPr>
        <a:xfrm>
          <a:off x="598056" y="63366771"/>
          <a:ext cx="2132495"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34" name="Rechthoek: afgeronde hoeken 33">
          <a:extLst>
            <a:ext uri="{FF2B5EF4-FFF2-40B4-BE49-F238E27FC236}">
              <a16:creationId xmlns:a16="http://schemas.microsoft.com/office/drawing/2014/main" id="{4EF543AE-F39E-489F-B513-517402E892B9}"/>
            </a:ext>
          </a:extLst>
        </xdr:cNvPr>
        <xdr:cNvSpPr/>
      </xdr:nvSpPr>
      <xdr:spPr>
        <a:xfrm>
          <a:off x="553236" y="64968785"/>
          <a:ext cx="2874611"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35" name="Rechthoek: afgeronde hoeken 34">
          <a:extLst>
            <a:ext uri="{FF2B5EF4-FFF2-40B4-BE49-F238E27FC236}">
              <a16:creationId xmlns:a16="http://schemas.microsoft.com/office/drawing/2014/main" id="{4FD40958-0C10-44C9-B4CA-DF4FF48DE59B}"/>
            </a:ext>
          </a:extLst>
        </xdr:cNvPr>
        <xdr:cNvSpPr/>
      </xdr:nvSpPr>
      <xdr:spPr>
        <a:xfrm>
          <a:off x="573780" y="66741064"/>
          <a:ext cx="2266911"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36" name="Rechthoek: afgeronde hoeken 35">
          <a:extLst>
            <a:ext uri="{FF2B5EF4-FFF2-40B4-BE49-F238E27FC236}">
              <a16:creationId xmlns:a16="http://schemas.microsoft.com/office/drawing/2014/main" id="{3D1C3222-2CCA-4FA0-A2C0-4F9D68D335F2}"/>
            </a:ext>
          </a:extLst>
        </xdr:cNvPr>
        <xdr:cNvSpPr/>
      </xdr:nvSpPr>
      <xdr:spPr>
        <a:xfrm>
          <a:off x="578348" y="68502646"/>
          <a:ext cx="2152440"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37" name="Rechthoek: afgeronde hoeken 36">
          <a:extLst>
            <a:ext uri="{FF2B5EF4-FFF2-40B4-BE49-F238E27FC236}">
              <a16:creationId xmlns:a16="http://schemas.microsoft.com/office/drawing/2014/main" id="{45580243-D4DB-45A2-B866-FB89382252F8}"/>
            </a:ext>
          </a:extLst>
        </xdr:cNvPr>
        <xdr:cNvSpPr/>
      </xdr:nvSpPr>
      <xdr:spPr>
        <a:xfrm>
          <a:off x="550955" y="70110639"/>
          <a:ext cx="3870138"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11</xdr:col>
      <xdr:colOff>150091</xdr:colOff>
      <xdr:row>23</xdr:row>
      <xdr:rowOff>106330</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9BC654B2-5717-4624-A44B-A71C74669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315003</xdr:colOff>
      <xdr:row>23</xdr:row>
      <xdr:rowOff>106330</xdr:rowOff>
    </xdr:from>
    <xdr:to>
      <xdr:col>10</xdr:col>
      <xdr:colOff>587622</xdr:colOff>
      <xdr:row>37</xdr:row>
      <xdr:rowOff>218446</xdr:rowOff>
    </xdr:to>
    <xdr:graphicFrame macro="">
      <xdr:nvGraphicFramePr>
        <xdr:cNvPr id="3" name="Grafiek 2">
          <a:extLst>
            <a:ext uri="{FF2B5EF4-FFF2-40B4-BE49-F238E27FC236}">
              <a16:creationId xmlns:a16="http://schemas.microsoft.com/office/drawing/2014/main" id="{58B2CBC8-9592-4D07-A089-105540A4B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106330</xdr:rowOff>
    </xdr:from>
    <xdr:to>
      <xdr:col>27</xdr:col>
      <xdr:colOff>715200</xdr:colOff>
      <xdr:row>22</xdr:row>
      <xdr:rowOff>37632</xdr:rowOff>
    </xdr:to>
    <xdr:graphicFrame macro="">
      <xdr:nvGraphicFramePr>
        <xdr:cNvPr id="4" name="Grafiek 3">
          <a:extLst>
            <a:ext uri="{FF2B5EF4-FFF2-40B4-BE49-F238E27FC236}">
              <a16:creationId xmlns:a16="http://schemas.microsoft.com/office/drawing/2014/main" id="{71ADA16D-DAA1-459E-8284-E0DA1FE14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27AD2DA6-ADD6-4DCF-8103-894C90B395EB}"/>
            </a:ext>
          </a:extLst>
        </xdr:cNvPr>
        <xdr:cNvSpPr/>
      </xdr:nvSpPr>
      <xdr:spPr>
        <a:xfrm>
          <a:off x="573604" y="60902850"/>
          <a:ext cx="2100447" cy="418521"/>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0D33AB83-9015-4285-8361-5FD1DDAC2495}"/>
            </a:ext>
          </a:extLst>
        </xdr:cNvPr>
        <xdr:cNvSpPr/>
      </xdr:nvSpPr>
      <xdr:spPr>
        <a:xfrm>
          <a:off x="15566881" y="59693175"/>
          <a:ext cx="2308822" cy="446768"/>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D5C902D2-399D-4D7C-9157-22AD1887D023}"/>
            </a:ext>
          </a:extLst>
        </xdr:cNvPr>
        <xdr:cNvSpPr>
          <a:spLocks/>
        </xdr:cNvSpPr>
      </xdr:nvSpPr>
      <xdr:spPr>
        <a:xfrm>
          <a:off x="654917" y="11808962"/>
          <a:ext cx="34520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426028</xdr:colOff>
      <xdr:row>28</xdr:row>
      <xdr:rowOff>68761</xdr:rowOff>
    </xdr:to>
    <xdr:sp macro="" textlink="">
      <xdr:nvSpPr>
        <xdr:cNvPr id="8" name="Rechthoek: afgeronde hoeken 7">
          <a:extLst>
            <a:ext uri="{FF2B5EF4-FFF2-40B4-BE49-F238E27FC236}">
              <a16:creationId xmlns:a16="http://schemas.microsoft.com/office/drawing/2014/main" id="{D3A7ACCF-E8E5-4E93-A4DA-AC9CDA27101B}"/>
            </a:ext>
          </a:extLst>
        </xdr:cNvPr>
        <xdr:cNvSpPr/>
      </xdr:nvSpPr>
      <xdr:spPr>
        <a:xfrm>
          <a:off x="18489757" y="6879181"/>
          <a:ext cx="379614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848797</xdr:colOff>
      <xdr:row>4</xdr:row>
      <xdr:rowOff>106328</xdr:rowOff>
    </xdr:from>
    <xdr:to>
      <xdr:col>57</xdr:col>
      <xdr:colOff>828098</xdr:colOff>
      <xdr:row>22</xdr:row>
      <xdr:rowOff>37632</xdr:rowOff>
    </xdr:to>
    <xdr:graphicFrame macro="">
      <xdr:nvGraphicFramePr>
        <xdr:cNvPr id="9" name="Grafiek 8">
          <a:extLst>
            <a:ext uri="{FF2B5EF4-FFF2-40B4-BE49-F238E27FC236}">
              <a16:creationId xmlns:a16="http://schemas.microsoft.com/office/drawing/2014/main" id="{870AC9D5-8848-41EA-A4C0-D1C17008D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164497</xdr:colOff>
      <xdr:row>4</xdr:row>
      <xdr:rowOff>83961</xdr:rowOff>
    </xdr:from>
    <xdr:to>
      <xdr:col>93</xdr:col>
      <xdr:colOff>744681</xdr:colOff>
      <xdr:row>22</xdr:row>
      <xdr:rowOff>48600</xdr:rowOff>
    </xdr:to>
    <xdr:graphicFrame macro="">
      <xdr:nvGraphicFramePr>
        <xdr:cNvPr id="10" name="Grafiek 9">
          <a:extLst>
            <a:ext uri="{FF2B5EF4-FFF2-40B4-BE49-F238E27FC236}">
              <a16:creationId xmlns:a16="http://schemas.microsoft.com/office/drawing/2014/main" id="{E8BCDC05-515C-4FD5-A29A-809A0024B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277282</xdr:colOff>
      <xdr:row>4</xdr:row>
      <xdr:rowOff>106331</xdr:rowOff>
    </xdr:from>
    <xdr:to>
      <xdr:col>16</xdr:col>
      <xdr:colOff>258576</xdr:colOff>
      <xdr:row>22</xdr:row>
      <xdr:rowOff>37632</xdr:rowOff>
    </xdr:to>
    <xdr:graphicFrame macro="">
      <xdr:nvGraphicFramePr>
        <xdr:cNvPr id="11" name="Grafiek 10">
          <a:extLst>
            <a:ext uri="{FF2B5EF4-FFF2-40B4-BE49-F238E27FC236}">
              <a16:creationId xmlns:a16="http://schemas.microsoft.com/office/drawing/2014/main" id="{F2805B48-4C18-4789-AF59-521CD1973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DE2C6A38-5A21-40D7-A614-921AFF6557C6}"/>
            </a:ext>
          </a:extLst>
        </xdr:cNvPr>
        <xdr:cNvSpPr/>
      </xdr:nvSpPr>
      <xdr:spPr>
        <a:xfrm>
          <a:off x="38326731" y="10591800"/>
          <a:ext cx="1869"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491D0DCA-40D2-44E9-841B-95A3863DEEF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6509325" y="570698"/>
          <a:ext cx="1551096"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273656DA-7C03-428B-ACA1-33A825E54B1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5125890" y="436997"/>
          <a:ext cx="1326285" cy="56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7999</xdr:colOff>
      <xdr:row>36</xdr:row>
      <xdr:rowOff>142435</xdr:rowOff>
    </xdr:from>
    <xdr:to>
      <xdr:col>16</xdr:col>
      <xdr:colOff>105350</xdr:colOff>
      <xdr:row>37</xdr:row>
      <xdr:rowOff>73038</xdr:rowOff>
    </xdr:to>
    <xdr:sp macro="" textlink="CO2reductieperc_2050">
      <xdr:nvSpPr>
        <xdr:cNvPr id="15" name="Rechthoek: afgeronde hoeken 14">
          <a:extLst>
            <a:ext uri="{FF2B5EF4-FFF2-40B4-BE49-F238E27FC236}">
              <a16:creationId xmlns:a16="http://schemas.microsoft.com/office/drawing/2014/main" id="{AE52CB08-EB02-4167-AD01-4925E588B6B0}"/>
            </a:ext>
          </a:extLst>
        </xdr:cNvPr>
        <xdr:cNvSpPr/>
      </xdr:nvSpPr>
      <xdr:spPr>
        <a:xfrm>
          <a:off x="17067274" y="9772210"/>
          <a:ext cx="973651" cy="283028"/>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-56%</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102190</xdr:rowOff>
    </xdr:from>
    <xdr:to>
      <xdr:col>13</xdr:col>
      <xdr:colOff>59251</xdr:colOff>
      <xdr:row>37</xdr:row>
      <xdr:rowOff>142473</xdr:rowOff>
    </xdr:to>
    <xdr:sp macro="" textlink="">
      <xdr:nvSpPr>
        <xdr:cNvPr id="16" name="Rechthoek: afgeronde hoeken 15">
          <a:extLst>
            <a:ext uri="{FF2B5EF4-FFF2-40B4-BE49-F238E27FC236}">
              <a16:creationId xmlns:a16="http://schemas.microsoft.com/office/drawing/2014/main" id="{82E2F68D-CAA2-481B-B95D-0BB641D483D8}"/>
            </a:ext>
          </a:extLst>
        </xdr:cNvPr>
        <xdr:cNvSpPr/>
      </xdr:nvSpPr>
      <xdr:spPr>
        <a:xfrm>
          <a:off x="13584544" y="9731965"/>
          <a:ext cx="1943307" cy="39270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850608</xdr:colOff>
      <xdr:row>36</xdr:row>
      <xdr:rowOff>122149</xdr:rowOff>
    </xdr:from>
    <xdr:to>
      <xdr:col>15</xdr:col>
      <xdr:colOff>190169</xdr:colOff>
      <xdr:row>37</xdr:row>
      <xdr:rowOff>124265</xdr:rowOff>
    </xdr:to>
    <xdr:sp macro="" textlink="">
      <xdr:nvSpPr>
        <xdr:cNvPr id="17" name="Rechthoek: afgeronde hoeken 16">
          <a:extLst>
            <a:ext uri="{FF2B5EF4-FFF2-40B4-BE49-F238E27FC236}">
              <a16:creationId xmlns:a16="http://schemas.microsoft.com/office/drawing/2014/main" id="{E3B7E382-9B5C-4AA7-A11A-797DCD8E534A}"/>
            </a:ext>
          </a:extLst>
        </xdr:cNvPr>
        <xdr:cNvSpPr/>
      </xdr:nvSpPr>
      <xdr:spPr>
        <a:xfrm>
          <a:off x="16319208" y="9751924"/>
          <a:ext cx="930236"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162929</xdr:rowOff>
    </xdr:from>
    <xdr:to>
      <xdr:col>13</xdr:col>
      <xdr:colOff>845950</xdr:colOff>
      <xdr:row>37</xdr:row>
      <xdr:rowOff>84005</xdr:rowOff>
    </xdr:to>
    <xdr:sp macro="" textlink="CO2reductieperc_2030">
      <xdr:nvSpPr>
        <xdr:cNvPr id="18" name="Rechthoek: afgeronde hoeken 17">
          <a:extLst>
            <a:ext uri="{FF2B5EF4-FFF2-40B4-BE49-F238E27FC236}">
              <a16:creationId xmlns:a16="http://schemas.microsoft.com/office/drawing/2014/main" id="{21F6BEC2-9BEE-41C2-ACB8-1EC67A626523}"/>
            </a:ext>
          </a:extLst>
        </xdr:cNvPr>
        <xdr:cNvSpPr/>
      </xdr:nvSpPr>
      <xdr:spPr>
        <a:xfrm>
          <a:off x="15269975" y="9792704"/>
          <a:ext cx="1044575" cy="27350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-50%</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6E3F1F37-35A1-4CF0-93E9-3CF0590BBFC8}"/>
            </a:ext>
          </a:extLst>
        </xdr:cNvPr>
        <xdr:cNvSpPr/>
      </xdr:nvSpPr>
      <xdr:spPr>
        <a:xfrm>
          <a:off x="6849053" y="12541539"/>
          <a:ext cx="2981324"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161E2AA8-0EE3-406A-96A1-AD289175DC52}"/>
            </a:ext>
          </a:extLst>
        </xdr:cNvPr>
        <xdr:cNvSpPr/>
      </xdr:nvSpPr>
      <xdr:spPr>
        <a:xfrm>
          <a:off x="6849051" y="11637817"/>
          <a:ext cx="2964007" cy="39514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A9002D1C-AD9D-4683-838C-E2513B6EC153}"/>
            </a:ext>
          </a:extLst>
        </xdr:cNvPr>
        <xdr:cNvSpPr/>
      </xdr:nvSpPr>
      <xdr:spPr>
        <a:xfrm>
          <a:off x="6845589" y="12084916"/>
          <a:ext cx="2967469"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11607</xdr:colOff>
      <xdr:row>2</xdr:row>
      <xdr:rowOff>141721</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B4B59AE6-C779-472F-ABBB-1C28CFAEA9D4}"/>
            </a:ext>
          </a:extLst>
        </xdr:cNvPr>
        <xdr:cNvSpPr/>
      </xdr:nvSpPr>
      <xdr:spPr>
        <a:xfrm>
          <a:off x="8003082" y="1103746"/>
          <a:ext cx="5142448" cy="499592"/>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B0266A04-EDF7-4F94-B0D9-BF5D971B7406}"/>
            </a:ext>
          </a:extLst>
        </xdr:cNvPr>
        <xdr:cNvSpPr/>
      </xdr:nvSpPr>
      <xdr:spPr>
        <a:xfrm>
          <a:off x="620280" y="10750839"/>
          <a:ext cx="1558636" cy="44998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4D792ACF-2ECE-475D-A361-5053B8B1F72A}"/>
            </a:ext>
          </a:extLst>
        </xdr:cNvPr>
        <xdr:cNvSpPr/>
      </xdr:nvSpPr>
      <xdr:spPr>
        <a:xfrm>
          <a:off x="598056" y="63366771"/>
          <a:ext cx="21420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E0F25C75-9F6C-4466-9E3F-364D4C1510C0}"/>
            </a:ext>
          </a:extLst>
        </xdr:cNvPr>
        <xdr:cNvSpPr/>
      </xdr:nvSpPr>
      <xdr:spPr>
        <a:xfrm>
          <a:off x="553236" y="64968785"/>
          <a:ext cx="28841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28F91E12-417A-498E-934D-44EFFF760D65}"/>
            </a:ext>
          </a:extLst>
        </xdr:cNvPr>
        <xdr:cNvSpPr/>
      </xdr:nvSpPr>
      <xdr:spPr>
        <a:xfrm>
          <a:off x="573780" y="66741064"/>
          <a:ext cx="2276436"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04A70908-9DB9-481C-8308-52CB568ABE8D}"/>
            </a:ext>
          </a:extLst>
        </xdr:cNvPr>
        <xdr:cNvSpPr/>
      </xdr:nvSpPr>
      <xdr:spPr>
        <a:xfrm>
          <a:off x="578348" y="68502646"/>
          <a:ext cx="2161965"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90774F56-F8EA-4173-B45A-A4AF29689B99}"/>
            </a:ext>
          </a:extLst>
        </xdr:cNvPr>
        <xdr:cNvSpPr/>
      </xdr:nvSpPr>
      <xdr:spPr>
        <a:xfrm>
          <a:off x="550955" y="70110639"/>
          <a:ext cx="3879663"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43E206A0-0434-4179-AEFB-5CDE84CD4195}"/>
            </a:ext>
          </a:extLst>
        </xdr:cNvPr>
        <xdr:cNvSpPr/>
      </xdr:nvSpPr>
      <xdr:spPr>
        <a:xfrm>
          <a:off x="3188566" y="10750838"/>
          <a:ext cx="2981902" cy="82867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16CC011F-D92A-46ED-B516-CD1973179A1F}"/>
            </a:ext>
          </a:extLst>
        </xdr:cNvPr>
        <xdr:cNvSpPr/>
      </xdr:nvSpPr>
      <xdr:spPr>
        <a:xfrm>
          <a:off x="6260234" y="10750838"/>
          <a:ext cx="3529158"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18D1924B-6B10-4E2E-B536-1005D1F8442E}"/>
            </a:ext>
          </a:extLst>
        </xdr:cNvPr>
        <xdr:cNvSpPr/>
      </xdr:nvSpPr>
      <xdr:spPr>
        <a:xfrm>
          <a:off x="6360967" y="59693175"/>
          <a:ext cx="3518190"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00274D1D-652C-4787-BF12-ED4A45989659}"/>
            </a:ext>
          </a:extLst>
        </xdr:cNvPr>
        <xdr:cNvSpPr/>
      </xdr:nvSpPr>
      <xdr:spPr>
        <a:xfrm>
          <a:off x="18375539" y="408668"/>
          <a:ext cx="1567748" cy="3563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33" name="Rechthoek: afgeronde hoeken 32">
          <a:extLst>
            <a:ext uri="{FF2B5EF4-FFF2-40B4-BE49-F238E27FC236}">
              <a16:creationId xmlns:a16="http://schemas.microsoft.com/office/drawing/2014/main" id="{DCBA9826-D4BE-4AEF-ABC5-D61DE9E767CE}"/>
            </a:ext>
          </a:extLst>
        </xdr:cNvPr>
        <xdr:cNvSpPr/>
      </xdr:nvSpPr>
      <xdr:spPr>
        <a:xfrm>
          <a:off x="598056" y="63366771"/>
          <a:ext cx="2132495"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34" name="Rechthoek: afgeronde hoeken 33">
          <a:extLst>
            <a:ext uri="{FF2B5EF4-FFF2-40B4-BE49-F238E27FC236}">
              <a16:creationId xmlns:a16="http://schemas.microsoft.com/office/drawing/2014/main" id="{F99F4051-9387-4A50-9EF9-25B6FF8E57F5}"/>
            </a:ext>
          </a:extLst>
        </xdr:cNvPr>
        <xdr:cNvSpPr/>
      </xdr:nvSpPr>
      <xdr:spPr>
        <a:xfrm>
          <a:off x="553236" y="64968785"/>
          <a:ext cx="2874611"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35" name="Rechthoek: afgeronde hoeken 34">
          <a:extLst>
            <a:ext uri="{FF2B5EF4-FFF2-40B4-BE49-F238E27FC236}">
              <a16:creationId xmlns:a16="http://schemas.microsoft.com/office/drawing/2014/main" id="{FA590799-B066-4B99-BC6E-215752152349}"/>
            </a:ext>
          </a:extLst>
        </xdr:cNvPr>
        <xdr:cNvSpPr/>
      </xdr:nvSpPr>
      <xdr:spPr>
        <a:xfrm>
          <a:off x="573780" y="66741064"/>
          <a:ext cx="2266911"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36" name="Rechthoek: afgeronde hoeken 35">
          <a:extLst>
            <a:ext uri="{FF2B5EF4-FFF2-40B4-BE49-F238E27FC236}">
              <a16:creationId xmlns:a16="http://schemas.microsoft.com/office/drawing/2014/main" id="{DB6A5765-07E0-4210-81AA-57620C736042}"/>
            </a:ext>
          </a:extLst>
        </xdr:cNvPr>
        <xdr:cNvSpPr/>
      </xdr:nvSpPr>
      <xdr:spPr>
        <a:xfrm>
          <a:off x="578348" y="68502646"/>
          <a:ext cx="2152440"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37" name="Rechthoek: afgeronde hoeken 36">
          <a:extLst>
            <a:ext uri="{FF2B5EF4-FFF2-40B4-BE49-F238E27FC236}">
              <a16:creationId xmlns:a16="http://schemas.microsoft.com/office/drawing/2014/main" id="{F6FE7615-8B13-491C-8B21-96DC64C82C49}"/>
            </a:ext>
          </a:extLst>
        </xdr:cNvPr>
        <xdr:cNvSpPr/>
      </xdr:nvSpPr>
      <xdr:spPr>
        <a:xfrm>
          <a:off x="550955" y="70110639"/>
          <a:ext cx="3870138"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11</xdr:col>
      <xdr:colOff>150091</xdr:colOff>
      <xdr:row>23</xdr:row>
      <xdr:rowOff>106330</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DE2A3524-AF46-4E35-B285-038750FB2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315003</xdr:colOff>
      <xdr:row>23</xdr:row>
      <xdr:rowOff>106330</xdr:rowOff>
    </xdr:from>
    <xdr:to>
      <xdr:col>10</xdr:col>
      <xdr:colOff>587622</xdr:colOff>
      <xdr:row>37</xdr:row>
      <xdr:rowOff>218446</xdr:rowOff>
    </xdr:to>
    <xdr:graphicFrame macro="">
      <xdr:nvGraphicFramePr>
        <xdr:cNvPr id="3" name="Grafiek 2">
          <a:extLst>
            <a:ext uri="{FF2B5EF4-FFF2-40B4-BE49-F238E27FC236}">
              <a16:creationId xmlns:a16="http://schemas.microsoft.com/office/drawing/2014/main" id="{A49BC324-BD12-4972-963E-F8DF940C8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106330</xdr:rowOff>
    </xdr:from>
    <xdr:to>
      <xdr:col>27</xdr:col>
      <xdr:colOff>715200</xdr:colOff>
      <xdr:row>22</xdr:row>
      <xdr:rowOff>37632</xdr:rowOff>
    </xdr:to>
    <xdr:graphicFrame macro="">
      <xdr:nvGraphicFramePr>
        <xdr:cNvPr id="4" name="Grafiek 3">
          <a:extLst>
            <a:ext uri="{FF2B5EF4-FFF2-40B4-BE49-F238E27FC236}">
              <a16:creationId xmlns:a16="http://schemas.microsoft.com/office/drawing/2014/main" id="{C716A579-CE48-4917-99EB-9100F7560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E69F17BB-C2CF-45F8-8845-AE13B260D4FC}"/>
            </a:ext>
          </a:extLst>
        </xdr:cNvPr>
        <xdr:cNvSpPr/>
      </xdr:nvSpPr>
      <xdr:spPr>
        <a:xfrm>
          <a:off x="573604" y="60902850"/>
          <a:ext cx="2100447" cy="418521"/>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816D4B3B-7B14-4277-89CC-F1B1AD9C18C5}"/>
            </a:ext>
          </a:extLst>
        </xdr:cNvPr>
        <xdr:cNvSpPr/>
      </xdr:nvSpPr>
      <xdr:spPr>
        <a:xfrm>
          <a:off x="15566881" y="59693175"/>
          <a:ext cx="2308822" cy="446768"/>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42EDACB1-75F3-4D28-AD48-98E5B4289A4E}"/>
            </a:ext>
          </a:extLst>
        </xdr:cNvPr>
        <xdr:cNvSpPr>
          <a:spLocks/>
        </xdr:cNvSpPr>
      </xdr:nvSpPr>
      <xdr:spPr>
        <a:xfrm>
          <a:off x="654917" y="11808962"/>
          <a:ext cx="34520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426028</xdr:colOff>
      <xdr:row>28</xdr:row>
      <xdr:rowOff>68761</xdr:rowOff>
    </xdr:to>
    <xdr:sp macro="" textlink="">
      <xdr:nvSpPr>
        <xdr:cNvPr id="8" name="Rechthoek: afgeronde hoeken 7">
          <a:extLst>
            <a:ext uri="{FF2B5EF4-FFF2-40B4-BE49-F238E27FC236}">
              <a16:creationId xmlns:a16="http://schemas.microsoft.com/office/drawing/2014/main" id="{AFECBD2E-60BC-433E-B696-2B528A7D1EBE}"/>
            </a:ext>
          </a:extLst>
        </xdr:cNvPr>
        <xdr:cNvSpPr/>
      </xdr:nvSpPr>
      <xdr:spPr>
        <a:xfrm>
          <a:off x="18489757" y="6879181"/>
          <a:ext cx="379614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848797</xdr:colOff>
      <xdr:row>4</xdr:row>
      <xdr:rowOff>106328</xdr:rowOff>
    </xdr:from>
    <xdr:to>
      <xdr:col>57</xdr:col>
      <xdr:colOff>828098</xdr:colOff>
      <xdr:row>22</xdr:row>
      <xdr:rowOff>37632</xdr:rowOff>
    </xdr:to>
    <xdr:graphicFrame macro="">
      <xdr:nvGraphicFramePr>
        <xdr:cNvPr id="9" name="Grafiek 8">
          <a:extLst>
            <a:ext uri="{FF2B5EF4-FFF2-40B4-BE49-F238E27FC236}">
              <a16:creationId xmlns:a16="http://schemas.microsoft.com/office/drawing/2014/main" id="{CC06D3DF-BB8E-4A55-88B9-93F2AEFCC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164497</xdr:colOff>
      <xdr:row>4</xdr:row>
      <xdr:rowOff>83961</xdr:rowOff>
    </xdr:from>
    <xdr:to>
      <xdr:col>93</xdr:col>
      <xdr:colOff>744681</xdr:colOff>
      <xdr:row>22</xdr:row>
      <xdr:rowOff>48600</xdr:rowOff>
    </xdr:to>
    <xdr:graphicFrame macro="">
      <xdr:nvGraphicFramePr>
        <xdr:cNvPr id="10" name="Grafiek 9">
          <a:extLst>
            <a:ext uri="{FF2B5EF4-FFF2-40B4-BE49-F238E27FC236}">
              <a16:creationId xmlns:a16="http://schemas.microsoft.com/office/drawing/2014/main" id="{F3FA6973-741F-43BB-B6EE-374DB1AD7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277282</xdr:colOff>
      <xdr:row>4</xdr:row>
      <xdr:rowOff>106331</xdr:rowOff>
    </xdr:from>
    <xdr:to>
      <xdr:col>16</xdr:col>
      <xdr:colOff>258576</xdr:colOff>
      <xdr:row>22</xdr:row>
      <xdr:rowOff>37632</xdr:rowOff>
    </xdr:to>
    <xdr:graphicFrame macro="">
      <xdr:nvGraphicFramePr>
        <xdr:cNvPr id="11" name="Grafiek 10">
          <a:extLst>
            <a:ext uri="{FF2B5EF4-FFF2-40B4-BE49-F238E27FC236}">
              <a16:creationId xmlns:a16="http://schemas.microsoft.com/office/drawing/2014/main" id="{35F48F04-6E4D-4EDA-900D-53640E73D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0815D0D3-7BB5-4992-8927-4324DAA5602B}"/>
            </a:ext>
          </a:extLst>
        </xdr:cNvPr>
        <xdr:cNvSpPr/>
      </xdr:nvSpPr>
      <xdr:spPr>
        <a:xfrm>
          <a:off x="38326731" y="10591800"/>
          <a:ext cx="1869"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E3891167-DCEF-4D4A-97BB-936E6D64FE89}"/>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6509325" y="570698"/>
          <a:ext cx="1551096"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2A95B657-B1E2-4387-8C93-0370BD5F37F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5125890" y="436997"/>
          <a:ext cx="1326285" cy="56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7999</xdr:colOff>
      <xdr:row>36</xdr:row>
      <xdr:rowOff>142435</xdr:rowOff>
    </xdr:from>
    <xdr:to>
      <xdr:col>16</xdr:col>
      <xdr:colOff>105350</xdr:colOff>
      <xdr:row>37</xdr:row>
      <xdr:rowOff>73038</xdr:rowOff>
    </xdr:to>
    <xdr:sp macro="" textlink="CO2reductieperc_2050">
      <xdr:nvSpPr>
        <xdr:cNvPr id="15" name="Rechthoek: afgeronde hoeken 14">
          <a:extLst>
            <a:ext uri="{FF2B5EF4-FFF2-40B4-BE49-F238E27FC236}">
              <a16:creationId xmlns:a16="http://schemas.microsoft.com/office/drawing/2014/main" id="{1E2D9260-1615-497F-867C-C3C9C13182CC}"/>
            </a:ext>
          </a:extLst>
        </xdr:cNvPr>
        <xdr:cNvSpPr/>
      </xdr:nvSpPr>
      <xdr:spPr>
        <a:xfrm>
          <a:off x="17067274" y="9772210"/>
          <a:ext cx="973651" cy="283028"/>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0%</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102190</xdr:rowOff>
    </xdr:from>
    <xdr:to>
      <xdr:col>13</xdr:col>
      <xdr:colOff>59251</xdr:colOff>
      <xdr:row>37</xdr:row>
      <xdr:rowOff>142473</xdr:rowOff>
    </xdr:to>
    <xdr:sp macro="" textlink="">
      <xdr:nvSpPr>
        <xdr:cNvPr id="16" name="Rechthoek: afgeronde hoeken 15">
          <a:extLst>
            <a:ext uri="{FF2B5EF4-FFF2-40B4-BE49-F238E27FC236}">
              <a16:creationId xmlns:a16="http://schemas.microsoft.com/office/drawing/2014/main" id="{E47FFF9A-20EE-4F10-B6BB-560B6FDF032B}"/>
            </a:ext>
          </a:extLst>
        </xdr:cNvPr>
        <xdr:cNvSpPr/>
      </xdr:nvSpPr>
      <xdr:spPr>
        <a:xfrm>
          <a:off x="13584544" y="9731965"/>
          <a:ext cx="1943307" cy="39270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850608</xdr:colOff>
      <xdr:row>36</xdr:row>
      <xdr:rowOff>122149</xdr:rowOff>
    </xdr:from>
    <xdr:to>
      <xdr:col>15</xdr:col>
      <xdr:colOff>190169</xdr:colOff>
      <xdr:row>37</xdr:row>
      <xdr:rowOff>124265</xdr:rowOff>
    </xdr:to>
    <xdr:sp macro="" textlink="">
      <xdr:nvSpPr>
        <xdr:cNvPr id="17" name="Rechthoek: afgeronde hoeken 16">
          <a:extLst>
            <a:ext uri="{FF2B5EF4-FFF2-40B4-BE49-F238E27FC236}">
              <a16:creationId xmlns:a16="http://schemas.microsoft.com/office/drawing/2014/main" id="{F0CA60A6-B79F-436E-9109-5E7C5DC7A320}"/>
            </a:ext>
          </a:extLst>
        </xdr:cNvPr>
        <xdr:cNvSpPr/>
      </xdr:nvSpPr>
      <xdr:spPr>
        <a:xfrm>
          <a:off x="16319208" y="9751924"/>
          <a:ext cx="930236"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162929</xdr:rowOff>
    </xdr:from>
    <xdr:to>
      <xdr:col>13</xdr:col>
      <xdr:colOff>845950</xdr:colOff>
      <xdr:row>37</xdr:row>
      <xdr:rowOff>84005</xdr:rowOff>
    </xdr:to>
    <xdr:sp macro="" textlink="CO2reductieperc_2030">
      <xdr:nvSpPr>
        <xdr:cNvPr id="18" name="Rechthoek: afgeronde hoeken 17">
          <a:extLst>
            <a:ext uri="{FF2B5EF4-FFF2-40B4-BE49-F238E27FC236}">
              <a16:creationId xmlns:a16="http://schemas.microsoft.com/office/drawing/2014/main" id="{439C1ACF-87DB-466A-B60B-CB81819DC278}"/>
            </a:ext>
          </a:extLst>
        </xdr:cNvPr>
        <xdr:cNvSpPr/>
      </xdr:nvSpPr>
      <xdr:spPr>
        <a:xfrm>
          <a:off x="15269975" y="9792704"/>
          <a:ext cx="1044575" cy="27350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0%</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2AC28812-A018-44D2-BC7A-B85DCFF74D06}"/>
            </a:ext>
          </a:extLst>
        </xdr:cNvPr>
        <xdr:cNvSpPr/>
      </xdr:nvSpPr>
      <xdr:spPr>
        <a:xfrm>
          <a:off x="6849053" y="12541539"/>
          <a:ext cx="2981324"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25EED7E7-9933-4D1C-93FC-0A620534F3F3}"/>
            </a:ext>
          </a:extLst>
        </xdr:cNvPr>
        <xdr:cNvSpPr/>
      </xdr:nvSpPr>
      <xdr:spPr>
        <a:xfrm>
          <a:off x="6849051" y="11637817"/>
          <a:ext cx="2964007" cy="39514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D85ADF78-B2E9-4C60-A456-8B16EC9D1329}"/>
            </a:ext>
          </a:extLst>
        </xdr:cNvPr>
        <xdr:cNvSpPr/>
      </xdr:nvSpPr>
      <xdr:spPr>
        <a:xfrm>
          <a:off x="6845589" y="12084916"/>
          <a:ext cx="2967469"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11607</xdr:colOff>
      <xdr:row>2</xdr:row>
      <xdr:rowOff>141721</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631E0A0A-933D-4FC3-ADD6-2F0A5B7BF04F}"/>
            </a:ext>
          </a:extLst>
        </xdr:cNvPr>
        <xdr:cNvSpPr/>
      </xdr:nvSpPr>
      <xdr:spPr>
        <a:xfrm>
          <a:off x="8003082" y="1103746"/>
          <a:ext cx="5142448" cy="499592"/>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BFE8D6ED-8D5C-4780-94DE-2C774DCFCD3A}"/>
            </a:ext>
          </a:extLst>
        </xdr:cNvPr>
        <xdr:cNvSpPr/>
      </xdr:nvSpPr>
      <xdr:spPr>
        <a:xfrm>
          <a:off x="620280" y="10750839"/>
          <a:ext cx="1558636" cy="44998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17ECA7A0-CA3F-4C9B-8DA9-C2D9BA634CD8}"/>
            </a:ext>
          </a:extLst>
        </xdr:cNvPr>
        <xdr:cNvSpPr/>
      </xdr:nvSpPr>
      <xdr:spPr>
        <a:xfrm>
          <a:off x="598056" y="63366771"/>
          <a:ext cx="21420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6A9F6383-0726-469A-BAF1-7D0A0C50FAAA}"/>
            </a:ext>
          </a:extLst>
        </xdr:cNvPr>
        <xdr:cNvSpPr/>
      </xdr:nvSpPr>
      <xdr:spPr>
        <a:xfrm>
          <a:off x="553236" y="64968785"/>
          <a:ext cx="28841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6812A12B-2B4C-4B8F-955F-C1C572AFDA00}"/>
            </a:ext>
          </a:extLst>
        </xdr:cNvPr>
        <xdr:cNvSpPr/>
      </xdr:nvSpPr>
      <xdr:spPr>
        <a:xfrm>
          <a:off x="573780" y="66741064"/>
          <a:ext cx="2276436"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45626E07-2187-457F-B766-DFE35B7E84E7}"/>
            </a:ext>
          </a:extLst>
        </xdr:cNvPr>
        <xdr:cNvSpPr/>
      </xdr:nvSpPr>
      <xdr:spPr>
        <a:xfrm>
          <a:off x="578348" y="68502646"/>
          <a:ext cx="2161965"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B775451D-F633-48D8-8123-C7CDD7B85E9F}"/>
            </a:ext>
          </a:extLst>
        </xdr:cNvPr>
        <xdr:cNvSpPr/>
      </xdr:nvSpPr>
      <xdr:spPr>
        <a:xfrm>
          <a:off x="550955" y="70110639"/>
          <a:ext cx="3879663"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0BCF2BCC-6446-4C01-AEA4-F9625D0C59F6}"/>
            </a:ext>
          </a:extLst>
        </xdr:cNvPr>
        <xdr:cNvSpPr/>
      </xdr:nvSpPr>
      <xdr:spPr>
        <a:xfrm>
          <a:off x="3188566" y="10750838"/>
          <a:ext cx="2981902" cy="82867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EFCCB53B-681D-4BB1-9A6F-1F57360AFDE9}"/>
            </a:ext>
          </a:extLst>
        </xdr:cNvPr>
        <xdr:cNvSpPr/>
      </xdr:nvSpPr>
      <xdr:spPr>
        <a:xfrm>
          <a:off x="6260234" y="10750838"/>
          <a:ext cx="3529158"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6CD21EF1-FFF7-4244-9BBA-E2142920AD99}"/>
            </a:ext>
          </a:extLst>
        </xdr:cNvPr>
        <xdr:cNvSpPr/>
      </xdr:nvSpPr>
      <xdr:spPr>
        <a:xfrm>
          <a:off x="6360967" y="59693175"/>
          <a:ext cx="3518190"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A0AE495F-AA95-4550-AA04-0D1F03B90812}"/>
            </a:ext>
          </a:extLst>
        </xdr:cNvPr>
        <xdr:cNvSpPr/>
      </xdr:nvSpPr>
      <xdr:spPr>
        <a:xfrm>
          <a:off x="18375539" y="408668"/>
          <a:ext cx="1567748" cy="3563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33" name="Rechthoek: afgeronde hoeken 32">
          <a:extLst>
            <a:ext uri="{FF2B5EF4-FFF2-40B4-BE49-F238E27FC236}">
              <a16:creationId xmlns:a16="http://schemas.microsoft.com/office/drawing/2014/main" id="{42373B4C-4136-4F8A-919F-71E4E9A009B3}"/>
            </a:ext>
          </a:extLst>
        </xdr:cNvPr>
        <xdr:cNvSpPr/>
      </xdr:nvSpPr>
      <xdr:spPr>
        <a:xfrm>
          <a:off x="598056" y="63366771"/>
          <a:ext cx="2132495"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34" name="Rechthoek: afgeronde hoeken 33">
          <a:extLst>
            <a:ext uri="{FF2B5EF4-FFF2-40B4-BE49-F238E27FC236}">
              <a16:creationId xmlns:a16="http://schemas.microsoft.com/office/drawing/2014/main" id="{8A96119D-A064-4F86-A99D-38EF498F84C7}"/>
            </a:ext>
          </a:extLst>
        </xdr:cNvPr>
        <xdr:cNvSpPr/>
      </xdr:nvSpPr>
      <xdr:spPr>
        <a:xfrm>
          <a:off x="553236" y="64968785"/>
          <a:ext cx="2874611"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35" name="Rechthoek: afgeronde hoeken 34">
          <a:extLst>
            <a:ext uri="{FF2B5EF4-FFF2-40B4-BE49-F238E27FC236}">
              <a16:creationId xmlns:a16="http://schemas.microsoft.com/office/drawing/2014/main" id="{364242B2-06D0-4F15-951B-CEE8A844AC7F}"/>
            </a:ext>
          </a:extLst>
        </xdr:cNvPr>
        <xdr:cNvSpPr/>
      </xdr:nvSpPr>
      <xdr:spPr>
        <a:xfrm>
          <a:off x="573780" y="66741064"/>
          <a:ext cx="2266911"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36" name="Rechthoek: afgeronde hoeken 35">
          <a:extLst>
            <a:ext uri="{FF2B5EF4-FFF2-40B4-BE49-F238E27FC236}">
              <a16:creationId xmlns:a16="http://schemas.microsoft.com/office/drawing/2014/main" id="{373ACA9D-8537-4DDF-A9A8-60B088FC82B5}"/>
            </a:ext>
          </a:extLst>
        </xdr:cNvPr>
        <xdr:cNvSpPr/>
      </xdr:nvSpPr>
      <xdr:spPr>
        <a:xfrm>
          <a:off x="578348" y="68502646"/>
          <a:ext cx="2152440"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37" name="Rechthoek: afgeronde hoeken 36">
          <a:extLst>
            <a:ext uri="{FF2B5EF4-FFF2-40B4-BE49-F238E27FC236}">
              <a16:creationId xmlns:a16="http://schemas.microsoft.com/office/drawing/2014/main" id="{8365E6FF-C6B9-4E38-8D78-EDA658E64BD7}"/>
            </a:ext>
          </a:extLst>
        </xdr:cNvPr>
        <xdr:cNvSpPr/>
      </xdr:nvSpPr>
      <xdr:spPr>
        <a:xfrm>
          <a:off x="550955" y="70110639"/>
          <a:ext cx="3870138"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874060</xdr:colOff>
      <xdr:row>35</xdr:row>
      <xdr:rowOff>33617</xdr:rowOff>
    </xdr:from>
    <xdr:to>
      <xdr:col>4</xdr:col>
      <xdr:colOff>291354</xdr:colOff>
      <xdr:row>36</xdr:row>
      <xdr:rowOff>212911</xdr:rowOff>
    </xdr:to>
    <xdr:sp macro="" textlink="">
      <xdr:nvSpPr>
        <xdr:cNvPr id="2" name="Rechthoek: afgeronde hoeke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210236" y="20461941"/>
          <a:ext cx="1255059" cy="58270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FAQ </a:t>
          </a:r>
          <a:r>
            <a:rPr lang="nl-NL" sz="1400" b="0" baseline="0">
              <a:solidFill>
                <a:srgbClr val="393D3F"/>
              </a:solidFill>
              <a:sym typeface="Wingdings" panose="05000000000000000000" pitchFamily="2" charset="2"/>
            </a:rPr>
            <a:t> </a:t>
          </a:r>
          <a:br>
            <a:rPr lang="nl-NL" sz="1400" b="0" baseline="0">
              <a:solidFill>
                <a:srgbClr val="393D3F"/>
              </a:solidFill>
              <a:sym typeface="Wingdings" panose="05000000000000000000" pitchFamily="2" charset="2"/>
            </a:rPr>
          </a:br>
          <a:r>
            <a:rPr lang="nl-NL" sz="1400" b="0" baseline="0">
              <a:solidFill>
                <a:srgbClr val="393D3F"/>
              </a:solidFill>
              <a:sym typeface="Wingdings" panose="05000000000000000000" pitchFamily="2" charset="2"/>
            </a:rPr>
            <a:t>(EVZ website)</a:t>
          </a:r>
          <a:endParaRPr lang="nl-NL" sz="1800" b="0" baseline="0">
            <a:solidFill>
              <a:srgbClr val="393D3F"/>
            </a:solidFill>
          </a:endParaRPr>
        </a:p>
      </xdr:txBody>
    </xdr:sp>
    <xdr:clientData/>
  </xdr:twoCellAnchor>
  <xdr:twoCellAnchor>
    <xdr:from>
      <xdr:col>6</xdr:col>
      <xdr:colOff>320489</xdr:colOff>
      <xdr:row>35</xdr:row>
      <xdr:rowOff>40341</xdr:rowOff>
    </xdr:from>
    <xdr:to>
      <xdr:col>8</xdr:col>
      <xdr:colOff>365313</xdr:colOff>
      <xdr:row>36</xdr:row>
      <xdr:rowOff>219635</xdr:rowOff>
    </xdr:to>
    <xdr:sp macro="" textlink="">
      <xdr:nvSpPr>
        <xdr:cNvPr id="3" name="Rechthoek: afgeronde hoeken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3939989" y="20468665"/>
          <a:ext cx="1255059" cy="58270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MAIL </a:t>
          </a:r>
          <a:r>
            <a:rPr lang="nl-NL" sz="1400" b="0" baseline="0">
              <a:solidFill>
                <a:srgbClr val="393D3F"/>
              </a:solidFill>
              <a:sym typeface="Wingdings" panose="05000000000000000000" pitchFamily="2" charset="2"/>
            </a:rPr>
            <a:t> </a:t>
          </a:r>
          <a:br>
            <a:rPr lang="nl-NL" sz="1400" b="0" baseline="0">
              <a:solidFill>
                <a:srgbClr val="393D3F"/>
              </a:solidFill>
              <a:sym typeface="Wingdings" panose="05000000000000000000" pitchFamily="2" charset="2"/>
            </a:rPr>
          </a:br>
          <a:r>
            <a:rPr lang="nl-NL" sz="1400" b="0" baseline="0">
              <a:solidFill>
                <a:srgbClr val="393D3F"/>
              </a:solidFill>
              <a:sym typeface="Wingdings" panose="05000000000000000000" pitchFamily="2" charset="2"/>
            </a:rPr>
            <a:t>(EVZ contact)</a:t>
          </a:r>
          <a:endParaRPr lang="nl-NL" sz="1800" b="0" baseline="0">
            <a:solidFill>
              <a:srgbClr val="393D3F"/>
            </a:solidFill>
          </a:endParaRPr>
        </a:p>
      </xdr:txBody>
    </xdr:sp>
    <xdr:clientData/>
  </xdr:twoCellAnchor>
  <xdr:twoCellAnchor>
    <xdr:from>
      <xdr:col>13</xdr:col>
      <xdr:colOff>159123</xdr:colOff>
      <xdr:row>35</xdr:row>
      <xdr:rowOff>13447</xdr:rowOff>
    </xdr:from>
    <xdr:to>
      <xdr:col>14</xdr:col>
      <xdr:colOff>697006</xdr:colOff>
      <xdr:row>36</xdr:row>
      <xdr:rowOff>192740</xdr:rowOff>
    </xdr:to>
    <xdr:sp macro="" textlink="">
      <xdr:nvSpPr>
        <xdr:cNvPr id="4" name="Rechthoek: afgeronde hoeken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8182535" y="20441771"/>
          <a:ext cx="1255059" cy="58270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START MET INVULLEN </a:t>
          </a:r>
          <a:r>
            <a:rPr lang="nl-NL" sz="1400" b="1" baseline="0">
              <a:solidFill>
                <a:srgbClr val="393D3F"/>
              </a:solidFill>
              <a:sym typeface="Wingdings" panose="05000000000000000000" pitchFamily="2" charset="2"/>
            </a:rPr>
            <a:t></a:t>
          </a:r>
          <a:endParaRPr lang="nl-NL" sz="1800" b="0" baseline="0">
            <a:solidFill>
              <a:srgbClr val="393D3F"/>
            </a:solidFill>
          </a:endParaRPr>
        </a:p>
      </xdr:txBody>
    </xdr:sp>
    <xdr:clientData/>
  </xdr:twoCellAnchor>
  <xdr:twoCellAnchor>
    <xdr:from>
      <xdr:col>4</xdr:col>
      <xdr:colOff>405653</xdr:colOff>
      <xdr:row>35</xdr:row>
      <xdr:rowOff>47064</xdr:rowOff>
    </xdr:from>
    <xdr:to>
      <xdr:col>6</xdr:col>
      <xdr:colOff>215153</xdr:colOff>
      <xdr:row>36</xdr:row>
      <xdr:rowOff>226358</xdr:rowOff>
    </xdr:to>
    <xdr:sp macro="" textlink="">
      <xdr:nvSpPr>
        <xdr:cNvPr id="5" name="Rechthoek: afgeronde hoeken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2579594" y="20475388"/>
          <a:ext cx="1255059" cy="58270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TUTORIAL </a:t>
          </a:r>
          <a:r>
            <a:rPr lang="nl-NL" sz="1400" b="0" baseline="0">
              <a:solidFill>
                <a:srgbClr val="393D3F"/>
              </a:solidFill>
              <a:sym typeface="Wingdings" panose="05000000000000000000" pitchFamily="2" charset="2"/>
            </a:rPr>
            <a:t> </a:t>
          </a:r>
          <a:br>
            <a:rPr lang="nl-NL" sz="1400" b="0" baseline="0">
              <a:solidFill>
                <a:srgbClr val="393D3F"/>
              </a:solidFill>
              <a:sym typeface="Wingdings" panose="05000000000000000000" pitchFamily="2" charset="2"/>
            </a:rPr>
          </a:br>
          <a:r>
            <a:rPr lang="nl-NL" sz="1400" b="0" baseline="0">
              <a:solidFill>
                <a:srgbClr val="393D3F"/>
              </a:solidFill>
              <a:sym typeface="Wingdings" panose="05000000000000000000" pitchFamily="2" charset="2"/>
            </a:rPr>
            <a:t>(EVZ website)</a:t>
          </a:r>
          <a:endParaRPr lang="nl-NL" sz="1800" b="0" baseline="0">
            <a:solidFill>
              <a:srgbClr val="393D3F"/>
            </a:solidFill>
          </a:endParaRPr>
        </a:p>
      </xdr:txBody>
    </xdr:sp>
    <xdr:clientData/>
  </xdr:twoCellAnchor>
  <xdr:twoCellAnchor>
    <xdr:from>
      <xdr:col>15</xdr:col>
      <xdr:colOff>181535</xdr:colOff>
      <xdr:row>27</xdr:row>
      <xdr:rowOff>123265</xdr:rowOff>
    </xdr:from>
    <xdr:to>
      <xdr:col>15</xdr:col>
      <xdr:colOff>1098177</xdr:colOff>
      <xdr:row>27</xdr:row>
      <xdr:rowOff>829235</xdr:rowOff>
    </xdr:to>
    <xdr:sp macro="" textlink="">
      <xdr:nvSpPr>
        <xdr:cNvPr id="6" name="Rechthoek: afgeronde hoeken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9650506" y="16920883"/>
          <a:ext cx="916642" cy="70597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200" b="0" baseline="0">
              <a:solidFill>
                <a:srgbClr val="393D3F"/>
              </a:solidFill>
            </a:rPr>
            <a:t>duurzame nieuwbouw</a:t>
          </a:r>
          <a:endParaRPr lang="nl-NL" sz="1600" b="0" baseline="0">
            <a:solidFill>
              <a:srgbClr val="393D3F"/>
            </a:solidFill>
          </a:endParaRPr>
        </a:p>
      </xdr:txBody>
    </xdr:sp>
    <xdr:clientData/>
  </xdr:twoCellAnchor>
  <xdr:twoCellAnchor>
    <xdr:from>
      <xdr:col>15</xdr:col>
      <xdr:colOff>165847</xdr:colOff>
      <xdr:row>7</xdr:row>
      <xdr:rowOff>847163</xdr:rowOff>
    </xdr:from>
    <xdr:to>
      <xdr:col>15</xdr:col>
      <xdr:colOff>1082489</xdr:colOff>
      <xdr:row>8</xdr:row>
      <xdr:rowOff>616323</xdr:rowOff>
    </xdr:to>
    <xdr:sp macro="" textlink="">
      <xdr:nvSpPr>
        <xdr:cNvPr id="7" name="Rechthoek: afgeronde hoeken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9634818" y="3290045"/>
          <a:ext cx="916642" cy="676837"/>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150" b="0" baseline="0">
              <a:solidFill>
                <a:srgbClr val="393D3F"/>
              </a:solidFill>
            </a:rPr>
            <a:t>uitleg wetgeving</a:t>
          </a:r>
        </a:p>
      </xdr:txBody>
    </xdr:sp>
    <xdr:clientData/>
  </xdr:twoCellAnchor>
  <xdr:twoCellAnchor>
    <xdr:from>
      <xdr:col>15</xdr:col>
      <xdr:colOff>150159</xdr:colOff>
      <xdr:row>7</xdr:row>
      <xdr:rowOff>47064</xdr:rowOff>
    </xdr:from>
    <xdr:to>
      <xdr:col>15</xdr:col>
      <xdr:colOff>1066801</xdr:colOff>
      <xdr:row>7</xdr:row>
      <xdr:rowOff>753034</xdr:rowOff>
    </xdr:to>
    <xdr:sp macro="" textlink="">
      <xdr:nvSpPr>
        <xdr:cNvPr id="8" name="Rechthoek: afgeronde hoeken 7">
          <a:hlinkClick xmlns:r="http://schemas.openxmlformats.org/officeDocument/2006/relationships" r:id="rId7"/>
          <a:extLst>
            <a:ext uri="{FF2B5EF4-FFF2-40B4-BE49-F238E27FC236}">
              <a16:creationId xmlns:a16="http://schemas.microsoft.com/office/drawing/2014/main" id="{00000000-0008-0000-0100-000008000000}"/>
            </a:ext>
          </a:extLst>
        </xdr:cNvPr>
        <xdr:cNvSpPr/>
      </xdr:nvSpPr>
      <xdr:spPr>
        <a:xfrm>
          <a:off x="9619130" y="2489946"/>
          <a:ext cx="916642" cy="70597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200" b="0" baseline="0">
              <a:solidFill>
                <a:srgbClr val="393D3F"/>
              </a:solidFill>
            </a:rPr>
            <a:t>doelen</a:t>
          </a:r>
          <a:r>
            <a:rPr lang="nl-NL" sz="1200" b="1" baseline="0">
              <a:solidFill>
                <a:srgbClr val="393D3F"/>
              </a:solidFill>
            </a:rPr>
            <a:t> </a:t>
          </a:r>
          <a:r>
            <a:rPr lang="nl-NL" sz="1200" b="0" baseline="0">
              <a:solidFill>
                <a:srgbClr val="393D3F"/>
              </a:solidFill>
            </a:rPr>
            <a:t>monitoren</a:t>
          </a:r>
          <a:endParaRPr lang="nl-NL" sz="1600" b="0" baseline="0">
            <a:solidFill>
              <a:srgbClr val="393D3F"/>
            </a:solidFill>
          </a:endParaRPr>
        </a:p>
      </xdr:txBody>
    </xdr:sp>
    <xdr:clientData/>
  </xdr:twoCellAnchor>
  <xdr:twoCellAnchor>
    <xdr:from>
      <xdr:col>15</xdr:col>
      <xdr:colOff>179294</xdr:colOff>
      <xdr:row>26</xdr:row>
      <xdr:rowOff>289113</xdr:rowOff>
    </xdr:from>
    <xdr:to>
      <xdr:col>15</xdr:col>
      <xdr:colOff>1095936</xdr:colOff>
      <xdr:row>26</xdr:row>
      <xdr:rowOff>995083</xdr:rowOff>
    </xdr:to>
    <xdr:sp macro="" textlink="">
      <xdr:nvSpPr>
        <xdr:cNvPr id="9" name="Rechthoek: afgeronde hoeken 8">
          <a:hlinkClick xmlns:r="http://schemas.openxmlformats.org/officeDocument/2006/relationships" r:id="rId8"/>
          <a:extLst>
            <a:ext uri="{FF2B5EF4-FFF2-40B4-BE49-F238E27FC236}">
              <a16:creationId xmlns:a16="http://schemas.microsoft.com/office/drawing/2014/main" id="{00000000-0008-0000-0100-000009000000}"/>
            </a:ext>
          </a:extLst>
        </xdr:cNvPr>
        <xdr:cNvSpPr/>
      </xdr:nvSpPr>
      <xdr:spPr>
        <a:xfrm>
          <a:off x="9648265" y="16145437"/>
          <a:ext cx="916642" cy="70597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200" b="0" baseline="0">
              <a:solidFill>
                <a:srgbClr val="393D3F"/>
              </a:solidFill>
            </a:rPr>
            <a:t>subsidies &amp; regelingen</a:t>
          </a:r>
          <a:endParaRPr lang="nl-NL" sz="1600" b="0" baseline="0">
            <a:solidFill>
              <a:srgbClr val="393D3F"/>
            </a:solidFill>
          </a:endParaRPr>
        </a:p>
      </xdr:txBody>
    </xdr:sp>
    <xdr:clientData/>
  </xdr:twoCellAnchor>
  <xdr:twoCellAnchor>
    <xdr:from>
      <xdr:col>15</xdr:col>
      <xdr:colOff>206187</xdr:colOff>
      <xdr:row>18</xdr:row>
      <xdr:rowOff>540122</xdr:rowOff>
    </xdr:from>
    <xdr:to>
      <xdr:col>15</xdr:col>
      <xdr:colOff>1122829</xdr:colOff>
      <xdr:row>19</xdr:row>
      <xdr:rowOff>656665</xdr:rowOff>
    </xdr:to>
    <xdr:sp macro="" textlink="">
      <xdr:nvSpPr>
        <xdr:cNvPr id="11" name="Rechthoek: afgeronde hoeken 10">
          <a:hlinkClick xmlns:r="http://schemas.openxmlformats.org/officeDocument/2006/relationships" r:id="rId9"/>
          <a:extLst>
            <a:ext uri="{FF2B5EF4-FFF2-40B4-BE49-F238E27FC236}">
              <a16:creationId xmlns:a16="http://schemas.microsoft.com/office/drawing/2014/main" id="{00000000-0008-0000-0100-00000B000000}"/>
            </a:ext>
          </a:extLst>
        </xdr:cNvPr>
        <xdr:cNvSpPr/>
      </xdr:nvSpPr>
      <xdr:spPr>
        <a:xfrm>
          <a:off x="9675158" y="11017622"/>
          <a:ext cx="916642" cy="72166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200" b="0" baseline="0">
              <a:solidFill>
                <a:srgbClr val="393D3F"/>
              </a:solidFill>
            </a:rPr>
            <a:t>brief voor je verhuurder</a:t>
          </a:r>
          <a:endParaRPr lang="nl-NL" sz="1600" b="0" baseline="0">
            <a:solidFill>
              <a:srgbClr val="393D3F"/>
            </a:solidFill>
          </a:endParaRPr>
        </a:p>
      </xdr:txBody>
    </xdr:sp>
    <xdr:clientData/>
  </xdr:twoCellAnchor>
  <xdr:twoCellAnchor>
    <xdr:from>
      <xdr:col>15</xdr:col>
      <xdr:colOff>172570</xdr:colOff>
      <xdr:row>8</xdr:row>
      <xdr:rowOff>741828</xdr:rowOff>
    </xdr:from>
    <xdr:to>
      <xdr:col>15</xdr:col>
      <xdr:colOff>1089212</xdr:colOff>
      <xdr:row>9</xdr:row>
      <xdr:rowOff>481854</xdr:rowOff>
    </xdr:to>
    <xdr:sp macro="" textlink="">
      <xdr:nvSpPr>
        <xdr:cNvPr id="12" name="Rechthoek: afgeronde hoeken 11">
          <a:hlinkClick xmlns:r="http://schemas.openxmlformats.org/officeDocument/2006/relationships" r:id="rId10"/>
          <a:extLst>
            <a:ext uri="{FF2B5EF4-FFF2-40B4-BE49-F238E27FC236}">
              <a16:creationId xmlns:a16="http://schemas.microsoft.com/office/drawing/2014/main" id="{00000000-0008-0000-0100-00000C000000}"/>
            </a:ext>
          </a:extLst>
        </xdr:cNvPr>
        <xdr:cNvSpPr/>
      </xdr:nvSpPr>
      <xdr:spPr>
        <a:xfrm>
          <a:off x="9641541" y="4092387"/>
          <a:ext cx="916642" cy="658908"/>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NL" sz="1600" b="1" baseline="0">
              <a:solidFill>
                <a:srgbClr val="393D3F"/>
              </a:solidFill>
            </a:rPr>
            <a:t> EVZ </a:t>
          </a:r>
          <a:r>
            <a:rPr lang="nl-NL" sz="1200" b="1" baseline="0">
              <a:solidFill>
                <a:srgbClr val="393D3F"/>
              </a:solidFill>
              <a:sym typeface="Wingdings" panose="05000000000000000000" pitchFamily="2" charset="2"/>
            </a:rPr>
            <a:t></a:t>
          </a:r>
          <a:r>
            <a:rPr lang="nl-NL" sz="1200" b="1" baseline="0">
              <a:solidFill>
                <a:srgbClr val="393D3F"/>
              </a:solidFill>
            </a:rPr>
            <a:t> </a:t>
          </a:r>
          <a:br>
            <a:rPr lang="nl-NL" sz="1200" b="1" baseline="0">
              <a:solidFill>
                <a:srgbClr val="393D3F"/>
              </a:solidFill>
            </a:rPr>
          </a:br>
          <a:r>
            <a:rPr lang="nl-NL" sz="1200" b="0" baseline="0">
              <a:solidFill>
                <a:srgbClr val="393D3F"/>
              </a:solidFill>
            </a:rPr>
            <a:t>EED format</a:t>
          </a:r>
          <a:endParaRPr lang="nl-NL" sz="1600" b="0" baseline="0">
            <a:solidFill>
              <a:srgbClr val="393D3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602963</xdr:colOff>
      <xdr:row>29</xdr:row>
      <xdr:rowOff>41413</xdr:rowOff>
    </xdr:from>
    <xdr:to>
      <xdr:col>11</xdr:col>
      <xdr:colOff>31461</xdr:colOff>
      <xdr:row>30</xdr:row>
      <xdr:rowOff>198458</xdr:rowOff>
    </xdr:to>
    <xdr:sp macro="" textlink="">
      <xdr:nvSpPr>
        <xdr:cNvPr id="3" name="Rechthoek: afgeronde hoeken 2">
          <a:extLst>
            <a:ext uri="{FF2B5EF4-FFF2-40B4-BE49-F238E27FC236}">
              <a16:creationId xmlns:a16="http://schemas.microsoft.com/office/drawing/2014/main" id="{00000000-0008-0000-0200-000003000000}"/>
            </a:ext>
          </a:extLst>
        </xdr:cNvPr>
        <xdr:cNvSpPr/>
      </xdr:nvSpPr>
      <xdr:spPr>
        <a:xfrm>
          <a:off x="8073876" y="6385891"/>
          <a:ext cx="3909389" cy="355828"/>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a:solidFill>
                <a:srgbClr val="393D3F"/>
              </a:solidFill>
            </a:rPr>
            <a:t>Panden</a:t>
          </a:r>
          <a:r>
            <a:rPr lang="nl-NL" sz="2000" b="1" baseline="0">
              <a:solidFill>
                <a:srgbClr val="393D3F"/>
              </a:solidFill>
            </a:rPr>
            <a:t> </a:t>
          </a:r>
          <a:r>
            <a:rPr lang="nl-NL" sz="2000" b="1">
              <a:solidFill>
                <a:srgbClr val="393D3F"/>
              </a:solidFill>
            </a:rPr>
            <a:t>&lt;3.000 m2 GO</a:t>
          </a:r>
        </a:p>
      </xdr:txBody>
    </xdr:sp>
    <xdr:clientData/>
  </xdr:twoCellAnchor>
  <xdr:twoCellAnchor>
    <xdr:from>
      <xdr:col>12</xdr:col>
      <xdr:colOff>8071</xdr:colOff>
      <xdr:row>29</xdr:row>
      <xdr:rowOff>34637</xdr:rowOff>
    </xdr:from>
    <xdr:to>
      <xdr:col>16</xdr:col>
      <xdr:colOff>8732</xdr:colOff>
      <xdr:row>30</xdr:row>
      <xdr:rowOff>199231</xdr:rowOff>
    </xdr:to>
    <xdr:sp macro="" textlink="">
      <xdr:nvSpPr>
        <xdr:cNvPr id="4" name="Rechthoek: afgeronde hoeken 3">
          <a:extLst>
            <a:ext uri="{FF2B5EF4-FFF2-40B4-BE49-F238E27FC236}">
              <a16:creationId xmlns:a16="http://schemas.microsoft.com/office/drawing/2014/main" id="{00000000-0008-0000-0200-000004000000}"/>
            </a:ext>
          </a:extLst>
        </xdr:cNvPr>
        <xdr:cNvSpPr/>
      </xdr:nvSpPr>
      <xdr:spPr>
        <a:xfrm>
          <a:off x="12113480" y="6632864"/>
          <a:ext cx="3983843" cy="372412"/>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a:solidFill>
                <a:srgbClr val="393D3F"/>
              </a:solidFill>
            </a:rPr>
            <a:t>Panden</a:t>
          </a:r>
          <a:r>
            <a:rPr lang="nl-NL" sz="2000" b="1" baseline="0">
              <a:solidFill>
                <a:srgbClr val="393D3F"/>
              </a:solidFill>
            </a:rPr>
            <a:t> </a:t>
          </a:r>
          <a:r>
            <a:rPr lang="nl-NL" sz="2000" b="1">
              <a:solidFill>
                <a:srgbClr val="393D3F"/>
              </a:solidFill>
            </a:rPr>
            <a:t>&gt;3.000 m2 GO</a:t>
          </a:r>
        </a:p>
      </xdr:txBody>
    </xdr:sp>
    <xdr:clientData/>
  </xdr:twoCellAnchor>
  <xdr:twoCellAnchor>
    <xdr:from>
      <xdr:col>1</xdr:col>
      <xdr:colOff>268379</xdr:colOff>
      <xdr:row>23</xdr:row>
      <xdr:rowOff>178568</xdr:rowOff>
    </xdr:from>
    <xdr:to>
      <xdr:col>4</xdr:col>
      <xdr:colOff>51955</xdr:colOff>
      <xdr:row>28</xdr:row>
      <xdr:rowOff>62466</xdr:rowOff>
    </xdr:to>
    <xdr:sp macro="" textlink="">
      <xdr:nvSpPr>
        <xdr:cNvPr id="6" name="Rechthoek: afgeronde hoeken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493515" y="5529886"/>
          <a:ext cx="2173485" cy="922989"/>
        </a:xfrm>
        <a:prstGeom prst="roundRect">
          <a:avLst>
            <a:gd name="adj" fmla="val 13678"/>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rgbClr val="393D3F"/>
              </a:solidFill>
            </a:rPr>
            <a:t>VOLLEDIGE BESCHRIJVING</a:t>
          </a:r>
          <a:r>
            <a:rPr lang="nl-NL" sz="1600" b="1" baseline="0">
              <a:solidFill>
                <a:srgbClr val="393D3F"/>
              </a:solidFill>
            </a:rPr>
            <a:t> VAN DE NIEUEW EML</a:t>
          </a:r>
          <a:r>
            <a:rPr lang="nl-NL" sz="1600" b="1" baseline="0">
              <a:solidFill>
                <a:srgbClr val="000000"/>
              </a:solidFill>
            </a:rPr>
            <a:t> </a:t>
          </a:r>
        </a:p>
        <a:p>
          <a:pPr algn="ctr"/>
          <a:r>
            <a:rPr lang="nl-NL" sz="1600" b="0" baseline="0">
              <a:solidFill>
                <a:srgbClr val="393D3F"/>
              </a:solidFill>
              <a:effectLst/>
              <a:latin typeface="+mn-lt"/>
              <a:ea typeface="+mn-ea"/>
              <a:cs typeface="+mn-cs"/>
              <a:sym typeface="Wingdings" panose="05000000000000000000" pitchFamily="2" charset="2"/>
            </a:rPr>
            <a:t></a:t>
          </a:r>
          <a:r>
            <a:rPr lang="nl-NL" sz="1200" b="0" baseline="0">
              <a:solidFill>
                <a:srgbClr val="393D3F"/>
              </a:solidFill>
              <a:effectLst/>
              <a:latin typeface="+mn-lt"/>
              <a:ea typeface="+mn-ea"/>
              <a:cs typeface="+mn-cs"/>
              <a:sym typeface="Wingdings" panose="05000000000000000000" pitchFamily="2" charset="2"/>
            </a:rPr>
            <a:t> </a:t>
          </a:r>
          <a:r>
            <a:rPr lang="nl-NL" sz="1600" b="0" baseline="0">
              <a:solidFill>
                <a:srgbClr val="393D3F"/>
              </a:solidFill>
              <a:effectLst/>
              <a:latin typeface="+mn-lt"/>
              <a:ea typeface="+mn-ea"/>
              <a:cs typeface="+mn-cs"/>
              <a:sym typeface="Wingdings" panose="05000000000000000000" pitchFamily="2" charset="2"/>
            </a:rPr>
            <a:t>(RVO website)</a:t>
          </a:r>
          <a:endParaRPr lang="nl-NL" sz="1600" b="0">
            <a:solidFill>
              <a:srgbClr val="393D3F"/>
            </a:solidFill>
          </a:endParaRPr>
        </a:p>
      </xdr:txBody>
    </xdr:sp>
    <xdr:clientData/>
  </xdr:twoCellAnchor>
  <xdr:twoCellAnchor>
    <xdr:from>
      <xdr:col>4</xdr:col>
      <xdr:colOff>211527</xdr:colOff>
      <xdr:row>23</xdr:row>
      <xdr:rowOff>171451</xdr:rowOff>
    </xdr:from>
    <xdr:to>
      <xdr:col>4</xdr:col>
      <xdr:colOff>2961408</xdr:colOff>
      <xdr:row>28</xdr:row>
      <xdr:rowOff>76200</xdr:rowOff>
    </xdr:to>
    <xdr:sp macro="" textlink="">
      <xdr:nvSpPr>
        <xdr:cNvPr id="8" name="Rechthoek: afgeronde hoeken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2826572" y="5522769"/>
          <a:ext cx="2749881" cy="94384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baseline="0">
              <a:solidFill>
                <a:srgbClr val="393D3F"/>
              </a:solidFill>
            </a:rPr>
            <a:t>INSTRUCTIE KOSTEN EN BESPARINGEN AANPASSEN </a:t>
          </a:r>
        </a:p>
        <a:p>
          <a:pPr algn="ctr"/>
          <a:r>
            <a:rPr lang="nl-NL" sz="1600" b="0" baseline="0">
              <a:solidFill>
                <a:srgbClr val="393D3F"/>
              </a:solidFill>
              <a:sym typeface="Wingdings" panose="05000000000000000000" pitchFamily="2" charset="2"/>
            </a:rPr>
            <a:t> (EVZ website)</a:t>
          </a:r>
          <a:endParaRPr lang="nl-NL" sz="2000" b="0" baseline="0">
            <a:solidFill>
              <a:srgbClr val="393D3F"/>
            </a:solidFill>
          </a:endParaRPr>
        </a:p>
      </xdr:txBody>
    </xdr:sp>
    <xdr:clientData/>
  </xdr:twoCellAnchor>
  <xdr:twoCellAnchor editAs="oneCell">
    <xdr:from>
      <xdr:col>23</xdr:col>
      <xdr:colOff>530673</xdr:colOff>
      <xdr:row>1</xdr:row>
      <xdr:rowOff>192005</xdr:rowOff>
    </xdr:from>
    <xdr:to>
      <xdr:col>24</xdr:col>
      <xdr:colOff>74595</xdr:colOff>
      <xdr:row>1</xdr:row>
      <xdr:rowOff>547083</xdr:rowOff>
    </xdr:to>
    <xdr:pic>
      <xdr:nvPicPr>
        <xdr:cNvPr id="9" name="Afbeelding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36627"/>
        <a:stretch/>
      </xdr:blipFill>
      <xdr:spPr>
        <a:xfrm>
          <a:off x="25745946" y="399823"/>
          <a:ext cx="1466240" cy="355078"/>
        </a:xfrm>
        <a:prstGeom prst="rect">
          <a:avLst/>
        </a:prstGeom>
      </xdr:spPr>
    </xdr:pic>
    <xdr:clientData/>
  </xdr:twoCellAnchor>
  <xdr:twoCellAnchor editAs="oneCell">
    <xdr:from>
      <xdr:col>22</xdr:col>
      <xdr:colOff>710045</xdr:colOff>
      <xdr:row>1</xdr:row>
      <xdr:rowOff>51954</xdr:rowOff>
    </xdr:from>
    <xdr:to>
      <xdr:col>23</xdr:col>
      <xdr:colOff>416502</xdr:colOff>
      <xdr:row>1</xdr:row>
      <xdr:rowOff>624783</xdr:rowOff>
    </xdr:to>
    <xdr:pic>
      <xdr:nvPicPr>
        <xdr:cNvPr id="10" name="Afbeelding 9" descr="MPZ - Expertisecentrum Verduurzaming Zor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982" b="15095"/>
        <a:stretch/>
      </xdr:blipFill>
      <xdr:spPr bwMode="auto">
        <a:xfrm>
          <a:off x="24435954" y="259772"/>
          <a:ext cx="1195821" cy="572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103909</xdr:colOff>
      <xdr:row>23</xdr:row>
      <xdr:rowOff>138545</xdr:rowOff>
    </xdr:from>
    <xdr:to>
      <xdr:col>16</xdr:col>
      <xdr:colOff>-1</xdr:colOff>
      <xdr:row>28</xdr:row>
      <xdr:rowOff>34636</xdr:rowOff>
    </xdr:to>
    <xdr:sp macro="[0]!InUitvouwenbron" textlink="">
      <xdr:nvSpPr>
        <xdr:cNvPr id="11" name="Rechthoek: afgeronde hoeken 10">
          <a:extLst>
            <a:ext uri="{FF2B5EF4-FFF2-40B4-BE49-F238E27FC236}">
              <a16:creationId xmlns:a16="http://schemas.microsoft.com/office/drawing/2014/main" id="{00000000-0008-0000-0200-00000B000000}"/>
            </a:ext>
          </a:extLst>
        </xdr:cNvPr>
        <xdr:cNvSpPr/>
      </xdr:nvSpPr>
      <xdr:spPr>
        <a:xfrm>
          <a:off x="12988636" y="5489863"/>
          <a:ext cx="3099954" cy="935182"/>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toelichting en gebruik handige scroll</a:t>
          </a:r>
        </a:p>
      </xdr:txBody>
    </xdr:sp>
    <xdr:clientData/>
  </xdr:twoCellAnchor>
  <xdr:twoCellAnchor>
    <xdr:from>
      <xdr:col>4</xdr:col>
      <xdr:colOff>3148445</xdr:colOff>
      <xdr:row>23</xdr:row>
      <xdr:rowOff>169718</xdr:rowOff>
    </xdr:from>
    <xdr:to>
      <xdr:col>8</xdr:col>
      <xdr:colOff>308262</xdr:colOff>
      <xdr:row>28</xdr:row>
      <xdr:rowOff>65809</xdr:rowOff>
    </xdr:to>
    <xdr:sp macro="" textlink="">
      <xdr:nvSpPr>
        <xdr:cNvPr id="12" name="Rechthoek: afgeronde hoeken 11">
          <a:hlinkClick xmlns:r="http://schemas.openxmlformats.org/officeDocument/2006/relationships" r:id="rId5"/>
          <a:extLst>
            <a:ext uri="{FF2B5EF4-FFF2-40B4-BE49-F238E27FC236}">
              <a16:creationId xmlns:a16="http://schemas.microsoft.com/office/drawing/2014/main" id="{00000000-0008-0000-0200-00000C000000}"/>
            </a:ext>
          </a:extLst>
        </xdr:cNvPr>
        <xdr:cNvSpPr/>
      </xdr:nvSpPr>
      <xdr:spPr>
        <a:xfrm>
          <a:off x="6144490" y="5521036"/>
          <a:ext cx="3099954" cy="935182"/>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Bekijk de vormfactoren </a:t>
          </a:r>
          <a:br>
            <a:rPr lang="nl-NL" sz="2000" b="1" baseline="0">
              <a:solidFill>
                <a:srgbClr val="393D3F"/>
              </a:solidFill>
              <a:latin typeface="Calibri" panose="020F0502020204030204" pitchFamily="34" charset="0"/>
            </a:rPr>
          </a:br>
          <a:r>
            <a:rPr lang="nl-NL" sz="2000" b="1" baseline="0">
              <a:solidFill>
                <a:srgbClr val="393D3F"/>
              </a:solidFill>
              <a:latin typeface="Calibri" panose="020F0502020204030204" pitchFamily="34" charset="0"/>
            </a:rPr>
            <a:t>&amp; voetnoten </a:t>
          </a:r>
          <a:r>
            <a:rPr lang="nl-NL" sz="2000" b="1" baseline="0">
              <a:solidFill>
                <a:srgbClr val="393D3F"/>
              </a:solidFill>
              <a:latin typeface="Calibri" panose="020F0502020204030204" pitchFamily="34" charset="0"/>
              <a:sym typeface="Wingdings" panose="05000000000000000000" pitchFamily="2" charset="2"/>
            </a:rPr>
            <a:t></a:t>
          </a:r>
          <a:endParaRPr lang="nl-NL" sz="2000" b="1" baseline="0">
            <a:solidFill>
              <a:srgbClr val="393D3F"/>
            </a:solidFill>
            <a:latin typeface="Calibri" panose="020F0502020204030204" pitchFamily="34" charset="0"/>
          </a:endParaRPr>
        </a:p>
      </xdr:txBody>
    </xdr:sp>
    <xdr:clientData/>
  </xdr:twoCellAnchor>
  <xdr:twoCellAnchor>
    <xdr:from>
      <xdr:col>1</xdr:col>
      <xdr:colOff>322117</xdr:colOff>
      <xdr:row>205</xdr:row>
      <xdr:rowOff>62345</xdr:rowOff>
    </xdr:from>
    <xdr:to>
      <xdr:col>4</xdr:col>
      <xdr:colOff>651162</xdr:colOff>
      <xdr:row>209</xdr:row>
      <xdr:rowOff>166254</xdr:rowOff>
    </xdr:to>
    <xdr:sp macro="" textlink="">
      <xdr:nvSpPr>
        <xdr:cNvPr id="13" name="Rechthoek: afgeronde hoeken 12">
          <a:hlinkClick xmlns:r="http://schemas.openxmlformats.org/officeDocument/2006/relationships" r:id="rId6"/>
          <a:extLst>
            <a:ext uri="{FF2B5EF4-FFF2-40B4-BE49-F238E27FC236}">
              <a16:creationId xmlns:a16="http://schemas.microsoft.com/office/drawing/2014/main" id="{00000000-0008-0000-0200-00000D000000}"/>
            </a:ext>
          </a:extLst>
        </xdr:cNvPr>
        <xdr:cNvSpPr/>
      </xdr:nvSpPr>
      <xdr:spPr>
        <a:xfrm>
          <a:off x="547253" y="196190754"/>
          <a:ext cx="3099954" cy="935182"/>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Terug naar boven </a:t>
          </a:r>
          <a:r>
            <a:rPr lang="nl-NL" sz="2000" b="1" baseline="0">
              <a:solidFill>
                <a:srgbClr val="393D3F"/>
              </a:solidFill>
              <a:latin typeface="Calibri" panose="020F0502020204030204" pitchFamily="34" charset="0"/>
              <a:sym typeface="Wingdings" panose="05000000000000000000" pitchFamily="2" charset="2"/>
            </a:rPr>
            <a:t></a:t>
          </a:r>
          <a:endParaRPr lang="nl-NL" sz="2000" b="1" baseline="0">
            <a:solidFill>
              <a:srgbClr val="393D3F"/>
            </a:solidFill>
            <a:latin typeface="Calibri" panose="020F0502020204030204" pitchFamily="34" charset="0"/>
          </a:endParaRPr>
        </a:p>
      </xdr:txBody>
    </xdr:sp>
    <xdr:clientData/>
  </xdr:twoCellAnchor>
  <xdr:twoCellAnchor>
    <xdr:from>
      <xdr:col>2</xdr:col>
      <xdr:colOff>51955</xdr:colOff>
      <xdr:row>252</xdr:row>
      <xdr:rowOff>34637</xdr:rowOff>
    </xdr:from>
    <xdr:to>
      <xdr:col>4</xdr:col>
      <xdr:colOff>47626</xdr:colOff>
      <xdr:row>254</xdr:row>
      <xdr:rowOff>69272</xdr:rowOff>
    </xdr:to>
    <xdr:sp macro="" textlink="">
      <xdr:nvSpPr>
        <xdr:cNvPr id="14" name="Rechthoek: afgeronde hoeken 13">
          <a:extLst>
            <a:ext uri="{FF2B5EF4-FFF2-40B4-BE49-F238E27FC236}">
              <a16:creationId xmlns:a16="http://schemas.microsoft.com/office/drawing/2014/main" id="{00000000-0008-0000-0200-00000E000000}"/>
            </a:ext>
          </a:extLst>
        </xdr:cNvPr>
        <xdr:cNvSpPr/>
      </xdr:nvSpPr>
      <xdr:spPr>
        <a:xfrm>
          <a:off x="606137" y="206553955"/>
          <a:ext cx="2437534" cy="450272"/>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393D3F"/>
              </a:solidFill>
            </a:rPr>
            <a:t>Voetnoot [1]: </a:t>
          </a:r>
        </a:p>
        <a:p>
          <a:pPr algn="ctr"/>
          <a:r>
            <a:rPr lang="nl-NL" sz="2400" b="1">
              <a:solidFill>
                <a:srgbClr val="393D3F"/>
              </a:solidFill>
            </a:rPr>
            <a:t> </a:t>
          </a:r>
        </a:p>
      </xdr:txBody>
    </xdr:sp>
    <xdr:clientData/>
  </xdr:twoCellAnchor>
  <xdr:twoCellAnchor>
    <xdr:from>
      <xdr:col>4</xdr:col>
      <xdr:colOff>159513</xdr:colOff>
      <xdr:row>252</xdr:row>
      <xdr:rowOff>26844</xdr:rowOff>
    </xdr:from>
    <xdr:to>
      <xdr:col>10</xdr:col>
      <xdr:colOff>883228</xdr:colOff>
      <xdr:row>254</xdr:row>
      <xdr:rowOff>61479</xdr:rowOff>
    </xdr:to>
    <xdr:sp macro="" textlink="">
      <xdr:nvSpPr>
        <xdr:cNvPr id="18" name="Rechthoek: afgeronde hoeken 17">
          <a:extLst>
            <a:ext uri="{FF2B5EF4-FFF2-40B4-BE49-F238E27FC236}">
              <a16:creationId xmlns:a16="http://schemas.microsoft.com/office/drawing/2014/main" id="{00000000-0008-0000-0200-000012000000}"/>
            </a:ext>
          </a:extLst>
        </xdr:cNvPr>
        <xdr:cNvSpPr/>
      </xdr:nvSpPr>
      <xdr:spPr>
        <a:xfrm>
          <a:off x="3155558" y="206546162"/>
          <a:ext cx="8811306" cy="450272"/>
        </a:xfrm>
        <a:prstGeom prst="roundRect">
          <a:avLst>
            <a:gd name="adj" fmla="val 16936"/>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400" b="1" i="1" u="none" strike="noStrike">
              <a:solidFill>
                <a:srgbClr val="FDFDFF"/>
              </a:solidFill>
              <a:effectLst/>
              <a:latin typeface="+mn-lt"/>
              <a:ea typeface="+mn-ea"/>
              <a:cs typeface="+mn-cs"/>
            </a:rPr>
            <a:t>"Met vormfactoren zijn kosten per m2 GO berekend."</a:t>
          </a:r>
          <a:r>
            <a:rPr lang="nl-NL" sz="2400">
              <a:solidFill>
                <a:srgbClr val="FDFDFF"/>
              </a:solidFill>
            </a:rPr>
            <a:t> </a:t>
          </a:r>
          <a:endParaRPr lang="nl-NL" sz="2400" b="1">
            <a:solidFill>
              <a:srgbClr val="FDFDFF"/>
            </a:solidFill>
          </a:endParaRPr>
        </a:p>
      </xdr:txBody>
    </xdr:sp>
    <xdr:clientData/>
  </xdr:twoCellAnchor>
  <xdr:twoCellAnchor editAs="oneCell">
    <xdr:from>
      <xdr:col>2</xdr:col>
      <xdr:colOff>102673</xdr:colOff>
      <xdr:row>264</xdr:row>
      <xdr:rowOff>169471</xdr:rowOff>
    </xdr:from>
    <xdr:to>
      <xdr:col>9</xdr:col>
      <xdr:colOff>217715</xdr:colOff>
      <xdr:row>271</xdr:row>
      <xdr:rowOff>154287</xdr:rowOff>
    </xdr:to>
    <xdr:pic>
      <xdr:nvPicPr>
        <xdr:cNvPr id="20" name="Afbeelding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7"/>
        <a:srcRect r="4834" b="4018"/>
        <a:stretch/>
      </xdr:blipFill>
      <xdr:spPr>
        <a:xfrm>
          <a:off x="646959" y="208875828"/>
          <a:ext cx="9449542" cy="1413567"/>
        </a:xfrm>
        <a:prstGeom prst="rect">
          <a:avLst/>
        </a:prstGeom>
        <a:ln w="38100">
          <a:solidFill>
            <a:srgbClr val="F4E285"/>
          </a:solidFill>
        </a:ln>
      </xdr:spPr>
    </xdr:pic>
    <xdr:clientData/>
  </xdr:twoCellAnchor>
  <xdr:twoCellAnchor editAs="oneCell">
    <xdr:from>
      <xdr:col>2</xdr:col>
      <xdr:colOff>108856</xdr:colOff>
      <xdr:row>288</xdr:row>
      <xdr:rowOff>204105</xdr:rowOff>
    </xdr:from>
    <xdr:to>
      <xdr:col>9</xdr:col>
      <xdr:colOff>129329</xdr:colOff>
      <xdr:row>298</xdr:row>
      <xdr:rowOff>176891</xdr:rowOff>
    </xdr:to>
    <xdr:pic>
      <xdr:nvPicPr>
        <xdr:cNvPr id="21" name="Afbeelding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8"/>
        <a:stretch>
          <a:fillRect/>
        </a:stretch>
      </xdr:blipFill>
      <xdr:spPr>
        <a:xfrm>
          <a:off x="653142" y="213945105"/>
          <a:ext cx="9354973" cy="2422073"/>
        </a:xfrm>
        <a:prstGeom prst="rect">
          <a:avLst/>
        </a:prstGeom>
        <a:ln w="38100">
          <a:solidFill>
            <a:srgbClr val="F4E285"/>
          </a:solidFill>
        </a:ln>
      </xdr:spPr>
    </xdr:pic>
    <xdr:clientData/>
  </xdr:twoCellAnchor>
  <xdr:twoCellAnchor>
    <xdr:from>
      <xdr:col>2</xdr:col>
      <xdr:colOff>0</xdr:colOff>
      <xdr:row>308</xdr:row>
      <xdr:rowOff>7793</xdr:rowOff>
    </xdr:from>
    <xdr:to>
      <xdr:col>3</xdr:col>
      <xdr:colOff>495733</xdr:colOff>
      <xdr:row>310</xdr:row>
      <xdr:rowOff>42428</xdr:rowOff>
    </xdr:to>
    <xdr:sp macro="" textlink="">
      <xdr:nvSpPr>
        <xdr:cNvPr id="26" name="Rechthoek: afgeronde hoeken 25">
          <a:extLst>
            <a:ext uri="{FF2B5EF4-FFF2-40B4-BE49-F238E27FC236}">
              <a16:creationId xmlns:a16="http://schemas.microsoft.com/office/drawing/2014/main" id="{00000000-0008-0000-0200-00001A000000}"/>
            </a:ext>
          </a:extLst>
        </xdr:cNvPr>
        <xdr:cNvSpPr/>
      </xdr:nvSpPr>
      <xdr:spPr>
        <a:xfrm>
          <a:off x="547688" y="216082418"/>
          <a:ext cx="2448358" cy="41563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393D3F"/>
              </a:solidFill>
            </a:rPr>
            <a:t>Voetnoot [2]:</a:t>
          </a:r>
        </a:p>
        <a:p>
          <a:pPr algn="ctr"/>
          <a:r>
            <a:rPr lang="nl-NL" sz="2400" b="1">
              <a:solidFill>
                <a:srgbClr val="393D3F"/>
              </a:solidFill>
            </a:rPr>
            <a:t> </a:t>
          </a:r>
        </a:p>
      </xdr:txBody>
    </xdr:sp>
    <xdr:clientData/>
  </xdr:twoCellAnchor>
  <xdr:twoCellAnchor>
    <xdr:from>
      <xdr:col>4</xdr:col>
      <xdr:colOff>107558</xdr:colOff>
      <xdr:row>308</xdr:row>
      <xdr:rowOff>1</xdr:rowOff>
    </xdr:from>
    <xdr:to>
      <xdr:col>20</xdr:col>
      <xdr:colOff>904874</xdr:colOff>
      <xdr:row>310</xdr:row>
      <xdr:rowOff>1</xdr:rowOff>
    </xdr:to>
    <xdr:sp macro="" textlink="">
      <xdr:nvSpPr>
        <xdr:cNvPr id="27" name="Rechthoek: afgeronde hoeken 26">
          <a:extLst>
            <a:ext uri="{FF2B5EF4-FFF2-40B4-BE49-F238E27FC236}">
              <a16:creationId xmlns:a16="http://schemas.microsoft.com/office/drawing/2014/main" id="{00000000-0008-0000-0200-00001B000000}"/>
            </a:ext>
          </a:extLst>
        </xdr:cNvPr>
        <xdr:cNvSpPr/>
      </xdr:nvSpPr>
      <xdr:spPr>
        <a:xfrm>
          <a:off x="3103603" y="218763274"/>
          <a:ext cx="19881953" cy="415636"/>
        </a:xfrm>
        <a:prstGeom prst="roundRect">
          <a:avLst>
            <a:gd name="adj" fmla="val 16936"/>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400" b="1" i="1" u="none" strike="noStrike">
              <a:solidFill>
                <a:srgbClr val="FDFDFF"/>
              </a:solidFill>
              <a:effectLst/>
              <a:latin typeface="+mn-lt"/>
              <a:ea typeface="+mn-ea"/>
              <a:cs typeface="+mn-cs"/>
            </a:rPr>
            <a:t>"Dit is met ‘gemiddeld aardgas/elektraverbruik per m2 GO’ omgerekend naar aardgas/elektra reductiefactor."</a:t>
          </a:r>
          <a:r>
            <a:rPr lang="nl-NL" sz="2400">
              <a:solidFill>
                <a:srgbClr val="FDFDFF"/>
              </a:solidFill>
            </a:rPr>
            <a:t> </a:t>
          </a:r>
          <a:endParaRPr lang="nl-NL" sz="2400" b="1">
            <a:solidFill>
              <a:srgbClr val="FDFDFF"/>
            </a:solidFill>
          </a:endParaRPr>
        </a:p>
      </xdr:txBody>
    </xdr:sp>
    <xdr:clientData/>
  </xdr:twoCellAnchor>
  <xdr:twoCellAnchor editAs="oneCell">
    <xdr:from>
      <xdr:col>2</xdr:col>
      <xdr:colOff>0</xdr:colOff>
      <xdr:row>330</xdr:row>
      <xdr:rowOff>0</xdr:rowOff>
    </xdr:from>
    <xdr:to>
      <xdr:col>9</xdr:col>
      <xdr:colOff>69274</xdr:colOff>
      <xdr:row>338</xdr:row>
      <xdr:rowOff>97673</xdr:rowOff>
    </xdr:to>
    <xdr:pic>
      <xdr:nvPicPr>
        <xdr:cNvPr id="25" name="Afbeelding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
        <a:stretch>
          <a:fillRect/>
        </a:stretch>
      </xdr:blipFill>
      <xdr:spPr>
        <a:xfrm>
          <a:off x="554182" y="223854818"/>
          <a:ext cx="9421092" cy="1760219"/>
        </a:xfrm>
        <a:prstGeom prst="rect">
          <a:avLst/>
        </a:prstGeom>
        <a:ln w="38100">
          <a:solidFill>
            <a:srgbClr val="F4E285"/>
          </a:solidFill>
        </a:ln>
      </xdr:spPr>
    </xdr:pic>
    <xdr:clientData/>
  </xdr:twoCellAnchor>
  <xdr:twoCellAnchor>
    <xdr:from>
      <xdr:col>1</xdr:col>
      <xdr:colOff>312965</xdr:colOff>
      <xdr:row>347</xdr:row>
      <xdr:rowOff>116650</xdr:rowOff>
    </xdr:from>
    <xdr:to>
      <xdr:col>3</xdr:col>
      <xdr:colOff>482126</xdr:colOff>
      <xdr:row>349</xdr:row>
      <xdr:rowOff>151285</xdr:rowOff>
    </xdr:to>
    <xdr:sp macro="" textlink="">
      <xdr:nvSpPr>
        <xdr:cNvPr id="30" name="Rechthoek: afgeronde hoeken 29">
          <a:extLst>
            <a:ext uri="{FF2B5EF4-FFF2-40B4-BE49-F238E27FC236}">
              <a16:creationId xmlns:a16="http://schemas.microsoft.com/office/drawing/2014/main" id="{00000000-0008-0000-0200-00001E000000}"/>
            </a:ext>
          </a:extLst>
        </xdr:cNvPr>
        <xdr:cNvSpPr/>
      </xdr:nvSpPr>
      <xdr:spPr>
        <a:xfrm>
          <a:off x="530679" y="226512293"/>
          <a:ext cx="2441554" cy="44284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393D3F"/>
              </a:solidFill>
            </a:rPr>
            <a:t>Voetnoot [3]:</a:t>
          </a:r>
        </a:p>
        <a:p>
          <a:pPr algn="ctr"/>
          <a:r>
            <a:rPr lang="nl-NL" sz="2400" b="1">
              <a:solidFill>
                <a:srgbClr val="393D3F"/>
              </a:solidFill>
            </a:rPr>
            <a:t> </a:t>
          </a:r>
        </a:p>
      </xdr:txBody>
    </xdr:sp>
    <xdr:clientData/>
  </xdr:twoCellAnchor>
  <xdr:twoCellAnchor>
    <xdr:from>
      <xdr:col>4</xdr:col>
      <xdr:colOff>93951</xdr:colOff>
      <xdr:row>347</xdr:row>
      <xdr:rowOff>108858</xdr:rowOff>
    </xdr:from>
    <xdr:to>
      <xdr:col>20</xdr:col>
      <xdr:colOff>891267</xdr:colOff>
      <xdr:row>349</xdr:row>
      <xdr:rowOff>108858</xdr:rowOff>
    </xdr:to>
    <xdr:sp macro="" textlink="">
      <xdr:nvSpPr>
        <xdr:cNvPr id="31" name="Rechthoek: afgeronde hoeken 30">
          <a:extLst>
            <a:ext uri="{FF2B5EF4-FFF2-40B4-BE49-F238E27FC236}">
              <a16:creationId xmlns:a16="http://schemas.microsoft.com/office/drawing/2014/main" id="{00000000-0008-0000-0200-00001F000000}"/>
            </a:ext>
          </a:extLst>
        </xdr:cNvPr>
        <xdr:cNvSpPr/>
      </xdr:nvSpPr>
      <xdr:spPr>
        <a:xfrm>
          <a:off x="3073915" y="226504501"/>
          <a:ext cx="19860923" cy="408214"/>
        </a:xfrm>
        <a:prstGeom prst="roundRect">
          <a:avLst>
            <a:gd name="adj" fmla="val 16936"/>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400" b="1" i="1" u="none" strike="noStrike">
              <a:solidFill>
                <a:srgbClr val="FDFDFF"/>
              </a:solidFill>
              <a:effectLst/>
              <a:latin typeface="+mn-lt"/>
              <a:ea typeface="+mn-ea"/>
              <a:cs typeface="+mn-cs"/>
            </a:rPr>
            <a:t>"Pas dit aan op het locatietabblad."</a:t>
          </a:r>
          <a:r>
            <a:rPr lang="nl-NL" sz="2400">
              <a:solidFill>
                <a:srgbClr val="FDFDFF"/>
              </a:solidFill>
            </a:rPr>
            <a:t> </a:t>
          </a:r>
          <a:endParaRPr lang="nl-NL" sz="2400" b="1">
            <a:solidFill>
              <a:srgbClr val="FDFDFF"/>
            </a:solidFill>
          </a:endParaRPr>
        </a:p>
      </xdr:txBody>
    </xdr:sp>
    <xdr:clientData/>
  </xdr:twoCellAnchor>
  <xdr:twoCellAnchor editAs="oneCell">
    <xdr:from>
      <xdr:col>2</xdr:col>
      <xdr:colOff>2473</xdr:colOff>
      <xdr:row>362</xdr:row>
      <xdr:rowOff>194211</xdr:rowOff>
    </xdr:from>
    <xdr:to>
      <xdr:col>9</xdr:col>
      <xdr:colOff>71747</xdr:colOff>
      <xdr:row>370</xdr:row>
      <xdr:rowOff>155814</xdr:rowOff>
    </xdr:to>
    <xdr:pic>
      <xdr:nvPicPr>
        <xdr:cNvPr id="32" name="Afbeelding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9"/>
        <a:stretch>
          <a:fillRect/>
        </a:stretch>
      </xdr:blipFill>
      <xdr:spPr>
        <a:xfrm>
          <a:off x="556655" y="230941666"/>
          <a:ext cx="9421092" cy="1745375"/>
        </a:xfrm>
        <a:prstGeom prst="rect">
          <a:avLst/>
        </a:prstGeom>
        <a:ln w="38100">
          <a:solidFill>
            <a:srgbClr val="F4E285"/>
          </a:solidFill>
        </a:ln>
      </xdr:spPr>
    </xdr:pic>
    <xdr:clientData/>
  </xdr:twoCellAnchor>
  <xdr:twoCellAnchor editAs="oneCell">
    <xdr:from>
      <xdr:col>2</xdr:col>
      <xdr:colOff>2038</xdr:colOff>
      <xdr:row>372</xdr:row>
      <xdr:rowOff>138545</xdr:rowOff>
    </xdr:from>
    <xdr:to>
      <xdr:col>9</xdr:col>
      <xdr:colOff>784462</xdr:colOff>
      <xdr:row>387</xdr:row>
      <xdr:rowOff>138546</xdr:rowOff>
    </xdr:to>
    <xdr:pic>
      <xdr:nvPicPr>
        <xdr:cNvPr id="29" name="Afbeelding 28">
          <a:extLst>
            <a:ext uri="{FF2B5EF4-FFF2-40B4-BE49-F238E27FC236}">
              <a16:creationId xmlns:a16="http://schemas.microsoft.com/office/drawing/2014/main" id="{00000000-0008-0000-0200-00001D000000}"/>
            </a:ext>
          </a:extLst>
        </xdr:cNvPr>
        <xdr:cNvPicPr>
          <a:picLocks noChangeAspect="1"/>
        </xdr:cNvPicPr>
      </xdr:nvPicPr>
      <xdr:blipFill rotWithShape="1">
        <a:blip xmlns:r="http://schemas.openxmlformats.org/officeDocument/2006/relationships" r:embed="rId10"/>
        <a:srcRect r="14141"/>
        <a:stretch/>
      </xdr:blipFill>
      <xdr:spPr>
        <a:xfrm>
          <a:off x="551126" y="231921016"/>
          <a:ext cx="10139336" cy="3025589"/>
        </a:xfrm>
        <a:prstGeom prst="rect">
          <a:avLst/>
        </a:prstGeom>
        <a:ln w="38100">
          <a:solidFill>
            <a:srgbClr val="F4E285"/>
          </a:solidFill>
        </a:ln>
      </xdr:spPr>
    </xdr:pic>
    <xdr:clientData/>
  </xdr:twoCellAnchor>
  <xdr:twoCellAnchor editAs="oneCell">
    <xdr:from>
      <xdr:col>1</xdr:col>
      <xdr:colOff>294410</xdr:colOff>
      <xdr:row>389</xdr:row>
      <xdr:rowOff>103909</xdr:rowOff>
    </xdr:from>
    <xdr:to>
      <xdr:col>9</xdr:col>
      <xdr:colOff>855895</xdr:colOff>
      <xdr:row>405</xdr:row>
      <xdr:rowOff>3752</xdr:rowOff>
    </xdr:to>
    <xdr:pic>
      <xdr:nvPicPr>
        <xdr:cNvPr id="33" name="Afbeelding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1"/>
        <a:stretch>
          <a:fillRect/>
        </a:stretch>
      </xdr:blipFill>
      <xdr:spPr>
        <a:xfrm>
          <a:off x="519546" y="236583682"/>
          <a:ext cx="10242349" cy="3221181"/>
        </a:xfrm>
        <a:prstGeom prst="rect">
          <a:avLst/>
        </a:prstGeom>
        <a:ln w="38100">
          <a:solidFill>
            <a:srgbClr val="F4E285"/>
          </a:solidFill>
        </a:ln>
      </xdr:spPr>
    </xdr:pic>
    <xdr:clientData/>
  </xdr:twoCellAnchor>
  <xdr:twoCellAnchor editAs="oneCell">
    <xdr:from>
      <xdr:col>8</xdr:col>
      <xdr:colOff>225136</xdr:colOff>
      <xdr:row>206</xdr:row>
      <xdr:rowOff>121226</xdr:rowOff>
    </xdr:from>
    <xdr:to>
      <xdr:col>23</xdr:col>
      <xdr:colOff>1870364</xdr:colOff>
      <xdr:row>248</xdr:row>
      <xdr:rowOff>86591</xdr:rowOff>
    </xdr:to>
    <xdr:pic>
      <xdr:nvPicPr>
        <xdr:cNvPr id="34" name="Afbeelding 33">
          <a:extLst>
            <a:ext uri="{FF2B5EF4-FFF2-40B4-BE49-F238E27FC236}">
              <a16:creationId xmlns:a16="http://schemas.microsoft.com/office/drawing/2014/main" id="{00000000-0008-0000-0200-000022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96" t="1" r="325" b="749"/>
        <a:stretch/>
      </xdr:blipFill>
      <xdr:spPr bwMode="auto">
        <a:xfrm>
          <a:off x="9161318" y="197531181"/>
          <a:ext cx="18426546" cy="9178637"/>
        </a:xfrm>
        <a:prstGeom prst="rect">
          <a:avLst/>
        </a:prstGeom>
        <a:noFill/>
        <a:ln w="38100">
          <a:solidFill>
            <a:srgbClr val="F4E285"/>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86593</xdr:colOff>
      <xdr:row>273</xdr:row>
      <xdr:rowOff>34636</xdr:rowOff>
    </xdr:from>
    <xdr:to>
      <xdr:col>7</xdr:col>
      <xdr:colOff>658091</xdr:colOff>
      <xdr:row>281</xdr:row>
      <xdr:rowOff>126724</xdr:rowOff>
    </xdr:to>
    <xdr:pic>
      <xdr:nvPicPr>
        <xdr:cNvPr id="35" name="Afbeelding 34">
          <a:extLst>
            <a:ext uri="{FF2B5EF4-FFF2-40B4-BE49-F238E27FC236}">
              <a16:creationId xmlns:a16="http://schemas.microsoft.com/office/drawing/2014/main" id="{00000000-0008-0000-0200-000023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987" t="8090" r="51125" b="71686"/>
        <a:stretch/>
      </xdr:blipFill>
      <xdr:spPr bwMode="auto">
        <a:xfrm>
          <a:off x="640775" y="211351091"/>
          <a:ext cx="8139543" cy="1754633"/>
        </a:xfrm>
        <a:prstGeom prst="rect">
          <a:avLst/>
        </a:prstGeom>
        <a:noFill/>
        <a:ln w="38100">
          <a:solidFill>
            <a:srgbClr val="F4E285"/>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86591</xdr:colOff>
      <xdr:row>300</xdr:row>
      <xdr:rowOff>51954</xdr:rowOff>
    </xdr:from>
    <xdr:to>
      <xdr:col>8</xdr:col>
      <xdr:colOff>329046</xdr:colOff>
      <xdr:row>305</xdr:row>
      <xdr:rowOff>138546</xdr:rowOff>
    </xdr:to>
    <xdr:pic>
      <xdr:nvPicPr>
        <xdr:cNvPr id="36" name="Afbeelding 35">
          <a:extLst>
            <a:ext uri="{FF2B5EF4-FFF2-40B4-BE49-F238E27FC236}">
              <a16:creationId xmlns:a16="http://schemas.microsoft.com/office/drawing/2014/main" id="{00000000-0008-0000-0200-000024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174" t="44981" r="51219" b="42847"/>
        <a:stretch/>
      </xdr:blipFill>
      <xdr:spPr bwMode="auto">
        <a:xfrm>
          <a:off x="640773" y="217464409"/>
          <a:ext cx="8624455" cy="1125682"/>
        </a:xfrm>
        <a:prstGeom prst="rect">
          <a:avLst/>
        </a:prstGeom>
        <a:noFill/>
        <a:ln w="38100">
          <a:solidFill>
            <a:srgbClr val="F4E285"/>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34637</xdr:colOff>
      <xdr:row>339</xdr:row>
      <xdr:rowOff>155864</xdr:rowOff>
    </xdr:from>
    <xdr:to>
      <xdr:col>8</xdr:col>
      <xdr:colOff>51955</xdr:colOff>
      <xdr:row>344</xdr:row>
      <xdr:rowOff>72385</xdr:rowOff>
    </xdr:to>
    <xdr:pic>
      <xdr:nvPicPr>
        <xdr:cNvPr id="37" name="Afbeelding 36">
          <a:extLst>
            <a:ext uri="{FF2B5EF4-FFF2-40B4-BE49-F238E27FC236}">
              <a16:creationId xmlns:a16="http://schemas.microsoft.com/office/drawing/2014/main" id="{00000000-0008-0000-0200-000025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102" t="31161" r="51010" b="58165"/>
        <a:stretch/>
      </xdr:blipFill>
      <xdr:spPr bwMode="auto">
        <a:xfrm>
          <a:off x="588819" y="226643046"/>
          <a:ext cx="8399318" cy="955612"/>
        </a:xfrm>
        <a:prstGeom prst="rect">
          <a:avLst/>
        </a:prstGeom>
        <a:noFill/>
        <a:ln w="38100">
          <a:solidFill>
            <a:srgbClr val="F4E285"/>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21</xdr:col>
      <xdr:colOff>77350</xdr:colOff>
      <xdr:row>31</xdr:row>
      <xdr:rowOff>235528</xdr:rowOff>
    </xdr:from>
    <xdr:to>
      <xdr:col>33</xdr:col>
      <xdr:colOff>31467</xdr:colOff>
      <xdr:row>40</xdr:row>
      <xdr:rowOff>220520</xdr:rowOff>
    </xdr:to>
    <xdr:graphicFrame macro="">
      <xdr:nvGraphicFramePr>
        <xdr:cNvPr id="11" name="Grafiek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30</xdr:col>
      <xdr:colOff>504699</xdr:colOff>
      <xdr:row>1</xdr:row>
      <xdr:rowOff>174689</xdr:rowOff>
    </xdr:from>
    <xdr:to>
      <xdr:col>34</xdr:col>
      <xdr:colOff>45444</xdr:colOff>
      <xdr:row>2</xdr:row>
      <xdr:rowOff>114131</xdr:rowOff>
    </xdr:to>
    <xdr:pic>
      <xdr:nvPicPr>
        <xdr:cNvPr id="44" name="Afbeelding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6627"/>
        <a:stretch/>
      </xdr:blipFill>
      <xdr:spPr>
        <a:xfrm>
          <a:off x="19000517" y="365189"/>
          <a:ext cx="1466240" cy="355078"/>
        </a:xfrm>
        <a:prstGeom prst="rect">
          <a:avLst/>
        </a:prstGeom>
      </xdr:spPr>
    </xdr:pic>
    <xdr:clientData/>
  </xdr:twoCellAnchor>
  <xdr:twoCellAnchor editAs="oneCell">
    <xdr:from>
      <xdr:col>28</xdr:col>
      <xdr:colOff>233798</xdr:colOff>
      <xdr:row>1</xdr:row>
      <xdr:rowOff>34638</xdr:rowOff>
    </xdr:from>
    <xdr:to>
      <xdr:col>30</xdr:col>
      <xdr:colOff>411448</xdr:colOff>
      <xdr:row>3</xdr:row>
      <xdr:rowOff>1331</xdr:rowOff>
    </xdr:to>
    <xdr:pic>
      <xdr:nvPicPr>
        <xdr:cNvPr id="45" name="Afbeelding 44" descr="MPZ - Expertisecentrum Verduurzaming Zorg">
          <a:extLst>
            <a:ext uri="{FF2B5EF4-FFF2-40B4-BE49-F238E27FC236}">
              <a16:creationId xmlns:a16="http://schemas.microsoft.com/office/drawing/2014/main" id="{00000000-0008-0000-0300-00002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6982" b="15095"/>
        <a:stretch/>
      </xdr:blipFill>
      <xdr:spPr bwMode="auto">
        <a:xfrm>
          <a:off x="17690525" y="225138"/>
          <a:ext cx="1195821" cy="572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48780</xdr:colOff>
      <xdr:row>6</xdr:row>
      <xdr:rowOff>141721</xdr:rowOff>
    </xdr:from>
    <xdr:to>
      <xdr:col>12</xdr:col>
      <xdr:colOff>256600</xdr:colOff>
      <xdr:row>29</xdr:row>
      <xdr:rowOff>314901</xdr:rowOff>
    </xdr:to>
    <xdr:graphicFrame macro="">
      <xdr:nvGraphicFramePr>
        <xdr:cNvPr id="46" name="Grafiek 45">
          <a:extLst>
            <a:ext uri="{FF2B5EF4-FFF2-40B4-BE49-F238E27FC236}">
              <a16:creationId xmlns:a16="http://schemas.microsoft.com/office/drawing/2014/main"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13</xdr:col>
      <xdr:colOff>6635</xdr:colOff>
      <xdr:row>6</xdr:row>
      <xdr:rowOff>141720</xdr:rowOff>
    </xdr:from>
    <xdr:to>
      <xdr:col>19</xdr:col>
      <xdr:colOff>393696</xdr:colOff>
      <xdr:row>27</xdr:row>
      <xdr:rowOff>2</xdr:rowOff>
    </xdr:to>
    <xdr:graphicFrame macro="">
      <xdr:nvGraphicFramePr>
        <xdr:cNvPr id="48" name="Grafiek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19</xdr:col>
      <xdr:colOff>526643</xdr:colOff>
      <xdr:row>6</xdr:row>
      <xdr:rowOff>141721</xdr:rowOff>
    </xdr:from>
    <xdr:to>
      <xdr:col>24</xdr:col>
      <xdr:colOff>11831</xdr:colOff>
      <xdr:row>27</xdr:row>
      <xdr:rowOff>11459</xdr:rowOff>
    </xdr:to>
    <xdr:graphicFrame macro="">
      <xdr:nvGraphicFramePr>
        <xdr:cNvPr id="51" name="Grafiek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131326</xdr:colOff>
      <xdr:row>6</xdr:row>
      <xdr:rowOff>124402</xdr:rowOff>
    </xdr:from>
    <xdr:to>
      <xdr:col>33</xdr:col>
      <xdr:colOff>36641</xdr:colOff>
      <xdr:row>27</xdr:row>
      <xdr:rowOff>2</xdr:rowOff>
    </xdr:to>
    <xdr:graphicFrame macro="">
      <xdr:nvGraphicFramePr>
        <xdr:cNvPr id="52" name="Grafiek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1419977</xdr:colOff>
      <xdr:row>26</xdr:row>
      <xdr:rowOff>159038</xdr:rowOff>
    </xdr:from>
    <xdr:to>
      <xdr:col>10</xdr:col>
      <xdr:colOff>588818</xdr:colOff>
      <xdr:row>28</xdr:row>
      <xdr:rowOff>239279</xdr:rowOff>
    </xdr:to>
    <xdr:sp macro="" textlink="Cijfers!T36">
      <xdr:nvSpPr>
        <xdr:cNvPr id="55" name="Tekstvak 54">
          <a:extLst>
            <a:ext uri="{FF2B5EF4-FFF2-40B4-BE49-F238E27FC236}">
              <a16:creationId xmlns:a16="http://schemas.microsoft.com/office/drawing/2014/main" id="{00000000-0008-0000-0300-000037000000}"/>
            </a:ext>
          </a:extLst>
        </xdr:cNvPr>
        <xdr:cNvSpPr txBox="1"/>
      </xdr:nvSpPr>
      <xdr:spPr>
        <a:xfrm>
          <a:off x="6722516" y="5368636"/>
          <a:ext cx="603075" cy="363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437859A-F5ED-4EFD-98A7-7EC1300EED30}" type="TxLink">
            <a:rPr lang="en-US" sz="1800" b="1" i="0" u="none" strike="noStrike">
              <a:solidFill>
                <a:srgbClr val="393D3F"/>
              </a:solidFill>
              <a:latin typeface="Calibri"/>
              <a:cs typeface="Calibri"/>
            </a:rPr>
            <a:pPr algn="r"/>
            <a:t> 51 </a:t>
          </a:fld>
          <a:endParaRPr lang="en-US" sz="3200" b="1">
            <a:solidFill>
              <a:srgbClr val="393D3F"/>
            </a:solidFill>
          </a:endParaRPr>
        </a:p>
      </xdr:txBody>
    </xdr:sp>
    <xdr:clientData/>
  </xdr:twoCellAnchor>
  <xdr:twoCellAnchor editAs="absolute">
    <xdr:from>
      <xdr:col>7</xdr:col>
      <xdr:colOff>107084</xdr:colOff>
      <xdr:row>26</xdr:row>
      <xdr:rowOff>162500</xdr:rowOff>
    </xdr:from>
    <xdr:to>
      <xdr:col>9</xdr:col>
      <xdr:colOff>1416916</xdr:colOff>
      <xdr:row>28</xdr:row>
      <xdr:rowOff>207818</xdr:rowOff>
    </xdr:to>
    <xdr:sp macro="" textlink="">
      <xdr:nvSpPr>
        <xdr:cNvPr id="62" name="Rechthoek: afgeronde hoeken 61">
          <a:extLst>
            <a:ext uri="{FF2B5EF4-FFF2-40B4-BE49-F238E27FC236}">
              <a16:creationId xmlns:a16="http://schemas.microsoft.com/office/drawing/2014/main" id="{00000000-0008-0000-0300-00003E000000}"/>
            </a:ext>
          </a:extLst>
        </xdr:cNvPr>
        <xdr:cNvSpPr/>
      </xdr:nvSpPr>
      <xdr:spPr>
        <a:xfrm>
          <a:off x="5039591" y="5372098"/>
          <a:ext cx="1679864" cy="325584"/>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a:solidFill>
                <a:schemeClr val="bg1"/>
              </a:solidFill>
            </a:rPr>
            <a:t>WEii in 2030:</a:t>
          </a:r>
          <a:endParaRPr lang="nl-NL" sz="1050" b="1">
            <a:solidFill>
              <a:schemeClr val="bg1"/>
            </a:solidFill>
          </a:endParaRPr>
        </a:p>
      </xdr:txBody>
    </xdr:sp>
    <xdr:clientData/>
  </xdr:twoCellAnchor>
  <xdr:twoCellAnchor editAs="absolute">
    <xdr:from>
      <xdr:col>5</xdr:col>
      <xdr:colOff>190503</xdr:colOff>
      <xdr:row>31</xdr:row>
      <xdr:rowOff>235531</xdr:rowOff>
    </xdr:from>
    <xdr:to>
      <xdr:col>12</xdr:col>
      <xdr:colOff>221963</xdr:colOff>
      <xdr:row>40</xdr:row>
      <xdr:rowOff>196850</xdr:rowOff>
    </xdr:to>
    <xdr:graphicFrame macro="">
      <xdr:nvGraphicFramePr>
        <xdr:cNvPr id="63" name="Grafiek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12</xdr:col>
      <xdr:colOff>381002</xdr:colOff>
      <xdr:row>31</xdr:row>
      <xdr:rowOff>235526</xdr:rowOff>
    </xdr:from>
    <xdr:to>
      <xdr:col>20</xdr:col>
      <xdr:colOff>1067045</xdr:colOff>
      <xdr:row>39</xdr:row>
      <xdr:rowOff>330779</xdr:rowOff>
    </xdr:to>
    <xdr:graphicFrame macro="">
      <xdr:nvGraphicFramePr>
        <xdr:cNvPr id="78" name="Grafiek 77">
          <a:extLst>
            <a:ext uri="{FF2B5EF4-FFF2-40B4-BE49-F238E27FC236}">
              <a16:creationId xmlns:a16="http://schemas.microsoft.com/office/drawing/2014/main" id="{00000000-0008-0000-03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12</xdr:col>
      <xdr:colOff>349539</xdr:colOff>
      <xdr:row>41</xdr:row>
      <xdr:rowOff>15875</xdr:rowOff>
    </xdr:from>
    <xdr:to>
      <xdr:col>17</xdr:col>
      <xdr:colOff>159038</xdr:colOff>
      <xdr:row>42</xdr:row>
      <xdr:rowOff>15875</xdr:rowOff>
    </xdr:to>
    <xdr:sp macro="" textlink="">
      <xdr:nvSpPr>
        <xdr:cNvPr id="81" name="Tekstvak 80">
          <a:extLst>
            <a:ext uri="{FF2B5EF4-FFF2-40B4-BE49-F238E27FC236}">
              <a16:creationId xmlns:a16="http://schemas.microsoft.com/office/drawing/2014/main" id="{00000000-0008-0000-0300-000051000000}"/>
            </a:ext>
          </a:extLst>
        </xdr:cNvPr>
        <xdr:cNvSpPr txBox="1"/>
      </xdr:nvSpPr>
      <xdr:spPr>
        <a:xfrm>
          <a:off x="8399319" y="10787784"/>
          <a:ext cx="2805544"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2000" b="1">
              <a:solidFill>
                <a:srgbClr val="393D3F"/>
              </a:solidFill>
              <a:latin typeface="+mn-lt"/>
              <a:ea typeface="+mn-ea"/>
              <a:cs typeface="+mn-cs"/>
            </a:rPr>
            <a:t>Aandeel in CO</a:t>
          </a:r>
          <a:r>
            <a:rPr lang="nl-NL" sz="2000" b="1" baseline="-25000">
              <a:solidFill>
                <a:srgbClr val="393D3F"/>
              </a:solidFill>
              <a:latin typeface="+mn-lt"/>
              <a:ea typeface="+mn-ea"/>
              <a:cs typeface="+mn-cs"/>
            </a:rPr>
            <a:t>2</a:t>
          </a:r>
          <a:r>
            <a:rPr lang="nl-NL" sz="2000" b="1">
              <a:solidFill>
                <a:srgbClr val="393D3F"/>
              </a:solidFill>
              <a:latin typeface="+mn-lt"/>
              <a:ea typeface="+mn-ea"/>
              <a:cs typeface="+mn-cs"/>
            </a:rPr>
            <a:t>-footprint</a:t>
          </a:r>
        </a:p>
        <a:p>
          <a:pPr marL="0" indent="0"/>
          <a:endParaRPr lang="nl-NL" sz="2000" b="1">
            <a:solidFill>
              <a:srgbClr val="393D3F"/>
            </a:solidFill>
            <a:latin typeface="+mn-lt"/>
            <a:ea typeface="+mn-ea"/>
            <a:cs typeface="+mn-cs"/>
          </a:endParaRPr>
        </a:p>
      </xdr:txBody>
    </xdr:sp>
    <xdr:clientData/>
  </xdr:twoCellAnchor>
  <xdr:twoCellAnchor editAs="absolute">
    <xdr:from>
      <xdr:col>16</xdr:col>
      <xdr:colOff>303693</xdr:colOff>
      <xdr:row>42</xdr:row>
      <xdr:rowOff>132401</xdr:rowOff>
    </xdr:from>
    <xdr:to>
      <xdr:col>19</xdr:col>
      <xdr:colOff>173535</xdr:colOff>
      <xdr:row>45</xdr:row>
      <xdr:rowOff>235331</xdr:rowOff>
    </xdr:to>
    <xdr:graphicFrame macro="">
      <xdr:nvGraphicFramePr>
        <xdr:cNvPr id="86" name="Grafiek 85">
          <a:extLst>
            <a:ext uri="{FF2B5EF4-FFF2-40B4-BE49-F238E27FC236}">
              <a16:creationId xmlns:a16="http://schemas.microsoft.com/office/drawing/2014/main" id="{00000000-0008-0000-03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20</xdr:col>
      <xdr:colOff>78793</xdr:colOff>
      <xdr:row>42</xdr:row>
      <xdr:rowOff>344927</xdr:rowOff>
    </xdr:from>
    <xdr:to>
      <xdr:col>21</xdr:col>
      <xdr:colOff>1974</xdr:colOff>
      <xdr:row>45</xdr:row>
      <xdr:rowOff>177808</xdr:rowOff>
    </xdr:to>
    <xdr:graphicFrame macro="">
      <xdr:nvGraphicFramePr>
        <xdr:cNvPr id="87" name="Grafiek 86">
          <a:extLst>
            <a:ext uri="{FF2B5EF4-FFF2-40B4-BE49-F238E27FC236}">
              <a16:creationId xmlns:a16="http://schemas.microsoft.com/office/drawing/2014/main" id="{00000000-0008-0000-03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14724</xdr:colOff>
      <xdr:row>26</xdr:row>
      <xdr:rowOff>27377</xdr:rowOff>
    </xdr:from>
    <xdr:to>
      <xdr:col>4</xdr:col>
      <xdr:colOff>161744</xdr:colOff>
      <xdr:row>29</xdr:row>
      <xdr:rowOff>314902</xdr:rowOff>
    </xdr:to>
    <xdr:pic>
      <xdr:nvPicPr>
        <xdr:cNvPr id="88" name="Afbeelding 87" descr="Afbeeldingsresultaat voor klimaatakkoord doelstellingen">
          <a:extLst>
            <a:ext uri="{FF2B5EF4-FFF2-40B4-BE49-F238E27FC236}">
              <a16:creationId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12" cstate="print">
          <a:grayscl/>
          <a:extLst>
            <a:ext uri="{BEBA8EAE-BF5A-486C-A8C5-ECC9F3942E4B}">
              <a14:imgProps xmlns:a14="http://schemas.microsoft.com/office/drawing/2010/main">
                <a14:imgLayer r:embed="rId13">
                  <a14:imgEffect>
                    <a14:colorTemperature colorTemp="5900"/>
                  </a14:imgEffect>
                  <a14:imgEffect>
                    <a14:saturation sat="66000"/>
                  </a14:imgEffect>
                </a14:imgLayer>
              </a14:imgProps>
            </a:ext>
            <a:ext uri="{28A0092B-C50C-407E-A947-70E740481C1C}">
              <a14:useLocalDpi xmlns:a14="http://schemas.microsoft.com/office/drawing/2010/main" val="0"/>
            </a:ext>
          </a:extLst>
        </a:blip>
        <a:srcRect/>
        <a:stretch>
          <a:fillRect/>
        </a:stretch>
      </xdr:blipFill>
      <xdr:spPr bwMode="auto">
        <a:xfrm>
          <a:off x="326451" y="5240150"/>
          <a:ext cx="1206604" cy="87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146352</xdr:colOff>
      <xdr:row>26</xdr:row>
      <xdr:rowOff>86590</xdr:rowOff>
    </xdr:from>
    <xdr:to>
      <xdr:col>5</xdr:col>
      <xdr:colOff>141633</xdr:colOff>
      <xdr:row>29</xdr:row>
      <xdr:rowOff>256598</xdr:rowOff>
    </xdr:to>
    <xdr:pic>
      <xdr:nvPicPr>
        <xdr:cNvPr id="43" name="Afbeelding 42" descr="Afbeeldingsresultaat voor Green deal logo">
          <a:extLst>
            <a:ext uri="{FF2B5EF4-FFF2-40B4-BE49-F238E27FC236}">
              <a16:creationId xmlns:a16="http://schemas.microsoft.com/office/drawing/2014/main" id="{00000000-0008-0000-0300-00002B000000}"/>
            </a:ext>
          </a:extLst>
        </xdr:cNvPr>
        <xdr:cNvPicPr>
          <a:picLocks noChangeAspect="1" noChangeArrowheads="1"/>
        </xdr:cNvPicPr>
      </xdr:nvPicPr>
      <xdr:blipFill rotWithShape="1">
        <a:blip xmlns:r="http://schemas.openxmlformats.org/officeDocument/2006/relationships" r:embed="rId14" cstate="print">
          <a:grayscl/>
          <a:extLst>
            <a:ext uri="{BEBA8EAE-BF5A-486C-A8C5-ECC9F3942E4B}">
              <a14:imgProps xmlns:a14="http://schemas.microsoft.com/office/drawing/2010/main">
                <a14:imgLayer r:embed="rId15">
                  <a14:imgEffect>
                    <a14:saturation sat="66000"/>
                  </a14:imgEffect>
                  <a14:imgEffect>
                    <a14:brightnessContrast bright="20000"/>
                  </a14:imgEffect>
                </a14:imgLayer>
              </a14:imgProps>
            </a:ext>
            <a:ext uri="{28A0092B-C50C-407E-A947-70E740481C1C}">
              <a14:useLocalDpi xmlns:a14="http://schemas.microsoft.com/office/drawing/2010/main" val="0"/>
            </a:ext>
          </a:extLst>
        </a:blip>
        <a:srcRect t="15298" b="16622"/>
        <a:stretch/>
      </xdr:blipFill>
      <xdr:spPr bwMode="auto">
        <a:xfrm>
          <a:off x="1514488" y="5299363"/>
          <a:ext cx="1117788"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678584</xdr:colOff>
      <xdr:row>41</xdr:row>
      <xdr:rowOff>47341</xdr:rowOff>
    </xdr:from>
    <xdr:to>
      <xdr:col>10</xdr:col>
      <xdr:colOff>17319</xdr:colOff>
      <xdr:row>42</xdr:row>
      <xdr:rowOff>124402</xdr:rowOff>
    </xdr:to>
    <xdr:sp macro="" textlink="">
      <xdr:nvSpPr>
        <xdr:cNvPr id="90" name="Rechthoek: afgeronde hoeken 89">
          <a:extLst>
            <a:ext uri="{FF2B5EF4-FFF2-40B4-BE49-F238E27FC236}">
              <a16:creationId xmlns:a16="http://schemas.microsoft.com/office/drawing/2014/main" id="{00000000-0008-0000-0300-00005A000000}"/>
            </a:ext>
          </a:extLst>
        </xdr:cNvPr>
        <xdr:cNvSpPr/>
      </xdr:nvSpPr>
      <xdr:spPr>
        <a:xfrm>
          <a:off x="5974773" y="10822425"/>
          <a:ext cx="779319" cy="503666"/>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DFDFF"/>
              </a:solidFill>
            </a:rPr>
            <a:t>2030</a:t>
          </a:r>
          <a:endParaRPr lang="en-US" b="1">
            <a:solidFill>
              <a:srgbClr val="FDFDFF"/>
            </a:solidFill>
          </a:endParaRPr>
        </a:p>
      </xdr:txBody>
    </xdr:sp>
    <xdr:clientData/>
  </xdr:twoCellAnchor>
  <xdr:twoCellAnchor editAs="absolute">
    <xdr:from>
      <xdr:col>22</xdr:col>
      <xdr:colOff>897074</xdr:colOff>
      <xdr:row>31</xdr:row>
      <xdr:rowOff>353294</xdr:rowOff>
    </xdr:from>
    <xdr:to>
      <xdr:col>31</xdr:col>
      <xdr:colOff>506423</xdr:colOff>
      <xdr:row>33</xdr:row>
      <xdr:rowOff>26556</xdr:rowOff>
    </xdr:to>
    <xdr:sp macro="" textlink="">
      <xdr:nvSpPr>
        <xdr:cNvPr id="95" name="Tekstvak 94">
          <a:extLst>
            <a:ext uri="{FF2B5EF4-FFF2-40B4-BE49-F238E27FC236}">
              <a16:creationId xmlns:a16="http://schemas.microsoft.com/office/drawing/2014/main" id="{00000000-0008-0000-0300-00005F000000}"/>
            </a:ext>
          </a:extLst>
        </xdr:cNvPr>
        <xdr:cNvSpPr txBox="1"/>
      </xdr:nvSpPr>
      <xdr:spPr>
        <a:xfrm>
          <a:off x="15530938" y="6837221"/>
          <a:ext cx="4160855" cy="450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800" b="1">
              <a:solidFill>
                <a:srgbClr val="393D3F"/>
              </a:solidFill>
              <a:latin typeface="+mn-lt"/>
              <a:ea typeface="+mn-ea"/>
              <a:cs typeface="+mn-cs"/>
            </a:rPr>
            <a:t>Leeftijd</a:t>
          </a:r>
          <a:r>
            <a:rPr lang="nl-NL" sz="1800" b="1" baseline="0">
              <a:solidFill>
                <a:srgbClr val="393D3F"/>
              </a:solidFill>
              <a:latin typeface="+mn-lt"/>
              <a:ea typeface="+mn-ea"/>
              <a:cs typeface="+mn-cs"/>
            </a:rPr>
            <a:t> en omvang vastgoedportefeuille</a:t>
          </a:r>
          <a:endParaRPr lang="nl-NL" sz="1800" b="1">
            <a:solidFill>
              <a:srgbClr val="393D3F"/>
            </a:solidFill>
            <a:latin typeface="+mn-lt"/>
            <a:ea typeface="+mn-ea"/>
            <a:cs typeface="+mn-cs"/>
          </a:endParaRPr>
        </a:p>
        <a:p>
          <a:pPr marL="0" indent="0"/>
          <a:endParaRPr lang="nl-NL" sz="2400" b="1">
            <a:solidFill>
              <a:srgbClr val="393D3F"/>
            </a:solidFill>
            <a:latin typeface="+mn-lt"/>
            <a:ea typeface="+mn-ea"/>
            <a:cs typeface="+mn-cs"/>
          </a:endParaRPr>
        </a:p>
      </xdr:txBody>
    </xdr:sp>
    <xdr:clientData/>
  </xdr:twoCellAnchor>
  <xdr:twoCellAnchor editAs="absolute">
    <xdr:from>
      <xdr:col>19</xdr:col>
      <xdr:colOff>297583</xdr:colOff>
      <xdr:row>41</xdr:row>
      <xdr:rowOff>50235</xdr:rowOff>
    </xdr:from>
    <xdr:to>
      <xdr:col>19</xdr:col>
      <xdr:colOff>1235648</xdr:colOff>
      <xdr:row>42</xdr:row>
      <xdr:rowOff>47346</xdr:rowOff>
    </xdr:to>
    <xdr:sp macro="" textlink="">
      <xdr:nvSpPr>
        <xdr:cNvPr id="74" name="Rechthoek: afgeronde hoeken 73">
          <a:extLst>
            <a:ext uri="{FF2B5EF4-FFF2-40B4-BE49-F238E27FC236}">
              <a16:creationId xmlns:a16="http://schemas.microsoft.com/office/drawing/2014/main" id="{00000000-0008-0000-0300-00004A000000}"/>
            </a:ext>
          </a:extLst>
        </xdr:cNvPr>
        <xdr:cNvSpPr/>
      </xdr:nvSpPr>
      <xdr:spPr>
        <a:xfrm>
          <a:off x="12330544" y="10818969"/>
          <a:ext cx="941240" cy="436416"/>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FDFDFF"/>
              </a:solidFill>
            </a:rPr>
            <a:t>2030</a:t>
          </a:r>
          <a:endParaRPr lang="nl-NL" sz="1800" b="1">
            <a:solidFill>
              <a:srgbClr val="FDFDFF"/>
            </a:solidFill>
          </a:endParaRPr>
        </a:p>
      </xdr:txBody>
    </xdr:sp>
    <xdr:clientData/>
  </xdr:twoCellAnchor>
  <xdr:twoCellAnchor editAs="absolute">
    <xdr:from>
      <xdr:col>19</xdr:col>
      <xdr:colOff>160476</xdr:colOff>
      <xdr:row>42</xdr:row>
      <xdr:rowOff>368309</xdr:rowOff>
    </xdr:from>
    <xdr:to>
      <xdr:col>20</xdr:col>
      <xdr:colOff>30011</xdr:colOff>
      <xdr:row>45</xdr:row>
      <xdr:rowOff>201479</xdr:rowOff>
    </xdr:to>
    <xdr:graphicFrame macro="">
      <xdr:nvGraphicFramePr>
        <xdr:cNvPr id="75" name="Grafiek 74">
          <a:extLst>
            <a:ext uri="{FF2B5EF4-FFF2-40B4-BE49-F238E27FC236}">
              <a16:creationId xmlns:a16="http://schemas.microsoft.com/office/drawing/2014/main" id="{00000000-0008-0000-03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3</xdr:col>
      <xdr:colOff>1</xdr:colOff>
      <xdr:row>31</xdr:row>
      <xdr:rowOff>235529</xdr:rowOff>
    </xdr:from>
    <xdr:to>
      <xdr:col>5</xdr:col>
      <xdr:colOff>17318</xdr:colOff>
      <xdr:row>32</xdr:row>
      <xdr:rowOff>122960</xdr:rowOff>
    </xdr:to>
    <xdr:sp macro="" textlink="">
      <xdr:nvSpPr>
        <xdr:cNvPr id="73" name="Rechthoek: afgeronde hoeken 72">
          <a:extLst>
            <a:ext uri="{FF2B5EF4-FFF2-40B4-BE49-F238E27FC236}">
              <a16:creationId xmlns:a16="http://schemas.microsoft.com/office/drawing/2014/main" id="{00000000-0008-0000-0300-000049000000}"/>
            </a:ext>
          </a:extLst>
        </xdr:cNvPr>
        <xdr:cNvSpPr/>
      </xdr:nvSpPr>
      <xdr:spPr>
        <a:xfrm>
          <a:off x="311728" y="6719456"/>
          <a:ext cx="2199408" cy="415636"/>
        </a:xfrm>
        <a:prstGeom prst="roundRect">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Investering per jaar</a:t>
          </a:r>
        </a:p>
      </xdr:txBody>
    </xdr:sp>
    <xdr:clientData/>
  </xdr:twoCellAnchor>
  <xdr:twoCellAnchor editAs="absolute">
    <xdr:from>
      <xdr:col>20</xdr:col>
      <xdr:colOff>220279</xdr:colOff>
      <xdr:row>41</xdr:row>
      <xdr:rowOff>46770</xdr:rowOff>
    </xdr:from>
    <xdr:to>
      <xdr:col>21</xdr:col>
      <xdr:colOff>7515</xdr:colOff>
      <xdr:row>42</xdr:row>
      <xdr:rowOff>50231</xdr:rowOff>
    </xdr:to>
    <xdr:sp macro="" textlink="">
      <xdr:nvSpPr>
        <xdr:cNvPr id="89" name="Rechthoek: afgeronde hoeken 88">
          <a:extLst>
            <a:ext uri="{FF2B5EF4-FFF2-40B4-BE49-F238E27FC236}">
              <a16:creationId xmlns:a16="http://schemas.microsoft.com/office/drawing/2014/main" id="{00000000-0008-0000-0300-000059000000}"/>
            </a:ext>
          </a:extLst>
        </xdr:cNvPr>
        <xdr:cNvSpPr/>
      </xdr:nvSpPr>
      <xdr:spPr>
        <a:xfrm>
          <a:off x="13517468" y="10821854"/>
          <a:ext cx="953904" cy="430066"/>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FDFDFF"/>
              </a:solidFill>
            </a:rPr>
            <a:t>2050</a:t>
          </a:r>
          <a:endParaRPr lang="nl-NL" sz="1800" b="1">
            <a:solidFill>
              <a:srgbClr val="FDFDFF"/>
            </a:solidFill>
          </a:endParaRPr>
        </a:p>
      </xdr:txBody>
    </xdr:sp>
    <xdr:clientData/>
  </xdr:twoCellAnchor>
  <xdr:twoCellAnchor editAs="absolute">
    <xdr:from>
      <xdr:col>28</xdr:col>
      <xdr:colOff>54479</xdr:colOff>
      <xdr:row>41</xdr:row>
      <xdr:rowOff>65192</xdr:rowOff>
    </xdr:from>
    <xdr:to>
      <xdr:col>33</xdr:col>
      <xdr:colOff>47173</xdr:colOff>
      <xdr:row>42</xdr:row>
      <xdr:rowOff>9490</xdr:rowOff>
    </xdr:to>
    <xdr:sp macro="" textlink="">
      <xdr:nvSpPr>
        <xdr:cNvPr id="42" name="Rechthoek: afgeronde hoeken 41">
          <a:extLst>
            <a:ext uri="{FF2B5EF4-FFF2-40B4-BE49-F238E27FC236}">
              <a16:creationId xmlns:a16="http://schemas.microsoft.com/office/drawing/2014/main" id="{00000000-0008-0000-0300-00002A000000}"/>
            </a:ext>
          </a:extLst>
        </xdr:cNvPr>
        <xdr:cNvSpPr/>
      </xdr:nvSpPr>
      <xdr:spPr>
        <a:xfrm>
          <a:off x="17667070" y="10835369"/>
          <a:ext cx="2801414" cy="383603"/>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nl-NL" sz="1800" b="0" baseline="0">
              <a:solidFill>
                <a:srgbClr val="FDFDFF"/>
              </a:solidFill>
            </a:rPr>
            <a:t>Ruimte voor opmerkingen</a:t>
          </a:r>
          <a:endParaRPr lang="nl-NL" sz="1800" b="0">
            <a:solidFill>
              <a:srgbClr val="FDFDFF"/>
            </a:solidFill>
          </a:endParaRPr>
        </a:p>
      </xdr:txBody>
    </xdr:sp>
    <xdr:clientData/>
  </xdr:twoCellAnchor>
  <xdr:twoCellAnchor editAs="absolute">
    <xdr:from>
      <xdr:col>21</xdr:col>
      <xdr:colOff>83528</xdr:colOff>
      <xdr:row>45</xdr:row>
      <xdr:rowOff>211572</xdr:rowOff>
    </xdr:from>
    <xdr:to>
      <xdr:col>23</xdr:col>
      <xdr:colOff>648914</xdr:colOff>
      <xdr:row>46</xdr:row>
      <xdr:rowOff>197690</xdr:rowOff>
    </xdr:to>
    <xdr:sp macro="" textlink="">
      <xdr:nvSpPr>
        <xdr:cNvPr id="49" name="Rechthoek: afgeronde hoeken 48">
          <a:extLst>
            <a:ext uri="{FF2B5EF4-FFF2-40B4-BE49-F238E27FC236}">
              <a16:creationId xmlns:a16="http://schemas.microsoft.com/office/drawing/2014/main" id="{00000000-0008-0000-0300-000031000000}"/>
            </a:ext>
          </a:extLst>
        </xdr:cNvPr>
        <xdr:cNvSpPr/>
      </xdr:nvSpPr>
      <xdr:spPr>
        <a:xfrm>
          <a:off x="14547385" y="12612833"/>
          <a:ext cx="1646906" cy="311990"/>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0" baseline="0">
              <a:solidFill>
                <a:srgbClr val="FDFDFF"/>
              </a:solidFill>
            </a:rPr>
            <a:t>Bestuurlijk akkoord</a:t>
          </a:r>
          <a:endParaRPr lang="nl-NL" sz="1400" b="0">
            <a:solidFill>
              <a:srgbClr val="FDFDFF"/>
            </a:solidFill>
          </a:endParaRPr>
        </a:p>
      </xdr:txBody>
    </xdr:sp>
    <xdr:clientData/>
  </xdr:twoCellAnchor>
  <xdr:twoCellAnchor editAs="absolute">
    <xdr:from>
      <xdr:col>10</xdr:col>
      <xdr:colOff>571499</xdr:colOff>
      <xdr:row>41</xdr:row>
      <xdr:rowOff>26558</xdr:rowOff>
    </xdr:from>
    <xdr:to>
      <xdr:col>12</xdr:col>
      <xdr:colOff>1734</xdr:colOff>
      <xdr:row>42</xdr:row>
      <xdr:rowOff>64654</xdr:rowOff>
    </xdr:to>
    <xdr:sp macro="" textlink="">
      <xdr:nvSpPr>
        <xdr:cNvPr id="66" name="Rechthoek: afgeronde hoeken 65">
          <a:extLst>
            <a:ext uri="{FF2B5EF4-FFF2-40B4-BE49-F238E27FC236}">
              <a16:creationId xmlns:a16="http://schemas.microsoft.com/office/drawing/2014/main" id="{00000000-0008-0000-0300-000042000000}"/>
            </a:ext>
          </a:extLst>
        </xdr:cNvPr>
        <xdr:cNvSpPr/>
      </xdr:nvSpPr>
      <xdr:spPr>
        <a:xfrm>
          <a:off x="7308272" y="10803085"/>
          <a:ext cx="746417" cy="47105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DFDFF"/>
              </a:solidFill>
            </a:rPr>
            <a:t>2050</a:t>
          </a:r>
          <a:endParaRPr lang="en-US" b="1">
            <a:solidFill>
              <a:srgbClr val="FDFDFF"/>
            </a:solidFill>
          </a:endParaRPr>
        </a:p>
      </xdr:txBody>
    </xdr:sp>
    <xdr:clientData/>
  </xdr:twoCellAnchor>
  <xdr:twoCellAnchor editAs="absolute">
    <xdr:from>
      <xdr:col>7</xdr:col>
      <xdr:colOff>107084</xdr:colOff>
      <xdr:row>28</xdr:row>
      <xdr:rowOff>256597</xdr:rowOff>
    </xdr:from>
    <xdr:to>
      <xdr:col>9</xdr:col>
      <xdr:colOff>1411533</xdr:colOff>
      <xdr:row>29</xdr:row>
      <xdr:rowOff>273916</xdr:rowOff>
    </xdr:to>
    <xdr:sp macro="" textlink="">
      <xdr:nvSpPr>
        <xdr:cNvPr id="67" name="Rechthoek: afgeronde hoeken 66">
          <a:extLst>
            <a:ext uri="{FF2B5EF4-FFF2-40B4-BE49-F238E27FC236}">
              <a16:creationId xmlns:a16="http://schemas.microsoft.com/office/drawing/2014/main" id="{00000000-0008-0000-0300-000043000000}"/>
            </a:ext>
          </a:extLst>
        </xdr:cNvPr>
        <xdr:cNvSpPr/>
      </xdr:nvSpPr>
      <xdr:spPr>
        <a:xfrm>
          <a:off x="5039591" y="5749636"/>
          <a:ext cx="1671306" cy="329046"/>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a:solidFill>
                <a:schemeClr val="bg1"/>
              </a:solidFill>
            </a:rPr>
            <a:t>WEii in 2050:</a:t>
          </a:r>
          <a:endParaRPr lang="nl-NL" sz="1050" b="1">
            <a:solidFill>
              <a:schemeClr val="bg1"/>
            </a:solidFill>
          </a:endParaRPr>
        </a:p>
      </xdr:txBody>
    </xdr:sp>
    <xdr:clientData/>
  </xdr:twoCellAnchor>
  <xdr:twoCellAnchor editAs="absolute">
    <xdr:from>
      <xdr:col>10</xdr:col>
      <xdr:colOff>479412</xdr:colOff>
      <xdr:row>27</xdr:row>
      <xdr:rowOff>0</xdr:rowOff>
    </xdr:from>
    <xdr:to>
      <xdr:col>12</xdr:col>
      <xdr:colOff>332219</xdr:colOff>
      <xdr:row>28</xdr:row>
      <xdr:rowOff>161133</xdr:rowOff>
    </xdr:to>
    <xdr:sp macro="" textlink="">
      <xdr:nvSpPr>
        <xdr:cNvPr id="68" name="Tekstvak 67">
          <a:extLst>
            <a:ext uri="{FF2B5EF4-FFF2-40B4-BE49-F238E27FC236}">
              <a16:creationId xmlns:a16="http://schemas.microsoft.com/office/drawing/2014/main" id="{00000000-0008-0000-0300-000044000000}"/>
            </a:ext>
          </a:extLst>
        </xdr:cNvPr>
        <xdr:cNvSpPr txBox="1"/>
      </xdr:nvSpPr>
      <xdr:spPr>
        <a:xfrm>
          <a:off x="7216185" y="5403273"/>
          <a:ext cx="1165814" cy="2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rgbClr val="393D3F"/>
              </a:solidFill>
            </a:rPr>
            <a:t>kWh/m2</a:t>
          </a:r>
          <a:endParaRPr lang="en-US" sz="1800" b="1">
            <a:solidFill>
              <a:srgbClr val="393D3F"/>
            </a:solidFill>
          </a:endParaRPr>
        </a:p>
      </xdr:txBody>
    </xdr:sp>
    <xdr:clientData/>
  </xdr:twoCellAnchor>
  <xdr:twoCellAnchor editAs="absolute">
    <xdr:from>
      <xdr:col>9</xdr:col>
      <xdr:colOff>1399597</xdr:colOff>
      <xdr:row>28</xdr:row>
      <xdr:rowOff>239279</xdr:rowOff>
    </xdr:from>
    <xdr:to>
      <xdr:col>10</xdr:col>
      <xdr:colOff>588819</xdr:colOff>
      <xdr:row>29</xdr:row>
      <xdr:rowOff>221961</xdr:rowOff>
    </xdr:to>
    <xdr:sp macro="" textlink="Cijfers!AN36">
      <xdr:nvSpPr>
        <xdr:cNvPr id="69" name="Tekstvak 68">
          <a:extLst>
            <a:ext uri="{FF2B5EF4-FFF2-40B4-BE49-F238E27FC236}">
              <a16:creationId xmlns:a16="http://schemas.microsoft.com/office/drawing/2014/main" id="{00000000-0008-0000-0300-000045000000}"/>
            </a:ext>
          </a:extLst>
        </xdr:cNvPr>
        <xdr:cNvSpPr txBox="1"/>
      </xdr:nvSpPr>
      <xdr:spPr>
        <a:xfrm>
          <a:off x="6702136" y="5732318"/>
          <a:ext cx="623456" cy="294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9741AFA-1B14-4900-B969-D3A02F5E3545}" type="TxLink">
            <a:rPr lang="en-US" sz="1800" b="1" i="0" u="none" strike="noStrike">
              <a:solidFill>
                <a:srgbClr val="393D3F"/>
              </a:solidFill>
              <a:latin typeface="Calibri"/>
              <a:cs typeface="Calibri"/>
            </a:rPr>
            <a:pPr algn="r"/>
            <a:t> 26 </a:t>
          </a:fld>
          <a:endParaRPr lang="en-US" sz="3200" b="1">
            <a:solidFill>
              <a:srgbClr val="393D3F"/>
            </a:solidFill>
          </a:endParaRPr>
        </a:p>
      </xdr:txBody>
    </xdr:sp>
    <xdr:clientData/>
  </xdr:twoCellAnchor>
  <xdr:twoCellAnchor editAs="absolute">
    <xdr:from>
      <xdr:col>10</xdr:col>
      <xdr:colOff>482962</xdr:colOff>
      <xdr:row>28</xdr:row>
      <xdr:rowOff>190500</xdr:rowOff>
    </xdr:from>
    <xdr:to>
      <xdr:col>12</xdr:col>
      <xdr:colOff>332594</xdr:colOff>
      <xdr:row>29</xdr:row>
      <xdr:rowOff>258760</xdr:rowOff>
    </xdr:to>
    <xdr:sp macro="" textlink="">
      <xdr:nvSpPr>
        <xdr:cNvPr id="70" name="Tekstvak 69">
          <a:extLst>
            <a:ext uri="{FF2B5EF4-FFF2-40B4-BE49-F238E27FC236}">
              <a16:creationId xmlns:a16="http://schemas.microsoft.com/office/drawing/2014/main" id="{00000000-0008-0000-0300-000046000000}"/>
            </a:ext>
          </a:extLst>
        </xdr:cNvPr>
        <xdr:cNvSpPr txBox="1"/>
      </xdr:nvSpPr>
      <xdr:spPr>
        <a:xfrm>
          <a:off x="7222910" y="5680364"/>
          <a:ext cx="1165814" cy="376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rgbClr val="393D3F"/>
              </a:solidFill>
            </a:rPr>
            <a:t>kWh/m2</a:t>
          </a:r>
          <a:endParaRPr lang="en-US" sz="1800" b="1">
            <a:solidFill>
              <a:srgbClr val="393D3F"/>
            </a:solidFill>
          </a:endParaRPr>
        </a:p>
      </xdr:txBody>
    </xdr:sp>
    <xdr:clientData/>
  </xdr:twoCellAnchor>
  <xdr:twoCellAnchor editAs="absolute">
    <xdr:from>
      <xdr:col>5</xdr:col>
      <xdr:colOff>31105</xdr:colOff>
      <xdr:row>41</xdr:row>
      <xdr:rowOff>30020</xdr:rowOff>
    </xdr:from>
    <xdr:to>
      <xdr:col>6</xdr:col>
      <xdr:colOff>588819</xdr:colOff>
      <xdr:row>41</xdr:row>
      <xdr:rowOff>393292</xdr:rowOff>
    </xdr:to>
    <xdr:sp macro="" textlink="">
      <xdr:nvSpPr>
        <xdr:cNvPr id="72" name="Tekstvak 71">
          <a:extLst>
            <a:ext uri="{FF2B5EF4-FFF2-40B4-BE49-F238E27FC236}">
              <a16:creationId xmlns:a16="http://schemas.microsoft.com/office/drawing/2014/main" id="{00000000-0008-0000-0300-000048000000}"/>
            </a:ext>
          </a:extLst>
        </xdr:cNvPr>
        <xdr:cNvSpPr txBox="1"/>
      </xdr:nvSpPr>
      <xdr:spPr>
        <a:xfrm>
          <a:off x="2528098" y="10806547"/>
          <a:ext cx="2130494" cy="352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2000" b="1">
              <a:solidFill>
                <a:srgbClr val="393D3F"/>
              </a:solidFill>
              <a:latin typeface="+mn-lt"/>
              <a:ea typeface="+mn-ea"/>
              <a:cs typeface="+mn-cs"/>
            </a:rPr>
            <a:t>Energiekosten</a:t>
          </a:r>
        </a:p>
        <a:p>
          <a:pPr marL="0" indent="0"/>
          <a:endParaRPr lang="nl-NL" sz="2000" b="1">
            <a:solidFill>
              <a:srgbClr val="393D3F"/>
            </a:solidFill>
            <a:latin typeface="+mn-lt"/>
            <a:ea typeface="+mn-ea"/>
            <a:cs typeface="+mn-cs"/>
          </a:endParaRPr>
        </a:p>
      </xdr:txBody>
    </xdr:sp>
    <xdr:clientData/>
  </xdr:twoCellAnchor>
  <xdr:twoCellAnchor editAs="absolute">
    <xdr:from>
      <xdr:col>6</xdr:col>
      <xdr:colOff>426316</xdr:colOff>
      <xdr:row>41</xdr:row>
      <xdr:rowOff>57980</xdr:rowOff>
    </xdr:from>
    <xdr:to>
      <xdr:col>8</xdr:col>
      <xdr:colOff>120940</xdr:colOff>
      <xdr:row>42</xdr:row>
      <xdr:rowOff>38016</xdr:rowOff>
    </xdr:to>
    <xdr:sp macro="" textlink="">
      <xdr:nvSpPr>
        <xdr:cNvPr id="77" name="Rechthoek: afgeronde hoeken 76">
          <a:extLst>
            <a:ext uri="{FF2B5EF4-FFF2-40B4-BE49-F238E27FC236}">
              <a16:creationId xmlns:a16="http://schemas.microsoft.com/office/drawing/2014/main" id="{00000000-0008-0000-0300-00004D000000}"/>
            </a:ext>
          </a:extLst>
        </xdr:cNvPr>
        <xdr:cNvSpPr/>
      </xdr:nvSpPr>
      <xdr:spPr>
        <a:xfrm>
          <a:off x="4512817" y="10875067"/>
          <a:ext cx="779646" cy="410732"/>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DFDFF"/>
              </a:solidFill>
            </a:rPr>
            <a:t>2023</a:t>
          </a:r>
          <a:endParaRPr lang="en-US" b="1">
            <a:solidFill>
              <a:srgbClr val="FDFDFF"/>
            </a:solidFill>
          </a:endParaRPr>
        </a:p>
      </xdr:txBody>
    </xdr:sp>
    <xdr:clientData/>
  </xdr:twoCellAnchor>
  <xdr:twoCellAnchor editAs="absolute">
    <xdr:from>
      <xdr:col>17</xdr:col>
      <xdr:colOff>103619</xdr:colOff>
      <xdr:row>41</xdr:row>
      <xdr:rowOff>46771</xdr:rowOff>
    </xdr:from>
    <xdr:to>
      <xdr:col>19</xdr:col>
      <xdr:colOff>54548</xdr:colOff>
      <xdr:row>42</xdr:row>
      <xdr:rowOff>50232</xdr:rowOff>
    </xdr:to>
    <xdr:sp macro="" textlink="">
      <xdr:nvSpPr>
        <xdr:cNvPr id="80" name="Rechthoek: afgeronde hoeken 79">
          <a:extLst>
            <a:ext uri="{FF2B5EF4-FFF2-40B4-BE49-F238E27FC236}">
              <a16:creationId xmlns:a16="http://schemas.microsoft.com/office/drawing/2014/main" id="{00000000-0008-0000-0300-000050000000}"/>
            </a:ext>
          </a:extLst>
        </xdr:cNvPr>
        <xdr:cNvSpPr/>
      </xdr:nvSpPr>
      <xdr:spPr>
        <a:xfrm>
          <a:off x="11155794" y="10821855"/>
          <a:ext cx="934890" cy="430066"/>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FDFDFF"/>
              </a:solidFill>
            </a:rPr>
            <a:t>2023</a:t>
          </a:r>
          <a:endParaRPr lang="nl-NL" sz="1800" b="1">
            <a:solidFill>
              <a:srgbClr val="FDFDFF"/>
            </a:solidFill>
          </a:endParaRPr>
        </a:p>
      </xdr:txBody>
    </xdr:sp>
    <xdr:clientData/>
  </xdr:twoCellAnchor>
  <xdr:twoCellAnchor editAs="oneCell">
    <xdr:from>
      <xdr:col>5</xdr:col>
      <xdr:colOff>380997</xdr:colOff>
      <xdr:row>26</xdr:row>
      <xdr:rowOff>138546</xdr:rowOff>
    </xdr:from>
    <xdr:to>
      <xdr:col>6</xdr:col>
      <xdr:colOff>142261</xdr:colOff>
      <xdr:row>29</xdr:row>
      <xdr:rowOff>294727</xdr:rowOff>
    </xdr:to>
    <xdr:pic>
      <xdr:nvPicPr>
        <xdr:cNvPr id="82" name="Afbeelding 81" descr="Meten en sturen op werkelijk energiegebruik met WEii: Werkelijke Energie  intensiteit indicator | TVVL Connect">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7" cstate="print">
          <a:grayscl/>
          <a:extLst>
            <a:ext uri="{BEBA8EAE-BF5A-486C-A8C5-ECC9F3942E4B}">
              <a14:imgProps xmlns:a14="http://schemas.microsoft.com/office/drawing/2010/main">
                <a14:imgLayer r:embed="rId18">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2874815" y="5351319"/>
          <a:ext cx="1334044" cy="74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1004456</xdr:colOff>
      <xdr:row>1</xdr:row>
      <xdr:rowOff>87829</xdr:rowOff>
    </xdr:from>
    <xdr:to>
      <xdr:col>17</xdr:col>
      <xdr:colOff>693965</xdr:colOff>
      <xdr:row>2</xdr:row>
      <xdr:rowOff>34637</xdr:rowOff>
    </xdr:to>
    <xdr:sp macro="[0]!Grafiekwissel_dashboard" textlink="">
      <xdr:nvSpPr>
        <xdr:cNvPr id="64" name="Rechthoek: afgeronde hoeken 63">
          <a:extLst>
            <a:ext uri="{FF2B5EF4-FFF2-40B4-BE49-F238E27FC236}">
              <a16:creationId xmlns:a16="http://schemas.microsoft.com/office/drawing/2014/main" id="{00000000-0008-0000-0300-000040000000}"/>
            </a:ext>
          </a:extLst>
        </xdr:cNvPr>
        <xdr:cNvSpPr/>
      </xdr:nvSpPr>
      <xdr:spPr>
        <a:xfrm>
          <a:off x="10243706" y="278329"/>
          <a:ext cx="1485652" cy="36862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15</xdr:col>
      <xdr:colOff>593272</xdr:colOff>
      <xdr:row>30</xdr:row>
      <xdr:rowOff>1335</xdr:rowOff>
    </xdr:from>
    <xdr:to>
      <xdr:col>17</xdr:col>
      <xdr:colOff>3391</xdr:colOff>
      <xdr:row>31</xdr:row>
      <xdr:rowOff>2897</xdr:rowOff>
    </xdr:to>
    <xdr:sp macro="" textlink="">
      <xdr:nvSpPr>
        <xdr:cNvPr id="2" name="Rechthoekige driehoek 1">
          <a:extLst>
            <a:ext uri="{FF2B5EF4-FFF2-40B4-BE49-F238E27FC236}">
              <a16:creationId xmlns:a16="http://schemas.microsoft.com/office/drawing/2014/main" id="{00000000-0008-0000-0300-000002000000}"/>
            </a:ext>
          </a:extLst>
        </xdr:cNvPr>
        <xdr:cNvSpPr/>
      </xdr:nvSpPr>
      <xdr:spPr>
        <a:xfrm rot="10800000">
          <a:off x="9835243" y="6184421"/>
          <a:ext cx="1135505" cy="295476"/>
        </a:xfrm>
        <a:prstGeom prst="rtTriangle">
          <a:avLst/>
        </a:prstGeom>
        <a:solidFill>
          <a:srgbClr val="62929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23</xdr:col>
      <xdr:colOff>709152</xdr:colOff>
      <xdr:row>45</xdr:row>
      <xdr:rowOff>217816</xdr:rowOff>
    </xdr:from>
    <xdr:to>
      <xdr:col>24</xdr:col>
      <xdr:colOff>128992</xdr:colOff>
      <xdr:row>46</xdr:row>
      <xdr:rowOff>193485</xdr:rowOff>
    </xdr:to>
    <xdr:sp macro="[0]!bestuurlijkakkoord" textlink="">
      <xdr:nvSpPr>
        <xdr:cNvPr id="38" name="Rechthoek: afgeronde hoeken 37">
          <a:extLst>
            <a:ext uri="{FF2B5EF4-FFF2-40B4-BE49-F238E27FC236}">
              <a16:creationId xmlns:a16="http://schemas.microsoft.com/office/drawing/2014/main" id="{780D5DB5-9874-4C8C-B1FD-07B0BC436011}"/>
            </a:ext>
          </a:extLst>
        </xdr:cNvPr>
        <xdr:cNvSpPr/>
      </xdr:nvSpPr>
      <xdr:spPr>
        <a:xfrm>
          <a:off x="16956393" y="12497402"/>
          <a:ext cx="295702" cy="299738"/>
        </a:xfrm>
        <a:prstGeom prst="roundRect">
          <a:avLst>
            <a:gd name="adj" fmla="val 12339"/>
          </a:avLst>
        </a:prstGeom>
        <a:solidFill>
          <a:srgbClr val="FDFD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0" baseline="0">
              <a:solidFill>
                <a:srgbClr val="393D3F"/>
              </a:solidFill>
              <a:latin typeface="Arial Black" panose="020B0A04020102020204" pitchFamily="34" charset="0"/>
            </a:rPr>
            <a:t>V</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150091</xdr:colOff>
      <xdr:row>23</xdr:row>
      <xdr:rowOff>103155</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DF7B71FA-9D1A-41CA-BBBB-9017AA560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311828</xdr:colOff>
      <xdr:row>23</xdr:row>
      <xdr:rowOff>103155</xdr:rowOff>
    </xdr:from>
    <xdr:to>
      <xdr:col>10</xdr:col>
      <xdr:colOff>587622</xdr:colOff>
      <xdr:row>37</xdr:row>
      <xdr:rowOff>215271</xdr:rowOff>
    </xdr:to>
    <xdr:graphicFrame macro="">
      <xdr:nvGraphicFramePr>
        <xdr:cNvPr id="3" name="Grafiek 2">
          <a:extLst>
            <a:ext uri="{FF2B5EF4-FFF2-40B4-BE49-F238E27FC236}">
              <a16:creationId xmlns:a16="http://schemas.microsoft.com/office/drawing/2014/main" id="{7F0B27B6-F5A8-4C70-92EA-AF5BA8C43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109505</xdr:rowOff>
    </xdr:from>
    <xdr:to>
      <xdr:col>27</xdr:col>
      <xdr:colOff>712025</xdr:colOff>
      <xdr:row>22</xdr:row>
      <xdr:rowOff>37632</xdr:rowOff>
    </xdr:to>
    <xdr:graphicFrame macro="">
      <xdr:nvGraphicFramePr>
        <xdr:cNvPr id="4" name="Grafiek 3">
          <a:extLst>
            <a:ext uri="{FF2B5EF4-FFF2-40B4-BE49-F238E27FC236}">
              <a16:creationId xmlns:a16="http://schemas.microsoft.com/office/drawing/2014/main" id="{290FEFD7-9CE1-4AAD-81DB-188E360A3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0E6073B8-77FD-4AD8-9FB5-998D56CC7CD6}"/>
            </a:ext>
          </a:extLst>
        </xdr:cNvPr>
        <xdr:cNvSpPr/>
      </xdr:nvSpPr>
      <xdr:spPr>
        <a:xfrm>
          <a:off x="545029" y="60874275"/>
          <a:ext cx="2005197" cy="421696"/>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EBB4DE83-1889-4AF3-8EC8-4996E84E4E25}"/>
            </a:ext>
          </a:extLst>
        </xdr:cNvPr>
        <xdr:cNvSpPr/>
      </xdr:nvSpPr>
      <xdr:spPr>
        <a:xfrm>
          <a:off x="14881081" y="59664600"/>
          <a:ext cx="2242147" cy="443593"/>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FFE03D4F-F665-4CBE-80CD-B80A0B476957}"/>
            </a:ext>
          </a:extLst>
        </xdr:cNvPr>
        <xdr:cNvSpPr>
          <a:spLocks/>
        </xdr:cNvSpPr>
      </xdr:nvSpPr>
      <xdr:spPr>
        <a:xfrm>
          <a:off x="629517" y="11780387"/>
          <a:ext cx="33377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429203</xdr:colOff>
      <xdr:row>28</xdr:row>
      <xdr:rowOff>65586</xdr:rowOff>
    </xdr:to>
    <xdr:sp macro="" textlink="">
      <xdr:nvSpPr>
        <xdr:cNvPr id="8" name="Rechthoek: afgeronde hoeken 7">
          <a:extLst>
            <a:ext uri="{FF2B5EF4-FFF2-40B4-BE49-F238E27FC236}">
              <a16:creationId xmlns:a16="http://schemas.microsoft.com/office/drawing/2014/main" id="{AB24FC41-03CC-4402-9BBA-7FA4F0EE14F8}"/>
            </a:ext>
          </a:extLst>
        </xdr:cNvPr>
        <xdr:cNvSpPr/>
      </xdr:nvSpPr>
      <xdr:spPr>
        <a:xfrm>
          <a:off x="17699182" y="6847431"/>
          <a:ext cx="361199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845622</xdr:colOff>
      <xdr:row>4</xdr:row>
      <xdr:rowOff>109503</xdr:rowOff>
    </xdr:from>
    <xdr:to>
      <xdr:col>57</xdr:col>
      <xdr:colOff>831273</xdr:colOff>
      <xdr:row>22</xdr:row>
      <xdr:rowOff>37632</xdr:rowOff>
    </xdr:to>
    <xdr:graphicFrame macro="">
      <xdr:nvGraphicFramePr>
        <xdr:cNvPr id="9" name="Grafiek 8">
          <a:extLst>
            <a:ext uri="{FF2B5EF4-FFF2-40B4-BE49-F238E27FC236}">
              <a16:creationId xmlns:a16="http://schemas.microsoft.com/office/drawing/2014/main" id="{ED2C5380-CB3D-4463-9287-167BB79CE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161322</xdr:colOff>
      <xdr:row>4</xdr:row>
      <xdr:rowOff>87136</xdr:rowOff>
    </xdr:from>
    <xdr:to>
      <xdr:col>93</xdr:col>
      <xdr:colOff>744681</xdr:colOff>
      <xdr:row>22</xdr:row>
      <xdr:rowOff>45425</xdr:rowOff>
    </xdr:to>
    <xdr:graphicFrame macro="">
      <xdr:nvGraphicFramePr>
        <xdr:cNvPr id="10" name="Grafiek 9">
          <a:extLst>
            <a:ext uri="{FF2B5EF4-FFF2-40B4-BE49-F238E27FC236}">
              <a16:creationId xmlns:a16="http://schemas.microsoft.com/office/drawing/2014/main" id="{F7D28567-9B64-408C-BA19-60B09C807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274107</xdr:colOff>
      <xdr:row>4</xdr:row>
      <xdr:rowOff>109506</xdr:rowOff>
    </xdr:from>
    <xdr:to>
      <xdr:col>16</xdr:col>
      <xdr:colOff>255401</xdr:colOff>
      <xdr:row>22</xdr:row>
      <xdr:rowOff>37632</xdr:rowOff>
    </xdr:to>
    <xdr:graphicFrame macro="">
      <xdr:nvGraphicFramePr>
        <xdr:cNvPr id="11" name="Grafiek 10">
          <a:extLst>
            <a:ext uri="{FF2B5EF4-FFF2-40B4-BE49-F238E27FC236}">
              <a16:creationId xmlns:a16="http://schemas.microsoft.com/office/drawing/2014/main" id="{06A3659C-D81F-48E1-8984-7A184B3AB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2FE03773-7511-440D-A707-A2BFAC0A9FC4}"/>
            </a:ext>
          </a:extLst>
        </xdr:cNvPr>
        <xdr:cNvSpPr/>
      </xdr:nvSpPr>
      <xdr:spPr>
        <a:xfrm>
          <a:off x="36675731" y="10563225"/>
          <a:ext cx="0"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23225F06-C912-4C38-B6E5-209514563E4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4918650" y="573873"/>
          <a:ext cx="1503471"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976CF353-023A-4CF3-A0DD-B527190CA88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3614590" y="433822"/>
          <a:ext cx="1246910" cy="56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11174</xdr:colOff>
      <xdr:row>36</xdr:row>
      <xdr:rowOff>145610</xdr:rowOff>
    </xdr:from>
    <xdr:to>
      <xdr:col>16</xdr:col>
      <xdr:colOff>102175</xdr:colOff>
      <xdr:row>37</xdr:row>
      <xdr:rowOff>73038</xdr:rowOff>
    </xdr:to>
    <xdr:sp macro="" textlink="CO2reductieperc_2050">
      <xdr:nvSpPr>
        <xdr:cNvPr id="15" name="Rechthoek: afgeronde hoeken 14">
          <a:extLst>
            <a:ext uri="{FF2B5EF4-FFF2-40B4-BE49-F238E27FC236}">
              <a16:creationId xmlns:a16="http://schemas.microsoft.com/office/drawing/2014/main" id="{FE557B41-B8DD-443C-87B1-7DC506B52258}"/>
            </a:ext>
          </a:extLst>
        </xdr:cNvPr>
        <xdr:cNvSpPr/>
      </xdr:nvSpPr>
      <xdr:spPr>
        <a:xfrm>
          <a:off x="16321149" y="9746810"/>
          <a:ext cx="926026" cy="279853"/>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0%</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99015</xdr:rowOff>
    </xdr:from>
    <xdr:to>
      <xdr:col>13</xdr:col>
      <xdr:colOff>59251</xdr:colOff>
      <xdr:row>37</xdr:row>
      <xdr:rowOff>139298</xdr:rowOff>
    </xdr:to>
    <xdr:sp macro="" textlink="">
      <xdr:nvSpPr>
        <xdr:cNvPr id="16" name="Rechthoek: afgeronde hoeken 15">
          <a:extLst>
            <a:ext uri="{FF2B5EF4-FFF2-40B4-BE49-F238E27FC236}">
              <a16:creationId xmlns:a16="http://schemas.microsoft.com/office/drawing/2014/main" id="{943BAAC2-13E2-4880-9BAF-E764CC3F92C7}"/>
            </a:ext>
          </a:extLst>
        </xdr:cNvPr>
        <xdr:cNvSpPr/>
      </xdr:nvSpPr>
      <xdr:spPr>
        <a:xfrm>
          <a:off x="13009869" y="9706565"/>
          <a:ext cx="1848057" cy="3863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847433</xdr:colOff>
      <xdr:row>36</xdr:row>
      <xdr:rowOff>118974</xdr:rowOff>
    </xdr:from>
    <xdr:to>
      <xdr:col>15</xdr:col>
      <xdr:colOff>190169</xdr:colOff>
      <xdr:row>37</xdr:row>
      <xdr:rowOff>121090</xdr:rowOff>
    </xdr:to>
    <xdr:sp macro="" textlink="">
      <xdr:nvSpPr>
        <xdr:cNvPr id="17" name="Rechthoek: afgeronde hoeken 16">
          <a:extLst>
            <a:ext uri="{FF2B5EF4-FFF2-40B4-BE49-F238E27FC236}">
              <a16:creationId xmlns:a16="http://schemas.microsoft.com/office/drawing/2014/main" id="{E7AFBBEB-E5CB-4F90-864D-3B3E58E8D9F7}"/>
            </a:ext>
          </a:extLst>
        </xdr:cNvPr>
        <xdr:cNvSpPr/>
      </xdr:nvSpPr>
      <xdr:spPr>
        <a:xfrm>
          <a:off x="15639758" y="9726524"/>
          <a:ext cx="857211"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166104</xdr:rowOff>
    </xdr:from>
    <xdr:to>
      <xdr:col>13</xdr:col>
      <xdr:colOff>849125</xdr:colOff>
      <xdr:row>37</xdr:row>
      <xdr:rowOff>80830</xdr:rowOff>
    </xdr:to>
    <xdr:sp macro="" textlink="CO2reductieperc_2030">
      <xdr:nvSpPr>
        <xdr:cNvPr id="18" name="Rechthoek: afgeronde hoeken 17">
          <a:extLst>
            <a:ext uri="{FF2B5EF4-FFF2-40B4-BE49-F238E27FC236}">
              <a16:creationId xmlns:a16="http://schemas.microsoft.com/office/drawing/2014/main" id="{B0755201-E146-49F3-9F31-3DF4B206FB06}"/>
            </a:ext>
          </a:extLst>
        </xdr:cNvPr>
        <xdr:cNvSpPr/>
      </xdr:nvSpPr>
      <xdr:spPr>
        <a:xfrm>
          <a:off x="14641325" y="9764129"/>
          <a:ext cx="981075" cy="27985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0%</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0402E18F-D8B3-45DB-9BA4-242E4CF53EC0}"/>
            </a:ext>
          </a:extLst>
        </xdr:cNvPr>
        <xdr:cNvSpPr/>
      </xdr:nvSpPr>
      <xdr:spPr>
        <a:xfrm>
          <a:off x="6703003" y="12509789"/>
          <a:ext cx="2762249"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9B3B9508-F18C-4147-9886-F730D4F75FAE}"/>
            </a:ext>
          </a:extLst>
        </xdr:cNvPr>
        <xdr:cNvSpPr/>
      </xdr:nvSpPr>
      <xdr:spPr>
        <a:xfrm>
          <a:off x="6703001" y="11609242"/>
          <a:ext cx="2744932" cy="39831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5F4CAABD-12AA-4178-864A-919516C6AE1D}"/>
            </a:ext>
          </a:extLst>
        </xdr:cNvPr>
        <xdr:cNvSpPr/>
      </xdr:nvSpPr>
      <xdr:spPr>
        <a:xfrm>
          <a:off x="6699539" y="12059516"/>
          <a:ext cx="2748394"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8432</xdr:colOff>
      <xdr:row>2</xdr:row>
      <xdr:rowOff>144896</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F9E65106-FDD4-4307-8A81-AA5F47F7BA62}"/>
            </a:ext>
          </a:extLst>
        </xdr:cNvPr>
        <xdr:cNvSpPr/>
      </xdr:nvSpPr>
      <xdr:spPr>
        <a:xfrm>
          <a:off x="7634782" y="1100571"/>
          <a:ext cx="4930012" cy="502767"/>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3CB099BF-02F1-47A3-A45F-0D781BE6FE74}"/>
            </a:ext>
          </a:extLst>
        </xdr:cNvPr>
        <xdr:cNvSpPr/>
      </xdr:nvSpPr>
      <xdr:spPr>
        <a:xfrm>
          <a:off x="594880" y="10719089"/>
          <a:ext cx="1558636" cy="45633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0A69392D-3FB1-4BCF-8406-A71C84E364E0}"/>
            </a:ext>
          </a:extLst>
        </xdr:cNvPr>
        <xdr:cNvSpPr/>
      </xdr:nvSpPr>
      <xdr:spPr>
        <a:xfrm>
          <a:off x="566306" y="63341371"/>
          <a:ext cx="20531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7B94419E-25D2-4281-AFA7-FD05C3BC3D89}"/>
            </a:ext>
          </a:extLst>
        </xdr:cNvPr>
        <xdr:cNvSpPr/>
      </xdr:nvSpPr>
      <xdr:spPr>
        <a:xfrm>
          <a:off x="546886" y="64940210"/>
          <a:ext cx="27444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FA032D0C-E051-476D-B238-3D556833BFE6}"/>
            </a:ext>
          </a:extLst>
        </xdr:cNvPr>
        <xdr:cNvSpPr/>
      </xdr:nvSpPr>
      <xdr:spPr>
        <a:xfrm>
          <a:off x="545205" y="66712489"/>
          <a:ext cx="2181186" cy="48378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D4AFE5E4-6863-47CD-B493-4AC7B37A39C9}"/>
            </a:ext>
          </a:extLst>
        </xdr:cNvPr>
        <xdr:cNvSpPr/>
      </xdr:nvSpPr>
      <xdr:spPr>
        <a:xfrm>
          <a:off x="552948" y="68470896"/>
          <a:ext cx="2060365" cy="46585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AFDCB2E8-87DC-4C83-B61B-8EAFE6F8D479}"/>
            </a:ext>
          </a:extLst>
        </xdr:cNvPr>
        <xdr:cNvSpPr/>
      </xdr:nvSpPr>
      <xdr:spPr>
        <a:xfrm>
          <a:off x="544605" y="70078889"/>
          <a:ext cx="3739963" cy="45200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4B0CFE8D-0604-486C-9335-C83EC49682F3}"/>
            </a:ext>
          </a:extLst>
        </xdr:cNvPr>
        <xdr:cNvSpPr/>
      </xdr:nvSpPr>
      <xdr:spPr>
        <a:xfrm>
          <a:off x="3191741" y="10754013"/>
          <a:ext cx="2978727" cy="8255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227DE16E-552C-4B6C-9EC4-7768F16C08F5}"/>
            </a:ext>
          </a:extLst>
        </xdr:cNvPr>
        <xdr:cNvSpPr/>
      </xdr:nvSpPr>
      <xdr:spPr>
        <a:xfrm>
          <a:off x="6114184" y="10719088"/>
          <a:ext cx="3316433"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944048F8-FB40-41B5-A3D3-FD161B702A60}"/>
            </a:ext>
          </a:extLst>
        </xdr:cNvPr>
        <xdr:cNvSpPr/>
      </xdr:nvSpPr>
      <xdr:spPr>
        <a:xfrm>
          <a:off x="6218092" y="59664600"/>
          <a:ext cx="3299115"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E003DF62-A7A9-4F01-BF64-C52DB01470B1}"/>
            </a:ext>
          </a:extLst>
        </xdr:cNvPr>
        <xdr:cNvSpPr/>
      </xdr:nvSpPr>
      <xdr:spPr>
        <a:xfrm>
          <a:off x="17584964" y="408668"/>
          <a:ext cx="1491548" cy="359558"/>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244931</xdr:colOff>
      <xdr:row>3</xdr:row>
      <xdr:rowOff>244928</xdr:rowOff>
    </xdr:from>
    <xdr:to>
      <xdr:col>16</xdr:col>
      <xdr:colOff>54429</xdr:colOff>
      <xdr:row>5</xdr:row>
      <xdr:rowOff>122463</xdr:rowOff>
    </xdr:to>
    <xdr:sp macro="" textlink="">
      <xdr:nvSpPr>
        <xdr:cNvPr id="12" name="Rechthoek: afgeronde hoeken 11">
          <a:extLst>
            <a:ext uri="{FF2B5EF4-FFF2-40B4-BE49-F238E27FC236}">
              <a16:creationId xmlns:a16="http://schemas.microsoft.com/office/drawing/2014/main" id="{00000000-0008-0000-0400-00000C000000}"/>
            </a:ext>
          </a:extLst>
        </xdr:cNvPr>
        <xdr:cNvSpPr/>
      </xdr:nvSpPr>
      <xdr:spPr>
        <a:xfrm>
          <a:off x="10150931" y="925285"/>
          <a:ext cx="3184069" cy="421821"/>
        </a:xfrm>
        <a:prstGeom prst="roundRect">
          <a:avLst>
            <a:gd name="adj" fmla="val 24936"/>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Bestaande</a:t>
          </a:r>
          <a:r>
            <a:rPr lang="nl-NL" sz="2400" b="1" baseline="0">
              <a:solidFill>
                <a:srgbClr val="FDFDFF"/>
              </a:solidFill>
            </a:rPr>
            <a:t> gebruiker</a:t>
          </a:r>
          <a:endParaRPr lang="nl-NL" sz="2400" b="1">
            <a:solidFill>
              <a:srgbClr val="FDFDFF"/>
            </a:solidFill>
          </a:endParaRPr>
        </a:p>
      </xdr:txBody>
    </xdr:sp>
    <xdr:clientData/>
  </xdr:twoCellAnchor>
  <xdr:twoCellAnchor>
    <xdr:from>
      <xdr:col>6</xdr:col>
      <xdr:colOff>84365</xdr:colOff>
      <xdr:row>3</xdr:row>
      <xdr:rowOff>242208</xdr:rowOff>
    </xdr:from>
    <xdr:to>
      <xdr:col>6</xdr:col>
      <xdr:colOff>2884715</xdr:colOff>
      <xdr:row>5</xdr:row>
      <xdr:rowOff>108857</xdr:rowOff>
    </xdr:to>
    <xdr:sp macro="" textlink="">
      <xdr:nvSpPr>
        <xdr:cNvPr id="13" name="Rechthoek: afgeronde hoeken 12">
          <a:extLst>
            <a:ext uri="{FF2B5EF4-FFF2-40B4-BE49-F238E27FC236}">
              <a16:creationId xmlns:a16="http://schemas.microsoft.com/office/drawing/2014/main" id="{00000000-0008-0000-0400-00000D000000}"/>
            </a:ext>
          </a:extLst>
        </xdr:cNvPr>
        <xdr:cNvSpPr/>
      </xdr:nvSpPr>
      <xdr:spPr>
        <a:xfrm>
          <a:off x="3050722" y="922565"/>
          <a:ext cx="2800350" cy="410935"/>
        </a:xfrm>
        <a:prstGeom prst="roundRect">
          <a:avLst>
            <a:gd name="adj" fmla="val 24936"/>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Nieuwe gebruiker</a:t>
          </a:r>
        </a:p>
      </xdr:txBody>
    </xdr:sp>
    <xdr:clientData/>
  </xdr:twoCellAnchor>
  <xdr:twoCellAnchor>
    <xdr:from>
      <xdr:col>6</xdr:col>
      <xdr:colOff>136073</xdr:colOff>
      <xdr:row>18</xdr:row>
      <xdr:rowOff>43542</xdr:rowOff>
    </xdr:from>
    <xdr:to>
      <xdr:col>10</xdr:col>
      <xdr:colOff>227134</xdr:colOff>
      <xdr:row>20</xdr:row>
      <xdr:rowOff>34636</xdr:rowOff>
    </xdr:to>
    <xdr:sp macro="" textlink="">
      <xdr:nvSpPr>
        <xdr:cNvPr id="14" name="Rechthoek: afgeronde hoeken 13">
          <a:extLst>
            <a:ext uri="{FF2B5EF4-FFF2-40B4-BE49-F238E27FC236}">
              <a16:creationId xmlns:a16="http://schemas.microsoft.com/office/drawing/2014/main" id="{00000000-0008-0000-0400-00000E000000}"/>
            </a:ext>
          </a:extLst>
        </xdr:cNvPr>
        <xdr:cNvSpPr/>
      </xdr:nvSpPr>
      <xdr:spPr>
        <a:xfrm>
          <a:off x="3096150" y="4483657"/>
          <a:ext cx="5820715" cy="474671"/>
        </a:xfrm>
        <a:prstGeom prst="roundRect">
          <a:avLst>
            <a:gd name="adj" fmla="val 13619"/>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393D3F"/>
              </a:solidFill>
            </a:rPr>
            <a:t>Samenvatting</a:t>
          </a:r>
          <a:r>
            <a:rPr lang="nl-NL" sz="2400" b="1" baseline="0">
              <a:solidFill>
                <a:srgbClr val="393D3F"/>
              </a:solidFill>
            </a:rPr>
            <a:t> kengetallen alle locaties</a:t>
          </a:r>
          <a:endParaRPr lang="nl-NL" sz="2400" b="1">
            <a:solidFill>
              <a:srgbClr val="393D3F"/>
            </a:solidFill>
          </a:endParaRPr>
        </a:p>
      </xdr:txBody>
    </xdr:sp>
    <xdr:clientData/>
  </xdr:twoCellAnchor>
  <xdr:twoCellAnchor>
    <xdr:from>
      <xdr:col>6</xdr:col>
      <xdr:colOff>138544</xdr:colOff>
      <xdr:row>13</xdr:row>
      <xdr:rowOff>207818</xdr:rowOff>
    </xdr:from>
    <xdr:to>
      <xdr:col>7</xdr:col>
      <xdr:colOff>103909</xdr:colOff>
      <xdr:row>16</xdr:row>
      <xdr:rowOff>-1</xdr:rowOff>
    </xdr:to>
    <xdr:sp macro="[0]!Maak_tabbladen" textlink="">
      <xdr:nvSpPr>
        <xdr:cNvPr id="9" name="Rechthoek: afgeronde hoeken 8">
          <a:extLst>
            <a:ext uri="{FF2B5EF4-FFF2-40B4-BE49-F238E27FC236}">
              <a16:creationId xmlns:a16="http://schemas.microsoft.com/office/drawing/2014/main" id="{00000000-0008-0000-0400-000009000000}"/>
            </a:ext>
          </a:extLst>
        </xdr:cNvPr>
        <xdr:cNvSpPr/>
      </xdr:nvSpPr>
      <xdr:spPr>
        <a:xfrm>
          <a:off x="3065317" y="3290454"/>
          <a:ext cx="2684319" cy="502227"/>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 </a:t>
          </a:r>
          <a:r>
            <a:rPr lang="nl-NL" sz="2000" b="1" baseline="0">
              <a:solidFill>
                <a:srgbClr val="393D3F"/>
              </a:solidFill>
            </a:rPr>
            <a:t>Maak locaties aan</a:t>
          </a:r>
          <a:endParaRPr lang="nl-NL" sz="1600" b="1" baseline="0">
            <a:solidFill>
              <a:srgbClr val="393D3F"/>
            </a:solidFill>
          </a:endParaRPr>
        </a:p>
      </xdr:txBody>
    </xdr:sp>
    <xdr:clientData/>
  </xdr:twoCellAnchor>
  <xdr:twoCellAnchor>
    <xdr:from>
      <xdr:col>12</xdr:col>
      <xdr:colOff>294410</xdr:colOff>
      <xdr:row>13</xdr:row>
      <xdr:rowOff>207820</xdr:rowOff>
    </xdr:from>
    <xdr:to>
      <xdr:col>15</xdr:col>
      <xdr:colOff>831273</xdr:colOff>
      <xdr:row>16</xdr:row>
      <xdr:rowOff>1</xdr:rowOff>
    </xdr:to>
    <xdr:sp macro="[0]!importlijstlocaties" textlink="">
      <xdr:nvSpPr>
        <xdr:cNvPr id="10" name="Rechthoek: afgeronde hoeken 9">
          <a:extLst>
            <a:ext uri="{FF2B5EF4-FFF2-40B4-BE49-F238E27FC236}">
              <a16:creationId xmlns:a16="http://schemas.microsoft.com/office/drawing/2014/main" id="{00000000-0008-0000-0400-00000A000000}"/>
            </a:ext>
          </a:extLst>
        </xdr:cNvPr>
        <xdr:cNvSpPr/>
      </xdr:nvSpPr>
      <xdr:spPr>
        <a:xfrm>
          <a:off x="10893137" y="3290456"/>
          <a:ext cx="3082636" cy="502227"/>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Stap 1: </a:t>
          </a:r>
          <a:r>
            <a:rPr lang="nl-NL" sz="2000" b="0" baseline="0">
              <a:solidFill>
                <a:srgbClr val="393D3F"/>
              </a:solidFill>
            </a:rPr>
            <a:t> Maak locaties aan</a:t>
          </a:r>
          <a:endParaRPr lang="nl-NL" sz="1600" b="0" baseline="0">
            <a:solidFill>
              <a:srgbClr val="393D3F"/>
            </a:solidFill>
          </a:endParaRPr>
        </a:p>
      </xdr:txBody>
    </xdr:sp>
    <xdr:clientData/>
  </xdr:twoCellAnchor>
  <xdr:twoCellAnchor>
    <xdr:from>
      <xdr:col>16</xdr:col>
      <xdr:colOff>152401</xdr:colOff>
      <xdr:row>13</xdr:row>
      <xdr:rowOff>204356</xdr:rowOff>
    </xdr:from>
    <xdr:to>
      <xdr:col>19</xdr:col>
      <xdr:colOff>689264</xdr:colOff>
      <xdr:row>15</xdr:row>
      <xdr:rowOff>238992</xdr:rowOff>
    </xdr:to>
    <xdr:sp macro="[0]!importgegevens" textlink="">
      <xdr:nvSpPr>
        <xdr:cNvPr id="11" name="Rechthoek: afgeronde hoeken 10">
          <a:extLst>
            <a:ext uri="{FF2B5EF4-FFF2-40B4-BE49-F238E27FC236}">
              <a16:creationId xmlns:a16="http://schemas.microsoft.com/office/drawing/2014/main" id="{00000000-0008-0000-0400-00000B000000}"/>
            </a:ext>
          </a:extLst>
        </xdr:cNvPr>
        <xdr:cNvSpPr/>
      </xdr:nvSpPr>
      <xdr:spPr>
        <a:xfrm>
          <a:off x="14145492" y="3286992"/>
          <a:ext cx="3082636" cy="502227"/>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Stap 2: </a:t>
          </a:r>
          <a:r>
            <a:rPr lang="nl-NL" sz="2000" b="0" baseline="0">
              <a:solidFill>
                <a:srgbClr val="393D3F"/>
              </a:solidFill>
            </a:rPr>
            <a:t>Importeer data</a:t>
          </a:r>
          <a:endParaRPr lang="nl-NL" sz="1600" b="0" baseline="0">
            <a:solidFill>
              <a:srgbClr val="393D3F"/>
            </a:solidFill>
          </a:endParaRPr>
        </a:p>
      </xdr:txBody>
    </xdr:sp>
    <xdr:clientData/>
  </xdr:twoCellAnchor>
  <xdr:twoCellAnchor>
    <xdr:from>
      <xdr:col>16</xdr:col>
      <xdr:colOff>562081</xdr:colOff>
      <xdr:row>18</xdr:row>
      <xdr:rowOff>221519</xdr:rowOff>
    </xdr:from>
    <xdr:to>
      <xdr:col>19</xdr:col>
      <xdr:colOff>684544</xdr:colOff>
      <xdr:row>20</xdr:row>
      <xdr:rowOff>142352</xdr:rowOff>
    </xdr:to>
    <xdr:sp macro="[0]!InUitvouwen" textlink="">
      <xdr:nvSpPr>
        <xdr:cNvPr id="15" name="Rechthoek: afgeronde hoeken 14">
          <a:extLst>
            <a:ext uri="{FF2B5EF4-FFF2-40B4-BE49-F238E27FC236}">
              <a16:creationId xmlns:a16="http://schemas.microsoft.com/office/drawing/2014/main" id="{00000000-0008-0000-0400-00000F000000}"/>
            </a:ext>
          </a:extLst>
        </xdr:cNvPr>
        <xdr:cNvSpPr/>
      </xdr:nvSpPr>
      <xdr:spPr>
        <a:xfrm>
          <a:off x="14351350" y="4661634"/>
          <a:ext cx="2672232" cy="40441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Vouw jaren na 2030 open/dicht</a:t>
          </a:r>
          <a:endParaRPr lang="nl-NL" sz="1050" b="1" baseline="0">
            <a:solidFill>
              <a:srgbClr val="393D3F"/>
            </a:solidFill>
          </a:endParaRPr>
        </a:p>
      </xdr:txBody>
    </xdr:sp>
    <xdr:clientData/>
  </xdr:twoCellAnchor>
  <xdr:twoCellAnchor>
    <xdr:from>
      <xdr:col>16</xdr:col>
      <xdr:colOff>642258</xdr:colOff>
      <xdr:row>54</xdr:row>
      <xdr:rowOff>81889</xdr:rowOff>
    </xdr:from>
    <xdr:to>
      <xdr:col>19</xdr:col>
      <xdr:colOff>764721</xdr:colOff>
      <xdr:row>54</xdr:row>
      <xdr:rowOff>492579</xdr:rowOff>
    </xdr:to>
    <xdr:sp macro="[0]!InUitvouwen" textlink="">
      <xdr:nvSpPr>
        <xdr:cNvPr id="16" name="Rechthoek: afgeronde hoeken 15">
          <a:extLst>
            <a:ext uri="{FF2B5EF4-FFF2-40B4-BE49-F238E27FC236}">
              <a16:creationId xmlns:a16="http://schemas.microsoft.com/office/drawing/2014/main" id="{00000000-0008-0000-0400-000010000000}"/>
            </a:ext>
          </a:extLst>
        </xdr:cNvPr>
        <xdr:cNvSpPr/>
      </xdr:nvSpPr>
      <xdr:spPr>
        <a:xfrm>
          <a:off x="14385472" y="13267210"/>
          <a:ext cx="2653392" cy="41069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rgbClr val="393D3F"/>
              </a:solidFill>
            </a:rPr>
            <a:t>Vouw jaren na 2030 open/dicht</a:t>
          </a:r>
          <a:endParaRPr lang="nl-NL" sz="1050" b="1" baseline="0">
            <a:solidFill>
              <a:srgbClr val="393D3F"/>
            </a:solidFill>
          </a:endParaRPr>
        </a:p>
      </xdr:txBody>
    </xdr:sp>
    <xdr:clientData/>
  </xdr:twoCellAnchor>
  <xdr:twoCellAnchor>
    <xdr:from>
      <xdr:col>24</xdr:col>
      <xdr:colOff>54429</xdr:colOff>
      <xdr:row>7</xdr:row>
      <xdr:rowOff>170956</xdr:rowOff>
    </xdr:from>
    <xdr:to>
      <xdr:col>36</xdr:col>
      <xdr:colOff>40822</xdr:colOff>
      <xdr:row>10</xdr:row>
      <xdr:rowOff>0</xdr:rowOff>
    </xdr:to>
    <xdr:sp macro="[0]!uitleg_na_import" textlink="">
      <xdr:nvSpPr>
        <xdr:cNvPr id="17" name="Rechthoek: afgeronde hoeken 16" hidden="1">
          <a:extLst>
            <a:ext uri="{FF2B5EF4-FFF2-40B4-BE49-F238E27FC236}">
              <a16:creationId xmlns:a16="http://schemas.microsoft.com/office/drawing/2014/main" id="{00000000-0008-0000-0400-000011000000}"/>
            </a:ext>
          </a:extLst>
        </xdr:cNvPr>
        <xdr:cNvSpPr/>
      </xdr:nvSpPr>
      <xdr:spPr>
        <a:xfrm>
          <a:off x="17607643" y="1912670"/>
          <a:ext cx="3497036" cy="56383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baseline="0">
              <a:solidFill>
                <a:srgbClr val="393D3F"/>
              </a:solidFill>
            </a:rPr>
            <a:t>Wat moet ik doen na de import? </a:t>
          </a:r>
          <a:endParaRPr lang="nl-NL" sz="1200" b="0" baseline="0">
            <a:solidFill>
              <a:srgbClr val="393D3F"/>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165763</xdr:colOff>
      <xdr:row>17</xdr:row>
      <xdr:rowOff>79169</xdr:rowOff>
    </xdr:from>
    <xdr:to>
      <xdr:col>6</xdr:col>
      <xdr:colOff>207818</xdr:colOff>
      <xdr:row>19</xdr:row>
      <xdr:rowOff>24740</xdr:rowOff>
    </xdr:to>
    <xdr:sp macro="" textlink="">
      <xdr:nvSpPr>
        <xdr:cNvPr id="2" name="Rechthoek: afgeronde hoeken 1">
          <a:extLst>
            <a:ext uri="{FF2B5EF4-FFF2-40B4-BE49-F238E27FC236}">
              <a16:creationId xmlns:a16="http://schemas.microsoft.com/office/drawing/2014/main" id="{00000000-0008-0000-0600-000002000000}"/>
            </a:ext>
          </a:extLst>
        </xdr:cNvPr>
        <xdr:cNvSpPr/>
      </xdr:nvSpPr>
      <xdr:spPr>
        <a:xfrm>
          <a:off x="581399" y="5222669"/>
          <a:ext cx="5687783" cy="534389"/>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400" b="1">
              <a:solidFill>
                <a:srgbClr val="393D3F"/>
              </a:solidFill>
            </a:rPr>
            <a:t>UITGANGSPUNTEN</a:t>
          </a:r>
          <a:r>
            <a:rPr lang="nl-NL" sz="2400" b="1" baseline="0">
              <a:solidFill>
                <a:srgbClr val="393D3F"/>
              </a:solidFill>
            </a:rPr>
            <a:t> ENERGIEVRAAG</a:t>
          </a:r>
          <a:endParaRPr lang="nl-NL" sz="2400" b="1">
            <a:solidFill>
              <a:srgbClr val="393D3F"/>
            </a:solidFill>
          </a:endParaRPr>
        </a:p>
      </xdr:txBody>
    </xdr:sp>
    <xdr:clientData/>
  </xdr:twoCellAnchor>
  <xdr:twoCellAnchor>
    <xdr:from>
      <xdr:col>8</xdr:col>
      <xdr:colOff>313140</xdr:colOff>
      <xdr:row>17</xdr:row>
      <xdr:rowOff>52089</xdr:rowOff>
    </xdr:from>
    <xdr:to>
      <xdr:col>16</xdr:col>
      <xdr:colOff>207818</xdr:colOff>
      <xdr:row>19</xdr:row>
      <xdr:rowOff>4876</xdr:rowOff>
    </xdr:to>
    <xdr:sp macro="" textlink="">
      <xdr:nvSpPr>
        <xdr:cNvPr id="4" name="Rechthoek: afgeronde hoeken 3">
          <a:extLst>
            <a:ext uri="{FF2B5EF4-FFF2-40B4-BE49-F238E27FC236}">
              <a16:creationId xmlns:a16="http://schemas.microsoft.com/office/drawing/2014/main" id="{00000000-0008-0000-0600-000004000000}"/>
            </a:ext>
          </a:extLst>
        </xdr:cNvPr>
        <xdr:cNvSpPr/>
      </xdr:nvSpPr>
      <xdr:spPr>
        <a:xfrm>
          <a:off x="8158276" y="5195589"/>
          <a:ext cx="6683406" cy="541605"/>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400" b="1">
              <a:solidFill>
                <a:srgbClr val="393D3F"/>
              </a:solidFill>
            </a:rPr>
            <a:t>UITGANGSPUNTEN</a:t>
          </a:r>
          <a:r>
            <a:rPr lang="nl-NL" sz="2400" b="1" baseline="0">
              <a:solidFill>
                <a:srgbClr val="393D3F"/>
              </a:solidFill>
            </a:rPr>
            <a:t> CO2-EMISSIES BOUW</a:t>
          </a:r>
          <a:endParaRPr lang="nl-NL" sz="2400" b="1">
            <a:solidFill>
              <a:srgbClr val="393D3F"/>
            </a:solidFill>
          </a:endParaRPr>
        </a:p>
      </xdr:txBody>
    </xdr:sp>
    <xdr:clientData/>
  </xdr:twoCellAnchor>
  <xdr:twoCellAnchor>
    <xdr:from>
      <xdr:col>8</xdr:col>
      <xdr:colOff>311727</xdr:colOff>
      <xdr:row>4</xdr:row>
      <xdr:rowOff>56902</xdr:rowOff>
    </xdr:from>
    <xdr:to>
      <xdr:col>16</xdr:col>
      <xdr:colOff>519546</xdr:colOff>
      <xdr:row>16</xdr:row>
      <xdr:rowOff>76695</xdr:rowOff>
    </xdr:to>
    <xdr:graphicFrame macro="">
      <xdr:nvGraphicFramePr>
        <xdr:cNvPr id="7" name="Grafiek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173181</xdr:colOff>
      <xdr:row>4</xdr:row>
      <xdr:rowOff>53193</xdr:rowOff>
    </xdr:from>
    <xdr:to>
      <xdr:col>8</xdr:col>
      <xdr:colOff>86590</xdr:colOff>
      <xdr:row>16</xdr:row>
      <xdr:rowOff>94014</xdr:rowOff>
    </xdr:to>
    <xdr:graphicFrame macro="">
      <xdr:nvGraphicFramePr>
        <xdr:cNvPr id="9" name="Grafiek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398317</xdr:colOff>
      <xdr:row>4</xdr:row>
      <xdr:rowOff>75457</xdr:rowOff>
    </xdr:from>
    <xdr:to>
      <xdr:col>22</xdr:col>
      <xdr:colOff>796635</xdr:colOff>
      <xdr:row>5</xdr:row>
      <xdr:rowOff>269875</xdr:rowOff>
    </xdr:to>
    <xdr:sp macro="" textlink="">
      <xdr:nvSpPr>
        <xdr:cNvPr id="10" name="Rechthoek: afgeronde hoeken 9">
          <a:extLst>
            <a:ext uri="{FF2B5EF4-FFF2-40B4-BE49-F238E27FC236}">
              <a16:creationId xmlns:a16="http://schemas.microsoft.com/office/drawing/2014/main" id="{00000000-0008-0000-0600-00000A000000}"/>
            </a:ext>
          </a:extLst>
        </xdr:cNvPr>
        <xdr:cNvSpPr/>
      </xdr:nvSpPr>
      <xdr:spPr>
        <a:xfrm>
          <a:off x="15971692" y="1424832"/>
          <a:ext cx="4684568" cy="496043"/>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400" b="1">
              <a:solidFill>
                <a:srgbClr val="393D3F"/>
              </a:solidFill>
            </a:rPr>
            <a:t>NIEUWBOUWPLANNER</a:t>
          </a:r>
        </a:p>
      </xdr:txBody>
    </xdr:sp>
    <xdr:clientData/>
  </xdr:twoCellAnchor>
  <xdr:twoCellAnchor>
    <xdr:from>
      <xdr:col>8</xdr:col>
      <xdr:colOff>322985</xdr:colOff>
      <xdr:row>27</xdr:row>
      <xdr:rowOff>216190</xdr:rowOff>
    </xdr:from>
    <xdr:to>
      <xdr:col>11</xdr:col>
      <xdr:colOff>83006</xdr:colOff>
      <xdr:row>30</xdr:row>
      <xdr:rowOff>19628</xdr:rowOff>
    </xdr:to>
    <xdr:sp macro="[0]!Tooninvuluitlegnieuwbouw" textlink="">
      <xdr:nvSpPr>
        <xdr:cNvPr id="11" name="Rechthoek: afgeronde hoeken 10">
          <a:extLst>
            <a:ext uri="{FF2B5EF4-FFF2-40B4-BE49-F238E27FC236}">
              <a16:creationId xmlns:a16="http://schemas.microsoft.com/office/drawing/2014/main" id="{00000000-0008-0000-0600-00000B000000}"/>
            </a:ext>
          </a:extLst>
        </xdr:cNvPr>
        <xdr:cNvSpPr/>
      </xdr:nvSpPr>
      <xdr:spPr>
        <a:xfrm>
          <a:off x="8168121" y="8303781"/>
          <a:ext cx="2305794" cy="7039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11</xdr:col>
      <xdr:colOff>267278</xdr:colOff>
      <xdr:row>27</xdr:row>
      <xdr:rowOff>200891</xdr:rowOff>
    </xdr:from>
    <xdr:to>
      <xdr:col>16</xdr:col>
      <xdr:colOff>53687</xdr:colOff>
      <xdr:row>30</xdr:row>
      <xdr:rowOff>7504</xdr:rowOff>
    </xdr:to>
    <xdr:sp macro="[0]!Grafiekwissel_8_tot" textlink="">
      <xdr:nvSpPr>
        <xdr:cNvPr id="12" name="Rechthoek: afgeronde hoeken 11">
          <a:extLst>
            <a:ext uri="{FF2B5EF4-FFF2-40B4-BE49-F238E27FC236}">
              <a16:creationId xmlns:a16="http://schemas.microsoft.com/office/drawing/2014/main" id="{00000000-0008-0000-0600-00000C000000}"/>
            </a:ext>
          </a:extLst>
        </xdr:cNvPr>
        <xdr:cNvSpPr/>
      </xdr:nvSpPr>
      <xdr:spPr>
        <a:xfrm>
          <a:off x="10658187" y="8288482"/>
          <a:ext cx="4029364" cy="707158"/>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 grafiek: toon uitgangspunten of totale energievraag</a:t>
          </a:r>
          <a:endParaRPr lang="nl-NL" sz="1400" b="1" baseline="0">
            <a:solidFill>
              <a:srgbClr val="393D3F"/>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11</xdr:col>
      <xdr:colOff>150091</xdr:colOff>
      <xdr:row>23</xdr:row>
      <xdr:rowOff>106330</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DEAA8A6F-C3D4-4EA0-B076-9AD3E6956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315003</xdr:colOff>
      <xdr:row>23</xdr:row>
      <xdr:rowOff>106330</xdr:rowOff>
    </xdr:from>
    <xdr:to>
      <xdr:col>10</xdr:col>
      <xdr:colOff>587622</xdr:colOff>
      <xdr:row>37</xdr:row>
      <xdr:rowOff>218446</xdr:rowOff>
    </xdr:to>
    <xdr:graphicFrame macro="">
      <xdr:nvGraphicFramePr>
        <xdr:cNvPr id="3" name="Grafiek 2">
          <a:extLst>
            <a:ext uri="{FF2B5EF4-FFF2-40B4-BE49-F238E27FC236}">
              <a16:creationId xmlns:a16="http://schemas.microsoft.com/office/drawing/2014/main" id="{93D9AF20-D63C-433D-936B-B43DA7121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106330</xdr:rowOff>
    </xdr:from>
    <xdr:to>
      <xdr:col>27</xdr:col>
      <xdr:colOff>715200</xdr:colOff>
      <xdr:row>22</xdr:row>
      <xdr:rowOff>37632</xdr:rowOff>
    </xdr:to>
    <xdr:graphicFrame macro="">
      <xdr:nvGraphicFramePr>
        <xdr:cNvPr id="4" name="Grafiek 3">
          <a:extLst>
            <a:ext uri="{FF2B5EF4-FFF2-40B4-BE49-F238E27FC236}">
              <a16:creationId xmlns:a16="http://schemas.microsoft.com/office/drawing/2014/main" id="{C80F561A-B3D2-44D3-A357-2C91253BE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FC0F12DA-BF9A-4AB5-B533-DB27841C7781}"/>
            </a:ext>
          </a:extLst>
        </xdr:cNvPr>
        <xdr:cNvSpPr/>
      </xdr:nvSpPr>
      <xdr:spPr>
        <a:xfrm>
          <a:off x="573604" y="60902850"/>
          <a:ext cx="2100447" cy="418521"/>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C09CD51D-0EF7-40EA-8687-9DD63882C6D1}"/>
            </a:ext>
          </a:extLst>
        </xdr:cNvPr>
        <xdr:cNvSpPr/>
      </xdr:nvSpPr>
      <xdr:spPr>
        <a:xfrm>
          <a:off x="15566881" y="59693175"/>
          <a:ext cx="2308822" cy="446768"/>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63D14F6B-B0E2-4C00-9F96-FC045A0CDC41}"/>
            </a:ext>
          </a:extLst>
        </xdr:cNvPr>
        <xdr:cNvSpPr>
          <a:spLocks/>
        </xdr:cNvSpPr>
      </xdr:nvSpPr>
      <xdr:spPr>
        <a:xfrm>
          <a:off x="654917" y="11808962"/>
          <a:ext cx="34520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426028</xdr:colOff>
      <xdr:row>28</xdr:row>
      <xdr:rowOff>68761</xdr:rowOff>
    </xdr:to>
    <xdr:sp macro="" textlink="">
      <xdr:nvSpPr>
        <xdr:cNvPr id="8" name="Rechthoek: afgeronde hoeken 7">
          <a:extLst>
            <a:ext uri="{FF2B5EF4-FFF2-40B4-BE49-F238E27FC236}">
              <a16:creationId xmlns:a16="http://schemas.microsoft.com/office/drawing/2014/main" id="{4442A68C-8EFD-40AC-AC9B-9EEB41945FE5}"/>
            </a:ext>
          </a:extLst>
        </xdr:cNvPr>
        <xdr:cNvSpPr/>
      </xdr:nvSpPr>
      <xdr:spPr>
        <a:xfrm>
          <a:off x="18489757" y="6879181"/>
          <a:ext cx="379614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848797</xdr:colOff>
      <xdr:row>4</xdr:row>
      <xdr:rowOff>106328</xdr:rowOff>
    </xdr:from>
    <xdr:to>
      <xdr:col>57</xdr:col>
      <xdr:colOff>828098</xdr:colOff>
      <xdr:row>22</xdr:row>
      <xdr:rowOff>37632</xdr:rowOff>
    </xdr:to>
    <xdr:graphicFrame macro="">
      <xdr:nvGraphicFramePr>
        <xdr:cNvPr id="9" name="Grafiek 8">
          <a:extLst>
            <a:ext uri="{FF2B5EF4-FFF2-40B4-BE49-F238E27FC236}">
              <a16:creationId xmlns:a16="http://schemas.microsoft.com/office/drawing/2014/main" id="{6F14EC10-C61A-4D8F-904D-891D3F743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164497</xdr:colOff>
      <xdr:row>4</xdr:row>
      <xdr:rowOff>83961</xdr:rowOff>
    </xdr:from>
    <xdr:to>
      <xdr:col>93</xdr:col>
      <xdr:colOff>744681</xdr:colOff>
      <xdr:row>22</xdr:row>
      <xdr:rowOff>48600</xdr:rowOff>
    </xdr:to>
    <xdr:graphicFrame macro="">
      <xdr:nvGraphicFramePr>
        <xdr:cNvPr id="10" name="Grafiek 9">
          <a:extLst>
            <a:ext uri="{FF2B5EF4-FFF2-40B4-BE49-F238E27FC236}">
              <a16:creationId xmlns:a16="http://schemas.microsoft.com/office/drawing/2014/main" id="{FCDF8DFE-F43E-4F2D-8D91-92D9AB3A8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277282</xdr:colOff>
      <xdr:row>4</xdr:row>
      <xdr:rowOff>106331</xdr:rowOff>
    </xdr:from>
    <xdr:to>
      <xdr:col>16</xdr:col>
      <xdr:colOff>258576</xdr:colOff>
      <xdr:row>22</xdr:row>
      <xdr:rowOff>37632</xdr:rowOff>
    </xdr:to>
    <xdr:graphicFrame macro="">
      <xdr:nvGraphicFramePr>
        <xdr:cNvPr id="11" name="Grafiek 10">
          <a:extLst>
            <a:ext uri="{FF2B5EF4-FFF2-40B4-BE49-F238E27FC236}">
              <a16:creationId xmlns:a16="http://schemas.microsoft.com/office/drawing/2014/main" id="{57473CBC-642A-4D71-B67E-37AF0F310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075AB961-9533-4CD7-B3FA-F3E725D8537E}"/>
            </a:ext>
          </a:extLst>
        </xdr:cNvPr>
        <xdr:cNvSpPr/>
      </xdr:nvSpPr>
      <xdr:spPr>
        <a:xfrm>
          <a:off x="38326731" y="10591800"/>
          <a:ext cx="1869"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397CC340-0A20-49B9-9E2D-A0A13985A6DD}"/>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6509325" y="570698"/>
          <a:ext cx="1551096"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99E60F1B-1627-4D09-8BAA-4AD5C119715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5125890" y="436997"/>
          <a:ext cx="1326285" cy="56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7999</xdr:colOff>
      <xdr:row>36</xdr:row>
      <xdr:rowOff>142435</xdr:rowOff>
    </xdr:from>
    <xdr:to>
      <xdr:col>16</xdr:col>
      <xdr:colOff>105350</xdr:colOff>
      <xdr:row>37</xdr:row>
      <xdr:rowOff>73038</xdr:rowOff>
    </xdr:to>
    <xdr:sp macro="" textlink="CO2reductieperc_2050">
      <xdr:nvSpPr>
        <xdr:cNvPr id="15" name="Rechthoek: afgeronde hoeken 14">
          <a:extLst>
            <a:ext uri="{FF2B5EF4-FFF2-40B4-BE49-F238E27FC236}">
              <a16:creationId xmlns:a16="http://schemas.microsoft.com/office/drawing/2014/main" id="{F46044A0-9B5E-4687-A2E8-4E5235BE7F1A}"/>
            </a:ext>
          </a:extLst>
        </xdr:cNvPr>
        <xdr:cNvSpPr/>
      </xdr:nvSpPr>
      <xdr:spPr>
        <a:xfrm>
          <a:off x="17067274" y="9772210"/>
          <a:ext cx="973651" cy="283028"/>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-63%</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102190</xdr:rowOff>
    </xdr:from>
    <xdr:to>
      <xdr:col>13</xdr:col>
      <xdr:colOff>59251</xdr:colOff>
      <xdr:row>37</xdr:row>
      <xdr:rowOff>142473</xdr:rowOff>
    </xdr:to>
    <xdr:sp macro="" textlink="">
      <xdr:nvSpPr>
        <xdr:cNvPr id="16" name="Rechthoek: afgeronde hoeken 15">
          <a:extLst>
            <a:ext uri="{FF2B5EF4-FFF2-40B4-BE49-F238E27FC236}">
              <a16:creationId xmlns:a16="http://schemas.microsoft.com/office/drawing/2014/main" id="{81D0F9B2-9D13-42E8-9C2C-40AF61B3CADC}"/>
            </a:ext>
          </a:extLst>
        </xdr:cNvPr>
        <xdr:cNvSpPr/>
      </xdr:nvSpPr>
      <xdr:spPr>
        <a:xfrm>
          <a:off x="13584544" y="9731965"/>
          <a:ext cx="1943307" cy="39270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850608</xdr:colOff>
      <xdr:row>36</xdr:row>
      <xdr:rowOff>122149</xdr:rowOff>
    </xdr:from>
    <xdr:to>
      <xdr:col>15</xdr:col>
      <xdr:colOff>190169</xdr:colOff>
      <xdr:row>37</xdr:row>
      <xdr:rowOff>124265</xdr:rowOff>
    </xdr:to>
    <xdr:sp macro="" textlink="">
      <xdr:nvSpPr>
        <xdr:cNvPr id="17" name="Rechthoek: afgeronde hoeken 16">
          <a:extLst>
            <a:ext uri="{FF2B5EF4-FFF2-40B4-BE49-F238E27FC236}">
              <a16:creationId xmlns:a16="http://schemas.microsoft.com/office/drawing/2014/main" id="{B157BCE7-2192-4F45-919D-CBAF7A768B0C}"/>
            </a:ext>
          </a:extLst>
        </xdr:cNvPr>
        <xdr:cNvSpPr/>
      </xdr:nvSpPr>
      <xdr:spPr>
        <a:xfrm>
          <a:off x="16319208" y="9751924"/>
          <a:ext cx="930236"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162929</xdr:rowOff>
    </xdr:from>
    <xdr:to>
      <xdr:col>13</xdr:col>
      <xdr:colOff>845950</xdr:colOff>
      <xdr:row>37</xdr:row>
      <xdr:rowOff>84005</xdr:rowOff>
    </xdr:to>
    <xdr:sp macro="" textlink="CO2reductieperc_2030">
      <xdr:nvSpPr>
        <xdr:cNvPr id="18" name="Rechthoek: afgeronde hoeken 17">
          <a:extLst>
            <a:ext uri="{FF2B5EF4-FFF2-40B4-BE49-F238E27FC236}">
              <a16:creationId xmlns:a16="http://schemas.microsoft.com/office/drawing/2014/main" id="{1DACC705-30BC-4E38-BBAA-F18851F989F4}"/>
            </a:ext>
          </a:extLst>
        </xdr:cNvPr>
        <xdr:cNvSpPr/>
      </xdr:nvSpPr>
      <xdr:spPr>
        <a:xfrm>
          <a:off x="15269975" y="9792704"/>
          <a:ext cx="1044575" cy="27350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-63%</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09B8E5D5-2164-432A-A1D8-00489FCCDB48}"/>
            </a:ext>
          </a:extLst>
        </xdr:cNvPr>
        <xdr:cNvSpPr/>
      </xdr:nvSpPr>
      <xdr:spPr>
        <a:xfrm>
          <a:off x="6849053" y="12541539"/>
          <a:ext cx="2981324"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58A6E3C7-95A2-4377-A650-5D14DF45B9EA}"/>
            </a:ext>
          </a:extLst>
        </xdr:cNvPr>
        <xdr:cNvSpPr/>
      </xdr:nvSpPr>
      <xdr:spPr>
        <a:xfrm>
          <a:off x="6849051" y="11637817"/>
          <a:ext cx="2964007" cy="39514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CBC47894-5685-4389-BBAA-03998387F991}"/>
            </a:ext>
          </a:extLst>
        </xdr:cNvPr>
        <xdr:cNvSpPr/>
      </xdr:nvSpPr>
      <xdr:spPr>
        <a:xfrm>
          <a:off x="6845589" y="12084916"/>
          <a:ext cx="2967469"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11607</xdr:colOff>
      <xdr:row>2</xdr:row>
      <xdr:rowOff>141721</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88750E74-8B95-44CE-81B1-B21B33E1F101}"/>
            </a:ext>
          </a:extLst>
        </xdr:cNvPr>
        <xdr:cNvSpPr/>
      </xdr:nvSpPr>
      <xdr:spPr>
        <a:xfrm>
          <a:off x="8003082" y="1103746"/>
          <a:ext cx="5142448" cy="499592"/>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A0A3D177-9DDC-4DE2-901B-E92F1B808F03}"/>
            </a:ext>
          </a:extLst>
        </xdr:cNvPr>
        <xdr:cNvSpPr/>
      </xdr:nvSpPr>
      <xdr:spPr>
        <a:xfrm>
          <a:off x="620280" y="10750839"/>
          <a:ext cx="1558636" cy="44998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2709F240-0E33-4CD8-B211-EA2A8840A964}"/>
            </a:ext>
          </a:extLst>
        </xdr:cNvPr>
        <xdr:cNvSpPr/>
      </xdr:nvSpPr>
      <xdr:spPr>
        <a:xfrm>
          <a:off x="598056" y="63366771"/>
          <a:ext cx="21420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33D21A9D-18E8-444A-99EE-5B526EA5BCA8}"/>
            </a:ext>
          </a:extLst>
        </xdr:cNvPr>
        <xdr:cNvSpPr/>
      </xdr:nvSpPr>
      <xdr:spPr>
        <a:xfrm>
          <a:off x="553236" y="64968785"/>
          <a:ext cx="28841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F93FD7DA-ACD9-44FE-A2E7-E0421DF04474}"/>
            </a:ext>
          </a:extLst>
        </xdr:cNvPr>
        <xdr:cNvSpPr/>
      </xdr:nvSpPr>
      <xdr:spPr>
        <a:xfrm>
          <a:off x="573780" y="66741064"/>
          <a:ext cx="2276436"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E7DFCF98-FEA6-44A7-90AD-BACD463295AE}"/>
            </a:ext>
          </a:extLst>
        </xdr:cNvPr>
        <xdr:cNvSpPr/>
      </xdr:nvSpPr>
      <xdr:spPr>
        <a:xfrm>
          <a:off x="578348" y="68502646"/>
          <a:ext cx="2161965"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7D52C646-CF17-414E-B7AB-7466016D6C80}"/>
            </a:ext>
          </a:extLst>
        </xdr:cNvPr>
        <xdr:cNvSpPr/>
      </xdr:nvSpPr>
      <xdr:spPr>
        <a:xfrm>
          <a:off x="550955" y="70110639"/>
          <a:ext cx="3879663"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5BAA7F19-7128-4CB7-BC5D-C0E081739F11}"/>
            </a:ext>
          </a:extLst>
        </xdr:cNvPr>
        <xdr:cNvSpPr/>
      </xdr:nvSpPr>
      <xdr:spPr>
        <a:xfrm>
          <a:off x="3188566" y="10750838"/>
          <a:ext cx="2981902" cy="82867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F5859953-6C6E-4EA1-A77A-6C1CBE422229}"/>
            </a:ext>
          </a:extLst>
        </xdr:cNvPr>
        <xdr:cNvSpPr/>
      </xdr:nvSpPr>
      <xdr:spPr>
        <a:xfrm>
          <a:off x="6260234" y="10750838"/>
          <a:ext cx="3529158"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298EB459-AB03-4327-9561-D456B2210475}"/>
            </a:ext>
          </a:extLst>
        </xdr:cNvPr>
        <xdr:cNvSpPr/>
      </xdr:nvSpPr>
      <xdr:spPr>
        <a:xfrm>
          <a:off x="6360967" y="59693175"/>
          <a:ext cx="3518190"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81E5C955-7076-48E0-97AD-51DD438A9AAB}"/>
            </a:ext>
          </a:extLst>
        </xdr:cNvPr>
        <xdr:cNvSpPr/>
      </xdr:nvSpPr>
      <xdr:spPr>
        <a:xfrm>
          <a:off x="18375539" y="408668"/>
          <a:ext cx="1567748" cy="3563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33" name="Rechthoek: afgeronde hoeken 32">
          <a:extLst>
            <a:ext uri="{FF2B5EF4-FFF2-40B4-BE49-F238E27FC236}">
              <a16:creationId xmlns:a16="http://schemas.microsoft.com/office/drawing/2014/main" id="{2676B50E-4B2E-4991-BF30-E9225130E9B3}"/>
            </a:ext>
          </a:extLst>
        </xdr:cNvPr>
        <xdr:cNvSpPr/>
      </xdr:nvSpPr>
      <xdr:spPr>
        <a:xfrm>
          <a:off x="598056" y="63366771"/>
          <a:ext cx="2132495"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34" name="Rechthoek: afgeronde hoeken 33">
          <a:extLst>
            <a:ext uri="{FF2B5EF4-FFF2-40B4-BE49-F238E27FC236}">
              <a16:creationId xmlns:a16="http://schemas.microsoft.com/office/drawing/2014/main" id="{B4088B8E-E270-43F7-AD5C-7106AB4BFBD4}"/>
            </a:ext>
          </a:extLst>
        </xdr:cNvPr>
        <xdr:cNvSpPr/>
      </xdr:nvSpPr>
      <xdr:spPr>
        <a:xfrm>
          <a:off x="553236" y="64968785"/>
          <a:ext cx="2874611"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35" name="Rechthoek: afgeronde hoeken 34">
          <a:extLst>
            <a:ext uri="{FF2B5EF4-FFF2-40B4-BE49-F238E27FC236}">
              <a16:creationId xmlns:a16="http://schemas.microsoft.com/office/drawing/2014/main" id="{50932DB2-C158-423D-B312-694C76C3634C}"/>
            </a:ext>
          </a:extLst>
        </xdr:cNvPr>
        <xdr:cNvSpPr/>
      </xdr:nvSpPr>
      <xdr:spPr>
        <a:xfrm>
          <a:off x="573780" y="66741064"/>
          <a:ext cx="2266911"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36" name="Rechthoek: afgeronde hoeken 35">
          <a:extLst>
            <a:ext uri="{FF2B5EF4-FFF2-40B4-BE49-F238E27FC236}">
              <a16:creationId xmlns:a16="http://schemas.microsoft.com/office/drawing/2014/main" id="{931BF770-3092-40AD-A4F1-BA3A06385490}"/>
            </a:ext>
          </a:extLst>
        </xdr:cNvPr>
        <xdr:cNvSpPr/>
      </xdr:nvSpPr>
      <xdr:spPr>
        <a:xfrm>
          <a:off x="578348" y="68502646"/>
          <a:ext cx="2152440"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37" name="Rechthoek: afgeronde hoeken 36">
          <a:extLst>
            <a:ext uri="{FF2B5EF4-FFF2-40B4-BE49-F238E27FC236}">
              <a16:creationId xmlns:a16="http://schemas.microsoft.com/office/drawing/2014/main" id="{FEB5492B-BA82-426D-A85E-4F7608B8CB61}"/>
            </a:ext>
          </a:extLst>
        </xdr:cNvPr>
        <xdr:cNvSpPr/>
      </xdr:nvSpPr>
      <xdr:spPr>
        <a:xfrm>
          <a:off x="550955" y="70110639"/>
          <a:ext cx="3870138"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11</xdr:col>
      <xdr:colOff>150091</xdr:colOff>
      <xdr:row>23</xdr:row>
      <xdr:rowOff>106330</xdr:rowOff>
    </xdr:from>
    <xdr:to>
      <xdr:col>16</xdr:col>
      <xdr:colOff>301709</xdr:colOff>
      <xdr:row>37</xdr:row>
      <xdr:rowOff>207478</xdr:rowOff>
    </xdr:to>
    <xdr:graphicFrame macro="">
      <xdr:nvGraphicFramePr>
        <xdr:cNvPr id="2" name="Grafiek 1">
          <a:extLst>
            <a:ext uri="{FF2B5EF4-FFF2-40B4-BE49-F238E27FC236}">
              <a16:creationId xmlns:a16="http://schemas.microsoft.com/office/drawing/2014/main" id="{053C503C-A701-46B1-89E5-3D33A3F69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315003</xdr:colOff>
      <xdr:row>23</xdr:row>
      <xdr:rowOff>106330</xdr:rowOff>
    </xdr:from>
    <xdr:to>
      <xdr:col>10</xdr:col>
      <xdr:colOff>587622</xdr:colOff>
      <xdr:row>37</xdr:row>
      <xdr:rowOff>218446</xdr:rowOff>
    </xdr:to>
    <xdr:graphicFrame macro="">
      <xdr:nvGraphicFramePr>
        <xdr:cNvPr id="3" name="Grafiek 2">
          <a:extLst>
            <a:ext uri="{FF2B5EF4-FFF2-40B4-BE49-F238E27FC236}">
              <a16:creationId xmlns:a16="http://schemas.microsoft.com/office/drawing/2014/main" id="{214830E0-E474-4573-87EC-301F95CA9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437964</xdr:colOff>
      <xdr:row>4</xdr:row>
      <xdr:rowOff>106330</xdr:rowOff>
    </xdr:from>
    <xdr:to>
      <xdr:col>27</xdr:col>
      <xdr:colOff>715200</xdr:colOff>
      <xdr:row>22</xdr:row>
      <xdr:rowOff>37632</xdr:rowOff>
    </xdr:to>
    <xdr:graphicFrame macro="">
      <xdr:nvGraphicFramePr>
        <xdr:cNvPr id="4" name="Grafiek 3">
          <a:extLst>
            <a:ext uri="{FF2B5EF4-FFF2-40B4-BE49-F238E27FC236}">
              <a16:creationId xmlns:a16="http://schemas.microsoft.com/office/drawing/2014/main" id="{0620DB3B-E926-421D-B880-C8F92C193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2104</xdr:colOff>
      <xdr:row>222</xdr:row>
      <xdr:rowOff>0</xdr:rowOff>
    </xdr:from>
    <xdr:to>
      <xdr:col>3</xdr:col>
      <xdr:colOff>92776</xdr:colOff>
      <xdr:row>223</xdr:row>
      <xdr:rowOff>164521</xdr:rowOff>
    </xdr:to>
    <xdr:sp macro="" textlink="">
      <xdr:nvSpPr>
        <xdr:cNvPr id="5" name="Rechthoek: afgeronde hoeken 4">
          <a:extLst>
            <a:ext uri="{FF2B5EF4-FFF2-40B4-BE49-F238E27FC236}">
              <a16:creationId xmlns:a16="http://schemas.microsoft.com/office/drawing/2014/main" id="{50594112-028E-4372-8E7B-1ACBCD4A552E}"/>
            </a:ext>
          </a:extLst>
        </xdr:cNvPr>
        <xdr:cNvSpPr/>
      </xdr:nvSpPr>
      <xdr:spPr>
        <a:xfrm>
          <a:off x="573604" y="60902850"/>
          <a:ext cx="2100447" cy="418521"/>
        </a:xfrm>
        <a:prstGeom prst="roundRect">
          <a:avLst>
            <a:gd name="adj" fmla="val 13300"/>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Opmerkingen</a:t>
          </a:r>
        </a:p>
      </xdr:txBody>
    </xdr:sp>
    <xdr:clientData/>
  </xdr:twoCellAnchor>
  <xdr:twoCellAnchor>
    <xdr:from>
      <xdr:col>13</xdr:col>
      <xdr:colOff>98281</xdr:colOff>
      <xdr:row>218</xdr:row>
      <xdr:rowOff>0</xdr:rowOff>
    </xdr:from>
    <xdr:to>
      <xdr:col>15</xdr:col>
      <xdr:colOff>816428</xdr:colOff>
      <xdr:row>219</xdr:row>
      <xdr:rowOff>176893</xdr:rowOff>
    </xdr:to>
    <xdr:sp macro="" textlink="">
      <xdr:nvSpPr>
        <xdr:cNvPr id="6" name="Rechthoek: afgeronde hoeken 5">
          <a:extLst>
            <a:ext uri="{FF2B5EF4-FFF2-40B4-BE49-F238E27FC236}">
              <a16:creationId xmlns:a16="http://schemas.microsoft.com/office/drawing/2014/main" id="{B612C3CB-428E-4E5B-9EF1-9F705A4CFBE2}"/>
            </a:ext>
          </a:extLst>
        </xdr:cNvPr>
        <xdr:cNvSpPr/>
      </xdr:nvSpPr>
      <xdr:spPr>
        <a:xfrm>
          <a:off x="15566881" y="59693175"/>
          <a:ext cx="2308822" cy="446768"/>
        </a:xfrm>
        <a:prstGeom prst="roundRect">
          <a:avLst>
            <a:gd name="adj" fmla="val 13973"/>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Prognose per jaar</a:t>
          </a:r>
        </a:p>
        <a:p>
          <a:pPr algn="l"/>
          <a:endParaRPr lang="nl-NL" sz="2000" b="1">
            <a:solidFill>
              <a:srgbClr val="393D3F"/>
            </a:solidFill>
          </a:endParaRPr>
        </a:p>
      </xdr:txBody>
    </xdr:sp>
    <xdr:clientData/>
  </xdr:twoCellAnchor>
  <xdr:twoCellAnchor editAs="oneCell">
    <xdr:from>
      <xdr:col>2</xdr:col>
      <xdr:colOff>86592</xdr:colOff>
      <xdr:row>41</xdr:row>
      <xdr:rowOff>569462</xdr:rowOff>
    </xdr:from>
    <xdr:to>
      <xdr:col>4</xdr:col>
      <xdr:colOff>998640</xdr:colOff>
      <xdr:row>41</xdr:row>
      <xdr:rowOff>1314143</xdr:rowOff>
    </xdr:to>
    <xdr:sp macro="" textlink="">
      <xdr:nvSpPr>
        <xdr:cNvPr id="7" name="Rechthoek: afgeronde hoeken 6">
          <a:extLst>
            <a:ext uri="{FF2B5EF4-FFF2-40B4-BE49-F238E27FC236}">
              <a16:creationId xmlns:a16="http://schemas.microsoft.com/office/drawing/2014/main" id="{0E11C691-C88C-444D-94CF-006BC6F19E25}"/>
            </a:ext>
          </a:extLst>
        </xdr:cNvPr>
        <xdr:cNvSpPr>
          <a:spLocks/>
        </xdr:cNvSpPr>
      </xdr:nvSpPr>
      <xdr:spPr>
        <a:xfrm>
          <a:off x="654917" y="11808962"/>
          <a:ext cx="3452048" cy="744681"/>
        </a:xfrm>
        <a:prstGeom prst="roundRect">
          <a:avLst>
            <a:gd name="adj" fmla="val 24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3600" b="1">
              <a:solidFill>
                <a:srgbClr val="393D3F"/>
              </a:solidFill>
            </a:rPr>
            <a:t>MAATREGELEN</a:t>
          </a:r>
        </a:p>
      </xdr:txBody>
    </xdr:sp>
    <xdr:clientData/>
  </xdr:twoCellAnchor>
  <xdr:twoCellAnchor editAs="absolute">
    <xdr:from>
      <xdr:col>16</xdr:col>
      <xdr:colOff>554182</xdr:colOff>
      <xdr:row>26</xdr:row>
      <xdr:rowOff>135481</xdr:rowOff>
    </xdr:from>
    <xdr:to>
      <xdr:col>21</xdr:col>
      <xdr:colOff>426028</xdr:colOff>
      <xdr:row>28</xdr:row>
      <xdr:rowOff>68761</xdr:rowOff>
    </xdr:to>
    <xdr:sp macro="" textlink="">
      <xdr:nvSpPr>
        <xdr:cNvPr id="8" name="Rechthoek: afgeronde hoeken 7">
          <a:extLst>
            <a:ext uri="{FF2B5EF4-FFF2-40B4-BE49-F238E27FC236}">
              <a16:creationId xmlns:a16="http://schemas.microsoft.com/office/drawing/2014/main" id="{2FE0D3A5-1676-47E8-B030-B961B500F6FF}"/>
            </a:ext>
          </a:extLst>
        </xdr:cNvPr>
        <xdr:cNvSpPr/>
      </xdr:nvSpPr>
      <xdr:spPr>
        <a:xfrm>
          <a:off x="18489757" y="6879181"/>
          <a:ext cx="3796146" cy="542880"/>
        </a:xfrm>
        <a:prstGeom prst="roundRect">
          <a:avLst>
            <a:gd name="adj" fmla="val 35185"/>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2000" b="1">
              <a:solidFill>
                <a:srgbClr val="393D3F"/>
              </a:solidFill>
            </a:rPr>
            <a:t>Werkelijke i</a:t>
          </a:r>
          <a:r>
            <a:rPr lang="nl-NL" sz="2000" b="1" baseline="0">
              <a:solidFill>
                <a:srgbClr val="393D3F"/>
              </a:solidFill>
            </a:rPr>
            <a:t>nkoop &amp; verbruik</a:t>
          </a:r>
          <a:endParaRPr lang="nl-NL" sz="2000" b="1">
            <a:solidFill>
              <a:srgbClr val="393D3F"/>
            </a:solidFill>
          </a:endParaRPr>
        </a:p>
      </xdr:txBody>
    </xdr:sp>
    <xdr:clientData/>
  </xdr:twoCellAnchor>
  <xdr:twoCellAnchor editAs="absolute">
    <xdr:from>
      <xdr:col>27</xdr:col>
      <xdr:colOff>848797</xdr:colOff>
      <xdr:row>4</xdr:row>
      <xdr:rowOff>106328</xdr:rowOff>
    </xdr:from>
    <xdr:to>
      <xdr:col>57</xdr:col>
      <xdr:colOff>828098</xdr:colOff>
      <xdr:row>22</xdr:row>
      <xdr:rowOff>37632</xdr:rowOff>
    </xdr:to>
    <xdr:graphicFrame macro="">
      <xdr:nvGraphicFramePr>
        <xdr:cNvPr id="9" name="Grafiek 8">
          <a:extLst>
            <a:ext uri="{FF2B5EF4-FFF2-40B4-BE49-F238E27FC236}">
              <a16:creationId xmlns:a16="http://schemas.microsoft.com/office/drawing/2014/main" id="{5301EF87-19F3-4069-91E6-5F6ED2E5C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63</xdr:col>
      <xdr:colOff>164497</xdr:colOff>
      <xdr:row>4</xdr:row>
      <xdr:rowOff>83961</xdr:rowOff>
    </xdr:from>
    <xdr:to>
      <xdr:col>93</xdr:col>
      <xdr:colOff>744681</xdr:colOff>
      <xdr:row>22</xdr:row>
      <xdr:rowOff>48600</xdr:rowOff>
    </xdr:to>
    <xdr:graphicFrame macro="">
      <xdr:nvGraphicFramePr>
        <xdr:cNvPr id="10" name="Grafiek 9">
          <a:extLst>
            <a:ext uri="{FF2B5EF4-FFF2-40B4-BE49-F238E27FC236}">
              <a16:creationId xmlns:a16="http://schemas.microsoft.com/office/drawing/2014/main" id="{B6872CD9-5459-4DA6-A501-238F7BBB9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277282</xdr:colOff>
      <xdr:row>4</xdr:row>
      <xdr:rowOff>106331</xdr:rowOff>
    </xdr:from>
    <xdr:to>
      <xdr:col>16</xdr:col>
      <xdr:colOff>258576</xdr:colOff>
      <xdr:row>22</xdr:row>
      <xdr:rowOff>37632</xdr:rowOff>
    </xdr:to>
    <xdr:graphicFrame macro="">
      <xdr:nvGraphicFramePr>
        <xdr:cNvPr id="11" name="Grafiek 10">
          <a:extLst>
            <a:ext uri="{FF2B5EF4-FFF2-40B4-BE49-F238E27FC236}">
              <a16:creationId xmlns:a16="http://schemas.microsoft.com/office/drawing/2014/main" id="{CDEA4604-374A-4136-B5B1-5194AC0C8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217</xdr:col>
      <xdr:colOff>156881</xdr:colOff>
      <xdr:row>39</xdr:row>
      <xdr:rowOff>0</xdr:rowOff>
    </xdr:from>
    <xdr:to>
      <xdr:col>218</xdr:col>
      <xdr:colOff>809624</xdr:colOff>
      <xdr:row>41</xdr:row>
      <xdr:rowOff>1333500</xdr:rowOff>
    </xdr:to>
    <xdr:sp macro="" textlink="">
      <xdr:nvSpPr>
        <xdr:cNvPr id="12" name="Rechthoek 11">
          <a:extLst>
            <a:ext uri="{FF2B5EF4-FFF2-40B4-BE49-F238E27FC236}">
              <a16:creationId xmlns:a16="http://schemas.microsoft.com/office/drawing/2014/main" id="{3661CAB4-25FF-4699-9704-E8D47CC18301}"/>
            </a:ext>
          </a:extLst>
        </xdr:cNvPr>
        <xdr:cNvSpPr/>
      </xdr:nvSpPr>
      <xdr:spPr>
        <a:xfrm>
          <a:off x="38326731" y="10591800"/>
          <a:ext cx="1869" cy="1981200"/>
        </a:xfrm>
        <a:prstGeom prst="rect">
          <a:avLst/>
        </a:prstGeom>
        <a:solidFill>
          <a:srgbClr val="C6C5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178</xdr:col>
      <xdr:colOff>17316</xdr:colOff>
      <xdr:row>1</xdr:row>
      <xdr:rowOff>278598</xdr:rowOff>
    </xdr:from>
    <xdr:to>
      <xdr:col>214</xdr:col>
      <xdr:colOff>189021</xdr:colOff>
      <xdr:row>1</xdr:row>
      <xdr:rowOff>640026</xdr:rowOff>
    </xdr:to>
    <xdr:pic>
      <xdr:nvPicPr>
        <xdr:cNvPr id="13" name="Afbeelding 12">
          <a:extLst>
            <a:ext uri="{FF2B5EF4-FFF2-40B4-BE49-F238E27FC236}">
              <a16:creationId xmlns:a16="http://schemas.microsoft.com/office/drawing/2014/main" id="{79573560-C6EA-4697-98D8-E53C49624D6B}"/>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36627"/>
        <a:stretch/>
      </xdr:blipFill>
      <xdr:spPr>
        <a:xfrm>
          <a:off x="36509325" y="570698"/>
          <a:ext cx="1551096" cy="361428"/>
        </a:xfrm>
        <a:prstGeom prst="rect">
          <a:avLst/>
        </a:prstGeom>
      </xdr:spPr>
    </xdr:pic>
    <xdr:clientData/>
  </xdr:twoCellAnchor>
  <xdr:twoCellAnchor editAs="oneCell">
    <xdr:from>
      <xdr:col>123</xdr:col>
      <xdr:colOff>848590</xdr:colOff>
      <xdr:row>1</xdr:row>
      <xdr:rowOff>138547</xdr:rowOff>
    </xdr:from>
    <xdr:to>
      <xdr:col>172</xdr:col>
      <xdr:colOff>0</xdr:colOff>
      <xdr:row>2</xdr:row>
      <xdr:rowOff>35967</xdr:rowOff>
    </xdr:to>
    <xdr:pic>
      <xdr:nvPicPr>
        <xdr:cNvPr id="14" name="Afbeelding 13" descr="MPZ - Expertisecentrum Verduurzaming Zorg">
          <a:extLst>
            <a:ext uri="{FF2B5EF4-FFF2-40B4-BE49-F238E27FC236}">
              <a16:creationId xmlns:a16="http://schemas.microsoft.com/office/drawing/2014/main" id="{17D65AB8-F784-4208-BC80-D2FF6334EE2C}"/>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6982" b="15095"/>
        <a:stretch/>
      </xdr:blipFill>
      <xdr:spPr bwMode="auto">
        <a:xfrm>
          <a:off x="35125890" y="436997"/>
          <a:ext cx="1326285" cy="56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15</xdr:col>
      <xdr:colOff>7999</xdr:colOff>
      <xdr:row>36</xdr:row>
      <xdr:rowOff>142435</xdr:rowOff>
    </xdr:from>
    <xdr:to>
      <xdr:col>16</xdr:col>
      <xdr:colOff>105350</xdr:colOff>
      <xdr:row>37</xdr:row>
      <xdr:rowOff>73038</xdr:rowOff>
    </xdr:to>
    <xdr:sp macro="" textlink="CO2reductieperc_2050">
      <xdr:nvSpPr>
        <xdr:cNvPr id="15" name="Rechthoek: afgeronde hoeken 14">
          <a:extLst>
            <a:ext uri="{FF2B5EF4-FFF2-40B4-BE49-F238E27FC236}">
              <a16:creationId xmlns:a16="http://schemas.microsoft.com/office/drawing/2014/main" id="{BFCD54F2-F77E-44F9-B212-F296D0C15153}"/>
            </a:ext>
          </a:extLst>
        </xdr:cNvPr>
        <xdr:cNvSpPr/>
      </xdr:nvSpPr>
      <xdr:spPr>
        <a:xfrm>
          <a:off x="17067274" y="9772210"/>
          <a:ext cx="973651" cy="283028"/>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962BE4E-EF21-4C39-AB3C-65D4AE7BC7E3}" type="TxLink">
            <a:rPr lang="en-US" sz="1600" b="1" i="0" u="none" strike="noStrike">
              <a:solidFill>
                <a:srgbClr val="FDFDFF"/>
              </a:solidFill>
              <a:latin typeface="Calibri"/>
              <a:ea typeface="+mn-ea"/>
              <a:cs typeface="Calibri"/>
            </a:rPr>
            <a:pPr marL="0" indent="0" algn="ctr"/>
            <a:t>0%</a:t>
          </a:fld>
          <a:endParaRPr lang="en-US" sz="2000" b="1" i="0" u="none" strike="noStrike">
            <a:solidFill>
              <a:srgbClr val="FDFDFF"/>
            </a:solidFill>
            <a:latin typeface="Calibri"/>
            <a:ea typeface="+mn-ea"/>
            <a:cs typeface="Calibri"/>
          </a:endParaRPr>
        </a:p>
      </xdr:txBody>
    </xdr:sp>
    <xdr:clientData/>
  </xdr:twoCellAnchor>
  <xdr:twoCellAnchor editAs="absolute">
    <xdr:from>
      <xdr:col>11</xdr:col>
      <xdr:colOff>440044</xdr:colOff>
      <xdr:row>36</xdr:row>
      <xdr:rowOff>102190</xdr:rowOff>
    </xdr:from>
    <xdr:to>
      <xdr:col>13</xdr:col>
      <xdr:colOff>59251</xdr:colOff>
      <xdr:row>37</xdr:row>
      <xdr:rowOff>142473</xdr:rowOff>
    </xdr:to>
    <xdr:sp macro="" textlink="">
      <xdr:nvSpPr>
        <xdr:cNvPr id="16" name="Rechthoek: afgeronde hoeken 15">
          <a:extLst>
            <a:ext uri="{FF2B5EF4-FFF2-40B4-BE49-F238E27FC236}">
              <a16:creationId xmlns:a16="http://schemas.microsoft.com/office/drawing/2014/main" id="{AEE7AEFE-B55D-4CE2-8DC0-07F0E16223D4}"/>
            </a:ext>
          </a:extLst>
        </xdr:cNvPr>
        <xdr:cNvSpPr/>
      </xdr:nvSpPr>
      <xdr:spPr>
        <a:xfrm>
          <a:off x="13584544" y="9731965"/>
          <a:ext cx="1943307" cy="39270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solidFill>
                <a:srgbClr val="393D3F"/>
              </a:solidFill>
            </a:rPr>
            <a:t>Reductie</a:t>
          </a:r>
          <a:r>
            <a:rPr lang="nl-NL" sz="1600" b="1" baseline="0">
              <a:solidFill>
                <a:srgbClr val="393D3F"/>
              </a:solidFill>
            </a:rPr>
            <a:t> in 2030:</a:t>
          </a:r>
          <a:endParaRPr lang="nl-NL" sz="1600" b="1">
            <a:solidFill>
              <a:srgbClr val="393D3F"/>
            </a:solidFill>
          </a:endParaRPr>
        </a:p>
      </xdr:txBody>
    </xdr:sp>
    <xdr:clientData/>
  </xdr:twoCellAnchor>
  <xdr:twoCellAnchor editAs="absolute">
    <xdr:from>
      <xdr:col>13</xdr:col>
      <xdr:colOff>850608</xdr:colOff>
      <xdr:row>36</xdr:row>
      <xdr:rowOff>122149</xdr:rowOff>
    </xdr:from>
    <xdr:to>
      <xdr:col>15</xdr:col>
      <xdr:colOff>190169</xdr:colOff>
      <xdr:row>37</xdr:row>
      <xdr:rowOff>124265</xdr:rowOff>
    </xdr:to>
    <xdr:sp macro="" textlink="">
      <xdr:nvSpPr>
        <xdr:cNvPr id="17" name="Rechthoek: afgeronde hoeken 16">
          <a:extLst>
            <a:ext uri="{FF2B5EF4-FFF2-40B4-BE49-F238E27FC236}">
              <a16:creationId xmlns:a16="http://schemas.microsoft.com/office/drawing/2014/main" id="{D739589A-5435-4118-A8D9-CF52AB127BA7}"/>
            </a:ext>
          </a:extLst>
        </xdr:cNvPr>
        <xdr:cNvSpPr/>
      </xdr:nvSpPr>
      <xdr:spPr>
        <a:xfrm>
          <a:off x="16319208" y="9751924"/>
          <a:ext cx="930236" cy="3545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baseline="0">
              <a:solidFill>
                <a:srgbClr val="393D3F"/>
              </a:solidFill>
            </a:rPr>
            <a:t>2050:</a:t>
          </a:r>
          <a:endParaRPr lang="nl-NL" sz="1600" b="1">
            <a:solidFill>
              <a:srgbClr val="393D3F"/>
            </a:solidFill>
          </a:endParaRPr>
        </a:p>
      </xdr:txBody>
    </xdr:sp>
    <xdr:clientData/>
  </xdr:twoCellAnchor>
  <xdr:twoCellAnchor editAs="absolute">
    <xdr:from>
      <xdr:col>12</xdr:col>
      <xdr:colOff>1011050</xdr:colOff>
      <xdr:row>36</xdr:row>
      <xdr:rowOff>162929</xdr:rowOff>
    </xdr:from>
    <xdr:to>
      <xdr:col>13</xdr:col>
      <xdr:colOff>845950</xdr:colOff>
      <xdr:row>37</xdr:row>
      <xdr:rowOff>84005</xdr:rowOff>
    </xdr:to>
    <xdr:sp macro="" textlink="CO2reductieperc_2030">
      <xdr:nvSpPr>
        <xdr:cNvPr id="18" name="Rechthoek: afgeronde hoeken 17">
          <a:extLst>
            <a:ext uri="{FF2B5EF4-FFF2-40B4-BE49-F238E27FC236}">
              <a16:creationId xmlns:a16="http://schemas.microsoft.com/office/drawing/2014/main" id="{DC8A7D7E-CCE5-4160-8BE2-EB4F3FFFFB07}"/>
            </a:ext>
          </a:extLst>
        </xdr:cNvPr>
        <xdr:cNvSpPr/>
      </xdr:nvSpPr>
      <xdr:spPr>
        <a:xfrm>
          <a:off x="15269975" y="9792704"/>
          <a:ext cx="1044575" cy="273501"/>
        </a:xfrm>
        <a:prstGeom prst="roundRect">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E6B6F5-FED6-4A2C-9427-44AC348641BD}" type="TxLink">
            <a:rPr lang="en-US" sz="1600" b="1" i="0" u="none" strike="noStrike">
              <a:solidFill>
                <a:srgbClr val="FDFDFF"/>
              </a:solidFill>
              <a:latin typeface="Calibri"/>
              <a:cs typeface="Calibri"/>
            </a:rPr>
            <a:pPr algn="ctr"/>
            <a:t>-87%</a:t>
          </a:fld>
          <a:endParaRPr lang="nl-NL" sz="1200" b="1">
            <a:solidFill>
              <a:srgbClr val="FDFDFF"/>
            </a:solidFill>
          </a:endParaRPr>
        </a:p>
      </xdr:txBody>
    </xdr:sp>
    <xdr:clientData/>
  </xdr:twoCellAnchor>
  <xdr:twoCellAnchor>
    <xdr:from>
      <xdr:col>4</xdr:col>
      <xdr:colOff>3740728</xdr:colOff>
      <xdr:row>41</xdr:row>
      <xdr:rowOff>1298864</xdr:rowOff>
    </xdr:from>
    <xdr:to>
      <xdr:col>6</xdr:col>
      <xdr:colOff>1835727</xdr:colOff>
      <xdr:row>41</xdr:row>
      <xdr:rowOff>1679864</xdr:rowOff>
    </xdr:to>
    <xdr:sp macro="[0]!Z_maatregeltoevoegen" textlink="">
      <xdr:nvSpPr>
        <xdr:cNvPr id="19" name="Rechthoek: afgeronde hoeken 18">
          <a:extLst>
            <a:ext uri="{FF2B5EF4-FFF2-40B4-BE49-F238E27FC236}">
              <a16:creationId xmlns:a16="http://schemas.microsoft.com/office/drawing/2014/main" id="{F9F7F0FB-32AF-44FA-AF14-713D063EE843}"/>
            </a:ext>
          </a:extLst>
        </xdr:cNvPr>
        <xdr:cNvSpPr/>
      </xdr:nvSpPr>
      <xdr:spPr>
        <a:xfrm>
          <a:off x="6849053" y="12541539"/>
          <a:ext cx="2981324" cy="3810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4</xdr:col>
      <xdr:colOff>3740726</xdr:colOff>
      <xdr:row>41</xdr:row>
      <xdr:rowOff>398317</xdr:rowOff>
    </xdr:from>
    <xdr:to>
      <xdr:col>6</xdr:col>
      <xdr:colOff>1818408</xdr:colOff>
      <xdr:row>41</xdr:row>
      <xdr:rowOff>796636</xdr:rowOff>
    </xdr:to>
    <xdr:sp macro="[0]!Categorie_kiezer" textlink="">
      <xdr:nvSpPr>
        <xdr:cNvPr id="20" name="Rechthoek: afgeronde hoeken 19">
          <a:extLst>
            <a:ext uri="{FF2B5EF4-FFF2-40B4-BE49-F238E27FC236}">
              <a16:creationId xmlns:a16="http://schemas.microsoft.com/office/drawing/2014/main" id="{07E2E4FF-B04D-44BE-8298-AA1A28212107}"/>
            </a:ext>
          </a:extLst>
        </xdr:cNvPr>
        <xdr:cNvSpPr/>
      </xdr:nvSpPr>
      <xdr:spPr>
        <a:xfrm>
          <a:off x="6849051" y="11637817"/>
          <a:ext cx="2964007" cy="395144"/>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Categorie kiezer</a:t>
          </a:r>
          <a:endParaRPr lang="nl-NL" sz="1600" b="1" baseline="0">
            <a:solidFill>
              <a:srgbClr val="393D3F"/>
            </a:solidFill>
          </a:endParaRPr>
        </a:p>
      </xdr:txBody>
    </xdr:sp>
    <xdr:clientData/>
  </xdr:twoCellAnchor>
  <xdr:twoCellAnchor>
    <xdr:from>
      <xdr:col>4</xdr:col>
      <xdr:colOff>3737264</xdr:colOff>
      <xdr:row>41</xdr:row>
      <xdr:rowOff>848591</xdr:rowOff>
    </xdr:from>
    <xdr:to>
      <xdr:col>6</xdr:col>
      <xdr:colOff>1818408</xdr:colOff>
      <xdr:row>41</xdr:row>
      <xdr:rowOff>1229590</xdr:rowOff>
    </xdr:to>
    <xdr:sp macro="[0]!Snelfilter" textlink="">
      <xdr:nvSpPr>
        <xdr:cNvPr id="21" name="Rechthoek: afgeronde hoeken 20">
          <a:extLst>
            <a:ext uri="{FF2B5EF4-FFF2-40B4-BE49-F238E27FC236}">
              <a16:creationId xmlns:a16="http://schemas.microsoft.com/office/drawing/2014/main" id="{E5080C5F-5597-40F8-8748-0178C88E9722}"/>
            </a:ext>
          </a:extLst>
        </xdr:cNvPr>
        <xdr:cNvSpPr/>
      </xdr:nvSpPr>
      <xdr:spPr>
        <a:xfrm>
          <a:off x="6845589" y="12084916"/>
          <a:ext cx="2967469" cy="380999"/>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2000" b="1" baseline="0">
              <a:solidFill>
                <a:srgbClr val="393D3F"/>
              </a:solidFill>
              <a:latin typeface="+mn-lt"/>
              <a:ea typeface="+mn-ea"/>
              <a:cs typeface="+mn-cs"/>
            </a:rPr>
            <a:t>Snelfilter</a:t>
          </a:r>
        </a:p>
      </xdr:txBody>
    </xdr:sp>
    <xdr:clientData/>
  </xdr:twoCellAnchor>
  <xdr:twoCellAnchor editAs="absolute">
    <xdr:from>
      <xdr:col>6</xdr:col>
      <xdr:colOff>11607</xdr:colOff>
      <xdr:row>2</xdr:row>
      <xdr:rowOff>141721</xdr:rowOff>
    </xdr:from>
    <xdr:to>
      <xdr:col>11</xdr:col>
      <xdr:colOff>1030</xdr:colOff>
      <xdr:row>3</xdr:row>
      <xdr:rowOff>288888</xdr:rowOff>
    </xdr:to>
    <xdr:sp macro="" textlink="">
      <xdr:nvSpPr>
        <xdr:cNvPr id="22" name="Rechthoek: afgeronde hoeken 21">
          <a:extLst>
            <a:ext uri="{FF2B5EF4-FFF2-40B4-BE49-F238E27FC236}">
              <a16:creationId xmlns:a16="http://schemas.microsoft.com/office/drawing/2014/main" id="{991B2B36-C92A-4DED-BAEE-0FC75B62BE41}"/>
            </a:ext>
          </a:extLst>
        </xdr:cNvPr>
        <xdr:cNvSpPr/>
      </xdr:nvSpPr>
      <xdr:spPr>
        <a:xfrm>
          <a:off x="8003082" y="1103746"/>
          <a:ext cx="5142448" cy="499592"/>
        </a:xfrm>
        <a:prstGeom prst="roundRect">
          <a:avLst>
            <a:gd name="adj" fmla="val 35185"/>
          </a:avLst>
        </a:prstGeom>
        <a:solidFill>
          <a:srgbClr val="393D3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a:solidFill>
                <a:srgbClr val="FDFDFF"/>
              </a:solidFill>
            </a:rPr>
            <a:t>Verwachte i</a:t>
          </a:r>
          <a:r>
            <a:rPr lang="nl-NL" sz="2400" b="1" baseline="0">
              <a:solidFill>
                <a:srgbClr val="FDFDFF"/>
              </a:solidFill>
            </a:rPr>
            <a:t>nkoop &amp; verbruik</a:t>
          </a:r>
          <a:endParaRPr lang="nl-NL" sz="2400" b="1">
            <a:solidFill>
              <a:srgbClr val="FDFDFF"/>
            </a:solidFill>
          </a:endParaRPr>
        </a:p>
      </xdr:txBody>
    </xdr:sp>
    <xdr:clientData/>
  </xdr:twoCellAnchor>
  <xdr:twoCellAnchor>
    <xdr:from>
      <xdr:col>2</xdr:col>
      <xdr:colOff>51955</xdr:colOff>
      <xdr:row>39</xdr:row>
      <xdr:rowOff>155864</xdr:rowOff>
    </xdr:from>
    <xdr:to>
      <xdr:col>2</xdr:col>
      <xdr:colOff>1610591</xdr:colOff>
      <xdr:row>40</xdr:row>
      <xdr:rowOff>69274</xdr:rowOff>
    </xdr:to>
    <xdr:sp macro="[0]!invuluitleglocaties" textlink="">
      <xdr:nvSpPr>
        <xdr:cNvPr id="23" name="Rechthoek: afgeronde hoeken 22">
          <a:extLst>
            <a:ext uri="{FF2B5EF4-FFF2-40B4-BE49-F238E27FC236}">
              <a16:creationId xmlns:a16="http://schemas.microsoft.com/office/drawing/2014/main" id="{03EE2F83-4C03-45F9-8D0F-FB2A1DCD61E1}"/>
            </a:ext>
          </a:extLst>
        </xdr:cNvPr>
        <xdr:cNvSpPr/>
      </xdr:nvSpPr>
      <xdr:spPr>
        <a:xfrm>
          <a:off x="620280" y="10750839"/>
          <a:ext cx="1558636" cy="44998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rPr>
            <a:t>Invul uitleg</a:t>
          </a:r>
          <a:endParaRPr lang="nl-NL" sz="1600" b="1"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24" name="Rechthoek: afgeronde hoeken 23">
          <a:extLst>
            <a:ext uri="{FF2B5EF4-FFF2-40B4-BE49-F238E27FC236}">
              <a16:creationId xmlns:a16="http://schemas.microsoft.com/office/drawing/2014/main" id="{7032AF53-5F1F-4C81-B287-5826855FB498}"/>
            </a:ext>
          </a:extLst>
        </xdr:cNvPr>
        <xdr:cNvSpPr/>
      </xdr:nvSpPr>
      <xdr:spPr>
        <a:xfrm>
          <a:off x="598056" y="63366771"/>
          <a:ext cx="2142020"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25" name="Rechthoek: afgeronde hoeken 24">
          <a:extLst>
            <a:ext uri="{FF2B5EF4-FFF2-40B4-BE49-F238E27FC236}">
              <a16:creationId xmlns:a16="http://schemas.microsoft.com/office/drawing/2014/main" id="{440AD116-44BC-4651-9289-ECFCC0ECC867}"/>
            </a:ext>
          </a:extLst>
        </xdr:cNvPr>
        <xdr:cNvSpPr/>
      </xdr:nvSpPr>
      <xdr:spPr>
        <a:xfrm>
          <a:off x="553236" y="64968785"/>
          <a:ext cx="2884136"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26" name="Rechthoek: afgeronde hoeken 25">
          <a:extLst>
            <a:ext uri="{FF2B5EF4-FFF2-40B4-BE49-F238E27FC236}">
              <a16:creationId xmlns:a16="http://schemas.microsoft.com/office/drawing/2014/main" id="{E6C55906-B23E-4215-BEA7-6045B4A0FEE6}"/>
            </a:ext>
          </a:extLst>
        </xdr:cNvPr>
        <xdr:cNvSpPr/>
      </xdr:nvSpPr>
      <xdr:spPr>
        <a:xfrm>
          <a:off x="573780" y="66741064"/>
          <a:ext cx="2276436"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27" name="Rechthoek: afgeronde hoeken 26">
          <a:extLst>
            <a:ext uri="{FF2B5EF4-FFF2-40B4-BE49-F238E27FC236}">
              <a16:creationId xmlns:a16="http://schemas.microsoft.com/office/drawing/2014/main" id="{DBF888B5-4CAA-4CCD-B9C9-1221F8760611}"/>
            </a:ext>
          </a:extLst>
        </xdr:cNvPr>
        <xdr:cNvSpPr/>
      </xdr:nvSpPr>
      <xdr:spPr>
        <a:xfrm>
          <a:off x="578348" y="68502646"/>
          <a:ext cx="2161965"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28" name="Rechthoek: afgeronde hoeken 27">
          <a:extLst>
            <a:ext uri="{FF2B5EF4-FFF2-40B4-BE49-F238E27FC236}">
              <a16:creationId xmlns:a16="http://schemas.microsoft.com/office/drawing/2014/main" id="{B74EA4F2-B2F5-4BCB-90D5-07BC2546BC47}"/>
            </a:ext>
          </a:extLst>
        </xdr:cNvPr>
        <xdr:cNvSpPr/>
      </xdr:nvSpPr>
      <xdr:spPr>
        <a:xfrm>
          <a:off x="550955" y="70110639"/>
          <a:ext cx="3879663"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twoCellAnchor>
    <xdr:from>
      <xdr:col>4</xdr:col>
      <xdr:colOff>86591</xdr:colOff>
      <xdr:row>39</xdr:row>
      <xdr:rowOff>162213</xdr:rowOff>
    </xdr:from>
    <xdr:to>
      <xdr:col>4</xdr:col>
      <xdr:colOff>3065318</xdr:colOff>
      <xdr:row>41</xdr:row>
      <xdr:rowOff>340013</xdr:rowOff>
    </xdr:to>
    <xdr:sp macro="[0]!InUitvouwenbasis" textlink="">
      <xdr:nvSpPr>
        <xdr:cNvPr id="29" name="Rechthoek: afgeronde hoeken 28">
          <a:extLst>
            <a:ext uri="{FF2B5EF4-FFF2-40B4-BE49-F238E27FC236}">
              <a16:creationId xmlns:a16="http://schemas.microsoft.com/office/drawing/2014/main" id="{D24BFFB3-423B-41D0-9C34-1782D0677804}"/>
            </a:ext>
          </a:extLst>
        </xdr:cNvPr>
        <xdr:cNvSpPr/>
      </xdr:nvSpPr>
      <xdr:spPr>
        <a:xfrm>
          <a:off x="3188566" y="10750838"/>
          <a:ext cx="2981902" cy="828675"/>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basisgegevens en gebruik handige scroll</a:t>
          </a:r>
        </a:p>
      </xdr:txBody>
    </xdr:sp>
    <xdr:clientData/>
  </xdr:twoCellAnchor>
  <xdr:twoCellAnchor>
    <xdr:from>
      <xdr:col>4</xdr:col>
      <xdr:colOff>3151909</xdr:colOff>
      <xdr:row>39</xdr:row>
      <xdr:rowOff>155863</xdr:rowOff>
    </xdr:from>
    <xdr:to>
      <xdr:col>6</xdr:col>
      <xdr:colOff>1801092</xdr:colOff>
      <xdr:row>40</xdr:row>
      <xdr:rowOff>82838</xdr:rowOff>
    </xdr:to>
    <xdr:sp macro="[0]!InUitvouwenmaatregeldetails" textlink="">
      <xdr:nvSpPr>
        <xdr:cNvPr id="30" name="Rechthoek: afgeronde hoeken 29" hidden="1">
          <a:extLst>
            <a:ext uri="{FF2B5EF4-FFF2-40B4-BE49-F238E27FC236}">
              <a16:creationId xmlns:a16="http://schemas.microsoft.com/office/drawing/2014/main" id="{D875530F-D2FF-4BAD-910A-DD8322D77635}"/>
            </a:ext>
          </a:extLst>
        </xdr:cNvPr>
        <xdr:cNvSpPr/>
      </xdr:nvSpPr>
      <xdr:spPr>
        <a:xfrm>
          <a:off x="6260234" y="10750838"/>
          <a:ext cx="3529158" cy="469900"/>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baseline="0">
              <a:solidFill>
                <a:srgbClr val="393D3F"/>
              </a:solidFill>
              <a:latin typeface="Calibri" panose="020F0502020204030204" pitchFamily="34" charset="0"/>
            </a:rPr>
            <a:t>Verberg maatregeldetails</a:t>
          </a:r>
          <a:endParaRPr lang="nl-NL" sz="1600" b="1" baseline="0">
            <a:solidFill>
              <a:srgbClr val="393D3F"/>
            </a:solidFill>
            <a:latin typeface="Calibri" panose="020F0502020204030204" pitchFamily="34" charset="0"/>
          </a:endParaRPr>
        </a:p>
      </xdr:txBody>
    </xdr:sp>
    <xdr:clientData/>
  </xdr:twoCellAnchor>
  <xdr:twoCellAnchor>
    <xdr:from>
      <xdr:col>4</xdr:col>
      <xdr:colOff>3255817</xdr:colOff>
      <xdr:row>218</xdr:row>
      <xdr:rowOff>0</xdr:rowOff>
    </xdr:from>
    <xdr:to>
      <xdr:col>6</xdr:col>
      <xdr:colOff>1887682</xdr:colOff>
      <xdr:row>219</xdr:row>
      <xdr:rowOff>173181</xdr:rowOff>
    </xdr:to>
    <xdr:sp macro="[0]!Z_maatregeltoevoegen" textlink="">
      <xdr:nvSpPr>
        <xdr:cNvPr id="31" name="Rechthoek: afgeronde hoeken 30">
          <a:extLst>
            <a:ext uri="{FF2B5EF4-FFF2-40B4-BE49-F238E27FC236}">
              <a16:creationId xmlns:a16="http://schemas.microsoft.com/office/drawing/2014/main" id="{6A984125-EDF9-4322-AC59-179A3DB5AE15}"/>
            </a:ext>
          </a:extLst>
        </xdr:cNvPr>
        <xdr:cNvSpPr/>
      </xdr:nvSpPr>
      <xdr:spPr>
        <a:xfrm>
          <a:off x="6360967" y="59693175"/>
          <a:ext cx="3518190" cy="439881"/>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400" b="1" baseline="0">
              <a:solidFill>
                <a:srgbClr val="393D3F"/>
              </a:solidFill>
            </a:rPr>
            <a:t>+</a:t>
          </a:r>
          <a:r>
            <a:rPr lang="nl-NL" sz="1800" b="1" baseline="0">
              <a:solidFill>
                <a:srgbClr val="393D3F"/>
              </a:solidFill>
            </a:rPr>
            <a:t> M</a:t>
          </a:r>
          <a:r>
            <a:rPr lang="nl-NL" sz="2000" b="1" baseline="0">
              <a:solidFill>
                <a:srgbClr val="393D3F"/>
              </a:solidFill>
            </a:rPr>
            <a:t>aatregel toevoegen</a:t>
          </a:r>
        </a:p>
      </xdr:txBody>
    </xdr:sp>
    <xdr:clientData/>
  </xdr:twoCellAnchor>
  <xdr:twoCellAnchor>
    <xdr:from>
      <xdr:col>16</xdr:col>
      <xdr:colOff>439964</xdr:colOff>
      <xdr:row>1</xdr:row>
      <xdr:rowOff>113393</xdr:rowOff>
    </xdr:from>
    <xdr:to>
      <xdr:col>18</xdr:col>
      <xdr:colOff>283687</xdr:colOff>
      <xdr:row>1</xdr:row>
      <xdr:rowOff>472951</xdr:rowOff>
    </xdr:to>
    <xdr:sp macro="[0]!Grafiekwissel_locatie" textlink="">
      <xdr:nvSpPr>
        <xdr:cNvPr id="32" name="Rechthoek: afgeronde hoeken 31">
          <a:extLst>
            <a:ext uri="{FF2B5EF4-FFF2-40B4-BE49-F238E27FC236}">
              <a16:creationId xmlns:a16="http://schemas.microsoft.com/office/drawing/2014/main" id="{7CF6D688-43D2-48CA-8917-89B6D8956CC0}"/>
            </a:ext>
          </a:extLst>
        </xdr:cNvPr>
        <xdr:cNvSpPr/>
      </xdr:nvSpPr>
      <xdr:spPr>
        <a:xfrm>
          <a:off x="18375539" y="408668"/>
          <a:ext cx="1567748" cy="356383"/>
        </a:xfrm>
        <a:prstGeom prst="roundRect">
          <a:avLst>
            <a:gd name="adj" fmla="val 12339"/>
          </a:avLst>
        </a:prstGeom>
        <a:solidFill>
          <a:srgbClr val="F4E28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800" b="1" baseline="0">
              <a:solidFill>
                <a:srgbClr val="393D3F"/>
              </a:solidFill>
            </a:rPr>
            <a:t>Wisselknop</a:t>
          </a:r>
          <a:endParaRPr lang="nl-NL" sz="1400" b="0" baseline="0">
            <a:solidFill>
              <a:srgbClr val="393D3F"/>
            </a:solidFill>
          </a:endParaRPr>
        </a:p>
      </xdr:txBody>
    </xdr:sp>
    <xdr:clientData/>
  </xdr:twoCellAnchor>
  <xdr:twoCellAnchor>
    <xdr:from>
      <xdr:col>2</xdr:col>
      <xdr:colOff>23381</xdr:colOff>
      <xdr:row>231</xdr:row>
      <xdr:rowOff>123946</xdr:rowOff>
    </xdr:from>
    <xdr:to>
      <xdr:col>3</xdr:col>
      <xdr:colOff>161976</xdr:colOff>
      <xdr:row>232</xdr:row>
      <xdr:rowOff>225136</xdr:rowOff>
    </xdr:to>
    <xdr:sp macro="" textlink="">
      <xdr:nvSpPr>
        <xdr:cNvPr id="33" name="Rechthoek: afgeronde hoeken 32">
          <a:extLst>
            <a:ext uri="{FF2B5EF4-FFF2-40B4-BE49-F238E27FC236}">
              <a16:creationId xmlns:a16="http://schemas.microsoft.com/office/drawing/2014/main" id="{195AE7F1-F9AE-479E-9CA7-6426FE8C2D85}"/>
            </a:ext>
          </a:extLst>
        </xdr:cNvPr>
        <xdr:cNvSpPr/>
      </xdr:nvSpPr>
      <xdr:spPr>
        <a:xfrm>
          <a:off x="598056" y="63366771"/>
          <a:ext cx="2132495" cy="415515"/>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CV-installatie(s)</a:t>
          </a:r>
        </a:p>
        <a:p>
          <a:pPr algn="l"/>
          <a:endParaRPr lang="nl-NL" sz="2000" b="1">
            <a:solidFill>
              <a:srgbClr val="393D3F"/>
            </a:solidFill>
          </a:endParaRPr>
        </a:p>
      </xdr:txBody>
    </xdr:sp>
    <xdr:clientData/>
  </xdr:twoCellAnchor>
  <xdr:twoCellAnchor>
    <xdr:from>
      <xdr:col>1</xdr:col>
      <xdr:colOff>394486</xdr:colOff>
      <xdr:row>236</xdr:row>
      <xdr:rowOff>151160</xdr:rowOff>
    </xdr:from>
    <xdr:to>
      <xdr:col>4</xdr:col>
      <xdr:colOff>329047</xdr:colOff>
      <xdr:row>238</xdr:row>
      <xdr:rowOff>17318</xdr:rowOff>
    </xdr:to>
    <xdr:sp macro="" textlink="">
      <xdr:nvSpPr>
        <xdr:cNvPr id="34" name="Rechthoek: afgeronde hoeken 33">
          <a:extLst>
            <a:ext uri="{FF2B5EF4-FFF2-40B4-BE49-F238E27FC236}">
              <a16:creationId xmlns:a16="http://schemas.microsoft.com/office/drawing/2014/main" id="{B1E773CD-D159-4C2A-9A88-13B736D9F926}"/>
            </a:ext>
          </a:extLst>
        </xdr:cNvPr>
        <xdr:cNvSpPr/>
      </xdr:nvSpPr>
      <xdr:spPr>
        <a:xfrm>
          <a:off x="553236" y="64968785"/>
          <a:ext cx="2874611" cy="494808"/>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Tapwater-installatie(s)</a:t>
          </a:r>
        </a:p>
        <a:p>
          <a:pPr algn="l"/>
          <a:endParaRPr lang="nl-NL" sz="2000" b="1">
            <a:solidFill>
              <a:srgbClr val="393D3F"/>
            </a:solidFill>
          </a:endParaRPr>
        </a:p>
      </xdr:txBody>
    </xdr:sp>
    <xdr:clientData/>
  </xdr:twoCellAnchor>
  <xdr:twoCellAnchor>
    <xdr:from>
      <xdr:col>2</xdr:col>
      <xdr:colOff>2280</xdr:colOff>
      <xdr:row>242</xdr:row>
      <xdr:rowOff>151789</xdr:rowOff>
    </xdr:from>
    <xdr:to>
      <xdr:col>3</xdr:col>
      <xdr:colOff>268941</xdr:colOff>
      <xdr:row>243</xdr:row>
      <xdr:rowOff>311728</xdr:rowOff>
    </xdr:to>
    <xdr:sp macro="" textlink="">
      <xdr:nvSpPr>
        <xdr:cNvPr id="35" name="Rechthoek: afgeronde hoeken 34">
          <a:extLst>
            <a:ext uri="{FF2B5EF4-FFF2-40B4-BE49-F238E27FC236}">
              <a16:creationId xmlns:a16="http://schemas.microsoft.com/office/drawing/2014/main" id="{9788ED7B-4F7E-4E5B-AB76-46567F8FC96F}"/>
            </a:ext>
          </a:extLst>
        </xdr:cNvPr>
        <xdr:cNvSpPr/>
      </xdr:nvSpPr>
      <xdr:spPr>
        <a:xfrm>
          <a:off x="573780" y="66741064"/>
          <a:ext cx="2266911" cy="486964"/>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Ventilatiesysteem</a:t>
          </a:r>
        </a:p>
        <a:p>
          <a:pPr algn="l"/>
          <a:endParaRPr lang="nl-NL" sz="2000" b="1">
            <a:solidFill>
              <a:srgbClr val="393D3F"/>
            </a:solidFill>
          </a:endParaRPr>
        </a:p>
      </xdr:txBody>
    </xdr:sp>
    <xdr:clientData/>
  </xdr:twoCellAnchor>
  <xdr:twoCellAnchor>
    <xdr:from>
      <xdr:col>2</xdr:col>
      <xdr:colOff>10023</xdr:colOff>
      <xdr:row>248</xdr:row>
      <xdr:rowOff>138546</xdr:rowOff>
    </xdr:from>
    <xdr:to>
      <xdr:col>3</xdr:col>
      <xdr:colOff>155863</xdr:colOff>
      <xdr:row>249</xdr:row>
      <xdr:rowOff>242455</xdr:rowOff>
    </xdr:to>
    <xdr:sp macro="" textlink="">
      <xdr:nvSpPr>
        <xdr:cNvPr id="36" name="Rechthoek: afgeronde hoeken 35">
          <a:extLst>
            <a:ext uri="{FF2B5EF4-FFF2-40B4-BE49-F238E27FC236}">
              <a16:creationId xmlns:a16="http://schemas.microsoft.com/office/drawing/2014/main" id="{5D53EAD4-4994-44F2-BD5C-4AC2B1107594}"/>
            </a:ext>
          </a:extLst>
        </xdr:cNvPr>
        <xdr:cNvSpPr/>
      </xdr:nvSpPr>
      <xdr:spPr>
        <a:xfrm>
          <a:off x="578348" y="68502646"/>
          <a:ext cx="2152440" cy="45950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b="1">
              <a:solidFill>
                <a:srgbClr val="393D3F"/>
              </a:solidFill>
            </a:rPr>
            <a:t>Koelinstallatie(s)</a:t>
          </a:r>
        </a:p>
        <a:p>
          <a:pPr algn="l"/>
          <a:endParaRPr lang="nl-NL" sz="2000" b="1">
            <a:solidFill>
              <a:srgbClr val="393D3F"/>
            </a:solidFill>
          </a:endParaRPr>
        </a:p>
      </xdr:txBody>
    </xdr:sp>
    <xdr:clientData/>
  </xdr:twoCellAnchor>
  <xdr:twoCellAnchor>
    <xdr:from>
      <xdr:col>1</xdr:col>
      <xdr:colOff>392205</xdr:colOff>
      <xdr:row>253</xdr:row>
      <xdr:rowOff>155864</xdr:rowOff>
    </xdr:from>
    <xdr:to>
      <xdr:col>4</xdr:col>
      <xdr:colOff>1322293</xdr:colOff>
      <xdr:row>254</xdr:row>
      <xdr:rowOff>207818</xdr:rowOff>
    </xdr:to>
    <xdr:sp macro="" textlink="">
      <xdr:nvSpPr>
        <xdr:cNvPr id="37" name="Rechthoek: afgeronde hoeken 36">
          <a:extLst>
            <a:ext uri="{FF2B5EF4-FFF2-40B4-BE49-F238E27FC236}">
              <a16:creationId xmlns:a16="http://schemas.microsoft.com/office/drawing/2014/main" id="{FFD4A1D2-23E8-4DB7-B4F3-C4C1EE5F17C8}"/>
            </a:ext>
          </a:extLst>
        </xdr:cNvPr>
        <xdr:cNvSpPr/>
      </xdr:nvSpPr>
      <xdr:spPr>
        <a:xfrm>
          <a:off x="550955" y="70110639"/>
          <a:ext cx="3870138" cy="448829"/>
        </a:xfrm>
        <a:prstGeom prst="roundRect">
          <a:avLst>
            <a:gd name="adj" fmla="val 16936"/>
          </a:avLst>
        </a:prstGeom>
        <a:solidFill>
          <a:srgbClr val="FDF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rgbClr val="393D3F"/>
              </a:solidFill>
            </a:rPr>
            <a:t>Overige gebouw- of clusterinfo</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C3CAFBA-F927-4640-B996-DDC31052B53F}">
  <we:reference id="wa104381504" version="1.0.0.0" store="nl-NL" storeType="OMEX"/>
  <we:alternateReferences>
    <we:reference id="WA104381504" version="1.0.0.0" store="WA10438150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milieuplatformzorg.nl/" TargetMode="External"/><Relationship Id="rId1" Type="http://schemas.openxmlformats.org/officeDocument/2006/relationships/hyperlink" Target="http://www.stimular.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rgb="FFC6C6B9"/>
  </sheetPr>
  <dimension ref="B1:V40"/>
  <sheetViews>
    <sheetView zoomScale="115" zoomScaleNormal="115" workbookViewId="0">
      <selection activeCell="F12" sqref="F12:I12"/>
    </sheetView>
  </sheetViews>
  <sheetFormatPr defaultColWidth="9.140625" defaultRowHeight="15"/>
  <cols>
    <col min="1" max="1" width="2.7109375" style="25" customWidth="1"/>
    <col min="2" max="2" width="6.7109375" style="25" customWidth="1"/>
    <col min="3" max="3" width="10" style="25" customWidth="1"/>
    <col min="4" max="4" width="9.140625" style="25" customWidth="1"/>
    <col min="5" max="7" width="9.140625" style="25"/>
    <col min="8" max="8" width="6.42578125" style="25" customWidth="1"/>
    <col min="9" max="9" width="12" style="25" customWidth="1"/>
    <col min="10" max="10" width="10.28515625" style="25" customWidth="1"/>
    <col min="11" max="11" width="6.42578125" style="25" customWidth="1"/>
    <col min="12" max="12" width="9.140625" style="25"/>
    <col min="13" max="13" width="18.7109375" style="25" customWidth="1"/>
    <col min="14" max="14" width="6.28515625" style="25" customWidth="1"/>
    <col min="15" max="15" width="9.140625" style="25"/>
    <col min="16" max="16" width="34.5703125" style="25" bestFit="1" customWidth="1"/>
    <col min="17" max="16384" width="9.140625" style="25"/>
  </cols>
  <sheetData>
    <row r="1" spans="2:16" ht="13.5" customHeight="1">
      <c r="B1" s="7"/>
      <c r="C1" s="7"/>
      <c r="D1" s="7"/>
      <c r="E1" s="7"/>
      <c r="F1" s="7"/>
      <c r="G1" s="7"/>
      <c r="H1" s="7"/>
      <c r="I1" s="7"/>
      <c r="J1" s="7"/>
      <c r="K1" s="7"/>
      <c r="L1" s="7"/>
      <c r="M1" s="7"/>
      <c r="N1" s="7"/>
      <c r="O1" s="7"/>
    </row>
    <row r="2" spans="2:16" ht="36.75" customHeight="1">
      <c r="B2" s="104" t="s">
        <v>17</v>
      </c>
      <c r="C2" s="773" t="s">
        <v>639</v>
      </c>
      <c r="D2" s="773"/>
      <c r="E2" s="773"/>
      <c r="F2" s="773"/>
      <c r="G2" s="773"/>
      <c r="H2" s="773"/>
      <c r="I2" s="773"/>
      <c r="J2" s="773"/>
      <c r="K2" s="773"/>
      <c r="L2" s="773"/>
      <c r="M2" s="773"/>
      <c r="N2" s="104"/>
      <c r="O2" s="7"/>
      <c r="P2" s="26"/>
    </row>
    <row r="3" spans="2:16" ht="36" customHeight="1">
      <c r="B3" s="104"/>
      <c r="C3" s="773"/>
      <c r="D3" s="773"/>
      <c r="E3" s="773"/>
      <c r="F3" s="773"/>
      <c r="G3" s="773"/>
      <c r="H3" s="773"/>
      <c r="I3" s="773"/>
      <c r="J3" s="773"/>
      <c r="K3" s="773"/>
      <c r="L3" s="773"/>
      <c r="M3" s="773"/>
      <c r="N3" s="104"/>
      <c r="O3" s="7"/>
    </row>
    <row r="4" spans="2:16" ht="26.25" customHeight="1">
      <c r="B4" s="9"/>
      <c r="C4" s="30"/>
      <c r="D4" s="30"/>
      <c r="E4" s="30"/>
      <c r="F4" s="774" t="s">
        <v>635</v>
      </c>
      <c r="G4" s="774"/>
      <c r="H4" s="774"/>
      <c r="I4" s="774"/>
      <c r="J4" s="774"/>
      <c r="K4" s="774"/>
      <c r="L4" s="774"/>
      <c r="M4" s="774"/>
      <c r="N4" s="774"/>
      <c r="O4" s="7"/>
      <c r="P4" s="27"/>
    </row>
    <row r="5" spans="2:16" ht="8.25" customHeight="1">
      <c r="B5" s="9"/>
      <c r="C5" s="30"/>
      <c r="D5" s="30"/>
      <c r="E5" s="30"/>
      <c r="F5" s="30"/>
      <c r="G5" s="30"/>
      <c r="H5" s="30"/>
      <c r="I5" s="30"/>
      <c r="J5" s="30"/>
      <c r="K5" s="32"/>
      <c r="L5" s="32"/>
      <c r="M5" s="32"/>
      <c r="N5" s="9"/>
      <c r="O5" s="7"/>
    </row>
    <row r="6" spans="2:16" ht="14.25" customHeight="1">
      <c r="B6" s="60"/>
      <c r="C6" s="58" t="s">
        <v>40</v>
      </c>
      <c r="D6" s="33" t="s">
        <v>842</v>
      </c>
      <c r="E6" s="33"/>
      <c r="F6" s="31"/>
      <c r="G6" s="30"/>
      <c r="H6" s="30"/>
      <c r="I6" s="30"/>
      <c r="J6" s="30"/>
      <c r="K6" s="776"/>
      <c r="L6" s="776"/>
      <c r="M6" s="776"/>
      <c r="N6" s="61"/>
      <c r="O6" s="7"/>
    </row>
    <row r="7" spans="2:16">
      <c r="B7" s="9"/>
      <c r="C7" s="58" t="s">
        <v>13</v>
      </c>
      <c r="D7" s="33" t="s">
        <v>683</v>
      </c>
      <c r="E7" s="33"/>
      <c r="F7" s="31"/>
      <c r="G7" s="30"/>
      <c r="H7" s="30"/>
      <c r="I7" s="30"/>
      <c r="J7" s="30"/>
      <c r="K7" s="776"/>
      <c r="L7" s="776"/>
      <c r="M7" s="776"/>
      <c r="N7" s="61"/>
      <c r="O7" s="7"/>
    </row>
    <row r="8" spans="2:16" ht="15.75" customHeight="1">
      <c r="B8" s="9"/>
      <c r="C8" s="34" t="s">
        <v>136</v>
      </c>
      <c r="D8" s="775" t="s">
        <v>135</v>
      </c>
      <c r="E8" s="775"/>
      <c r="F8" s="31"/>
      <c r="G8" s="30"/>
      <c r="H8" s="30"/>
      <c r="I8" s="30"/>
      <c r="J8" s="30"/>
      <c r="K8" s="776"/>
      <c r="L8" s="776"/>
      <c r="M8" s="776"/>
      <c r="N8" s="61"/>
      <c r="O8" s="7"/>
    </row>
    <row r="9" spans="2:16">
      <c r="B9" s="9"/>
      <c r="C9" s="59"/>
      <c r="D9" s="775"/>
      <c r="E9" s="775"/>
      <c r="F9" s="31"/>
      <c r="G9" s="30"/>
      <c r="H9" s="30"/>
      <c r="I9" s="30"/>
      <c r="J9" s="30"/>
      <c r="K9" s="776"/>
      <c r="L9" s="776"/>
      <c r="M9" s="776"/>
      <c r="N9" s="9"/>
      <c r="O9" s="7"/>
    </row>
    <row r="10" spans="2:16">
      <c r="B10" s="9"/>
      <c r="C10" s="59"/>
      <c r="D10" s="775"/>
      <c r="E10" s="775"/>
      <c r="F10" s="31"/>
      <c r="G10" s="30"/>
      <c r="H10" s="30"/>
      <c r="I10" s="30"/>
      <c r="J10" s="30"/>
      <c r="K10" s="776"/>
      <c r="L10" s="776"/>
      <c r="M10" s="776"/>
      <c r="N10" s="9"/>
      <c r="O10" s="7"/>
    </row>
    <row r="11" spans="2:16" ht="20.25" customHeight="1">
      <c r="B11" s="8"/>
      <c r="C11" s="8"/>
      <c r="D11" s="8"/>
      <c r="E11" s="97"/>
      <c r="F11" s="8"/>
      <c r="G11" s="8"/>
      <c r="H11" s="8"/>
      <c r="I11" s="8"/>
      <c r="J11" s="13"/>
      <c r="K11" s="13"/>
      <c r="L11" s="13"/>
      <c r="M11" s="103"/>
      <c r="N11" s="8"/>
      <c r="O11" s="7"/>
    </row>
    <row r="12" spans="2:16" ht="15" customHeight="1">
      <c r="B12" s="8"/>
      <c r="C12" s="8"/>
      <c r="D12" s="8"/>
      <c r="E12" s="98" t="s">
        <v>636</v>
      </c>
      <c r="F12" s="768" t="s">
        <v>862</v>
      </c>
      <c r="G12" s="769"/>
      <c r="H12" s="769"/>
      <c r="I12" s="770"/>
      <c r="J12" s="13"/>
      <c r="K12" s="771" t="s">
        <v>12</v>
      </c>
      <c r="L12" s="771"/>
      <c r="M12" s="771"/>
      <c r="N12" s="8"/>
      <c r="O12" s="7"/>
    </row>
    <row r="13" spans="2:16" ht="3" customHeight="1">
      <c r="B13" s="8"/>
      <c r="C13" s="8"/>
      <c r="D13" s="8"/>
      <c r="E13" s="98"/>
      <c r="F13" s="13"/>
      <c r="G13" s="13"/>
      <c r="H13" s="13"/>
      <c r="I13" s="13"/>
      <c r="J13" s="13"/>
      <c r="K13" s="755"/>
      <c r="L13" s="755"/>
      <c r="M13" s="755"/>
      <c r="N13" s="8"/>
      <c r="O13" s="7"/>
    </row>
    <row r="14" spans="2:16" ht="15" customHeight="1">
      <c r="B14" s="8"/>
      <c r="C14" s="8"/>
      <c r="D14" s="8"/>
      <c r="E14" s="98" t="s">
        <v>656</v>
      </c>
      <c r="F14" s="768" t="s">
        <v>662</v>
      </c>
      <c r="G14" s="769"/>
      <c r="H14" s="769"/>
      <c r="I14" s="770"/>
      <c r="J14" s="13"/>
      <c r="K14" s="771" t="s">
        <v>637</v>
      </c>
      <c r="L14" s="771"/>
      <c r="M14" s="755"/>
      <c r="N14" s="8"/>
      <c r="O14" s="7"/>
    </row>
    <row r="15" spans="2:16" ht="13.5" customHeight="1">
      <c r="B15" s="8"/>
      <c r="C15" s="8"/>
      <c r="D15" s="99"/>
      <c r="E15" s="100"/>
      <c r="F15" s="101"/>
      <c r="G15" s="101"/>
      <c r="H15" s="101"/>
      <c r="I15" s="101"/>
      <c r="J15" s="13"/>
      <c r="K15" s="102"/>
      <c r="L15" s="102"/>
      <c r="M15" s="102"/>
      <c r="N15" s="8"/>
      <c r="O15" s="7"/>
    </row>
    <row r="16" spans="2:16" ht="15" customHeight="1">
      <c r="B16" s="8"/>
      <c r="C16" s="8"/>
      <c r="D16" s="8"/>
      <c r="E16" s="98" t="s">
        <v>137</v>
      </c>
      <c r="F16" s="768" t="s">
        <v>745</v>
      </c>
      <c r="G16" s="769"/>
      <c r="H16" s="769"/>
      <c r="I16" s="770"/>
      <c r="J16" s="13"/>
      <c r="K16" s="102"/>
      <c r="L16" s="8"/>
      <c r="M16" s="8"/>
      <c r="N16" s="8"/>
      <c r="O16" s="7"/>
    </row>
    <row r="17" spans="2:22" ht="2.25" customHeight="1">
      <c r="B17" s="8"/>
      <c r="C17" s="8"/>
      <c r="D17" s="99"/>
      <c r="E17" s="100"/>
      <c r="F17" s="101"/>
      <c r="G17" s="101"/>
      <c r="H17" s="101"/>
      <c r="I17" s="101"/>
      <c r="J17" s="13"/>
      <c r="K17" s="102"/>
      <c r="L17" s="8"/>
      <c r="M17" s="8"/>
      <c r="N17" s="8"/>
      <c r="O17" s="7"/>
    </row>
    <row r="18" spans="2:22" ht="15" customHeight="1">
      <c r="B18" s="8"/>
      <c r="C18" s="8"/>
      <c r="D18" s="99"/>
      <c r="E18" s="98" t="s">
        <v>836</v>
      </c>
      <c r="F18" s="768" t="s">
        <v>837</v>
      </c>
      <c r="G18" s="769"/>
      <c r="H18" s="769"/>
      <c r="I18" s="770"/>
      <c r="J18" s="13"/>
      <c r="K18" s="102"/>
      <c r="L18" s="8"/>
      <c r="M18" s="8"/>
      <c r="N18" s="8"/>
      <c r="O18" s="7"/>
    </row>
    <row r="19" spans="2:22" ht="2.25" customHeight="1">
      <c r="B19" s="8"/>
      <c r="C19" s="8"/>
      <c r="D19" s="99"/>
      <c r="E19" s="100"/>
      <c r="F19" s="101"/>
      <c r="G19" s="101"/>
      <c r="H19" s="101"/>
      <c r="I19" s="101"/>
      <c r="J19" s="13"/>
      <c r="K19" s="102"/>
      <c r="L19" s="8"/>
      <c r="M19" s="8"/>
      <c r="N19" s="8"/>
      <c r="O19" s="7"/>
    </row>
    <row r="20" spans="2:22" ht="15" customHeight="1">
      <c r="B20" s="8"/>
      <c r="C20" s="8"/>
      <c r="D20" s="99"/>
      <c r="E20" s="98" t="s">
        <v>835</v>
      </c>
      <c r="F20" s="768" t="s">
        <v>838</v>
      </c>
      <c r="G20" s="769"/>
      <c r="H20" s="769"/>
      <c r="I20" s="770"/>
      <c r="J20" s="13"/>
      <c r="K20" s="102"/>
      <c r="L20" s="8"/>
      <c r="M20" s="8"/>
      <c r="N20" s="8"/>
      <c r="O20" s="7"/>
    </row>
    <row r="21" spans="2:22" ht="12" customHeight="1">
      <c r="B21" s="8"/>
      <c r="C21" s="8"/>
      <c r="D21" s="99"/>
      <c r="E21" s="100"/>
      <c r="F21" s="101"/>
      <c r="G21" s="101"/>
      <c r="H21" s="101"/>
      <c r="I21" s="101"/>
      <c r="J21" s="13"/>
      <c r="K21" s="102"/>
      <c r="L21" s="8"/>
      <c r="M21" s="8"/>
      <c r="N21" s="8"/>
      <c r="O21" s="7"/>
    </row>
    <row r="22" spans="2:22" ht="6" customHeight="1">
      <c r="B22" s="8"/>
      <c r="C22" s="8"/>
      <c r="D22" s="99"/>
      <c r="E22" s="100"/>
      <c r="F22" s="101"/>
      <c r="G22" s="101"/>
      <c r="H22" s="101"/>
      <c r="I22" s="101"/>
      <c r="J22" s="13"/>
      <c r="K22" s="102"/>
      <c r="L22" s="8"/>
      <c r="M22" s="8"/>
      <c r="N22" s="8"/>
      <c r="O22" s="7"/>
    </row>
    <row r="23" spans="2:22" ht="6.75" customHeight="1">
      <c r="B23" s="8"/>
      <c r="C23" s="8"/>
      <c r="D23" s="99"/>
      <c r="E23" s="100"/>
      <c r="F23" s="101"/>
      <c r="G23" s="101"/>
      <c r="H23" s="101"/>
      <c r="I23" s="101"/>
      <c r="J23" s="13"/>
      <c r="K23" s="102"/>
      <c r="L23" s="8"/>
      <c r="M23" s="8"/>
      <c r="N23" s="8"/>
      <c r="O23" s="7"/>
    </row>
    <row r="24" spans="2:22">
      <c r="B24" s="29"/>
      <c r="C24" s="29"/>
      <c r="D24" s="29"/>
      <c r="E24" s="29"/>
      <c r="F24" s="29"/>
      <c r="G24" s="29"/>
      <c r="H24" s="29"/>
      <c r="I24" s="29"/>
      <c r="J24" s="29"/>
      <c r="K24" s="29"/>
      <c r="L24" s="29"/>
      <c r="M24" s="29"/>
      <c r="N24" s="29"/>
      <c r="O24" s="28"/>
      <c r="V24" s="7"/>
    </row>
    <row r="25" spans="2:22" ht="31.5" customHeight="1">
      <c r="B25" s="62"/>
      <c r="C25" s="62"/>
      <c r="D25" s="62"/>
      <c r="E25" s="772" t="s">
        <v>710</v>
      </c>
      <c r="F25" s="772"/>
      <c r="G25" s="772"/>
      <c r="H25" s="772"/>
      <c r="I25" s="772"/>
      <c r="J25" s="772"/>
      <c r="K25" s="772"/>
      <c r="L25" s="772"/>
      <c r="M25" s="772"/>
      <c r="N25" s="686"/>
    </row>
    <row r="29" spans="2:22" ht="18.75">
      <c r="B29" s="26"/>
      <c r="O29" s="27"/>
    </row>
    <row r="31" spans="2:22">
      <c r="B31" s="27"/>
    </row>
    <row r="32" spans="2:22">
      <c r="I32" s="25" t="s">
        <v>96</v>
      </c>
    </row>
    <row r="33" spans="2:2">
      <c r="B33" s="27"/>
    </row>
    <row r="34" spans="2:2">
      <c r="B34" s="27"/>
    </row>
    <row r="35" spans="2:2">
      <c r="B35" s="27"/>
    </row>
    <row r="36" spans="2:2">
      <c r="B36" s="27"/>
    </row>
    <row r="37" spans="2:2">
      <c r="B37" s="27"/>
    </row>
    <row r="38" spans="2:2">
      <c r="B38" s="27"/>
    </row>
    <row r="40" spans="2:2">
      <c r="B40" s="27"/>
    </row>
  </sheetData>
  <sheetProtection algorithmName="SHA-512" hashValue="XIhpf4Z6WwVE2qEDKf6zGQS0IN0IKWAIN55wgjnUIgEZAUoMLT3BKCv9YnCtX5HWxquVjIFGWOUCkRfKW6FQKg==" saltValue="Hau9939XXE50OxA0tK3JKQ==" spinCount="100000" sheet="1" objects="1" scenarios="1" selectLockedCells="1" autoFilter="0"/>
  <mergeCells count="12">
    <mergeCell ref="F14:I14"/>
    <mergeCell ref="K12:M12"/>
    <mergeCell ref="K14:L14"/>
    <mergeCell ref="E25:M25"/>
    <mergeCell ref="C2:M3"/>
    <mergeCell ref="F4:N4"/>
    <mergeCell ref="F12:I12"/>
    <mergeCell ref="F16:I16"/>
    <mergeCell ref="D8:E10"/>
    <mergeCell ref="K6:M10"/>
    <mergeCell ref="F18:I18"/>
    <mergeCell ref="F20:I20"/>
  </mergeCells>
  <hyperlinks>
    <hyperlink ref="K14" r:id="rId1" xr:uid="{5EC68E2D-DBAC-451B-B745-5BDD9D87AFB2}"/>
    <hyperlink ref="K12:M12" r:id="rId2" display="www.milieuplatformzorg.nl" xr:uid="{9081C1A6-98B9-4F16-A1A8-EB3A44E68364}"/>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BD04-13E0-4B69-97E3-B3A74A59AEDC}">
  <sheetPr codeName="Blad39">
    <tabColor rgb="FFC9E0E1"/>
    <pageSetUpPr fitToPage="1"/>
  </sheetPr>
  <dimension ref="A1:HS261"/>
  <sheetViews>
    <sheetView zoomScale="5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f ca="1">IFERROR(AH1,"Let op! De naam van dit tabblad komt niet overeen met een van de opgegeven locaties in het tabblad 'Cijfers'! Wijzig de naam van dit tabblad in de overzichtsbalk onderin het scherm.")</f>
        <v>3</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f ca="1">MATCH(E2,Cijfers!D5:D54,0)</f>
        <v>3</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Locatie3</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v>3158</v>
      </c>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2779.04</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64">
        <v>5</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1</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v>1984</v>
      </c>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v>2031</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Ja</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851</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0</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0</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487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767">
        <v>128132</v>
      </c>
      <c r="V31" s="767">
        <v>128132</v>
      </c>
      <c r="W31" s="767"/>
      <c r="X31" s="767"/>
      <c r="Y31" s="767"/>
      <c r="Z31" s="767"/>
      <c r="AA31" s="767"/>
      <c r="AB31" s="767">
        <v>128132</v>
      </c>
      <c r="AC31" s="767"/>
      <c r="AD31" s="767"/>
      <c r="AE31" s="767"/>
      <c r="AF31" s="767"/>
      <c r="AG31" s="767"/>
      <c r="AH31" s="767">
        <v>128132</v>
      </c>
      <c r="AI31" s="767"/>
      <c r="AJ31" s="767"/>
      <c r="AK31" s="767"/>
      <c r="AL31" s="767"/>
      <c r="AM31" s="767"/>
      <c r="AN31" s="767">
        <v>128132</v>
      </c>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767">
        <v>51140</v>
      </c>
      <c r="V32" s="767">
        <v>51140</v>
      </c>
      <c r="W32" s="767"/>
      <c r="X32" s="767"/>
      <c r="Y32" s="767"/>
      <c r="Z32" s="767"/>
      <c r="AA32" s="767"/>
      <c r="AB32" s="767">
        <v>51140</v>
      </c>
      <c r="AC32" s="767"/>
      <c r="AD32" s="767"/>
      <c r="AE32" s="767"/>
      <c r="AF32" s="767"/>
      <c r="AG32" s="767"/>
      <c r="AH32" s="767">
        <v>51140</v>
      </c>
      <c r="AI32" s="767"/>
      <c r="AJ32" s="767"/>
      <c r="AK32" s="767"/>
      <c r="AL32" s="767"/>
      <c r="AM32" s="767"/>
      <c r="AN32" s="767">
        <v>51140</v>
      </c>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767">
        <v>0</v>
      </c>
      <c r="V33" s="767"/>
      <c r="W33" s="767"/>
      <c r="X33" s="767"/>
      <c r="Y33" s="767"/>
      <c r="Z33" s="767"/>
      <c r="AA33" s="767"/>
      <c r="AB33" s="767"/>
      <c r="AC33" s="767"/>
      <c r="AD33" s="767"/>
      <c r="AE33" s="767"/>
      <c r="AF33" s="767"/>
      <c r="AG33" s="767"/>
      <c r="AH33" s="767"/>
      <c r="AI33" s="767"/>
      <c r="AJ33" s="767"/>
      <c r="AK33" s="767"/>
      <c r="AL33" s="767"/>
      <c r="AM33" s="767"/>
      <c r="AN33" s="767"/>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628588.04</v>
      </c>
      <c r="V34" s="756">
        <f t="shared" ref="V34:CG34" si="0">V31+(V32*9.786)+(V33*278)</f>
        <v>628588.04</v>
      </c>
      <c r="W34" s="756">
        <f t="shared" si="0"/>
        <v>0</v>
      </c>
      <c r="X34" s="756">
        <f t="shared" si="0"/>
        <v>0</v>
      </c>
      <c r="Y34" s="756">
        <f t="shared" si="0"/>
        <v>0</v>
      </c>
      <c r="Z34" s="756">
        <f t="shared" si="0"/>
        <v>0</v>
      </c>
      <c r="AA34" s="756">
        <f t="shared" si="0"/>
        <v>0</v>
      </c>
      <c r="AB34" s="756">
        <f t="shared" si="0"/>
        <v>628588.04</v>
      </c>
      <c r="AC34" s="756">
        <f t="shared" si="0"/>
        <v>0</v>
      </c>
      <c r="AD34" s="756">
        <f t="shared" si="0"/>
        <v>0</v>
      </c>
      <c r="AE34" s="756">
        <f t="shared" si="0"/>
        <v>0</v>
      </c>
      <c r="AF34" s="756">
        <f t="shared" si="0"/>
        <v>0</v>
      </c>
      <c r="AG34" s="756">
        <f t="shared" si="0"/>
        <v>0</v>
      </c>
      <c r="AH34" s="756">
        <f t="shared" si="0"/>
        <v>628588.04</v>
      </c>
      <c r="AI34" s="756">
        <f t="shared" si="0"/>
        <v>0</v>
      </c>
      <c r="AJ34" s="756">
        <f t="shared" si="0"/>
        <v>0</v>
      </c>
      <c r="AK34" s="756">
        <f t="shared" si="0"/>
        <v>0</v>
      </c>
      <c r="AL34" s="756">
        <f t="shared" si="0"/>
        <v>0</v>
      </c>
      <c r="AM34" s="756">
        <f t="shared" si="0"/>
        <v>0</v>
      </c>
      <c r="AN34" s="756">
        <f t="shared" si="0"/>
        <v>628588.04</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226.18891415740688</v>
      </c>
      <c r="V35" s="757">
        <f t="shared" si="1"/>
        <v>226.18891415740688</v>
      </c>
      <c r="W35" s="757">
        <f t="shared" si="1"/>
        <v>0</v>
      </c>
      <c r="X35" s="757">
        <f t="shared" si="1"/>
        <v>0</v>
      </c>
      <c r="Y35" s="757">
        <f t="shared" si="1"/>
        <v>0</v>
      </c>
      <c r="Z35" s="757">
        <f t="shared" si="1"/>
        <v>0</v>
      </c>
      <c r="AA35" s="757">
        <f t="shared" si="1"/>
        <v>0</v>
      </c>
      <c r="AB35" s="757">
        <f t="shared" si="1"/>
        <v>226.18891415740688</v>
      </c>
      <c r="AC35" s="757">
        <f t="shared" si="1"/>
        <v>0</v>
      </c>
      <c r="AD35" s="757">
        <f t="shared" si="1"/>
        <v>0</v>
      </c>
      <c r="AE35" s="757">
        <f t="shared" si="1"/>
        <v>0</v>
      </c>
      <c r="AF35" s="757">
        <f t="shared" si="1"/>
        <v>0</v>
      </c>
      <c r="AG35" s="757">
        <f t="shared" si="1"/>
        <v>0</v>
      </c>
      <c r="AH35" s="757">
        <f t="shared" si="1"/>
        <v>226.18891415740688</v>
      </c>
      <c r="AI35" s="757">
        <f t="shared" si="1"/>
        <v>0</v>
      </c>
      <c r="AJ35" s="757">
        <f t="shared" si="1"/>
        <v>0</v>
      </c>
      <c r="AK35" s="757">
        <f t="shared" si="1"/>
        <v>0</v>
      </c>
      <c r="AL35" s="757">
        <f t="shared" si="1"/>
        <v>0</v>
      </c>
      <c r="AM35" s="757">
        <f t="shared" si="1"/>
        <v>0</v>
      </c>
      <c r="AN35" s="757">
        <f t="shared" si="1"/>
        <v>226.18891415740688</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767">
        <v>0</v>
      </c>
      <c r="V37" s="767"/>
      <c r="W37" s="767"/>
      <c r="X37" s="767"/>
      <c r="Y37" s="767"/>
      <c r="Z37" s="767"/>
      <c r="AA37" s="767"/>
      <c r="AB37" s="767"/>
      <c r="AC37" s="767"/>
      <c r="AD37" s="767"/>
      <c r="AE37" s="767"/>
      <c r="AF37" s="767"/>
      <c r="AG37" s="767"/>
      <c r="AH37" s="767"/>
      <c r="AI37" s="767"/>
      <c r="AJ37" s="767"/>
      <c r="AK37" s="767"/>
      <c r="AL37" s="767"/>
      <c r="AM37" s="767"/>
      <c r="AN37" s="76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628588.04</v>
      </c>
      <c r="V38" s="756">
        <f t="shared" ref="V38:CG38" si="3">V31+(V32*9.786)+(V33*278)+V37</f>
        <v>628588.04</v>
      </c>
      <c r="W38" s="756">
        <f t="shared" si="3"/>
        <v>0</v>
      </c>
      <c r="X38" s="756">
        <f t="shared" si="3"/>
        <v>0</v>
      </c>
      <c r="Y38" s="756">
        <f t="shared" si="3"/>
        <v>0</v>
      </c>
      <c r="Z38" s="756">
        <f t="shared" si="3"/>
        <v>0</v>
      </c>
      <c r="AA38" s="756">
        <f t="shared" si="3"/>
        <v>0</v>
      </c>
      <c r="AB38" s="756">
        <f t="shared" si="3"/>
        <v>628588.04</v>
      </c>
      <c r="AC38" s="756">
        <f t="shared" si="3"/>
        <v>0</v>
      </c>
      <c r="AD38" s="756">
        <f t="shared" si="3"/>
        <v>0</v>
      </c>
      <c r="AE38" s="756">
        <f t="shared" si="3"/>
        <v>0</v>
      </c>
      <c r="AF38" s="756">
        <f t="shared" si="3"/>
        <v>0</v>
      </c>
      <c r="AG38" s="756">
        <f t="shared" si="3"/>
        <v>0</v>
      </c>
      <c r="AH38" s="756">
        <f t="shared" si="3"/>
        <v>628588.04</v>
      </c>
      <c r="AI38" s="756">
        <f t="shared" si="3"/>
        <v>0</v>
      </c>
      <c r="AJ38" s="756">
        <f t="shared" si="3"/>
        <v>0</v>
      </c>
      <c r="AK38" s="756">
        <f t="shared" si="3"/>
        <v>0</v>
      </c>
      <c r="AL38" s="756">
        <f t="shared" si="3"/>
        <v>0</v>
      </c>
      <c r="AM38" s="756">
        <f t="shared" si="3"/>
        <v>0</v>
      </c>
      <c r="AN38" s="756">
        <f t="shared" si="3"/>
        <v>628588.04</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customHeight="1">
      <c r="B44" s="488">
        <v>0</v>
      </c>
      <c r="C44" s="489" t="s">
        <v>440</v>
      </c>
      <c r="D44" s="490" t="s">
        <v>493</v>
      </c>
      <c r="E44" s="491" t="s">
        <v>457</v>
      </c>
      <c r="F44" s="492"/>
      <c r="G44" s="493"/>
      <c r="H44" s="146" t="s">
        <v>486</v>
      </c>
      <c r="I44" s="494" t="str">
        <f t="shared" ref="I44:I107" si="4">IF(H44="X","n.v.t.",IF(H44="I","ons",IF(H44="V","verhuurder",IF(H44="H","huurder",""))))</f>
        <v>ons</v>
      </c>
      <c r="J44" s="495"/>
      <c r="K44" s="151">
        <v>0</v>
      </c>
      <c r="L44" s="256"/>
      <c r="M44" s="256">
        <f>IF($C$5&lt;3000,(Bron!H33*$C$5)+Bron!I33,(Bron!M33*$C$5)+Bron!N33)</f>
        <v>0</v>
      </c>
      <c r="N44" s="496"/>
      <c r="O44" s="497" t="str">
        <f t="shared" ref="O44:O89" si="5">IF(N44=0,"",(L44+M44)/N44)</f>
        <v/>
      </c>
      <c r="P44" s="257"/>
      <c r="Q44" s="257"/>
      <c r="R44" s="257"/>
      <c r="S44" s="344"/>
      <c r="T44" s="258">
        <f t="shared" ref="T44:T107" si="6">K44+V44+AB44+AH44+AN44+AT44+AZ44+BF44+BL44+BR44+BX44+CD44+CJ44+CP44+CV44+DB44+DH44+DN44+DT44+DZ44+EF44+EL44+ER44+EX44+FD44+FJ44+FP44+FV44+GB44+GH44+GN44+GT44+GZ44</f>
        <v>0</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c r="BY44" s="676">
        <f t="shared" ref="BY44:BY107" si="26">+BX44*($L44+$M44)</f>
        <v>0</v>
      </c>
      <c r="BZ44" s="677">
        <f t="shared" ref="BZ44:BZ107" si="27">$P44*BX44</f>
        <v>0</v>
      </c>
      <c r="CA44" s="677"/>
      <c r="CB44" s="678">
        <f>BX44*((-$P44/32)-$R44)</f>
        <v>0</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1</v>
      </c>
      <c r="HJ44" s="8"/>
    </row>
    <row r="45" spans="1:227" ht="26.25" customHeight="1">
      <c r="B45" s="488">
        <v>1</v>
      </c>
      <c r="C45" s="489" t="s">
        <v>142</v>
      </c>
      <c r="D45" s="490" t="s">
        <v>141</v>
      </c>
      <c r="E45" s="491" t="s">
        <v>143</v>
      </c>
      <c r="F45" s="492"/>
      <c r="G45" s="493"/>
      <c r="H45" s="146" t="s">
        <v>97</v>
      </c>
      <c r="I45" s="494" t="str">
        <f t="shared" si="4"/>
        <v>n.v.t.</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c r="B46" s="488">
        <v>2</v>
      </c>
      <c r="C46" s="489" t="s">
        <v>142</v>
      </c>
      <c r="D46" s="490" t="s">
        <v>144</v>
      </c>
      <c r="E46" s="491" t="s">
        <v>403</v>
      </c>
      <c r="F46" s="492"/>
      <c r="G46" s="493"/>
      <c r="H46" s="146" t="s">
        <v>97</v>
      </c>
      <c r="I46" s="494" t="str">
        <f t="shared" si="4"/>
        <v>n.v.t.</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c r="B47" s="488">
        <v>3</v>
      </c>
      <c r="C47" s="489" t="s">
        <v>142</v>
      </c>
      <c r="D47" s="490" t="s">
        <v>5</v>
      </c>
      <c r="E47" s="491" t="s">
        <v>145</v>
      </c>
      <c r="F47" s="492"/>
      <c r="G47" s="493"/>
      <c r="H47" s="146" t="s">
        <v>97</v>
      </c>
      <c r="I47" s="494" t="str">
        <f t="shared" si="4"/>
        <v>n.v.t.</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c r="B48" s="488">
        <v>4</v>
      </c>
      <c r="C48" s="489" t="s">
        <v>142</v>
      </c>
      <c r="D48" s="490" t="s">
        <v>6</v>
      </c>
      <c r="E48" s="491" t="s">
        <v>146</v>
      </c>
      <c r="F48" s="504"/>
      <c r="G48" s="505"/>
      <c r="H48" s="146" t="s">
        <v>97</v>
      </c>
      <c r="I48" s="494" t="str">
        <f t="shared" si="4"/>
        <v>n.v.t.</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c r="B49" s="488">
        <v>5</v>
      </c>
      <c r="C49" s="489" t="s">
        <v>142</v>
      </c>
      <c r="D49" s="490" t="s">
        <v>292</v>
      </c>
      <c r="E49" s="491" t="s">
        <v>293</v>
      </c>
      <c r="F49" s="492"/>
      <c r="G49" s="493"/>
      <c r="H49" s="146" t="s">
        <v>97</v>
      </c>
      <c r="I49" s="494" t="str">
        <f t="shared" si="4"/>
        <v>n.v.t.</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c r="B50" s="488">
        <v>6</v>
      </c>
      <c r="C50" s="489" t="s">
        <v>142</v>
      </c>
      <c r="D50" s="490" t="s">
        <v>294</v>
      </c>
      <c r="E50" s="491" t="s">
        <v>404</v>
      </c>
      <c r="F50" s="492"/>
      <c r="G50" s="493"/>
      <c r="H50" s="146" t="s">
        <v>97</v>
      </c>
      <c r="I50" s="494" t="str">
        <f t="shared" si="4"/>
        <v>n.v.t.</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c r="B51" s="488">
        <v>7</v>
      </c>
      <c r="C51" s="489" t="s">
        <v>142</v>
      </c>
      <c r="D51" s="490" t="s">
        <v>295</v>
      </c>
      <c r="E51" s="491" t="s">
        <v>296</v>
      </c>
      <c r="F51" s="492"/>
      <c r="G51" s="493"/>
      <c r="H51" s="146" t="s">
        <v>97</v>
      </c>
      <c r="I51" s="494" t="str">
        <f t="shared" si="4"/>
        <v>n.v.t.</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c r="B52" s="488">
        <v>8</v>
      </c>
      <c r="C52" s="489" t="s">
        <v>142</v>
      </c>
      <c r="D52" s="490" t="s">
        <v>297</v>
      </c>
      <c r="E52" s="491" t="s">
        <v>405</v>
      </c>
      <c r="F52" s="492"/>
      <c r="G52" s="493"/>
      <c r="H52" s="146" t="s">
        <v>97</v>
      </c>
      <c r="I52" s="494" t="str">
        <f t="shared" si="4"/>
        <v>n.v.t.</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collapsed="1">
      <c r="B53" s="488">
        <v>9</v>
      </c>
      <c r="C53" s="489" t="s">
        <v>298</v>
      </c>
      <c r="D53" s="490" t="s">
        <v>23</v>
      </c>
      <c r="E53" s="491" t="s">
        <v>299</v>
      </c>
      <c r="F53" s="492"/>
      <c r="G53" s="493"/>
      <c r="H53" s="146" t="s">
        <v>97</v>
      </c>
      <c r="I53" s="494" t="str">
        <f t="shared" si="4"/>
        <v>n.v.t.</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c r="B54" s="488">
        <v>10</v>
      </c>
      <c r="C54" s="489" t="s">
        <v>298</v>
      </c>
      <c r="D54" s="490" t="s">
        <v>300</v>
      </c>
      <c r="E54" s="491" t="s">
        <v>406</v>
      </c>
      <c r="F54" s="492"/>
      <c r="G54" s="493"/>
      <c r="H54" s="146" t="s">
        <v>97</v>
      </c>
      <c r="I54" s="494" t="str">
        <f t="shared" si="4"/>
        <v>n.v.t.</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c r="B55" s="488">
        <v>11</v>
      </c>
      <c r="C55" s="489" t="s">
        <v>298</v>
      </c>
      <c r="D55" s="490" t="s">
        <v>301</v>
      </c>
      <c r="E55" s="491" t="s">
        <v>407</v>
      </c>
      <c r="F55" s="492"/>
      <c r="G55" s="493"/>
      <c r="H55" s="146" t="s">
        <v>97</v>
      </c>
      <c r="I55" s="494" t="str">
        <f t="shared" si="4"/>
        <v>n.v.t.</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c r="B56" s="488">
        <v>12</v>
      </c>
      <c r="C56" s="489" t="s">
        <v>298</v>
      </c>
      <c r="D56" s="490" t="s">
        <v>302</v>
      </c>
      <c r="E56" s="491" t="s">
        <v>303</v>
      </c>
      <c r="F56" s="492"/>
      <c r="G56" s="493"/>
      <c r="H56" s="146" t="s">
        <v>97</v>
      </c>
      <c r="I56" s="494" t="str">
        <f t="shared" si="4"/>
        <v>n.v.t.</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c r="B57" s="488">
        <v>13</v>
      </c>
      <c r="C57" s="489" t="s">
        <v>298</v>
      </c>
      <c r="D57" s="490" t="s">
        <v>304</v>
      </c>
      <c r="E57" s="491" t="s">
        <v>305</v>
      </c>
      <c r="F57" s="492"/>
      <c r="G57" s="493"/>
      <c r="H57" s="146" t="s">
        <v>97</v>
      </c>
      <c r="I57" s="494" t="str">
        <f t="shared" si="4"/>
        <v>n.v.t.</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c r="B58" s="488">
        <v>14</v>
      </c>
      <c r="C58" s="489" t="s">
        <v>298</v>
      </c>
      <c r="D58" s="490" t="s">
        <v>306</v>
      </c>
      <c r="E58" s="491" t="s">
        <v>307</v>
      </c>
      <c r="F58" s="492"/>
      <c r="G58" s="493"/>
      <c r="H58" s="146" t="s">
        <v>97</v>
      </c>
      <c r="I58" s="494" t="str">
        <f t="shared" si="4"/>
        <v>n.v.t.</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c r="B59" s="488">
        <v>15</v>
      </c>
      <c r="C59" s="489" t="s">
        <v>298</v>
      </c>
      <c r="D59" s="490" t="s">
        <v>308</v>
      </c>
      <c r="E59" s="491" t="s">
        <v>309</v>
      </c>
      <c r="F59" s="492"/>
      <c r="G59" s="493"/>
      <c r="H59" s="146" t="s">
        <v>97</v>
      </c>
      <c r="I59" s="494" t="str">
        <f t="shared" si="4"/>
        <v>n.v.t.</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c r="B60" s="488">
        <v>16</v>
      </c>
      <c r="C60" s="489" t="s">
        <v>298</v>
      </c>
      <c r="D60" s="490" t="s">
        <v>310</v>
      </c>
      <c r="E60" s="491" t="s">
        <v>408</v>
      </c>
      <c r="F60" s="492"/>
      <c r="G60" s="493"/>
      <c r="H60" s="146" t="s">
        <v>97</v>
      </c>
      <c r="I60" s="494" t="str">
        <f t="shared" si="4"/>
        <v>n.v.t.</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97</v>
      </c>
      <c r="I61" s="494" t="str">
        <f t="shared" si="4"/>
        <v>n.v.t.</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97</v>
      </c>
      <c r="I62" s="494" t="str">
        <f t="shared" si="4"/>
        <v>n.v.t.</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97</v>
      </c>
      <c r="I63" s="494" t="str">
        <f t="shared" si="4"/>
        <v>n.v.t.</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97</v>
      </c>
      <c r="I64" s="494" t="str">
        <f t="shared" si="4"/>
        <v>n.v.t.</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97</v>
      </c>
      <c r="I65" s="494" t="str">
        <f t="shared" si="4"/>
        <v>n.v.t.</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c r="B66" s="488">
        <v>22</v>
      </c>
      <c r="C66" s="489" t="s">
        <v>156</v>
      </c>
      <c r="D66" s="490" t="s">
        <v>155</v>
      </c>
      <c r="E66" s="491" t="s">
        <v>411</v>
      </c>
      <c r="F66" s="492"/>
      <c r="G66" s="493"/>
      <c r="H66" s="146" t="s">
        <v>97</v>
      </c>
      <c r="I66" s="494" t="str">
        <f t="shared" si="4"/>
        <v>n.v.t.</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c r="B67" s="488">
        <v>23</v>
      </c>
      <c r="C67" s="489" t="s">
        <v>156</v>
      </c>
      <c r="D67" s="490" t="s">
        <v>157</v>
      </c>
      <c r="E67" s="491" t="s">
        <v>158</v>
      </c>
      <c r="F67" s="492"/>
      <c r="G67" s="493"/>
      <c r="H67" s="146" t="s">
        <v>97</v>
      </c>
      <c r="I67" s="494" t="str">
        <f t="shared" si="4"/>
        <v>n.v.t.</v>
      </c>
      <c r="J67" s="495" t="s">
        <v>487</v>
      </c>
      <c r="K67" s="151">
        <v>0</v>
      </c>
      <c r="L67" s="256">
        <f>IF($C$5&lt;3000,(Bron!H56*$C$5)+Bron!I56,(Bron!M56*$C$5)+Bron!N56)</f>
        <v>1000</v>
      </c>
      <c r="M67" s="256"/>
      <c r="N67" s="496">
        <f t="shared" si="41"/>
        <v>325.45528000000002</v>
      </c>
      <c r="O67" s="497">
        <f t="shared" si="5"/>
        <v>3.0726187634749693</v>
      </c>
      <c r="P67" s="257">
        <f>IF($C$5&lt;3000,$AN$32*Bron!J56,$AN$32*Bron!O56)</f>
        <v>0</v>
      </c>
      <c r="Q67" s="257">
        <f>IF($C$5&lt;3000,$AN$31*Bron!K56,$AN$31*Bron!P56)</f>
        <v>1281.32</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c r="B68" s="488">
        <v>24</v>
      </c>
      <c r="C68" s="489" t="s">
        <v>156</v>
      </c>
      <c r="D68" s="490" t="s">
        <v>159</v>
      </c>
      <c r="E68" s="491" t="s">
        <v>160</v>
      </c>
      <c r="F68" s="492"/>
      <c r="G68" s="493"/>
      <c r="H68" s="146" t="s">
        <v>97</v>
      </c>
      <c r="I68" s="494" t="str">
        <f t="shared" si="4"/>
        <v>n.v.t.</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c r="B69" s="488">
        <v>25</v>
      </c>
      <c r="C69" s="489" t="s">
        <v>156</v>
      </c>
      <c r="D69" s="490" t="s">
        <v>161</v>
      </c>
      <c r="E69" s="491" t="s">
        <v>162</v>
      </c>
      <c r="F69" s="492"/>
      <c r="G69" s="493"/>
      <c r="H69" s="146" t="s">
        <v>97</v>
      </c>
      <c r="I69" s="494" t="str">
        <f t="shared" si="4"/>
        <v>n.v.t.</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c r="B70" s="488">
        <v>26</v>
      </c>
      <c r="C70" s="489" t="s">
        <v>156</v>
      </c>
      <c r="D70" s="490" t="s">
        <v>163</v>
      </c>
      <c r="E70" s="491" t="s">
        <v>164</v>
      </c>
      <c r="F70" s="492"/>
      <c r="G70" s="493"/>
      <c r="H70" s="146" t="s">
        <v>97</v>
      </c>
      <c r="I70" s="494" t="str">
        <f t="shared" si="4"/>
        <v>n.v.t.</v>
      </c>
      <c r="J70" s="495" t="s">
        <v>487</v>
      </c>
      <c r="K70" s="151">
        <v>0</v>
      </c>
      <c r="L70" s="256">
        <f>IF($C$5&lt;3000,(Bron!H59*$C$5)+Bron!I59,(Bron!M59*$C$5)+Bron!N59)</f>
        <v>300</v>
      </c>
      <c r="M70" s="256"/>
      <c r="N70" s="496">
        <f t="shared" si="41"/>
        <v>97.636583999999999</v>
      </c>
      <c r="O70" s="497">
        <f t="shared" si="5"/>
        <v>3.0726187634749698</v>
      </c>
      <c r="P70" s="257">
        <f>IF($C$5&lt;3000,$AN$32*Bron!J59,$AN$32*Bron!O59)</f>
        <v>0</v>
      </c>
      <c r="Q70" s="257">
        <f>IF($C$5&lt;3000,$AN$31*Bron!K59,$AN$31*Bron!P59)</f>
        <v>384.39600000000002</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c r="B71" s="488">
        <v>27</v>
      </c>
      <c r="C71" s="489" t="s">
        <v>156</v>
      </c>
      <c r="D71" s="490" t="s">
        <v>165</v>
      </c>
      <c r="E71" s="491" t="s">
        <v>166</v>
      </c>
      <c r="F71" s="492"/>
      <c r="G71" s="493"/>
      <c r="H71" s="146" t="s">
        <v>97</v>
      </c>
      <c r="I71" s="494" t="str">
        <f t="shared" si="4"/>
        <v>n.v.t.</v>
      </c>
      <c r="J71" s="495" t="s">
        <v>487</v>
      </c>
      <c r="K71" s="151">
        <v>0</v>
      </c>
      <c r="L71" s="256">
        <f>IF($C$5&lt;3000,(Bron!H60*$C$5)+Bron!I60,(Bron!M60*$C$5)+Bron!N60)</f>
        <v>60</v>
      </c>
      <c r="M71" s="256"/>
      <c r="N71" s="496">
        <f t="shared" si="41"/>
        <v>16.272764000000002</v>
      </c>
      <c r="O71" s="497">
        <f t="shared" si="5"/>
        <v>3.6871425161699629</v>
      </c>
      <c r="P71" s="257"/>
      <c r="Q71" s="257">
        <f>IF($C$5&lt;3000,$AN$31*Bron!K60,$AN$31*Bron!P60)</f>
        <v>64.066000000000003</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c r="B72" s="488">
        <v>28</v>
      </c>
      <c r="C72" s="489" t="s">
        <v>156</v>
      </c>
      <c r="D72" s="490" t="s">
        <v>167</v>
      </c>
      <c r="E72" s="491" t="s">
        <v>168</v>
      </c>
      <c r="F72" s="492"/>
      <c r="G72" s="493"/>
      <c r="H72" s="146" t="s">
        <v>97</v>
      </c>
      <c r="I72" s="494" t="str">
        <f t="shared" si="4"/>
        <v>n.v.t.</v>
      </c>
      <c r="J72" s="495" t="s">
        <v>487</v>
      </c>
      <c r="K72" s="151">
        <v>0</v>
      </c>
      <c r="L72" s="256">
        <f>IF($C$5&lt;3000,(Bron!H61*$C$5)+Bron!I61,(Bron!M61*$C$5)+Bron!N61)</f>
        <v>2400</v>
      </c>
      <c r="M72" s="256"/>
      <c r="N72" s="496">
        <f t="shared" si="41"/>
        <v>1692.3674559999999</v>
      </c>
      <c r="O72" s="497">
        <f t="shared" si="5"/>
        <v>1.4181317369884476</v>
      </c>
      <c r="P72" s="257">
        <f>IF($C$5&lt;3000,$AN$32*Bron!J61,$AN$32*Bron!O61)</f>
        <v>0</v>
      </c>
      <c r="Q72" s="257">
        <f>IF($C$5&lt;3000,$AN$31*Bron!K61,$AN$31*Bron!P61)</f>
        <v>6662.8639999999996</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c r="B73" s="488">
        <v>29</v>
      </c>
      <c r="C73" s="489" t="s">
        <v>156</v>
      </c>
      <c r="D73" s="490" t="s">
        <v>169</v>
      </c>
      <c r="E73" s="491" t="s">
        <v>412</v>
      </c>
      <c r="F73" s="492"/>
      <c r="G73" s="493"/>
      <c r="H73" s="146" t="s">
        <v>97</v>
      </c>
      <c r="I73" s="494" t="str">
        <f t="shared" si="4"/>
        <v>n.v.t.</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c r="B74" s="488">
        <v>30</v>
      </c>
      <c r="C74" s="489" t="s">
        <v>156</v>
      </c>
      <c r="D74" s="490" t="s">
        <v>170</v>
      </c>
      <c r="E74" s="491" t="s">
        <v>413</v>
      </c>
      <c r="F74" s="492"/>
      <c r="G74" s="493"/>
      <c r="H74" s="146" t="s">
        <v>97</v>
      </c>
      <c r="I74" s="494" t="str">
        <f t="shared" si="4"/>
        <v>n.v.t.</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c r="B75" s="488">
        <v>31</v>
      </c>
      <c r="C75" s="489" t="s">
        <v>156</v>
      </c>
      <c r="D75" s="490" t="s">
        <v>171</v>
      </c>
      <c r="E75" s="491" t="s">
        <v>414</v>
      </c>
      <c r="F75" s="492"/>
      <c r="G75" s="493"/>
      <c r="H75" s="146" t="s">
        <v>97</v>
      </c>
      <c r="I75" s="494" t="str">
        <f t="shared" si="4"/>
        <v>n.v.t.</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c r="B76" s="488">
        <v>32</v>
      </c>
      <c r="C76" s="489" t="s">
        <v>156</v>
      </c>
      <c r="D76" s="490" t="s">
        <v>172</v>
      </c>
      <c r="E76" s="491" t="s">
        <v>173</v>
      </c>
      <c r="F76" s="492"/>
      <c r="G76" s="493"/>
      <c r="H76" s="146" t="s">
        <v>97</v>
      </c>
      <c r="I76" s="494" t="str">
        <f t="shared" si="4"/>
        <v>n.v.t.</v>
      </c>
      <c r="J76" s="495" t="s">
        <v>487</v>
      </c>
      <c r="K76" s="151">
        <v>0</v>
      </c>
      <c r="L76" s="256">
        <f>IF($C$5&lt;3000,(Bron!H65*$C$5)+Bron!I65,(Bron!M65*$C$5)+Bron!N65)</f>
        <v>600</v>
      </c>
      <c r="M76" s="256"/>
      <c r="N76" s="496">
        <f t="shared" si="41"/>
        <v>170.57404612159331</v>
      </c>
      <c r="O76" s="497">
        <f t="shared" si="5"/>
        <v>3.5175339604261446</v>
      </c>
      <c r="P76" s="257">
        <f>IF($C$5&lt;3000,$AN$32*Bron!J65,$AN$32*Bron!O65)</f>
        <v>0</v>
      </c>
      <c r="Q76" s="257">
        <f>IF($C$5&lt;3000,$AN$31*Bron!K65,$AN$31*Bron!P65)</f>
        <v>671.55136268343824</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c r="B77" s="488">
        <v>33</v>
      </c>
      <c r="C77" s="489" t="s">
        <v>156</v>
      </c>
      <c r="D77" s="490" t="s">
        <v>174</v>
      </c>
      <c r="E77" s="491" t="s">
        <v>175</v>
      </c>
      <c r="F77" s="492"/>
      <c r="G77" s="493"/>
      <c r="H77" s="146" t="s">
        <v>97</v>
      </c>
      <c r="I77" s="494" t="str">
        <f t="shared" si="4"/>
        <v>n.v.t.</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c r="B78" s="488">
        <v>34</v>
      </c>
      <c r="C78" s="489" t="s">
        <v>156</v>
      </c>
      <c r="D78" s="490" t="s">
        <v>176</v>
      </c>
      <c r="E78" s="491" t="s">
        <v>177</v>
      </c>
      <c r="F78" s="492"/>
      <c r="G78" s="493"/>
      <c r="H78" s="146" t="s">
        <v>97</v>
      </c>
      <c r="I78" s="494" t="str">
        <f t="shared" si="4"/>
        <v>n.v.t.</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c r="B79" s="488">
        <v>35</v>
      </c>
      <c r="C79" s="489" t="s">
        <v>156</v>
      </c>
      <c r="D79" s="490" t="s">
        <v>178</v>
      </c>
      <c r="E79" s="491" t="s">
        <v>179</v>
      </c>
      <c r="F79" s="492"/>
      <c r="G79" s="493"/>
      <c r="H79" s="146" t="s">
        <v>97</v>
      </c>
      <c r="I79" s="494" t="str">
        <f t="shared" si="4"/>
        <v>n.v.t.</v>
      </c>
      <c r="J79" s="495"/>
      <c r="K79" s="151">
        <v>0</v>
      </c>
      <c r="L79" s="256"/>
      <c r="M79" s="256">
        <f>IF($C$5&lt;3000,(Bron!H68*$C$5)+Bron!I68,(Bron!M68*$C$5)+Bron!N68)</f>
        <v>40</v>
      </c>
      <c r="N79" s="496">
        <f t="shared" si="41"/>
        <v>9.7636584000000006</v>
      </c>
      <c r="O79" s="497">
        <f t="shared" si="5"/>
        <v>4.0968250179666255</v>
      </c>
      <c r="P79" s="257">
        <f>IF($C$5&lt;3000,$AN$32*Bron!J68,$AN$32*Bron!O68)</f>
        <v>0</v>
      </c>
      <c r="Q79" s="257">
        <f>IF($C$5&lt;3000,$AN$31*Bron!K68,$AN$31*Bron!P68)</f>
        <v>38.439599999999999</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c r="B80" s="488">
        <v>36</v>
      </c>
      <c r="C80" s="489" t="s">
        <v>156</v>
      </c>
      <c r="D80" s="490" t="s">
        <v>180</v>
      </c>
      <c r="E80" s="491" t="s">
        <v>181</v>
      </c>
      <c r="F80" s="492"/>
      <c r="G80" s="493"/>
      <c r="H80" s="146" t="s">
        <v>97</v>
      </c>
      <c r="I80" s="494" t="str">
        <f t="shared" si="4"/>
        <v>n.v.t.</v>
      </c>
      <c r="J80" s="495"/>
      <c r="K80" s="151">
        <v>0</v>
      </c>
      <c r="L80" s="256"/>
      <c r="M80" s="256">
        <f>IF($C$5&lt;3000,(Bron!H69*$C$5)+Bron!I69,(Bron!M69*$C$5)+Bron!N69)</f>
        <v>600</v>
      </c>
      <c r="N80" s="496">
        <f t="shared" si="41"/>
        <v>162.72764000000001</v>
      </c>
      <c r="O80" s="497">
        <f t="shared" si="5"/>
        <v>3.6871425161699634</v>
      </c>
      <c r="P80" s="257"/>
      <c r="Q80" s="257">
        <f>IF($C$5&lt;3000,$AN$31*Bron!K69,$AN$31*Bron!P69)</f>
        <v>640.66</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c r="B81" s="488">
        <v>37</v>
      </c>
      <c r="C81" s="489" t="s">
        <v>156</v>
      </c>
      <c r="D81" s="490" t="s">
        <v>493</v>
      </c>
      <c r="E81" s="491" t="s">
        <v>590</v>
      </c>
      <c r="F81" s="492"/>
      <c r="G81" s="493"/>
      <c r="H81" s="146" t="s">
        <v>97</v>
      </c>
      <c r="I81" s="494" t="str">
        <f t="shared" si="4"/>
        <v>n.v.t.</v>
      </c>
      <c r="J81" s="495" t="s">
        <v>487</v>
      </c>
      <c r="K81" s="151">
        <v>0</v>
      </c>
      <c r="L81" s="256">
        <f>IF($C$5&lt;3000,(Bron!H70*$C$5)+Bron!I70,(Bron!M70*$C$5)+Bron!N70)</f>
        <v>60</v>
      </c>
      <c r="M81" s="256"/>
      <c r="N81" s="496">
        <f t="shared" si="41"/>
        <v>227.81869599999999</v>
      </c>
      <c r="O81" s="497">
        <f t="shared" si="5"/>
        <v>0.26336732258356882</v>
      </c>
      <c r="P81" s="257"/>
      <c r="Q81" s="257">
        <f>IF($C$5&lt;3000,$AN$31*Bron!K70,$AN$31*Bron!P70)</f>
        <v>896.92399999999998</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c r="B82" s="488">
        <v>38</v>
      </c>
      <c r="C82" s="489" t="s">
        <v>156</v>
      </c>
      <c r="D82" s="490" t="s">
        <v>493</v>
      </c>
      <c r="E82" s="491" t="s">
        <v>594</v>
      </c>
      <c r="F82" s="492"/>
      <c r="G82" s="493"/>
      <c r="H82" s="146" t="s">
        <v>97</v>
      </c>
      <c r="I82" s="494" t="str">
        <f t="shared" si="4"/>
        <v>n.v.t.</v>
      </c>
      <c r="J82" s="495"/>
      <c r="K82" s="151">
        <v>0</v>
      </c>
      <c r="L82" s="256"/>
      <c r="M82" s="256">
        <f>IF($C$5&lt;3000,(Bron!H71*$C$5)+Bron!I71,(Bron!M71*$C$5)+Bron!N71)</f>
        <v>20</v>
      </c>
      <c r="N82" s="496">
        <f t="shared" si="41"/>
        <v>65.091056000000009</v>
      </c>
      <c r="O82" s="497">
        <f t="shared" si="5"/>
        <v>0.30726187634749691</v>
      </c>
      <c r="P82" s="257"/>
      <c r="Q82" s="257">
        <f>IF($C$5&lt;3000,$AN$31*Bron!K71,$AN$31*Bron!P71)</f>
        <v>256.26400000000001</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c r="B83" s="488">
        <v>39</v>
      </c>
      <c r="C83" s="489" t="s">
        <v>399</v>
      </c>
      <c r="D83" s="490" t="s">
        <v>182</v>
      </c>
      <c r="E83" s="491" t="s">
        <v>415</v>
      </c>
      <c r="F83" s="492"/>
      <c r="G83" s="493"/>
      <c r="H83" s="146" t="s">
        <v>97</v>
      </c>
      <c r="I83" s="494" t="str">
        <f t="shared" si="4"/>
        <v>n.v.t.</v>
      </c>
      <c r="J83" s="495" t="s">
        <v>487</v>
      </c>
      <c r="K83" s="151">
        <v>0</v>
      </c>
      <c r="L83" s="256">
        <f>IF($C$5&lt;3000,(Bron!H72*$C$5)+Bron!I72,(Bron!M72*$C$5)+Bron!N72)</f>
        <v>3500</v>
      </c>
      <c r="M83" s="256"/>
      <c r="N83" s="496">
        <f t="shared" si="41"/>
        <v>943.82031200000006</v>
      </c>
      <c r="O83" s="497">
        <f t="shared" si="5"/>
        <v>3.7083329904008253</v>
      </c>
      <c r="P83" s="257"/>
      <c r="Q83" s="257">
        <f>IF($C$5&lt;3000,$AN$31*Bron!K72,$AN$31*Bron!P72)</f>
        <v>3715.828</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c r="B84" s="488">
        <v>40</v>
      </c>
      <c r="C84" s="489" t="s">
        <v>399</v>
      </c>
      <c r="D84" s="490" t="s">
        <v>183</v>
      </c>
      <c r="E84" s="491" t="s">
        <v>184</v>
      </c>
      <c r="F84" s="492"/>
      <c r="G84" s="493"/>
      <c r="H84" s="146" t="s">
        <v>97</v>
      </c>
      <c r="I84" s="494" t="str">
        <f t="shared" si="4"/>
        <v>n.v.t.</v>
      </c>
      <c r="J84" s="495" t="s">
        <v>487</v>
      </c>
      <c r="K84" s="151">
        <v>0</v>
      </c>
      <c r="L84" s="256">
        <f>IF($C$5&lt;3000,(Bron!H73*$C$5)+Bron!I73,(Bron!M73*$C$5)+Bron!N73)</f>
        <v>1300</v>
      </c>
      <c r="M84" s="256"/>
      <c r="N84" s="496">
        <f t="shared" si="41"/>
        <v>130.18211200000002</v>
      </c>
      <c r="O84" s="497">
        <f t="shared" si="5"/>
        <v>9.9860109812936493</v>
      </c>
      <c r="P84" s="257">
        <f>IF($C$5&lt;3000,$AN$32*Bron!J73,$AN$32*Bron!O73)</f>
        <v>0</v>
      </c>
      <c r="Q84" s="257">
        <f>IF($C$5&lt;3000,$AN$31*Bron!K73,$AN$31*Bron!P73)</f>
        <v>512.52800000000002</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c r="B85" s="488">
        <v>41</v>
      </c>
      <c r="C85" s="489" t="s">
        <v>399</v>
      </c>
      <c r="D85" s="490" t="s">
        <v>185</v>
      </c>
      <c r="E85" s="491" t="s">
        <v>186</v>
      </c>
      <c r="F85" s="492"/>
      <c r="G85" s="493"/>
      <c r="H85" s="146" t="s">
        <v>97</v>
      </c>
      <c r="I85" s="494" t="str">
        <f t="shared" si="4"/>
        <v>n.v.t.</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c r="B86" s="488">
        <v>42</v>
      </c>
      <c r="C86" s="489" t="s">
        <v>399</v>
      </c>
      <c r="D86" s="490" t="s">
        <v>187</v>
      </c>
      <c r="E86" s="491" t="s">
        <v>188</v>
      </c>
      <c r="F86" s="492"/>
      <c r="G86" s="493"/>
      <c r="H86" s="146" t="s">
        <v>97</v>
      </c>
      <c r="I86" s="494" t="str">
        <f t="shared" si="4"/>
        <v>n.v.t.</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c r="B87" s="488">
        <v>43</v>
      </c>
      <c r="C87" s="489" t="s">
        <v>399</v>
      </c>
      <c r="D87" s="490" t="s">
        <v>189</v>
      </c>
      <c r="E87" s="491" t="s">
        <v>190</v>
      </c>
      <c r="F87" s="492"/>
      <c r="G87" s="493"/>
      <c r="H87" s="146" t="s">
        <v>97</v>
      </c>
      <c r="I87" s="494" t="str">
        <f t="shared" si="4"/>
        <v>n.v.t.</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c r="B88" s="488">
        <v>44</v>
      </c>
      <c r="C88" s="489" t="s">
        <v>399</v>
      </c>
      <c r="D88" s="490" t="s">
        <v>191</v>
      </c>
      <c r="E88" s="491" t="s">
        <v>192</v>
      </c>
      <c r="F88" s="492"/>
      <c r="G88" s="493"/>
      <c r="H88" s="146" t="s">
        <v>97</v>
      </c>
      <c r="I88" s="494" t="str">
        <f t="shared" si="4"/>
        <v>n.v.t.</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c r="B89" s="488">
        <v>45</v>
      </c>
      <c r="C89" s="489" t="s">
        <v>399</v>
      </c>
      <c r="D89" s="490" t="s">
        <v>493</v>
      </c>
      <c r="E89" s="491" t="s">
        <v>585</v>
      </c>
      <c r="F89" s="492"/>
      <c r="G89" s="493"/>
      <c r="H89" s="146" t="s">
        <v>97</v>
      </c>
      <c r="I89" s="494" t="str">
        <f t="shared" si="4"/>
        <v>n.v.t.</v>
      </c>
      <c r="J89" s="495"/>
      <c r="K89" s="151">
        <v>0</v>
      </c>
      <c r="L89" s="256"/>
      <c r="M89" s="256">
        <f>IF($C$5&lt;3000,(Bron!H78*$C$5)+Bron!I78,(Bron!M78*$C$5)+Bron!N78)</f>
        <v>1000</v>
      </c>
      <c r="N89" s="496">
        <f t="shared" si="41"/>
        <v>585.81950399999994</v>
      </c>
      <c r="O89" s="497">
        <f t="shared" si="5"/>
        <v>1.7070104241527611</v>
      </c>
      <c r="P89" s="257">
        <f>IF($C$5&lt;3000,$AN$32*Bron!J78,$AN$32*Bron!O78)</f>
        <v>0</v>
      </c>
      <c r="Q89" s="257">
        <f>IF($C$5&lt;3000,$AN$31*Bron!K78,$AN$31*Bron!P78)</f>
        <v>2306.3759999999997</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0.7</v>
      </c>
      <c r="L91" s="256">
        <f>IF($C$5&lt;3000,(Bron!H80*$C$5)+Bron!I80,(Bron!M80*$C$5)+Bron!N80)</f>
        <v>1000</v>
      </c>
      <c r="M91" s="256"/>
      <c r="N91" s="496">
        <f t="shared" ref="N91:N154" si="90">($C$19*P91)+($C$18*Q91)+($C$20*R91)</f>
        <v>195.273168</v>
      </c>
      <c r="O91" s="497">
        <f t="shared" ref="O91:O154" si="91">IF(N91=0,"",(L91+M91)/N91)</f>
        <v>5.1210312724582829</v>
      </c>
      <c r="P91" s="257"/>
      <c r="Q91" s="257">
        <f>IF($C$5&lt;3000,$AN$31*Bron!K80,$AN$31*Bron!P80)</f>
        <v>768.79200000000003</v>
      </c>
      <c r="R91" s="257">
        <f>IF($C$5&lt;3000,$AN$33*Bron!J80,$AN$33*Bron!O80)</f>
        <v>0</v>
      </c>
      <c r="S91" s="344"/>
      <c r="T91" s="258">
        <f t="shared" si="6"/>
        <v>1</v>
      </c>
      <c r="U91" s="259">
        <f t="shared" si="7"/>
        <v>300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v>0.3</v>
      </c>
      <c r="AU91" s="676">
        <f t="shared" si="16"/>
        <v>300</v>
      </c>
      <c r="AV91" s="677">
        <f t="shared" si="17"/>
        <v>0</v>
      </c>
      <c r="AW91" s="677">
        <f t="shared" si="54"/>
        <v>230.63759999999999</v>
      </c>
      <c r="AX91" s="678">
        <f t="shared" si="55"/>
        <v>0</v>
      </c>
      <c r="AY91" s="679">
        <f t="shared" si="56"/>
        <v>58.581950399999997</v>
      </c>
      <c r="AZ91" s="675"/>
      <c r="BA91" s="676">
        <f t="shared" si="18"/>
        <v>0</v>
      </c>
      <c r="BB91" s="677">
        <f t="shared" si="19"/>
        <v>0</v>
      </c>
      <c r="BC91" s="677">
        <f t="shared" si="57"/>
        <v>0</v>
      </c>
      <c r="BD91" s="678">
        <f t="shared" si="58"/>
        <v>0</v>
      </c>
      <c r="BE91" s="679">
        <f t="shared" si="59"/>
        <v>0</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0.7</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1</v>
      </c>
      <c r="U92" s="259">
        <f t="shared" si="7"/>
        <v>300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v>0.3</v>
      </c>
      <c r="AU92" s="676">
        <f t="shared" si="16"/>
        <v>300</v>
      </c>
      <c r="AV92" s="677">
        <f t="shared" si="17"/>
        <v>0</v>
      </c>
      <c r="AW92" s="677">
        <f t="shared" si="54"/>
        <v>0</v>
      </c>
      <c r="AX92" s="678">
        <f t="shared" si="55"/>
        <v>0</v>
      </c>
      <c r="AY92" s="679">
        <f t="shared" si="56"/>
        <v>0</v>
      </c>
      <c r="AZ92" s="675"/>
      <c r="BA92" s="676">
        <f t="shared" si="18"/>
        <v>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c r="B93" s="488">
        <v>49</v>
      </c>
      <c r="C93" s="489" t="s">
        <v>193</v>
      </c>
      <c r="D93" s="490" t="s">
        <v>195</v>
      </c>
      <c r="E93" s="491" t="s">
        <v>196</v>
      </c>
      <c r="F93" s="492"/>
      <c r="G93" s="493"/>
      <c r="H93" s="146" t="s">
        <v>97</v>
      </c>
      <c r="I93" s="494" t="str">
        <f t="shared" si="4"/>
        <v>n.v.t.</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c r="B94" s="488">
        <v>50</v>
      </c>
      <c r="C94" s="489" t="s">
        <v>193</v>
      </c>
      <c r="D94" s="490" t="s">
        <v>197</v>
      </c>
      <c r="E94" s="491" t="s">
        <v>417</v>
      </c>
      <c r="F94" s="492"/>
      <c r="G94" s="493"/>
      <c r="H94" s="146" t="s">
        <v>486</v>
      </c>
      <c r="I94" s="494" t="str">
        <f t="shared" si="4"/>
        <v>ons</v>
      </c>
      <c r="J94" s="495"/>
      <c r="K94" s="151">
        <v>0.7</v>
      </c>
      <c r="L94" s="256"/>
      <c r="M94" s="256">
        <f>IF($C$5&lt;3000,(Bron!H83*$C$5)+Bron!I83,(Bron!M83*$C$5)+Bron!N83)</f>
        <v>0</v>
      </c>
      <c r="N94" s="496">
        <f t="shared" si="90"/>
        <v>423.09186399999999</v>
      </c>
      <c r="O94" s="497">
        <f t="shared" si="91"/>
        <v>0</v>
      </c>
      <c r="P94" s="257">
        <f>IF($C$5&lt;3000,$AN$32*Bron!J83,$AN$32*Bron!O83)</f>
        <v>0</v>
      </c>
      <c r="Q94" s="257">
        <f>IF($C$5&lt;3000,$AN$31*Bron!K83,$AN$31*Bron!P83)</f>
        <v>1665.7159999999999</v>
      </c>
      <c r="R94" s="257">
        <f>IF($C$5&lt;3000,$AN$33*Bron!J83,$AN$33*Bron!O83)</f>
        <v>0</v>
      </c>
      <c r="S94" s="344"/>
      <c r="T94" s="258">
        <f t="shared" si="6"/>
        <v>1</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v>0.3</v>
      </c>
      <c r="AU94" s="676">
        <f t="shared" si="16"/>
        <v>0</v>
      </c>
      <c r="AV94" s="677">
        <f t="shared" si="17"/>
        <v>0</v>
      </c>
      <c r="AW94" s="677">
        <f t="shared" si="54"/>
        <v>499.71479999999997</v>
      </c>
      <c r="AX94" s="678">
        <f t="shared" si="55"/>
        <v>0</v>
      </c>
      <c r="AY94" s="679">
        <f t="shared" si="56"/>
        <v>126.92755919999999</v>
      </c>
      <c r="AZ94" s="675"/>
      <c r="BA94" s="676">
        <f t="shared" si="18"/>
        <v>0</v>
      </c>
      <c r="BB94" s="677">
        <f t="shared" si="19"/>
        <v>0</v>
      </c>
      <c r="BC94" s="677">
        <f t="shared" si="57"/>
        <v>0</v>
      </c>
      <c r="BD94" s="678">
        <f t="shared" si="58"/>
        <v>0</v>
      </c>
      <c r="BE94" s="679">
        <f t="shared" si="59"/>
        <v>0</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0.7</v>
      </c>
      <c r="L95" s="256"/>
      <c r="M95" s="256">
        <f>IF($C$5&lt;3000,(Bron!H84*$C$5)+Bron!I84,(Bron!M84*$C$5)+Bron!N84)</f>
        <v>0</v>
      </c>
      <c r="N95" s="496">
        <f t="shared" si="90"/>
        <v>423.09186399999999</v>
      </c>
      <c r="O95" s="497">
        <f t="shared" si="91"/>
        <v>0</v>
      </c>
      <c r="P95" s="257">
        <f>IF($C$5&lt;3000,$AN$32*Bron!J84,$AN$32*Bron!O84)</f>
        <v>0</v>
      </c>
      <c r="Q95" s="257">
        <f>IF($C$5&lt;3000,$AN$31*Bron!K84,$AN$31*Bron!P84)</f>
        <v>1665.7159999999999</v>
      </c>
      <c r="R95" s="257">
        <f>IF($C$5&lt;3000,$AN$33*Bron!J84,$AN$33*Bron!O84)</f>
        <v>0</v>
      </c>
      <c r="S95" s="344"/>
      <c r="T95" s="258">
        <f t="shared" si="6"/>
        <v>1</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v>0.3</v>
      </c>
      <c r="AU95" s="676">
        <f t="shared" si="16"/>
        <v>0</v>
      </c>
      <c r="AV95" s="677">
        <f t="shared" si="17"/>
        <v>0</v>
      </c>
      <c r="AW95" s="677">
        <f t="shared" si="54"/>
        <v>499.71479999999997</v>
      </c>
      <c r="AX95" s="678">
        <f t="shared" si="55"/>
        <v>0</v>
      </c>
      <c r="AY95" s="679">
        <f t="shared" si="56"/>
        <v>126.92755919999999</v>
      </c>
      <c r="AZ95" s="675"/>
      <c r="BA95" s="676">
        <f t="shared" si="18"/>
        <v>0</v>
      </c>
      <c r="BB95" s="677">
        <f t="shared" si="19"/>
        <v>0</v>
      </c>
      <c r="BC95" s="677">
        <f t="shared" si="57"/>
        <v>0</v>
      </c>
      <c r="BD95" s="678">
        <f t="shared" si="58"/>
        <v>0</v>
      </c>
      <c r="BE95" s="679">
        <f t="shared" si="59"/>
        <v>0</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c r="B96" s="488">
        <v>52</v>
      </c>
      <c r="C96" s="489" t="s">
        <v>314</v>
      </c>
      <c r="D96" s="490" t="s">
        <v>29</v>
      </c>
      <c r="E96" s="491" t="s">
        <v>419</v>
      </c>
      <c r="F96" s="492"/>
      <c r="G96" s="493"/>
      <c r="H96" s="146" t="s">
        <v>97</v>
      </c>
      <c r="I96" s="494" t="str">
        <f t="shared" si="4"/>
        <v>n.v.t.</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c r="B97" s="488">
        <v>53</v>
      </c>
      <c r="C97" s="489" t="s">
        <v>314</v>
      </c>
      <c r="D97" s="490" t="s">
        <v>315</v>
      </c>
      <c r="E97" s="491" t="s">
        <v>316</v>
      </c>
      <c r="F97" s="492"/>
      <c r="G97" s="493"/>
      <c r="H97" s="146" t="s">
        <v>97</v>
      </c>
      <c r="I97" s="494" t="str">
        <f t="shared" si="4"/>
        <v>n.v.t.</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c r="B98" s="488">
        <v>54</v>
      </c>
      <c r="C98" s="489" t="s">
        <v>314</v>
      </c>
      <c r="D98" s="490" t="s">
        <v>317</v>
      </c>
      <c r="E98" s="491" t="s">
        <v>318</v>
      </c>
      <c r="F98" s="492"/>
      <c r="G98" s="493"/>
      <c r="H98" s="146" t="s">
        <v>97</v>
      </c>
      <c r="I98" s="494" t="str">
        <f t="shared" si="4"/>
        <v>n.v.t.</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c r="B99" s="488">
        <v>55</v>
      </c>
      <c r="C99" s="489" t="s">
        <v>314</v>
      </c>
      <c r="D99" s="490" t="s">
        <v>319</v>
      </c>
      <c r="E99" s="491" t="s">
        <v>420</v>
      </c>
      <c r="F99" s="492"/>
      <c r="G99" s="493"/>
      <c r="H99" s="146" t="s">
        <v>97</v>
      </c>
      <c r="I99" s="494" t="str">
        <f t="shared" si="4"/>
        <v>n.v.t.</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c r="B100" s="488">
        <v>56</v>
      </c>
      <c r="C100" s="489" t="s">
        <v>314</v>
      </c>
      <c r="D100" s="490" t="s">
        <v>320</v>
      </c>
      <c r="E100" s="491" t="s">
        <v>321</v>
      </c>
      <c r="F100" s="492"/>
      <c r="G100" s="493"/>
      <c r="H100" s="146" t="s">
        <v>97</v>
      </c>
      <c r="I100" s="494" t="str">
        <f t="shared" si="4"/>
        <v>n.v.t.</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c r="B101" s="488">
        <v>57</v>
      </c>
      <c r="C101" s="489" t="s">
        <v>314</v>
      </c>
      <c r="D101" s="490" t="s">
        <v>322</v>
      </c>
      <c r="E101" s="491" t="s">
        <v>323</v>
      </c>
      <c r="F101" s="492"/>
      <c r="G101" s="493"/>
      <c r="H101" s="146" t="s">
        <v>97</v>
      </c>
      <c r="I101" s="494" t="str">
        <f t="shared" si="4"/>
        <v>n.v.t.</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c r="B102" s="488">
        <v>58</v>
      </c>
      <c r="C102" s="489" t="s">
        <v>314</v>
      </c>
      <c r="D102" s="490" t="s">
        <v>324</v>
      </c>
      <c r="E102" s="491" t="s">
        <v>325</v>
      </c>
      <c r="F102" s="492"/>
      <c r="G102" s="493"/>
      <c r="H102" s="146" t="s">
        <v>97</v>
      </c>
      <c r="I102" s="494" t="str">
        <f t="shared" si="4"/>
        <v>n.v.t.</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c r="B103" s="488">
        <v>59</v>
      </c>
      <c r="C103" s="489" t="s">
        <v>314</v>
      </c>
      <c r="D103" s="490" t="s">
        <v>326</v>
      </c>
      <c r="E103" s="491" t="s">
        <v>327</v>
      </c>
      <c r="F103" s="492"/>
      <c r="G103" s="493"/>
      <c r="H103" s="146" t="s">
        <v>97</v>
      </c>
      <c r="I103" s="494" t="str">
        <f t="shared" si="4"/>
        <v>n.v.t.</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c r="B104" s="488">
        <v>60</v>
      </c>
      <c r="C104" s="489" t="s">
        <v>314</v>
      </c>
      <c r="D104" s="490" t="s">
        <v>328</v>
      </c>
      <c r="E104" s="491" t="s">
        <v>329</v>
      </c>
      <c r="F104" s="492"/>
      <c r="G104" s="493"/>
      <c r="H104" s="146" t="s">
        <v>97</v>
      </c>
      <c r="I104" s="494" t="str">
        <f t="shared" si="4"/>
        <v>n.v.t.</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c r="B105" s="488">
        <v>61</v>
      </c>
      <c r="C105" s="489" t="s">
        <v>199</v>
      </c>
      <c r="D105" s="490" t="s">
        <v>30</v>
      </c>
      <c r="E105" s="491" t="s">
        <v>200</v>
      </c>
      <c r="F105" s="492"/>
      <c r="G105" s="493"/>
      <c r="H105" s="146" t="s">
        <v>97</v>
      </c>
      <c r="I105" s="494" t="str">
        <f t="shared" si="4"/>
        <v>n.v.t.</v>
      </c>
      <c r="J105" s="495" t="s">
        <v>487</v>
      </c>
      <c r="K105" s="151">
        <v>0</v>
      </c>
      <c r="L105" s="256">
        <f>IF($C$5&lt;3000,(Bron!H94*$C$5)+Bron!I94,(Bron!M94*$C$5)+Bron!N94)</f>
        <v>1500</v>
      </c>
      <c r="M105" s="256"/>
      <c r="N105" s="496">
        <f t="shared" si="90"/>
        <v>1301.8211200000001</v>
      </c>
      <c r="O105" s="497">
        <f t="shared" si="91"/>
        <v>1.1522320363031135</v>
      </c>
      <c r="P105" s="257"/>
      <c r="Q105" s="257">
        <f>IF($C$5&lt;3000,$AN$31*Bron!K94,$AN$31*Bron!P94)</f>
        <v>5125.28</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c r="B106" s="488">
        <v>62</v>
      </c>
      <c r="C106" s="489" t="s">
        <v>199</v>
      </c>
      <c r="D106" s="490" t="s">
        <v>201</v>
      </c>
      <c r="E106" s="491" t="s">
        <v>202</v>
      </c>
      <c r="F106" s="492"/>
      <c r="G106" s="493"/>
      <c r="H106" s="146" t="s">
        <v>97</v>
      </c>
      <c r="I106" s="494" t="str">
        <f t="shared" si="4"/>
        <v>n.v.t.</v>
      </c>
      <c r="J106" s="495" t="s">
        <v>487</v>
      </c>
      <c r="K106" s="151">
        <v>0</v>
      </c>
      <c r="L106" s="256">
        <f>IF($C$5&lt;3000,(Bron!H95*$C$5)+Bron!I95,(Bron!M95*$C$5)+Bron!N95)</f>
        <v>600</v>
      </c>
      <c r="M106" s="256"/>
      <c r="N106" s="496">
        <f t="shared" si="90"/>
        <v>650.91056000000003</v>
      </c>
      <c r="O106" s="497">
        <f t="shared" si="91"/>
        <v>0.92178562904249084</v>
      </c>
      <c r="P106" s="257"/>
      <c r="Q106" s="257">
        <f>IF($C$5&lt;3000,$AN$31*Bron!K95,$AN$31*Bron!P95)</f>
        <v>2562.64</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c r="B107" s="488">
        <v>63</v>
      </c>
      <c r="C107" s="489" t="s">
        <v>199</v>
      </c>
      <c r="D107" s="490" t="s">
        <v>203</v>
      </c>
      <c r="E107" s="491" t="s">
        <v>204</v>
      </c>
      <c r="F107" s="492"/>
      <c r="G107" s="493"/>
      <c r="H107" s="146" t="s">
        <v>97</v>
      </c>
      <c r="I107" s="494" t="str">
        <f t="shared" si="4"/>
        <v>n.v.t.</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c r="B108" s="488">
        <v>64</v>
      </c>
      <c r="C108" s="489" t="s">
        <v>199</v>
      </c>
      <c r="D108" s="490" t="s">
        <v>205</v>
      </c>
      <c r="E108" s="491" t="s">
        <v>206</v>
      </c>
      <c r="F108" s="492"/>
      <c r="G108" s="493"/>
      <c r="H108" s="146" t="s">
        <v>97</v>
      </c>
      <c r="I108" s="494" t="str">
        <f t="shared" ref="I108:I171" si="92">IF(H108="X","n.v.t.",IF(H108="I","ons",IF(H108="V","verhuurder",IF(H108="H","huurder",""))))</f>
        <v>n.v.t.</v>
      </c>
      <c r="J108" s="495"/>
      <c r="K108" s="151">
        <v>0</v>
      </c>
      <c r="L108" s="256"/>
      <c r="M108" s="256">
        <f>IF($C$5&lt;3000,(Bron!H97*$C$5)+Bron!I97,(Bron!M97*$C$5)+Bron!N97)</f>
        <v>2500</v>
      </c>
      <c r="N108" s="496">
        <f t="shared" si="90"/>
        <v>2082.9137920000003</v>
      </c>
      <c r="O108" s="497">
        <f t="shared" si="91"/>
        <v>1.2002417044824099</v>
      </c>
      <c r="P108" s="257"/>
      <c r="Q108" s="257">
        <f>IF($C$5&lt;3000,$AN$31*Bron!K97,$AN$31*Bron!P97)</f>
        <v>8200.4480000000003</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c r="B109" s="488">
        <v>65</v>
      </c>
      <c r="C109" s="489" t="s">
        <v>199</v>
      </c>
      <c r="D109" s="490" t="s">
        <v>207</v>
      </c>
      <c r="E109" s="491" t="s">
        <v>208</v>
      </c>
      <c r="F109" s="492"/>
      <c r="G109" s="493"/>
      <c r="H109" s="146" t="s">
        <v>97</v>
      </c>
      <c r="I109" s="494" t="str">
        <f t="shared" si="92"/>
        <v>n.v.t.</v>
      </c>
      <c r="J109" s="495"/>
      <c r="K109" s="151">
        <v>0</v>
      </c>
      <c r="L109" s="256"/>
      <c r="M109" s="256">
        <f>IF($C$5&lt;3000,(Bron!H98*$C$5)+Bron!I98,(Bron!M98*$C$5)+Bron!N98)</f>
        <v>7000</v>
      </c>
      <c r="N109" s="496">
        <f t="shared" si="90"/>
        <v>1301.8211200000001</v>
      </c>
      <c r="O109" s="497">
        <f t="shared" si="91"/>
        <v>5.3770828360811969</v>
      </c>
      <c r="P109" s="257"/>
      <c r="Q109" s="257">
        <f>IF($C$5&lt;3000,$AN$31*Bron!K98,$AN$31*Bron!P98)</f>
        <v>5125.28</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c r="B110" s="488">
        <v>66</v>
      </c>
      <c r="C110" s="489" t="s">
        <v>199</v>
      </c>
      <c r="D110" s="490" t="s">
        <v>209</v>
      </c>
      <c r="E110" s="491" t="s">
        <v>421</v>
      </c>
      <c r="F110" s="492"/>
      <c r="G110" s="493"/>
      <c r="H110" s="146" t="s">
        <v>97</v>
      </c>
      <c r="I110" s="494" t="str">
        <f t="shared" si="92"/>
        <v>n.v.t.</v>
      </c>
      <c r="J110" s="495" t="s">
        <v>487</v>
      </c>
      <c r="K110" s="151">
        <v>0</v>
      </c>
      <c r="L110" s="256">
        <f>IF($C$5&lt;3000,(Bron!H99*$C$5)+Bron!I99,(Bron!M99*$C$5)+Bron!N99)</f>
        <v>750</v>
      </c>
      <c r="M110" s="256"/>
      <c r="N110" s="496">
        <f t="shared" si="90"/>
        <v>650.91056000000003</v>
      </c>
      <c r="O110" s="497">
        <f t="shared" si="91"/>
        <v>1.1522320363031135</v>
      </c>
      <c r="P110" s="257"/>
      <c r="Q110" s="257">
        <f>IF($C$5&lt;3000,$AN$31*Bron!K99,$AN$31*Bron!P99)</f>
        <v>2562.64</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c r="B111" s="488">
        <v>67</v>
      </c>
      <c r="C111" s="489" t="s">
        <v>199</v>
      </c>
      <c r="D111" s="490" t="s">
        <v>493</v>
      </c>
      <c r="E111" s="491" t="s">
        <v>580</v>
      </c>
      <c r="F111" s="492"/>
      <c r="G111" s="493"/>
      <c r="H111" s="146" t="s">
        <v>97</v>
      </c>
      <c r="I111" s="494" t="str">
        <f t="shared" si="92"/>
        <v>n.v.t.</v>
      </c>
      <c r="J111" s="495"/>
      <c r="K111" s="151">
        <v>0</v>
      </c>
      <c r="L111" s="256"/>
      <c r="M111" s="256">
        <f>IF($C$5&lt;3000,(Bron!H100*$C$5)+Bron!I100,(Bron!M100*$C$5)+Bron!N100)</f>
        <v>1000</v>
      </c>
      <c r="N111" s="496">
        <f t="shared" si="90"/>
        <v>976.36584000000005</v>
      </c>
      <c r="O111" s="497">
        <f t="shared" si="91"/>
        <v>1.0242062544916566</v>
      </c>
      <c r="P111" s="257"/>
      <c r="Q111" s="257">
        <f>IF($C$5&lt;3000,$AN$31*Bron!K100,$AN$31*Bron!P100)</f>
        <v>3843.96</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c r="B112" s="488">
        <v>68</v>
      </c>
      <c r="C112" s="489" t="s">
        <v>199</v>
      </c>
      <c r="D112" s="490" t="s">
        <v>493</v>
      </c>
      <c r="E112" s="491" t="s">
        <v>589</v>
      </c>
      <c r="F112" s="492"/>
      <c r="G112" s="493"/>
      <c r="H112" s="146" t="s">
        <v>97</v>
      </c>
      <c r="I112" s="494" t="str">
        <f t="shared" si="92"/>
        <v>n.v.t.</v>
      </c>
      <c r="J112" s="495" t="s">
        <v>487</v>
      </c>
      <c r="K112" s="151">
        <v>0</v>
      </c>
      <c r="L112" s="256">
        <f>IF($C$5&lt;3000,(Bron!H101*$C$5)+Bron!I101,(Bron!M101*$C$5)+Bron!N101)</f>
        <v>200</v>
      </c>
      <c r="M112" s="256"/>
      <c r="N112" s="496">
        <f t="shared" si="90"/>
        <v>260.36422400000004</v>
      </c>
      <c r="O112" s="497">
        <f t="shared" si="91"/>
        <v>0.76815469086874233</v>
      </c>
      <c r="P112" s="257"/>
      <c r="Q112" s="257">
        <f>IF($C$5&lt;3000,$AN$31*Bron!K101,$AN$31*Bron!P101)</f>
        <v>1025.056</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c r="B113" s="488">
        <v>69</v>
      </c>
      <c r="C113" s="489" t="s">
        <v>210</v>
      </c>
      <c r="D113" s="490" t="s">
        <v>31</v>
      </c>
      <c r="E113" s="491" t="s">
        <v>422</v>
      </c>
      <c r="F113" s="492"/>
      <c r="G113" s="493"/>
      <c r="H113" s="146" t="s">
        <v>97</v>
      </c>
      <c r="I113" s="494" t="str">
        <f t="shared" si="92"/>
        <v>n.v.t.</v>
      </c>
      <c r="J113" s="495" t="s">
        <v>487</v>
      </c>
      <c r="K113" s="151">
        <v>0</v>
      </c>
      <c r="L113" s="256">
        <f>IF($C$5&lt;3000,(Bron!H102*$C$5)+Bron!I102,(Bron!M102*$C$5)+Bron!N102)</f>
        <v>5000</v>
      </c>
      <c r="M113" s="256"/>
      <c r="N113" s="496">
        <f t="shared" si="90"/>
        <v>1366.9121760000003</v>
      </c>
      <c r="O113" s="497">
        <f t="shared" si="91"/>
        <v>3.657879480327344</v>
      </c>
      <c r="P113" s="257"/>
      <c r="Q113" s="257">
        <f>IF($C$5&lt;3000,$AN$31*Bron!K102,$AN$31*Bron!P102)</f>
        <v>5381.5440000000008</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852</v>
      </c>
      <c r="I114" s="494" t="str">
        <f t="shared" si="92"/>
        <v>verhuurder</v>
      </c>
      <c r="J114" s="495" t="s">
        <v>487</v>
      </c>
      <c r="K114" s="151">
        <v>0</v>
      </c>
      <c r="L114" s="256">
        <f>IF($C$5&lt;3000,(Bron!H103*$C$5)+Bron!I103,(Bron!M103*$C$5)+Bron!N103)</f>
        <v>650</v>
      </c>
      <c r="M114" s="256"/>
      <c r="N114" s="496">
        <f t="shared" si="90"/>
        <v>2603.5382</v>
      </c>
      <c r="O114" s="497">
        <f t="shared" si="91"/>
        <v>0.24966025080791979</v>
      </c>
      <c r="P114" s="257">
        <f>IF($C$5&lt;3000,$AN$32*Bron!J103,$AN$32*Bron!O103)</f>
        <v>1278.5</v>
      </c>
      <c r="Q114" s="257">
        <f>IF($C$5&lt;3000,$AN$31*Bron!K103,$AN$31*Bron!P103)</f>
        <v>3203.3</v>
      </c>
      <c r="R114" s="257">
        <f>IF($C$5&lt;3000,$AN$33*Bron!J103,$AN$33*Bron!O103)</f>
        <v>0</v>
      </c>
      <c r="S114" s="344"/>
      <c r="T114" s="258">
        <f t="shared" si="93"/>
        <v>1</v>
      </c>
      <c r="U114" s="259">
        <f t="shared" si="94"/>
        <v>650</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v>1</v>
      </c>
      <c r="AU114" s="676">
        <f t="shared" si="103"/>
        <v>650</v>
      </c>
      <c r="AV114" s="677">
        <f t="shared" si="104"/>
        <v>1278.5</v>
      </c>
      <c r="AW114" s="677">
        <f t="shared" si="139"/>
        <v>3203.3</v>
      </c>
      <c r="AX114" s="678">
        <f t="shared" si="140"/>
        <v>0</v>
      </c>
      <c r="AY114" s="679">
        <f t="shared" si="141"/>
        <v>2603.5382</v>
      </c>
      <c r="AZ114" s="675"/>
      <c r="BA114" s="676">
        <f t="shared" si="105"/>
        <v>0</v>
      </c>
      <c r="BB114" s="677">
        <f t="shared" si="106"/>
        <v>0</v>
      </c>
      <c r="BC114" s="677">
        <f t="shared" si="142"/>
        <v>0</v>
      </c>
      <c r="BD114" s="678">
        <f t="shared" si="143"/>
        <v>0</v>
      </c>
      <c r="BE114" s="679">
        <f t="shared" si="144"/>
        <v>0</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c r="B115" s="488">
        <v>71</v>
      </c>
      <c r="C115" s="489" t="s">
        <v>400</v>
      </c>
      <c r="D115" s="490" t="s">
        <v>7</v>
      </c>
      <c r="E115" s="491" t="s">
        <v>853</v>
      </c>
      <c r="F115" s="492"/>
      <c r="G115" s="493"/>
      <c r="H115" s="146" t="s">
        <v>852</v>
      </c>
      <c r="I115" s="494" t="str">
        <f t="shared" si="92"/>
        <v>verhuurder</v>
      </c>
      <c r="J115" s="495" t="s">
        <v>487</v>
      </c>
      <c r="K115" s="151">
        <v>1</v>
      </c>
      <c r="L115" s="256">
        <f>IF($C$5&lt;3000,(Bron!H104*$C$5)+Bron!I104,(Bron!M104*$C$5)+Bron!N104)</f>
        <v>94487.360000000001</v>
      </c>
      <c r="M115" s="256"/>
      <c r="N115" s="496">
        <f t="shared" si="90"/>
        <v>25058.6</v>
      </c>
      <c r="O115" s="497">
        <f t="shared" si="91"/>
        <v>3.770655982377308</v>
      </c>
      <c r="P115" s="257">
        <f>IF($C$5&lt;3000,$AN$32*Bron!J104,$AN$32*Bron!O104)</f>
        <v>17899</v>
      </c>
      <c r="Q115" s="257"/>
      <c r="R115" s="257">
        <f>IF($C$5&lt;3000,$AN$33*Bron!J104,$AN$33*Bron!O104)</f>
        <v>0</v>
      </c>
      <c r="S115" s="344"/>
      <c r="T115" s="258">
        <f t="shared" si="93"/>
        <v>1</v>
      </c>
      <c r="U115" s="259">
        <f t="shared" si="94"/>
        <v>0</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c r="AU115" s="676">
        <f t="shared" si="103"/>
        <v>0</v>
      </c>
      <c r="AV115" s="677">
        <f t="shared" si="104"/>
        <v>0</v>
      </c>
      <c r="AW115" s="677">
        <f t="shared" si="139"/>
        <v>0</v>
      </c>
      <c r="AX115" s="678">
        <f t="shared" si="140"/>
        <v>0</v>
      </c>
      <c r="AY115" s="679">
        <f t="shared" si="141"/>
        <v>0</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c r="B116" s="488">
        <v>72</v>
      </c>
      <c r="C116" s="489" t="s">
        <v>400</v>
      </c>
      <c r="D116" s="490" t="s">
        <v>212</v>
      </c>
      <c r="E116" s="491" t="s">
        <v>854</v>
      </c>
      <c r="F116" s="492"/>
      <c r="G116" s="493"/>
      <c r="H116" s="146" t="s">
        <v>97</v>
      </c>
      <c r="I116" s="494" t="str">
        <f t="shared" si="92"/>
        <v>n.v.t.</v>
      </c>
      <c r="J116" s="495" t="s">
        <v>487</v>
      </c>
      <c r="K116" s="151">
        <v>0</v>
      </c>
      <c r="L116" s="256">
        <f>IF($C$5&lt;3000,(Bron!H105*$C$5/$C$6)+Bron!I105,(Bron!M105*$C$5/$C$6)+Bron!N105)</f>
        <v>67252.767999999996</v>
      </c>
      <c r="M116" s="256"/>
      <c r="N116" s="496">
        <f t="shared" si="90"/>
        <v>5011.72</v>
      </c>
      <c r="O116" s="497">
        <f t="shared" si="91"/>
        <v>13.419099231401594</v>
      </c>
      <c r="P116" s="257">
        <f>IF($C$5&lt;3000,$AN$32*Bron!J105,$AN$32*Bron!O105)/$C$6</f>
        <v>3579.8</v>
      </c>
      <c r="Q116" s="257">
        <f>IF($C$5&lt;3000,$AN$31*Bron!K105,$AN$31*Bron!P105)</f>
        <v>0</v>
      </c>
      <c r="R116" s="257">
        <f>IF($C$5&lt;3000,$AN$33*Bron!J105,$AN$33*Bron!O105)/$C$6</f>
        <v>0</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c r="B117" s="488">
        <v>73</v>
      </c>
      <c r="C117" s="489" t="s">
        <v>400</v>
      </c>
      <c r="D117" s="490" t="s">
        <v>213</v>
      </c>
      <c r="E117" s="491" t="s">
        <v>214</v>
      </c>
      <c r="F117" s="492"/>
      <c r="G117" s="493"/>
      <c r="H117" s="146" t="s">
        <v>97</v>
      </c>
      <c r="I117" s="494" t="str">
        <f t="shared" si="92"/>
        <v>n.v.t.</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c r="B118" s="488">
        <v>74</v>
      </c>
      <c r="C118" s="489" t="s">
        <v>400</v>
      </c>
      <c r="D118" s="490" t="s">
        <v>215</v>
      </c>
      <c r="E118" s="491" t="s">
        <v>855</v>
      </c>
      <c r="F118" s="492"/>
      <c r="G118" s="493"/>
      <c r="H118" s="146" t="s">
        <v>97</v>
      </c>
      <c r="I118" s="494" t="str">
        <f t="shared" si="92"/>
        <v>n.v.t.</v>
      </c>
      <c r="J118" s="495"/>
      <c r="K118" s="151">
        <v>0</v>
      </c>
      <c r="L118" s="256"/>
      <c r="M118" s="256">
        <f>IF($C$5&lt;3000,(Bron!H107*$C$5/$C$6)+Bron!I107,(Bron!M107*$C$5/$C$6)+Bron!N107)</f>
        <v>25567.167999999998</v>
      </c>
      <c r="N118" s="496">
        <f t="shared" si="90"/>
        <v>5011.72</v>
      </c>
      <c r="O118" s="497">
        <f t="shared" si="91"/>
        <v>5.1014757408634157</v>
      </c>
      <c r="P118" s="257">
        <f>IF($C$5&lt;3000,$AN$32*Bron!J107,$AN$32*Bron!O107)/$C$6</f>
        <v>3579.8</v>
      </c>
      <c r="Q118" s="257">
        <f>IF($C$5&lt;3000,$AN$31*Bron!K107,$AN$31*Bron!P107)</f>
        <v>0</v>
      </c>
      <c r="R118" s="257">
        <f>IF($C$5&lt;3000,$AN$33*Bron!J107,$AN$33*Bron!O107)/$C$6</f>
        <v>0</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c r="B119" s="488">
        <v>75</v>
      </c>
      <c r="C119" s="489" t="s">
        <v>400</v>
      </c>
      <c r="D119" s="490" t="s">
        <v>216</v>
      </c>
      <c r="E119" s="491" t="s">
        <v>217</v>
      </c>
      <c r="F119" s="492"/>
      <c r="G119" s="493"/>
      <c r="H119" s="146" t="s">
        <v>97</v>
      </c>
      <c r="I119" s="494" t="str">
        <f t="shared" si="92"/>
        <v>n.v.t.</v>
      </c>
      <c r="J119" s="495"/>
      <c r="K119" s="151">
        <v>0</v>
      </c>
      <c r="L119" s="256"/>
      <c r="M119" s="256">
        <f>IF($C$5&lt;3000,(Bron!H108*$C$5)+Bron!I108,(Bron!M108*$C$5)+Bron!N108)</f>
        <v>55580.800000000003</v>
      </c>
      <c r="N119" s="496">
        <f t="shared" si="90"/>
        <v>12887.279999999997</v>
      </c>
      <c r="O119" s="497">
        <f t="shared" si="91"/>
        <v>4.3128418099086865</v>
      </c>
      <c r="P119" s="257">
        <f>IF($C$5&lt;3000,$AN$32*Bron!J108,$AN$32*Bron!O108)</f>
        <v>9205.1999999999989</v>
      </c>
      <c r="Q119" s="257">
        <f>IF($C$5&lt;3000,$AN$31*Bron!K108,$AN$31*Bron!P108)</f>
        <v>0</v>
      </c>
      <c r="R119" s="257">
        <f>IF($C$5&lt;3000,$AN$33*Bron!J108,$AN$33*Bron!O108)</f>
        <v>0</v>
      </c>
      <c r="S119" s="344"/>
      <c r="T119" s="258">
        <f t="shared" si="93"/>
        <v>0</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c r="B120" s="488">
        <v>76</v>
      </c>
      <c r="C120" s="489" t="s">
        <v>400</v>
      </c>
      <c r="D120" s="490" t="s">
        <v>218</v>
      </c>
      <c r="E120" s="491" t="s">
        <v>219</v>
      </c>
      <c r="F120" s="492"/>
      <c r="G120" s="493"/>
      <c r="H120" s="146" t="s">
        <v>852</v>
      </c>
      <c r="I120" s="494" t="str">
        <f t="shared" si="92"/>
        <v>verhuurder</v>
      </c>
      <c r="J120" s="495"/>
      <c r="K120" s="151">
        <v>0</v>
      </c>
      <c r="L120" s="256"/>
      <c r="M120" s="256">
        <f>IF($C$5&lt;3000,(Bron!H109*$C$5)+Bron!I109,(Bron!M109*$C$5)+Bron!N109)</f>
        <v>55580.800000000003</v>
      </c>
      <c r="N120" s="496">
        <f t="shared" si="90"/>
        <v>7875.5599999999986</v>
      </c>
      <c r="O120" s="497">
        <f t="shared" si="91"/>
        <v>7.0573775071233049</v>
      </c>
      <c r="P120" s="257">
        <f>IF($C$5&lt;3000,$AN$32*Bron!J109,$AN$32*Bron!O109)</f>
        <v>5625.4</v>
      </c>
      <c r="Q120" s="257"/>
      <c r="R120" s="257">
        <f>IF($C$5&lt;3000,$AN$33*Bron!J109,$AN$33*Bron!O109)</f>
        <v>0</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c r="B121" s="488">
        <v>77</v>
      </c>
      <c r="C121" s="489" t="s">
        <v>400</v>
      </c>
      <c r="D121" s="490" t="s">
        <v>220</v>
      </c>
      <c r="E121" s="491" t="s">
        <v>221</v>
      </c>
      <c r="F121" s="492"/>
      <c r="G121" s="493"/>
      <c r="H121" s="146" t="s">
        <v>97</v>
      </c>
      <c r="I121" s="494" t="str">
        <f t="shared" si="92"/>
        <v>n.v.t.</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c r="B122" s="488">
        <v>78</v>
      </c>
      <c r="C122" s="489" t="s">
        <v>400</v>
      </c>
      <c r="D122" s="490" t="s">
        <v>222</v>
      </c>
      <c r="E122" s="491" t="s">
        <v>223</v>
      </c>
      <c r="F122" s="492"/>
      <c r="G122" s="493"/>
      <c r="H122" s="146" t="s">
        <v>97</v>
      </c>
      <c r="I122" s="494" t="str">
        <f t="shared" si="92"/>
        <v>n.v.t.</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c r="B123" s="488">
        <v>79</v>
      </c>
      <c r="C123" s="489" t="s">
        <v>400</v>
      </c>
      <c r="D123" s="490" t="s">
        <v>493</v>
      </c>
      <c r="E123" s="491" t="s">
        <v>856</v>
      </c>
      <c r="F123" s="492"/>
      <c r="G123" s="493"/>
      <c r="H123" s="146" t="s">
        <v>97</v>
      </c>
      <c r="I123" s="494" t="str">
        <f t="shared" si="92"/>
        <v>n.v.t.</v>
      </c>
      <c r="J123" s="495"/>
      <c r="K123" s="151">
        <v>0</v>
      </c>
      <c r="L123" s="256"/>
      <c r="M123" s="256">
        <f>IF($C$5&lt;3000,(Bron!H112*$C$5)+Bron!I112,(Bron!M112*$C$5)+Bron!N112)</f>
        <v>44464.639999999999</v>
      </c>
      <c r="N123" s="496">
        <f t="shared" si="90"/>
        <v>25058.6</v>
      </c>
      <c r="O123" s="497">
        <f t="shared" si="91"/>
        <v>1.7744263446481447</v>
      </c>
      <c r="P123" s="257">
        <f>IF($C$5&lt;3000,$AN$32*Bron!J112,$AN$32*Bron!O112)</f>
        <v>17899</v>
      </c>
      <c r="Q123" s="257">
        <f>IF($C$5&lt;3000,$AN$31*Bron!K112,$AN$31*Bron!P112)</f>
        <v>0</v>
      </c>
      <c r="R123" s="257">
        <f>IF($C$5&lt;3000,$AN$33*Bron!J112,$AN$33*Bron!O112)</f>
        <v>0</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c r="B124" s="488">
        <v>80</v>
      </c>
      <c r="C124" s="489" t="s">
        <v>400</v>
      </c>
      <c r="D124" s="490" t="s">
        <v>493</v>
      </c>
      <c r="E124" s="491" t="s">
        <v>444</v>
      </c>
      <c r="F124" s="492"/>
      <c r="G124" s="493"/>
      <c r="H124" s="146" t="s">
        <v>852</v>
      </c>
      <c r="I124" s="494" t="str">
        <f t="shared" si="92"/>
        <v>verhuurder</v>
      </c>
      <c r="J124" s="495" t="s">
        <v>487</v>
      </c>
      <c r="K124" s="151">
        <v>0</v>
      </c>
      <c r="L124" s="256">
        <f>IF($C$5&lt;3000,(Bron!H113*$C$5)+Bron!I113,(Bron!M113*$C$5)+Bron!N113)</f>
        <v>336263.83999999997</v>
      </c>
      <c r="M124" s="256"/>
      <c r="N124" s="496">
        <f t="shared" si="90"/>
        <v>10739.4</v>
      </c>
      <c r="O124" s="497">
        <f t="shared" si="91"/>
        <v>31.311231539937051</v>
      </c>
      <c r="P124" s="257">
        <f>IF($C$5&lt;3000,$AN$32*Bron!J113,$AN$32*Bron!O113)</f>
        <v>7671</v>
      </c>
      <c r="Q124" s="257"/>
      <c r="R124" s="257">
        <f>IF($C$5&lt;3000,$AN$33*Bron!J113,$AN$33*Bron!O113)</f>
        <v>0</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857</v>
      </c>
      <c r="F125" s="492"/>
      <c r="G125" s="493"/>
      <c r="H125" s="146" t="s">
        <v>852</v>
      </c>
      <c r="I125" s="494" t="str">
        <f t="shared" si="92"/>
        <v>verhuurder</v>
      </c>
      <c r="J125" s="495"/>
      <c r="K125" s="151">
        <v>0</v>
      </c>
      <c r="L125" s="256"/>
      <c r="M125" s="256">
        <f>IF($C$5&lt;3000,(Bron!H114*$C$5/$C$6)+Bron!I114,(Bron!M114*$C$5/$C$6)+Bron!N114)</f>
        <v>82815.392000000007</v>
      </c>
      <c r="N125" s="496">
        <f t="shared" si="90"/>
        <v>1431.9199999999998</v>
      </c>
      <c r="O125" s="497">
        <f t="shared" si="91"/>
        <v>57.835208670875481</v>
      </c>
      <c r="P125" s="257">
        <f>IF($C$5&lt;3000,$AN$32*Bron!J114,$AN$32*Bron!O114)/$C$6</f>
        <v>1022.8</v>
      </c>
      <c r="Q125" s="257"/>
      <c r="R125" s="257">
        <f>IF($C$5&lt;3000,$AN$33*Bron!J114,$AN$33*Bron!O114)/$C$6</f>
        <v>0</v>
      </c>
      <c r="S125" s="344"/>
      <c r="T125" s="258">
        <f t="shared" si="93"/>
        <v>0</v>
      </c>
      <c r="U125" s="259">
        <f t="shared" si="94"/>
        <v>0</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c r="BG125" s="676">
        <f t="shared" si="107"/>
        <v>0</v>
      </c>
      <c r="BH125" s="677">
        <f t="shared" si="108"/>
        <v>0</v>
      </c>
      <c r="BI125" s="677">
        <f t="shared" si="145"/>
        <v>0</v>
      </c>
      <c r="BJ125" s="678">
        <f t="shared" si="146"/>
        <v>0</v>
      </c>
      <c r="BK125" s="679">
        <f t="shared" si="147"/>
        <v>0</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c r="B126" s="488">
        <v>82</v>
      </c>
      <c r="C126" s="489" t="s">
        <v>400</v>
      </c>
      <c r="D126" s="490" t="s">
        <v>493</v>
      </c>
      <c r="E126" s="491" t="s">
        <v>598</v>
      </c>
      <c r="F126" s="492"/>
      <c r="G126" s="493"/>
      <c r="H126" s="146" t="s">
        <v>97</v>
      </c>
      <c r="I126" s="494" t="str">
        <f t="shared" si="92"/>
        <v>n.v.t.</v>
      </c>
      <c r="J126" s="495"/>
      <c r="K126" s="151">
        <v>0</v>
      </c>
      <c r="L126" s="256"/>
      <c r="M126" s="256">
        <f>IF($C$5&lt;3000,(Bron!H115*$C$5*1.4/$C$6)+Bron!I115,(Bron!M115*$C$5*1.4/$C$6)+Bron!N115)</f>
        <v>58359.839999999989</v>
      </c>
      <c r="N126" s="496">
        <f t="shared" si="90"/>
        <v>4295.76</v>
      </c>
      <c r="O126" s="497">
        <f t="shared" si="91"/>
        <v>13.585451701212355</v>
      </c>
      <c r="P126" s="257">
        <f>IF($C$5&lt;3000,$AN$32*Bron!J115,$AN$32*Bron!O115)/$C$6</f>
        <v>3068.4</v>
      </c>
      <c r="Q126" s="257">
        <f>IF($C$5&lt;3000,$AN$31*Bron!K115,$AN$31*Bron!P115)</f>
        <v>0</v>
      </c>
      <c r="R126" s="257">
        <f>IF($C$5&lt;3000,$AN$33*Bron!J115,$AN$33*Bron!O115)/$C$6</f>
        <v>0</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c r="B127" s="488">
        <v>83</v>
      </c>
      <c r="C127" s="489" t="s">
        <v>400</v>
      </c>
      <c r="D127" s="490" t="s">
        <v>493</v>
      </c>
      <c r="E127" s="491" t="s">
        <v>445</v>
      </c>
      <c r="F127" s="492"/>
      <c r="G127" s="493"/>
      <c r="H127" s="146" t="s">
        <v>852</v>
      </c>
      <c r="I127" s="494" t="str">
        <f t="shared" si="92"/>
        <v>verhuurder</v>
      </c>
      <c r="J127" s="495" t="s">
        <v>487</v>
      </c>
      <c r="K127" s="151">
        <v>0</v>
      </c>
      <c r="L127" s="256">
        <f>IF($C$5&lt;3000,(Bron!H116*$C$5/$C$6)+Bron!I116,(Bron!M116*$C$5/$C$6)+Bron!N116)</f>
        <v>29457.824000000001</v>
      </c>
      <c r="M127" s="256"/>
      <c r="N127" s="496">
        <f t="shared" si="90"/>
        <v>1718.3040000000001</v>
      </c>
      <c r="O127" s="497">
        <f t="shared" si="91"/>
        <v>17.143546194387024</v>
      </c>
      <c r="P127" s="257">
        <f>IF($C$5&lt;3000,$AN$32*Bron!J116,$AN$32*Bron!O116)/$C$6</f>
        <v>1227.3600000000001</v>
      </c>
      <c r="Q127" s="257"/>
      <c r="R127" s="257">
        <f>IF($C$5&lt;3000,$AN$33*Bron!J116,$AN$33*Bron!O116)/$C$6</f>
        <v>0</v>
      </c>
      <c r="S127" s="344"/>
      <c r="T127" s="258">
        <f t="shared" si="93"/>
        <v>0</v>
      </c>
      <c r="U127" s="259">
        <f t="shared" si="94"/>
        <v>0</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c r="BA127" s="676">
        <f t="shared" si="105"/>
        <v>0</v>
      </c>
      <c r="BB127" s="677">
        <f t="shared" si="106"/>
        <v>0</v>
      </c>
      <c r="BC127" s="677">
        <f t="shared" si="142"/>
        <v>0</v>
      </c>
      <c r="BD127" s="678">
        <f t="shared" si="143"/>
        <v>0</v>
      </c>
      <c r="BE127" s="679">
        <f t="shared" si="144"/>
        <v>0</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c r="B128" s="488">
        <v>84</v>
      </c>
      <c r="C128" s="489" t="s">
        <v>400</v>
      </c>
      <c r="D128" s="490" t="s">
        <v>493</v>
      </c>
      <c r="E128" s="491" t="s">
        <v>612</v>
      </c>
      <c r="F128" s="492"/>
      <c r="G128" s="493"/>
      <c r="H128" s="146" t="s">
        <v>97</v>
      </c>
      <c r="I128" s="494" t="str">
        <f t="shared" si="92"/>
        <v>n.v.t.</v>
      </c>
      <c r="J128" s="495"/>
      <c r="K128" s="151">
        <v>0</v>
      </c>
      <c r="L128" s="256"/>
      <c r="M128" s="256">
        <f>IF($C$5&lt;3000,(Bron!H117*$C$5)+Bron!I117,(Bron!M117*$C$5)+Bron!N117)</f>
        <v>0</v>
      </c>
      <c r="N128" s="496">
        <f t="shared" si="90"/>
        <v>8591.52</v>
      </c>
      <c r="O128" s="497">
        <f t="shared" si="91"/>
        <v>0</v>
      </c>
      <c r="P128" s="257">
        <f>IF($C$5&lt;3000,$AN$32*Bron!J117,$AN$32*Bron!O117)</f>
        <v>6136.8</v>
      </c>
      <c r="Q128" s="257">
        <f>IF($C$5&lt;3000,$AN$31*Bron!K117,$AN$31*Bron!P117)</f>
        <v>0</v>
      </c>
      <c r="R128" s="257">
        <f>IF($C$5&lt;3000,$AN$33*Bron!J117,$AN$33*Bron!O117)</f>
        <v>0</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c r="B129" s="488">
        <v>85</v>
      </c>
      <c r="C129" s="489" t="s">
        <v>400</v>
      </c>
      <c r="D129" s="490" t="s">
        <v>493</v>
      </c>
      <c r="E129" s="491" t="s">
        <v>600</v>
      </c>
      <c r="F129" s="492"/>
      <c r="G129" s="493"/>
      <c r="H129" s="146" t="s">
        <v>97</v>
      </c>
      <c r="I129" s="494" t="str">
        <f t="shared" si="92"/>
        <v>n.v.t.</v>
      </c>
      <c r="J129" s="495"/>
      <c r="K129" s="151">
        <v>0</v>
      </c>
      <c r="L129" s="256"/>
      <c r="M129" s="256">
        <f>IF($C$5&lt;3000,(Bron!H118*$C$5)+Bron!I118,(Bron!M118*$C$5)+Bron!N118)</f>
        <v>80592.160000000003</v>
      </c>
      <c r="N129" s="496">
        <f t="shared" si="90"/>
        <v>13603.24</v>
      </c>
      <c r="O129" s="497">
        <f t="shared" si="91"/>
        <v>5.9244826967692994</v>
      </c>
      <c r="P129" s="257">
        <f>IF($C$5&lt;3000,$AN$32*Bron!J118,$AN$32*Bron!O118)</f>
        <v>9716.6</v>
      </c>
      <c r="Q129" s="257"/>
      <c r="R129" s="257">
        <f>IF($C$5&lt;3000,$AN$33*Bron!J118,$AN$33*Bron!O118)</f>
        <v>0</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c r="B130" s="488">
        <v>86</v>
      </c>
      <c r="C130" s="489" t="s">
        <v>400</v>
      </c>
      <c r="D130" s="490" t="s">
        <v>493</v>
      </c>
      <c r="E130" s="491" t="s">
        <v>446</v>
      </c>
      <c r="F130" s="492"/>
      <c r="G130" s="493"/>
      <c r="H130" s="146" t="s">
        <v>97</v>
      </c>
      <c r="I130" s="494" t="str">
        <f t="shared" si="92"/>
        <v>n.v.t.</v>
      </c>
      <c r="J130" s="495" t="s">
        <v>487</v>
      </c>
      <c r="K130" s="151">
        <v>0</v>
      </c>
      <c r="L130" s="256">
        <f>IF($C$5&lt;3000,(Bron!H119*$C$5)+Bron!I119,(Bron!M119*$C$5)+Bron!N119)</f>
        <v>44464.639999999999</v>
      </c>
      <c r="M130" s="256"/>
      <c r="N130" s="496">
        <f t="shared" si="90"/>
        <v>7159.5999999999995</v>
      </c>
      <c r="O130" s="497">
        <f t="shared" si="91"/>
        <v>6.2104922062685066</v>
      </c>
      <c r="P130" s="257">
        <f>IF($C$5&lt;3000,$AN$32*Bron!J119,$AN$32*Bron!O119)</f>
        <v>5114</v>
      </c>
      <c r="Q130" s="257"/>
      <c r="R130" s="257">
        <f>IF($C$5&lt;3000,$AN$33*Bron!J119,$AN$33*Bron!O119)</f>
        <v>0</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852</v>
      </c>
      <c r="I131" s="494" t="str">
        <f t="shared" si="92"/>
        <v>verhuurder</v>
      </c>
      <c r="J131" s="495" t="s">
        <v>487</v>
      </c>
      <c r="K131" s="151">
        <v>1</v>
      </c>
      <c r="L131" s="256">
        <f>IF($C$5&lt;3000,(Bron!H120*$C$5)+Bron!I120,(Bron!M120*$C$5)+Bron!N120)</f>
        <v>2779.04</v>
      </c>
      <c r="M131" s="256"/>
      <c r="N131" s="496">
        <f t="shared" si="90"/>
        <v>2863.84</v>
      </c>
      <c r="O131" s="497">
        <f t="shared" si="91"/>
        <v>0.9703894072294541</v>
      </c>
      <c r="P131" s="257">
        <f>IF($C$5&lt;3000,$AN$32*Bron!J120,$AN$32*Bron!O120)</f>
        <v>2045.6000000000001</v>
      </c>
      <c r="Q131" s="257"/>
      <c r="R131" s="257">
        <f>IF($C$5&lt;3000,$AN$33*Bron!J120,$AN$33*Bron!O120)</f>
        <v>0</v>
      </c>
      <c r="S131" s="344"/>
      <c r="T131" s="258">
        <f t="shared" si="93"/>
        <v>1</v>
      </c>
      <c r="U131" s="259">
        <f t="shared" si="94"/>
        <v>0</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c r="AU131" s="676">
        <f t="shared" si="103"/>
        <v>0</v>
      </c>
      <c r="AV131" s="677">
        <f t="shared" si="104"/>
        <v>0</v>
      </c>
      <c r="AW131" s="677">
        <f t="shared" si="139"/>
        <v>0</v>
      </c>
      <c r="AX131" s="678">
        <f t="shared" si="140"/>
        <v>0</v>
      </c>
      <c r="AY131" s="679">
        <f t="shared" si="141"/>
        <v>0</v>
      </c>
      <c r="AZ131" s="675"/>
      <c r="BA131" s="676">
        <f t="shared" si="105"/>
        <v>0</v>
      </c>
      <c r="BB131" s="677">
        <f t="shared" si="106"/>
        <v>0</v>
      </c>
      <c r="BC131" s="677">
        <f t="shared" si="142"/>
        <v>0</v>
      </c>
      <c r="BD131" s="678">
        <f t="shared" si="143"/>
        <v>0</v>
      </c>
      <c r="BE131" s="679">
        <f t="shared" si="144"/>
        <v>0</v>
      </c>
      <c r="BF131" s="675"/>
      <c r="BG131" s="676">
        <f t="shared" si="107"/>
        <v>0</v>
      </c>
      <c r="BH131" s="677">
        <f t="shared" si="108"/>
        <v>0</v>
      </c>
      <c r="BI131" s="677">
        <f t="shared" si="145"/>
        <v>0</v>
      </c>
      <c r="BJ131" s="678">
        <f t="shared" si="146"/>
        <v>0</v>
      </c>
      <c r="BK131" s="679">
        <f t="shared" si="147"/>
        <v>0</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c r="B132" s="488">
        <v>88</v>
      </c>
      <c r="C132" s="489" t="s">
        <v>224</v>
      </c>
      <c r="D132" s="490" t="s">
        <v>2</v>
      </c>
      <c r="E132" s="491" t="s">
        <v>492</v>
      </c>
      <c r="F132" s="492"/>
      <c r="G132" s="493"/>
      <c r="H132" s="146" t="s">
        <v>852</v>
      </c>
      <c r="I132" s="494" t="str">
        <f t="shared" si="92"/>
        <v>verhuurder</v>
      </c>
      <c r="J132" s="495" t="s">
        <v>487</v>
      </c>
      <c r="K132" s="151">
        <v>0</v>
      </c>
      <c r="L132" s="256">
        <f>IF($C$5&lt;3000,(Bron!H121*$C$5)+Bron!I121,(Bron!M121*$C$5)+Bron!N121)</f>
        <v>107545.44</v>
      </c>
      <c r="M132" s="256"/>
      <c r="N132" s="496">
        <f t="shared" si="90"/>
        <v>21176.355726523809</v>
      </c>
      <c r="O132" s="497">
        <f t="shared" si="91"/>
        <v>5.0785622129164176</v>
      </c>
      <c r="P132" s="257">
        <f>IF($C$5&lt;3000,$AN$32*Bron!J121,$AN$32*Bron!O121)</f>
        <v>29149.8</v>
      </c>
      <c r="Q132" s="257">
        <f>(-P132*(35.17/3.6*0.95)/3.5)</f>
        <v>-77296.709738095218</v>
      </c>
      <c r="R132" s="257">
        <f>IF($C$5&lt;3000,$AN$33*Bron!J121,$AN$33*Bron!O121)</f>
        <v>0</v>
      </c>
      <c r="S132" s="344"/>
      <c r="T132" s="258">
        <f t="shared" si="93"/>
        <v>1</v>
      </c>
      <c r="U132" s="259">
        <f t="shared" si="94"/>
        <v>107545.44</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v>1</v>
      </c>
      <c r="AU132" s="676">
        <f t="shared" si="103"/>
        <v>107545.44</v>
      </c>
      <c r="AV132" s="677">
        <f t="shared" si="104"/>
        <v>29149.8</v>
      </c>
      <c r="AW132" s="677">
        <f t="shared" si="139"/>
        <v>-77296.709738095218</v>
      </c>
      <c r="AX132" s="678">
        <f t="shared" si="140"/>
        <v>0</v>
      </c>
      <c r="AY132" s="679">
        <f t="shared" si="141"/>
        <v>21176.355726523809</v>
      </c>
      <c r="AZ132" s="675"/>
      <c r="BA132" s="676">
        <f t="shared" si="105"/>
        <v>0</v>
      </c>
      <c r="BB132" s="677">
        <f t="shared" si="106"/>
        <v>0</v>
      </c>
      <c r="BC132" s="677">
        <f t="shared" si="142"/>
        <v>0</v>
      </c>
      <c r="BD132" s="678">
        <f t="shared" si="143"/>
        <v>0</v>
      </c>
      <c r="BE132" s="679">
        <f t="shared" si="144"/>
        <v>0</v>
      </c>
      <c r="BF132" s="675"/>
      <c r="BG132" s="676">
        <f t="shared" si="107"/>
        <v>0</v>
      </c>
      <c r="BH132" s="677">
        <f t="shared" si="108"/>
        <v>0</v>
      </c>
      <c r="BI132" s="677">
        <f t="shared" si="145"/>
        <v>0</v>
      </c>
      <c r="BJ132" s="678">
        <f t="shared" si="146"/>
        <v>0</v>
      </c>
      <c r="BK132" s="679">
        <f t="shared" si="147"/>
        <v>0</v>
      </c>
      <c r="BL132" s="675"/>
      <c r="BM132" s="676">
        <f t="shared" si="109"/>
        <v>0</v>
      </c>
      <c r="BN132" s="677">
        <f t="shared" si="110"/>
        <v>0</v>
      </c>
      <c r="BO132" s="677">
        <f t="shared" si="148"/>
        <v>0</v>
      </c>
      <c r="BP132" s="678">
        <f t="shared" si="149"/>
        <v>0</v>
      </c>
      <c r="BQ132" s="679">
        <f t="shared" si="150"/>
        <v>0</v>
      </c>
      <c r="BR132" s="675"/>
      <c r="BS132" s="676">
        <f t="shared" si="111"/>
        <v>0</v>
      </c>
      <c r="BT132" s="677">
        <f t="shared" si="112"/>
        <v>0</v>
      </c>
      <c r="BU132" s="677">
        <f t="shared" si="151"/>
        <v>0</v>
      </c>
      <c r="BV132" s="678">
        <f t="shared" si="152"/>
        <v>0</v>
      </c>
      <c r="BW132" s="679">
        <f t="shared" si="153"/>
        <v>0</v>
      </c>
      <c r="BX132" s="675"/>
      <c r="BY132" s="676">
        <f t="shared" si="113"/>
        <v>0</v>
      </c>
      <c r="BZ132" s="677">
        <f t="shared" si="114"/>
        <v>0</v>
      </c>
      <c r="CA132" s="677">
        <f t="shared" si="154"/>
        <v>0</v>
      </c>
      <c r="CB132" s="678">
        <f t="shared" si="155"/>
        <v>0</v>
      </c>
      <c r="CC132" s="679">
        <f t="shared" si="156"/>
        <v>0</v>
      </c>
      <c r="CD132" s="675"/>
      <c r="CE132" s="676">
        <f t="shared" si="115"/>
        <v>0</v>
      </c>
      <c r="CF132" s="677">
        <f t="shared" si="116"/>
        <v>0</v>
      </c>
      <c r="CG132" s="677">
        <f t="shared" si="157"/>
        <v>0</v>
      </c>
      <c r="CH132" s="678">
        <f t="shared" si="158"/>
        <v>0</v>
      </c>
      <c r="CI132" s="679">
        <f t="shared" si="159"/>
        <v>0</v>
      </c>
      <c r="CJ132" s="675"/>
      <c r="CK132" s="676">
        <f t="shared" si="117"/>
        <v>0</v>
      </c>
      <c r="CL132" s="677">
        <f t="shared" si="118"/>
        <v>0</v>
      </c>
      <c r="CM132" s="677">
        <f t="shared" si="160"/>
        <v>0</v>
      </c>
      <c r="CN132" s="678">
        <f t="shared" si="161"/>
        <v>0</v>
      </c>
      <c r="CO132" s="679">
        <f t="shared" si="162"/>
        <v>0</v>
      </c>
      <c r="CP132" s="675"/>
      <c r="CQ132" s="676">
        <f t="shared" si="119"/>
        <v>0</v>
      </c>
      <c r="CR132" s="677">
        <f t="shared" si="120"/>
        <v>0</v>
      </c>
      <c r="CS132" s="677">
        <f t="shared" si="163"/>
        <v>0</v>
      </c>
      <c r="CT132" s="678">
        <f t="shared" si="164"/>
        <v>0</v>
      </c>
      <c r="CU132" s="679">
        <f t="shared" si="165"/>
        <v>0</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c r="DU132" s="676">
        <f t="shared" si="121"/>
        <v>0</v>
      </c>
      <c r="DV132" s="677">
        <f t="shared" si="122"/>
        <v>0</v>
      </c>
      <c r="DW132" s="677">
        <f t="shared" si="166"/>
        <v>0</v>
      </c>
      <c r="DX132" s="678">
        <f t="shared" si="167"/>
        <v>0</v>
      </c>
      <c r="DY132" s="679">
        <f t="shared" si="168"/>
        <v>0</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852</v>
      </c>
      <c r="I133" s="494" t="str">
        <f t="shared" si="92"/>
        <v>verhuurder</v>
      </c>
      <c r="J133" s="495" t="s">
        <v>487</v>
      </c>
      <c r="K133" s="151">
        <v>1</v>
      </c>
      <c r="L133" s="256">
        <f>IF($C$5&lt;3000,(Bron!H122*$C$5)+Bron!I122,(Bron!M122*$C$5)+Bron!N122)</f>
        <v>3334.848</v>
      </c>
      <c r="M133" s="256"/>
      <c r="N133" s="496">
        <f t="shared" si="90"/>
        <v>2863.84</v>
      </c>
      <c r="O133" s="497">
        <f t="shared" si="91"/>
        <v>1.1644672886753449</v>
      </c>
      <c r="P133" s="257">
        <f>IF($C$5&lt;3000,$AN$32*Bron!J122,$AN$32*Bron!O122)</f>
        <v>2045.6000000000001</v>
      </c>
      <c r="Q133" s="257"/>
      <c r="R133" s="257">
        <f>IF($C$5&lt;3000,$AN$33*Bron!J122,$AN$33*Bron!O122)</f>
        <v>0</v>
      </c>
      <c r="S133" s="344"/>
      <c r="T133" s="258">
        <f t="shared" si="93"/>
        <v>1</v>
      </c>
      <c r="U133" s="259">
        <f t="shared" si="94"/>
        <v>0</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c r="BA133" s="676">
        <f t="shared" si="105"/>
        <v>0</v>
      </c>
      <c r="BB133" s="677">
        <f t="shared" si="106"/>
        <v>0</v>
      </c>
      <c r="BC133" s="677">
        <f t="shared" si="142"/>
        <v>0</v>
      </c>
      <c r="BD133" s="678">
        <f t="shared" si="143"/>
        <v>0</v>
      </c>
      <c r="BE133" s="679">
        <f t="shared" si="144"/>
        <v>0</v>
      </c>
      <c r="BF133" s="675"/>
      <c r="BG133" s="676">
        <f t="shared" si="107"/>
        <v>0</v>
      </c>
      <c r="BH133" s="677">
        <f t="shared" si="108"/>
        <v>0</v>
      </c>
      <c r="BI133" s="677">
        <f t="shared" si="145"/>
        <v>0</v>
      </c>
      <c r="BJ133" s="678">
        <f t="shared" si="146"/>
        <v>0</v>
      </c>
      <c r="BK133" s="679">
        <f t="shared" si="147"/>
        <v>0</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852</v>
      </c>
      <c r="I134" s="494" t="str">
        <f t="shared" si="92"/>
        <v>verhuurder</v>
      </c>
      <c r="J134" s="495" t="s">
        <v>487</v>
      </c>
      <c r="K134" s="151">
        <v>0</v>
      </c>
      <c r="L134" s="256">
        <f>IF($C$5&lt;3000,(Bron!H123*$C$5)+Bron!I123,(Bron!M123*$C$5)+Bron!N123)</f>
        <v>3334.848</v>
      </c>
      <c r="M134" s="256"/>
      <c r="N134" s="496">
        <f t="shared" si="90"/>
        <v>715.96</v>
      </c>
      <c r="O134" s="497">
        <f t="shared" si="91"/>
        <v>4.6578691547013795</v>
      </c>
      <c r="P134" s="257">
        <f>IF($C$5&lt;3000,$AN$32*Bron!J123,$AN$32*Bron!O123)</f>
        <v>511.40000000000003</v>
      </c>
      <c r="Q134" s="257"/>
      <c r="R134" s="257">
        <f>IF($C$5&lt;3000,$AN$33*Bron!J123,$AN$33*Bron!O123)</f>
        <v>0</v>
      </c>
      <c r="S134" s="344"/>
      <c r="T134" s="258">
        <f t="shared" si="93"/>
        <v>1</v>
      </c>
      <c r="U134" s="259">
        <f t="shared" si="94"/>
        <v>3334.848</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v>1</v>
      </c>
      <c r="AU134" s="676">
        <f t="shared" si="103"/>
        <v>3334.848</v>
      </c>
      <c r="AV134" s="677">
        <f t="shared" si="104"/>
        <v>511.40000000000003</v>
      </c>
      <c r="AW134" s="677">
        <f t="shared" si="139"/>
        <v>0</v>
      </c>
      <c r="AX134" s="678">
        <f t="shared" si="140"/>
        <v>0</v>
      </c>
      <c r="AY134" s="679">
        <f t="shared" si="141"/>
        <v>715.96</v>
      </c>
      <c r="AZ134" s="675"/>
      <c r="BA134" s="676">
        <f t="shared" si="105"/>
        <v>0</v>
      </c>
      <c r="BB134" s="677">
        <f t="shared" si="106"/>
        <v>0</v>
      </c>
      <c r="BC134" s="677">
        <f t="shared" si="142"/>
        <v>0</v>
      </c>
      <c r="BD134" s="678">
        <f t="shared" si="143"/>
        <v>0</v>
      </c>
      <c r="BE134" s="679">
        <f t="shared" si="144"/>
        <v>0</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c r="B135" s="488">
        <v>91</v>
      </c>
      <c r="C135" s="489" t="s">
        <v>224</v>
      </c>
      <c r="D135" s="490" t="s">
        <v>228</v>
      </c>
      <c r="E135" s="491" t="s">
        <v>229</v>
      </c>
      <c r="F135" s="492"/>
      <c r="G135" s="493"/>
      <c r="H135" s="146" t="s">
        <v>97</v>
      </c>
      <c r="I135" s="494" t="str">
        <f t="shared" si="92"/>
        <v>n.v.t.</v>
      </c>
      <c r="J135" s="495" t="s">
        <v>487</v>
      </c>
      <c r="K135" s="151">
        <v>0</v>
      </c>
      <c r="L135" s="256">
        <f>IF($C$5&lt;3000,(Bron!H124*$C$5)+Bron!I124,(Bron!M124*$C$5)+Bron!N124)</f>
        <v>3334.848</v>
      </c>
      <c r="M135" s="256"/>
      <c r="N135" s="496">
        <f t="shared" si="90"/>
        <v>1789.8999999999999</v>
      </c>
      <c r="O135" s="497">
        <f t="shared" si="91"/>
        <v>1.863147661880552</v>
      </c>
      <c r="P135" s="257">
        <f>IF($C$5&lt;3000,$AN$32*Bron!J124,$AN$32*Bron!O124)</f>
        <v>1278.5</v>
      </c>
      <c r="Q135" s="257"/>
      <c r="R135" s="257">
        <f>IF($C$5&lt;3000,$AN$33*Bron!J124,$AN$33*Bron!O124)</f>
        <v>0</v>
      </c>
      <c r="S135" s="344"/>
      <c r="T135" s="258">
        <f t="shared" si="93"/>
        <v>0</v>
      </c>
      <c r="U135" s="259">
        <f t="shared" si="94"/>
        <v>0</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c r="AU135" s="676">
        <f t="shared" si="103"/>
        <v>0</v>
      </c>
      <c r="AV135" s="677">
        <f t="shared" si="104"/>
        <v>0</v>
      </c>
      <c r="AW135" s="677">
        <f t="shared" si="139"/>
        <v>0</v>
      </c>
      <c r="AX135" s="678">
        <f t="shared" si="140"/>
        <v>0</v>
      </c>
      <c r="AY135" s="679">
        <f t="shared" si="141"/>
        <v>0</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852</v>
      </c>
      <c r="I136" s="494" t="str">
        <f t="shared" si="92"/>
        <v>verhuurder</v>
      </c>
      <c r="J136" s="495"/>
      <c r="K136" s="151">
        <v>1</v>
      </c>
      <c r="L136" s="256"/>
      <c r="M136" s="256">
        <f>IF($C$5&lt;3000,(Bron!H125*$C$5)+Bron!I125,(Bron!M125*$C$5)+Bron!N125)</f>
        <v>10838.255999999999</v>
      </c>
      <c r="N136" s="496">
        <f t="shared" si="90"/>
        <v>2505.86</v>
      </c>
      <c r="O136" s="497">
        <f t="shared" si="91"/>
        <v>4.3251642150798526</v>
      </c>
      <c r="P136" s="257">
        <f>IF($C$5&lt;3000,$AN$32*Bron!J125,$AN$32*Bron!O125)</f>
        <v>1789.9</v>
      </c>
      <c r="Q136" s="257"/>
      <c r="R136" s="257">
        <f>IF($C$5&lt;3000,$AN$33*Bron!J125,$AN$33*Bron!O125)</f>
        <v>0</v>
      </c>
      <c r="S136" s="344"/>
      <c r="T136" s="258">
        <f t="shared" si="93"/>
        <v>1</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852</v>
      </c>
      <c r="I137" s="494" t="str">
        <f t="shared" si="92"/>
        <v>verhuurder</v>
      </c>
      <c r="J137" s="495"/>
      <c r="K137" s="151">
        <v>0</v>
      </c>
      <c r="L137" s="256"/>
      <c r="M137" s="256">
        <f>IF($C$5&lt;3000,(Bron!H126*$C$5)+Bron!I126,(Bron!M126*$C$5)+Bron!N126)</f>
        <v>0</v>
      </c>
      <c r="N137" s="496">
        <f t="shared" si="90"/>
        <v>455.63739199999998</v>
      </c>
      <c r="O137" s="497">
        <f t="shared" si="91"/>
        <v>0</v>
      </c>
      <c r="P137" s="257">
        <f>IF($C$5&lt;3000,$AN$32*Bron!J126,$AN$32*Bron!O126)</f>
        <v>0</v>
      </c>
      <c r="Q137" s="257">
        <f>IF($C$5&lt;3000,$AN$31*Bron!K126,$AN$31*Bron!P126)</f>
        <v>1793.848</v>
      </c>
      <c r="R137" s="257">
        <f>IF($C$5&lt;3000,$AN$33*Bron!J126,$AN$33*Bron!O126)</f>
        <v>0</v>
      </c>
      <c r="S137" s="344"/>
      <c r="T137" s="258">
        <f t="shared" si="93"/>
        <v>0</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c r="AU137" s="676">
        <f t="shared" si="103"/>
        <v>0</v>
      </c>
      <c r="AV137" s="677">
        <f t="shared" si="104"/>
        <v>0</v>
      </c>
      <c r="AW137" s="677">
        <f t="shared" si="139"/>
        <v>0</v>
      </c>
      <c r="AX137" s="678">
        <f t="shared" si="140"/>
        <v>0</v>
      </c>
      <c r="AY137" s="679">
        <f t="shared" si="141"/>
        <v>0</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c r="B138" s="488">
        <v>94</v>
      </c>
      <c r="C138" s="489" t="s">
        <v>224</v>
      </c>
      <c r="D138" s="490" t="s">
        <v>21</v>
      </c>
      <c r="E138" s="491" t="s">
        <v>424</v>
      </c>
      <c r="F138" s="492"/>
      <c r="G138" s="493"/>
      <c r="H138" s="146" t="s">
        <v>97</v>
      </c>
      <c r="I138" s="494" t="str">
        <f t="shared" si="92"/>
        <v>n.v.t.</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c r="B139" s="488">
        <v>95</v>
      </c>
      <c r="C139" s="489" t="s">
        <v>224</v>
      </c>
      <c r="D139" s="490" t="s">
        <v>493</v>
      </c>
      <c r="E139" s="491" t="s">
        <v>601</v>
      </c>
      <c r="F139" s="492"/>
      <c r="G139" s="493"/>
      <c r="H139" s="146" t="s">
        <v>852</v>
      </c>
      <c r="I139" s="494" t="str">
        <f t="shared" si="92"/>
        <v>verhuurder</v>
      </c>
      <c r="J139" s="495" t="s">
        <v>487</v>
      </c>
      <c r="K139" s="151">
        <v>1</v>
      </c>
      <c r="L139" s="256">
        <f>IF($C$5&lt;3000,(Bron!H128*$C$5)+Bron!I128,(Bron!M128*$C$5)+Bron!N128)</f>
        <v>44464.639999999999</v>
      </c>
      <c r="M139" s="256"/>
      <c r="N139" s="496">
        <f t="shared" si="90"/>
        <v>11455.36</v>
      </c>
      <c r="O139" s="497">
        <f t="shared" si="91"/>
        <v>3.8815576289178164</v>
      </c>
      <c r="P139" s="257">
        <f>IF($C$5&lt;3000,$AN$32*Bron!J128,$AN$32*Bron!O128)</f>
        <v>8182.4000000000005</v>
      </c>
      <c r="Q139" s="257"/>
      <c r="R139" s="257">
        <f>IF($C$5&lt;3000,$AN$33*Bron!J128,$AN$33*Bron!O128)</f>
        <v>0</v>
      </c>
      <c r="S139" s="344"/>
      <c r="T139" s="258">
        <f t="shared" si="93"/>
        <v>1</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852</v>
      </c>
      <c r="I140" s="494" t="str">
        <f t="shared" si="92"/>
        <v>verhuurder</v>
      </c>
      <c r="J140" s="495" t="s">
        <v>487</v>
      </c>
      <c r="K140" s="151">
        <v>1</v>
      </c>
      <c r="L140" s="256">
        <f>IF($C$5&lt;3000,(Bron!H129*$C$5)+Bron!I129,(Bron!M129*$C$5)+Bron!N129)</f>
        <v>1111.616</v>
      </c>
      <c r="M140" s="256"/>
      <c r="N140" s="496">
        <f t="shared" si="90"/>
        <v>715.96</v>
      </c>
      <c r="O140" s="497">
        <f t="shared" si="91"/>
        <v>1.5526230515671267</v>
      </c>
      <c r="P140" s="257">
        <f>IF($C$5&lt;3000,$AN$32*Bron!J129,$AN$32*Bron!O129)</f>
        <v>511.40000000000003</v>
      </c>
      <c r="Q140" s="257"/>
      <c r="R140" s="257">
        <f>IF($C$5&lt;3000,$AN$33*Bron!J129,$AN$33*Bron!O129)</f>
        <v>0</v>
      </c>
      <c r="S140" s="344"/>
      <c r="T140" s="258">
        <f t="shared" si="93"/>
        <v>1</v>
      </c>
      <c r="U140" s="259">
        <f t="shared" si="94"/>
        <v>0</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c r="BA140" s="676">
        <f t="shared" si="105"/>
        <v>0</v>
      </c>
      <c r="BB140" s="677">
        <f t="shared" si="106"/>
        <v>0</v>
      </c>
      <c r="BC140" s="677">
        <f t="shared" si="142"/>
        <v>0</v>
      </c>
      <c r="BD140" s="678">
        <f t="shared" si="143"/>
        <v>0</v>
      </c>
      <c r="BE140" s="679">
        <f t="shared" si="144"/>
        <v>0</v>
      </c>
      <c r="BF140" s="675"/>
      <c r="BG140" s="676">
        <f t="shared" si="107"/>
        <v>0</v>
      </c>
      <c r="BH140" s="677">
        <f t="shared" si="108"/>
        <v>0</v>
      </c>
      <c r="BI140" s="677">
        <f t="shared" si="145"/>
        <v>0</v>
      </c>
      <c r="BJ140" s="678">
        <f t="shared" si="146"/>
        <v>0</v>
      </c>
      <c r="BK140" s="679">
        <f t="shared" si="147"/>
        <v>0</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c r="B141" s="488">
        <v>97</v>
      </c>
      <c r="C141" s="489" t="s">
        <v>224</v>
      </c>
      <c r="D141" s="490" t="s">
        <v>493</v>
      </c>
      <c r="E141" s="491" t="s">
        <v>442</v>
      </c>
      <c r="F141" s="492"/>
      <c r="G141" s="493"/>
      <c r="H141" s="146" t="s">
        <v>852</v>
      </c>
      <c r="I141" s="494" t="str">
        <f t="shared" si="92"/>
        <v>verhuurder</v>
      </c>
      <c r="J141" s="495" t="s">
        <v>487</v>
      </c>
      <c r="K141" s="151">
        <v>0</v>
      </c>
      <c r="L141" s="256">
        <f>IF($C$5&lt;3000,(Bron!H130*$C$5)+Bron!I130,(Bron!M130*$C$5)+Bron!N130)</f>
        <v>202869.91999999998</v>
      </c>
      <c r="M141" s="256"/>
      <c r="N141" s="496">
        <f t="shared" si="90"/>
        <v>1431.92</v>
      </c>
      <c r="O141" s="497">
        <f t="shared" si="91"/>
        <v>141.67685345550029</v>
      </c>
      <c r="P141" s="257">
        <f>IF($C$5&lt;3000,$AN$32*Bron!J130,$AN$32*Bron!O130)</f>
        <v>1022.8000000000001</v>
      </c>
      <c r="Q141" s="257"/>
      <c r="R141" s="257">
        <f>IF($C$5&lt;3000,$AN$33*Bron!J130,$AN$33*Bron!O130)</f>
        <v>0</v>
      </c>
      <c r="S141" s="344"/>
      <c r="T141" s="258">
        <f t="shared" si="93"/>
        <v>0</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c r="B142" s="488">
        <v>98</v>
      </c>
      <c r="C142" s="489" t="s">
        <v>224</v>
      </c>
      <c r="D142" s="490" t="s">
        <v>493</v>
      </c>
      <c r="E142" s="491" t="s">
        <v>443</v>
      </c>
      <c r="F142" s="492"/>
      <c r="G142" s="493"/>
      <c r="H142" s="146" t="s">
        <v>97</v>
      </c>
      <c r="I142" s="494" t="str">
        <f t="shared" si="92"/>
        <v>n.v.t.</v>
      </c>
      <c r="J142" s="495"/>
      <c r="K142" s="151">
        <v>0</v>
      </c>
      <c r="L142" s="256"/>
      <c r="M142" s="256">
        <f>IF($C$5&lt;3000,(Bron!H131*$C$5)+Bron!I131,(Bron!M131*$C$5)+Bron!N131)</f>
        <v>325000</v>
      </c>
      <c r="N142" s="496">
        <f t="shared" si="90"/>
        <v>41457.063615277781</v>
      </c>
      <c r="O142" s="497">
        <f t="shared" si="91"/>
        <v>7.8394360733313206</v>
      </c>
      <c r="P142" s="257">
        <f>IF($C$5&lt;3000,$AN$32*Bron!J131,$AN$32*Bron!O131)</f>
        <v>51140</v>
      </c>
      <c r="Q142" s="257">
        <f>(-P142*(35.17/3.6*0.95)/4)</f>
        <v>-118657.2298611111</v>
      </c>
      <c r="R142" s="257">
        <f>IF($C$5&lt;3000,$AN$33*Bron!J131,$AN$33*Bron!O131)</f>
        <v>0</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c r="B143" s="488">
        <v>99</v>
      </c>
      <c r="C143" s="489" t="s">
        <v>234</v>
      </c>
      <c r="D143" s="490" t="s">
        <v>4</v>
      </c>
      <c r="E143" s="491" t="s">
        <v>235</v>
      </c>
      <c r="F143" s="492"/>
      <c r="G143" s="493"/>
      <c r="H143" s="146" t="s">
        <v>97</v>
      </c>
      <c r="I143" s="494" t="str">
        <f t="shared" si="92"/>
        <v>n.v.t.</v>
      </c>
      <c r="J143" s="495" t="s">
        <v>489</v>
      </c>
      <c r="K143" s="151">
        <v>0</v>
      </c>
      <c r="L143" s="256">
        <f>IF($C$5&lt;3000,(Bron!H132*$C$5)+Bron!I132,(Bron!M132*$C$5)+Bron!N132)</f>
        <v>11949.871999999999</v>
      </c>
      <c r="M143" s="256"/>
      <c r="N143" s="496">
        <f t="shared" si="90"/>
        <v>4230.7105599999995</v>
      </c>
      <c r="O143" s="497">
        <f t="shared" si="91"/>
        <v>2.824554369892891</v>
      </c>
      <c r="P143" s="257">
        <f>IF($C$5&lt;3000,$AN$32*Bron!J132,$AN$32*Bron!O132)</f>
        <v>2557</v>
      </c>
      <c r="Q143" s="257">
        <f>IF($C$5&lt;3000,$AN$31*Bron!K132,$AN$31*Bron!P132)</f>
        <v>2562.64</v>
      </c>
      <c r="R143" s="257">
        <f>IF($C$5&lt;3000,$AN$33*Bron!J132,$AN$33*Bron!O132)</f>
        <v>0</v>
      </c>
      <c r="S143" s="344"/>
      <c r="T143" s="258">
        <f t="shared" si="93"/>
        <v>0</v>
      </c>
      <c r="U143" s="259">
        <f t="shared" si="94"/>
        <v>0</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c r="BA143" s="676">
        <f t="shared" si="105"/>
        <v>0</v>
      </c>
      <c r="BB143" s="677">
        <f t="shared" si="106"/>
        <v>0</v>
      </c>
      <c r="BC143" s="677">
        <f t="shared" si="142"/>
        <v>0</v>
      </c>
      <c r="BD143" s="678">
        <f t="shared" si="143"/>
        <v>0</v>
      </c>
      <c r="BE143" s="679">
        <f t="shared" si="144"/>
        <v>0</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c r="B144" s="488">
        <v>100</v>
      </c>
      <c r="C144" s="489" t="s">
        <v>234</v>
      </c>
      <c r="D144" s="490" t="s">
        <v>236</v>
      </c>
      <c r="E144" s="491" t="s">
        <v>237</v>
      </c>
      <c r="F144" s="492"/>
      <c r="G144" s="493"/>
      <c r="H144" s="146" t="s">
        <v>97</v>
      </c>
      <c r="I144" s="494" t="str">
        <f t="shared" si="92"/>
        <v>n.v.t.</v>
      </c>
      <c r="J144" s="495" t="s">
        <v>487</v>
      </c>
      <c r="K144" s="151">
        <v>0</v>
      </c>
      <c r="L144" s="256">
        <f>IF($C$5&lt;3000,(Bron!H133*$C$5)+Bron!I133,(Bron!M133*$C$5)+Bron!N133)</f>
        <v>44464.639999999999</v>
      </c>
      <c r="M144" s="256"/>
      <c r="N144" s="496">
        <f t="shared" si="90"/>
        <v>20046.88</v>
      </c>
      <c r="O144" s="497">
        <f t="shared" si="91"/>
        <v>2.2180329308101809</v>
      </c>
      <c r="P144" s="257">
        <f>IF($C$5&lt;3000,$AN$32*Bron!J133,$AN$32*Bron!O133)</f>
        <v>14319.2</v>
      </c>
      <c r="Q144" s="257"/>
      <c r="R144" s="257">
        <f>IF($C$5&lt;3000,$AN$33*Bron!J133,$AN$33*Bron!O133)</f>
        <v>0</v>
      </c>
      <c r="S144" s="344"/>
      <c r="T144" s="258">
        <f t="shared" si="93"/>
        <v>0</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c r="B145" s="488">
        <v>101</v>
      </c>
      <c r="C145" s="489" t="s">
        <v>234</v>
      </c>
      <c r="D145" s="490" t="s">
        <v>22</v>
      </c>
      <c r="E145" s="491" t="s">
        <v>238</v>
      </c>
      <c r="F145" s="492"/>
      <c r="G145" s="493"/>
      <c r="H145" s="146" t="s">
        <v>97</v>
      </c>
      <c r="I145" s="494" t="str">
        <f t="shared" si="92"/>
        <v>n.v.t.</v>
      </c>
      <c r="J145" s="495" t="s">
        <v>487</v>
      </c>
      <c r="K145" s="151">
        <v>0</v>
      </c>
      <c r="L145" s="256">
        <f>IF($C$5&lt;3000,(Bron!H134*$C$5)+Bron!I134,(Bron!M134*$C$5)+Bron!N134)</f>
        <v>21676.511999999999</v>
      </c>
      <c r="M145" s="256"/>
      <c r="N145" s="496">
        <f t="shared" si="90"/>
        <v>2603.6422400000001</v>
      </c>
      <c r="O145" s="497">
        <f t="shared" si="91"/>
        <v>8.3254571872362924</v>
      </c>
      <c r="P145" s="257">
        <f>IF($C$5&lt;3000,$AN$32*Bron!J134,$AN$32*Bron!O134)</f>
        <v>0</v>
      </c>
      <c r="Q145" s="257">
        <f>IF($C$5&lt;3000,$AN$31*Bron!K134,$AN$31*Bron!P134)</f>
        <v>10250.56</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c r="B146" s="488">
        <v>102</v>
      </c>
      <c r="C146" s="489" t="s">
        <v>234</v>
      </c>
      <c r="D146" s="490" t="s">
        <v>239</v>
      </c>
      <c r="E146" s="491" t="s">
        <v>240</v>
      </c>
      <c r="F146" s="492"/>
      <c r="G146" s="493"/>
      <c r="H146" s="146" t="s">
        <v>97</v>
      </c>
      <c r="I146" s="494" t="str">
        <f t="shared" si="92"/>
        <v>n.v.t.</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c r="B147" s="488">
        <v>103</v>
      </c>
      <c r="C147" s="489" t="s">
        <v>234</v>
      </c>
      <c r="D147" s="490" t="s">
        <v>241</v>
      </c>
      <c r="E147" s="491" t="s">
        <v>242</v>
      </c>
      <c r="F147" s="492"/>
      <c r="G147" s="493"/>
      <c r="H147" s="146" t="s">
        <v>97</v>
      </c>
      <c r="I147" s="494" t="str">
        <f t="shared" si="92"/>
        <v>n.v.t.</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c r="B148" s="488">
        <v>104</v>
      </c>
      <c r="C148" s="489" t="s">
        <v>234</v>
      </c>
      <c r="D148" s="490" t="s">
        <v>243</v>
      </c>
      <c r="E148" s="491" t="s">
        <v>244</v>
      </c>
      <c r="F148" s="492"/>
      <c r="G148" s="493"/>
      <c r="H148" s="146" t="s">
        <v>97</v>
      </c>
      <c r="I148" s="494" t="str">
        <f t="shared" si="92"/>
        <v>n.v.t.</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c r="B149" s="488">
        <v>105</v>
      </c>
      <c r="C149" s="489" t="s">
        <v>234</v>
      </c>
      <c r="D149" s="490" t="s">
        <v>245</v>
      </c>
      <c r="E149" s="491" t="s">
        <v>246</v>
      </c>
      <c r="F149" s="492"/>
      <c r="G149" s="493"/>
      <c r="H149" s="146" t="s">
        <v>97</v>
      </c>
      <c r="I149" s="494" t="str">
        <f t="shared" si="92"/>
        <v>n.v.t.</v>
      </c>
      <c r="J149" s="495"/>
      <c r="K149" s="151">
        <v>0</v>
      </c>
      <c r="L149" s="256"/>
      <c r="M149" s="256">
        <f>IF($C$5&lt;3000,(Bron!H138*$C$5)+Bron!I138,(Bron!M138*$C$5)+Bron!N138)</f>
        <v>1945.3279999999997</v>
      </c>
      <c r="N149" s="496">
        <f t="shared" si="90"/>
        <v>1627.2764000000002</v>
      </c>
      <c r="O149" s="497">
        <f t="shared" si="91"/>
        <v>1.1954502627826469</v>
      </c>
      <c r="P149" s="257">
        <f>IF($C$5&lt;3000,$AN$32*Bron!J138,$AN$32*Bron!O138)</f>
        <v>0</v>
      </c>
      <c r="Q149" s="257">
        <f>IF($C$5&lt;3000,$AN$31*Bron!K138,$AN$31*Bron!P138)</f>
        <v>6406.6</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c r="B150" s="488">
        <v>106</v>
      </c>
      <c r="C150" s="489" t="s">
        <v>234</v>
      </c>
      <c r="D150" s="490" t="s">
        <v>493</v>
      </c>
      <c r="E150" s="491" t="s">
        <v>579</v>
      </c>
      <c r="F150" s="492"/>
      <c r="G150" s="493"/>
      <c r="H150" s="146" t="s">
        <v>97</v>
      </c>
      <c r="I150" s="494" t="str">
        <f t="shared" si="92"/>
        <v>n.v.t.</v>
      </c>
      <c r="J150" s="495" t="s">
        <v>487</v>
      </c>
      <c r="K150" s="151">
        <v>0</v>
      </c>
      <c r="L150" s="256">
        <f>IF($C$5&lt;3000,(Bron!H139*$C$5)+Bron!I139,(Bron!M139*$C$5)+Bron!N139)</f>
        <v>19731.183999999997</v>
      </c>
      <c r="M150" s="256"/>
      <c r="N150" s="496">
        <f t="shared" si="90"/>
        <v>2603.6422400000001</v>
      </c>
      <c r="O150" s="497">
        <f t="shared" si="91"/>
        <v>7.578300772997137</v>
      </c>
      <c r="P150" s="257">
        <f>IF($C$5&lt;3000,$AN$32*Bron!J139,$AN$32*Bron!O139)</f>
        <v>0</v>
      </c>
      <c r="Q150" s="257">
        <f>IF($C$5&lt;3000,$AN$31*Bron!K139,$AN$31*Bron!P139)</f>
        <v>10250.56</v>
      </c>
      <c r="R150" s="257">
        <f>IF($C$5&lt;3000,$AN$33*Bron!J139,$AN$33*Bron!O139)</f>
        <v>0</v>
      </c>
      <c r="S150" s="344"/>
      <c r="T150" s="258">
        <f t="shared" si="93"/>
        <v>0</v>
      </c>
      <c r="U150" s="259">
        <f t="shared" si="94"/>
        <v>0</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c r="BA150" s="676">
        <f t="shared" si="105"/>
        <v>0</v>
      </c>
      <c r="BB150" s="677">
        <f t="shared" si="106"/>
        <v>0</v>
      </c>
      <c r="BC150" s="677">
        <f t="shared" si="142"/>
        <v>0</v>
      </c>
      <c r="BD150" s="678">
        <f t="shared" si="143"/>
        <v>0</v>
      </c>
      <c r="BE150" s="679">
        <f t="shared" si="144"/>
        <v>0</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c r="B151" s="488">
        <v>107</v>
      </c>
      <c r="C151" s="489" t="s">
        <v>234</v>
      </c>
      <c r="D151" s="490" t="s">
        <v>493</v>
      </c>
      <c r="E151" s="491" t="s">
        <v>584</v>
      </c>
      <c r="F151" s="492"/>
      <c r="G151" s="493"/>
      <c r="H151" s="146" t="s">
        <v>97</v>
      </c>
      <c r="I151" s="494" t="str">
        <f t="shared" si="92"/>
        <v>n.v.t.</v>
      </c>
      <c r="J151" s="495" t="s">
        <v>487</v>
      </c>
      <c r="K151" s="151">
        <v>0</v>
      </c>
      <c r="L151" s="256">
        <f>IF($C$5&lt;3000,(Bron!H140*$C$5)+Bron!I140,(Bron!M140*$C$5)+Bron!N140)</f>
        <v>10282.448</v>
      </c>
      <c r="M151" s="256"/>
      <c r="N151" s="496">
        <f t="shared" si="90"/>
        <v>4230.7105599999995</v>
      </c>
      <c r="O151" s="497">
        <f t="shared" si="91"/>
        <v>2.4304305043264414</v>
      </c>
      <c r="P151" s="257">
        <f>IF($C$5&lt;3000,$AN$32*Bron!J140,$AN$32*Bron!O140)</f>
        <v>2557</v>
      </c>
      <c r="Q151" s="257">
        <f>IF($C$5&lt;3000,$AN$31*Bron!K140,$AN$31*Bron!P140)</f>
        <v>2562.64</v>
      </c>
      <c r="R151" s="257">
        <f>IF($C$5&lt;3000,$AN$33*Bron!J140,$AN$33*Bron!O140)</f>
        <v>0</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c r="B152" s="488">
        <v>108</v>
      </c>
      <c r="C152" s="489" t="s">
        <v>234</v>
      </c>
      <c r="D152" s="490" t="s">
        <v>493</v>
      </c>
      <c r="E152" s="491" t="s">
        <v>605</v>
      </c>
      <c r="F152" s="492"/>
      <c r="G152" s="493"/>
      <c r="H152" s="146" t="s">
        <v>97</v>
      </c>
      <c r="I152" s="494" t="str">
        <f t="shared" si="92"/>
        <v>n.v.t.</v>
      </c>
      <c r="J152" s="495"/>
      <c r="K152" s="151">
        <v>0</v>
      </c>
      <c r="L152" s="256"/>
      <c r="M152" s="256">
        <f>IF($C$5&lt;3000,(Bron!H141*$C$5)+Bron!I141,(Bron!M141*$C$5)+Bron!N141)</f>
        <v>125056.8</v>
      </c>
      <c r="N152" s="496">
        <f t="shared" si="90"/>
        <v>25774.559999999994</v>
      </c>
      <c r="O152" s="497">
        <f t="shared" si="91"/>
        <v>4.8519470361472719</v>
      </c>
      <c r="P152" s="257">
        <f>IF($C$5&lt;3000,$AN$32*Bron!J141,$AN$32*Bron!O141)</f>
        <v>18410.399999999998</v>
      </c>
      <c r="Q152" s="257">
        <f>IF($C$5&lt;3000,$AN$31*Bron!K141,$AN$31*Bron!P141)</f>
        <v>0</v>
      </c>
      <c r="R152" s="257">
        <f>IF($C$5&lt;3000,$AN$33*Bron!J141,$AN$33*Bron!O141)</f>
        <v>0</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c r="B153" s="488">
        <v>109</v>
      </c>
      <c r="C153" s="489" t="s">
        <v>234</v>
      </c>
      <c r="D153" s="490" t="s">
        <v>493</v>
      </c>
      <c r="E153" s="491" t="s">
        <v>608</v>
      </c>
      <c r="F153" s="492"/>
      <c r="G153" s="493"/>
      <c r="H153" s="146" t="s">
        <v>97</v>
      </c>
      <c r="I153" s="494" t="str">
        <f t="shared" si="92"/>
        <v>n.v.t.</v>
      </c>
      <c r="J153" s="495"/>
      <c r="K153" s="151">
        <v>0</v>
      </c>
      <c r="L153" s="256"/>
      <c r="M153" s="256">
        <f>IF($C$5&lt;3000,(Bron!H142*$C$5)+Bron!I142,(Bron!M142*$C$5)+Bron!N142)</f>
        <v>75034.080000000002</v>
      </c>
      <c r="N153" s="496">
        <f t="shared" si="90"/>
        <v>17183.04</v>
      </c>
      <c r="O153" s="497">
        <f t="shared" si="91"/>
        <v>4.3667523325325437</v>
      </c>
      <c r="P153" s="257">
        <f>IF($C$5&lt;3000,$AN$32*Bron!J142,$AN$32*Bron!O142)</f>
        <v>12273.6</v>
      </c>
      <c r="Q153" s="257">
        <f>IF($C$5&lt;3000,$AN$31*Bron!K142,$AN$31*Bron!P142)</f>
        <v>0</v>
      </c>
      <c r="R153" s="257">
        <f>IF($C$5&lt;3000,$AN$33*Bron!J142,$AN$33*Bron!O142)</f>
        <v>0</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852</v>
      </c>
      <c r="I154" s="494" t="str">
        <f t="shared" si="92"/>
        <v>verhuurder</v>
      </c>
      <c r="J154" s="495" t="s">
        <v>487</v>
      </c>
      <c r="K154" s="151">
        <v>0</v>
      </c>
      <c r="L154" s="256">
        <f>IF($C$5&lt;3000,(Bron!H143*$C$5)+Bron!I143,(Bron!M143*$C$5)+Bron!N143)</f>
        <v>3334.848</v>
      </c>
      <c r="M154" s="256"/>
      <c r="N154" s="496">
        <f t="shared" si="90"/>
        <v>715.96</v>
      </c>
      <c r="O154" s="497">
        <f t="shared" si="91"/>
        <v>4.6578691547013795</v>
      </c>
      <c r="P154" s="257">
        <f>IF($C$5&lt;3000,$AN$32*Bron!J143,$AN$32*Bron!O143)</f>
        <v>511.40000000000003</v>
      </c>
      <c r="Q154" s="257"/>
      <c r="R154" s="257">
        <f>IF($C$5&lt;3000,$AN$33*Bron!J143,$AN$33*Bron!O143)</f>
        <v>0</v>
      </c>
      <c r="S154" s="344"/>
      <c r="T154" s="258">
        <f t="shared" si="93"/>
        <v>1</v>
      </c>
      <c r="U154" s="259">
        <f t="shared" si="94"/>
        <v>3334.848</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v>1</v>
      </c>
      <c r="AU154" s="676">
        <f t="shared" si="103"/>
        <v>3334.848</v>
      </c>
      <c r="AV154" s="677">
        <f t="shared" si="104"/>
        <v>511.40000000000003</v>
      </c>
      <c r="AW154" s="677">
        <f t="shared" si="139"/>
        <v>0</v>
      </c>
      <c r="AX154" s="678">
        <f t="shared" si="140"/>
        <v>0</v>
      </c>
      <c r="AY154" s="679">
        <f t="shared" si="141"/>
        <v>715.96</v>
      </c>
      <c r="AZ154" s="675"/>
      <c r="BA154" s="676">
        <f t="shared" si="105"/>
        <v>0</v>
      </c>
      <c r="BB154" s="677">
        <f t="shared" si="106"/>
        <v>0</v>
      </c>
      <c r="BC154" s="677">
        <f t="shared" si="142"/>
        <v>0</v>
      </c>
      <c r="BD154" s="678">
        <f t="shared" si="143"/>
        <v>0</v>
      </c>
      <c r="BE154" s="679">
        <f t="shared" si="144"/>
        <v>0</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0</v>
      </c>
      <c r="L155" s="256">
        <f>IF($C$5&lt;3000,(Bron!H144*$C$5)+Bron!I144,(Bron!M144*$C$5)+Bron!N144)</f>
        <v>2646.7047619047617</v>
      </c>
      <c r="M155" s="256"/>
      <c r="N155" s="496">
        <f t="shared" ref="N155:N181" si="175">($C$19*P155)+($C$18*Q155)+($C$20*R155)</f>
        <v>787.55599999999993</v>
      </c>
      <c r="O155" s="497">
        <f t="shared" ref="O155:O181" si="176">IF(N155=0,"",(L155+M155)/N155)</f>
        <v>3.3606559557730016</v>
      </c>
      <c r="P155" s="257">
        <f>IF($C$5&lt;3000,$AN$32*Bron!J144,$AN$32*Bron!O144)</f>
        <v>562.54</v>
      </c>
      <c r="Q155" s="257">
        <f>IF($C$5&lt;3000,$AN$31*Bron!K144,$AN$31*Bron!P144)</f>
        <v>0</v>
      </c>
      <c r="R155" s="257">
        <f>IF($C$5&lt;3000,$AN$33*Bron!J144,$AN$33*Bron!O144)</f>
        <v>0</v>
      </c>
      <c r="S155" s="344"/>
      <c r="T155" s="258">
        <f t="shared" si="93"/>
        <v>0</v>
      </c>
      <c r="U155" s="259">
        <f t="shared" si="94"/>
        <v>0</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c r="AU155" s="676">
        <f t="shared" si="103"/>
        <v>0</v>
      </c>
      <c r="AV155" s="677">
        <f t="shared" si="104"/>
        <v>0</v>
      </c>
      <c r="AW155" s="677">
        <f t="shared" si="139"/>
        <v>0</v>
      </c>
      <c r="AX155" s="678">
        <f t="shared" si="140"/>
        <v>0</v>
      </c>
      <c r="AY155" s="679">
        <f t="shared" si="141"/>
        <v>0</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c r="B156" s="488">
        <v>112</v>
      </c>
      <c r="C156" s="489" t="s">
        <v>248</v>
      </c>
      <c r="D156" s="490" t="s">
        <v>252</v>
      </c>
      <c r="E156" s="491" t="s">
        <v>253</v>
      </c>
      <c r="F156" s="492"/>
      <c r="G156" s="493"/>
      <c r="H156" s="146" t="s">
        <v>852</v>
      </c>
      <c r="I156" s="494" t="str">
        <f t="shared" si="92"/>
        <v>verhuurder</v>
      </c>
      <c r="J156" s="495"/>
      <c r="K156" s="151">
        <v>1</v>
      </c>
      <c r="L156" s="256"/>
      <c r="M156" s="256">
        <f>IF($C$5&lt;3000,(Bron!H145*$C$5)+Bron!I145,(Bron!M145*$C$5)+Bron!N145)</f>
        <v>0</v>
      </c>
      <c r="N156" s="496">
        <f t="shared" si="175"/>
        <v>2863.84</v>
      </c>
      <c r="O156" s="497">
        <f t="shared" si="176"/>
        <v>0</v>
      </c>
      <c r="P156" s="257">
        <f>IF($C$5&lt;3000,$AN$32*Bron!J145,$AN$32*Bron!O145)</f>
        <v>2045.6000000000001</v>
      </c>
      <c r="Q156" s="257"/>
      <c r="R156" s="257">
        <f>IF($C$5&lt;3000,$AN$33*Bron!J145,$AN$33*Bron!O145)</f>
        <v>0</v>
      </c>
      <c r="S156" s="344"/>
      <c r="T156" s="258">
        <f t="shared" si="93"/>
        <v>1</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c r="B157" s="488">
        <v>113</v>
      </c>
      <c r="C157" s="489" t="s">
        <v>248</v>
      </c>
      <c r="D157" s="490" t="s">
        <v>493</v>
      </c>
      <c r="E157" s="491" t="s">
        <v>447</v>
      </c>
      <c r="F157" s="492"/>
      <c r="G157" s="493"/>
      <c r="H157" s="146" t="s">
        <v>97</v>
      </c>
      <c r="I157" s="494" t="str">
        <f t="shared" si="92"/>
        <v>n.v.t.</v>
      </c>
      <c r="J157" s="495"/>
      <c r="K157" s="151">
        <v>0</v>
      </c>
      <c r="L157" s="256"/>
      <c r="M157" s="256">
        <f>IF($C$5&lt;3000,(Bron!H146*$C$5)+Bron!I146,(Bron!M146*$C$5)+Bron!N146)</f>
        <v>27790.400000000001</v>
      </c>
      <c r="N157" s="496">
        <f t="shared" si="175"/>
        <v>1646.7079999999999</v>
      </c>
      <c r="O157" s="497">
        <f t="shared" si="176"/>
        <v>16.876337517033988</v>
      </c>
      <c r="P157" s="257">
        <f>IF($C$5&lt;3000,$AN$32*Bron!J146,$AN$32*Bron!O146)</f>
        <v>1176.22</v>
      </c>
      <c r="Q157" s="257"/>
      <c r="R157" s="257">
        <f>IF($C$5&lt;3000,$AN$33*Bron!J146,$AN$33*Bron!O146)</f>
        <v>0</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c r="B158" s="488">
        <v>114</v>
      </c>
      <c r="C158" s="489" t="s">
        <v>248</v>
      </c>
      <c r="D158" s="490" t="s">
        <v>493</v>
      </c>
      <c r="E158" s="491" t="s">
        <v>448</v>
      </c>
      <c r="F158" s="492"/>
      <c r="G158" s="493"/>
      <c r="H158" s="146" t="s">
        <v>852</v>
      </c>
      <c r="I158" s="494" t="str">
        <f t="shared" si="92"/>
        <v>verhuurder</v>
      </c>
      <c r="J158" s="495"/>
      <c r="K158" s="151">
        <v>0</v>
      </c>
      <c r="L158" s="256"/>
      <c r="M158" s="256">
        <f>IF($C$5&lt;3000,(Bron!H147*$C$5)+Bron!I147,(Bron!M147*$C$5)+Bron!N147)</f>
        <v>14173.103999999999</v>
      </c>
      <c r="N158" s="496">
        <f t="shared" si="175"/>
        <v>6715.358801371427</v>
      </c>
      <c r="O158" s="497">
        <f t="shared" si="176"/>
        <v>2.1105505184779605</v>
      </c>
      <c r="P158" s="257">
        <f>IF($C$5&lt;3000,$AN$32*Bron!J147,$AN$32*Bron!O147)</f>
        <v>9716.6</v>
      </c>
      <c r="Q158" s="257">
        <f>(-P158*9.768/3.5)</f>
        <v>-27117.642514285719</v>
      </c>
      <c r="R158" s="257">
        <f>IF($C$5&lt;3000,$AN$33*Bron!J147,$AN$33*Bron!O147)</f>
        <v>0</v>
      </c>
      <c r="S158" s="344"/>
      <c r="T158" s="258">
        <f t="shared" si="93"/>
        <v>1</v>
      </c>
      <c r="U158" s="259">
        <f t="shared" si="94"/>
        <v>14173.103999999999</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v>1</v>
      </c>
      <c r="AU158" s="676">
        <f t="shared" si="103"/>
        <v>14173.103999999999</v>
      </c>
      <c r="AV158" s="677">
        <f t="shared" si="104"/>
        <v>9716.6</v>
      </c>
      <c r="AW158" s="677">
        <f t="shared" si="139"/>
        <v>-27117.642514285719</v>
      </c>
      <c r="AX158" s="678">
        <f t="shared" si="140"/>
        <v>0</v>
      </c>
      <c r="AY158" s="679">
        <f t="shared" si="141"/>
        <v>6715.358801371427</v>
      </c>
      <c r="AZ158" s="675"/>
      <c r="BA158" s="676">
        <f t="shared" si="105"/>
        <v>0</v>
      </c>
      <c r="BB158" s="677">
        <f t="shared" si="106"/>
        <v>0</v>
      </c>
      <c r="BC158" s="677">
        <f t="shared" si="142"/>
        <v>0</v>
      </c>
      <c r="BD158" s="678">
        <f t="shared" si="143"/>
        <v>0</v>
      </c>
      <c r="BE158" s="679">
        <f t="shared" si="144"/>
        <v>0</v>
      </c>
      <c r="BF158" s="675"/>
      <c r="BG158" s="676">
        <f t="shared" si="107"/>
        <v>0</v>
      </c>
      <c r="BH158" s="677">
        <f t="shared" si="108"/>
        <v>0</v>
      </c>
      <c r="BI158" s="677">
        <f t="shared" si="145"/>
        <v>0</v>
      </c>
      <c r="BJ158" s="678">
        <f t="shared" si="146"/>
        <v>0</v>
      </c>
      <c r="BK158" s="679">
        <f t="shared" si="147"/>
        <v>0</v>
      </c>
      <c r="BL158" s="675"/>
      <c r="BM158" s="676">
        <f t="shared" si="109"/>
        <v>0</v>
      </c>
      <c r="BN158" s="677">
        <f t="shared" si="110"/>
        <v>0</v>
      </c>
      <c r="BO158" s="677">
        <f t="shared" si="148"/>
        <v>0</v>
      </c>
      <c r="BP158" s="678">
        <f t="shared" si="149"/>
        <v>0</v>
      </c>
      <c r="BQ158" s="679">
        <f t="shared" si="150"/>
        <v>0</v>
      </c>
      <c r="BR158" s="675"/>
      <c r="BS158" s="676">
        <f t="shared" si="111"/>
        <v>0</v>
      </c>
      <c r="BT158" s="677">
        <f t="shared" si="112"/>
        <v>0</v>
      </c>
      <c r="BU158" s="677">
        <f t="shared" si="151"/>
        <v>0</v>
      </c>
      <c r="BV158" s="678">
        <f t="shared" si="152"/>
        <v>0</v>
      </c>
      <c r="BW158" s="679">
        <f t="shared" si="153"/>
        <v>0</v>
      </c>
      <c r="BX158" s="675"/>
      <c r="BY158" s="676">
        <f t="shared" si="113"/>
        <v>0</v>
      </c>
      <c r="BZ158" s="677">
        <f t="shared" si="114"/>
        <v>0</v>
      </c>
      <c r="CA158" s="677">
        <f t="shared" si="154"/>
        <v>0</v>
      </c>
      <c r="CB158" s="678">
        <f t="shared" si="155"/>
        <v>0</v>
      </c>
      <c r="CC158" s="679">
        <f t="shared" si="156"/>
        <v>0</v>
      </c>
      <c r="CD158" s="675"/>
      <c r="CE158" s="676">
        <f t="shared" si="115"/>
        <v>0</v>
      </c>
      <c r="CF158" s="677">
        <f t="shared" si="116"/>
        <v>0</v>
      </c>
      <c r="CG158" s="677">
        <f t="shared" si="157"/>
        <v>0</v>
      </c>
      <c r="CH158" s="678">
        <f t="shared" si="158"/>
        <v>0</v>
      </c>
      <c r="CI158" s="679">
        <f t="shared" si="159"/>
        <v>0</v>
      </c>
      <c r="CJ158" s="675"/>
      <c r="CK158" s="676">
        <f t="shared" si="117"/>
        <v>0</v>
      </c>
      <c r="CL158" s="677">
        <f t="shared" si="118"/>
        <v>0</v>
      </c>
      <c r="CM158" s="677">
        <f t="shared" si="160"/>
        <v>0</v>
      </c>
      <c r="CN158" s="678">
        <f t="shared" si="161"/>
        <v>0</v>
      </c>
      <c r="CO158" s="679">
        <f t="shared" si="162"/>
        <v>0</v>
      </c>
      <c r="CP158" s="675"/>
      <c r="CQ158" s="676">
        <f t="shared" si="119"/>
        <v>0</v>
      </c>
      <c r="CR158" s="677">
        <f t="shared" si="120"/>
        <v>0</v>
      </c>
      <c r="CS158" s="677">
        <f t="shared" si="163"/>
        <v>0</v>
      </c>
      <c r="CT158" s="678">
        <f t="shared" si="164"/>
        <v>0</v>
      </c>
      <c r="CU158" s="679">
        <f t="shared" si="165"/>
        <v>0</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c r="DU158" s="676">
        <f t="shared" si="121"/>
        <v>0</v>
      </c>
      <c r="DV158" s="677">
        <f t="shared" si="122"/>
        <v>0</v>
      </c>
      <c r="DW158" s="677">
        <f t="shared" si="166"/>
        <v>0</v>
      </c>
      <c r="DX158" s="678">
        <f t="shared" si="167"/>
        <v>0</v>
      </c>
      <c r="DY158" s="679">
        <f t="shared" si="168"/>
        <v>0</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c r="B159" s="488">
        <v>115</v>
      </c>
      <c r="C159" s="489" t="s">
        <v>248</v>
      </c>
      <c r="D159" s="490" t="s">
        <v>493</v>
      </c>
      <c r="E159" s="491" t="s">
        <v>449</v>
      </c>
      <c r="F159" s="492"/>
      <c r="G159" s="493"/>
      <c r="H159" s="146" t="s">
        <v>97</v>
      </c>
      <c r="I159" s="494" t="str">
        <f t="shared" si="92"/>
        <v>n.v.t.</v>
      </c>
      <c r="J159" s="495"/>
      <c r="K159" s="151">
        <v>0</v>
      </c>
      <c r="L159" s="256"/>
      <c r="M159" s="256">
        <f>IF($C$5&lt;3000,(Bron!H148*$C$5)+Bron!I148,(Bron!M148*$C$5)+Bron!N148)</f>
        <v>33348.479999999996</v>
      </c>
      <c r="N159" s="496">
        <f t="shared" si="175"/>
        <v>4295.76</v>
      </c>
      <c r="O159" s="497">
        <f t="shared" si="176"/>
        <v>7.7631152578356319</v>
      </c>
      <c r="P159" s="257">
        <f>IF($C$5&lt;3000,$AN$32*Bron!J148,$AN$32*Bron!O148)</f>
        <v>3068.4</v>
      </c>
      <c r="Q159" s="257"/>
      <c r="R159" s="257">
        <f>IF($C$5&lt;3000,$AN$33*Bron!J148,$AN$33*Bron!O148)</f>
        <v>0</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97</v>
      </c>
      <c r="I160" s="494" t="str">
        <f t="shared" si="92"/>
        <v>n.v.t.</v>
      </c>
      <c r="J160" s="495" t="s">
        <v>487</v>
      </c>
      <c r="K160" s="151">
        <v>0</v>
      </c>
      <c r="L160" s="256">
        <f>IF($C$5&lt;3000,(Bron!H149*$C$5)+Bron!I149,(Bron!M149*$C$5)+Bron!N149)</f>
        <v>17000</v>
      </c>
      <c r="M160" s="256"/>
      <c r="N160" s="496">
        <f t="shared" si="175"/>
        <v>2935.4360000000001</v>
      </c>
      <c r="O160" s="497">
        <f t="shared" si="176"/>
        <v>5.7913032339999919</v>
      </c>
      <c r="P160" s="257">
        <f>IF($C$5&lt;3000,$AN$32*Bron!J149,$AN$32*Bron!O149)</f>
        <v>2096.7400000000002</v>
      </c>
      <c r="Q160" s="257">
        <f>IF($C$5&lt;3000,$AN$31*Bron!K149,$AN$31*Bron!P149)</f>
        <v>0</v>
      </c>
      <c r="R160" s="257">
        <f>IF($C$5&lt;3000,$AN$33*Bron!J149,$AN$33*Bron!O149)</f>
        <v>0</v>
      </c>
      <c r="S160" s="344"/>
      <c r="T160" s="258">
        <f t="shared" si="93"/>
        <v>0</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486</v>
      </c>
      <c r="I161" s="494" t="str">
        <f t="shared" si="92"/>
        <v>ons</v>
      </c>
      <c r="J161" s="495" t="s">
        <v>487</v>
      </c>
      <c r="K161" s="151">
        <v>1</v>
      </c>
      <c r="L161" s="256">
        <f>IF($C$5&lt;3000,(Bron!H150*$C$5)+Bron!I150,(Bron!M150*$C$5)+Bron!N150)</f>
        <v>2223.232</v>
      </c>
      <c r="M161" s="256"/>
      <c r="N161" s="496">
        <f t="shared" si="175"/>
        <v>846.18372799999997</v>
      </c>
      <c r="O161" s="497">
        <f t="shared" si="176"/>
        <v>2.6273632149069166</v>
      </c>
      <c r="P161" s="257">
        <f>IF($C$5&lt;3000,$AN$32*Bron!J150,$AN$32*Bron!O150)</f>
        <v>0</v>
      </c>
      <c r="Q161" s="257">
        <f>IF($C$5&lt;3000,$AN$31*Bron!K150,$AN$31*Bron!P150)</f>
        <v>3331.4319999999998</v>
      </c>
      <c r="R161" s="257">
        <f>IF($C$5&lt;3000,$AN$33*Bron!J150,$AN$33*Bron!O150)</f>
        <v>0</v>
      </c>
      <c r="S161" s="344"/>
      <c r="T161" s="258">
        <f t="shared" si="93"/>
        <v>1</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0.7</v>
      </c>
      <c r="L162" s="256">
        <f>IF($C$5&lt;3000,(Bron!H151*$C$5)+Bron!I151,(Bron!M151*$C$5)+Bron!N151)</f>
        <v>30569.439999999999</v>
      </c>
      <c r="M162" s="256"/>
      <c r="N162" s="496">
        <f t="shared" si="175"/>
        <v>5207.2844800000003</v>
      </c>
      <c r="O162" s="497">
        <f t="shared" si="176"/>
        <v>5.8705146833076416</v>
      </c>
      <c r="P162" s="257"/>
      <c r="Q162" s="257">
        <f>IF($C$5&lt;3000,$AN$31*Bron!K151,$AN$31*Bron!P151)</f>
        <v>20501.12</v>
      </c>
      <c r="R162" s="257">
        <f>IF($C$5&lt;3000,$AN$33*Bron!J151,$AN$33*Bron!O151)</f>
        <v>0</v>
      </c>
      <c r="S162" s="344"/>
      <c r="T162" s="258">
        <f t="shared" si="93"/>
        <v>1</v>
      </c>
      <c r="U162" s="259">
        <f t="shared" si="94"/>
        <v>9170.8319999999985</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v>0.3</v>
      </c>
      <c r="AU162" s="676">
        <f t="shared" si="103"/>
        <v>9170.8319999999985</v>
      </c>
      <c r="AV162" s="677">
        <f t="shared" si="104"/>
        <v>0</v>
      </c>
      <c r="AW162" s="677">
        <f t="shared" si="139"/>
        <v>6150.3359999999993</v>
      </c>
      <c r="AX162" s="678">
        <f t="shared" si="140"/>
        <v>0</v>
      </c>
      <c r="AY162" s="679">
        <f t="shared" si="141"/>
        <v>1562.185344</v>
      </c>
      <c r="AZ162" s="675"/>
      <c r="BA162" s="676">
        <f t="shared" si="105"/>
        <v>0</v>
      </c>
      <c r="BB162" s="677">
        <f t="shared" si="106"/>
        <v>0</v>
      </c>
      <c r="BC162" s="677">
        <f t="shared" si="142"/>
        <v>0</v>
      </c>
      <c r="BD162" s="678">
        <f t="shared" si="143"/>
        <v>0</v>
      </c>
      <c r="BE162" s="679">
        <f t="shared" si="144"/>
        <v>0</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c r="B163" s="488">
        <v>119</v>
      </c>
      <c r="C163" s="489" t="s">
        <v>255</v>
      </c>
      <c r="D163" s="490" t="s">
        <v>258</v>
      </c>
      <c r="E163" s="491" t="s">
        <v>259</v>
      </c>
      <c r="F163" s="492"/>
      <c r="G163" s="493"/>
      <c r="H163" s="146" t="s">
        <v>97</v>
      </c>
      <c r="I163" s="494" t="str">
        <f t="shared" si="92"/>
        <v>n.v.t.</v>
      </c>
      <c r="J163" s="495" t="s">
        <v>487</v>
      </c>
      <c r="K163" s="151">
        <v>0</v>
      </c>
      <c r="L163" s="256">
        <f>IF($C$5&lt;3000,(Bron!H152*$C$5)+Bron!I152,(Bron!M152*$C$5)+Bron!N152)</f>
        <v>38906.559999999998</v>
      </c>
      <c r="M163" s="256"/>
      <c r="N163" s="496">
        <f t="shared" si="175"/>
        <v>5858.1950399999996</v>
      </c>
      <c r="O163" s="497">
        <f t="shared" si="176"/>
        <v>6.6413903487924841</v>
      </c>
      <c r="P163" s="257">
        <f>IF($C$5&lt;3000,$AN$32*Bron!J152,$AN$32*Bron!O152)</f>
        <v>0</v>
      </c>
      <c r="Q163" s="257">
        <f>IF($C$5&lt;3000,$AN$31*Bron!K152,$AN$31*Bron!P152)</f>
        <v>23063.759999999998</v>
      </c>
      <c r="R163" s="257">
        <f>IF($C$5&lt;3000,$AN$33*Bron!J152,$AN$33*Bron!O152)</f>
        <v>0</v>
      </c>
      <c r="S163" s="344"/>
      <c r="T163" s="258">
        <f t="shared" si="93"/>
        <v>0</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c r="B164" s="488">
        <v>120</v>
      </c>
      <c r="C164" s="489" t="s">
        <v>255</v>
      </c>
      <c r="D164" s="490" t="s">
        <v>260</v>
      </c>
      <c r="E164" s="491" t="s">
        <v>261</v>
      </c>
      <c r="F164" s="492"/>
      <c r="G164" s="493"/>
      <c r="H164" s="146" t="s">
        <v>97</v>
      </c>
      <c r="I164" s="494" t="str">
        <f t="shared" si="92"/>
        <v>n.v.t.</v>
      </c>
      <c r="J164" s="495" t="s">
        <v>487</v>
      </c>
      <c r="K164" s="151">
        <v>0.4</v>
      </c>
      <c r="L164" s="256">
        <f>IF($C$5&lt;3000,(Bron!H153*$C$5)+Bron!I153,(Bron!M153*$C$5)+Bron!N153)</f>
        <v>30569.439999999999</v>
      </c>
      <c r="M164" s="256"/>
      <c r="N164" s="496">
        <f t="shared" si="175"/>
        <v>5207.2844800000003</v>
      </c>
      <c r="O164" s="497">
        <f t="shared" si="176"/>
        <v>5.8705146833076416</v>
      </c>
      <c r="P164" s="257"/>
      <c r="Q164" s="257">
        <f>IF($C$5&lt;3000,$AN$31*Bron!K153,$AN$31*Bron!P153)</f>
        <v>20501.12</v>
      </c>
      <c r="R164" s="257">
        <f>IF($C$5&lt;3000,$AN$33*Bron!J153,$AN$33*Bron!O153)</f>
        <v>0</v>
      </c>
      <c r="S164" s="344"/>
      <c r="T164" s="258">
        <f t="shared" si="93"/>
        <v>0.4</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c r="B165" s="488">
        <v>121</v>
      </c>
      <c r="C165" s="489" t="s">
        <v>255</v>
      </c>
      <c r="D165" s="490" t="s">
        <v>262</v>
      </c>
      <c r="E165" s="491" t="s">
        <v>263</v>
      </c>
      <c r="F165" s="492"/>
      <c r="G165" s="493"/>
      <c r="H165" s="146" t="s">
        <v>97</v>
      </c>
      <c r="I165" s="494" t="str">
        <f t="shared" si="92"/>
        <v>n.v.t.</v>
      </c>
      <c r="J165" s="495" t="s">
        <v>487</v>
      </c>
      <c r="K165" s="151">
        <v>0.4</v>
      </c>
      <c r="L165" s="256">
        <f>IF($C$5&lt;3000,(Bron!H154*$C$5)+Bron!I154,(Bron!M154*$C$5)+Bron!N154)</f>
        <v>555.80799999999999</v>
      </c>
      <c r="M165" s="256"/>
      <c r="N165" s="496">
        <f t="shared" si="175"/>
        <v>423.09186399999999</v>
      </c>
      <c r="O165" s="497">
        <f t="shared" si="176"/>
        <v>1.3136816074534583</v>
      </c>
      <c r="P165" s="257">
        <f>IF($C$5&lt;3000,$AN$32*Bron!J154,$AN$32*Bron!O154)</f>
        <v>0</v>
      </c>
      <c r="Q165" s="257">
        <f>IF($C$5&lt;3000,$AN$31*Bron!K154,$AN$31*Bron!P154)</f>
        <v>1665.7159999999999</v>
      </c>
      <c r="R165" s="257">
        <f>IF($C$5&lt;3000,$AN$33*Bron!J154,$AN$33*Bron!O154)</f>
        <v>0</v>
      </c>
      <c r="S165" s="344"/>
      <c r="T165" s="258">
        <f t="shared" si="93"/>
        <v>0.4</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c r="B166" s="488">
        <v>122</v>
      </c>
      <c r="C166" s="489" t="s">
        <v>255</v>
      </c>
      <c r="D166" s="490" t="s">
        <v>264</v>
      </c>
      <c r="E166" s="491" t="s">
        <v>265</v>
      </c>
      <c r="F166" s="492"/>
      <c r="G166" s="493"/>
      <c r="H166" s="146" t="s">
        <v>97</v>
      </c>
      <c r="I166" s="494" t="str">
        <f t="shared" si="92"/>
        <v>n.v.t.</v>
      </c>
      <c r="J166" s="495" t="s">
        <v>487</v>
      </c>
      <c r="K166" s="151">
        <v>0.4</v>
      </c>
      <c r="L166" s="256">
        <f>IF($C$5&lt;3000,(Bron!H155*$C$5)+Bron!I155,(Bron!M155*$C$5)+Bron!N155)</f>
        <v>55580.800000000003</v>
      </c>
      <c r="M166" s="256"/>
      <c r="N166" s="496">
        <f t="shared" si="175"/>
        <v>8787.2925599999999</v>
      </c>
      <c r="O166" s="497">
        <f t="shared" si="176"/>
        <v>6.3251336655166517</v>
      </c>
      <c r="P166" s="257"/>
      <c r="Q166" s="257">
        <f>IF($C$5&lt;3000,$AN$31*Bron!K155,$AN$31*Bron!P155)</f>
        <v>34595.64</v>
      </c>
      <c r="R166" s="257">
        <f>IF($C$5&lt;3000,$AN$33*Bron!J155,$AN$33*Bron!O155)</f>
        <v>0</v>
      </c>
      <c r="S166" s="344"/>
      <c r="T166" s="258">
        <f t="shared" si="93"/>
        <v>0.4</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c r="B167" s="488">
        <v>123</v>
      </c>
      <c r="C167" s="489" t="s">
        <v>255</v>
      </c>
      <c r="D167" s="490" t="s">
        <v>266</v>
      </c>
      <c r="E167" s="491" t="s">
        <v>267</v>
      </c>
      <c r="F167" s="492"/>
      <c r="G167" s="493"/>
      <c r="H167" s="146" t="s">
        <v>97</v>
      </c>
      <c r="I167" s="494" t="str">
        <f t="shared" si="92"/>
        <v>n.v.t.</v>
      </c>
      <c r="J167" s="495" t="s">
        <v>487</v>
      </c>
      <c r="K167" s="151">
        <v>0.4</v>
      </c>
      <c r="L167" s="256">
        <f>IF($C$5&lt;3000,(Bron!H156*$C$5)+Bron!I156,(Bron!M156*$C$5)+Bron!N156)</f>
        <v>44464.639999999999</v>
      </c>
      <c r="M167" s="256"/>
      <c r="N167" s="496">
        <f t="shared" si="175"/>
        <v>6509.1056000000008</v>
      </c>
      <c r="O167" s="497">
        <f t="shared" si="176"/>
        <v>6.8311443587579825</v>
      </c>
      <c r="P167" s="257">
        <f>IF($C$5&lt;3000,$AN$32*Bron!J156,$AN$32*Bron!O156)</f>
        <v>0</v>
      </c>
      <c r="Q167" s="257">
        <f>IF($C$5&lt;3000,$AN$31*Bron!K156,$AN$31*Bron!P156)</f>
        <v>25626.400000000001</v>
      </c>
      <c r="R167" s="257">
        <f>IF($C$5&lt;3000,$AN$33*Bron!J156,$AN$33*Bron!O156)</f>
        <v>0</v>
      </c>
      <c r="S167" s="344"/>
      <c r="T167" s="258">
        <f t="shared" si="93"/>
        <v>0.4</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c r="B168" s="488">
        <v>124</v>
      </c>
      <c r="C168" s="489" t="s">
        <v>255</v>
      </c>
      <c r="D168" s="490" t="s">
        <v>268</v>
      </c>
      <c r="E168" s="491" t="s">
        <v>269</v>
      </c>
      <c r="F168" s="492"/>
      <c r="G168" s="493"/>
      <c r="H168" s="146" t="s">
        <v>97</v>
      </c>
      <c r="I168" s="494" t="str">
        <f t="shared" si="92"/>
        <v>n.v.t.</v>
      </c>
      <c r="J168" s="495" t="s">
        <v>487</v>
      </c>
      <c r="K168" s="151">
        <v>0.4</v>
      </c>
      <c r="L168" s="256">
        <f>IF($C$5&lt;3000,(Bron!H157*$C$5)+Bron!I157,(Bron!M157*$C$5)+Bron!N157)</f>
        <v>6391.7919999999995</v>
      </c>
      <c r="M168" s="256"/>
      <c r="N168" s="496">
        <f t="shared" si="175"/>
        <v>1008.911368</v>
      </c>
      <c r="O168" s="497">
        <f t="shared" si="176"/>
        <v>6.3353354940094198</v>
      </c>
      <c r="P168" s="257">
        <f>IF($C$5&lt;3000,$AN$32*Bron!J157,$AN$32*Bron!O157)</f>
        <v>0</v>
      </c>
      <c r="Q168" s="257">
        <f>IF($C$5&lt;3000,$AN$31*Bron!K157,$AN$31*Bron!P157)</f>
        <v>3972.0920000000001</v>
      </c>
      <c r="R168" s="257">
        <f>IF($C$5&lt;3000,$AN$33*Bron!J157,$AN$33*Bron!O157)</f>
        <v>0</v>
      </c>
      <c r="S168" s="344"/>
      <c r="T168" s="258">
        <f t="shared" si="93"/>
        <v>0.4</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c r="B169" s="488">
        <v>125</v>
      </c>
      <c r="C169" s="489" t="s">
        <v>255</v>
      </c>
      <c r="D169" s="490" t="s">
        <v>270</v>
      </c>
      <c r="E169" s="491" t="s">
        <v>271</v>
      </c>
      <c r="F169" s="492"/>
      <c r="G169" s="493"/>
      <c r="H169" s="146" t="s">
        <v>97</v>
      </c>
      <c r="I169" s="494" t="str">
        <f t="shared" si="92"/>
        <v>n.v.t.</v>
      </c>
      <c r="J169" s="495" t="s">
        <v>487</v>
      </c>
      <c r="K169" s="151">
        <v>0</v>
      </c>
      <c r="L169" s="256">
        <f>IF($C$5&lt;3000,(Bron!H158*$C$5)+Bron!I158,(Bron!M158*$C$5)+Bron!N158)</f>
        <v>625</v>
      </c>
      <c r="M169" s="256"/>
      <c r="N169" s="496">
        <f t="shared" si="175"/>
        <v>162.72764000000001</v>
      </c>
      <c r="O169" s="497">
        <f t="shared" si="176"/>
        <v>3.840773454343712</v>
      </c>
      <c r="P169" s="257">
        <f>IF($C$5&lt;3000,$AN$32*Bron!J158,$AN$32*Bron!O158)</f>
        <v>0</v>
      </c>
      <c r="Q169" s="257">
        <f>IF($C$5&lt;3000,$AN$31*Bron!K158,$AN$31*Bron!P158)</f>
        <v>640.66</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c r="B170" s="488">
        <v>126</v>
      </c>
      <c r="C170" s="489" t="s">
        <v>255</v>
      </c>
      <c r="D170" s="490" t="s">
        <v>272</v>
      </c>
      <c r="E170" s="491" t="s">
        <v>273</v>
      </c>
      <c r="F170" s="492"/>
      <c r="G170" s="493"/>
      <c r="H170" s="146" t="s">
        <v>97</v>
      </c>
      <c r="I170" s="494" t="str">
        <f t="shared" si="92"/>
        <v>n.v.t.</v>
      </c>
      <c r="J170" s="495" t="s">
        <v>487</v>
      </c>
      <c r="K170" s="151">
        <v>0.4</v>
      </c>
      <c r="L170" s="256">
        <f>IF($C$5&lt;3000,(Bron!H159*$C$5)+Bron!I159,(Bron!M159*$C$5)+Bron!N159)</f>
        <v>650</v>
      </c>
      <c r="M170" s="256"/>
      <c r="N170" s="496">
        <f t="shared" si="175"/>
        <v>195.273168</v>
      </c>
      <c r="O170" s="497">
        <f t="shared" si="176"/>
        <v>3.3286703270978837</v>
      </c>
      <c r="P170" s="257">
        <f>IF($C$5&lt;3000,$AN$32*Bron!J159,$AN$32*Bron!O159)</f>
        <v>0</v>
      </c>
      <c r="Q170" s="257">
        <f>IF($C$5&lt;3000,$AN$31*Bron!K159,$AN$31*Bron!P159)</f>
        <v>768.79200000000003</v>
      </c>
      <c r="R170" s="257">
        <f>IF($C$5&lt;3000,$AN$33*Bron!J159,$AN$33*Bron!O159)</f>
        <v>0</v>
      </c>
      <c r="S170" s="344"/>
      <c r="T170" s="258">
        <f t="shared" si="93"/>
        <v>0.4</v>
      </c>
      <c r="U170" s="259">
        <f t="shared" si="94"/>
        <v>0</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c r="AU170" s="676">
        <f t="shared" si="103"/>
        <v>0</v>
      </c>
      <c r="AV170" s="677">
        <f t="shared" si="104"/>
        <v>0</v>
      </c>
      <c r="AW170" s="677">
        <f t="shared" si="139"/>
        <v>0</v>
      </c>
      <c r="AX170" s="678">
        <f t="shared" si="140"/>
        <v>0</v>
      </c>
      <c r="AY170" s="679">
        <f t="shared" si="141"/>
        <v>0</v>
      </c>
      <c r="AZ170" s="675"/>
      <c r="BA170" s="676">
        <f t="shared" si="105"/>
        <v>0</v>
      </c>
      <c r="BB170" s="677">
        <f t="shared" si="106"/>
        <v>0</v>
      </c>
      <c r="BC170" s="677">
        <f t="shared" si="142"/>
        <v>0</v>
      </c>
      <c r="BD170" s="678">
        <f t="shared" si="143"/>
        <v>0</v>
      </c>
      <c r="BE170" s="679">
        <f t="shared" si="144"/>
        <v>0</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c r="B171" s="488">
        <v>127</v>
      </c>
      <c r="C171" s="489" t="s">
        <v>255</v>
      </c>
      <c r="D171" s="490" t="s">
        <v>274</v>
      </c>
      <c r="E171" s="491" t="s">
        <v>275</v>
      </c>
      <c r="F171" s="492"/>
      <c r="G171" s="493"/>
      <c r="H171" s="146" t="s">
        <v>97</v>
      </c>
      <c r="I171" s="494" t="str">
        <f t="shared" si="92"/>
        <v>n.v.t.</v>
      </c>
      <c r="J171" s="495" t="s">
        <v>487</v>
      </c>
      <c r="K171" s="151">
        <v>0.4</v>
      </c>
      <c r="L171" s="256">
        <f>IF($C$5&lt;3000,(Bron!H160*$C$5)+Bron!I160,(Bron!M160*$C$5)+Bron!N160)</f>
        <v>1000</v>
      </c>
      <c r="M171" s="256"/>
      <c r="N171" s="496">
        <f t="shared" si="175"/>
        <v>227.81869599999999</v>
      </c>
      <c r="O171" s="497">
        <f t="shared" si="176"/>
        <v>4.3894553763928137</v>
      </c>
      <c r="P171" s="257">
        <f>IF($C$5&lt;3000,$AN$32*Bron!J160,$AN$32*Bron!O160)</f>
        <v>0</v>
      </c>
      <c r="Q171" s="257">
        <f>IF($C$5&lt;3000,$AN$31*Bron!K160,$AN$31*Bron!P160)</f>
        <v>896.92399999999998</v>
      </c>
      <c r="R171" s="257">
        <f>IF($C$5&lt;3000,$AN$33*Bron!J160,$AN$33*Bron!O160)</f>
        <v>0</v>
      </c>
      <c r="S171" s="344"/>
      <c r="T171" s="258">
        <f t="shared" si="93"/>
        <v>0.4</v>
      </c>
      <c r="U171" s="259">
        <f t="shared" si="94"/>
        <v>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c r="AU171" s="676">
        <f t="shared" si="103"/>
        <v>0</v>
      </c>
      <c r="AV171" s="677">
        <f t="shared" si="104"/>
        <v>0</v>
      </c>
      <c r="AW171" s="677">
        <f t="shared" si="139"/>
        <v>0</v>
      </c>
      <c r="AX171" s="678">
        <f t="shared" si="140"/>
        <v>0</v>
      </c>
      <c r="AY171" s="679">
        <f t="shared" si="141"/>
        <v>0</v>
      </c>
      <c r="AZ171" s="675"/>
      <c r="BA171" s="676">
        <f t="shared" si="105"/>
        <v>0</v>
      </c>
      <c r="BB171" s="677">
        <f t="shared" si="106"/>
        <v>0</v>
      </c>
      <c r="BC171" s="677">
        <f t="shared" si="142"/>
        <v>0</v>
      </c>
      <c r="BD171" s="678">
        <f t="shared" si="143"/>
        <v>0</v>
      </c>
      <c r="BE171" s="679">
        <f t="shared" si="144"/>
        <v>0</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c r="B172" s="488">
        <v>128</v>
      </c>
      <c r="C172" s="489" t="s">
        <v>255</v>
      </c>
      <c r="D172" s="490" t="s">
        <v>276</v>
      </c>
      <c r="E172" s="491" t="s">
        <v>277</v>
      </c>
      <c r="F172" s="492"/>
      <c r="G172" s="493"/>
      <c r="H172" s="146" t="s">
        <v>97</v>
      </c>
      <c r="I172" s="494" t="str">
        <f t="shared" ref="I172:I215" si="177">IF(H172="X","n.v.t.",IF(H172="I","ons",IF(H172="V","verhuurder",IF(H172="H","huurder",""))))</f>
        <v>n.v.t.</v>
      </c>
      <c r="J172" s="495" t="s">
        <v>487</v>
      </c>
      <c r="K172" s="151">
        <v>0</v>
      </c>
      <c r="L172" s="256">
        <f>IF($C$5&lt;3000,(Bron!H161*$C$5)+Bron!I161,(Bron!M161*$C$5)+Bron!N161)</f>
        <v>1500</v>
      </c>
      <c r="M172" s="256"/>
      <c r="N172" s="496">
        <f t="shared" si="175"/>
        <v>390.546336</v>
      </c>
      <c r="O172" s="497">
        <f t="shared" si="176"/>
        <v>3.840773454343712</v>
      </c>
      <c r="P172" s="257">
        <f>IF($C$5&lt;3000,$AN$32*Bron!J161,$AN$32*Bron!O161)</f>
        <v>0</v>
      </c>
      <c r="Q172" s="257">
        <f>IF($C$5&lt;3000,$AN$31*Bron!K161,$AN$31*Bron!P161)</f>
        <v>1537.5840000000001</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c r="B173" s="488">
        <v>129</v>
      </c>
      <c r="C173" s="489" t="s">
        <v>255</v>
      </c>
      <c r="D173" s="490" t="s">
        <v>278</v>
      </c>
      <c r="E173" s="491" t="s">
        <v>426</v>
      </c>
      <c r="F173" s="492"/>
      <c r="G173" s="493"/>
      <c r="H173" s="146" t="s">
        <v>97</v>
      </c>
      <c r="I173" s="494" t="str">
        <f t="shared" si="177"/>
        <v>n.v.t.</v>
      </c>
      <c r="J173" s="495"/>
      <c r="K173" s="151">
        <v>0</v>
      </c>
      <c r="L173" s="256"/>
      <c r="M173" s="256">
        <f>IF($C$5&lt;3000,(Bron!H162*$C$5)+Bron!I162,(Bron!M162*$C$5)+Bron!N162)</f>
        <v>0</v>
      </c>
      <c r="N173" s="496">
        <f t="shared" si="175"/>
        <v>423.09186399999999</v>
      </c>
      <c r="O173" s="497">
        <f t="shared" si="176"/>
        <v>0</v>
      </c>
      <c r="P173" s="257">
        <f>IF($C$5&lt;3000,$AN$32*Bron!J162,$AN$32*Bron!O162)</f>
        <v>0</v>
      </c>
      <c r="Q173" s="257">
        <f>IF($C$5&lt;3000,$AN$31*Bron!K162,$AN$31*Bron!P162)</f>
        <v>1665.7159999999999</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486</v>
      </c>
      <c r="I174" s="494" t="str">
        <f t="shared" si="177"/>
        <v>ons</v>
      </c>
      <c r="J174" s="495" t="s">
        <v>487</v>
      </c>
      <c r="K174" s="151">
        <v>0.7</v>
      </c>
      <c r="L174" s="256">
        <f>IF($C$5&lt;3000,(Bron!H163*$C$5)+Bron!I163,(Bron!M163*$C$5)+Bron!N163)</f>
        <v>36127.519999999997</v>
      </c>
      <c r="M174" s="256"/>
      <c r="N174" s="496">
        <f t="shared" si="175"/>
        <v>5207.2844800000003</v>
      </c>
      <c r="O174" s="497">
        <f t="shared" si="176"/>
        <v>6.9378809893635758</v>
      </c>
      <c r="P174" s="257"/>
      <c r="Q174" s="257">
        <f>IF($C$5&lt;3000,$AN$31*Bron!K163,$AN$31*Bron!P163)</f>
        <v>20501.12</v>
      </c>
      <c r="R174" s="257">
        <f>IF($C$5&lt;3000,$AN$33*Bron!J163,$AN$33*Bron!O163)</f>
        <v>0</v>
      </c>
      <c r="S174" s="344"/>
      <c r="T174" s="258">
        <f t="shared" si="178"/>
        <v>1</v>
      </c>
      <c r="U174" s="259">
        <f t="shared" si="179"/>
        <v>10838.255999999999</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v>0.3</v>
      </c>
      <c r="AU174" s="676">
        <f t="shared" si="188"/>
        <v>10838.255999999999</v>
      </c>
      <c r="AV174" s="677">
        <f t="shared" si="189"/>
        <v>0</v>
      </c>
      <c r="AW174" s="677">
        <f t="shared" si="224"/>
        <v>6150.3359999999993</v>
      </c>
      <c r="AX174" s="678">
        <f t="shared" si="225"/>
        <v>0</v>
      </c>
      <c r="AY174" s="679">
        <f t="shared" si="226"/>
        <v>1562.185344</v>
      </c>
      <c r="AZ174" s="675"/>
      <c r="BA174" s="676">
        <f t="shared" si="190"/>
        <v>0</v>
      </c>
      <c r="BB174" s="677">
        <f t="shared" si="191"/>
        <v>0</v>
      </c>
      <c r="BC174" s="677">
        <f t="shared" si="227"/>
        <v>0</v>
      </c>
      <c r="BD174" s="678">
        <f t="shared" si="228"/>
        <v>0</v>
      </c>
      <c r="BE174" s="679">
        <f t="shared" si="229"/>
        <v>0</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486</v>
      </c>
      <c r="I175" s="494" t="str">
        <f t="shared" si="177"/>
        <v>ons</v>
      </c>
      <c r="J175" s="495"/>
      <c r="K175" s="151">
        <v>0.4</v>
      </c>
      <c r="L175" s="256"/>
      <c r="M175" s="256">
        <f>IF($C$5&lt;3000,(Bron!H164*$C$5)+Bron!I164,(Bron!M164*$C$5)+Bron!N164)</f>
        <v>0</v>
      </c>
      <c r="N175" s="496">
        <f t="shared" si="175"/>
        <v>390.546336</v>
      </c>
      <c r="O175" s="497">
        <f t="shared" si="176"/>
        <v>0</v>
      </c>
      <c r="P175" s="257"/>
      <c r="Q175" s="257">
        <f>IF($C$5&lt;3000,$AN$31*Bron!K164,$AN$31*Bron!P164)</f>
        <v>1537.5840000000001</v>
      </c>
      <c r="R175" s="257">
        <f>IF($C$5&lt;3000,$AN$33*Bron!J164,$AN$33*Bron!O164)</f>
        <v>0</v>
      </c>
      <c r="S175" s="344"/>
      <c r="T175" s="258">
        <f t="shared" si="178"/>
        <v>1</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v>0.6</v>
      </c>
      <c r="AU175" s="676">
        <f t="shared" si="188"/>
        <v>0</v>
      </c>
      <c r="AV175" s="677">
        <f t="shared" si="189"/>
        <v>0</v>
      </c>
      <c r="AW175" s="677">
        <f t="shared" si="224"/>
        <v>922.55039999999997</v>
      </c>
      <c r="AX175" s="678">
        <f t="shared" si="225"/>
        <v>0</v>
      </c>
      <c r="AY175" s="679">
        <f t="shared" si="226"/>
        <v>234.32780159999999</v>
      </c>
      <c r="AZ175" s="675"/>
      <c r="BA175" s="676">
        <f t="shared" si="190"/>
        <v>0</v>
      </c>
      <c r="BB175" s="677">
        <f t="shared" si="191"/>
        <v>0</v>
      </c>
      <c r="BC175" s="677">
        <f t="shared" si="227"/>
        <v>0</v>
      </c>
      <c r="BD175" s="678">
        <f t="shared" si="228"/>
        <v>0</v>
      </c>
      <c r="BE175" s="679">
        <f t="shared" si="229"/>
        <v>0</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486</v>
      </c>
      <c r="I176" s="494" t="str">
        <f t="shared" si="177"/>
        <v>ons</v>
      </c>
      <c r="J176" s="495"/>
      <c r="K176" s="151">
        <v>0.4</v>
      </c>
      <c r="L176" s="256"/>
      <c r="M176" s="256">
        <f>IF($C$5&lt;3000,(Bron!H165*$C$5)+Bron!I165,(Bron!M165*$C$5)+Bron!N165)</f>
        <v>0</v>
      </c>
      <c r="N176" s="496">
        <f t="shared" si="175"/>
        <v>423.09186399999999</v>
      </c>
      <c r="O176" s="497">
        <f t="shared" si="176"/>
        <v>0</v>
      </c>
      <c r="P176" s="257">
        <f>IF($C$5&lt;3000,$AN$32*Bron!J165,$AN$32*Bron!O165)</f>
        <v>0</v>
      </c>
      <c r="Q176" s="257">
        <f>IF($C$5&lt;3000,$AN$31*Bron!K165,$AN$31*Bron!P165)</f>
        <v>1665.7159999999999</v>
      </c>
      <c r="R176" s="257">
        <f>IF($C$5&lt;3000,$AN$33*Bron!J165,$AN$33*Bron!O165)</f>
        <v>0</v>
      </c>
      <c r="S176" s="344"/>
      <c r="T176" s="258">
        <f t="shared" si="178"/>
        <v>1</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v>0.6</v>
      </c>
      <c r="AU176" s="676">
        <f t="shared" si="188"/>
        <v>0</v>
      </c>
      <c r="AV176" s="677">
        <f t="shared" si="189"/>
        <v>0</v>
      </c>
      <c r="AW176" s="677">
        <f t="shared" si="224"/>
        <v>999.42959999999994</v>
      </c>
      <c r="AX176" s="678">
        <f t="shared" si="225"/>
        <v>0</v>
      </c>
      <c r="AY176" s="679">
        <f t="shared" si="226"/>
        <v>253.85511839999998</v>
      </c>
      <c r="AZ176" s="675"/>
      <c r="BA176" s="676">
        <f t="shared" si="190"/>
        <v>0</v>
      </c>
      <c r="BB176" s="677">
        <f t="shared" si="191"/>
        <v>0</v>
      </c>
      <c r="BC176" s="677">
        <f t="shared" si="227"/>
        <v>0</v>
      </c>
      <c r="BD176" s="678">
        <f t="shared" si="228"/>
        <v>0</v>
      </c>
      <c r="BE176" s="679">
        <f t="shared" si="229"/>
        <v>0</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c r="B177" s="488">
        <v>133</v>
      </c>
      <c r="C177" s="489" t="s">
        <v>283</v>
      </c>
      <c r="D177" s="490" t="s">
        <v>285</v>
      </c>
      <c r="E177" s="491" t="s">
        <v>286</v>
      </c>
      <c r="F177" s="492"/>
      <c r="G177" s="493"/>
      <c r="H177" s="146" t="s">
        <v>97</v>
      </c>
      <c r="I177" s="494" t="str">
        <f t="shared" si="177"/>
        <v>n.v.t.</v>
      </c>
      <c r="J177" s="495"/>
      <c r="K177" s="151">
        <v>0</v>
      </c>
      <c r="L177" s="256"/>
      <c r="M177" s="256">
        <f>IF($C$5&lt;3000,(Bron!H166*$C$5)+Bron!I166,(Bron!M166*$C$5)+Bron!N166)</f>
        <v>0</v>
      </c>
      <c r="N177" s="496">
        <f t="shared" si="175"/>
        <v>417.96563630671699</v>
      </c>
      <c r="O177" s="497">
        <f t="shared" si="176"/>
        <v>0</v>
      </c>
      <c r="P177" s="257">
        <f>IF($C$5&lt;3000,$AN$32*Bron!J166,$AN$32*Bron!O166)</f>
        <v>0</v>
      </c>
      <c r="Q177" s="257">
        <f>IF($C$5&lt;3000,$AN$31*Bron!K166,$AN$31*Bron!P166)</f>
        <v>1645.5340012075471</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486</v>
      </c>
      <c r="I178" s="494" t="str">
        <f t="shared" si="177"/>
        <v>ons</v>
      </c>
      <c r="J178" s="495"/>
      <c r="K178" s="151">
        <v>0.4</v>
      </c>
      <c r="L178" s="256"/>
      <c r="M178" s="256">
        <f>IF($C$5&lt;3000,(Bron!H167*$C$5)+Bron!I167,(Bron!M167*$C$5)+Bron!N167)</f>
        <v>0</v>
      </c>
      <c r="N178" s="496">
        <f t="shared" si="175"/>
        <v>423.09186399999999</v>
      </c>
      <c r="O178" s="497">
        <f t="shared" si="176"/>
        <v>0</v>
      </c>
      <c r="P178" s="257">
        <f>IF($C$5&lt;3000,$AN$32*Bron!J167,$AN$32*Bron!O167)</f>
        <v>0</v>
      </c>
      <c r="Q178" s="257">
        <f>IF($C$5&lt;3000,$AN$31*Bron!K167,$AN$31*Bron!P167)</f>
        <v>1665.7159999999999</v>
      </c>
      <c r="R178" s="257">
        <f>IF($C$5&lt;3000,$AN$33*Bron!J167,$AN$33*Bron!O167)</f>
        <v>0</v>
      </c>
      <c r="S178" s="344"/>
      <c r="T178" s="258">
        <f t="shared" si="178"/>
        <v>1</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v>0.6</v>
      </c>
      <c r="AU178" s="676">
        <f t="shared" si="188"/>
        <v>0</v>
      </c>
      <c r="AV178" s="677">
        <f t="shared" si="189"/>
        <v>0</v>
      </c>
      <c r="AW178" s="677">
        <f t="shared" si="224"/>
        <v>999.42959999999994</v>
      </c>
      <c r="AX178" s="678">
        <f t="shared" si="225"/>
        <v>0</v>
      </c>
      <c r="AY178" s="679">
        <f t="shared" si="226"/>
        <v>253.85511839999998</v>
      </c>
      <c r="AZ178" s="675"/>
      <c r="BA178" s="676">
        <f t="shared" si="190"/>
        <v>0</v>
      </c>
      <c r="BB178" s="677">
        <f t="shared" si="191"/>
        <v>0</v>
      </c>
      <c r="BC178" s="677">
        <f t="shared" si="227"/>
        <v>0</v>
      </c>
      <c r="BD178" s="678">
        <f t="shared" si="228"/>
        <v>0</v>
      </c>
      <c r="BE178" s="679">
        <f t="shared" si="229"/>
        <v>0</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c r="B179" s="488">
        <v>135</v>
      </c>
      <c r="C179" s="489" t="s">
        <v>283</v>
      </c>
      <c r="D179" s="490" t="s">
        <v>289</v>
      </c>
      <c r="E179" s="491" t="s">
        <v>290</v>
      </c>
      <c r="F179" s="492"/>
      <c r="G179" s="493"/>
      <c r="H179" s="146" t="s">
        <v>97</v>
      </c>
      <c r="I179" s="494" t="str">
        <f t="shared" si="177"/>
        <v>n.v.t.</v>
      </c>
      <c r="J179" s="495"/>
      <c r="K179" s="151">
        <v>0</v>
      </c>
      <c r="L179" s="256"/>
      <c r="M179" s="256">
        <f>IF($C$5&lt;3000,(Bron!H168*$C$5)+Bron!I168,(Bron!M168*$C$5)+Bron!N168)</f>
        <v>0</v>
      </c>
      <c r="N179" s="496">
        <f t="shared" si="175"/>
        <v>423.09186399999999</v>
      </c>
      <c r="O179" s="497">
        <f t="shared" si="176"/>
        <v>0</v>
      </c>
      <c r="P179" s="257">
        <f>IF($C$5&lt;3000,$AN$32*Bron!J168,$AN$32*Bron!O168)</f>
        <v>0</v>
      </c>
      <c r="Q179" s="257">
        <f>IF($C$5&lt;3000,$AN$31*Bron!K168,$AN$31*Bron!P168)</f>
        <v>1665.7159999999999</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493</v>
      </c>
      <c r="E180" s="491" t="s">
        <v>691</v>
      </c>
      <c r="F180" s="492"/>
      <c r="G180" s="493"/>
      <c r="H180" s="146" t="s">
        <v>852</v>
      </c>
      <c r="I180" s="494" t="str">
        <f t="shared" si="177"/>
        <v>verhuurder</v>
      </c>
      <c r="J180" s="495" t="s">
        <v>487</v>
      </c>
      <c r="K180" s="151">
        <v>0</v>
      </c>
      <c r="L180" s="256">
        <f>IF($C$5&lt;3000,(Bron!H169*$C$5/$C$6*0.5)+Bron!I169,(Bron!M169*$C$5/$C$6*0.5)+Bron!N169)</f>
        <v>61694.688000000002</v>
      </c>
      <c r="M180" s="260"/>
      <c r="N180" s="496">
        <f t="shared" si="175"/>
        <v>13623.409888</v>
      </c>
      <c r="O180" s="497">
        <f t="shared" si="176"/>
        <v>4.5285790053445396</v>
      </c>
      <c r="P180" s="257"/>
      <c r="Q180" s="257">
        <f>IF($C$5&lt;3000,(+$C$5/$C$6*0.5*Bron!K169),(+$C$5/$C$6*0.5*Bron!P169))</f>
        <v>53635.472000000002</v>
      </c>
      <c r="R180" s="257">
        <f>IF($C$5&lt;3000,$AN$33*Bron!J169,$AN$33*Bron!O169)</f>
        <v>0</v>
      </c>
      <c r="S180" s="344" t="s">
        <v>460</v>
      </c>
      <c r="T180" s="258">
        <f t="shared" si="178"/>
        <v>0.5</v>
      </c>
      <c r="U180" s="259">
        <f t="shared" si="179"/>
        <v>30847.344000000001</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v>0.5</v>
      </c>
      <c r="AU180" s="676">
        <f t="shared" si="188"/>
        <v>30847.344000000001</v>
      </c>
      <c r="AV180" s="677">
        <f t="shared" si="189"/>
        <v>0</v>
      </c>
      <c r="AW180" s="677">
        <f t="shared" si="224"/>
        <v>26817.736000000001</v>
      </c>
      <c r="AX180" s="678">
        <f t="shared" si="225"/>
        <v>0</v>
      </c>
      <c r="AY180" s="679">
        <f t="shared" si="226"/>
        <v>6811.7049440000001</v>
      </c>
      <c r="AZ180" s="675"/>
      <c r="BA180" s="676">
        <f t="shared" si="190"/>
        <v>0</v>
      </c>
      <c r="BB180" s="677">
        <f t="shared" si="191"/>
        <v>0</v>
      </c>
      <c r="BC180" s="677">
        <f t="shared" si="227"/>
        <v>0</v>
      </c>
      <c r="BD180" s="678">
        <f t="shared" si="228"/>
        <v>0</v>
      </c>
      <c r="BE180" s="679">
        <f t="shared" si="229"/>
        <v>0</v>
      </c>
      <c r="BF180" s="675"/>
      <c r="BG180" s="676">
        <f t="shared" si="192"/>
        <v>0</v>
      </c>
      <c r="BH180" s="677">
        <f t="shared" si="193"/>
        <v>0</v>
      </c>
      <c r="BI180" s="677">
        <f t="shared" si="230"/>
        <v>0</v>
      </c>
      <c r="BJ180" s="678">
        <f t="shared" si="231"/>
        <v>0</v>
      </c>
      <c r="BK180" s="679">
        <f t="shared" si="232"/>
        <v>0</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c r="B181" s="488">
        <v>137</v>
      </c>
      <c r="C181" s="489" t="s">
        <v>211</v>
      </c>
      <c r="D181" s="490" t="s">
        <v>493</v>
      </c>
      <c r="E181" s="491" t="s">
        <v>491</v>
      </c>
      <c r="F181" s="492"/>
      <c r="G181" s="493"/>
      <c r="H181" s="146" t="s">
        <v>97</v>
      </c>
      <c r="I181" s="494" t="str">
        <f t="shared" si="177"/>
        <v>n.v.t.</v>
      </c>
      <c r="J181" s="495" t="s">
        <v>487</v>
      </c>
      <c r="K181" s="151">
        <v>0</v>
      </c>
      <c r="L181" s="256">
        <f>IF($C$5&lt;3000,(Bron!H170*$C$5)+Bron!I170,(Bron!M170*$C$5)+Bron!N170)</f>
        <v>38906.559999999998</v>
      </c>
      <c r="M181" s="260"/>
      <c r="N181" s="496">
        <f t="shared" si="175"/>
        <v>3580.0080800000001</v>
      </c>
      <c r="O181" s="497">
        <f t="shared" si="176"/>
        <v>10.867729661660428</v>
      </c>
      <c r="P181" s="257"/>
      <c r="Q181" s="257">
        <f>IF($C$5&lt;3000,$AN$31*Bron!K170,$AN$31*Bron!P170)</f>
        <v>14094.52</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c r="B185" s="488">
        <v>141</v>
      </c>
      <c r="C185" s="489" t="s">
        <v>336</v>
      </c>
      <c r="D185" s="490" t="s">
        <v>335</v>
      </c>
      <c r="E185" s="491" t="s">
        <v>337</v>
      </c>
      <c r="F185" s="492"/>
      <c r="G185" s="493"/>
      <c r="H185" s="146" t="s">
        <v>97</v>
      </c>
      <c r="I185" s="494" t="str">
        <f t="shared" si="177"/>
        <v>n.v.t.</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c r="B186" s="488">
        <v>142</v>
      </c>
      <c r="C186" s="489" t="s">
        <v>336</v>
      </c>
      <c r="D186" s="490" t="s">
        <v>338</v>
      </c>
      <c r="E186" s="491" t="s">
        <v>428</v>
      </c>
      <c r="F186" s="492"/>
      <c r="G186" s="493"/>
      <c r="H186" s="146" t="s">
        <v>97</v>
      </c>
      <c r="I186" s="494" t="str">
        <f t="shared" si="177"/>
        <v>n.v.t.</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c r="B187" s="488">
        <v>143</v>
      </c>
      <c r="C187" s="489" t="s">
        <v>336</v>
      </c>
      <c r="D187" s="490" t="s">
        <v>339</v>
      </c>
      <c r="E187" s="491" t="s">
        <v>340</v>
      </c>
      <c r="F187" s="492"/>
      <c r="G187" s="493"/>
      <c r="H187" s="146" t="s">
        <v>97</v>
      </c>
      <c r="I187" s="494" t="str">
        <f t="shared" si="177"/>
        <v>n.v.t.</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c r="B188" s="488">
        <v>144</v>
      </c>
      <c r="C188" s="489" t="s">
        <v>336</v>
      </c>
      <c r="D188" s="490" t="s">
        <v>341</v>
      </c>
      <c r="E188" s="491" t="s">
        <v>342</v>
      </c>
      <c r="F188" s="492"/>
      <c r="G188" s="493"/>
      <c r="H188" s="146" t="s">
        <v>97</v>
      </c>
      <c r="I188" s="494" t="str">
        <f t="shared" si="177"/>
        <v>n.v.t.</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c r="B189" s="488">
        <v>145</v>
      </c>
      <c r="C189" s="489" t="s">
        <v>336</v>
      </c>
      <c r="D189" s="490" t="s">
        <v>343</v>
      </c>
      <c r="E189" s="491" t="s">
        <v>429</v>
      </c>
      <c r="F189" s="492"/>
      <c r="G189" s="493"/>
      <c r="H189" s="146" t="s">
        <v>97</v>
      </c>
      <c r="I189" s="494" t="str">
        <f t="shared" si="177"/>
        <v>n.v.t.</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c r="B190" s="488">
        <v>146</v>
      </c>
      <c r="C190" s="489" t="s">
        <v>336</v>
      </c>
      <c r="D190" s="490" t="s">
        <v>344</v>
      </c>
      <c r="E190" s="491" t="s">
        <v>345</v>
      </c>
      <c r="F190" s="492"/>
      <c r="G190" s="493"/>
      <c r="H190" s="146" t="s">
        <v>97</v>
      </c>
      <c r="I190" s="494" t="str">
        <f t="shared" si="177"/>
        <v>n.v.t.</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c r="B191" s="488">
        <v>147</v>
      </c>
      <c r="C191" s="489" t="s">
        <v>336</v>
      </c>
      <c r="D191" s="490" t="s">
        <v>346</v>
      </c>
      <c r="E191" s="491" t="s">
        <v>430</v>
      </c>
      <c r="F191" s="492"/>
      <c r="G191" s="493"/>
      <c r="H191" s="146" t="s">
        <v>97</v>
      </c>
      <c r="I191" s="494" t="str">
        <f t="shared" si="177"/>
        <v>n.v.t.</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c r="B192" s="488">
        <v>148</v>
      </c>
      <c r="C192" s="489" t="s">
        <v>336</v>
      </c>
      <c r="D192" s="490" t="s">
        <v>347</v>
      </c>
      <c r="E192" s="491" t="s">
        <v>431</v>
      </c>
      <c r="F192" s="492"/>
      <c r="G192" s="493"/>
      <c r="H192" s="146" t="s">
        <v>97</v>
      </c>
      <c r="I192" s="494" t="str">
        <f t="shared" si="177"/>
        <v>n.v.t.</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c r="B193" s="488">
        <v>149</v>
      </c>
      <c r="C193" s="489" t="s">
        <v>336</v>
      </c>
      <c r="D193" s="490" t="s">
        <v>348</v>
      </c>
      <c r="E193" s="491" t="s">
        <v>349</v>
      </c>
      <c r="F193" s="492"/>
      <c r="G193" s="493"/>
      <c r="H193" s="146" t="s">
        <v>97</v>
      </c>
      <c r="I193" s="494" t="str">
        <f t="shared" si="177"/>
        <v>n.v.t.</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c r="B194" s="488">
        <v>150</v>
      </c>
      <c r="C194" s="489" t="s">
        <v>351</v>
      </c>
      <c r="D194" s="490" t="s">
        <v>350</v>
      </c>
      <c r="E194" s="491" t="s">
        <v>432</v>
      </c>
      <c r="F194" s="492"/>
      <c r="G194" s="493"/>
      <c r="H194" s="146" t="s">
        <v>97</v>
      </c>
      <c r="I194" s="494" t="str">
        <f t="shared" si="177"/>
        <v>n.v.t.</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c r="B195" s="488">
        <v>151</v>
      </c>
      <c r="C195" s="489" t="s">
        <v>351</v>
      </c>
      <c r="D195" s="490" t="s">
        <v>352</v>
      </c>
      <c r="E195" s="491" t="s">
        <v>353</v>
      </c>
      <c r="F195" s="492"/>
      <c r="G195" s="493"/>
      <c r="H195" s="146" t="s">
        <v>97</v>
      </c>
      <c r="I195" s="494" t="str">
        <f t="shared" si="177"/>
        <v>n.v.t.</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c r="B196" s="488">
        <v>152</v>
      </c>
      <c r="C196" s="489" t="s">
        <v>351</v>
      </c>
      <c r="D196" s="490" t="s">
        <v>354</v>
      </c>
      <c r="E196" s="491" t="s">
        <v>355</v>
      </c>
      <c r="F196" s="492"/>
      <c r="G196" s="493"/>
      <c r="H196" s="146" t="s">
        <v>97</v>
      </c>
      <c r="I196" s="494" t="str">
        <f t="shared" si="177"/>
        <v>n.v.t.</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c r="B197" s="488">
        <v>153</v>
      </c>
      <c r="C197" s="489" t="s">
        <v>351</v>
      </c>
      <c r="D197" s="490" t="s">
        <v>356</v>
      </c>
      <c r="E197" s="491" t="s">
        <v>357</v>
      </c>
      <c r="F197" s="492"/>
      <c r="G197" s="493"/>
      <c r="H197" s="146" t="s">
        <v>97</v>
      </c>
      <c r="I197" s="494" t="str">
        <f t="shared" si="177"/>
        <v>n.v.t.</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c r="B198" s="488">
        <v>154</v>
      </c>
      <c r="C198" s="489" t="s">
        <v>351</v>
      </c>
      <c r="D198" s="490" t="s">
        <v>358</v>
      </c>
      <c r="E198" s="491" t="s">
        <v>359</v>
      </c>
      <c r="F198" s="492"/>
      <c r="G198" s="493"/>
      <c r="H198" s="146" t="s">
        <v>97</v>
      </c>
      <c r="I198" s="494" t="str">
        <f t="shared" si="177"/>
        <v>n.v.t.</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c r="B199" s="488">
        <v>155</v>
      </c>
      <c r="C199" s="489" t="s">
        <v>351</v>
      </c>
      <c r="D199" s="490" t="s">
        <v>360</v>
      </c>
      <c r="E199" s="491" t="s">
        <v>450</v>
      </c>
      <c r="F199" s="492"/>
      <c r="G199" s="493"/>
      <c r="H199" s="146" t="s">
        <v>97</v>
      </c>
      <c r="I199" s="494" t="str">
        <f t="shared" si="177"/>
        <v>n.v.t.</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c r="B200" s="488">
        <v>156</v>
      </c>
      <c r="C200" s="489" t="s">
        <v>351</v>
      </c>
      <c r="D200" s="490" t="s">
        <v>361</v>
      </c>
      <c r="E200" s="491" t="s">
        <v>433</v>
      </c>
      <c r="F200" s="492"/>
      <c r="G200" s="493"/>
      <c r="H200" s="146" t="s">
        <v>97</v>
      </c>
      <c r="I200" s="494" t="str">
        <f t="shared" si="177"/>
        <v>n.v.t.</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c r="B201" s="488">
        <v>157</v>
      </c>
      <c r="C201" s="489" t="s">
        <v>351</v>
      </c>
      <c r="D201" s="490" t="s">
        <v>362</v>
      </c>
      <c r="E201" s="491" t="s">
        <v>434</v>
      </c>
      <c r="F201" s="492"/>
      <c r="G201" s="493"/>
      <c r="H201" s="146" t="s">
        <v>97</v>
      </c>
      <c r="I201" s="494" t="str">
        <f t="shared" si="177"/>
        <v>n.v.t.</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c r="B204" s="488">
        <v>160</v>
      </c>
      <c r="C204" s="489" t="s">
        <v>368</v>
      </c>
      <c r="D204" s="490" t="s">
        <v>367</v>
      </c>
      <c r="E204" s="491" t="s">
        <v>369</v>
      </c>
      <c r="F204" s="492"/>
      <c r="G204" s="493"/>
      <c r="H204" s="146" t="s">
        <v>97</v>
      </c>
      <c r="I204" s="494" t="str">
        <f t="shared" si="177"/>
        <v>n.v.t.</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c r="B205" s="488">
        <v>161</v>
      </c>
      <c r="C205" s="489" t="s">
        <v>368</v>
      </c>
      <c r="D205" s="490" t="s">
        <v>370</v>
      </c>
      <c r="E205" s="491" t="s">
        <v>371</v>
      </c>
      <c r="F205" s="492"/>
      <c r="G205" s="493"/>
      <c r="H205" s="146" t="s">
        <v>97</v>
      </c>
      <c r="I205" s="494" t="str">
        <f t="shared" si="177"/>
        <v>n.v.t.</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c r="B206" s="488">
        <v>162</v>
      </c>
      <c r="C206" s="489" t="s">
        <v>368</v>
      </c>
      <c r="D206" s="490" t="s">
        <v>372</v>
      </c>
      <c r="E206" s="491" t="s">
        <v>435</v>
      </c>
      <c r="F206" s="492"/>
      <c r="G206" s="493"/>
      <c r="H206" s="146" t="s">
        <v>97</v>
      </c>
      <c r="I206" s="494" t="str">
        <f t="shared" si="177"/>
        <v>n.v.t.</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c r="B207" s="488">
        <v>163</v>
      </c>
      <c r="C207" s="489" t="s">
        <v>439</v>
      </c>
      <c r="D207" s="490" t="s">
        <v>493</v>
      </c>
      <c r="E207" s="491" t="s">
        <v>451</v>
      </c>
      <c r="F207" s="492"/>
      <c r="G207" s="493"/>
      <c r="H207" s="146" t="s">
        <v>97</v>
      </c>
      <c r="I207" s="494" t="str">
        <f t="shared" si="177"/>
        <v>n.v.t.</v>
      </c>
      <c r="J207" s="495"/>
      <c r="K207" s="151">
        <v>0</v>
      </c>
      <c r="L207" s="256"/>
      <c r="M207" s="256">
        <f>IF($C$5&lt;3000,(Bron!H196*$C$5)+Bron!I196,(Bron!M196*$C$5)+Bron!N196)</f>
        <v>0</v>
      </c>
      <c r="N207" s="496">
        <f t="shared" si="260"/>
        <v>227.81869599999999</v>
      </c>
      <c r="O207" s="497">
        <f t="shared" si="261"/>
        <v>0</v>
      </c>
      <c r="P207" s="257"/>
      <c r="Q207" s="257">
        <f>IF($C$5&lt;3000,$AN$31*Bron!K196,$AN$31*Bron!P196)</f>
        <v>896.92399999999998</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c r="B208" s="488">
        <v>164</v>
      </c>
      <c r="C208" s="489" t="s">
        <v>439</v>
      </c>
      <c r="D208" s="490" t="s">
        <v>493</v>
      </c>
      <c r="E208" s="491" t="s">
        <v>452</v>
      </c>
      <c r="F208" s="492"/>
      <c r="G208" s="493"/>
      <c r="H208" s="146" t="s">
        <v>97</v>
      </c>
      <c r="I208" s="494" t="str">
        <f t="shared" si="177"/>
        <v>n.v.t.</v>
      </c>
      <c r="J208" s="495"/>
      <c r="K208" s="151">
        <v>0</v>
      </c>
      <c r="L208" s="256"/>
      <c r="M208" s="256">
        <f>IF($C$5&lt;3000,(Bron!H197*$C$5)+Bron!I197,(Bron!M197*$C$5)+Bron!N197)</f>
        <v>1389.52</v>
      </c>
      <c r="N208" s="496">
        <f t="shared" si="260"/>
        <v>358.00080800000001</v>
      </c>
      <c r="O208" s="497">
        <f t="shared" si="261"/>
        <v>3.8813320220215815</v>
      </c>
      <c r="P208" s="257"/>
      <c r="Q208" s="257">
        <f>IF($C$5&lt;3000,$AN$31*Bron!K197,$AN$31*Bron!P197)</f>
        <v>1409.452</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c r="B209" s="488">
        <v>165</v>
      </c>
      <c r="C209" s="489" t="s">
        <v>439</v>
      </c>
      <c r="D209" s="490" t="s">
        <v>493</v>
      </c>
      <c r="E209" s="491" t="s">
        <v>453</v>
      </c>
      <c r="F209" s="492"/>
      <c r="G209" s="493"/>
      <c r="H209" s="146" t="s">
        <v>97</v>
      </c>
      <c r="I209" s="494" t="str">
        <f t="shared" si="177"/>
        <v>n.v.t.</v>
      </c>
      <c r="J209" s="495"/>
      <c r="K209" s="151">
        <v>0</v>
      </c>
      <c r="L209" s="256"/>
      <c r="M209" s="256">
        <f>IF($C$5&lt;3000,(Bron!H198*$C$5)+Bron!I198,(Bron!M198*$C$5)+Bron!N198)</f>
        <v>2223.232</v>
      </c>
      <c r="N209" s="496">
        <f t="shared" si="260"/>
        <v>1139.0934800000002</v>
      </c>
      <c r="O209" s="497">
        <f t="shared" si="261"/>
        <v>1.9517555310737091</v>
      </c>
      <c r="P209" s="257"/>
      <c r="Q209" s="257">
        <f>IF($C$5&lt;3000,$AN$31*Bron!K198,$AN$31*Bron!P198)</f>
        <v>4484.6200000000008</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c r="B210" s="488">
        <v>166</v>
      </c>
      <c r="C210" s="489" t="s">
        <v>439</v>
      </c>
      <c r="D210" s="490" t="s">
        <v>493</v>
      </c>
      <c r="E210" s="491" t="s">
        <v>454</v>
      </c>
      <c r="F210" s="492"/>
      <c r="G210" s="493"/>
      <c r="H210" s="146" t="s">
        <v>97</v>
      </c>
      <c r="I210" s="494" t="str">
        <f t="shared" si="177"/>
        <v>n.v.t.</v>
      </c>
      <c r="J210" s="495"/>
      <c r="K210" s="151">
        <v>0</v>
      </c>
      <c r="L210" s="256"/>
      <c r="M210" s="256">
        <f>IF($C$5&lt;3000,(Bron!H199*$C$5)+Bron!I199,(Bron!M199*$C$5)+Bron!N199)</f>
        <v>0</v>
      </c>
      <c r="N210" s="496">
        <f t="shared" si="260"/>
        <v>1432.003232</v>
      </c>
      <c r="O210" s="497">
        <f t="shared" si="261"/>
        <v>0</v>
      </c>
      <c r="P210" s="257"/>
      <c r="Q210" s="257">
        <f>IF($C$5&lt;3000,$AN$31*Bron!K199,$AN$31*Bron!P199)</f>
        <v>5637.808</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97</v>
      </c>
      <c r="I211" s="494" t="str">
        <f t="shared" si="177"/>
        <v>n.v.t.</v>
      </c>
      <c r="J211" s="495" t="s">
        <v>487</v>
      </c>
      <c r="K211" s="151">
        <v>0</v>
      </c>
      <c r="L211" s="256">
        <f>IF($C$5&lt;3000,(Bron!H200*$C$5)+Bron!I200,(Bron!M200*$C$5)+Bron!N200)</f>
        <v>27790.400000000001</v>
      </c>
      <c r="M211" s="256"/>
      <c r="N211" s="496">
        <f t="shared" si="260"/>
        <v>976.36584000000005</v>
      </c>
      <c r="O211" s="497">
        <f t="shared" si="261"/>
        <v>28.463101494824933</v>
      </c>
      <c r="P211" s="257"/>
      <c r="Q211" s="257">
        <f>IF($C$5&lt;3000,$AN$31*Bron!K200,$AN$31*Bron!P200)</f>
        <v>3843.96</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852</v>
      </c>
      <c r="I212" s="494" t="str">
        <f t="shared" si="177"/>
        <v>verhuurder</v>
      </c>
      <c r="J212" s="495" t="s">
        <v>487</v>
      </c>
      <c r="K212" s="151">
        <v>1</v>
      </c>
      <c r="L212" s="256">
        <f>IF($C$5&lt;3000,(Bron!H201*$C$5)+Bron!I201,(Bron!M201*$C$5)+Bron!N201)</f>
        <v>102824.48</v>
      </c>
      <c r="M212" s="256"/>
      <c r="N212" s="496">
        <f t="shared" si="260"/>
        <v>2278.1869600000005</v>
      </c>
      <c r="O212" s="497">
        <f t="shared" si="261"/>
        <v>45.134346656079522</v>
      </c>
      <c r="P212" s="257"/>
      <c r="Q212" s="257">
        <f>IF($C$5&lt;3000,$AN$31*Bron!K201,$AN$31*Bron!P201)</f>
        <v>8969.2400000000016</v>
      </c>
      <c r="R212" s="257">
        <f>IF($C$5&lt;3000,$AN$33*Bron!J201,$AN$33*Bron!O201)</f>
        <v>0</v>
      </c>
      <c r="S212" s="344"/>
      <c r="T212" s="258">
        <f t="shared" si="178"/>
        <v>1</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customHeight="1">
      <c r="B213" s="488">
        <v>169</v>
      </c>
      <c r="C213" s="489" t="s">
        <v>581</v>
      </c>
      <c r="D213" s="490" t="s">
        <v>493</v>
      </c>
      <c r="E213" s="491" t="s">
        <v>582</v>
      </c>
      <c r="F213" s="492"/>
      <c r="G213" s="493"/>
      <c r="H213" s="146" t="s">
        <v>97</v>
      </c>
      <c r="I213" s="494" t="str">
        <f t="shared" si="177"/>
        <v>n.v.t.</v>
      </c>
      <c r="J213" s="495" t="s">
        <v>487</v>
      </c>
      <c r="K213" s="151">
        <v>0</v>
      </c>
      <c r="L213" s="256">
        <f>IF($C$5&lt;3000,(Bron!H202*$C$5)+Bron!I202,(Bron!M202*$C$5)+Bron!N202)</f>
        <v>1000</v>
      </c>
      <c r="M213" s="256"/>
      <c r="N213" s="496">
        <f t="shared" si="260"/>
        <v>976.36584000000005</v>
      </c>
      <c r="O213" s="497">
        <f t="shared" si="261"/>
        <v>1.0242062544916566</v>
      </c>
      <c r="P213" s="257">
        <f>IF($C$5&lt;3000,$AN$32*Bron!J202,$AN$32*Bron!O202)</f>
        <v>0</v>
      </c>
      <c r="Q213" s="257">
        <f>IF($C$5&lt;3000,$AN$31*Bron!K202,$AN$31*Bron!P202)</f>
        <v>3843.96</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customHeight="1">
      <c r="B214" s="488">
        <v>170</v>
      </c>
      <c r="C214" s="489" t="s">
        <v>591</v>
      </c>
      <c r="D214" s="490" t="s">
        <v>493</v>
      </c>
      <c r="E214" s="491" t="s">
        <v>592</v>
      </c>
      <c r="F214" s="492"/>
      <c r="G214" s="493"/>
      <c r="H214" s="146" t="s">
        <v>97</v>
      </c>
      <c r="I214" s="494" t="str">
        <f t="shared" si="177"/>
        <v>n.v.t.</v>
      </c>
      <c r="J214" s="495" t="s">
        <v>487</v>
      </c>
      <c r="K214" s="151">
        <v>0</v>
      </c>
      <c r="L214" s="256">
        <f>IF($C$5&lt;3000,(Bron!H203*$C$5)+Bron!I203,(Bron!M203*$C$5)+Bron!N203)</f>
        <v>370</v>
      </c>
      <c r="M214" s="256"/>
      <c r="N214" s="496">
        <f t="shared" si="260"/>
        <v>195.273168</v>
      </c>
      <c r="O214" s="497">
        <f t="shared" si="261"/>
        <v>1.8947815708095646</v>
      </c>
      <c r="P214" s="257"/>
      <c r="Q214" s="257">
        <f>IF($C$5&lt;3000,$AN$31*Bron!K203,$AN$31*Bron!P203)</f>
        <v>768.79200000000003</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customHeight="1">
      <c r="B215" s="488">
        <v>171</v>
      </c>
      <c r="C215" s="701" t="s">
        <v>591</v>
      </c>
      <c r="D215" s="702" t="s">
        <v>493</v>
      </c>
      <c r="E215" s="703" t="s">
        <v>593</v>
      </c>
      <c r="F215" s="704"/>
      <c r="G215" s="705"/>
      <c r="H215" s="706" t="s">
        <v>97</v>
      </c>
      <c r="I215" s="707" t="str">
        <f t="shared" si="177"/>
        <v>n.v.t.</v>
      </c>
      <c r="J215" s="708"/>
      <c r="K215" s="151">
        <v>0</v>
      </c>
      <c r="L215" s="709"/>
      <c r="M215" s="709">
        <f>IF($C$5&lt;3000,(Bron!H204*$C$5)+Bron!I204,(Bron!M204*$C$5)+Bron!N204)</f>
        <v>26</v>
      </c>
      <c r="N215" s="710">
        <f t="shared" si="260"/>
        <v>162.72764000000001</v>
      </c>
      <c r="O215" s="711">
        <f t="shared" si="261"/>
        <v>0.15977617570069841</v>
      </c>
      <c r="P215" s="712"/>
      <c r="Q215" s="712">
        <f>IF($C$5&lt;3000,$AN$31*Bron!K204,$AN$31*Bron!P204)</f>
        <v>640.66</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3158</v>
      </c>
      <c r="V221" s="541">
        <f>IF($C$12&lt;V219,0,IF(V219&lt;$C$11,0,$C$4))</f>
        <v>3158</v>
      </c>
      <c r="W221" s="542"/>
      <c r="X221" s="543"/>
      <c r="Y221" s="543"/>
      <c r="Z221" s="542"/>
      <c r="AA221" s="542"/>
      <c r="AB221" s="541">
        <f>IF($C$12&lt;AB219,0,IF(AB219&lt;$C$11,0,$C$4))</f>
        <v>3158</v>
      </c>
      <c r="AC221" s="542"/>
      <c r="AD221" s="543"/>
      <c r="AE221" s="543"/>
      <c r="AF221" s="542"/>
      <c r="AG221" s="542"/>
      <c r="AH221" s="541">
        <f>IF($C$12&lt;AH219,0,IF(AH219&lt;$C$11,0,$C$4))</f>
        <v>3158</v>
      </c>
      <c r="AI221" s="542"/>
      <c r="AJ221" s="543"/>
      <c r="AK221" s="543"/>
      <c r="AL221" s="542"/>
      <c r="AM221" s="542"/>
      <c r="AN221" s="541">
        <f>IF($C$12&lt;AN219,0,IF(AN219&lt;$C$11,0,$C$4))</f>
        <v>3158</v>
      </c>
      <c r="AO221" s="542"/>
      <c r="AP221" s="543"/>
      <c r="AQ221" s="543"/>
      <c r="AR221" s="542"/>
      <c r="AS221" s="542"/>
      <c r="AT221" s="541">
        <f>IF($C$12&lt;AT219,0,IF(AT219&lt;$C$11,0,$C$4))</f>
        <v>3158</v>
      </c>
      <c r="AU221" s="542"/>
      <c r="AV221" s="543"/>
      <c r="AW221" s="543"/>
      <c r="AX221" s="542"/>
      <c r="AY221" s="542"/>
      <c r="AZ221" s="541">
        <f>IF($C$12&lt;AZ219,0,IF(AZ219&lt;$C$11,0,$C$4))</f>
        <v>3158</v>
      </c>
      <c r="BA221" s="311"/>
      <c r="BB221" s="312"/>
      <c r="BC221" s="312"/>
      <c r="BD221" s="311"/>
      <c r="BE221" s="311"/>
      <c r="BF221" s="541">
        <f>IF($C$12&lt;BF219,0,IF(BF219&lt;$C$11,0,$C$4))</f>
        <v>3158</v>
      </c>
      <c r="BG221" s="311"/>
      <c r="BH221" s="312"/>
      <c r="BI221" s="312"/>
      <c r="BJ221" s="311"/>
      <c r="BK221" s="311"/>
      <c r="BL221" s="541">
        <f>IF($C$12&lt;BL219,0,IF(BL219&lt;$C$11,0,$C$4))</f>
        <v>3158</v>
      </c>
      <c r="BM221" s="311"/>
      <c r="BN221" s="312"/>
      <c r="BO221" s="312"/>
      <c r="BP221" s="311"/>
      <c r="BQ221" s="311"/>
      <c r="BR221" s="541">
        <f>IF($C$12&lt;BR219,0,IF(BR219&lt;$C$11,0,$C$4))</f>
        <v>3158</v>
      </c>
      <c r="BS221" s="542"/>
      <c r="BT221" s="543"/>
      <c r="BU221" s="543"/>
      <c r="BV221" s="542"/>
      <c r="BW221" s="542"/>
      <c r="BX221" s="541">
        <f>IF($C$12&lt;BX219,0,IF(BX219&lt;$C$11,0,$C$4))</f>
        <v>3158</v>
      </c>
      <c r="BY221" s="311"/>
      <c r="BZ221" s="312"/>
      <c r="CA221" s="312"/>
      <c r="CB221" s="311"/>
      <c r="CC221" s="311"/>
      <c r="CD221" s="541">
        <f>IF($C$12&lt;CD219,0,IF(CD219&lt;$C$11,0,$C$4))</f>
        <v>3158</v>
      </c>
      <c r="CE221" s="311"/>
      <c r="CF221" s="312"/>
      <c r="CG221" s="312"/>
      <c r="CH221" s="311"/>
      <c r="CI221" s="311"/>
      <c r="CJ221" s="541">
        <f>IF($C$12&lt;CJ219,0,IF(CJ219&lt;$C$11,0,$C$4))</f>
        <v>3158</v>
      </c>
      <c r="CK221" s="311"/>
      <c r="CL221" s="312"/>
      <c r="CM221" s="312"/>
      <c r="CN221" s="311"/>
      <c r="CO221" s="311"/>
      <c r="CP221" s="541">
        <f>IF($C$12&lt;CP219,0,IF(CP219&lt;$C$11,0,$C$4))</f>
        <v>3158</v>
      </c>
      <c r="CQ221" s="544"/>
      <c r="CR221" s="543"/>
      <c r="CS221" s="543"/>
      <c r="CT221" s="544"/>
      <c r="CU221" s="544"/>
      <c r="CV221" s="541">
        <f>IF($C$12&lt;CV219,0,IF(CV219&lt;$C$11,0,$C$4))</f>
        <v>0</v>
      </c>
      <c r="CW221" s="544"/>
      <c r="CX221" s="543"/>
      <c r="CY221" s="543"/>
      <c r="CZ221" s="544"/>
      <c r="DA221" s="544"/>
      <c r="DB221" s="541">
        <f>IF($C$12&lt;DB219,0,IF(DB219&lt;$C$11,0,$C$4))</f>
        <v>0</v>
      </c>
      <c r="DC221" s="311"/>
      <c r="DD221" s="312"/>
      <c r="DE221" s="312"/>
      <c r="DF221" s="311"/>
      <c r="DG221" s="311"/>
      <c r="DH221" s="541">
        <f>IF($C$12&lt;DH219,0,IF(DH219&lt;$C$11,0,$C$4))</f>
        <v>0</v>
      </c>
      <c r="DI221" s="311"/>
      <c r="DJ221" s="312"/>
      <c r="DK221" s="312"/>
      <c r="DL221" s="311"/>
      <c r="DM221" s="311"/>
      <c r="DN221" s="541">
        <f>IF($C$12&lt;DN219,0,IF(DN219&lt;$C$11,0,$C$4))</f>
        <v>0</v>
      </c>
      <c r="DO221" s="311"/>
      <c r="DP221" s="312"/>
      <c r="DQ221" s="312"/>
      <c r="DR221" s="311"/>
      <c r="DS221" s="311"/>
      <c r="DT221" s="541">
        <f>IF($C$12&lt;DT219,0,IF(DT219&lt;$C$11,0,$C$4))</f>
        <v>0</v>
      </c>
      <c r="DU221" s="311"/>
      <c r="DV221" s="312"/>
      <c r="DW221" s="312"/>
      <c r="DX221" s="311"/>
      <c r="DY221" s="311"/>
      <c r="DZ221" s="541">
        <f>IF($C$12&lt;DZ219,0,IF(DZ219&lt;$C$11,0,$C$4))</f>
        <v>0</v>
      </c>
      <c r="EA221" s="311"/>
      <c r="EB221" s="312"/>
      <c r="EC221" s="312"/>
      <c r="ED221" s="311"/>
      <c r="EE221" s="311"/>
      <c r="EF221" s="541">
        <f>IF($C$12&lt;EF219,0,IF(EF219&lt;$C$11,0,$C$4))</f>
        <v>0</v>
      </c>
      <c r="EG221" s="311"/>
      <c r="EH221" s="312"/>
      <c r="EI221" s="312"/>
      <c r="EJ221" s="311"/>
      <c r="EK221" s="311"/>
      <c r="EL221" s="541">
        <f>IF($C$12&lt;EL219,0,IF(EL219&lt;$C$11,0,$C$4))</f>
        <v>0</v>
      </c>
      <c r="EM221" s="311"/>
      <c r="EN221" s="312"/>
      <c r="EO221" s="312"/>
      <c r="EP221" s="311"/>
      <c r="EQ221" s="311"/>
      <c r="ER221" s="541">
        <f>IF($C$12&lt;ER219,0,IF(ER219&lt;$C$11,0,$C$4))</f>
        <v>0</v>
      </c>
      <c r="ES221" s="311"/>
      <c r="ET221" s="312"/>
      <c r="EU221" s="312"/>
      <c r="EV221" s="311"/>
      <c r="EW221" s="311"/>
      <c r="EX221" s="541">
        <f>IF($C$12&lt;EX219,0,IF(EX219&lt;$C$11,0,$C$4))</f>
        <v>0</v>
      </c>
      <c r="EY221" s="311"/>
      <c r="EZ221" s="312"/>
      <c r="FA221" s="312"/>
      <c r="FB221" s="311"/>
      <c r="FC221" s="311"/>
      <c r="FD221" s="541">
        <f>IF($C$12&lt;FD219,0,IF(FD219&lt;$C$11,0,$C$4))</f>
        <v>0</v>
      </c>
      <c r="FE221" s="311"/>
      <c r="FF221" s="312"/>
      <c r="FG221" s="312"/>
      <c r="FH221" s="311"/>
      <c r="FI221" s="311"/>
      <c r="FJ221" s="541">
        <f>IF($C$12&lt;FJ219,0,IF(FJ219&lt;$C$11,0,$C$4))</f>
        <v>0</v>
      </c>
      <c r="FK221" s="311"/>
      <c r="FL221" s="312"/>
      <c r="FM221" s="312"/>
      <c r="FN221" s="311"/>
      <c r="FO221" s="311"/>
      <c r="FP221" s="541">
        <f>IF($C$12&lt;FP219,0,IF(FP219&lt;$C$11,0,$C$4))</f>
        <v>0</v>
      </c>
      <c r="FQ221" s="311"/>
      <c r="FR221" s="312"/>
      <c r="FS221" s="312"/>
      <c r="FT221" s="311"/>
      <c r="FU221" s="311"/>
      <c r="FV221" s="541">
        <f>IF($C$12&lt;FV219,0,IF(FV219&lt;$C$11,0,$C$4))</f>
        <v>0</v>
      </c>
      <c r="FW221" s="311"/>
      <c r="FX221" s="312"/>
      <c r="FY221" s="312"/>
      <c r="FZ221" s="311"/>
      <c r="GA221" s="311"/>
      <c r="GB221" s="541">
        <f>IF($C$12&lt;GB219,0,IF(GB219&lt;$C$11,0,$C$4))</f>
        <v>0</v>
      </c>
      <c r="GC221" s="311"/>
      <c r="GD221" s="312"/>
      <c r="GE221" s="312"/>
      <c r="GF221" s="311"/>
      <c r="GG221" s="311"/>
      <c r="GH221" s="541">
        <f>IF($C$12&lt;GH219,0,IF(GH219&lt;$C$11,0,$C$4))</f>
        <v>0</v>
      </c>
      <c r="GI221" s="311"/>
      <c r="GJ221" s="312"/>
      <c r="GK221" s="312"/>
      <c r="GL221" s="311"/>
      <c r="GM221" s="311"/>
      <c r="GN221" s="541">
        <f>IF($C$12&lt;GN219,0,IF(GN219&lt;$C$11,0,$C$4))</f>
        <v>0</v>
      </c>
      <c r="GO221" s="311"/>
      <c r="GP221" s="312"/>
      <c r="GQ221" s="312"/>
      <c r="GR221" s="311"/>
      <c r="GS221" s="311"/>
      <c r="GT221" s="541">
        <f>IF($C$12&lt;GT219,0,IF(GT219&lt;$C$11,0,$C$4))</f>
        <v>0</v>
      </c>
      <c r="GU221" s="311"/>
      <c r="GV221" s="312"/>
      <c r="GW221" s="312"/>
      <c r="GX221" s="311"/>
      <c r="GY221" s="311"/>
      <c r="GZ221" s="545">
        <f>IF($C$12&lt;GZ219,0,IF(GZ219&lt;$C$11,0,$C$4))</f>
        <v>0</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2779.04</v>
      </c>
      <c r="V222" s="551">
        <f>IF($C$12&lt;V219,0,IF(V219&lt;$C$11,0,$C$5))</f>
        <v>2779.04</v>
      </c>
      <c r="W222" s="552"/>
      <c r="X222" s="553"/>
      <c r="Y222" s="553"/>
      <c r="Z222" s="552"/>
      <c r="AA222" s="552"/>
      <c r="AB222" s="551">
        <f>IF($C$12&lt;AB219,0,IF(AB219&lt;$C$11,0,$C$5))</f>
        <v>2779.04</v>
      </c>
      <c r="AC222" s="313"/>
      <c r="AD222" s="314"/>
      <c r="AE222" s="314"/>
      <c r="AF222" s="313"/>
      <c r="AG222" s="313"/>
      <c r="AH222" s="551">
        <f>IF($C$12&lt;AH219,0,IF(AH219&lt;$C$11,0,$C$5))</f>
        <v>2779.04</v>
      </c>
      <c r="AI222" s="552"/>
      <c r="AJ222" s="553"/>
      <c r="AK222" s="553"/>
      <c r="AL222" s="552"/>
      <c r="AM222" s="552"/>
      <c r="AN222" s="551">
        <f>IF($C$12&lt;AN219,0,IF(AN219&lt;$C$11,0,$C$5))</f>
        <v>2779.04</v>
      </c>
      <c r="AO222" s="552"/>
      <c r="AP222" s="553"/>
      <c r="AQ222" s="553"/>
      <c r="AR222" s="552"/>
      <c r="AS222" s="552"/>
      <c r="AT222" s="551">
        <f>IF($C$12&lt;AT219,0,IF(AT219&lt;$C$11,0,$C$5))</f>
        <v>2779.04</v>
      </c>
      <c r="AU222" s="313"/>
      <c r="AV222" s="314"/>
      <c r="AW222" s="314"/>
      <c r="AX222" s="313"/>
      <c r="AY222" s="313"/>
      <c r="AZ222" s="551">
        <f>IF($C$12&lt;AZ219,0,IF(AZ219&lt;$C$11,0,$C$5))</f>
        <v>2779.04</v>
      </c>
      <c r="BA222" s="313"/>
      <c r="BB222" s="314"/>
      <c r="BC222" s="314"/>
      <c r="BD222" s="313"/>
      <c r="BE222" s="313"/>
      <c r="BF222" s="551">
        <f>IF($C$12&lt;BF219,0,IF(BF219&lt;$C$11,0,$C$5))</f>
        <v>2779.04</v>
      </c>
      <c r="BG222" s="313"/>
      <c r="BH222" s="314"/>
      <c r="BI222" s="314"/>
      <c r="BJ222" s="313"/>
      <c r="BK222" s="313"/>
      <c r="BL222" s="551">
        <f>IF($C$12&lt;BL219,0,IF(BL219&lt;$C$11,0,$C$5))</f>
        <v>2779.04</v>
      </c>
      <c r="BM222" s="313"/>
      <c r="BN222" s="314"/>
      <c r="BO222" s="314"/>
      <c r="BP222" s="313"/>
      <c r="BQ222" s="313"/>
      <c r="BR222" s="551">
        <f>IF($C$12&lt;BR219,0,IF(BR219&lt;$C$11,0,$C$5))</f>
        <v>2779.04</v>
      </c>
      <c r="BS222" s="313"/>
      <c r="BT222" s="314"/>
      <c r="BU222" s="314"/>
      <c r="BV222" s="313"/>
      <c r="BW222" s="313"/>
      <c r="BX222" s="551">
        <f>IF($C$12&lt;BX219,0,IF(BX219&lt;$C$11,0,$C$5))</f>
        <v>2779.04</v>
      </c>
      <c r="BY222" s="313"/>
      <c r="BZ222" s="314"/>
      <c r="CA222" s="314"/>
      <c r="CB222" s="313"/>
      <c r="CC222" s="313"/>
      <c r="CD222" s="551">
        <f>IF($C$12&lt;CD219,0,IF(CD219&lt;$C$11,0,$C$5))</f>
        <v>2779.04</v>
      </c>
      <c r="CE222" s="313"/>
      <c r="CF222" s="314"/>
      <c r="CG222" s="314"/>
      <c r="CH222" s="313"/>
      <c r="CI222" s="313"/>
      <c r="CJ222" s="551">
        <f>IF($C$12&lt;CJ219,0,IF(CJ219&lt;$C$11,0,$C$5))</f>
        <v>2779.04</v>
      </c>
      <c r="CK222" s="313"/>
      <c r="CL222" s="314"/>
      <c r="CM222" s="314"/>
      <c r="CN222" s="313"/>
      <c r="CO222" s="313"/>
      <c r="CP222" s="551">
        <f>IF($C$12&lt;CP219,0,IF(CP219&lt;$C$11,0,$C$5))</f>
        <v>2779.04</v>
      </c>
      <c r="CQ222" s="313"/>
      <c r="CR222" s="314"/>
      <c r="CS222" s="314"/>
      <c r="CT222" s="313"/>
      <c r="CU222" s="313"/>
      <c r="CV222" s="551">
        <f>IF($C$12&lt;CV219,0,IF(CV219&lt;$C$11,0,$C$5))</f>
        <v>0</v>
      </c>
      <c r="CW222" s="554"/>
      <c r="CX222" s="553"/>
      <c r="CY222" s="553"/>
      <c r="CZ222" s="554"/>
      <c r="DA222" s="554"/>
      <c r="DB222" s="551">
        <f>IF($C$12&lt;DB219,0,IF(DB219&lt;$C$11,0,$C$5))</f>
        <v>0</v>
      </c>
      <c r="DC222" s="313"/>
      <c r="DD222" s="314"/>
      <c r="DE222" s="314"/>
      <c r="DF222" s="313"/>
      <c r="DG222" s="313"/>
      <c r="DH222" s="551">
        <f>IF($C$12&lt;DH219,0,IF(DH219&lt;$C$11,0,$C$5))</f>
        <v>0</v>
      </c>
      <c r="DI222" s="313"/>
      <c r="DJ222" s="314"/>
      <c r="DK222" s="314"/>
      <c r="DL222" s="313"/>
      <c r="DM222" s="313"/>
      <c r="DN222" s="551">
        <f>IF($C$12&lt;DN219,0,IF(DN219&lt;$C$11,0,$C$5))</f>
        <v>0</v>
      </c>
      <c r="DO222" s="313"/>
      <c r="DP222" s="314"/>
      <c r="DQ222" s="314"/>
      <c r="DR222" s="313"/>
      <c r="DS222" s="313"/>
      <c r="DT222" s="551">
        <f>IF($C$12&lt;DT219,0,IF(DT219&lt;$C$11,0,$C$5))</f>
        <v>0</v>
      </c>
      <c r="DU222" s="313"/>
      <c r="DV222" s="314"/>
      <c r="DW222" s="314"/>
      <c r="DX222" s="313"/>
      <c r="DY222" s="313"/>
      <c r="DZ222" s="551">
        <f>IF($C$12&lt;DZ219,0,IF(DZ219&lt;$C$11,0,$C$5))</f>
        <v>0</v>
      </c>
      <c r="EA222" s="313"/>
      <c r="EB222" s="314"/>
      <c r="EC222" s="314"/>
      <c r="ED222" s="313"/>
      <c r="EE222" s="313"/>
      <c r="EF222" s="551">
        <f>IF($C$12&lt;EF219,0,IF(EF219&lt;$C$11,0,$C$5))</f>
        <v>0</v>
      </c>
      <c r="EG222" s="313"/>
      <c r="EH222" s="314"/>
      <c r="EI222" s="314"/>
      <c r="EJ222" s="313"/>
      <c r="EK222" s="313"/>
      <c r="EL222" s="551">
        <f>IF($C$12&lt;EL219,0,IF(EL219&lt;$C$11,0,$C$5))</f>
        <v>0</v>
      </c>
      <c r="EM222" s="313"/>
      <c r="EN222" s="314"/>
      <c r="EO222" s="314"/>
      <c r="EP222" s="313"/>
      <c r="EQ222" s="313"/>
      <c r="ER222" s="551">
        <f>IF($C$12&lt;ER219,0,IF(ER219&lt;$C$11,0,$C$5))</f>
        <v>0</v>
      </c>
      <c r="ES222" s="313"/>
      <c r="ET222" s="314"/>
      <c r="EU222" s="314"/>
      <c r="EV222" s="313"/>
      <c r="EW222" s="313"/>
      <c r="EX222" s="551">
        <f>IF($C$12&lt;EX219,0,IF(EX219&lt;$C$11,0,$C$5))</f>
        <v>0</v>
      </c>
      <c r="EY222" s="313"/>
      <c r="EZ222" s="314"/>
      <c r="FA222" s="314"/>
      <c r="FB222" s="313"/>
      <c r="FC222" s="313"/>
      <c r="FD222" s="551">
        <f>IF($C$12&lt;FD219,0,IF(FD219&lt;$C$11,0,$C$5))</f>
        <v>0</v>
      </c>
      <c r="FE222" s="313"/>
      <c r="FF222" s="314"/>
      <c r="FG222" s="314"/>
      <c r="FH222" s="313"/>
      <c r="FI222" s="313"/>
      <c r="FJ222" s="551">
        <f>IF($C$12&lt;FJ219,0,IF(FJ219&lt;$C$11,0,$C$5))</f>
        <v>0</v>
      </c>
      <c r="FK222" s="313"/>
      <c r="FL222" s="314"/>
      <c r="FM222" s="314"/>
      <c r="FN222" s="313"/>
      <c r="FO222" s="313"/>
      <c r="FP222" s="551">
        <f>IF($C$12&lt;FP219,0,IF(FP219&lt;$C$11,0,$C$5))</f>
        <v>0</v>
      </c>
      <c r="FQ222" s="313"/>
      <c r="FR222" s="314"/>
      <c r="FS222" s="314"/>
      <c r="FT222" s="313"/>
      <c r="FU222" s="313"/>
      <c r="FV222" s="551">
        <f>IF($C$12&lt;FV219,0,IF(FV219&lt;$C$11,0,$C$5))</f>
        <v>0</v>
      </c>
      <c r="FW222" s="313"/>
      <c r="FX222" s="314"/>
      <c r="FY222" s="314"/>
      <c r="FZ222" s="313"/>
      <c r="GA222" s="313"/>
      <c r="GB222" s="551">
        <f>IF($C$12&lt;GB219,0,IF(GB219&lt;$C$11,0,$C$5))</f>
        <v>0</v>
      </c>
      <c r="GC222" s="313"/>
      <c r="GD222" s="314"/>
      <c r="GE222" s="314"/>
      <c r="GF222" s="313"/>
      <c r="GG222" s="313"/>
      <c r="GH222" s="551">
        <f>IF($C$12&lt;GH219,0,IF(GH219&lt;$C$11,0,$C$5))</f>
        <v>0</v>
      </c>
      <c r="GI222" s="313"/>
      <c r="GJ222" s="314"/>
      <c r="GK222" s="314"/>
      <c r="GL222" s="313"/>
      <c r="GM222" s="313"/>
      <c r="GN222" s="551">
        <f>IF($C$12&lt;GN219,0,IF(GN219&lt;$C$11,0,$C$5))</f>
        <v>0</v>
      </c>
      <c r="GO222" s="313"/>
      <c r="GP222" s="314"/>
      <c r="GQ222" s="314"/>
      <c r="GR222" s="313"/>
      <c r="GS222" s="313"/>
      <c r="GT222" s="551">
        <f>IF($C$12&lt;GT219,0,IF(GT219&lt;$C$11,0,$C$5))</f>
        <v>0</v>
      </c>
      <c r="GU222" s="313"/>
      <c r="GV222" s="314"/>
      <c r="GW222" s="314"/>
      <c r="GX222" s="313"/>
      <c r="GY222" s="313"/>
      <c r="GZ222" s="555">
        <f>IF($C$12&lt;GZ219,0,IF(GZ219&lt;$C$11,0,$C$5))</f>
        <v>0</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180494.67199999999</v>
      </c>
      <c r="AU223" s="311"/>
      <c r="AV223" s="312"/>
      <c r="AW223" s="312"/>
      <c r="AX223" s="311"/>
      <c r="AY223" s="311"/>
      <c r="AZ223" s="563">
        <f>SUM(BA44:BA216)</f>
        <v>0</v>
      </c>
      <c r="BA223" s="311"/>
      <c r="BB223" s="312"/>
      <c r="BC223" s="312"/>
      <c r="BD223" s="311"/>
      <c r="BE223" s="311"/>
      <c r="BF223" s="563">
        <f>SUM(BG44:BG216)</f>
        <v>0</v>
      </c>
      <c r="BG223" s="311"/>
      <c r="BH223" s="312"/>
      <c r="BI223" s="312"/>
      <c r="BJ223" s="311"/>
      <c r="BK223" s="311"/>
      <c r="BL223" s="563">
        <f>SUM(BM44:BM216)</f>
        <v>0</v>
      </c>
      <c r="BM223" s="311"/>
      <c r="BN223" s="312"/>
      <c r="BO223" s="312"/>
      <c r="BP223" s="311"/>
      <c r="BQ223" s="311"/>
      <c r="BR223" s="563">
        <f>SUM(BS44:BS216)</f>
        <v>0</v>
      </c>
      <c r="BS223" s="311"/>
      <c r="BT223" s="312"/>
      <c r="BU223" s="312"/>
      <c r="BV223" s="311"/>
      <c r="BW223" s="311"/>
      <c r="BX223" s="563">
        <f>SUM(BY44:BY216)</f>
        <v>0</v>
      </c>
      <c r="BY223" s="311"/>
      <c r="BZ223" s="312"/>
      <c r="CA223" s="312"/>
      <c r="CB223" s="311"/>
      <c r="CC223" s="311"/>
      <c r="CD223" s="563">
        <f>SUM(CE44:CE216)</f>
        <v>0</v>
      </c>
      <c r="CE223" s="311"/>
      <c r="CF223" s="312"/>
      <c r="CG223" s="312"/>
      <c r="CH223" s="311"/>
      <c r="CI223" s="311"/>
      <c r="CJ223" s="563">
        <f>SUM(CK44:CK216)</f>
        <v>0</v>
      </c>
      <c r="CK223" s="311"/>
      <c r="CL223" s="312"/>
      <c r="CM223" s="312"/>
      <c r="CN223" s="311"/>
      <c r="CO223" s="311"/>
      <c r="CP223" s="563">
        <f>SUM(CQ44:CQ216)</f>
        <v>0</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0</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180494.67199999999</v>
      </c>
      <c r="AU224" s="574"/>
      <c r="AV224" s="575"/>
      <c r="AW224" s="575"/>
      <c r="AX224" s="574"/>
      <c r="AY224" s="574"/>
      <c r="AZ224" s="576">
        <f>AT224+AZ223</f>
        <v>180494.67199999999</v>
      </c>
      <c r="BA224" s="315"/>
      <c r="BB224" s="316"/>
      <c r="BC224" s="316"/>
      <c r="BD224" s="315"/>
      <c r="BE224" s="315"/>
      <c r="BF224" s="576">
        <f>AZ224+BF223</f>
        <v>180494.67199999999</v>
      </c>
      <c r="BG224" s="315"/>
      <c r="BH224" s="316"/>
      <c r="BI224" s="316"/>
      <c r="BJ224" s="315"/>
      <c r="BK224" s="315"/>
      <c r="BL224" s="576">
        <f>BF224+BL223</f>
        <v>180494.67199999999</v>
      </c>
      <c r="BM224" s="315"/>
      <c r="BN224" s="316"/>
      <c r="BO224" s="316"/>
      <c r="BP224" s="315"/>
      <c r="BQ224" s="315"/>
      <c r="BR224" s="576">
        <f>BL224+BR223</f>
        <v>180494.67199999999</v>
      </c>
      <c r="BS224" s="574"/>
      <c r="BT224" s="575"/>
      <c r="BU224" s="575"/>
      <c r="BV224" s="574"/>
      <c r="BW224" s="574"/>
      <c r="BX224" s="576">
        <f>BR224+BX223</f>
        <v>180494.67199999999</v>
      </c>
      <c r="BY224" s="315"/>
      <c r="BZ224" s="316"/>
      <c r="CA224" s="316"/>
      <c r="CB224" s="315"/>
      <c r="CC224" s="315"/>
      <c r="CD224" s="576">
        <f>BX224+CD223</f>
        <v>180494.67199999999</v>
      </c>
      <c r="CE224" s="315"/>
      <c r="CF224" s="316"/>
      <c r="CG224" s="316"/>
      <c r="CH224" s="315"/>
      <c r="CI224" s="315"/>
      <c r="CJ224" s="576">
        <f>CD224+CJ223</f>
        <v>180494.67199999999</v>
      </c>
      <c r="CK224" s="315"/>
      <c r="CL224" s="316"/>
      <c r="CM224" s="316"/>
      <c r="CN224" s="315"/>
      <c r="CO224" s="315"/>
      <c r="CP224" s="576">
        <f>CJ224+CP223</f>
        <v>180494.67199999999</v>
      </c>
      <c r="CQ224" s="577"/>
      <c r="CR224" s="575"/>
      <c r="CS224" s="575"/>
      <c r="CT224" s="577"/>
      <c r="CU224" s="577"/>
      <c r="CV224" s="576">
        <f>CP224+CV223</f>
        <v>180494.67199999999</v>
      </c>
      <c r="CW224" s="577"/>
      <c r="CX224" s="575"/>
      <c r="CY224" s="575"/>
      <c r="CZ224" s="577"/>
      <c r="DA224" s="577"/>
      <c r="DB224" s="576">
        <f>CV224+DB223</f>
        <v>180494.67199999999</v>
      </c>
      <c r="DC224" s="315"/>
      <c r="DD224" s="316"/>
      <c r="DE224" s="316"/>
      <c r="DF224" s="315"/>
      <c r="DG224" s="315"/>
      <c r="DH224" s="576">
        <f>DB224+DH223</f>
        <v>180494.67199999999</v>
      </c>
      <c r="DI224" s="315"/>
      <c r="DJ224" s="316"/>
      <c r="DK224" s="316"/>
      <c r="DL224" s="315"/>
      <c r="DM224" s="315"/>
      <c r="DN224" s="576">
        <f>DH224+DN223</f>
        <v>180494.67199999999</v>
      </c>
      <c r="DO224" s="315"/>
      <c r="DP224" s="316"/>
      <c r="DQ224" s="316"/>
      <c r="DR224" s="315"/>
      <c r="DS224" s="315"/>
      <c r="DT224" s="576">
        <f>DN224+DT223</f>
        <v>180494.67199999999</v>
      </c>
      <c r="DU224" s="315"/>
      <c r="DV224" s="316"/>
      <c r="DW224" s="316"/>
      <c r="DX224" s="315"/>
      <c r="DY224" s="315"/>
      <c r="DZ224" s="576">
        <f>DT224+DZ223</f>
        <v>180494.67199999999</v>
      </c>
      <c r="EA224" s="315"/>
      <c r="EB224" s="316"/>
      <c r="EC224" s="316"/>
      <c r="ED224" s="315"/>
      <c r="EE224" s="315"/>
      <c r="EF224" s="576">
        <f>DZ224+EF223</f>
        <v>180494.67199999999</v>
      </c>
      <c r="EG224" s="315"/>
      <c r="EH224" s="316"/>
      <c r="EI224" s="316"/>
      <c r="EJ224" s="315"/>
      <c r="EK224" s="315"/>
      <c r="EL224" s="576">
        <f>EF224+EL223</f>
        <v>180494.67199999999</v>
      </c>
      <c r="EM224" s="315"/>
      <c r="EN224" s="316"/>
      <c r="EO224" s="316"/>
      <c r="EP224" s="315"/>
      <c r="EQ224" s="315"/>
      <c r="ER224" s="576">
        <f>EL224+ER223</f>
        <v>180494.67199999999</v>
      </c>
      <c r="ES224" s="315"/>
      <c r="ET224" s="316"/>
      <c r="EU224" s="316"/>
      <c r="EV224" s="315"/>
      <c r="EW224" s="315"/>
      <c r="EX224" s="576">
        <f>ER224+EX223</f>
        <v>180494.67199999999</v>
      </c>
      <c r="EY224" s="315"/>
      <c r="EZ224" s="316"/>
      <c r="FA224" s="316"/>
      <c r="FB224" s="315"/>
      <c r="FC224" s="315"/>
      <c r="FD224" s="576">
        <f>EX224+FD223</f>
        <v>180494.67199999999</v>
      </c>
      <c r="FE224" s="315"/>
      <c r="FF224" s="316"/>
      <c r="FG224" s="316"/>
      <c r="FH224" s="315"/>
      <c r="FI224" s="315"/>
      <c r="FJ224" s="576">
        <f>FD224+FJ223</f>
        <v>180494.67199999999</v>
      </c>
      <c r="FK224" s="315"/>
      <c r="FL224" s="316"/>
      <c r="FM224" s="316"/>
      <c r="FN224" s="315"/>
      <c r="FO224" s="315"/>
      <c r="FP224" s="576">
        <f>FJ224+FP223</f>
        <v>180494.67199999999</v>
      </c>
      <c r="FQ224" s="315"/>
      <c r="FR224" s="316"/>
      <c r="FS224" s="316"/>
      <c r="FT224" s="315"/>
      <c r="FU224" s="315"/>
      <c r="FV224" s="576">
        <f>FP224+FV223</f>
        <v>180494.67199999999</v>
      </c>
      <c r="FW224" s="315"/>
      <c r="FX224" s="316"/>
      <c r="FY224" s="316"/>
      <c r="FZ224" s="315"/>
      <c r="GA224" s="315"/>
      <c r="GB224" s="576">
        <f>FV224+GB223</f>
        <v>180494.67199999999</v>
      </c>
      <c r="GC224" s="315"/>
      <c r="GD224" s="316"/>
      <c r="GE224" s="316"/>
      <c r="GF224" s="315"/>
      <c r="GG224" s="315"/>
      <c r="GH224" s="576">
        <f>GB224+GH223</f>
        <v>180494.67199999999</v>
      </c>
      <c r="GI224" s="315"/>
      <c r="GJ224" s="316"/>
      <c r="GK224" s="316"/>
      <c r="GL224" s="315"/>
      <c r="GM224" s="315"/>
      <c r="GN224" s="576">
        <f>GH224+GN223</f>
        <v>180494.67199999999</v>
      </c>
      <c r="GO224" s="315"/>
      <c r="GP224" s="316"/>
      <c r="GQ224" s="316"/>
      <c r="GR224" s="315"/>
      <c r="GS224" s="315"/>
      <c r="GT224" s="576">
        <f>GN224+GT223</f>
        <v>180494.67199999999</v>
      </c>
      <c r="GU224" s="315"/>
      <c r="GV224" s="316"/>
      <c r="GW224" s="316"/>
      <c r="GX224" s="315"/>
      <c r="GY224" s="315"/>
      <c r="GZ224" s="578">
        <f>GT224+GZ223</f>
        <v>180494.67199999999</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42917.723467095231</v>
      </c>
      <c r="AU225" s="574"/>
      <c r="AV225" s="575"/>
      <c r="AW225" s="575"/>
      <c r="AX225" s="574"/>
      <c r="AY225" s="574"/>
      <c r="AZ225" s="576">
        <f>SUM(BE44:BE216)</f>
        <v>0</v>
      </c>
      <c r="BA225" s="315"/>
      <c r="BB225" s="316"/>
      <c r="BC225" s="316"/>
      <c r="BD225" s="315"/>
      <c r="BE225" s="315"/>
      <c r="BF225" s="576">
        <f>SUM(BK44:BK216)</f>
        <v>0</v>
      </c>
      <c r="BG225" s="315"/>
      <c r="BH225" s="316"/>
      <c r="BI225" s="316"/>
      <c r="BJ225" s="315"/>
      <c r="BK225" s="315"/>
      <c r="BL225" s="576">
        <f>SUM(BQ44:BQ216)</f>
        <v>0</v>
      </c>
      <c r="BM225" s="315"/>
      <c r="BN225" s="316"/>
      <c r="BO225" s="316"/>
      <c r="BP225" s="315"/>
      <c r="BQ225" s="315"/>
      <c r="BR225" s="576">
        <f>SUM(BW44:BW216)</f>
        <v>0</v>
      </c>
      <c r="BS225" s="574"/>
      <c r="BT225" s="575"/>
      <c r="BU225" s="575"/>
      <c r="BV225" s="574"/>
      <c r="BW225" s="574"/>
      <c r="BX225" s="576">
        <f>SUM(CC44:CC216)</f>
        <v>0</v>
      </c>
      <c r="BY225" s="315"/>
      <c r="BZ225" s="316"/>
      <c r="CA225" s="316"/>
      <c r="CB225" s="315"/>
      <c r="CC225" s="315"/>
      <c r="CD225" s="576">
        <f>SUM(CI44:CI216)</f>
        <v>0</v>
      </c>
      <c r="CE225" s="315"/>
      <c r="CF225" s="316"/>
      <c r="CG225" s="316"/>
      <c r="CH225" s="315"/>
      <c r="CI225" s="315"/>
      <c r="CJ225" s="576">
        <f>SUM(CO44:CO216)</f>
        <v>0</v>
      </c>
      <c r="CK225" s="315"/>
      <c r="CL225" s="316"/>
      <c r="CM225" s="316"/>
      <c r="CN225" s="315"/>
      <c r="CO225" s="315"/>
      <c r="CP225" s="576">
        <f>SUM(CU44:CU216)</f>
        <v>0</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0</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42917.723467095253</v>
      </c>
      <c r="AU226" s="552"/>
      <c r="AV226" s="553"/>
      <c r="AW226" s="553"/>
      <c r="AX226" s="552"/>
      <c r="AY226" s="552"/>
      <c r="AZ226" s="589">
        <f>AT226+AZ251</f>
        <v>85835.446934190506</v>
      </c>
      <c r="BA226" s="313"/>
      <c r="BB226" s="314"/>
      <c r="BC226" s="314"/>
      <c r="BD226" s="313"/>
      <c r="BE226" s="313"/>
      <c r="BF226" s="589">
        <f>AZ226+BF251</f>
        <v>128753.17040128575</v>
      </c>
      <c r="BG226" s="313"/>
      <c r="BH226" s="314"/>
      <c r="BI226" s="314"/>
      <c r="BJ226" s="313"/>
      <c r="BK226" s="313"/>
      <c r="BL226" s="589">
        <f>BF226+BL251</f>
        <v>171670.89386838101</v>
      </c>
      <c r="BM226" s="313"/>
      <c r="BN226" s="314"/>
      <c r="BO226" s="314"/>
      <c r="BP226" s="313"/>
      <c r="BQ226" s="313"/>
      <c r="BR226" s="589">
        <f>BL226+BR251</f>
        <v>214588.61733547627</v>
      </c>
      <c r="BS226" s="552"/>
      <c r="BT226" s="553"/>
      <c r="BU226" s="553"/>
      <c r="BV226" s="552"/>
      <c r="BW226" s="552"/>
      <c r="BX226" s="589">
        <f>BR226+BX251</f>
        <v>257506.34080257153</v>
      </c>
      <c r="BY226" s="313"/>
      <c r="BZ226" s="314"/>
      <c r="CA226" s="314"/>
      <c r="CB226" s="313"/>
      <c r="CC226" s="313"/>
      <c r="CD226" s="589">
        <f>BX226+CD251</f>
        <v>300424.06426966679</v>
      </c>
      <c r="CE226" s="313"/>
      <c r="CF226" s="314"/>
      <c r="CG226" s="314"/>
      <c r="CH226" s="313"/>
      <c r="CI226" s="313"/>
      <c r="CJ226" s="589">
        <f>CD226+CJ251</f>
        <v>343341.78773676202</v>
      </c>
      <c r="CK226" s="313"/>
      <c r="CL226" s="314"/>
      <c r="CM226" s="314"/>
      <c r="CN226" s="313"/>
      <c r="CO226" s="313"/>
      <c r="CP226" s="589">
        <f>CJ226+CP251</f>
        <v>386259.51120385726</v>
      </c>
      <c r="CQ226" s="554"/>
      <c r="CR226" s="553"/>
      <c r="CS226" s="553"/>
      <c r="CT226" s="554"/>
      <c r="CU226" s="554"/>
      <c r="CV226" s="589">
        <f>CP226+CV251</f>
        <v>386259.51120385726</v>
      </c>
      <c r="CW226" s="554"/>
      <c r="CX226" s="553"/>
      <c r="CY226" s="553"/>
      <c r="CZ226" s="554"/>
      <c r="DA226" s="554"/>
      <c r="DB226" s="589">
        <f>CV226+DB251</f>
        <v>386259.51120385726</v>
      </c>
      <c r="DC226" s="313"/>
      <c r="DD226" s="314"/>
      <c r="DE226" s="314"/>
      <c r="DF226" s="313"/>
      <c r="DG226" s="313"/>
      <c r="DH226" s="589">
        <f>DB226+DH251</f>
        <v>386259.51120385726</v>
      </c>
      <c r="DI226" s="313"/>
      <c r="DJ226" s="314"/>
      <c r="DK226" s="314"/>
      <c r="DL226" s="313"/>
      <c r="DM226" s="313"/>
      <c r="DN226" s="589">
        <f>DH226+DN251</f>
        <v>386259.51120385726</v>
      </c>
      <c r="DO226" s="313"/>
      <c r="DP226" s="314"/>
      <c r="DQ226" s="314"/>
      <c r="DR226" s="313"/>
      <c r="DS226" s="313"/>
      <c r="DT226" s="590">
        <f>DN226+DT251</f>
        <v>386259.51120385726</v>
      </c>
      <c r="DU226" s="313"/>
      <c r="DV226" s="314"/>
      <c r="DW226" s="314"/>
      <c r="DX226" s="313"/>
      <c r="DY226" s="313"/>
      <c r="DZ226" s="589">
        <f>DT226+DZ251</f>
        <v>386259.51120385726</v>
      </c>
      <c r="EA226" s="313"/>
      <c r="EB226" s="314"/>
      <c r="EC226" s="314"/>
      <c r="ED226" s="313"/>
      <c r="EE226" s="313"/>
      <c r="EF226" s="589">
        <f>DZ226+EF251</f>
        <v>386259.51120385726</v>
      </c>
      <c r="EG226" s="313"/>
      <c r="EH226" s="314"/>
      <c r="EI226" s="314"/>
      <c r="EJ226" s="313"/>
      <c r="EK226" s="313"/>
      <c r="EL226" s="589">
        <f>EF226+EL251</f>
        <v>386259.51120385726</v>
      </c>
      <c r="EM226" s="313"/>
      <c r="EN226" s="314"/>
      <c r="EO226" s="314"/>
      <c r="EP226" s="313"/>
      <c r="EQ226" s="313"/>
      <c r="ER226" s="589">
        <f>EL226+ER251</f>
        <v>386259.51120385726</v>
      </c>
      <c r="ES226" s="313"/>
      <c r="ET226" s="314"/>
      <c r="EU226" s="314"/>
      <c r="EV226" s="313"/>
      <c r="EW226" s="313"/>
      <c r="EX226" s="590">
        <f>ER226+EX251</f>
        <v>386259.51120385726</v>
      </c>
      <c r="EY226" s="313"/>
      <c r="EZ226" s="314"/>
      <c r="FA226" s="314"/>
      <c r="FB226" s="313"/>
      <c r="FC226" s="313"/>
      <c r="FD226" s="589">
        <f>EX226+FD251</f>
        <v>386259.51120385726</v>
      </c>
      <c r="FE226" s="313"/>
      <c r="FF226" s="314"/>
      <c r="FG226" s="314"/>
      <c r="FH226" s="313"/>
      <c r="FI226" s="313"/>
      <c r="FJ226" s="589">
        <f>FD226+FJ251</f>
        <v>386259.51120385726</v>
      </c>
      <c r="FK226" s="313"/>
      <c r="FL226" s="314"/>
      <c r="FM226" s="314"/>
      <c r="FN226" s="313"/>
      <c r="FO226" s="313"/>
      <c r="FP226" s="589">
        <f>FJ226+FP251</f>
        <v>386259.51120385726</v>
      </c>
      <c r="FQ226" s="313"/>
      <c r="FR226" s="314"/>
      <c r="FS226" s="314"/>
      <c r="FT226" s="313"/>
      <c r="FU226" s="313"/>
      <c r="FV226" s="589">
        <f>FP226+FV251</f>
        <v>386259.51120385726</v>
      </c>
      <c r="FW226" s="313"/>
      <c r="FX226" s="314"/>
      <c r="FY226" s="314"/>
      <c r="FZ226" s="313"/>
      <c r="GA226" s="313"/>
      <c r="GB226" s="590">
        <f>FV226+GB251</f>
        <v>386259.51120385726</v>
      </c>
      <c r="GC226" s="313"/>
      <c r="GD226" s="314"/>
      <c r="GE226" s="314"/>
      <c r="GF226" s="313"/>
      <c r="GG226" s="313"/>
      <c r="GH226" s="589">
        <f>GB226+GH251</f>
        <v>386259.51120385726</v>
      </c>
      <c r="GI226" s="313"/>
      <c r="GJ226" s="314"/>
      <c r="GK226" s="314"/>
      <c r="GL226" s="313"/>
      <c r="GM226" s="313"/>
      <c r="GN226" s="589">
        <f>GH226+GN251</f>
        <v>386259.51120385726</v>
      </c>
      <c r="GO226" s="313"/>
      <c r="GP226" s="314"/>
      <c r="GQ226" s="314"/>
      <c r="GR226" s="313"/>
      <c r="GS226" s="313"/>
      <c r="GT226" s="589">
        <f>GN226+GT251</f>
        <v>386259.51120385726</v>
      </c>
      <c r="GU226" s="313"/>
      <c r="GV226" s="314"/>
      <c r="GW226" s="314"/>
      <c r="GX226" s="313"/>
      <c r="GY226" s="313"/>
      <c r="GZ226" s="591">
        <f>GT226+GZ251</f>
        <v>386259.51120385726</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-57941.167452380949</v>
      </c>
      <c r="AU228" s="542"/>
      <c r="AV228" s="543"/>
      <c r="AW228" s="543"/>
      <c r="AX228" s="542"/>
      <c r="AY228" s="542"/>
      <c r="AZ228" s="541">
        <f>SUM(BC44:BC216)</f>
        <v>0</v>
      </c>
      <c r="BA228" s="311"/>
      <c r="BB228" s="312"/>
      <c r="BC228" s="312"/>
      <c r="BD228" s="311"/>
      <c r="BE228" s="311"/>
      <c r="BF228" s="541">
        <f>SUM(BI44:BI216)</f>
        <v>0</v>
      </c>
      <c r="BG228" s="311"/>
      <c r="BH228" s="312"/>
      <c r="BI228" s="312"/>
      <c r="BJ228" s="311"/>
      <c r="BK228" s="311"/>
      <c r="BL228" s="541">
        <f>SUM(BO44:BO216)</f>
        <v>0</v>
      </c>
      <c r="BM228" s="311"/>
      <c r="BN228" s="312"/>
      <c r="BO228" s="312"/>
      <c r="BP228" s="311"/>
      <c r="BQ228" s="311"/>
      <c r="BR228" s="541">
        <f>SUM(BU44:BU216)</f>
        <v>0</v>
      </c>
      <c r="BS228" s="542"/>
      <c r="BT228" s="543"/>
      <c r="BU228" s="543"/>
      <c r="BV228" s="542"/>
      <c r="BW228" s="542"/>
      <c r="BX228" s="541">
        <f>SUM(CA44:CA216)</f>
        <v>0</v>
      </c>
      <c r="BY228" s="311"/>
      <c r="BZ228" s="312"/>
      <c r="CA228" s="312"/>
      <c r="CB228" s="311"/>
      <c r="CC228" s="311"/>
      <c r="CD228" s="541">
        <f>SUM(CG44:CG216)</f>
        <v>0</v>
      </c>
      <c r="CE228" s="311"/>
      <c r="CF228" s="312"/>
      <c r="CG228" s="312"/>
      <c r="CH228" s="311"/>
      <c r="CI228" s="311"/>
      <c r="CJ228" s="541">
        <f>SUM(CM44:CM216)</f>
        <v>0</v>
      </c>
      <c r="CK228" s="311"/>
      <c r="CL228" s="312"/>
      <c r="CM228" s="312"/>
      <c r="CN228" s="311"/>
      <c r="CO228" s="311"/>
      <c r="CP228" s="541">
        <f>SUM(CS44:CS216)</f>
        <v>0</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0</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128132</v>
      </c>
      <c r="V229" s="604">
        <f>V$31</f>
        <v>128132</v>
      </c>
      <c r="W229" s="605"/>
      <c r="X229" s="606"/>
      <c r="Y229" s="606"/>
      <c r="Z229" s="605"/>
      <c r="AA229" s="605"/>
      <c r="AB229" s="604">
        <f>AB$31</f>
        <v>128132</v>
      </c>
      <c r="AC229" s="607"/>
      <c r="AD229" s="608"/>
      <c r="AE229" s="608"/>
      <c r="AF229" s="607"/>
      <c r="AG229" s="607"/>
      <c r="AH229" s="604">
        <f>AH$31</f>
        <v>128132</v>
      </c>
      <c r="AI229" s="605"/>
      <c r="AJ229" s="606"/>
      <c r="AK229" s="606"/>
      <c r="AL229" s="605"/>
      <c r="AM229" s="605"/>
      <c r="AN229" s="604">
        <f>AN$31</f>
        <v>128132</v>
      </c>
      <c r="AO229" s="439"/>
      <c r="AP229" s="530"/>
      <c r="AQ229" s="530"/>
      <c r="AR229" s="439"/>
      <c r="AS229" s="439"/>
      <c r="AT229" s="609">
        <f t="shared" ref="AT229:DE229" si="262">IF(AT222=0,0,IF(AT31&gt;0,AT31,AN229-AT228))</f>
        <v>186073.16745238093</v>
      </c>
      <c r="AU229" s="609">
        <f t="shared" si="262"/>
        <v>0</v>
      </c>
      <c r="AV229" s="609">
        <f t="shared" si="262"/>
        <v>0</v>
      </c>
      <c r="AW229" s="609">
        <f t="shared" si="262"/>
        <v>0</v>
      </c>
      <c r="AX229" s="609">
        <f t="shared" si="262"/>
        <v>0</v>
      </c>
      <c r="AY229" s="609">
        <f t="shared" si="262"/>
        <v>0</v>
      </c>
      <c r="AZ229" s="609">
        <f t="shared" si="262"/>
        <v>186073.16745238093</v>
      </c>
      <c r="BA229" s="609">
        <f t="shared" si="262"/>
        <v>0</v>
      </c>
      <c r="BB229" s="609">
        <f t="shared" si="262"/>
        <v>0</v>
      </c>
      <c r="BC229" s="609">
        <f t="shared" si="262"/>
        <v>0</v>
      </c>
      <c r="BD229" s="609">
        <f t="shared" si="262"/>
        <v>0</v>
      </c>
      <c r="BE229" s="609">
        <f t="shared" si="262"/>
        <v>0</v>
      </c>
      <c r="BF229" s="609">
        <f t="shared" si="262"/>
        <v>186073.16745238093</v>
      </c>
      <c r="BG229" s="609">
        <f t="shared" si="262"/>
        <v>0</v>
      </c>
      <c r="BH229" s="609">
        <f t="shared" si="262"/>
        <v>0</v>
      </c>
      <c r="BI229" s="609">
        <f t="shared" si="262"/>
        <v>0</v>
      </c>
      <c r="BJ229" s="609">
        <f t="shared" si="262"/>
        <v>0</v>
      </c>
      <c r="BK229" s="609">
        <f t="shared" si="262"/>
        <v>0</v>
      </c>
      <c r="BL229" s="609">
        <f t="shared" si="262"/>
        <v>186073.16745238093</v>
      </c>
      <c r="BM229" s="609">
        <f t="shared" si="262"/>
        <v>0</v>
      </c>
      <c r="BN229" s="609">
        <f t="shared" si="262"/>
        <v>0</v>
      </c>
      <c r="BO229" s="609">
        <f t="shared" si="262"/>
        <v>0</v>
      </c>
      <c r="BP229" s="609">
        <f t="shared" si="262"/>
        <v>0</v>
      </c>
      <c r="BQ229" s="609">
        <f t="shared" si="262"/>
        <v>0</v>
      </c>
      <c r="BR229" s="609">
        <f t="shared" si="262"/>
        <v>186073.16745238093</v>
      </c>
      <c r="BS229" s="609">
        <f t="shared" si="262"/>
        <v>0</v>
      </c>
      <c r="BT229" s="609">
        <f t="shared" si="262"/>
        <v>0</v>
      </c>
      <c r="BU229" s="609">
        <f t="shared" si="262"/>
        <v>0</v>
      </c>
      <c r="BV229" s="609">
        <f t="shared" si="262"/>
        <v>0</v>
      </c>
      <c r="BW229" s="609">
        <f t="shared" si="262"/>
        <v>0</v>
      </c>
      <c r="BX229" s="609">
        <f t="shared" si="262"/>
        <v>186073.16745238093</v>
      </c>
      <c r="BY229" s="609">
        <f t="shared" si="262"/>
        <v>0</v>
      </c>
      <c r="BZ229" s="609">
        <f t="shared" si="262"/>
        <v>0</v>
      </c>
      <c r="CA229" s="609">
        <f t="shared" si="262"/>
        <v>0</v>
      </c>
      <c r="CB229" s="609">
        <f t="shared" si="262"/>
        <v>0</v>
      </c>
      <c r="CC229" s="609">
        <f t="shared" si="262"/>
        <v>0</v>
      </c>
      <c r="CD229" s="609">
        <f t="shared" si="262"/>
        <v>186073.16745238093</v>
      </c>
      <c r="CE229" s="609">
        <f t="shared" si="262"/>
        <v>0</v>
      </c>
      <c r="CF229" s="609">
        <f t="shared" si="262"/>
        <v>0</v>
      </c>
      <c r="CG229" s="609">
        <f t="shared" si="262"/>
        <v>0</v>
      </c>
      <c r="CH229" s="609">
        <f t="shared" si="262"/>
        <v>0</v>
      </c>
      <c r="CI229" s="609">
        <f t="shared" si="262"/>
        <v>0</v>
      </c>
      <c r="CJ229" s="609">
        <f t="shared" si="262"/>
        <v>186073.16745238093</v>
      </c>
      <c r="CK229" s="609">
        <f t="shared" si="262"/>
        <v>0</v>
      </c>
      <c r="CL229" s="609">
        <f t="shared" si="262"/>
        <v>0</v>
      </c>
      <c r="CM229" s="609">
        <f t="shared" si="262"/>
        <v>0</v>
      </c>
      <c r="CN229" s="609">
        <f t="shared" si="262"/>
        <v>0</v>
      </c>
      <c r="CO229" s="609">
        <f t="shared" si="262"/>
        <v>0</v>
      </c>
      <c r="CP229" s="609">
        <f t="shared" si="262"/>
        <v>186073.16745238093</v>
      </c>
      <c r="CQ229" s="609">
        <f t="shared" si="262"/>
        <v>0</v>
      </c>
      <c r="CR229" s="609">
        <f t="shared" si="262"/>
        <v>0</v>
      </c>
      <c r="CS229" s="609">
        <f t="shared" si="262"/>
        <v>0</v>
      </c>
      <c r="CT229" s="609">
        <f t="shared" si="262"/>
        <v>0</v>
      </c>
      <c r="CU229" s="609">
        <f t="shared" si="262"/>
        <v>0</v>
      </c>
      <c r="CV229" s="609">
        <f t="shared" si="262"/>
        <v>0</v>
      </c>
      <c r="CW229" s="609">
        <f t="shared" si="262"/>
        <v>0</v>
      </c>
      <c r="CX229" s="609">
        <f t="shared" si="262"/>
        <v>0</v>
      </c>
      <c r="CY229" s="609">
        <f t="shared" si="262"/>
        <v>0</v>
      </c>
      <c r="CZ229" s="609">
        <f t="shared" si="262"/>
        <v>0</v>
      </c>
      <c r="DA229" s="609">
        <f t="shared" si="262"/>
        <v>0</v>
      </c>
      <c r="DB229" s="609">
        <f t="shared" si="262"/>
        <v>0</v>
      </c>
      <c r="DC229" s="609">
        <f t="shared" si="262"/>
        <v>0</v>
      </c>
      <c r="DD229" s="609">
        <f t="shared" si="262"/>
        <v>0</v>
      </c>
      <c r="DE229" s="609">
        <f t="shared" si="262"/>
        <v>0</v>
      </c>
      <c r="DF229" s="609">
        <f t="shared" ref="DF229:FQ229" si="263">IF(DF222=0,0,IF(DF31&gt;0,DF31,CZ229-DF228))</f>
        <v>0</v>
      </c>
      <c r="DG229" s="609">
        <f t="shared" si="263"/>
        <v>0</v>
      </c>
      <c r="DH229" s="609">
        <f t="shared" si="263"/>
        <v>0</v>
      </c>
      <c r="DI229" s="609">
        <f t="shared" si="263"/>
        <v>0</v>
      </c>
      <c r="DJ229" s="609">
        <f t="shared" si="263"/>
        <v>0</v>
      </c>
      <c r="DK229" s="609">
        <f t="shared" si="263"/>
        <v>0</v>
      </c>
      <c r="DL229" s="609">
        <f t="shared" si="263"/>
        <v>0</v>
      </c>
      <c r="DM229" s="609">
        <f t="shared" si="263"/>
        <v>0</v>
      </c>
      <c r="DN229" s="609">
        <f t="shared" si="263"/>
        <v>0</v>
      </c>
      <c r="DO229" s="609">
        <f t="shared" si="263"/>
        <v>0</v>
      </c>
      <c r="DP229" s="609">
        <f t="shared" si="263"/>
        <v>0</v>
      </c>
      <c r="DQ229" s="609">
        <f t="shared" si="263"/>
        <v>0</v>
      </c>
      <c r="DR229" s="609">
        <f t="shared" si="263"/>
        <v>0</v>
      </c>
      <c r="DS229" s="609">
        <f t="shared" si="263"/>
        <v>0</v>
      </c>
      <c r="DT229" s="609">
        <f t="shared" si="263"/>
        <v>0</v>
      </c>
      <c r="DU229" s="609">
        <f t="shared" si="263"/>
        <v>0</v>
      </c>
      <c r="DV229" s="609">
        <f t="shared" si="263"/>
        <v>0</v>
      </c>
      <c r="DW229" s="609">
        <f t="shared" si="263"/>
        <v>0</v>
      </c>
      <c r="DX229" s="609">
        <f t="shared" si="263"/>
        <v>0</v>
      </c>
      <c r="DY229" s="609">
        <f t="shared" si="263"/>
        <v>0</v>
      </c>
      <c r="DZ229" s="609">
        <f t="shared" si="263"/>
        <v>0</v>
      </c>
      <c r="EA229" s="609">
        <f t="shared" si="263"/>
        <v>0</v>
      </c>
      <c r="EB229" s="609">
        <f t="shared" si="263"/>
        <v>0</v>
      </c>
      <c r="EC229" s="609">
        <f t="shared" si="263"/>
        <v>0</v>
      </c>
      <c r="ED229" s="609">
        <f t="shared" si="263"/>
        <v>0</v>
      </c>
      <c r="EE229" s="609">
        <f t="shared" si="263"/>
        <v>0</v>
      </c>
      <c r="EF229" s="609">
        <f t="shared" si="263"/>
        <v>0</v>
      </c>
      <c r="EG229" s="609">
        <f t="shared" si="263"/>
        <v>0</v>
      </c>
      <c r="EH229" s="609">
        <f t="shared" si="263"/>
        <v>0</v>
      </c>
      <c r="EI229" s="609">
        <f t="shared" si="263"/>
        <v>0</v>
      </c>
      <c r="EJ229" s="609">
        <f t="shared" si="263"/>
        <v>0</v>
      </c>
      <c r="EK229" s="609">
        <f t="shared" si="263"/>
        <v>0</v>
      </c>
      <c r="EL229" s="609">
        <f t="shared" si="263"/>
        <v>0</v>
      </c>
      <c r="EM229" s="609">
        <f t="shared" si="263"/>
        <v>0</v>
      </c>
      <c r="EN229" s="609">
        <f t="shared" si="263"/>
        <v>0</v>
      </c>
      <c r="EO229" s="609">
        <f t="shared" si="263"/>
        <v>0</v>
      </c>
      <c r="EP229" s="609">
        <f t="shared" si="263"/>
        <v>0</v>
      </c>
      <c r="EQ229" s="609">
        <f t="shared" si="263"/>
        <v>0</v>
      </c>
      <c r="ER229" s="609">
        <f t="shared" si="263"/>
        <v>0</v>
      </c>
      <c r="ES229" s="609">
        <f t="shared" si="263"/>
        <v>0</v>
      </c>
      <c r="ET229" s="609">
        <f t="shared" si="263"/>
        <v>0</v>
      </c>
      <c r="EU229" s="609">
        <f t="shared" si="263"/>
        <v>0</v>
      </c>
      <c r="EV229" s="609">
        <f t="shared" si="263"/>
        <v>0</v>
      </c>
      <c r="EW229" s="609">
        <f t="shared" si="263"/>
        <v>0</v>
      </c>
      <c r="EX229" s="609">
        <f t="shared" si="263"/>
        <v>0</v>
      </c>
      <c r="EY229" s="609">
        <f t="shared" si="263"/>
        <v>0</v>
      </c>
      <c r="EZ229" s="609">
        <f t="shared" si="263"/>
        <v>0</v>
      </c>
      <c r="FA229" s="609">
        <f t="shared" si="263"/>
        <v>0</v>
      </c>
      <c r="FB229" s="609">
        <f t="shared" si="263"/>
        <v>0</v>
      </c>
      <c r="FC229" s="609">
        <f t="shared" si="263"/>
        <v>0</v>
      </c>
      <c r="FD229" s="609">
        <f t="shared" si="263"/>
        <v>0</v>
      </c>
      <c r="FE229" s="609">
        <f t="shared" si="263"/>
        <v>0</v>
      </c>
      <c r="FF229" s="609">
        <f t="shared" si="263"/>
        <v>0</v>
      </c>
      <c r="FG229" s="609">
        <f t="shared" si="263"/>
        <v>0</v>
      </c>
      <c r="FH229" s="609">
        <f t="shared" si="263"/>
        <v>0</v>
      </c>
      <c r="FI229" s="609">
        <f t="shared" si="263"/>
        <v>0</v>
      </c>
      <c r="FJ229" s="609">
        <f t="shared" si="263"/>
        <v>0</v>
      </c>
      <c r="FK229" s="609">
        <f t="shared" si="263"/>
        <v>0</v>
      </c>
      <c r="FL229" s="609">
        <f t="shared" si="263"/>
        <v>0</v>
      </c>
      <c r="FM229" s="609">
        <f t="shared" si="263"/>
        <v>0</v>
      </c>
      <c r="FN229" s="609">
        <f t="shared" si="263"/>
        <v>0</v>
      </c>
      <c r="FO229" s="609">
        <f t="shared" si="263"/>
        <v>0</v>
      </c>
      <c r="FP229" s="609">
        <f t="shared" si="263"/>
        <v>0</v>
      </c>
      <c r="FQ229" s="609">
        <f t="shared" si="263"/>
        <v>0</v>
      </c>
      <c r="FR229" s="609">
        <f t="shared" ref="FR229:GZ229" si="264">IF(FR222=0,0,IF(FR31&gt;0,FR31,FL229-FR228))</f>
        <v>0</v>
      </c>
      <c r="FS229" s="609">
        <f t="shared" si="264"/>
        <v>0</v>
      </c>
      <c r="FT229" s="609">
        <f t="shared" si="264"/>
        <v>0</v>
      </c>
      <c r="FU229" s="609">
        <f t="shared" si="264"/>
        <v>0</v>
      </c>
      <c r="FV229" s="609">
        <f t="shared" si="264"/>
        <v>0</v>
      </c>
      <c r="FW229" s="609">
        <f t="shared" si="264"/>
        <v>0</v>
      </c>
      <c r="FX229" s="609">
        <f t="shared" si="264"/>
        <v>0</v>
      </c>
      <c r="FY229" s="609">
        <f t="shared" si="264"/>
        <v>0</v>
      </c>
      <c r="FZ229" s="609">
        <f t="shared" si="264"/>
        <v>0</v>
      </c>
      <c r="GA229" s="609">
        <f t="shared" si="264"/>
        <v>0</v>
      </c>
      <c r="GB229" s="609">
        <f t="shared" si="264"/>
        <v>0</v>
      </c>
      <c r="GC229" s="609">
        <f t="shared" si="264"/>
        <v>0</v>
      </c>
      <c r="GD229" s="609">
        <f t="shared" si="264"/>
        <v>0</v>
      </c>
      <c r="GE229" s="609">
        <f t="shared" si="264"/>
        <v>0</v>
      </c>
      <c r="GF229" s="609">
        <f t="shared" si="264"/>
        <v>0</v>
      </c>
      <c r="GG229" s="609">
        <f t="shared" si="264"/>
        <v>0</v>
      </c>
      <c r="GH229" s="609">
        <f t="shared" si="264"/>
        <v>0</v>
      </c>
      <c r="GI229" s="609">
        <f t="shared" si="264"/>
        <v>0</v>
      </c>
      <c r="GJ229" s="609">
        <f t="shared" si="264"/>
        <v>0</v>
      </c>
      <c r="GK229" s="609">
        <f t="shared" si="264"/>
        <v>0</v>
      </c>
      <c r="GL229" s="609">
        <f t="shared" si="264"/>
        <v>0</v>
      </c>
      <c r="GM229" s="609">
        <f t="shared" si="264"/>
        <v>0</v>
      </c>
      <c r="GN229" s="609">
        <f t="shared" si="264"/>
        <v>0</v>
      </c>
      <c r="GO229" s="609">
        <f t="shared" si="264"/>
        <v>0</v>
      </c>
      <c r="GP229" s="609">
        <f t="shared" si="264"/>
        <v>0</v>
      </c>
      <c r="GQ229" s="609">
        <f t="shared" si="264"/>
        <v>0</v>
      </c>
      <c r="GR229" s="609">
        <f t="shared" si="264"/>
        <v>0</v>
      </c>
      <c r="GS229" s="609">
        <f t="shared" si="264"/>
        <v>0</v>
      </c>
      <c r="GT229" s="609">
        <f t="shared" si="264"/>
        <v>0</v>
      </c>
      <c r="GU229" s="609">
        <f t="shared" si="264"/>
        <v>0</v>
      </c>
      <c r="GV229" s="609">
        <f t="shared" si="264"/>
        <v>0</v>
      </c>
      <c r="GW229" s="609">
        <f t="shared" si="264"/>
        <v>0</v>
      </c>
      <c r="GX229" s="609">
        <f t="shared" si="264"/>
        <v>0</v>
      </c>
      <c r="GY229" s="609">
        <f t="shared" si="264"/>
        <v>0</v>
      </c>
      <c r="GZ229" s="609">
        <f t="shared" si="264"/>
        <v>0</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46.106569174966893</v>
      </c>
      <c r="V230" s="604">
        <f>(IF(V222=0,0,V229/V222))</f>
        <v>46.106569174966893</v>
      </c>
      <c r="W230" s="611"/>
      <c r="X230" s="612"/>
      <c r="Y230" s="612"/>
      <c r="Z230" s="611"/>
      <c r="AA230" s="611"/>
      <c r="AB230" s="604">
        <f>(IF(AB222=0,0,AB229/AB222))</f>
        <v>46.106569174966893</v>
      </c>
      <c r="AC230" s="611"/>
      <c r="AD230" s="612"/>
      <c r="AE230" s="612"/>
      <c r="AF230" s="611"/>
      <c r="AG230" s="611"/>
      <c r="AH230" s="604">
        <f>(IF(AH222=0,0,AH229/AH222))</f>
        <v>46.106569174966893</v>
      </c>
      <c r="AI230" s="611"/>
      <c r="AJ230" s="612"/>
      <c r="AK230" s="612"/>
      <c r="AL230" s="611"/>
      <c r="AM230" s="611"/>
      <c r="AN230" s="604">
        <f>(IF(AN222=0,0,AN229/AN222))</f>
        <v>46.106569174966893</v>
      </c>
      <c r="AO230" s="439"/>
      <c r="AP230" s="530"/>
      <c r="AQ230" s="530"/>
      <c r="AR230" s="439"/>
      <c r="AS230" s="439"/>
      <c r="AT230" s="609">
        <f>(IF(AT222=0,0,AT229/AT222))</f>
        <v>66.955915514847192</v>
      </c>
      <c r="AU230" s="574"/>
      <c r="AV230" s="575"/>
      <c r="AW230" s="575"/>
      <c r="AX230" s="574"/>
      <c r="AY230" s="574"/>
      <c r="AZ230" s="604">
        <f>(IF(AZ222=0,0,AZ229/AZ222))</f>
        <v>66.955915514847192</v>
      </c>
      <c r="BA230" s="315"/>
      <c r="BB230" s="316"/>
      <c r="BC230" s="316"/>
      <c r="BD230" s="315"/>
      <c r="BE230" s="315"/>
      <c r="BF230" s="604">
        <f>(IF(BF222=0,0,BF229/BF222))</f>
        <v>66.955915514847192</v>
      </c>
      <c r="BG230" s="315"/>
      <c r="BH230" s="316"/>
      <c r="BI230" s="316"/>
      <c r="BJ230" s="315"/>
      <c r="BK230" s="315"/>
      <c r="BL230" s="604">
        <f>(IF(BL222=0,0,BL229/BL222))</f>
        <v>66.955915514847192</v>
      </c>
      <c r="BM230" s="315"/>
      <c r="BN230" s="316"/>
      <c r="BO230" s="316"/>
      <c r="BP230" s="315"/>
      <c r="BQ230" s="315"/>
      <c r="BR230" s="604">
        <f>(IF(BR222=0,0,BR229/BR222))</f>
        <v>66.955915514847192</v>
      </c>
      <c r="BS230" s="574"/>
      <c r="BT230" s="575"/>
      <c r="BU230" s="575"/>
      <c r="BV230" s="574"/>
      <c r="BW230" s="574"/>
      <c r="BX230" s="604">
        <f>(IF(BX222=0,0,BX229/BX222))</f>
        <v>66.955915514847192</v>
      </c>
      <c r="BY230" s="315"/>
      <c r="BZ230" s="316"/>
      <c r="CA230" s="316"/>
      <c r="CB230" s="315"/>
      <c r="CC230" s="315"/>
      <c r="CD230" s="604">
        <f>(IF(CD222=0,0,CD229/CD222))</f>
        <v>66.955915514847192</v>
      </c>
      <c r="CE230" s="315"/>
      <c r="CF230" s="316"/>
      <c r="CG230" s="316"/>
      <c r="CH230" s="315"/>
      <c r="CI230" s="315"/>
      <c r="CJ230" s="604">
        <f>(IF(CJ222=0,0,CJ229/CJ222))</f>
        <v>66.955915514847192</v>
      </c>
      <c r="CK230" s="315"/>
      <c r="CL230" s="316"/>
      <c r="CM230" s="316"/>
      <c r="CN230" s="315"/>
      <c r="CO230" s="315"/>
      <c r="CP230" s="604">
        <f>(IF(CP222=0,0,CP229/CP222))</f>
        <v>66.955915514847192</v>
      </c>
      <c r="CQ230" s="577"/>
      <c r="CR230" s="575"/>
      <c r="CS230" s="575"/>
      <c r="CT230" s="577"/>
      <c r="CU230" s="577"/>
      <c r="CV230" s="604">
        <f>(IF(CV222=0,0,CV229/CV222))</f>
        <v>0</v>
      </c>
      <c r="CW230" s="577"/>
      <c r="CX230" s="575"/>
      <c r="CY230" s="575"/>
      <c r="CZ230" s="577"/>
      <c r="DA230" s="577"/>
      <c r="DB230" s="604">
        <f>(IF(DB222=0,0,DB229/DB222))</f>
        <v>0</v>
      </c>
      <c r="DC230" s="315"/>
      <c r="DD230" s="316"/>
      <c r="DE230" s="316"/>
      <c r="DF230" s="315"/>
      <c r="DG230" s="315"/>
      <c r="DH230" s="604">
        <f>(IF(DH222=0,0,DH229/DH222))</f>
        <v>0</v>
      </c>
      <c r="DI230" s="315"/>
      <c r="DJ230" s="316"/>
      <c r="DK230" s="316"/>
      <c r="DL230" s="315"/>
      <c r="DM230" s="315"/>
      <c r="DN230" s="604">
        <f>(IF(DN222=0,0,DN229/DN222))</f>
        <v>0</v>
      </c>
      <c r="DO230" s="315"/>
      <c r="DP230" s="316"/>
      <c r="DQ230" s="316"/>
      <c r="DR230" s="315"/>
      <c r="DS230" s="315"/>
      <c r="DT230" s="604">
        <f>(IF(DT222=0,0,DT229/DT222))</f>
        <v>0</v>
      </c>
      <c r="DU230" s="315"/>
      <c r="DV230" s="316"/>
      <c r="DW230" s="316"/>
      <c r="DX230" s="315"/>
      <c r="DY230" s="315"/>
      <c r="DZ230" s="604">
        <f>(IF(DZ222=0,0,DZ229/DZ222))</f>
        <v>0</v>
      </c>
      <c r="EA230" s="315"/>
      <c r="EB230" s="316"/>
      <c r="EC230" s="316"/>
      <c r="ED230" s="315"/>
      <c r="EE230" s="315"/>
      <c r="EF230" s="604">
        <f>(IF(EF222=0,0,EF229/EF222))</f>
        <v>0</v>
      </c>
      <c r="EG230" s="315"/>
      <c r="EH230" s="316"/>
      <c r="EI230" s="316"/>
      <c r="EJ230" s="315"/>
      <c r="EK230" s="315"/>
      <c r="EL230" s="604">
        <f>(IF(EL222=0,0,EL229/EL222))</f>
        <v>0</v>
      </c>
      <c r="EM230" s="315"/>
      <c r="EN230" s="316"/>
      <c r="EO230" s="316"/>
      <c r="EP230" s="315"/>
      <c r="EQ230" s="315"/>
      <c r="ER230" s="604">
        <f>(IF(ER222=0,0,ER229/ER222))</f>
        <v>0</v>
      </c>
      <c r="ES230" s="315"/>
      <c r="ET230" s="316"/>
      <c r="EU230" s="316"/>
      <c r="EV230" s="315"/>
      <c r="EW230" s="315"/>
      <c r="EX230" s="604">
        <f>(IF(EX222=0,0,EX229/EX222))</f>
        <v>0</v>
      </c>
      <c r="EY230" s="315"/>
      <c r="EZ230" s="316"/>
      <c r="FA230" s="316"/>
      <c r="FB230" s="315"/>
      <c r="FC230" s="315"/>
      <c r="FD230" s="604">
        <f>(IF(FD222=0,0,FD229/FD222))</f>
        <v>0</v>
      </c>
      <c r="FE230" s="315"/>
      <c r="FF230" s="316"/>
      <c r="FG230" s="316"/>
      <c r="FH230" s="315"/>
      <c r="FI230" s="315"/>
      <c r="FJ230" s="604">
        <f>(IF(FJ222=0,0,FJ229/FJ222))</f>
        <v>0</v>
      </c>
      <c r="FK230" s="315"/>
      <c r="FL230" s="316"/>
      <c r="FM230" s="316"/>
      <c r="FN230" s="315"/>
      <c r="FO230" s="315"/>
      <c r="FP230" s="604">
        <f>(IF(FP222=0,0,FP229/FP222))</f>
        <v>0</v>
      </c>
      <c r="FQ230" s="315"/>
      <c r="FR230" s="316"/>
      <c r="FS230" s="316"/>
      <c r="FT230" s="315"/>
      <c r="FU230" s="315"/>
      <c r="FV230" s="604">
        <f>(IF(FV222=0,0,FV229/FV222))</f>
        <v>0</v>
      </c>
      <c r="FW230" s="315"/>
      <c r="FX230" s="316"/>
      <c r="FY230" s="316"/>
      <c r="FZ230" s="315"/>
      <c r="GA230" s="315"/>
      <c r="GB230" s="604">
        <f>(IF(GB222=0,0,GB229/GB222))</f>
        <v>0</v>
      </c>
      <c r="GC230" s="315"/>
      <c r="GD230" s="316"/>
      <c r="GE230" s="316"/>
      <c r="GF230" s="315"/>
      <c r="GG230" s="315"/>
      <c r="GH230" s="604">
        <f>(IF(GH222=0,0,GH229/GH222))</f>
        <v>0</v>
      </c>
      <c r="GI230" s="315"/>
      <c r="GJ230" s="316"/>
      <c r="GK230" s="316"/>
      <c r="GL230" s="315"/>
      <c r="GM230" s="315"/>
      <c r="GN230" s="604">
        <f>(IF(GN222=0,0,GN229/GN222))</f>
        <v>0</v>
      </c>
      <c r="GO230" s="315"/>
      <c r="GP230" s="316"/>
      <c r="GQ230" s="316"/>
      <c r="GR230" s="315"/>
      <c r="GS230" s="315"/>
      <c r="GT230" s="604">
        <f>(IF(GT222=0,0,GT229/GT222))</f>
        <v>0</v>
      </c>
      <c r="GU230" s="315"/>
      <c r="GV230" s="316"/>
      <c r="GW230" s="316"/>
      <c r="GX230" s="315"/>
      <c r="GY230" s="315"/>
      <c r="GZ230" s="610">
        <f>(IF(GZ222=0,0,GZ229/GZ222))</f>
        <v>0</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41167.700000000004</v>
      </c>
      <c r="AU231" s="315"/>
      <c r="AV231" s="316"/>
      <c r="AW231" s="316"/>
      <c r="AX231" s="315"/>
      <c r="AY231" s="315"/>
      <c r="AZ231" s="604">
        <f>SUM(BB44:BB216)</f>
        <v>0</v>
      </c>
      <c r="BA231" s="315"/>
      <c r="BB231" s="316"/>
      <c r="BC231" s="316"/>
      <c r="BD231" s="315"/>
      <c r="BE231" s="315"/>
      <c r="BF231" s="604">
        <f>SUM(BH44:BH216)</f>
        <v>0</v>
      </c>
      <c r="BG231" s="315"/>
      <c r="BH231" s="316"/>
      <c r="BI231" s="316"/>
      <c r="BJ231" s="315"/>
      <c r="BK231" s="315"/>
      <c r="BL231" s="604">
        <f>SUM(BN44:BN216)</f>
        <v>0</v>
      </c>
      <c r="BM231" s="315"/>
      <c r="BN231" s="316"/>
      <c r="BO231" s="316"/>
      <c r="BP231" s="315"/>
      <c r="BQ231" s="315"/>
      <c r="BR231" s="604">
        <f>SUM(BT44:BT216)</f>
        <v>0</v>
      </c>
      <c r="BS231" s="315"/>
      <c r="BT231" s="316"/>
      <c r="BU231" s="316"/>
      <c r="BV231" s="315"/>
      <c r="BW231" s="315"/>
      <c r="BX231" s="604">
        <f>SUM(BZ44:BZ216)</f>
        <v>0</v>
      </c>
      <c r="BY231" s="315"/>
      <c r="BZ231" s="316"/>
      <c r="CA231" s="316"/>
      <c r="CB231" s="315"/>
      <c r="CC231" s="315"/>
      <c r="CD231" s="604">
        <f>SUM(CF44:CF216)</f>
        <v>0</v>
      </c>
      <c r="CE231" s="315"/>
      <c r="CF231" s="316"/>
      <c r="CG231" s="316"/>
      <c r="CH231" s="315"/>
      <c r="CI231" s="315"/>
      <c r="CJ231" s="604">
        <f>SUM(CL44:CL216)</f>
        <v>0</v>
      </c>
      <c r="CK231" s="315"/>
      <c r="CL231" s="316"/>
      <c r="CM231" s="316"/>
      <c r="CN231" s="315"/>
      <c r="CO231" s="315"/>
      <c r="CP231" s="604">
        <f>SUM(CR44:CR216)</f>
        <v>0</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0</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51140</v>
      </c>
      <c r="V232" s="604">
        <f>V$32</f>
        <v>51140</v>
      </c>
      <c r="W232" s="605"/>
      <c r="X232" s="606"/>
      <c r="Y232" s="606"/>
      <c r="Z232" s="605"/>
      <c r="AA232" s="605"/>
      <c r="AB232" s="604">
        <f>AB$32</f>
        <v>51140</v>
      </c>
      <c r="AC232" s="605"/>
      <c r="AD232" s="606"/>
      <c r="AE232" s="606"/>
      <c r="AF232" s="605"/>
      <c r="AG232" s="605"/>
      <c r="AH232" s="604">
        <f>AH$32</f>
        <v>51140</v>
      </c>
      <c r="AI232" s="605"/>
      <c r="AJ232" s="606"/>
      <c r="AK232" s="606"/>
      <c r="AL232" s="605"/>
      <c r="AM232" s="605"/>
      <c r="AN232" s="604">
        <f>AN$32</f>
        <v>51140</v>
      </c>
      <c r="AO232" s="439"/>
      <c r="AP232" s="530"/>
      <c r="AQ232" s="530"/>
      <c r="AR232" s="439"/>
      <c r="AS232" s="439"/>
      <c r="AT232" s="609">
        <f t="shared" ref="AT232:DE232" si="265">IF(AT222=0,0,IF(AT32&gt;0,AT32,AN232-AT231))</f>
        <v>9972.2999999999956</v>
      </c>
      <c r="AU232" s="609">
        <f t="shared" si="265"/>
        <v>0</v>
      </c>
      <c r="AV232" s="609">
        <f t="shared" si="265"/>
        <v>0</v>
      </c>
      <c r="AW232" s="609">
        <f t="shared" si="265"/>
        <v>0</v>
      </c>
      <c r="AX232" s="609">
        <f t="shared" si="265"/>
        <v>0</v>
      </c>
      <c r="AY232" s="609">
        <f t="shared" si="265"/>
        <v>0</v>
      </c>
      <c r="AZ232" s="609">
        <f t="shared" si="265"/>
        <v>9972.2999999999956</v>
      </c>
      <c r="BA232" s="609">
        <f t="shared" si="265"/>
        <v>0</v>
      </c>
      <c r="BB232" s="609">
        <f t="shared" si="265"/>
        <v>0</v>
      </c>
      <c r="BC232" s="609">
        <f t="shared" si="265"/>
        <v>0</v>
      </c>
      <c r="BD232" s="609">
        <f t="shared" si="265"/>
        <v>0</v>
      </c>
      <c r="BE232" s="609">
        <f t="shared" si="265"/>
        <v>0</v>
      </c>
      <c r="BF232" s="609">
        <f t="shared" si="265"/>
        <v>9972.2999999999956</v>
      </c>
      <c r="BG232" s="609">
        <f t="shared" si="265"/>
        <v>0</v>
      </c>
      <c r="BH232" s="609">
        <f t="shared" si="265"/>
        <v>0</v>
      </c>
      <c r="BI232" s="609">
        <f t="shared" si="265"/>
        <v>0</v>
      </c>
      <c r="BJ232" s="609">
        <f t="shared" si="265"/>
        <v>0</v>
      </c>
      <c r="BK232" s="609">
        <f t="shared" si="265"/>
        <v>0</v>
      </c>
      <c r="BL232" s="609">
        <f t="shared" si="265"/>
        <v>9972.2999999999956</v>
      </c>
      <c r="BM232" s="609">
        <f t="shared" si="265"/>
        <v>0</v>
      </c>
      <c r="BN232" s="609">
        <f t="shared" si="265"/>
        <v>0</v>
      </c>
      <c r="BO232" s="609">
        <f t="shared" si="265"/>
        <v>0</v>
      </c>
      <c r="BP232" s="609">
        <f t="shared" si="265"/>
        <v>0</v>
      </c>
      <c r="BQ232" s="609">
        <f t="shared" si="265"/>
        <v>0</v>
      </c>
      <c r="BR232" s="609">
        <f t="shared" si="265"/>
        <v>9972.2999999999956</v>
      </c>
      <c r="BS232" s="609">
        <f t="shared" si="265"/>
        <v>0</v>
      </c>
      <c r="BT232" s="609">
        <f t="shared" si="265"/>
        <v>0</v>
      </c>
      <c r="BU232" s="609">
        <f t="shared" si="265"/>
        <v>0</v>
      </c>
      <c r="BV232" s="609">
        <f t="shared" si="265"/>
        <v>0</v>
      </c>
      <c r="BW232" s="609">
        <f t="shared" si="265"/>
        <v>0</v>
      </c>
      <c r="BX232" s="609">
        <f t="shared" si="265"/>
        <v>9972.2999999999956</v>
      </c>
      <c r="BY232" s="609">
        <f t="shared" si="265"/>
        <v>0</v>
      </c>
      <c r="BZ232" s="609">
        <f t="shared" si="265"/>
        <v>0</v>
      </c>
      <c r="CA232" s="609">
        <f t="shared" si="265"/>
        <v>0</v>
      </c>
      <c r="CB232" s="609">
        <f t="shared" si="265"/>
        <v>0</v>
      </c>
      <c r="CC232" s="609">
        <f t="shared" si="265"/>
        <v>0</v>
      </c>
      <c r="CD232" s="609">
        <f t="shared" si="265"/>
        <v>9972.2999999999956</v>
      </c>
      <c r="CE232" s="609">
        <f t="shared" si="265"/>
        <v>0</v>
      </c>
      <c r="CF232" s="609">
        <f t="shared" si="265"/>
        <v>0</v>
      </c>
      <c r="CG232" s="609">
        <f t="shared" si="265"/>
        <v>0</v>
      </c>
      <c r="CH232" s="609">
        <f t="shared" si="265"/>
        <v>0</v>
      </c>
      <c r="CI232" s="609">
        <f t="shared" si="265"/>
        <v>0</v>
      </c>
      <c r="CJ232" s="609">
        <f t="shared" si="265"/>
        <v>9972.2999999999956</v>
      </c>
      <c r="CK232" s="609">
        <f t="shared" si="265"/>
        <v>0</v>
      </c>
      <c r="CL232" s="609">
        <f t="shared" si="265"/>
        <v>0</v>
      </c>
      <c r="CM232" s="609">
        <f t="shared" si="265"/>
        <v>0</v>
      </c>
      <c r="CN232" s="609">
        <f t="shared" si="265"/>
        <v>0</v>
      </c>
      <c r="CO232" s="609">
        <f t="shared" si="265"/>
        <v>0</v>
      </c>
      <c r="CP232" s="609">
        <f t="shared" si="265"/>
        <v>9972.2999999999956</v>
      </c>
      <c r="CQ232" s="609">
        <f t="shared" si="265"/>
        <v>0</v>
      </c>
      <c r="CR232" s="609">
        <f t="shared" si="265"/>
        <v>0</v>
      </c>
      <c r="CS232" s="609">
        <f t="shared" si="265"/>
        <v>0</v>
      </c>
      <c r="CT232" s="609">
        <f t="shared" si="265"/>
        <v>0</v>
      </c>
      <c r="CU232" s="609">
        <f t="shared" si="265"/>
        <v>0</v>
      </c>
      <c r="CV232" s="609">
        <f t="shared" si="265"/>
        <v>0</v>
      </c>
      <c r="CW232" s="609">
        <f t="shared" si="265"/>
        <v>0</v>
      </c>
      <c r="CX232" s="609">
        <f t="shared" si="265"/>
        <v>0</v>
      </c>
      <c r="CY232" s="609">
        <f t="shared" si="265"/>
        <v>0</v>
      </c>
      <c r="CZ232" s="609">
        <f t="shared" si="265"/>
        <v>0</v>
      </c>
      <c r="DA232" s="609">
        <f t="shared" si="265"/>
        <v>0</v>
      </c>
      <c r="DB232" s="609">
        <f t="shared" si="265"/>
        <v>0</v>
      </c>
      <c r="DC232" s="609">
        <f t="shared" si="265"/>
        <v>0</v>
      </c>
      <c r="DD232" s="609">
        <f t="shared" si="265"/>
        <v>0</v>
      </c>
      <c r="DE232" s="609">
        <f t="shared" si="265"/>
        <v>0</v>
      </c>
      <c r="DF232" s="609">
        <f t="shared" ref="DF232:FQ232" si="266">IF(DF222=0,0,IF(DF32&gt;0,DF32,CZ232-DF231))</f>
        <v>0</v>
      </c>
      <c r="DG232" s="609">
        <f t="shared" si="266"/>
        <v>0</v>
      </c>
      <c r="DH232" s="609">
        <f t="shared" si="266"/>
        <v>0</v>
      </c>
      <c r="DI232" s="609">
        <f t="shared" si="266"/>
        <v>0</v>
      </c>
      <c r="DJ232" s="609">
        <f t="shared" si="266"/>
        <v>0</v>
      </c>
      <c r="DK232" s="609">
        <f t="shared" si="266"/>
        <v>0</v>
      </c>
      <c r="DL232" s="609">
        <f t="shared" si="266"/>
        <v>0</v>
      </c>
      <c r="DM232" s="609">
        <f t="shared" si="266"/>
        <v>0</v>
      </c>
      <c r="DN232" s="609">
        <f t="shared" si="266"/>
        <v>0</v>
      </c>
      <c r="DO232" s="609">
        <f t="shared" si="266"/>
        <v>0</v>
      </c>
      <c r="DP232" s="609">
        <f t="shared" si="266"/>
        <v>0</v>
      </c>
      <c r="DQ232" s="609">
        <f t="shared" si="266"/>
        <v>0</v>
      </c>
      <c r="DR232" s="609">
        <f t="shared" si="266"/>
        <v>0</v>
      </c>
      <c r="DS232" s="609">
        <f t="shared" si="266"/>
        <v>0</v>
      </c>
      <c r="DT232" s="609">
        <f t="shared" si="266"/>
        <v>0</v>
      </c>
      <c r="DU232" s="609">
        <f t="shared" si="266"/>
        <v>0</v>
      </c>
      <c r="DV232" s="609">
        <f t="shared" si="266"/>
        <v>0</v>
      </c>
      <c r="DW232" s="609">
        <f t="shared" si="266"/>
        <v>0</v>
      </c>
      <c r="DX232" s="609">
        <f t="shared" si="266"/>
        <v>0</v>
      </c>
      <c r="DY232" s="609">
        <f t="shared" si="266"/>
        <v>0</v>
      </c>
      <c r="DZ232" s="609">
        <f t="shared" si="266"/>
        <v>0</v>
      </c>
      <c r="EA232" s="609">
        <f t="shared" si="266"/>
        <v>0</v>
      </c>
      <c r="EB232" s="609">
        <f t="shared" si="266"/>
        <v>0</v>
      </c>
      <c r="EC232" s="609">
        <f t="shared" si="266"/>
        <v>0</v>
      </c>
      <c r="ED232" s="609">
        <f t="shared" si="266"/>
        <v>0</v>
      </c>
      <c r="EE232" s="609">
        <f t="shared" si="266"/>
        <v>0</v>
      </c>
      <c r="EF232" s="609">
        <f t="shared" si="266"/>
        <v>0</v>
      </c>
      <c r="EG232" s="609">
        <f t="shared" si="266"/>
        <v>0</v>
      </c>
      <c r="EH232" s="609">
        <f t="shared" si="266"/>
        <v>0</v>
      </c>
      <c r="EI232" s="609">
        <f t="shared" si="266"/>
        <v>0</v>
      </c>
      <c r="EJ232" s="609">
        <f t="shared" si="266"/>
        <v>0</v>
      </c>
      <c r="EK232" s="609">
        <f t="shared" si="266"/>
        <v>0</v>
      </c>
      <c r="EL232" s="609">
        <f t="shared" si="266"/>
        <v>0</v>
      </c>
      <c r="EM232" s="609">
        <f t="shared" si="266"/>
        <v>0</v>
      </c>
      <c r="EN232" s="609">
        <f t="shared" si="266"/>
        <v>0</v>
      </c>
      <c r="EO232" s="609">
        <f t="shared" si="266"/>
        <v>0</v>
      </c>
      <c r="EP232" s="609">
        <f t="shared" si="266"/>
        <v>0</v>
      </c>
      <c r="EQ232" s="609">
        <f t="shared" si="266"/>
        <v>0</v>
      </c>
      <c r="ER232" s="609">
        <f t="shared" si="266"/>
        <v>0</v>
      </c>
      <c r="ES232" s="609">
        <f t="shared" si="266"/>
        <v>0</v>
      </c>
      <c r="ET232" s="609">
        <f t="shared" si="266"/>
        <v>0</v>
      </c>
      <c r="EU232" s="609">
        <f t="shared" si="266"/>
        <v>0</v>
      </c>
      <c r="EV232" s="609">
        <f t="shared" si="266"/>
        <v>0</v>
      </c>
      <c r="EW232" s="609">
        <f t="shared" si="266"/>
        <v>0</v>
      </c>
      <c r="EX232" s="609">
        <f t="shared" si="266"/>
        <v>0</v>
      </c>
      <c r="EY232" s="609">
        <f t="shared" si="266"/>
        <v>0</v>
      </c>
      <c r="EZ232" s="609">
        <f t="shared" si="266"/>
        <v>0</v>
      </c>
      <c r="FA232" s="609">
        <f t="shared" si="266"/>
        <v>0</v>
      </c>
      <c r="FB232" s="609">
        <f t="shared" si="266"/>
        <v>0</v>
      </c>
      <c r="FC232" s="609">
        <f t="shared" si="266"/>
        <v>0</v>
      </c>
      <c r="FD232" s="609">
        <f t="shared" si="266"/>
        <v>0</v>
      </c>
      <c r="FE232" s="609">
        <f t="shared" si="266"/>
        <v>0</v>
      </c>
      <c r="FF232" s="609">
        <f t="shared" si="266"/>
        <v>0</v>
      </c>
      <c r="FG232" s="609">
        <f t="shared" si="266"/>
        <v>0</v>
      </c>
      <c r="FH232" s="609">
        <f t="shared" si="266"/>
        <v>0</v>
      </c>
      <c r="FI232" s="609">
        <f t="shared" si="266"/>
        <v>0</v>
      </c>
      <c r="FJ232" s="609">
        <f t="shared" si="266"/>
        <v>0</v>
      </c>
      <c r="FK232" s="609">
        <f t="shared" si="266"/>
        <v>0</v>
      </c>
      <c r="FL232" s="609">
        <f t="shared" si="266"/>
        <v>0</v>
      </c>
      <c r="FM232" s="609">
        <f t="shared" si="266"/>
        <v>0</v>
      </c>
      <c r="FN232" s="609">
        <f t="shared" si="266"/>
        <v>0</v>
      </c>
      <c r="FO232" s="609">
        <f t="shared" si="266"/>
        <v>0</v>
      </c>
      <c r="FP232" s="609">
        <f t="shared" si="266"/>
        <v>0</v>
      </c>
      <c r="FQ232" s="609">
        <f t="shared" si="266"/>
        <v>0</v>
      </c>
      <c r="FR232" s="609">
        <f t="shared" ref="FR232:GZ232" si="267">IF(FR222=0,0,IF(FR32&gt;0,FR32,FL232-FR231))</f>
        <v>0</v>
      </c>
      <c r="FS232" s="609">
        <f t="shared" si="267"/>
        <v>0</v>
      </c>
      <c r="FT232" s="609">
        <f t="shared" si="267"/>
        <v>0</v>
      </c>
      <c r="FU232" s="609">
        <f t="shared" si="267"/>
        <v>0</v>
      </c>
      <c r="FV232" s="609">
        <f t="shared" si="267"/>
        <v>0</v>
      </c>
      <c r="FW232" s="609">
        <f t="shared" si="267"/>
        <v>0</v>
      </c>
      <c r="FX232" s="609">
        <f t="shared" si="267"/>
        <v>0</v>
      </c>
      <c r="FY232" s="609">
        <f t="shared" si="267"/>
        <v>0</v>
      </c>
      <c r="FZ232" s="609">
        <f t="shared" si="267"/>
        <v>0</v>
      </c>
      <c r="GA232" s="609">
        <f t="shared" si="267"/>
        <v>0</v>
      </c>
      <c r="GB232" s="609">
        <f t="shared" si="267"/>
        <v>0</v>
      </c>
      <c r="GC232" s="609">
        <f t="shared" si="267"/>
        <v>0</v>
      </c>
      <c r="GD232" s="609">
        <f t="shared" si="267"/>
        <v>0</v>
      </c>
      <c r="GE232" s="609">
        <f t="shared" si="267"/>
        <v>0</v>
      </c>
      <c r="GF232" s="609">
        <f t="shared" si="267"/>
        <v>0</v>
      </c>
      <c r="GG232" s="609">
        <f t="shared" si="267"/>
        <v>0</v>
      </c>
      <c r="GH232" s="609">
        <f t="shared" si="267"/>
        <v>0</v>
      </c>
      <c r="GI232" s="609">
        <f t="shared" si="267"/>
        <v>0</v>
      </c>
      <c r="GJ232" s="609">
        <f t="shared" si="267"/>
        <v>0</v>
      </c>
      <c r="GK232" s="609">
        <f t="shared" si="267"/>
        <v>0</v>
      </c>
      <c r="GL232" s="609">
        <f t="shared" si="267"/>
        <v>0</v>
      </c>
      <c r="GM232" s="609">
        <f t="shared" si="267"/>
        <v>0</v>
      </c>
      <c r="GN232" s="609">
        <f t="shared" si="267"/>
        <v>0</v>
      </c>
      <c r="GO232" s="609">
        <f t="shared" si="267"/>
        <v>0</v>
      </c>
      <c r="GP232" s="609">
        <f t="shared" si="267"/>
        <v>0</v>
      </c>
      <c r="GQ232" s="609">
        <f t="shared" si="267"/>
        <v>0</v>
      </c>
      <c r="GR232" s="609">
        <f t="shared" si="267"/>
        <v>0</v>
      </c>
      <c r="GS232" s="609">
        <f t="shared" si="267"/>
        <v>0</v>
      </c>
      <c r="GT232" s="609">
        <f t="shared" si="267"/>
        <v>0</v>
      </c>
      <c r="GU232" s="609">
        <f t="shared" si="267"/>
        <v>0</v>
      </c>
      <c r="GV232" s="609">
        <f t="shared" si="267"/>
        <v>0</v>
      </c>
      <c r="GW232" s="609">
        <f t="shared" si="267"/>
        <v>0</v>
      </c>
      <c r="GX232" s="609">
        <f t="shared" si="267"/>
        <v>0</v>
      </c>
      <c r="GY232" s="609">
        <f t="shared" si="267"/>
        <v>0</v>
      </c>
      <c r="GZ232" s="609">
        <f t="shared" si="267"/>
        <v>0</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18.402038113881051</v>
      </c>
      <c r="V233" s="623">
        <f>(IF(V222=0,0,V232/V222))</f>
        <v>18.402038113881051</v>
      </c>
      <c r="W233" s="624"/>
      <c r="X233" s="624"/>
      <c r="Y233" s="624"/>
      <c r="Z233" s="624"/>
      <c r="AA233" s="624"/>
      <c r="AB233" s="623">
        <f>(IF(AB222=0,0,AB232/AB222))</f>
        <v>18.402038113881051</v>
      </c>
      <c r="AC233" s="625"/>
      <c r="AD233" s="625"/>
      <c r="AE233" s="625"/>
      <c r="AF233" s="625"/>
      <c r="AG233" s="625"/>
      <c r="AH233" s="623">
        <f>(IF(AH222=0,0,AH232/AH222))</f>
        <v>18.402038113881051</v>
      </c>
      <c r="AI233" s="624"/>
      <c r="AJ233" s="624"/>
      <c r="AK233" s="624"/>
      <c r="AL233" s="624"/>
      <c r="AM233" s="624"/>
      <c r="AN233" s="623">
        <f>(IF(AN222=0,0,AN232/AN222))</f>
        <v>18.402038113881051</v>
      </c>
      <c r="AO233" s="626"/>
      <c r="AP233" s="626"/>
      <c r="AQ233" s="626"/>
      <c r="AR233" s="626"/>
      <c r="AS233" s="626"/>
      <c r="AT233" s="627">
        <f>(IF(AT222=0,0,AT232/AT222))</f>
        <v>3.5883974322068037</v>
      </c>
      <c r="AU233" s="317"/>
      <c r="AV233" s="317"/>
      <c r="AW233" s="317"/>
      <c r="AX233" s="317"/>
      <c r="AY233" s="317"/>
      <c r="AZ233" s="623">
        <f>(IF(AZ222=0,0,AZ232/AZ222))</f>
        <v>3.5883974322068037</v>
      </c>
      <c r="BA233" s="317"/>
      <c r="BB233" s="317"/>
      <c r="BC233" s="317"/>
      <c r="BD233" s="317"/>
      <c r="BE233" s="317"/>
      <c r="BF233" s="623">
        <f>(IF(BF222=0,0,BF232/BF222))</f>
        <v>3.5883974322068037</v>
      </c>
      <c r="BG233" s="317"/>
      <c r="BH233" s="317"/>
      <c r="BI233" s="317"/>
      <c r="BJ233" s="317"/>
      <c r="BK233" s="317"/>
      <c r="BL233" s="623">
        <f>(IF(BL222=0,0,BL232/BL222))</f>
        <v>3.5883974322068037</v>
      </c>
      <c r="BM233" s="317"/>
      <c r="BN233" s="317"/>
      <c r="BO233" s="317"/>
      <c r="BP233" s="317"/>
      <c r="BQ233" s="317"/>
      <c r="BR233" s="623">
        <f>(IF(BR222=0,0,BR232/BR222))</f>
        <v>3.5883974322068037</v>
      </c>
      <c r="BS233" s="317"/>
      <c r="BT233" s="317"/>
      <c r="BU233" s="317"/>
      <c r="BV233" s="317"/>
      <c r="BW233" s="317"/>
      <c r="BX233" s="623">
        <f>(IF(BX222=0,0,BX232/BX222))</f>
        <v>3.5883974322068037</v>
      </c>
      <c r="BY233" s="317"/>
      <c r="BZ233" s="317"/>
      <c r="CA233" s="317"/>
      <c r="CB233" s="317"/>
      <c r="CC233" s="317"/>
      <c r="CD233" s="623">
        <f>(IF(CD222=0,0,CD232/CD222))</f>
        <v>3.5883974322068037</v>
      </c>
      <c r="CE233" s="317"/>
      <c r="CF233" s="317"/>
      <c r="CG233" s="317"/>
      <c r="CH233" s="317"/>
      <c r="CI233" s="317"/>
      <c r="CJ233" s="623">
        <f>(IF(CJ222=0,0,CJ232/CJ222))</f>
        <v>3.5883974322068037</v>
      </c>
      <c r="CK233" s="317"/>
      <c r="CL233" s="317"/>
      <c r="CM233" s="317"/>
      <c r="CN233" s="317"/>
      <c r="CO233" s="317"/>
      <c r="CP233" s="623">
        <f>(IF(CP222=0,0,CP232/CP222))</f>
        <v>3.5883974322068037</v>
      </c>
      <c r="CQ233" s="317"/>
      <c r="CR233" s="317"/>
      <c r="CS233" s="317"/>
      <c r="CT233" s="317"/>
      <c r="CU233" s="317"/>
      <c r="CV233" s="623">
        <f>(IF(CV222=0,0,CV232/CV222))</f>
        <v>0</v>
      </c>
      <c r="CW233" s="628"/>
      <c r="CX233" s="629"/>
      <c r="CY233" s="629"/>
      <c r="CZ233" s="628"/>
      <c r="DA233" s="628"/>
      <c r="DB233" s="623">
        <f>(IF(DB222=0,0,DB232/DB222))</f>
        <v>0</v>
      </c>
      <c r="DC233" s="317"/>
      <c r="DD233" s="317"/>
      <c r="DE233" s="317"/>
      <c r="DF233" s="317"/>
      <c r="DG233" s="317"/>
      <c r="DH233" s="623">
        <f>(IF(DH222=0,0,DH232/DH222))</f>
        <v>0</v>
      </c>
      <c r="DI233" s="317"/>
      <c r="DJ233" s="317"/>
      <c r="DK233" s="317"/>
      <c r="DL233" s="317"/>
      <c r="DM233" s="317"/>
      <c r="DN233" s="623">
        <f>(IF(DN222=0,0,DN232/DN222))</f>
        <v>0</v>
      </c>
      <c r="DO233" s="317"/>
      <c r="DP233" s="317"/>
      <c r="DQ233" s="317"/>
      <c r="DR233" s="317"/>
      <c r="DS233" s="317"/>
      <c r="DT233" s="623">
        <f>(IF(DT222=0,0,DT232/DT222))</f>
        <v>0</v>
      </c>
      <c r="DU233" s="317"/>
      <c r="DV233" s="317"/>
      <c r="DW233" s="317"/>
      <c r="DX233" s="317"/>
      <c r="DY233" s="317"/>
      <c r="DZ233" s="623">
        <f>(IF(DZ222=0,0,DZ232/DZ222))</f>
        <v>0</v>
      </c>
      <c r="EA233" s="317"/>
      <c r="EB233" s="317"/>
      <c r="EC233" s="317"/>
      <c r="ED233" s="317"/>
      <c r="EE233" s="317"/>
      <c r="EF233" s="623">
        <f>(IF(EF222=0,0,EF232/EF222))</f>
        <v>0</v>
      </c>
      <c r="EG233" s="317"/>
      <c r="EH233" s="317"/>
      <c r="EI233" s="317"/>
      <c r="EJ233" s="317"/>
      <c r="EK233" s="317"/>
      <c r="EL233" s="623">
        <f>(IF(EL222=0,0,EL232/EL222))</f>
        <v>0</v>
      </c>
      <c r="EM233" s="317"/>
      <c r="EN233" s="317"/>
      <c r="EO233" s="317"/>
      <c r="EP233" s="317"/>
      <c r="EQ233" s="317"/>
      <c r="ER233" s="623">
        <f>(IF(ER222=0,0,ER232/ER222))</f>
        <v>0</v>
      </c>
      <c r="ES233" s="317"/>
      <c r="ET233" s="317"/>
      <c r="EU233" s="317"/>
      <c r="EV233" s="317"/>
      <c r="EW233" s="317"/>
      <c r="EX233" s="623">
        <f>(IF(EX222=0,0,EX232/EX222))</f>
        <v>0</v>
      </c>
      <c r="EY233" s="317"/>
      <c r="EZ233" s="317"/>
      <c r="FA233" s="317"/>
      <c r="FB233" s="317"/>
      <c r="FC233" s="317"/>
      <c r="FD233" s="623">
        <f>(IF(FD222=0,0,FD232/FD222))</f>
        <v>0</v>
      </c>
      <c r="FE233" s="317"/>
      <c r="FF233" s="317"/>
      <c r="FG233" s="317"/>
      <c r="FH233" s="317"/>
      <c r="FI233" s="317"/>
      <c r="FJ233" s="623">
        <f>(IF(FJ222=0,0,FJ232/FJ222))</f>
        <v>0</v>
      </c>
      <c r="FK233" s="317"/>
      <c r="FL233" s="317"/>
      <c r="FM233" s="317"/>
      <c r="FN233" s="317"/>
      <c r="FO233" s="317"/>
      <c r="FP233" s="623">
        <f>(IF(FP222=0,0,FP232/FP222))</f>
        <v>0</v>
      </c>
      <c r="FQ233" s="317"/>
      <c r="FR233" s="317"/>
      <c r="FS233" s="317"/>
      <c r="FT233" s="317"/>
      <c r="FU233" s="317"/>
      <c r="FV233" s="623">
        <f>(IF(FV222=0,0,FV232/FV222))</f>
        <v>0</v>
      </c>
      <c r="FW233" s="317"/>
      <c r="FX233" s="317"/>
      <c r="FY233" s="317"/>
      <c r="FZ233" s="317"/>
      <c r="GA233" s="317"/>
      <c r="GB233" s="623">
        <f>(IF(GB222=0,0,GB232/GB222))</f>
        <v>0</v>
      </c>
      <c r="GC233" s="317"/>
      <c r="GD233" s="317"/>
      <c r="GE233" s="317"/>
      <c r="GF233" s="317"/>
      <c r="GG233" s="317"/>
      <c r="GH233" s="623">
        <f>(IF(GH222=0,0,GH232/GH222))</f>
        <v>0</v>
      </c>
      <c r="GI233" s="317"/>
      <c r="GJ233" s="317"/>
      <c r="GK233" s="317"/>
      <c r="GL233" s="317"/>
      <c r="GM233" s="317"/>
      <c r="GN233" s="623">
        <f>(IF(GN222=0,0,GN232/GN222))</f>
        <v>0</v>
      </c>
      <c r="GO233" s="317"/>
      <c r="GP233" s="317"/>
      <c r="GQ233" s="317"/>
      <c r="GR233" s="317"/>
      <c r="GS233" s="317"/>
      <c r="GT233" s="623">
        <f>(IF(GT222=0,0,GT232/GT222))</f>
        <v>0</v>
      </c>
      <c r="GU233" s="317"/>
      <c r="GV233" s="317"/>
      <c r="GW233" s="317"/>
      <c r="GX233" s="317"/>
      <c r="GY233" s="317"/>
      <c r="GZ233" s="630">
        <f>(IF(GZ222=0,0,GZ232/GZ222))</f>
        <v>0</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0</v>
      </c>
      <c r="AU234" s="604">
        <f t="shared" si="268"/>
        <v>42917.723467095231</v>
      </c>
      <c r="AV234" s="604">
        <f t="shared" si="268"/>
        <v>0</v>
      </c>
      <c r="AW234" s="604">
        <f t="shared" si="268"/>
        <v>0</v>
      </c>
      <c r="AX234" s="604">
        <f t="shared" si="268"/>
        <v>0</v>
      </c>
      <c r="AY234" s="604">
        <f t="shared" si="268"/>
        <v>0</v>
      </c>
      <c r="AZ234" s="604">
        <f t="shared" si="268"/>
        <v>0</v>
      </c>
      <c r="BA234" s="604">
        <f t="shared" si="268"/>
        <v>0</v>
      </c>
      <c r="BB234" s="604">
        <f t="shared" si="268"/>
        <v>0</v>
      </c>
      <c r="BC234" s="604">
        <f t="shared" si="268"/>
        <v>0</v>
      </c>
      <c r="BD234" s="604">
        <f t="shared" si="268"/>
        <v>0</v>
      </c>
      <c r="BE234" s="604">
        <f t="shared" si="268"/>
        <v>0</v>
      </c>
      <c r="BF234" s="604">
        <f t="shared" si="268"/>
        <v>0</v>
      </c>
      <c r="BG234" s="604">
        <f t="shared" si="268"/>
        <v>0</v>
      </c>
      <c r="BH234" s="604">
        <f t="shared" si="268"/>
        <v>0</v>
      </c>
      <c r="BI234" s="604">
        <f t="shared" si="268"/>
        <v>0</v>
      </c>
      <c r="BJ234" s="604">
        <f t="shared" si="268"/>
        <v>0</v>
      </c>
      <c r="BK234" s="604">
        <f t="shared" si="268"/>
        <v>0</v>
      </c>
      <c r="BL234" s="604">
        <f t="shared" si="268"/>
        <v>0</v>
      </c>
      <c r="BM234" s="604">
        <f t="shared" si="268"/>
        <v>0</v>
      </c>
      <c r="BN234" s="604">
        <f t="shared" si="268"/>
        <v>0</v>
      </c>
      <c r="BO234" s="604">
        <f t="shared" si="268"/>
        <v>0</v>
      </c>
      <c r="BP234" s="604">
        <f t="shared" si="268"/>
        <v>0</v>
      </c>
      <c r="BQ234" s="604">
        <f t="shared" si="268"/>
        <v>0</v>
      </c>
      <c r="BR234" s="604">
        <f t="shared" si="268"/>
        <v>0</v>
      </c>
      <c r="BS234" s="604">
        <f t="shared" si="268"/>
        <v>0</v>
      </c>
      <c r="BT234" s="604">
        <f t="shared" si="268"/>
        <v>0</v>
      </c>
      <c r="BU234" s="604">
        <f t="shared" si="268"/>
        <v>0</v>
      </c>
      <c r="BV234" s="604">
        <f t="shared" si="268"/>
        <v>0</v>
      </c>
      <c r="BW234" s="604">
        <f t="shared" si="268"/>
        <v>0</v>
      </c>
      <c r="BX234" s="604">
        <f t="shared" si="268"/>
        <v>0</v>
      </c>
      <c r="BY234" s="604">
        <f t="shared" si="268"/>
        <v>0</v>
      </c>
      <c r="BZ234" s="604">
        <f t="shared" si="268"/>
        <v>0</v>
      </c>
      <c r="CA234" s="604">
        <f t="shared" si="268"/>
        <v>0</v>
      </c>
      <c r="CB234" s="604">
        <f t="shared" si="268"/>
        <v>0</v>
      </c>
      <c r="CC234" s="604">
        <f t="shared" si="268"/>
        <v>0</v>
      </c>
      <c r="CD234" s="604">
        <f t="shared" si="268"/>
        <v>0</v>
      </c>
      <c r="CE234" s="604">
        <f t="shared" si="268"/>
        <v>0</v>
      </c>
      <c r="CF234" s="604">
        <f t="shared" si="268"/>
        <v>0</v>
      </c>
      <c r="CG234" s="604">
        <f t="shared" si="268"/>
        <v>0</v>
      </c>
      <c r="CH234" s="604">
        <f t="shared" si="268"/>
        <v>0</v>
      </c>
      <c r="CI234" s="604">
        <f t="shared" si="268"/>
        <v>0</v>
      </c>
      <c r="CJ234" s="604">
        <f t="shared" si="268"/>
        <v>0</v>
      </c>
      <c r="CK234" s="604">
        <f t="shared" si="268"/>
        <v>0</v>
      </c>
      <c r="CL234" s="604">
        <f t="shared" si="268"/>
        <v>0</v>
      </c>
      <c r="CM234" s="604">
        <f t="shared" si="268"/>
        <v>0</v>
      </c>
      <c r="CN234" s="604">
        <f t="shared" si="268"/>
        <v>0</v>
      </c>
      <c r="CO234" s="604">
        <f t="shared" si="268"/>
        <v>0</v>
      </c>
      <c r="CP234" s="604">
        <f t="shared" si="268"/>
        <v>0</v>
      </c>
      <c r="CQ234" s="604">
        <f t="shared" si="268"/>
        <v>0</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v>
      </c>
      <c r="DQ234" s="604">
        <f t="shared" si="269"/>
        <v>0</v>
      </c>
      <c r="DR234" s="604">
        <f t="shared" si="269"/>
        <v>0</v>
      </c>
      <c r="DS234" s="604">
        <f t="shared" si="269"/>
        <v>0</v>
      </c>
      <c r="DT234" s="604">
        <f t="shared" si="269"/>
        <v>0</v>
      </c>
      <c r="DU234" s="604">
        <f t="shared" si="269"/>
        <v>0</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0</v>
      </c>
      <c r="V235" s="634">
        <f>V$33</f>
        <v>0</v>
      </c>
      <c r="W235" s="605"/>
      <c r="X235" s="606"/>
      <c r="Y235" s="606"/>
      <c r="Z235" s="605"/>
      <c r="AA235" s="605"/>
      <c r="AB235" s="634">
        <f>AB$33</f>
        <v>0</v>
      </c>
      <c r="AC235" s="607"/>
      <c r="AD235" s="608"/>
      <c r="AE235" s="608"/>
      <c r="AF235" s="607"/>
      <c r="AG235" s="607"/>
      <c r="AH235" s="634">
        <f>AH$33</f>
        <v>0</v>
      </c>
      <c r="AI235" s="605"/>
      <c r="AJ235" s="606"/>
      <c r="AK235" s="606"/>
      <c r="AL235" s="605"/>
      <c r="AM235" s="605"/>
      <c r="AN235" s="634">
        <f>AN$33</f>
        <v>0</v>
      </c>
      <c r="AO235" s="439"/>
      <c r="AP235" s="530"/>
      <c r="AQ235" s="530"/>
      <c r="AR235" s="439"/>
      <c r="AS235" s="439"/>
      <c r="AT235" s="634">
        <f t="shared" ref="AT235:DE235" si="271">IF(AT222=0,0,IF(AT33&gt;0,AT33,IF(AN235=0,0,IF(AN235&lt;AT242,0,AN235-AT234+AX44))))</f>
        <v>0</v>
      </c>
      <c r="AU235" s="634">
        <f t="shared" si="271"/>
        <v>0</v>
      </c>
      <c r="AV235" s="634">
        <f t="shared" si="271"/>
        <v>0</v>
      </c>
      <c r="AW235" s="634">
        <f t="shared" si="271"/>
        <v>0</v>
      </c>
      <c r="AX235" s="634">
        <f t="shared" si="271"/>
        <v>0</v>
      </c>
      <c r="AY235" s="634">
        <f t="shared" si="271"/>
        <v>0</v>
      </c>
      <c r="AZ235" s="634">
        <f t="shared" si="271"/>
        <v>0</v>
      </c>
      <c r="BA235" s="634">
        <f t="shared" si="271"/>
        <v>0</v>
      </c>
      <c r="BB235" s="634">
        <f t="shared" si="271"/>
        <v>0</v>
      </c>
      <c r="BC235" s="634">
        <f t="shared" si="271"/>
        <v>0</v>
      </c>
      <c r="BD235" s="634">
        <f t="shared" si="271"/>
        <v>0</v>
      </c>
      <c r="BE235" s="634">
        <f t="shared" si="271"/>
        <v>0</v>
      </c>
      <c r="BF235" s="634">
        <f t="shared" si="271"/>
        <v>0</v>
      </c>
      <c r="BG235" s="634">
        <f t="shared" si="271"/>
        <v>0</v>
      </c>
      <c r="BH235" s="634">
        <f t="shared" si="271"/>
        <v>0</v>
      </c>
      <c r="BI235" s="634">
        <f t="shared" si="271"/>
        <v>0</v>
      </c>
      <c r="BJ235" s="634">
        <f t="shared" si="271"/>
        <v>0</v>
      </c>
      <c r="BK235" s="634">
        <f t="shared" si="271"/>
        <v>0</v>
      </c>
      <c r="BL235" s="634">
        <f t="shared" si="271"/>
        <v>0</v>
      </c>
      <c r="BM235" s="634">
        <f t="shared" si="271"/>
        <v>0</v>
      </c>
      <c r="BN235" s="634">
        <f t="shared" si="271"/>
        <v>0</v>
      </c>
      <c r="BO235" s="634">
        <f t="shared" si="271"/>
        <v>0</v>
      </c>
      <c r="BP235" s="634">
        <f t="shared" si="271"/>
        <v>0</v>
      </c>
      <c r="BQ235" s="634">
        <f t="shared" si="271"/>
        <v>0</v>
      </c>
      <c r="BR235" s="634">
        <f t="shared" si="271"/>
        <v>0</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v>
      </c>
      <c r="V236" s="604">
        <f>(IF(V222=0,0,V235/V222))</f>
        <v>0</v>
      </c>
      <c r="W236" s="574"/>
      <c r="X236" s="575"/>
      <c r="Y236" s="575"/>
      <c r="Z236" s="574"/>
      <c r="AA236" s="574"/>
      <c r="AB236" s="604">
        <f>(IF(AB222=0,0,AB235/AB222))</f>
        <v>0</v>
      </c>
      <c r="AC236" s="574"/>
      <c r="AD236" s="575"/>
      <c r="AE236" s="575"/>
      <c r="AF236" s="574"/>
      <c r="AG236" s="574"/>
      <c r="AH236" s="604">
        <f>(IF(AH222=0,0,AH235/AH222))</f>
        <v>0</v>
      </c>
      <c r="AI236" s="574"/>
      <c r="AJ236" s="575"/>
      <c r="AK236" s="575"/>
      <c r="AL236" s="574"/>
      <c r="AM236" s="574"/>
      <c r="AN236" s="604">
        <f>(IF(AN222=0,0,AN235/AN222))</f>
        <v>0</v>
      </c>
      <c r="AO236" s="439"/>
      <c r="AP236" s="530"/>
      <c r="AQ236" s="530"/>
      <c r="AR236" s="439"/>
      <c r="AS236" s="439"/>
      <c r="AT236" s="609">
        <f>(IF(AT222=0,0,AT235/AT222))</f>
        <v>0</v>
      </c>
      <c r="AU236" s="574"/>
      <c r="AV236" s="575"/>
      <c r="AW236" s="575"/>
      <c r="AX236" s="574"/>
      <c r="AY236" s="574"/>
      <c r="AZ236" s="604">
        <f>(IF(AZ222=0,0,AZ235/AZ222))</f>
        <v>0</v>
      </c>
      <c r="BA236" s="315"/>
      <c r="BB236" s="316"/>
      <c r="BC236" s="316"/>
      <c r="BD236" s="315"/>
      <c r="BE236" s="315"/>
      <c r="BF236" s="604">
        <f>(IF(BF222=0,0,BF235/BF222))</f>
        <v>0</v>
      </c>
      <c r="BG236" s="315"/>
      <c r="BH236" s="316"/>
      <c r="BI236" s="316"/>
      <c r="BJ236" s="315"/>
      <c r="BK236" s="315"/>
      <c r="BL236" s="604">
        <f>(IF(BL222=0,0,BL235/BL222))</f>
        <v>0</v>
      </c>
      <c r="BM236" s="315"/>
      <c r="BN236" s="316"/>
      <c r="BO236" s="316"/>
      <c r="BP236" s="315"/>
      <c r="BQ236" s="315"/>
      <c r="BR236" s="604">
        <f>(IF(BR222=0,0,BR235/BR222))</f>
        <v>0</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628588.04</v>
      </c>
      <c r="V237" s="604">
        <f>V34</f>
        <v>628588.04</v>
      </c>
      <c r="W237" s="574"/>
      <c r="X237" s="575"/>
      <c r="Y237" s="575"/>
      <c r="Z237" s="574"/>
      <c r="AA237" s="574"/>
      <c r="AB237" s="604">
        <f>AB34</f>
        <v>628588.04</v>
      </c>
      <c r="AC237" s="315"/>
      <c r="AD237" s="316"/>
      <c r="AE237" s="316"/>
      <c r="AF237" s="315"/>
      <c r="AG237" s="315"/>
      <c r="AH237" s="604">
        <f>AH34</f>
        <v>628588.04</v>
      </c>
      <c r="AI237" s="574"/>
      <c r="AJ237" s="575"/>
      <c r="AK237" s="575"/>
      <c r="AL237" s="574"/>
      <c r="AM237" s="574"/>
      <c r="AN237" s="604">
        <f>AN34</f>
        <v>628588.04</v>
      </c>
      <c r="AO237" s="439"/>
      <c r="AP237" s="530"/>
      <c r="AQ237" s="530"/>
      <c r="AR237" s="439"/>
      <c r="AS237" s="439"/>
      <c r="AT237" s="604">
        <f t="shared" ref="AT237:BK237" si="274">AT229+(AT232*9.786)+(AT235*278)+(AT242*278)</f>
        <v>283662.09525238088</v>
      </c>
      <c r="AU237" s="604">
        <f t="shared" si="274"/>
        <v>0</v>
      </c>
      <c r="AV237" s="604">
        <f t="shared" si="274"/>
        <v>0</v>
      </c>
      <c r="AW237" s="604">
        <f t="shared" si="274"/>
        <v>0</v>
      </c>
      <c r="AX237" s="604">
        <f t="shared" si="274"/>
        <v>0</v>
      </c>
      <c r="AY237" s="604">
        <f t="shared" si="274"/>
        <v>0</v>
      </c>
      <c r="AZ237" s="604">
        <f t="shared" si="274"/>
        <v>283662.09525238088</v>
      </c>
      <c r="BA237" s="604">
        <f t="shared" si="274"/>
        <v>0</v>
      </c>
      <c r="BB237" s="604">
        <f t="shared" si="274"/>
        <v>0</v>
      </c>
      <c r="BC237" s="604">
        <f t="shared" si="274"/>
        <v>0</v>
      </c>
      <c r="BD237" s="604">
        <f t="shared" si="274"/>
        <v>0</v>
      </c>
      <c r="BE237" s="604">
        <f t="shared" si="274"/>
        <v>0</v>
      </c>
      <c r="BF237" s="604">
        <f t="shared" si="274"/>
        <v>283662.09525238088</v>
      </c>
      <c r="BG237" s="604">
        <f t="shared" si="274"/>
        <v>0</v>
      </c>
      <c r="BH237" s="604">
        <f t="shared" si="274"/>
        <v>0</v>
      </c>
      <c r="BI237" s="604">
        <f t="shared" si="274"/>
        <v>0</v>
      </c>
      <c r="BJ237" s="604">
        <f t="shared" si="274"/>
        <v>0</v>
      </c>
      <c r="BK237" s="604">
        <f t="shared" si="274"/>
        <v>0</v>
      </c>
      <c r="BL237" s="604">
        <f>BL229+(BL232*9.786)+(BL235*278)+(BL242*278)</f>
        <v>283662.09525238088</v>
      </c>
      <c r="BM237" s="604">
        <f t="shared" ref="BM237:DX237" si="275">BM229+(BM232*9.786)+(BM235*278)+(BM242*278)</f>
        <v>0</v>
      </c>
      <c r="BN237" s="604">
        <f t="shared" si="275"/>
        <v>0</v>
      </c>
      <c r="BO237" s="604">
        <f t="shared" si="275"/>
        <v>0</v>
      </c>
      <c r="BP237" s="604">
        <f t="shared" si="275"/>
        <v>0</v>
      </c>
      <c r="BQ237" s="604">
        <f t="shared" si="275"/>
        <v>0</v>
      </c>
      <c r="BR237" s="604">
        <f t="shared" si="275"/>
        <v>283662.09525238088</v>
      </c>
      <c r="BS237" s="604">
        <f t="shared" si="275"/>
        <v>0</v>
      </c>
      <c r="BT237" s="604">
        <f t="shared" si="275"/>
        <v>0</v>
      </c>
      <c r="BU237" s="604">
        <f t="shared" si="275"/>
        <v>0</v>
      </c>
      <c r="BV237" s="604">
        <f t="shared" si="275"/>
        <v>0</v>
      </c>
      <c r="BW237" s="604">
        <f t="shared" si="275"/>
        <v>0</v>
      </c>
      <c r="BX237" s="604">
        <f t="shared" si="275"/>
        <v>283662.09525238088</v>
      </c>
      <c r="BY237" s="604">
        <f t="shared" si="275"/>
        <v>0</v>
      </c>
      <c r="BZ237" s="604">
        <f t="shared" si="275"/>
        <v>0</v>
      </c>
      <c r="CA237" s="604">
        <f t="shared" si="275"/>
        <v>0</v>
      </c>
      <c r="CB237" s="604">
        <f t="shared" si="275"/>
        <v>0</v>
      </c>
      <c r="CC237" s="604">
        <f t="shared" si="275"/>
        <v>0</v>
      </c>
      <c r="CD237" s="604">
        <f t="shared" si="275"/>
        <v>283662.09525238088</v>
      </c>
      <c r="CE237" s="604">
        <f t="shared" si="275"/>
        <v>0</v>
      </c>
      <c r="CF237" s="604">
        <f t="shared" si="275"/>
        <v>0</v>
      </c>
      <c r="CG237" s="604">
        <f t="shared" si="275"/>
        <v>0</v>
      </c>
      <c r="CH237" s="604">
        <f t="shared" si="275"/>
        <v>0</v>
      </c>
      <c r="CI237" s="604">
        <f t="shared" si="275"/>
        <v>0</v>
      </c>
      <c r="CJ237" s="604">
        <f t="shared" si="275"/>
        <v>283662.09525238088</v>
      </c>
      <c r="CK237" s="604">
        <f t="shared" si="275"/>
        <v>0</v>
      </c>
      <c r="CL237" s="604">
        <f t="shared" si="275"/>
        <v>0</v>
      </c>
      <c r="CM237" s="604">
        <f t="shared" si="275"/>
        <v>0</v>
      </c>
      <c r="CN237" s="604">
        <f t="shared" si="275"/>
        <v>0</v>
      </c>
      <c r="CO237" s="604">
        <f t="shared" si="275"/>
        <v>0</v>
      </c>
      <c r="CP237" s="604">
        <f t="shared" si="275"/>
        <v>283662.09525238088</v>
      </c>
      <c r="CQ237" s="604">
        <f t="shared" si="275"/>
        <v>0</v>
      </c>
      <c r="CR237" s="604">
        <f t="shared" si="275"/>
        <v>0</v>
      </c>
      <c r="CS237" s="604">
        <f t="shared" si="275"/>
        <v>0</v>
      </c>
      <c r="CT237" s="604">
        <f t="shared" si="275"/>
        <v>0</v>
      </c>
      <c r="CU237" s="604">
        <f t="shared" si="275"/>
        <v>0</v>
      </c>
      <c r="CV237" s="604">
        <f t="shared" si="275"/>
        <v>0</v>
      </c>
      <c r="CW237" s="604">
        <f t="shared" si="275"/>
        <v>0</v>
      </c>
      <c r="CX237" s="604">
        <f t="shared" si="275"/>
        <v>0</v>
      </c>
      <c r="CY237" s="604">
        <f t="shared" si="275"/>
        <v>0</v>
      </c>
      <c r="CZ237" s="604">
        <f t="shared" si="275"/>
        <v>0</v>
      </c>
      <c r="DA237" s="604">
        <f t="shared" si="275"/>
        <v>0</v>
      </c>
      <c r="DB237" s="604">
        <f t="shared" si="275"/>
        <v>0</v>
      </c>
      <c r="DC237" s="604">
        <f t="shared" si="275"/>
        <v>0</v>
      </c>
      <c r="DD237" s="604">
        <f t="shared" si="275"/>
        <v>0</v>
      </c>
      <c r="DE237" s="604">
        <f t="shared" si="275"/>
        <v>0</v>
      </c>
      <c r="DF237" s="604">
        <f t="shared" si="275"/>
        <v>0</v>
      </c>
      <c r="DG237" s="604">
        <f t="shared" si="275"/>
        <v>0</v>
      </c>
      <c r="DH237" s="604">
        <f t="shared" si="275"/>
        <v>0</v>
      </c>
      <c r="DI237" s="604">
        <f t="shared" si="275"/>
        <v>0</v>
      </c>
      <c r="DJ237" s="604">
        <f t="shared" si="275"/>
        <v>0</v>
      </c>
      <c r="DK237" s="604">
        <f t="shared" si="275"/>
        <v>0</v>
      </c>
      <c r="DL237" s="604">
        <f t="shared" si="275"/>
        <v>0</v>
      </c>
      <c r="DM237" s="604">
        <f t="shared" si="275"/>
        <v>0</v>
      </c>
      <c r="DN237" s="604">
        <f t="shared" si="275"/>
        <v>0</v>
      </c>
      <c r="DO237" s="604">
        <f t="shared" si="275"/>
        <v>0</v>
      </c>
      <c r="DP237" s="604">
        <f t="shared" si="275"/>
        <v>0</v>
      </c>
      <c r="DQ237" s="604">
        <f t="shared" si="275"/>
        <v>0</v>
      </c>
      <c r="DR237" s="604">
        <f t="shared" si="275"/>
        <v>0</v>
      </c>
      <c r="DS237" s="604">
        <f t="shared" si="275"/>
        <v>0</v>
      </c>
      <c r="DT237" s="604">
        <f t="shared" si="275"/>
        <v>0</v>
      </c>
      <c r="DU237" s="604">
        <f t="shared" si="275"/>
        <v>0</v>
      </c>
      <c r="DV237" s="604">
        <f t="shared" si="275"/>
        <v>0</v>
      </c>
      <c r="DW237" s="604">
        <f t="shared" si="275"/>
        <v>0</v>
      </c>
      <c r="DX237" s="604">
        <f t="shared" si="275"/>
        <v>0</v>
      </c>
      <c r="DY237" s="604">
        <f t="shared" ref="DY237:GJ237" si="276">DY229+(DY232*9.786)+(DY235*278)+(DY242*278)</f>
        <v>0</v>
      </c>
      <c r="DZ237" s="604">
        <f t="shared" si="276"/>
        <v>0</v>
      </c>
      <c r="EA237" s="604">
        <f t="shared" si="276"/>
        <v>0</v>
      </c>
      <c r="EB237" s="604">
        <f t="shared" si="276"/>
        <v>0</v>
      </c>
      <c r="EC237" s="604">
        <f t="shared" si="276"/>
        <v>0</v>
      </c>
      <c r="ED237" s="604">
        <f t="shared" si="276"/>
        <v>0</v>
      </c>
      <c r="EE237" s="604">
        <f t="shared" si="276"/>
        <v>0</v>
      </c>
      <c r="EF237" s="604">
        <f t="shared" si="276"/>
        <v>0</v>
      </c>
      <c r="EG237" s="604">
        <f t="shared" si="276"/>
        <v>0</v>
      </c>
      <c r="EH237" s="604">
        <f t="shared" si="276"/>
        <v>0</v>
      </c>
      <c r="EI237" s="604">
        <f t="shared" si="276"/>
        <v>0</v>
      </c>
      <c r="EJ237" s="604">
        <f t="shared" si="276"/>
        <v>0</v>
      </c>
      <c r="EK237" s="604">
        <f t="shared" si="276"/>
        <v>0</v>
      </c>
      <c r="EL237" s="604">
        <f t="shared" si="276"/>
        <v>0</v>
      </c>
      <c r="EM237" s="604">
        <f t="shared" si="276"/>
        <v>0</v>
      </c>
      <c r="EN237" s="604">
        <f t="shared" si="276"/>
        <v>0</v>
      </c>
      <c r="EO237" s="604">
        <f t="shared" si="276"/>
        <v>0</v>
      </c>
      <c r="EP237" s="604">
        <f t="shared" si="276"/>
        <v>0</v>
      </c>
      <c r="EQ237" s="604">
        <f t="shared" si="276"/>
        <v>0</v>
      </c>
      <c r="ER237" s="604">
        <f t="shared" si="276"/>
        <v>0</v>
      </c>
      <c r="ES237" s="604">
        <f t="shared" si="276"/>
        <v>0</v>
      </c>
      <c r="ET237" s="604">
        <f t="shared" si="276"/>
        <v>0</v>
      </c>
      <c r="EU237" s="604">
        <f t="shared" si="276"/>
        <v>0</v>
      </c>
      <c r="EV237" s="604">
        <f t="shared" si="276"/>
        <v>0</v>
      </c>
      <c r="EW237" s="604">
        <f t="shared" si="276"/>
        <v>0</v>
      </c>
      <c r="EX237" s="604">
        <f t="shared" si="276"/>
        <v>0</v>
      </c>
      <c r="EY237" s="604">
        <f t="shared" si="276"/>
        <v>0</v>
      </c>
      <c r="EZ237" s="604">
        <f t="shared" si="276"/>
        <v>0</v>
      </c>
      <c r="FA237" s="604">
        <f t="shared" si="276"/>
        <v>0</v>
      </c>
      <c r="FB237" s="604">
        <f t="shared" si="276"/>
        <v>0</v>
      </c>
      <c r="FC237" s="604">
        <f t="shared" si="276"/>
        <v>0</v>
      </c>
      <c r="FD237" s="604">
        <f t="shared" si="276"/>
        <v>0</v>
      </c>
      <c r="FE237" s="604">
        <f t="shared" si="276"/>
        <v>0</v>
      </c>
      <c r="FF237" s="604">
        <f t="shared" si="276"/>
        <v>0</v>
      </c>
      <c r="FG237" s="604">
        <f t="shared" si="276"/>
        <v>0</v>
      </c>
      <c r="FH237" s="604">
        <f t="shared" si="276"/>
        <v>0</v>
      </c>
      <c r="FI237" s="604">
        <f t="shared" si="276"/>
        <v>0</v>
      </c>
      <c r="FJ237" s="604">
        <f t="shared" si="276"/>
        <v>0</v>
      </c>
      <c r="FK237" s="604">
        <f t="shared" si="276"/>
        <v>0</v>
      </c>
      <c r="FL237" s="604">
        <f t="shared" si="276"/>
        <v>0</v>
      </c>
      <c r="FM237" s="604">
        <f t="shared" si="276"/>
        <v>0</v>
      </c>
      <c r="FN237" s="604">
        <f t="shared" si="276"/>
        <v>0</v>
      </c>
      <c r="FO237" s="604">
        <f t="shared" si="276"/>
        <v>0</v>
      </c>
      <c r="FP237" s="604">
        <f t="shared" si="276"/>
        <v>0</v>
      </c>
      <c r="FQ237" s="604">
        <f t="shared" si="276"/>
        <v>0</v>
      </c>
      <c r="FR237" s="604">
        <f t="shared" si="276"/>
        <v>0</v>
      </c>
      <c r="FS237" s="604">
        <f t="shared" si="276"/>
        <v>0</v>
      </c>
      <c r="FT237" s="604">
        <f t="shared" si="276"/>
        <v>0</v>
      </c>
      <c r="FU237" s="604">
        <f t="shared" si="276"/>
        <v>0</v>
      </c>
      <c r="FV237" s="604">
        <f t="shared" si="276"/>
        <v>0</v>
      </c>
      <c r="FW237" s="604">
        <f t="shared" si="276"/>
        <v>0</v>
      </c>
      <c r="FX237" s="604">
        <f t="shared" si="276"/>
        <v>0</v>
      </c>
      <c r="FY237" s="604">
        <f t="shared" si="276"/>
        <v>0</v>
      </c>
      <c r="FZ237" s="604">
        <f t="shared" si="276"/>
        <v>0</v>
      </c>
      <c r="GA237" s="604">
        <f t="shared" si="276"/>
        <v>0</v>
      </c>
      <c r="GB237" s="604">
        <f t="shared" si="276"/>
        <v>0</v>
      </c>
      <c r="GC237" s="604">
        <f t="shared" si="276"/>
        <v>0</v>
      </c>
      <c r="GD237" s="604">
        <f t="shared" si="276"/>
        <v>0</v>
      </c>
      <c r="GE237" s="604">
        <f t="shared" si="276"/>
        <v>0</v>
      </c>
      <c r="GF237" s="604">
        <f t="shared" si="276"/>
        <v>0</v>
      </c>
      <c r="GG237" s="604">
        <f t="shared" si="276"/>
        <v>0</v>
      </c>
      <c r="GH237" s="604">
        <f t="shared" si="276"/>
        <v>0</v>
      </c>
      <c r="GI237" s="604">
        <f t="shared" si="276"/>
        <v>0</v>
      </c>
      <c r="GJ237" s="604">
        <f t="shared" si="276"/>
        <v>0</v>
      </c>
      <c r="GK237" s="604">
        <f t="shared" ref="GK237:GZ237" si="277">GK229+(GK232*9.786)+(GK235*278)+(GK242*278)</f>
        <v>0</v>
      </c>
      <c r="GL237" s="604">
        <f t="shared" si="277"/>
        <v>0</v>
      </c>
      <c r="GM237" s="604">
        <f t="shared" si="277"/>
        <v>0</v>
      </c>
      <c r="GN237" s="604">
        <f t="shared" si="277"/>
        <v>0</v>
      </c>
      <c r="GO237" s="604">
        <f t="shared" si="277"/>
        <v>0</v>
      </c>
      <c r="GP237" s="604">
        <f t="shared" si="277"/>
        <v>0</v>
      </c>
      <c r="GQ237" s="604">
        <f t="shared" si="277"/>
        <v>0</v>
      </c>
      <c r="GR237" s="604">
        <f t="shared" si="277"/>
        <v>0</v>
      </c>
      <c r="GS237" s="604">
        <f t="shared" si="277"/>
        <v>0</v>
      </c>
      <c r="GT237" s="604">
        <f t="shared" si="277"/>
        <v>0</v>
      </c>
      <c r="GU237" s="604">
        <f t="shared" si="277"/>
        <v>0</v>
      </c>
      <c r="GV237" s="604">
        <f t="shared" si="277"/>
        <v>0</v>
      </c>
      <c r="GW237" s="604">
        <f t="shared" si="277"/>
        <v>0</v>
      </c>
      <c r="GX237" s="604">
        <f t="shared" si="277"/>
        <v>0</v>
      </c>
      <c r="GY237" s="604">
        <f t="shared" si="277"/>
        <v>0</v>
      </c>
      <c r="GZ237" s="604">
        <f t="shared" si="277"/>
        <v>0</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226.18891415740688</v>
      </c>
      <c r="V238" s="551">
        <f>IF(V222=0,0,V237/V222)</f>
        <v>226.18891415740688</v>
      </c>
      <c r="W238" s="552"/>
      <c r="X238" s="553"/>
      <c r="Y238" s="553"/>
      <c r="Z238" s="552"/>
      <c r="AA238" s="552"/>
      <c r="AB238" s="551">
        <f>IF(AB222=0,0,AB237/AB222)</f>
        <v>226.18891415740688</v>
      </c>
      <c r="AC238" s="552"/>
      <c r="AD238" s="553"/>
      <c r="AE238" s="553"/>
      <c r="AF238" s="552"/>
      <c r="AG238" s="552"/>
      <c r="AH238" s="551">
        <f>IF(AH222=0,0,AH237/AH222)</f>
        <v>226.18891415740688</v>
      </c>
      <c r="AI238" s="552"/>
      <c r="AJ238" s="553"/>
      <c r="AK238" s="553"/>
      <c r="AL238" s="552"/>
      <c r="AM238" s="552"/>
      <c r="AN238" s="551">
        <f>IF(AN222=0,0,AN237/AN222)</f>
        <v>226.18891415740688</v>
      </c>
      <c r="AO238" s="586"/>
      <c r="AP238" s="587"/>
      <c r="AQ238" s="587"/>
      <c r="AR238" s="586"/>
      <c r="AS238" s="586"/>
      <c r="AT238" s="550">
        <f>IF(AT222=0,0,AT237/AT222)</f>
        <v>102.07197278642296</v>
      </c>
      <c r="AU238" s="313"/>
      <c r="AV238" s="314"/>
      <c r="AW238" s="314"/>
      <c r="AX238" s="313"/>
      <c r="AY238" s="313"/>
      <c r="AZ238" s="551">
        <f>IF(AZ222=0,0,AZ237/AZ222)</f>
        <v>102.07197278642296</v>
      </c>
      <c r="BA238" s="313"/>
      <c r="BB238" s="314"/>
      <c r="BC238" s="314"/>
      <c r="BD238" s="313"/>
      <c r="BE238" s="313"/>
      <c r="BF238" s="551">
        <f>IF(BF222=0,0,BF237/BF222)</f>
        <v>102.07197278642296</v>
      </c>
      <c r="BG238" s="313"/>
      <c r="BH238" s="314"/>
      <c r="BI238" s="314"/>
      <c r="BJ238" s="313"/>
      <c r="BK238" s="313"/>
      <c r="BL238" s="551">
        <f>IF(BL222=0,0,BL237/BL222)</f>
        <v>102.07197278642296</v>
      </c>
      <c r="BM238" s="313"/>
      <c r="BN238" s="314"/>
      <c r="BO238" s="314"/>
      <c r="BP238" s="313"/>
      <c r="BQ238" s="313"/>
      <c r="BR238" s="551">
        <f>IF(BR222=0,0,BR237/BR222)</f>
        <v>102.07197278642296</v>
      </c>
      <c r="BS238" s="552"/>
      <c r="BT238" s="553"/>
      <c r="BU238" s="553"/>
      <c r="BV238" s="552"/>
      <c r="BW238" s="552"/>
      <c r="BX238" s="551">
        <f>IF(BX222=0,0,BX237/BX222)</f>
        <v>102.07197278642296</v>
      </c>
      <c r="BY238" s="313"/>
      <c r="BZ238" s="314"/>
      <c r="CA238" s="314"/>
      <c r="CB238" s="313"/>
      <c r="CC238" s="313"/>
      <c r="CD238" s="551">
        <f>IF(CD222=0,0,CD237/CD222)</f>
        <v>102.07197278642296</v>
      </c>
      <c r="CE238" s="313"/>
      <c r="CF238" s="314"/>
      <c r="CG238" s="314"/>
      <c r="CH238" s="313"/>
      <c r="CI238" s="313"/>
      <c r="CJ238" s="551">
        <f>IF(CJ222=0,0,CJ237/CJ222)</f>
        <v>102.07197278642296</v>
      </c>
      <c r="CK238" s="313"/>
      <c r="CL238" s="314"/>
      <c r="CM238" s="314"/>
      <c r="CN238" s="313"/>
      <c r="CO238" s="313"/>
      <c r="CP238" s="551">
        <f>IF(CP222=0,0,CP237/CP222)</f>
        <v>102.07197278642296</v>
      </c>
      <c r="CQ238" s="554"/>
      <c r="CR238" s="553"/>
      <c r="CS238" s="553"/>
      <c r="CT238" s="554"/>
      <c r="CU238" s="554"/>
      <c r="CV238" s="551">
        <f>IF(CV222=0,0,CV237/CV222)</f>
        <v>0</v>
      </c>
      <c r="CW238" s="554"/>
      <c r="CX238" s="553"/>
      <c r="CY238" s="553"/>
      <c r="CZ238" s="554"/>
      <c r="DA238" s="554"/>
      <c r="DB238" s="551">
        <f>IF(DB222=0,0,DB237/DB222)</f>
        <v>0</v>
      </c>
      <c r="DC238" s="313"/>
      <c r="DD238" s="314"/>
      <c r="DE238" s="314"/>
      <c r="DF238" s="313"/>
      <c r="DG238" s="313"/>
      <c r="DH238" s="551">
        <f>IF(DH222=0,0,DH237/DH222)</f>
        <v>0</v>
      </c>
      <c r="DI238" s="313"/>
      <c r="DJ238" s="314"/>
      <c r="DK238" s="314"/>
      <c r="DL238" s="313"/>
      <c r="DM238" s="313"/>
      <c r="DN238" s="551">
        <f>IF(DN222=0,0,DN237/DN222)</f>
        <v>0</v>
      </c>
      <c r="DO238" s="313"/>
      <c r="DP238" s="314"/>
      <c r="DQ238" s="314"/>
      <c r="DR238" s="313"/>
      <c r="DS238" s="313"/>
      <c r="DT238" s="551">
        <f>IF(DT222=0,0,DT237/DT222)</f>
        <v>0</v>
      </c>
      <c r="DU238" s="313"/>
      <c r="DV238" s="314"/>
      <c r="DW238" s="314"/>
      <c r="DX238" s="313"/>
      <c r="DY238" s="313"/>
      <c r="DZ238" s="551">
        <f>IF(DZ222=0,0,DZ237/DZ222)</f>
        <v>0</v>
      </c>
      <c r="EA238" s="313"/>
      <c r="EB238" s="314"/>
      <c r="EC238" s="314"/>
      <c r="ED238" s="313"/>
      <c r="EE238" s="313"/>
      <c r="EF238" s="551">
        <f>IF(EF222=0,0,EF237/EF222)</f>
        <v>0</v>
      </c>
      <c r="EG238" s="313"/>
      <c r="EH238" s="314"/>
      <c r="EI238" s="314"/>
      <c r="EJ238" s="313"/>
      <c r="EK238" s="313"/>
      <c r="EL238" s="551">
        <f>IF(EL222=0,0,EL237/EL222)</f>
        <v>0</v>
      </c>
      <c r="EM238" s="313"/>
      <c r="EN238" s="314"/>
      <c r="EO238" s="314"/>
      <c r="EP238" s="313"/>
      <c r="EQ238" s="313"/>
      <c r="ER238" s="551">
        <f>IF(ER222=0,0,ER237/ER222)</f>
        <v>0</v>
      </c>
      <c r="ES238" s="313"/>
      <c r="ET238" s="314"/>
      <c r="EU238" s="314"/>
      <c r="EV238" s="313"/>
      <c r="EW238" s="313"/>
      <c r="EX238" s="551">
        <f>IF(EX222=0,0,EX237/EX222)</f>
        <v>0</v>
      </c>
      <c r="EY238" s="313"/>
      <c r="EZ238" s="314"/>
      <c r="FA238" s="314"/>
      <c r="FB238" s="313"/>
      <c r="FC238" s="313"/>
      <c r="FD238" s="551">
        <f>IF(FD222=0,0,FD237/FD222)</f>
        <v>0</v>
      </c>
      <c r="FE238" s="313"/>
      <c r="FF238" s="314"/>
      <c r="FG238" s="314"/>
      <c r="FH238" s="313"/>
      <c r="FI238" s="313"/>
      <c r="FJ238" s="551">
        <f>IF(FJ222=0,0,FJ237/FJ222)</f>
        <v>0</v>
      </c>
      <c r="FK238" s="313"/>
      <c r="FL238" s="314"/>
      <c r="FM238" s="314"/>
      <c r="FN238" s="313"/>
      <c r="FO238" s="313"/>
      <c r="FP238" s="551">
        <f>IF(FP222=0,0,FP237/FP222)</f>
        <v>0</v>
      </c>
      <c r="FQ238" s="313"/>
      <c r="FR238" s="314"/>
      <c r="FS238" s="314"/>
      <c r="FT238" s="313"/>
      <c r="FU238" s="313"/>
      <c r="FV238" s="551">
        <f>IF(FV222=0,0,FV237/FV222)</f>
        <v>0</v>
      </c>
      <c r="FW238" s="313"/>
      <c r="FX238" s="314"/>
      <c r="FY238" s="314"/>
      <c r="FZ238" s="313"/>
      <c r="GA238" s="313"/>
      <c r="GB238" s="551">
        <f>IF(GB222=0,0,GB237/GB222)</f>
        <v>0</v>
      </c>
      <c r="GC238" s="313"/>
      <c r="GD238" s="314"/>
      <c r="GE238" s="314"/>
      <c r="GF238" s="313"/>
      <c r="GG238" s="313"/>
      <c r="GH238" s="551">
        <f>IF(GH222=0,0,GH237/GH222)</f>
        <v>0</v>
      </c>
      <c r="GI238" s="313"/>
      <c r="GJ238" s="314"/>
      <c r="GK238" s="314"/>
      <c r="GL238" s="313"/>
      <c r="GM238" s="313"/>
      <c r="GN238" s="551">
        <f>IF(GN222=0,0,GN237/GN222)</f>
        <v>0</v>
      </c>
      <c r="GO238" s="313"/>
      <c r="GP238" s="314"/>
      <c r="GQ238" s="314"/>
      <c r="GR238" s="313"/>
      <c r="GS238" s="313"/>
      <c r="GT238" s="551">
        <f>IF(GT222=0,0,GT237/GT222)</f>
        <v>0</v>
      </c>
      <c r="GU238" s="313"/>
      <c r="GV238" s="314"/>
      <c r="GW238" s="314"/>
      <c r="GX238" s="313"/>
      <c r="GY238" s="313"/>
      <c r="GZ238" s="555">
        <f>IF(GZ222=0,0,GZ237/GZ222)</f>
        <v>0</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26817.736000000001</v>
      </c>
      <c r="AU240" s="542"/>
      <c r="AV240" s="543"/>
      <c r="AW240" s="543"/>
      <c r="AX240" s="542"/>
      <c r="AY240" s="542"/>
      <c r="AZ240" s="541">
        <f>IF(AZ222=0,0,AT240+SUMIF($S44:$S216,"ja",BC44:BC216))</f>
        <v>26817.736000000001</v>
      </c>
      <c r="BA240" s="311"/>
      <c r="BB240" s="312"/>
      <c r="BC240" s="312"/>
      <c r="BD240" s="311"/>
      <c r="BE240" s="311"/>
      <c r="BF240" s="541">
        <f>IF(BF222=0,0,AZ240+SUMIF($S44:$S216,"ja",BI44:BI216))</f>
        <v>26817.736000000001</v>
      </c>
      <c r="BG240" s="311"/>
      <c r="BH240" s="312"/>
      <c r="BI240" s="312"/>
      <c r="BJ240" s="311"/>
      <c r="BK240" s="311"/>
      <c r="BL240" s="541">
        <f>IF(BL222=0,0,BF240+SUMIF($S44:$S216,"ja",BO44:BO216))</f>
        <v>26817.736000000001</v>
      </c>
      <c r="BM240" s="311"/>
      <c r="BN240" s="312"/>
      <c r="BO240" s="312"/>
      <c r="BP240" s="311"/>
      <c r="BQ240" s="311"/>
      <c r="BR240" s="541">
        <f>IF(BR222=0,0,BL240+SUMIF($S44:$S216,"ja",BU44:BU216))</f>
        <v>26817.736000000001</v>
      </c>
      <c r="BS240" s="542"/>
      <c r="BT240" s="543"/>
      <c r="BU240" s="543"/>
      <c r="BV240" s="542"/>
      <c r="BW240" s="542"/>
      <c r="BX240" s="541">
        <f>IF(BX222=0,0,BR240+SUMIF($S44:$S216,"ja",CA44:CA216))</f>
        <v>26817.736000000001</v>
      </c>
      <c r="BY240" s="311"/>
      <c r="BZ240" s="312"/>
      <c r="CA240" s="312"/>
      <c r="CB240" s="311"/>
      <c r="CC240" s="311"/>
      <c r="CD240" s="541">
        <f>IF(CD222=0,0,BX240+SUMIF($S44:$S216,"ja",CG44:CG216))</f>
        <v>26817.736000000001</v>
      </c>
      <c r="CE240" s="311"/>
      <c r="CF240" s="312"/>
      <c r="CG240" s="312"/>
      <c r="CH240" s="311"/>
      <c r="CI240" s="311"/>
      <c r="CJ240" s="541">
        <f>IF(CJ222=0,0,CD240+SUMIF($S44:$S216,"ja",CM44:CM216))</f>
        <v>26817.736000000001</v>
      </c>
      <c r="CK240" s="311"/>
      <c r="CL240" s="312"/>
      <c r="CM240" s="312"/>
      <c r="CN240" s="311"/>
      <c r="CO240" s="311"/>
      <c r="CP240" s="541">
        <f>IF(CP222=0,0,CJ240+SUMIF($S44:$S216,"ja",CS44:CS216))</f>
        <v>26817.736000000001</v>
      </c>
      <c r="CQ240" s="544"/>
      <c r="CR240" s="543"/>
      <c r="CS240" s="543"/>
      <c r="CT240" s="544"/>
      <c r="CU240" s="544"/>
      <c r="CV240" s="541">
        <f>IF(CV222=0,0,CP240+SUMIF($S44:$S216,"ja",CY44:CY216))</f>
        <v>0</v>
      </c>
      <c r="CW240" s="544"/>
      <c r="CX240" s="543"/>
      <c r="CY240" s="543"/>
      <c r="CZ240" s="544"/>
      <c r="DA240" s="544"/>
      <c r="DB240" s="541">
        <f>IF(DB222=0,0,CV240+SUMIF($S44:$S216,"ja",DE44:DE216))</f>
        <v>0</v>
      </c>
      <c r="DC240" s="311"/>
      <c r="DD240" s="312"/>
      <c r="DE240" s="312"/>
      <c r="DF240" s="311"/>
      <c r="DG240" s="311"/>
      <c r="DH240" s="541">
        <f>IF(DH222=0,0,DB240+SUMIF($S44:$S216,"ja",DK44:DK216))</f>
        <v>0</v>
      </c>
      <c r="DI240" s="311"/>
      <c r="DJ240" s="312"/>
      <c r="DK240" s="312"/>
      <c r="DL240" s="311"/>
      <c r="DM240" s="311"/>
      <c r="DN240" s="541">
        <f>IF(DN222=0,0,DH240+SUMIF($S44:$S216,"ja",DQ44:DQ216))</f>
        <v>0</v>
      </c>
      <c r="DO240" s="311"/>
      <c r="DP240" s="312"/>
      <c r="DQ240" s="312"/>
      <c r="DR240" s="311"/>
      <c r="DS240" s="311"/>
      <c r="DT240" s="541">
        <f>IF(DT222=0,0,DN240+SUMIF($S44:$S216,"ja",DW44:DW216))</f>
        <v>0</v>
      </c>
      <c r="DU240" s="311"/>
      <c r="DV240" s="312"/>
      <c r="DW240" s="312"/>
      <c r="DX240" s="311"/>
      <c r="DY240" s="311"/>
      <c r="DZ240" s="541">
        <f>IF(DZ222=0,0,DT240+SUMIF($S44:$S216,"ja",EC44:EC216))</f>
        <v>0</v>
      </c>
      <c r="EA240" s="311"/>
      <c r="EB240" s="312"/>
      <c r="EC240" s="312"/>
      <c r="ED240" s="311"/>
      <c r="EE240" s="311"/>
      <c r="EF240" s="541">
        <f>IF(EF222=0,0,DZ240+SUMIF($S44:$S216,"ja",EI44:EI216))</f>
        <v>0</v>
      </c>
      <c r="EG240" s="311"/>
      <c r="EH240" s="312"/>
      <c r="EI240" s="312"/>
      <c r="EJ240" s="311"/>
      <c r="EK240" s="311"/>
      <c r="EL240" s="541">
        <f>IF(EL222=0,0,EF240+SUMIF($S44:$S216,"ja",EO44:EO216))</f>
        <v>0</v>
      </c>
      <c r="EM240" s="311"/>
      <c r="EN240" s="312"/>
      <c r="EO240" s="312"/>
      <c r="EP240" s="311"/>
      <c r="EQ240" s="311"/>
      <c r="ER240" s="541">
        <f>IF(ER222=0,0,EL240+SUMIF($S44:$S216,"ja",EU44:EU216))</f>
        <v>0</v>
      </c>
      <c r="ES240" s="311"/>
      <c r="ET240" s="312"/>
      <c r="EU240" s="312"/>
      <c r="EV240" s="311"/>
      <c r="EW240" s="311"/>
      <c r="EX240" s="541">
        <f>IF(EX222=0,0,ER240+SUMIF($S44:$S216,"ja",FA44:FA216))</f>
        <v>0</v>
      </c>
      <c r="EY240" s="311"/>
      <c r="EZ240" s="312"/>
      <c r="FA240" s="312"/>
      <c r="FB240" s="311"/>
      <c r="FC240" s="311"/>
      <c r="FD240" s="541">
        <f>IF(FD222=0,0,EX240+SUMIF($S44:$S216,"ja",FG44:FG216))</f>
        <v>0</v>
      </c>
      <c r="FE240" s="311"/>
      <c r="FF240" s="312"/>
      <c r="FG240" s="312"/>
      <c r="FH240" s="311"/>
      <c r="FI240" s="311"/>
      <c r="FJ240" s="541">
        <f>IF(FJ222=0,0,FD240+SUMIF($S44:$S216,"ja",FM44:FM216))</f>
        <v>0</v>
      </c>
      <c r="FK240" s="311"/>
      <c r="FL240" s="312"/>
      <c r="FM240" s="312"/>
      <c r="FN240" s="311"/>
      <c r="FO240" s="311"/>
      <c r="FP240" s="541">
        <f>IF(FP222=0,0,FJ240+SUMIF($S44:$S216,"ja",FS44:FS216))</f>
        <v>0</v>
      </c>
      <c r="FQ240" s="311"/>
      <c r="FR240" s="312"/>
      <c r="FS240" s="312"/>
      <c r="FT240" s="311"/>
      <c r="FU240" s="311"/>
      <c r="FV240" s="541">
        <f>IF(FV222=0,0,FP240+SUMIF($S44:$S216,"ja",FY44:FY216))</f>
        <v>0</v>
      </c>
      <c r="FW240" s="311"/>
      <c r="FX240" s="312"/>
      <c r="FY240" s="312"/>
      <c r="FZ240" s="311"/>
      <c r="GA240" s="311"/>
      <c r="GB240" s="541">
        <f>IF(GB222=0,0,FV240+SUMIF($S44:$S216,"ja",GE44:GE216))</f>
        <v>0</v>
      </c>
      <c r="GC240" s="311"/>
      <c r="GD240" s="312"/>
      <c r="GE240" s="312"/>
      <c r="GF240" s="311"/>
      <c r="GG240" s="311"/>
      <c r="GH240" s="541">
        <f>IF(GH222=0,0,GB240+SUMIF($S44:$S216,"ja",GK44:GK216))</f>
        <v>0</v>
      </c>
      <c r="GI240" s="311"/>
      <c r="GJ240" s="312"/>
      <c r="GK240" s="312"/>
      <c r="GL240" s="311"/>
      <c r="GM240" s="311"/>
      <c r="GN240" s="541">
        <f>IF(GN222=0,0,GH240+SUMIF($S44:$S216,"ja",GQ44:GQ216))</f>
        <v>0</v>
      </c>
      <c r="GO240" s="311"/>
      <c r="GP240" s="312"/>
      <c r="GQ240" s="312"/>
      <c r="GR240" s="311"/>
      <c r="GS240" s="311"/>
      <c r="GT240" s="541">
        <f>IF(GT222=0,0,GN240+SUMIF($S44:$S216,"ja",GW44:GW216))</f>
        <v>0</v>
      </c>
      <c r="GU240" s="311"/>
      <c r="GV240" s="312"/>
      <c r="GW240" s="312"/>
      <c r="GX240" s="311"/>
      <c r="GY240" s="311"/>
      <c r="GZ240" s="545">
        <f>IF(GZ222=0,0,GT240+SUMIF($S44:$S216,"ja",HC44:HC216))</f>
        <v>0</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9.65</v>
      </c>
      <c r="AU241" s="317"/>
      <c r="AV241" s="317"/>
      <c r="AW241" s="317"/>
      <c r="AX241" s="317"/>
      <c r="AY241" s="317"/>
      <c r="AZ241" s="623">
        <f>(IF(AZ222=0,0,AZ240/AZ222))</f>
        <v>9.65</v>
      </c>
      <c r="BA241" s="317"/>
      <c r="BB241" s="317"/>
      <c r="BC241" s="317"/>
      <c r="BD241" s="317"/>
      <c r="BE241" s="317"/>
      <c r="BF241" s="623">
        <f>(IF(BF222=0,0,BF240/BF222))</f>
        <v>9.65</v>
      </c>
      <c r="BG241" s="317"/>
      <c r="BH241" s="317"/>
      <c r="BI241" s="317"/>
      <c r="BJ241" s="317"/>
      <c r="BK241" s="317"/>
      <c r="BL241" s="623">
        <f>(IF(BL222=0,0,BL240/BL222))</f>
        <v>9.65</v>
      </c>
      <c r="BM241" s="317"/>
      <c r="BN241" s="317"/>
      <c r="BO241" s="317"/>
      <c r="BP241" s="317"/>
      <c r="BQ241" s="317"/>
      <c r="BR241" s="623">
        <f>(IF(BR222=0,0,BR240/BR222))</f>
        <v>9.65</v>
      </c>
      <c r="BS241" s="317"/>
      <c r="BT241" s="317"/>
      <c r="BU241" s="317"/>
      <c r="BV241" s="317"/>
      <c r="BW241" s="317"/>
      <c r="BX241" s="623">
        <f>(IF(BX222=0,0,BX240/BX222))</f>
        <v>9.65</v>
      </c>
      <c r="BY241" s="317"/>
      <c r="BZ241" s="317"/>
      <c r="CA241" s="317"/>
      <c r="CB241" s="317"/>
      <c r="CC241" s="317"/>
      <c r="CD241" s="623">
        <f>(IF(CD222=0,0,CD240/CD222))</f>
        <v>9.65</v>
      </c>
      <c r="CE241" s="317"/>
      <c r="CF241" s="317"/>
      <c r="CG241" s="317"/>
      <c r="CH241" s="317"/>
      <c r="CI241" s="317"/>
      <c r="CJ241" s="623">
        <f>(IF(CJ222=0,0,CJ240/CJ222))</f>
        <v>9.65</v>
      </c>
      <c r="CK241" s="317"/>
      <c r="CL241" s="317"/>
      <c r="CM241" s="317"/>
      <c r="CN241" s="317"/>
      <c r="CO241" s="317"/>
      <c r="CP241" s="623">
        <f>(IF(CP222=0,0,CP240/CP222))</f>
        <v>9.65</v>
      </c>
      <c r="CQ241" s="317"/>
      <c r="CR241" s="317"/>
      <c r="CS241" s="317"/>
      <c r="CT241" s="317"/>
      <c r="CU241" s="317"/>
      <c r="CV241" s="623">
        <f>(IF(CV222=0,0,CV240/CV222))</f>
        <v>0</v>
      </c>
      <c r="CW241" s="628"/>
      <c r="CX241" s="629"/>
      <c r="CY241" s="629"/>
      <c r="CZ241" s="628"/>
      <c r="DA241" s="628"/>
      <c r="DB241" s="623">
        <f>(IF(DB222=0,0,DB240/DB222))</f>
        <v>0</v>
      </c>
      <c r="DC241" s="317"/>
      <c r="DD241" s="317"/>
      <c r="DE241" s="317"/>
      <c r="DF241" s="317"/>
      <c r="DG241" s="317"/>
      <c r="DH241" s="623">
        <f>(IF(DH222=0,0,DH240/DH222))</f>
        <v>0</v>
      </c>
      <c r="DI241" s="317"/>
      <c r="DJ241" s="317"/>
      <c r="DK241" s="317"/>
      <c r="DL241" s="317"/>
      <c r="DM241" s="317"/>
      <c r="DN241" s="623">
        <f>(IF(DN222=0,0,DN240/DN222))</f>
        <v>0</v>
      </c>
      <c r="DO241" s="317"/>
      <c r="DP241" s="317"/>
      <c r="DQ241" s="317"/>
      <c r="DR241" s="317"/>
      <c r="DS241" s="317"/>
      <c r="DT241" s="623">
        <f>(IF(DT222=0,0,DT240/DT222))</f>
        <v>0</v>
      </c>
      <c r="DU241" s="317"/>
      <c r="DV241" s="317"/>
      <c r="DW241" s="317"/>
      <c r="DX241" s="317"/>
      <c r="DY241" s="317"/>
      <c r="DZ241" s="623">
        <f>(IF(DZ222=0,0,DZ240/DZ222))</f>
        <v>0</v>
      </c>
      <c r="EA241" s="317"/>
      <c r="EB241" s="317"/>
      <c r="EC241" s="317"/>
      <c r="ED241" s="317"/>
      <c r="EE241" s="317"/>
      <c r="EF241" s="623">
        <f>(IF(EF222=0,0,EF240/EF222))</f>
        <v>0</v>
      </c>
      <c r="EG241" s="317"/>
      <c r="EH241" s="317"/>
      <c r="EI241" s="317"/>
      <c r="EJ241" s="317"/>
      <c r="EK241" s="317"/>
      <c r="EL241" s="623">
        <f>(IF(EL222=0,0,EL240/EL222))</f>
        <v>0</v>
      </c>
      <c r="EM241" s="317"/>
      <c r="EN241" s="317"/>
      <c r="EO241" s="317"/>
      <c r="EP241" s="317"/>
      <c r="EQ241" s="317"/>
      <c r="ER241" s="623">
        <f>(IF(ER222=0,0,ER240/ER222))</f>
        <v>0</v>
      </c>
      <c r="ES241" s="317"/>
      <c r="ET241" s="317"/>
      <c r="EU241" s="317"/>
      <c r="EV241" s="317"/>
      <c r="EW241" s="317"/>
      <c r="EX241" s="623">
        <f>(IF(EX222=0,0,EX240/EX222))</f>
        <v>0</v>
      </c>
      <c r="EY241" s="317"/>
      <c r="EZ241" s="317"/>
      <c r="FA241" s="317"/>
      <c r="FB241" s="317"/>
      <c r="FC241" s="317"/>
      <c r="FD241" s="623">
        <f>(IF(FD222=0,0,FD240/FD222))</f>
        <v>0</v>
      </c>
      <c r="FE241" s="317"/>
      <c r="FF241" s="317"/>
      <c r="FG241" s="317"/>
      <c r="FH241" s="317"/>
      <c r="FI241" s="317"/>
      <c r="FJ241" s="623">
        <f>(IF(FJ222=0,0,FJ240/FJ222))</f>
        <v>0</v>
      </c>
      <c r="FK241" s="317"/>
      <c r="FL241" s="317"/>
      <c r="FM241" s="317"/>
      <c r="FN241" s="317"/>
      <c r="FO241" s="317"/>
      <c r="FP241" s="623">
        <f>(IF(FP222=0,0,FP240/FP222))</f>
        <v>0</v>
      </c>
      <c r="FQ241" s="317"/>
      <c r="FR241" s="317"/>
      <c r="FS241" s="317"/>
      <c r="FT241" s="317"/>
      <c r="FU241" s="317"/>
      <c r="FV241" s="623">
        <f>(IF(FV222=0,0,FV240/FV222))</f>
        <v>0</v>
      </c>
      <c r="FW241" s="317"/>
      <c r="FX241" s="317"/>
      <c r="FY241" s="317"/>
      <c r="FZ241" s="317"/>
      <c r="GA241" s="317"/>
      <c r="GB241" s="623">
        <f>(IF(GB222=0,0,GB240/GB222))</f>
        <v>0</v>
      </c>
      <c r="GC241" s="317"/>
      <c r="GD241" s="317"/>
      <c r="GE241" s="317"/>
      <c r="GF241" s="317"/>
      <c r="GG241" s="317"/>
      <c r="GH241" s="623">
        <f>(IF(GH222=0,0,GH240/GH222))</f>
        <v>0</v>
      </c>
      <c r="GI241" s="317"/>
      <c r="GJ241" s="317"/>
      <c r="GK241" s="317"/>
      <c r="GL241" s="317"/>
      <c r="GM241" s="317"/>
      <c r="GN241" s="623">
        <f>(IF(GN222=0,0,GN240/GN222))</f>
        <v>0</v>
      </c>
      <c r="GO241" s="317"/>
      <c r="GP241" s="317"/>
      <c r="GQ241" s="317"/>
      <c r="GR241" s="317"/>
      <c r="GS241" s="317"/>
      <c r="GT241" s="623">
        <f>(IF(GT222=0,0,GT240/GT222))</f>
        <v>0</v>
      </c>
      <c r="GU241" s="317"/>
      <c r="GV241" s="317"/>
      <c r="GW241" s="317"/>
      <c r="GX241" s="317"/>
      <c r="GY241" s="317"/>
      <c r="GZ241" s="630">
        <f>(IF(GZ222=0,0,GZ240/GZ222))</f>
        <v>0</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0</v>
      </c>
      <c r="BY242" s="609">
        <f t="shared" si="278"/>
        <v>0</v>
      </c>
      <c r="BZ242" s="609">
        <f t="shared" si="278"/>
        <v>0</v>
      </c>
      <c r="CA242" s="609">
        <f t="shared" si="278"/>
        <v>0</v>
      </c>
      <c r="CB242" s="609">
        <f t="shared" si="278"/>
        <v>0</v>
      </c>
      <c r="CC242" s="609">
        <f t="shared" si="278"/>
        <v>0</v>
      </c>
      <c r="CD242" s="609">
        <f t="shared" si="278"/>
        <v>0</v>
      </c>
      <c r="CE242" s="609">
        <f t="shared" si="278"/>
        <v>0</v>
      </c>
      <c r="CF242" s="609">
        <f t="shared" si="278"/>
        <v>0</v>
      </c>
      <c r="CG242" s="609">
        <f t="shared" si="278"/>
        <v>0</v>
      </c>
      <c r="CH242" s="609">
        <f t="shared" si="278"/>
        <v>0</v>
      </c>
      <c r="CI242" s="609">
        <f t="shared" si="278"/>
        <v>0</v>
      </c>
      <c r="CJ242" s="609">
        <f t="shared" si="278"/>
        <v>0</v>
      </c>
      <c r="CK242" s="609">
        <f t="shared" si="278"/>
        <v>0</v>
      </c>
      <c r="CL242" s="609">
        <f t="shared" si="278"/>
        <v>0</v>
      </c>
      <c r="CM242" s="609">
        <f t="shared" si="278"/>
        <v>0</v>
      </c>
      <c r="CN242" s="609">
        <f t="shared" si="278"/>
        <v>0</v>
      </c>
      <c r="CO242" s="609">
        <f t="shared" si="278"/>
        <v>0</v>
      </c>
      <c r="CP242" s="609">
        <f t="shared" si="278"/>
        <v>0</v>
      </c>
      <c r="CQ242" s="609">
        <f t="shared" si="278"/>
        <v>0</v>
      </c>
      <c r="CR242" s="609">
        <f t="shared" si="278"/>
        <v>0</v>
      </c>
      <c r="CS242" s="609">
        <f t="shared" si="278"/>
        <v>0</v>
      </c>
      <c r="CT242" s="609">
        <f t="shared" si="278"/>
        <v>0</v>
      </c>
      <c r="CU242" s="609">
        <f t="shared" si="278"/>
        <v>0</v>
      </c>
      <c r="CV242" s="609">
        <f t="shared" si="278"/>
        <v>0</v>
      </c>
      <c r="CW242" s="609">
        <f t="shared" si="278"/>
        <v>0</v>
      </c>
      <c r="CX242" s="609">
        <f t="shared" si="278"/>
        <v>0</v>
      </c>
      <c r="CY242" s="609">
        <f t="shared" si="278"/>
        <v>0</v>
      </c>
      <c r="CZ242" s="609">
        <f t="shared" si="278"/>
        <v>0</v>
      </c>
      <c r="DA242" s="609">
        <f t="shared" si="278"/>
        <v>0</v>
      </c>
      <c r="DB242" s="609">
        <f t="shared" si="278"/>
        <v>0</v>
      </c>
      <c r="DC242" s="609">
        <f t="shared" si="278"/>
        <v>0</v>
      </c>
      <c r="DD242" s="609">
        <f t="shared" si="278"/>
        <v>0</v>
      </c>
      <c r="DE242" s="609">
        <f t="shared" si="278"/>
        <v>0</v>
      </c>
      <c r="DF242" s="609">
        <f t="shared" ref="DF242:FQ242" si="279">IF(DF222=0,0,IF(DF44&gt;0,-DJ44,IF(CZ242&gt;0,CZ242,0)))</f>
        <v>0</v>
      </c>
      <c r="DG242" s="609">
        <f t="shared" si="279"/>
        <v>0</v>
      </c>
      <c r="DH242" s="609">
        <f t="shared" si="279"/>
        <v>0</v>
      </c>
      <c r="DI242" s="609">
        <f t="shared" si="279"/>
        <v>0</v>
      </c>
      <c r="DJ242" s="609">
        <f t="shared" si="279"/>
        <v>0</v>
      </c>
      <c r="DK242" s="609">
        <f t="shared" si="279"/>
        <v>0</v>
      </c>
      <c r="DL242" s="609">
        <f t="shared" si="279"/>
        <v>0</v>
      </c>
      <c r="DM242" s="609">
        <f t="shared" si="279"/>
        <v>0</v>
      </c>
      <c r="DN242" s="609">
        <f t="shared" si="279"/>
        <v>0</v>
      </c>
      <c r="DO242" s="609">
        <f t="shared" si="279"/>
        <v>0</v>
      </c>
      <c r="DP242" s="609">
        <f t="shared" si="279"/>
        <v>0</v>
      </c>
      <c r="DQ242" s="609">
        <f t="shared" si="279"/>
        <v>0</v>
      </c>
      <c r="DR242" s="609">
        <f t="shared" si="279"/>
        <v>0</v>
      </c>
      <c r="DS242" s="609">
        <f t="shared" si="279"/>
        <v>0</v>
      </c>
      <c r="DT242" s="609">
        <f t="shared" si="279"/>
        <v>0</v>
      </c>
      <c r="DU242" s="609">
        <f t="shared" si="279"/>
        <v>0</v>
      </c>
      <c r="DV242" s="609">
        <f t="shared" si="279"/>
        <v>0</v>
      </c>
      <c r="DW242" s="609">
        <f t="shared" si="279"/>
        <v>0</v>
      </c>
      <c r="DX242" s="609">
        <f t="shared" si="279"/>
        <v>0</v>
      </c>
      <c r="DY242" s="609">
        <f t="shared" si="279"/>
        <v>0</v>
      </c>
      <c r="DZ242" s="609">
        <f t="shared" si="279"/>
        <v>0</v>
      </c>
      <c r="EA242" s="609">
        <f t="shared" si="279"/>
        <v>0</v>
      </c>
      <c r="EB242" s="609">
        <f t="shared" si="279"/>
        <v>0</v>
      </c>
      <c r="EC242" s="609">
        <f t="shared" si="279"/>
        <v>0</v>
      </c>
      <c r="ED242" s="609">
        <f t="shared" si="279"/>
        <v>0</v>
      </c>
      <c r="EE242" s="609">
        <f t="shared" si="279"/>
        <v>0</v>
      </c>
      <c r="EF242" s="609">
        <f t="shared" si="279"/>
        <v>0</v>
      </c>
      <c r="EG242" s="609">
        <f t="shared" si="279"/>
        <v>0</v>
      </c>
      <c r="EH242" s="609">
        <f t="shared" si="279"/>
        <v>0</v>
      </c>
      <c r="EI242" s="609">
        <f t="shared" si="279"/>
        <v>0</v>
      </c>
      <c r="EJ242" s="609">
        <f t="shared" si="279"/>
        <v>0</v>
      </c>
      <c r="EK242" s="609">
        <f t="shared" si="279"/>
        <v>0</v>
      </c>
      <c r="EL242" s="609">
        <f t="shared" si="279"/>
        <v>0</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v>
      </c>
      <c r="BY243" s="651">
        <f t="shared" si="281"/>
        <v>0</v>
      </c>
      <c r="BZ243" s="651">
        <f t="shared" si="281"/>
        <v>0</v>
      </c>
      <c r="CA243" s="651">
        <f t="shared" si="281"/>
        <v>0</v>
      </c>
      <c r="CB243" s="651">
        <f t="shared" si="281"/>
        <v>0</v>
      </c>
      <c r="CC243" s="651">
        <f t="shared" si="281"/>
        <v>0</v>
      </c>
      <c r="CD243" s="651">
        <f t="shared" si="281"/>
        <v>0</v>
      </c>
      <c r="CE243" s="651">
        <f t="shared" si="281"/>
        <v>0</v>
      </c>
      <c r="CF243" s="651">
        <f t="shared" si="281"/>
        <v>0</v>
      </c>
      <c r="CG243" s="651">
        <f t="shared" si="281"/>
        <v>0</v>
      </c>
      <c r="CH243" s="651">
        <f t="shared" si="281"/>
        <v>0</v>
      </c>
      <c r="CI243" s="651">
        <f t="shared" si="281"/>
        <v>0</v>
      </c>
      <c r="CJ243" s="651">
        <f t="shared" si="281"/>
        <v>0</v>
      </c>
      <c r="CK243" s="651">
        <f t="shared" si="281"/>
        <v>0</v>
      </c>
      <c r="CL243" s="651">
        <f t="shared" si="281"/>
        <v>0</v>
      </c>
      <c r="CM243" s="651">
        <f t="shared" si="281"/>
        <v>0</v>
      </c>
      <c r="CN243" s="651">
        <f t="shared" si="281"/>
        <v>0</v>
      </c>
      <c r="CO243" s="651">
        <f t="shared" si="281"/>
        <v>0</v>
      </c>
      <c r="CP243" s="651">
        <f t="shared" si="281"/>
        <v>0</v>
      </c>
      <c r="CQ243" s="651">
        <f t="shared" si="281"/>
        <v>0</v>
      </c>
      <c r="CR243" s="651">
        <f t="shared" si="281"/>
        <v>0</v>
      </c>
      <c r="CS243" s="651">
        <f t="shared" si="281"/>
        <v>0</v>
      </c>
      <c r="CT243" s="651">
        <f t="shared" si="281"/>
        <v>0</v>
      </c>
      <c r="CU243" s="651">
        <f t="shared" si="281"/>
        <v>0</v>
      </c>
      <c r="CV243" s="651">
        <f t="shared" si="281"/>
        <v>0</v>
      </c>
      <c r="CW243" s="651">
        <f t="shared" si="281"/>
        <v>0</v>
      </c>
      <c r="CX243" s="651">
        <f t="shared" si="281"/>
        <v>0</v>
      </c>
      <c r="CY243" s="651">
        <f t="shared" si="281"/>
        <v>0</v>
      </c>
      <c r="CZ243" s="651">
        <f t="shared" si="281"/>
        <v>0</v>
      </c>
      <c r="DA243" s="651">
        <f t="shared" si="281"/>
        <v>0</v>
      </c>
      <c r="DB243" s="651">
        <f t="shared" si="281"/>
        <v>0</v>
      </c>
      <c r="DC243" s="651">
        <f t="shared" si="281"/>
        <v>0</v>
      </c>
      <c r="DD243" s="651">
        <f t="shared" si="281"/>
        <v>0</v>
      </c>
      <c r="DE243" s="651">
        <f t="shared" si="281"/>
        <v>0</v>
      </c>
      <c r="DF243" s="651">
        <f t="shared" si="281"/>
        <v>0</v>
      </c>
      <c r="DG243" s="651">
        <f t="shared" ref="DG243:FR243" si="282">IF(DG222=0,0,DG242/DG222)</f>
        <v>0</v>
      </c>
      <c r="DH243" s="651">
        <f t="shared" si="282"/>
        <v>0</v>
      </c>
      <c r="DI243" s="651">
        <f t="shared" si="282"/>
        <v>0</v>
      </c>
      <c r="DJ243" s="651">
        <f t="shared" si="282"/>
        <v>0</v>
      </c>
      <c r="DK243" s="651">
        <f t="shared" si="282"/>
        <v>0</v>
      </c>
      <c r="DL243" s="651">
        <f t="shared" si="282"/>
        <v>0</v>
      </c>
      <c r="DM243" s="651">
        <f t="shared" si="282"/>
        <v>0</v>
      </c>
      <c r="DN243" s="651">
        <f t="shared" si="282"/>
        <v>0</v>
      </c>
      <c r="DO243" s="651">
        <f t="shared" si="282"/>
        <v>0</v>
      </c>
      <c r="DP243" s="651">
        <f t="shared" si="282"/>
        <v>0</v>
      </c>
      <c r="DQ243" s="651">
        <f t="shared" si="282"/>
        <v>0</v>
      </c>
      <c r="DR243" s="651">
        <f t="shared" si="282"/>
        <v>0</v>
      </c>
      <c r="DS243" s="651">
        <f t="shared" si="282"/>
        <v>0</v>
      </c>
      <c r="DT243" s="651">
        <f t="shared" si="282"/>
        <v>0</v>
      </c>
      <c r="DU243" s="651">
        <f t="shared" si="282"/>
        <v>0</v>
      </c>
      <c r="DV243" s="651">
        <f t="shared" si="282"/>
        <v>0</v>
      </c>
      <c r="DW243" s="651">
        <f t="shared" si="282"/>
        <v>0</v>
      </c>
      <c r="DX243" s="651">
        <f t="shared" si="282"/>
        <v>0</v>
      </c>
      <c r="DY243" s="651">
        <f t="shared" si="282"/>
        <v>0</v>
      </c>
      <c r="DZ243" s="651">
        <f t="shared" si="282"/>
        <v>0</v>
      </c>
      <c r="EA243" s="651">
        <f t="shared" si="282"/>
        <v>0</v>
      </c>
      <c r="EB243" s="651">
        <f t="shared" si="282"/>
        <v>0</v>
      </c>
      <c r="EC243" s="651">
        <f t="shared" si="282"/>
        <v>0</v>
      </c>
      <c r="ED243" s="651">
        <f t="shared" si="282"/>
        <v>0</v>
      </c>
      <c r="EE243" s="651">
        <f t="shared" si="282"/>
        <v>0</v>
      </c>
      <c r="EF243" s="651">
        <f t="shared" si="282"/>
        <v>0</v>
      </c>
      <c r="EG243" s="651">
        <f t="shared" si="282"/>
        <v>0</v>
      </c>
      <c r="EH243" s="651">
        <f t="shared" si="282"/>
        <v>0</v>
      </c>
      <c r="EI243" s="651">
        <f t="shared" si="282"/>
        <v>0</v>
      </c>
      <c r="EJ243" s="651">
        <f t="shared" si="282"/>
        <v>0</v>
      </c>
      <c r="EK243" s="651">
        <f t="shared" si="282"/>
        <v>0</v>
      </c>
      <c r="EL243" s="651">
        <f t="shared" si="282"/>
        <v>0</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628588.04</v>
      </c>
      <c r="V244" s="654">
        <f>V38</f>
        <v>628588.04</v>
      </c>
      <c r="W244" s="605"/>
      <c r="X244" s="606"/>
      <c r="Y244" s="606"/>
      <c r="Z244" s="605"/>
      <c r="AA244" s="605"/>
      <c r="AB244" s="654">
        <f>AB38</f>
        <v>628588.04</v>
      </c>
      <c r="AC244" s="607"/>
      <c r="AD244" s="608"/>
      <c r="AE244" s="608"/>
      <c r="AF244" s="607"/>
      <c r="AG244" s="607"/>
      <c r="AH244" s="654">
        <f>AH38</f>
        <v>628588.04</v>
      </c>
      <c r="AI244" s="605"/>
      <c r="AJ244" s="606"/>
      <c r="AK244" s="606"/>
      <c r="AL244" s="605"/>
      <c r="AM244" s="605"/>
      <c r="AN244" s="654">
        <f>AN38</f>
        <v>628588.04</v>
      </c>
      <c r="AO244" s="439"/>
      <c r="AP244" s="530"/>
      <c r="AQ244" s="530"/>
      <c r="AR244" s="439"/>
      <c r="AS244" s="439"/>
      <c r="AT244" s="609">
        <f>AT229+(AT232*9.786)+(AT235*278)+(AT242*278)+AT240</f>
        <v>310479.83125238086</v>
      </c>
      <c r="AU244" s="609">
        <f t="shared" ref="AU244:DF244" si="284">AU229+(AU232*9.786)+(AU235*278)+(AU242*278)+AU240</f>
        <v>0</v>
      </c>
      <c r="AV244" s="609">
        <f t="shared" si="284"/>
        <v>0</v>
      </c>
      <c r="AW244" s="609">
        <f t="shared" si="284"/>
        <v>0</v>
      </c>
      <c r="AX244" s="609">
        <f t="shared" si="284"/>
        <v>0</v>
      </c>
      <c r="AY244" s="609">
        <f t="shared" si="284"/>
        <v>0</v>
      </c>
      <c r="AZ244" s="609">
        <f t="shared" si="284"/>
        <v>310479.83125238086</v>
      </c>
      <c r="BA244" s="609">
        <f t="shared" si="284"/>
        <v>0</v>
      </c>
      <c r="BB244" s="609">
        <f t="shared" si="284"/>
        <v>0</v>
      </c>
      <c r="BC244" s="609">
        <f t="shared" si="284"/>
        <v>0</v>
      </c>
      <c r="BD244" s="609">
        <f t="shared" si="284"/>
        <v>0</v>
      </c>
      <c r="BE244" s="609">
        <f t="shared" si="284"/>
        <v>0</v>
      </c>
      <c r="BF244" s="609">
        <f t="shared" si="284"/>
        <v>310479.83125238086</v>
      </c>
      <c r="BG244" s="609">
        <f t="shared" si="284"/>
        <v>0</v>
      </c>
      <c r="BH244" s="609">
        <f t="shared" si="284"/>
        <v>0</v>
      </c>
      <c r="BI244" s="609">
        <f t="shared" si="284"/>
        <v>0</v>
      </c>
      <c r="BJ244" s="609">
        <f t="shared" si="284"/>
        <v>0</v>
      </c>
      <c r="BK244" s="609">
        <f t="shared" si="284"/>
        <v>0</v>
      </c>
      <c r="BL244" s="609">
        <f t="shared" si="284"/>
        <v>310479.83125238086</v>
      </c>
      <c r="BM244" s="609">
        <f t="shared" si="284"/>
        <v>0</v>
      </c>
      <c r="BN244" s="609">
        <f t="shared" si="284"/>
        <v>0</v>
      </c>
      <c r="BO244" s="609">
        <f t="shared" si="284"/>
        <v>0</v>
      </c>
      <c r="BP244" s="609">
        <f t="shared" si="284"/>
        <v>0</v>
      </c>
      <c r="BQ244" s="609">
        <f t="shared" si="284"/>
        <v>0</v>
      </c>
      <c r="BR244" s="609">
        <f t="shared" si="284"/>
        <v>310479.83125238086</v>
      </c>
      <c r="BS244" s="609">
        <f t="shared" si="284"/>
        <v>0</v>
      </c>
      <c r="BT244" s="609">
        <f t="shared" si="284"/>
        <v>0</v>
      </c>
      <c r="BU244" s="609">
        <f t="shared" si="284"/>
        <v>0</v>
      </c>
      <c r="BV244" s="609">
        <f t="shared" si="284"/>
        <v>0</v>
      </c>
      <c r="BW244" s="609">
        <f t="shared" si="284"/>
        <v>0</v>
      </c>
      <c r="BX244" s="609">
        <f t="shared" si="284"/>
        <v>310479.83125238086</v>
      </c>
      <c r="BY244" s="609">
        <f t="shared" si="284"/>
        <v>0</v>
      </c>
      <c r="BZ244" s="609">
        <f t="shared" si="284"/>
        <v>0</v>
      </c>
      <c r="CA244" s="609">
        <f t="shared" si="284"/>
        <v>0</v>
      </c>
      <c r="CB244" s="609">
        <f t="shared" si="284"/>
        <v>0</v>
      </c>
      <c r="CC244" s="609">
        <f t="shared" si="284"/>
        <v>0</v>
      </c>
      <c r="CD244" s="609">
        <f t="shared" si="284"/>
        <v>310479.83125238086</v>
      </c>
      <c r="CE244" s="609">
        <f t="shared" si="284"/>
        <v>0</v>
      </c>
      <c r="CF244" s="609">
        <f t="shared" si="284"/>
        <v>0</v>
      </c>
      <c r="CG244" s="609">
        <f t="shared" si="284"/>
        <v>0</v>
      </c>
      <c r="CH244" s="609">
        <f t="shared" si="284"/>
        <v>0</v>
      </c>
      <c r="CI244" s="609">
        <f t="shared" si="284"/>
        <v>0</v>
      </c>
      <c r="CJ244" s="609">
        <f t="shared" si="284"/>
        <v>310479.83125238086</v>
      </c>
      <c r="CK244" s="609">
        <f t="shared" si="284"/>
        <v>0</v>
      </c>
      <c r="CL244" s="609">
        <f t="shared" si="284"/>
        <v>0</v>
      </c>
      <c r="CM244" s="609">
        <f t="shared" si="284"/>
        <v>0</v>
      </c>
      <c r="CN244" s="609">
        <f t="shared" si="284"/>
        <v>0</v>
      </c>
      <c r="CO244" s="609">
        <f t="shared" si="284"/>
        <v>0</v>
      </c>
      <c r="CP244" s="609">
        <f t="shared" si="284"/>
        <v>310479.83125238086</v>
      </c>
      <c r="CQ244" s="609">
        <f t="shared" si="284"/>
        <v>0</v>
      </c>
      <c r="CR244" s="609">
        <f t="shared" si="284"/>
        <v>0</v>
      </c>
      <c r="CS244" s="609">
        <f t="shared" si="284"/>
        <v>0</v>
      </c>
      <c r="CT244" s="609">
        <f t="shared" si="284"/>
        <v>0</v>
      </c>
      <c r="CU244" s="609">
        <f t="shared" si="284"/>
        <v>0</v>
      </c>
      <c r="CV244" s="609">
        <f t="shared" si="284"/>
        <v>0</v>
      </c>
      <c r="CW244" s="609">
        <f t="shared" si="284"/>
        <v>0</v>
      </c>
      <c r="CX244" s="609">
        <f t="shared" si="284"/>
        <v>0</v>
      </c>
      <c r="CY244" s="609">
        <f t="shared" si="284"/>
        <v>0</v>
      </c>
      <c r="CZ244" s="609">
        <f t="shared" si="284"/>
        <v>0</v>
      </c>
      <c r="DA244" s="609">
        <f t="shared" si="284"/>
        <v>0</v>
      </c>
      <c r="DB244" s="609">
        <f t="shared" si="284"/>
        <v>0</v>
      </c>
      <c r="DC244" s="609">
        <f t="shared" si="284"/>
        <v>0</v>
      </c>
      <c r="DD244" s="609">
        <f t="shared" si="284"/>
        <v>0</v>
      </c>
      <c r="DE244" s="609">
        <f t="shared" si="284"/>
        <v>0</v>
      </c>
      <c r="DF244" s="609">
        <f t="shared" si="284"/>
        <v>0</v>
      </c>
      <c r="DG244" s="609">
        <f t="shared" ref="DG244:FR244" si="285">DG229+(DG232*9.786)+(DG235*278)+(DG242*278)+DG240</f>
        <v>0</v>
      </c>
      <c r="DH244" s="609">
        <f t="shared" si="285"/>
        <v>0</v>
      </c>
      <c r="DI244" s="609">
        <f t="shared" si="285"/>
        <v>0</v>
      </c>
      <c r="DJ244" s="609">
        <f t="shared" si="285"/>
        <v>0</v>
      </c>
      <c r="DK244" s="609">
        <f t="shared" si="285"/>
        <v>0</v>
      </c>
      <c r="DL244" s="609">
        <f t="shared" si="285"/>
        <v>0</v>
      </c>
      <c r="DM244" s="609">
        <f t="shared" si="285"/>
        <v>0</v>
      </c>
      <c r="DN244" s="609">
        <f t="shared" si="285"/>
        <v>0</v>
      </c>
      <c r="DO244" s="609">
        <f t="shared" si="285"/>
        <v>0</v>
      </c>
      <c r="DP244" s="609">
        <f t="shared" si="285"/>
        <v>0</v>
      </c>
      <c r="DQ244" s="609">
        <f t="shared" si="285"/>
        <v>0</v>
      </c>
      <c r="DR244" s="609">
        <f t="shared" si="285"/>
        <v>0</v>
      </c>
      <c r="DS244" s="609">
        <f t="shared" si="285"/>
        <v>0</v>
      </c>
      <c r="DT244" s="609">
        <f t="shared" si="285"/>
        <v>0</v>
      </c>
      <c r="DU244" s="609">
        <f t="shared" si="285"/>
        <v>0</v>
      </c>
      <c r="DV244" s="609">
        <f t="shared" si="285"/>
        <v>0</v>
      </c>
      <c r="DW244" s="609">
        <f t="shared" si="285"/>
        <v>0</v>
      </c>
      <c r="DX244" s="609">
        <f t="shared" si="285"/>
        <v>0</v>
      </c>
      <c r="DY244" s="609">
        <f t="shared" si="285"/>
        <v>0</v>
      </c>
      <c r="DZ244" s="609">
        <f t="shared" si="285"/>
        <v>0</v>
      </c>
      <c r="EA244" s="609">
        <f t="shared" si="285"/>
        <v>0</v>
      </c>
      <c r="EB244" s="609">
        <f t="shared" si="285"/>
        <v>0</v>
      </c>
      <c r="EC244" s="609">
        <f t="shared" si="285"/>
        <v>0</v>
      </c>
      <c r="ED244" s="609">
        <f t="shared" si="285"/>
        <v>0</v>
      </c>
      <c r="EE244" s="609">
        <f t="shared" si="285"/>
        <v>0</v>
      </c>
      <c r="EF244" s="609">
        <f t="shared" si="285"/>
        <v>0</v>
      </c>
      <c r="EG244" s="609">
        <f t="shared" si="285"/>
        <v>0</v>
      </c>
      <c r="EH244" s="609">
        <f t="shared" si="285"/>
        <v>0</v>
      </c>
      <c r="EI244" s="609">
        <f t="shared" si="285"/>
        <v>0</v>
      </c>
      <c r="EJ244" s="609">
        <f t="shared" si="285"/>
        <v>0</v>
      </c>
      <c r="EK244" s="609">
        <f t="shared" si="285"/>
        <v>0</v>
      </c>
      <c r="EL244" s="609">
        <f t="shared" si="285"/>
        <v>0</v>
      </c>
      <c r="EM244" s="609">
        <f t="shared" si="285"/>
        <v>0</v>
      </c>
      <c r="EN244" s="609">
        <f t="shared" si="285"/>
        <v>0</v>
      </c>
      <c r="EO244" s="609">
        <f t="shared" si="285"/>
        <v>0</v>
      </c>
      <c r="EP244" s="609">
        <f t="shared" si="285"/>
        <v>0</v>
      </c>
      <c r="EQ244" s="609">
        <f t="shared" si="285"/>
        <v>0</v>
      </c>
      <c r="ER244" s="609">
        <f t="shared" si="285"/>
        <v>0</v>
      </c>
      <c r="ES244" s="609">
        <f t="shared" si="285"/>
        <v>0</v>
      </c>
      <c r="ET244" s="609">
        <f t="shared" si="285"/>
        <v>0</v>
      </c>
      <c r="EU244" s="609">
        <f t="shared" si="285"/>
        <v>0</v>
      </c>
      <c r="EV244" s="609">
        <f t="shared" si="285"/>
        <v>0</v>
      </c>
      <c r="EW244" s="609">
        <f t="shared" si="285"/>
        <v>0</v>
      </c>
      <c r="EX244" s="609">
        <f t="shared" si="285"/>
        <v>0</v>
      </c>
      <c r="EY244" s="609">
        <f t="shared" si="285"/>
        <v>0</v>
      </c>
      <c r="EZ244" s="609">
        <f t="shared" si="285"/>
        <v>0</v>
      </c>
      <c r="FA244" s="609">
        <f t="shared" si="285"/>
        <v>0</v>
      </c>
      <c r="FB244" s="609">
        <f t="shared" si="285"/>
        <v>0</v>
      </c>
      <c r="FC244" s="609">
        <f t="shared" si="285"/>
        <v>0</v>
      </c>
      <c r="FD244" s="609">
        <f t="shared" si="285"/>
        <v>0</v>
      </c>
      <c r="FE244" s="609">
        <f t="shared" si="285"/>
        <v>0</v>
      </c>
      <c r="FF244" s="609">
        <f t="shared" si="285"/>
        <v>0</v>
      </c>
      <c r="FG244" s="609">
        <f t="shared" si="285"/>
        <v>0</v>
      </c>
      <c r="FH244" s="609">
        <f t="shared" si="285"/>
        <v>0</v>
      </c>
      <c r="FI244" s="609">
        <f t="shared" si="285"/>
        <v>0</v>
      </c>
      <c r="FJ244" s="609">
        <f t="shared" si="285"/>
        <v>0</v>
      </c>
      <c r="FK244" s="609">
        <f t="shared" si="285"/>
        <v>0</v>
      </c>
      <c r="FL244" s="609">
        <f t="shared" si="285"/>
        <v>0</v>
      </c>
      <c r="FM244" s="609">
        <f t="shared" si="285"/>
        <v>0</v>
      </c>
      <c r="FN244" s="609">
        <f t="shared" si="285"/>
        <v>0</v>
      </c>
      <c r="FO244" s="609">
        <f t="shared" si="285"/>
        <v>0</v>
      </c>
      <c r="FP244" s="609">
        <f t="shared" si="285"/>
        <v>0</v>
      </c>
      <c r="FQ244" s="609">
        <f t="shared" si="285"/>
        <v>0</v>
      </c>
      <c r="FR244" s="609">
        <f t="shared" si="285"/>
        <v>0</v>
      </c>
      <c r="FS244" s="609">
        <f t="shared" ref="FS244:GZ244" si="286">FS229+(FS232*9.786)+(FS235*278)+(FS242*278)+FS240</f>
        <v>0</v>
      </c>
      <c r="FT244" s="609">
        <f t="shared" si="286"/>
        <v>0</v>
      </c>
      <c r="FU244" s="609">
        <f t="shared" si="286"/>
        <v>0</v>
      </c>
      <c r="FV244" s="609">
        <f t="shared" si="286"/>
        <v>0</v>
      </c>
      <c r="FW244" s="609">
        <f t="shared" si="286"/>
        <v>0</v>
      </c>
      <c r="FX244" s="609">
        <f t="shared" si="286"/>
        <v>0</v>
      </c>
      <c r="FY244" s="609">
        <f t="shared" si="286"/>
        <v>0</v>
      </c>
      <c r="FZ244" s="609">
        <f t="shared" si="286"/>
        <v>0</v>
      </c>
      <c r="GA244" s="609">
        <f t="shared" si="286"/>
        <v>0</v>
      </c>
      <c r="GB244" s="609">
        <f t="shared" si="286"/>
        <v>0</v>
      </c>
      <c r="GC244" s="609">
        <f t="shared" si="286"/>
        <v>0</v>
      </c>
      <c r="GD244" s="609">
        <f t="shared" si="286"/>
        <v>0</v>
      </c>
      <c r="GE244" s="609">
        <f t="shared" si="286"/>
        <v>0</v>
      </c>
      <c r="GF244" s="609">
        <f t="shared" si="286"/>
        <v>0</v>
      </c>
      <c r="GG244" s="609">
        <f t="shared" si="286"/>
        <v>0</v>
      </c>
      <c r="GH244" s="609">
        <f t="shared" si="286"/>
        <v>0</v>
      </c>
      <c r="GI244" s="609">
        <f t="shared" si="286"/>
        <v>0</v>
      </c>
      <c r="GJ244" s="609">
        <f t="shared" si="286"/>
        <v>0</v>
      </c>
      <c r="GK244" s="609">
        <f t="shared" si="286"/>
        <v>0</v>
      </c>
      <c r="GL244" s="609">
        <f t="shared" si="286"/>
        <v>0</v>
      </c>
      <c r="GM244" s="609">
        <f t="shared" si="286"/>
        <v>0</v>
      </c>
      <c r="GN244" s="609">
        <f t="shared" si="286"/>
        <v>0</v>
      </c>
      <c r="GO244" s="609">
        <f t="shared" si="286"/>
        <v>0</v>
      </c>
      <c r="GP244" s="609">
        <f t="shared" si="286"/>
        <v>0</v>
      </c>
      <c r="GQ244" s="609">
        <f t="shared" si="286"/>
        <v>0</v>
      </c>
      <c r="GR244" s="609">
        <f t="shared" si="286"/>
        <v>0</v>
      </c>
      <c r="GS244" s="609">
        <f t="shared" si="286"/>
        <v>0</v>
      </c>
      <c r="GT244" s="609">
        <f t="shared" si="286"/>
        <v>0</v>
      </c>
      <c r="GU244" s="609">
        <f t="shared" si="286"/>
        <v>0</v>
      </c>
      <c r="GV244" s="609">
        <f t="shared" si="286"/>
        <v>0</v>
      </c>
      <c r="GW244" s="609">
        <f t="shared" si="286"/>
        <v>0</v>
      </c>
      <c r="GX244" s="609">
        <f t="shared" si="286"/>
        <v>0</v>
      </c>
      <c r="GY244" s="609">
        <f t="shared" si="286"/>
        <v>0</v>
      </c>
      <c r="GZ244" s="609">
        <f t="shared" si="286"/>
        <v>0</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226.18891415740688</v>
      </c>
      <c r="V245" s="551">
        <f>IF(V222=0,0,V244/V222)</f>
        <v>226.18891415740688</v>
      </c>
      <c r="W245" s="552"/>
      <c r="X245" s="553"/>
      <c r="Y245" s="553"/>
      <c r="Z245" s="552"/>
      <c r="AA245" s="552"/>
      <c r="AB245" s="551">
        <f>IF(AB222=0,0,AB244/AB222)</f>
        <v>226.18891415740688</v>
      </c>
      <c r="AC245" s="552"/>
      <c r="AD245" s="553"/>
      <c r="AE245" s="553"/>
      <c r="AF245" s="552"/>
      <c r="AG245" s="552"/>
      <c r="AH245" s="551">
        <f>IF(AH222=0,0,AH244/AH222)</f>
        <v>226.18891415740688</v>
      </c>
      <c r="AI245" s="552"/>
      <c r="AJ245" s="553"/>
      <c r="AK245" s="553"/>
      <c r="AL245" s="552"/>
      <c r="AM245" s="552"/>
      <c r="AN245" s="551">
        <f>IF(AN222=0,0,AN244/AN222)</f>
        <v>226.18891415740688</v>
      </c>
      <c r="AO245" s="586"/>
      <c r="AP245" s="587"/>
      <c r="AQ245" s="587"/>
      <c r="AR245" s="586"/>
      <c r="AS245" s="586"/>
      <c r="AT245" s="637">
        <f>IF(AT222=0,0,AT244/AT222)</f>
        <v>111.72197278642295</v>
      </c>
      <c r="AU245" s="313"/>
      <c r="AV245" s="314"/>
      <c r="AW245" s="314"/>
      <c r="AX245" s="313"/>
      <c r="AY245" s="313"/>
      <c r="AZ245" s="551">
        <f>IF(AZ222=0,0,AZ244/AZ222)</f>
        <v>111.72197278642295</v>
      </c>
      <c r="BA245" s="313"/>
      <c r="BB245" s="314"/>
      <c r="BC245" s="314"/>
      <c r="BD245" s="313"/>
      <c r="BE245" s="313"/>
      <c r="BF245" s="551">
        <f>IF(BF222=0,0,BF244/BF222)</f>
        <v>111.72197278642295</v>
      </c>
      <c r="BG245" s="313"/>
      <c r="BH245" s="314"/>
      <c r="BI245" s="314"/>
      <c r="BJ245" s="313"/>
      <c r="BK245" s="313"/>
      <c r="BL245" s="551">
        <f>IF(BL222=0,0,BL244/BL222)</f>
        <v>111.72197278642295</v>
      </c>
      <c r="BM245" s="313"/>
      <c r="BN245" s="314"/>
      <c r="BO245" s="314"/>
      <c r="BP245" s="313"/>
      <c r="BQ245" s="313"/>
      <c r="BR245" s="551">
        <f>IF(BR222=0,0,BR244/BR222)</f>
        <v>111.72197278642295</v>
      </c>
      <c r="BS245" s="552"/>
      <c r="BT245" s="553"/>
      <c r="BU245" s="553"/>
      <c r="BV245" s="552"/>
      <c r="BW245" s="552"/>
      <c r="BX245" s="551">
        <f>IF(BX222=0,0,BX244/BX222)</f>
        <v>111.72197278642295</v>
      </c>
      <c r="BY245" s="313"/>
      <c r="BZ245" s="314"/>
      <c r="CA245" s="314"/>
      <c r="CB245" s="313"/>
      <c r="CC245" s="313"/>
      <c r="CD245" s="551">
        <f>IF(CD222=0,0,CD244/CD222)</f>
        <v>111.72197278642295</v>
      </c>
      <c r="CE245" s="313"/>
      <c r="CF245" s="314"/>
      <c r="CG245" s="314"/>
      <c r="CH245" s="313"/>
      <c r="CI245" s="313"/>
      <c r="CJ245" s="551">
        <f>IF(CJ222=0,0,CJ244/CJ222)</f>
        <v>111.72197278642295</v>
      </c>
      <c r="CK245" s="313"/>
      <c r="CL245" s="314"/>
      <c r="CM245" s="314"/>
      <c r="CN245" s="313"/>
      <c r="CO245" s="313"/>
      <c r="CP245" s="551">
        <f>IF(CP222=0,0,CP244/CP222)</f>
        <v>111.72197278642295</v>
      </c>
      <c r="CQ245" s="554"/>
      <c r="CR245" s="553"/>
      <c r="CS245" s="553"/>
      <c r="CT245" s="554"/>
      <c r="CU245" s="554"/>
      <c r="CV245" s="551">
        <f>IF(CV222=0,0,CV244/CV222)</f>
        <v>0</v>
      </c>
      <c r="CW245" s="554"/>
      <c r="CX245" s="553"/>
      <c r="CY245" s="553"/>
      <c r="CZ245" s="554"/>
      <c r="DA245" s="554"/>
      <c r="DB245" s="551">
        <f>IF(DB222=0,0,DB244/DB222)</f>
        <v>0</v>
      </c>
      <c r="DC245" s="313"/>
      <c r="DD245" s="314"/>
      <c r="DE245" s="314"/>
      <c r="DF245" s="313"/>
      <c r="DG245" s="313"/>
      <c r="DH245" s="551">
        <f>IF(DH222=0,0,DH244/DH222)</f>
        <v>0</v>
      </c>
      <c r="DI245" s="313"/>
      <c r="DJ245" s="314"/>
      <c r="DK245" s="314"/>
      <c r="DL245" s="313"/>
      <c r="DM245" s="313"/>
      <c r="DN245" s="551">
        <f>IF(DN222=0,0,DN244/DN222)</f>
        <v>0</v>
      </c>
      <c r="DO245" s="313"/>
      <c r="DP245" s="314"/>
      <c r="DQ245" s="314"/>
      <c r="DR245" s="313"/>
      <c r="DS245" s="313"/>
      <c r="DT245" s="551">
        <f>IF(DT222=0,0,DT244/DT222)</f>
        <v>0</v>
      </c>
      <c r="DU245" s="313"/>
      <c r="DV245" s="314"/>
      <c r="DW245" s="314"/>
      <c r="DX245" s="313"/>
      <c r="DY245" s="313"/>
      <c r="DZ245" s="551">
        <f>IF(DZ222=0,0,DZ244/DZ222)</f>
        <v>0</v>
      </c>
      <c r="EA245" s="313"/>
      <c r="EB245" s="314"/>
      <c r="EC245" s="314"/>
      <c r="ED245" s="313"/>
      <c r="EE245" s="313"/>
      <c r="EF245" s="551">
        <f>IF(EF222=0,0,EF244/EF222)</f>
        <v>0</v>
      </c>
      <c r="EG245" s="313"/>
      <c r="EH245" s="314"/>
      <c r="EI245" s="314"/>
      <c r="EJ245" s="313"/>
      <c r="EK245" s="313"/>
      <c r="EL245" s="551">
        <f>IF(EL222=0,0,EL244/EL222)</f>
        <v>0</v>
      </c>
      <c r="EM245" s="313"/>
      <c r="EN245" s="314"/>
      <c r="EO245" s="314"/>
      <c r="EP245" s="313"/>
      <c r="EQ245" s="313"/>
      <c r="ER245" s="551">
        <f>IF(ER222=0,0,ER244/ER222)</f>
        <v>0</v>
      </c>
      <c r="ES245" s="313"/>
      <c r="ET245" s="314"/>
      <c r="EU245" s="314"/>
      <c r="EV245" s="313"/>
      <c r="EW245" s="313"/>
      <c r="EX245" s="551">
        <f>IF(EX222=0,0,EX244/EX222)</f>
        <v>0</v>
      </c>
      <c r="EY245" s="313"/>
      <c r="EZ245" s="314"/>
      <c r="FA245" s="314"/>
      <c r="FB245" s="313"/>
      <c r="FC245" s="313"/>
      <c r="FD245" s="551">
        <f>IF(FD222=0,0,FD244/FD222)</f>
        <v>0</v>
      </c>
      <c r="FE245" s="313"/>
      <c r="FF245" s="314"/>
      <c r="FG245" s="314"/>
      <c r="FH245" s="313"/>
      <c r="FI245" s="313"/>
      <c r="FJ245" s="551">
        <f>IF(FJ222=0,0,FJ244/FJ222)</f>
        <v>0</v>
      </c>
      <c r="FK245" s="313"/>
      <c r="FL245" s="314"/>
      <c r="FM245" s="314"/>
      <c r="FN245" s="313"/>
      <c r="FO245" s="313"/>
      <c r="FP245" s="551">
        <f>IF(FP222=0,0,FP244/FP222)</f>
        <v>0</v>
      </c>
      <c r="FQ245" s="313"/>
      <c r="FR245" s="314"/>
      <c r="FS245" s="314"/>
      <c r="FT245" s="313"/>
      <c r="FU245" s="313"/>
      <c r="FV245" s="551">
        <f>IF(FV222=0,0,FV244/FV222)</f>
        <v>0</v>
      </c>
      <c r="FW245" s="313"/>
      <c r="FX245" s="314"/>
      <c r="FY245" s="314"/>
      <c r="FZ245" s="313"/>
      <c r="GA245" s="313"/>
      <c r="GB245" s="551">
        <f>IF(GB222=0,0,GB244/GB222)</f>
        <v>0</v>
      </c>
      <c r="GC245" s="313"/>
      <c r="GD245" s="314"/>
      <c r="GE245" s="314"/>
      <c r="GF245" s="313"/>
      <c r="GG245" s="313"/>
      <c r="GH245" s="551">
        <f>IF(GH222=0,0,GH244/GH222)</f>
        <v>0</v>
      </c>
      <c r="GI245" s="313"/>
      <c r="GJ245" s="314"/>
      <c r="GK245" s="314"/>
      <c r="GL245" s="313"/>
      <c r="GM245" s="313"/>
      <c r="GN245" s="551">
        <f>IF(GN222=0,0,GN244/GN222)</f>
        <v>0</v>
      </c>
      <c r="GO245" s="313"/>
      <c r="GP245" s="314"/>
      <c r="GQ245" s="314"/>
      <c r="GR245" s="313"/>
      <c r="GS245" s="313"/>
      <c r="GT245" s="551">
        <f>IF(GT222=0,0,GT244/GT222)</f>
        <v>0</v>
      </c>
      <c r="GU245" s="313"/>
      <c r="GV245" s="314"/>
      <c r="GW245" s="314"/>
      <c r="GX245" s="313"/>
      <c r="GY245" s="313"/>
      <c r="GZ245" s="555">
        <f>IF(GZ222=0,0,GZ244/GZ222)</f>
        <v>0</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32545.528000000002</v>
      </c>
      <c r="V247" s="541">
        <f>V229*$C18</f>
        <v>32545.528000000002</v>
      </c>
      <c r="W247" s="542"/>
      <c r="X247" s="543"/>
      <c r="Y247" s="543"/>
      <c r="Z247" s="542"/>
      <c r="AA247" s="542"/>
      <c r="AB247" s="541">
        <f>AB229*$C18</f>
        <v>32545.528000000002</v>
      </c>
      <c r="AC247" s="542"/>
      <c r="AD247" s="543"/>
      <c r="AE247" s="543"/>
      <c r="AF247" s="542"/>
      <c r="AG247" s="542"/>
      <c r="AH247" s="541">
        <f>AH229*$C18</f>
        <v>32545.528000000002</v>
      </c>
      <c r="AI247" s="542"/>
      <c r="AJ247" s="543"/>
      <c r="AK247" s="543"/>
      <c r="AL247" s="542"/>
      <c r="AM247" s="542"/>
      <c r="AN247" s="541">
        <f>AN229*$C18</f>
        <v>32545.528000000002</v>
      </c>
      <c r="AO247" s="560"/>
      <c r="AP247" s="561"/>
      <c r="AQ247" s="561"/>
      <c r="AR247" s="560"/>
      <c r="AS247" s="560"/>
      <c r="AT247" s="540">
        <f>AT229*$C18</f>
        <v>47262.584532904759</v>
      </c>
      <c r="AU247" s="311"/>
      <c r="AV247" s="312"/>
      <c r="AW247" s="312"/>
      <c r="AX247" s="311"/>
      <c r="AY247" s="311"/>
      <c r="AZ247" s="541">
        <f>AZ229*$C18</f>
        <v>47262.584532904759</v>
      </c>
      <c r="BA247" s="311"/>
      <c r="BB247" s="312"/>
      <c r="BC247" s="312"/>
      <c r="BD247" s="311"/>
      <c r="BE247" s="311"/>
      <c r="BF247" s="541">
        <f>BF229*$C18</f>
        <v>47262.584532904759</v>
      </c>
      <c r="BG247" s="311"/>
      <c r="BH247" s="312"/>
      <c r="BI247" s="312"/>
      <c r="BJ247" s="311"/>
      <c r="BK247" s="311"/>
      <c r="BL247" s="541">
        <f>BL229*$C18</f>
        <v>47262.584532904759</v>
      </c>
      <c r="BM247" s="311"/>
      <c r="BN247" s="312"/>
      <c r="BO247" s="312"/>
      <c r="BP247" s="311"/>
      <c r="BQ247" s="311"/>
      <c r="BR247" s="541">
        <f>BR229*$C18</f>
        <v>47262.584532904759</v>
      </c>
      <c r="BS247" s="542"/>
      <c r="BT247" s="543"/>
      <c r="BU247" s="543"/>
      <c r="BV247" s="542"/>
      <c r="BW247" s="542"/>
      <c r="BX247" s="541">
        <f>BX229*$C18</f>
        <v>47262.584532904759</v>
      </c>
      <c r="BY247" s="311"/>
      <c r="BZ247" s="312"/>
      <c r="CA247" s="312"/>
      <c r="CB247" s="311"/>
      <c r="CC247" s="311"/>
      <c r="CD247" s="541">
        <f>CD229*$C18</f>
        <v>47262.584532904759</v>
      </c>
      <c r="CE247" s="311"/>
      <c r="CF247" s="312"/>
      <c r="CG247" s="312"/>
      <c r="CH247" s="311"/>
      <c r="CI247" s="311"/>
      <c r="CJ247" s="541">
        <f>CJ229*$C18</f>
        <v>47262.584532904759</v>
      </c>
      <c r="CK247" s="311"/>
      <c r="CL247" s="312"/>
      <c r="CM247" s="312"/>
      <c r="CN247" s="311"/>
      <c r="CO247" s="311"/>
      <c r="CP247" s="541">
        <f>CP229*$C18</f>
        <v>47262.584532904759</v>
      </c>
      <c r="CQ247" s="544"/>
      <c r="CR247" s="543"/>
      <c r="CS247" s="543"/>
      <c r="CT247" s="544"/>
      <c r="CU247" s="544"/>
      <c r="CV247" s="541">
        <f>CV229*$C18</f>
        <v>0</v>
      </c>
      <c r="CW247" s="544"/>
      <c r="CX247" s="543"/>
      <c r="CY247" s="543"/>
      <c r="CZ247" s="544"/>
      <c r="DA247" s="544"/>
      <c r="DB247" s="541">
        <f>DB229*$C18</f>
        <v>0</v>
      </c>
      <c r="DC247" s="311"/>
      <c r="DD247" s="312"/>
      <c r="DE247" s="312"/>
      <c r="DF247" s="311"/>
      <c r="DG247" s="311"/>
      <c r="DH247" s="541">
        <f>DH229*$C18</f>
        <v>0</v>
      </c>
      <c r="DI247" s="311"/>
      <c r="DJ247" s="312"/>
      <c r="DK247" s="312"/>
      <c r="DL247" s="311"/>
      <c r="DM247" s="311"/>
      <c r="DN247" s="541">
        <f>DN229*$C18</f>
        <v>0</v>
      </c>
      <c r="DO247" s="311"/>
      <c r="DP247" s="312"/>
      <c r="DQ247" s="312"/>
      <c r="DR247" s="311"/>
      <c r="DS247" s="311"/>
      <c r="DT247" s="541">
        <f>DT229*$C18</f>
        <v>0</v>
      </c>
      <c r="DU247" s="311"/>
      <c r="DV247" s="312"/>
      <c r="DW247" s="312"/>
      <c r="DX247" s="311"/>
      <c r="DY247" s="311"/>
      <c r="DZ247" s="541">
        <f>DZ229*$C18</f>
        <v>0</v>
      </c>
      <c r="EA247" s="311"/>
      <c r="EB247" s="312"/>
      <c r="EC247" s="312"/>
      <c r="ED247" s="311"/>
      <c r="EE247" s="311"/>
      <c r="EF247" s="541">
        <f>EF229*$C18</f>
        <v>0</v>
      </c>
      <c r="EG247" s="311"/>
      <c r="EH247" s="312"/>
      <c r="EI247" s="312"/>
      <c r="EJ247" s="311"/>
      <c r="EK247" s="311"/>
      <c r="EL247" s="541">
        <f>EL229*$C18</f>
        <v>0</v>
      </c>
      <c r="EM247" s="311"/>
      <c r="EN247" s="312"/>
      <c r="EO247" s="312"/>
      <c r="EP247" s="311"/>
      <c r="EQ247" s="311"/>
      <c r="ER247" s="541">
        <f>ER229*$C18</f>
        <v>0</v>
      </c>
      <c r="ES247" s="311"/>
      <c r="ET247" s="312"/>
      <c r="EU247" s="312"/>
      <c r="EV247" s="311"/>
      <c r="EW247" s="311"/>
      <c r="EX247" s="541">
        <f>EX229*$C18</f>
        <v>0</v>
      </c>
      <c r="EY247" s="311"/>
      <c r="EZ247" s="312"/>
      <c r="FA247" s="312"/>
      <c r="FB247" s="311"/>
      <c r="FC247" s="311"/>
      <c r="FD247" s="541">
        <f>FD229*$C18</f>
        <v>0</v>
      </c>
      <c r="FE247" s="311"/>
      <c r="FF247" s="312"/>
      <c r="FG247" s="312"/>
      <c r="FH247" s="311"/>
      <c r="FI247" s="311"/>
      <c r="FJ247" s="541">
        <f>FJ229*$C18</f>
        <v>0</v>
      </c>
      <c r="FK247" s="311"/>
      <c r="FL247" s="312"/>
      <c r="FM247" s="312"/>
      <c r="FN247" s="311"/>
      <c r="FO247" s="311"/>
      <c r="FP247" s="541">
        <f>FP229*$C18</f>
        <v>0</v>
      </c>
      <c r="FQ247" s="311"/>
      <c r="FR247" s="312"/>
      <c r="FS247" s="312"/>
      <c r="FT247" s="311"/>
      <c r="FU247" s="311"/>
      <c r="FV247" s="541">
        <f>FV229*$C18</f>
        <v>0</v>
      </c>
      <c r="FW247" s="311"/>
      <c r="FX247" s="312"/>
      <c r="FY247" s="312"/>
      <c r="FZ247" s="311"/>
      <c r="GA247" s="311"/>
      <c r="GB247" s="541">
        <f>GB229*$C18</f>
        <v>0</v>
      </c>
      <c r="GC247" s="311"/>
      <c r="GD247" s="312"/>
      <c r="GE247" s="312"/>
      <c r="GF247" s="311"/>
      <c r="GG247" s="311"/>
      <c r="GH247" s="541">
        <f>GH229*$C18</f>
        <v>0</v>
      </c>
      <c r="GI247" s="311"/>
      <c r="GJ247" s="312"/>
      <c r="GK247" s="312"/>
      <c r="GL247" s="311"/>
      <c r="GM247" s="311"/>
      <c r="GN247" s="541">
        <f>GN229*$C18</f>
        <v>0</v>
      </c>
      <c r="GO247" s="311"/>
      <c r="GP247" s="312"/>
      <c r="GQ247" s="312"/>
      <c r="GR247" s="311"/>
      <c r="GS247" s="311"/>
      <c r="GT247" s="541">
        <f>GT229*$C18</f>
        <v>0</v>
      </c>
      <c r="GU247" s="311"/>
      <c r="GV247" s="312"/>
      <c r="GW247" s="312"/>
      <c r="GX247" s="311"/>
      <c r="GY247" s="311"/>
      <c r="GZ247" s="545">
        <f>GZ229*$C18</f>
        <v>0</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71596</v>
      </c>
      <c r="V248" s="604">
        <f>V232*$C19</f>
        <v>71596</v>
      </c>
      <c r="W248" s="574"/>
      <c r="X248" s="575"/>
      <c r="Y248" s="575"/>
      <c r="Z248" s="574"/>
      <c r="AA248" s="574"/>
      <c r="AB248" s="604">
        <f>AB232*$C19</f>
        <v>71596</v>
      </c>
      <c r="AC248" s="315"/>
      <c r="AD248" s="316"/>
      <c r="AE248" s="316"/>
      <c r="AF248" s="315"/>
      <c r="AG248" s="315"/>
      <c r="AH248" s="604">
        <f>AH232*$C19</f>
        <v>71596</v>
      </c>
      <c r="AI248" s="574"/>
      <c r="AJ248" s="575"/>
      <c r="AK248" s="575"/>
      <c r="AL248" s="574"/>
      <c r="AM248" s="574"/>
      <c r="AN248" s="604">
        <f>AN232*$C19</f>
        <v>71596</v>
      </c>
      <c r="AO248" s="439"/>
      <c r="AP248" s="530"/>
      <c r="AQ248" s="530"/>
      <c r="AR248" s="439"/>
      <c r="AS248" s="439"/>
      <c r="AT248" s="609">
        <f>AT232*$C19</f>
        <v>13961.219999999994</v>
      </c>
      <c r="AU248" s="315"/>
      <c r="AV248" s="316"/>
      <c r="AW248" s="316"/>
      <c r="AX248" s="315"/>
      <c r="AY248" s="315"/>
      <c r="AZ248" s="604">
        <f>AZ232*$C19</f>
        <v>13961.219999999994</v>
      </c>
      <c r="BA248" s="315"/>
      <c r="BB248" s="316"/>
      <c r="BC248" s="316"/>
      <c r="BD248" s="315"/>
      <c r="BE248" s="315"/>
      <c r="BF248" s="604">
        <f>BF232*$C19</f>
        <v>13961.219999999994</v>
      </c>
      <c r="BG248" s="315"/>
      <c r="BH248" s="316"/>
      <c r="BI248" s="316"/>
      <c r="BJ248" s="315"/>
      <c r="BK248" s="315"/>
      <c r="BL248" s="604">
        <f>BL232*$C19</f>
        <v>13961.219999999994</v>
      </c>
      <c r="BM248" s="315"/>
      <c r="BN248" s="316"/>
      <c r="BO248" s="316"/>
      <c r="BP248" s="315"/>
      <c r="BQ248" s="315"/>
      <c r="BR248" s="604">
        <f>BR232*$C19</f>
        <v>13961.219999999994</v>
      </c>
      <c r="BS248" s="315"/>
      <c r="BT248" s="316"/>
      <c r="BU248" s="316"/>
      <c r="BV248" s="315"/>
      <c r="BW248" s="315"/>
      <c r="BX248" s="604">
        <f>BX232*$C19</f>
        <v>13961.219999999994</v>
      </c>
      <c r="BY248" s="315"/>
      <c r="BZ248" s="316"/>
      <c r="CA248" s="316"/>
      <c r="CB248" s="315"/>
      <c r="CC248" s="315"/>
      <c r="CD248" s="604">
        <f>CD232*$C19</f>
        <v>13961.219999999994</v>
      </c>
      <c r="CE248" s="315"/>
      <c r="CF248" s="316"/>
      <c r="CG248" s="316"/>
      <c r="CH248" s="315"/>
      <c r="CI248" s="315"/>
      <c r="CJ248" s="604">
        <f>CJ232*$C19</f>
        <v>13961.219999999994</v>
      </c>
      <c r="CK248" s="315"/>
      <c r="CL248" s="316"/>
      <c r="CM248" s="316"/>
      <c r="CN248" s="315"/>
      <c r="CO248" s="315"/>
      <c r="CP248" s="604">
        <f>CP232*$C19</f>
        <v>13961.219999999994</v>
      </c>
      <c r="CQ248" s="315"/>
      <c r="CR248" s="316"/>
      <c r="CS248" s="316"/>
      <c r="CT248" s="315"/>
      <c r="CU248" s="315"/>
      <c r="CV248" s="604">
        <f>CV232*$C19</f>
        <v>0</v>
      </c>
      <c r="CW248" s="577"/>
      <c r="CX248" s="575"/>
      <c r="CY248" s="575"/>
      <c r="CZ248" s="577"/>
      <c r="DA248" s="577"/>
      <c r="DB248" s="604">
        <f>DB232*$C19</f>
        <v>0</v>
      </c>
      <c r="DC248" s="315"/>
      <c r="DD248" s="316"/>
      <c r="DE248" s="316"/>
      <c r="DF248" s="315"/>
      <c r="DG248" s="315"/>
      <c r="DH248" s="604">
        <f>DH232*$C19</f>
        <v>0</v>
      </c>
      <c r="DI248" s="315"/>
      <c r="DJ248" s="316"/>
      <c r="DK248" s="316"/>
      <c r="DL248" s="315"/>
      <c r="DM248" s="315"/>
      <c r="DN248" s="604">
        <f>DN232*$C19</f>
        <v>0</v>
      </c>
      <c r="DO248" s="315"/>
      <c r="DP248" s="316"/>
      <c r="DQ248" s="316"/>
      <c r="DR248" s="315"/>
      <c r="DS248" s="315"/>
      <c r="DT248" s="604">
        <f>DT232*$C19</f>
        <v>0</v>
      </c>
      <c r="DU248" s="315"/>
      <c r="DV248" s="316"/>
      <c r="DW248" s="316"/>
      <c r="DX248" s="315"/>
      <c r="DY248" s="315"/>
      <c r="DZ248" s="604">
        <f>DZ232*$C19</f>
        <v>0</v>
      </c>
      <c r="EA248" s="315"/>
      <c r="EB248" s="316"/>
      <c r="EC248" s="316"/>
      <c r="ED248" s="315"/>
      <c r="EE248" s="315"/>
      <c r="EF248" s="604">
        <f>EF232*$C19</f>
        <v>0</v>
      </c>
      <c r="EG248" s="315"/>
      <c r="EH248" s="316"/>
      <c r="EI248" s="316"/>
      <c r="EJ248" s="315"/>
      <c r="EK248" s="315"/>
      <c r="EL248" s="604">
        <f>EL232*$C19</f>
        <v>0</v>
      </c>
      <c r="EM248" s="315"/>
      <c r="EN248" s="316"/>
      <c r="EO248" s="316"/>
      <c r="EP248" s="315"/>
      <c r="EQ248" s="315"/>
      <c r="ER248" s="604">
        <f>ER232*$C19</f>
        <v>0</v>
      </c>
      <c r="ES248" s="315"/>
      <c r="ET248" s="316"/>
      <c r="EU248" s="316"/>
      <c r="EV248" s="315"/>
      <c r="EW248" s="315"/>
      <c r="EX248" s="604">
        <f>EX232*$C19</f>
        <v>0</v>
      </c>
      <c r="EY248" s="315"/>
      <c r="EZ248" s="316"/>
      <c r="FA248" s="316"/>
      <c r="FB248" s="315"/>
      <c r="FC248" s="315"/>
      <c r="FD248" s="604">
        <f>FD232*$C19</f>
        <v>0</v>
      </c>
      <c r="FE248" s="315"/>
      <c r="FF248" s="316"/>
      <c r="FG248" s="316"/>
      <c r="FH248" s="315"/>
      <c r="FI248" s="315"/>
      <c r="FJ248" s="604">
        <f>FJ232*$C19</f>
        <v>0</v>
      </c>
      <c r="FK248" s="315"/>
      <c r="FL248" s="316"/>
      <c r="FM248" s="316"/>
      <c r="FN248" s="315"/>
      <c r="FO248" s="315"/>
      <c r="FP248" s="604">
        <f>FP232*$C19</f>
        <v>0</v>
      </c>
      <c r="FQ248" s="315"/>
      <c r="FR248" s="316"/>
      <c r="FS248" s="316"/>
      <c r="FT248" s="315"/>
      <c r="FU248" s="315"/>
      <c r="FV248" s="604">
        <f>FV232*$C19</f>
        <v>0</v>
      </c>
      <c r="FW248" s="315"/>
      <c r="FX248" s="316"/>
      <c r="FY248" s="316"/>
      <c r="FZ248" s="315"/>
      <c r="GA248" s="315"/>
      <c r="GB248" s="604">
        <f>GB232*$C19</f>
        <v>0</v>
      </c>
      <c r="GC248" s="315"/>
      <c r="GD248" s="316"/>
      <c r="GE248" s="316"/>
      <c r="GF248" s="315"/>
      <c r="GG248" s="315"/>
      <c r="GH248" s="604">
        <f>GH232*$C19</f>
        <v>0</v>
      </c>
      <c r="GI248" s="315"/>
      <c r="GJ248" s="316"/>
      <c r="GK248" s="316"/>
      <c r="GL248" s="315"/>
      <c r="GM248" s="315"/>
      <c r="GN248" s="604">
        <f>GN232*$C19</f>
        <v>0</v>
      </c>
      <c r="GO248" s="315"/>
      <c r="GP248" s="316"/>
      <c r="GQ248" s="316"/>
      <c r="GR248" s="315"/>
      <c r="GS248" s="315"/>
      <c r="GT248" s="604">
        <f>GT232*$C19</f>
        <v>0</v>
      </c>
      <c r="GU248" s="315"/>
      <c r="GV248" s="316"/>
      <c r="GW248" s="316"/>
      <c r="GX248" s="315"/>
      <c r="GY248" s="315"/>
      <c r="GZ248" s="610">
        <f>GZ232*$C19</f>
        <v>0</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0</v>
      </c>
      <c r="V249" s="604">
        <f>V235*$C20</f>
        <v>0</v>
      </c>
      <c r="W249" s="574"/>
      <c r="X249" s="575"/>
      <c r="Y249" s="575"/>
      <c r="Z249" s="574"/>
      <c r="AA249" s="574"/>
      <c r="AB249" s="604">
        <f>AB235*$C20</f>
        <v>0</v>
      </c>
      <c r="AC249" s="574"/>
      <c r="AD249" s="575"/>
      <c r="AE249" s="575"/>
      <c r="AF249" s="574"/>
      <c r="AG249" s="574"/>
      <c r="AH249" s="604">
        <f>AH235*$C20</f>
        <v>0</v>
      </c>
      <c r="AI249" s="574"/>
      <c r="AJ249" s="575"/>
      <c r="AK249" s="575"/>
      <c r="AL249" s="574"/>
      <c r="AM249" s="574"/>
      <c r="AN249" s="604">
        <f>AN235*$C20</f>
        <v>0</v>
      </c>
      <c r="AO249" s="439"/>
      <c r="AP249" s="530"/>
      <c r="AQ249" s="530"/>
      <c r="AR249" s="439"/>
      <c r="AS249" s="439"/>
      <c r="AT249" s="609">
        <f t="shared" ref="AT249:DE249" si="287">(AT235+AT242)*$C20</f>
        <v>0</v>
      </c>
      <c r="AU249" s="609">
        <f t="shared" si="287"/>
        <v>0</v>
      </c>
      <c r="AV249" s="609">
        <f t="shared" si="287"/>
        <v>0</v>
      </c>
      <c r="AW249" s="609">
        <f t="shared" si="287"/>
        <v>0</v>
      </c>
      <c r="AX249" s="609">
        <f t="shared" si="287"/>
        <v>0</v>
      </c>
      <c r="AY249" s="609">
        <f t="shared" si="287"/>
        <v>0</v>
      </c>
      <c r="AZ249" s="609">
        <f t="shared" si="287"/>
        <v>0</v>
      </c>
      <c r="BA249" s="609">
        <f t="shared" si="287"/>
        <v>0</v>
      </c>
      <c r="BB249" s="609">
        <f t="shared" si="287"/>
        <v>0</v>
      </c>
      <c r="BC249" s="609">
        <f t="shared" si="287"/>
        <v>0</v>
      </c>
      <c r="BD249" s="609">
        <f t="shared" si="287"/>
        <v>0</v>
      </c>
      <c r="BE249" s="609">
        <f t="shared" si="287"/>
        <v>0</v>
      </c>
      <c r="BF249" s="609">
        <f t="shared" si="287"/>
        <v>0</v>
      </c>
      <c r="BG249" s="609">
        <f t="shared" si="287"/>
        <v>0</v>
      </c>
      <c r="BH249" s="609">
        <f t="shared" si="287"/>
        <v>0</v>
      </c>
      <c r="BI249" s="609">
        <f t="shared" si="287"/>
        <v>0</v>
      </c>
      <c r="BJ249" s="609">
        <f t="shared" si="287"/>
        <v>0</v>
      </c>
      <c r="BK249" s="609">
        <f t="shared" si="287"/>
        <v>0</v>
      </c>
      <c r="BL249" s="609">
        <f t="shared" si="287"/>
        <v>0</v>
      </c>
      <c r="BM249" s="609">
        <f t="shared" si="287"/>
        <v>0</v>
      </c>
      <c r="BN249" s="609">
        <f t="shared" si="287"/>
        <v>0</v>
      </c>
      <c r="BO249" s="609">
        <f t="shared" si="287"/>
        <v>0</v>
      </c>
      <c r="BP249" s="609">
        <f t="shared" si="287"/>
        <v>0</v>
      </c>
      <c r="BQ249" s="609">
        <f t="shared" si="287"/>
        <v>0</v>
      </c>
      <c r="BR249" s="609">
        <f t="shared" si="287"/>
        <v>0</v>
      </c>
      <c r="BS249" s="609">
        <f t="shared" si="287"/>
        <v>0</v>
      </c>
      <c r="BT249" s="609">
        <f t="shared" si="287"/>
        <v>0</v>
      </c>
      <c r="BU249" s="609">
        <f t="shared" si="287"/>
        <v>0</v>
      </c>
      <c r="BV249" s="609">
        <f t="shared" si="287"/>
        <v>0</v>
      </c>
      <c r="BW249" s="609">
        <f t="shared" si="287"/>
        <v>0</v>
      </c>
      <c r="BX249" s="609">
        <f t="shared" si="287"/>
        <v>0</v>
      </c>
      <c r="BY249" s="609">
        <f t="shared" si="287"/>
        <v>0</v>
      </c>
      <c r="BZ249" s="609">
        <f t="shared" si="287"/>
        <v>0</v>
      </c>
      <c r="CA249" s="609">
        <f t="shared" si="287"/>
        <v>0</v>
      </c>
      <c r="CB249" s="609">
        <f t="shared" si="287"/>
        <v>0</v>
      </c>
      <c r="CC249" s="609">
        <f t="shared" si="287"/>
        <v>0</v>
      </c>
      <c r="CD249" s="609">
        <f t="shared" si="287"/>
        <v>0</v>
      </c>
      <c r="CE249" s="609">
        <f t="shared" si="287"/>
        <v>0</v>
      </c>
      <c r="CF249" s="609">
        <f t="shared" si="287"/>
        <v>0</v>
      </c>
      <c r="CG249" s="609">
        <f t="shared" si="287"/>
        <v>0</v>
      </c>
      <c r="CH249" s="609">
        <f t="shared" si="287"/>
        <v>0</v>
      </c>
      <c r="CI249" s="609">
        <f t="shared" si="287"/>
        <v>0</v>
      </c>
      <c r="CJ249" s="609">
        <f t="shared" si="287"/>
        <v>0</v>
      </c>
      <c r="CK249" s="609">
        <f t="shared" si="287"/>
        <v>0</v>
      </c>
      <c r="CL249" s="609">
        <f t="shared" si="287"/>
        <v>0</v>
      </c>
      <c r="CM249" s="609">
        <f t="shared" si="287"/>
        <v>0</v>
      </c>
      <c r="CN249" s="609">
        <f t="shared" si="287"/>
        <v>0</v>
      </c>
      <c r="CO249" s="609">
        <f t="shared" si="287"/>
        <v>0</v>
      </c>
      <c r="CP249" s="609">
        <f t="shared" si="287"/>
        <v>0</v>
      </c>
      <c r="CQ249" s="609">
        <f t="shared" si="287"/>
        <v>0</v>
      </c>
      <c r="CR249" s="609">
        <f t="shared" si="287"/>
        <v>0</v>
      </c>
      <c r="CS249" s="609">
        <f t="shared" si="287"/>
        <v>0</v>
      </c>
      <c r="CT249" s="609">
        <f t="shared" si="287"/>
        <v>0</v>
      </c>
      <c r="CU249" s="609">
        <f t="shared" si="287"/>
        <v>0</v>
      </c>
      <c r="CV249" s="609">
        <f t="shared" si="287"/>
        <v>0</v>
      </c>
      <c r="CW249" s="609">
        <f t="shared" si="287"/>
        <v>0</v>
      </c>
      <c r="CX249" s="609">
        <f t="shared" si="287"/>
        <v>0</v>
      </c>
      <c r="CY249" s="609">
        <f t="shared" si="287"/>
        <v>0</v>
      </c>
      <c r="CZ249" s="609">
        <f t="shared" si="287"/>
        <v>0</v>
      </c>
      <c r="DA249" s="609">
        <f t="shared" si="287"/>
        <v>0</v>
      </c>
      <c r="DB249" s="609">
        <f t="shared" si="287"/>
        <v>0</v>
      </c>
      <c r="DC249" s="609">
        <f t="shared" si="287"/>
        <v>0</v>
      </c>
      <c r="DD249" s="609">
        <f t="shared" si="287"/>
        <v>0</v>
      </c>
      <c r="DE249" s="609">
        <f t="shared" si="287"/>
        <v>0</v>
      </c>
      <c r="DF249" s="609">
        <f t="shared" ref="DF249:FQ249" si="288">(DF235+DF242)*$C20</f>
        <v>0</v>
      </c>
      <c r="DG249" s="609">
        <f t="shared" si="288"/>
        <v>0</v>
      </c>
      <c r="DH249" s="609">
        <f t="shared" si="288"/>
        <v>0</v>
      </c>
      <c r="DI249" s="609">
        <f t="shared" si="288"/>
        <v>0</v>
      </c>
      <c r="DJ249" s="609">
        <f t="shared" si="288"/>
        <v>0</v>
      </c>
      <c r="DK249" s="609">
        <f t="shared" si="288"/>
        <v>0</v>
      </c>
      <c r="DL249" s="609">
        <f t="shared" si="288"/>
        <v>0</v>
      </c>
      <c r="DM249" s="609">
        <f t="shared" si="288"/>
        <v>0</v>
      </c>
      <c r="DN249" s="609">
        <f t="shared" si="288"/>
        <v>0</v>
      </c>
      <c r="DO249" s="609">
        <f t="shared" si="288"/>
        <v>0</v>
      </c>
      <c r="DP249" s="609">
        <f t="shared" si="288"/>
        <v>0</v>
      </c>
      <c r="DQ249" s="609">
        <f t="shared" si="288"/>
        <v>0</v>
      </c>
      <c r="DR249" s="609">
        <f t="shared" si="288"/>
        <v>0</v>
      </c>
      <c r="DS249" s="609">
        <f t="shared" si="288"/>
        <v>0</v>
      </c>
      <c r="DT249" s="609">
        <f t="shared" si="288"/>
        <v>0</v>
      </c>
      <c r="DU249" s="609">
        <f t="shared" si="288"/>
        <v>0</v>
      </c>
      <c r="DV249" s="609">
        <f t="shared" si="288"/>
        <v>0</v>
      </c>
      <c r="DW249" s="609">
        <f t="shared" si="288"/>
        <v>0</v>
      </c>
      <c r="DX249" s="609">
        <f t="shared" si="288"/>
        <v>0</v>
      </c>
      <c r="DY249" s="609">
        <f t="shared" si="288"/>
        <v>0</v>
      </c>
      <c r="DZ249" s="609">
        <f t="shared" si="288"/>
        <v>0</v>
      </c>
      <c r="EA249" s="609">
        <f t="shared" si="288"/>
        <v>0</v>
      </c>
      <c r="EB249" s="609">
        <f t="shared" si="288"/>
        <v>0</v>
      </c>
      <c r="EC249" s="609">
        <f t="shared" si="288"/>
        <v>0</v>
      </c>
      <c r="ED249" s="609">
        <f t="shared" si="288"/>
        <v>0</v>
      </c>
      <c r="EE249" s="609">
        <f t="shared" si="288"/>
        <v>0</v>
      </c>
      <c r="EF249" s="609">
        <f t="shared" si="288"/>
        <v>0</v>
      </c>
      <c r="EG249" s="609">
        <f t="shared" si="288"/>
        <v>0</v>
      </c>
      <c r="EH249" s="609">
        <f t="shared" si="288"/>
        <v>0</v>
      </c>
      <c r="EI249" s="609">
        <f t="shared" si="288"/>
        <v>0</v>
      </c>
      <c r="EJ249" s="609">
        <f t="shared" si="288"/>
        <v>0</v>
      </c>
      <c r="EK249" s="609">
        <f t="shared" si="288"/>
        <v>0</v>
      </c>
      <c r="EL249" s="609">
        <f t="shared" si="288"/>
        <v>0</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104141.52800000001</v>
      </c>
      <c r="V250" s="604">
        <f>SUM(V247:V249)</f>
        <v>104141.52800000001</v>
      </c>
      <c r="W250" s="611"/>
      <c r="X250" s="612"/>
      <c r="Y250" s="612"/>
      <c r="Z250" s="611"/>
      <c r="AA250" s="611"/>
      <c r="AB250" s="604">
        <f>SUM(AB247:AB249)</f>
        <v>104141.52800000001</v>
      </c>
      <c r="AC250" s="659"/>
      <c r="AD250" s="660"/>
      <c r="AE250" s="660"/>
      <c r="AF250" s="659"/>
      <c r="AG250" s="659"/>
      <c r="AH250" s="604">
        <f>SUM(AH247:AH249)</f>
        <v>104141.52800000001</v>
      </c>
      <c r="AI250" s="611"/>
      <c r="AJ250" s="612"/>
      <c r="AK250" s="612"/>
      <c r="AL250" s="611"/>
      <c r="AM250" s="611"/>
      <c r="AN250" s="604">
        <f>SUM(AN247:AN249)</f>
        <v>104141.52800000001</v>
      </c>
      <c r="AO250" s="439"/>
      <c r="AP250" s="530"/>
      <c r="AQ250" s="530"/>
      <c r="AR250" s="439"/>
      <c r="AS250" s="439"/>
      <c r="AT250" s="609">
        <f>SUM(AT247:AT249)</f>
        <v>61223.804532904753</v>
      </c>
      <c r="AU250" s="315"/>
      <c r="AV250" s="316"/>
      <c r="AW250" s="316"/>
      <c r="AX250" s="315"/>
      <c r="AY250" s="315"/>
      <c r="AZ250" s="604">
        <f>SUM(AZ247:AZ249)</f>
        <v>61223.804532904753</v>
      </c>
      <c r="BA250" s="315"/>
      <c r="BB250" s="316"/>
      <c r="BC250" s="316"/>
      <c r="BD250" s="315"/>
      <c r="BE250" s="315"/>
      <c r="BF250" s="604">
        <f>SUM(BF247:BF249)</f>
        <v>61223.804532904753</v>
      </c>
      <c r="BG250" s="315"/>
      <c r="BH250" s="316"/>
      <c r="BI250" s="316"/>
      <c r="BJ250" s="315"/>
      <c r="BK250" s="315"/>
      <c r="BL250" s="604">
        <f>SUM(BL247:BL249)</f>
        <v>61223.804532904753</v>
      </c>
      <c r="BM250" s="315"/>
      <c r="BN250" s="316"/>
      <c r="BO250" s="316"/>
      <c r="BP250" s="315"/>
      <c r="BQ250" s="315"/>
      <c r="BR250" s="604">
        <f>SUM(BR247:BR249)</f>
        <v>61223.804532904753</v>
      </c>
      <c r="BS250" s="315"/>
      <c r="BT250" s="316"/>
      <c r="BU250" s="316"/>
      <c r="BV250" s="315"/>
      <c r="BW250" s="315"/>
      <c r="BX250" s="604">
        <f>SUM(BX247:BX249)</f>
        <v>61223.804532904753</v>
      </c>
      <c r="BY250" s="315"/>
      <c r="BZ250" s="316"/>
      <c r="CA250" s="316"/>
      <c r="CB250" s="315"/>
      <c r="CC250" s="315"/>
      <c r="CD250" s="604">
        <f>SUM(CD247:CD249)</f>
        <v>61223.804532904753</v>
      </c>
      <c r="CE250" s="315"/>
      <c r="CF250" s="316"/>
      <c r="CG250" s="316"/>
      <c r="CH250" s="315"/>
      <c r="CI250" s="315"/>
      <c r="CJ250" s="604">
        <f>SUM(CJ247:CJ249)</f>
        <v>61223.804532904753</v>
      </c>
      <c r="CK250" s="315"/>
      <c r="CL250" s="316"/>
      <c r="CM250" s="316"/>
      <c r="CN250" s="315"/>
      <c r="CO250" s="315"/>
      <c r="CP250" s="604">
        <f>SUM(CP247:CP249)</f>
        <v>61223.804532904753</v>
      </c>
      <c r="CQ250" s="315"/>
      <c r="CR250" s="316"/>
      <c r="CS250" s="316"/>
      <c r="CT250" s="315"/>
      <c r="CU250" s="315"/>
      <c r="CV250" s="604">
        <f>SUM(CV247:CV249)</f>
        <v>0</v>
      </c>
      <c r="CW250" s="577"/>
      <c r="CX250" s="575"/>
      <c r="CY250" s="575"/>
      <c r="CZ250" s="577"/>
      <c r="DA250" s="577"/>
      <c r="DB250" s="604">
        <f>SUM(DB247:DB249)</f>
        <v>0</v>
      </c>
      <c r="DC250" s="315"/>
      <c r="DD250" s="316"/>
      <c r="DE250" s="316"/>
      <c r="DF250" s="315"/>
      <c r="DG250" s="315"/>
      <c r="DH250" s="604">
        <f>SUM(DH247:DH249)</f>
        <v>0</v>
      </c>
      <c r="DI250" s="315"/>
      <c r="DJ250" s="316"/>
      <c r="DK250" s="316"/>
      <c r="DL250" s="315"/>
      <c r="DM250" s="315"/>
      <c r="DN250" s="604">
        <f>SUM(DN247:DN249)</f>
        <v>0</v>
      </c>
      <c r="DO250" s="315"/>
      <c r="DP250" s="316"/>
      <c r="DQ250" s="316"/>
      <c r="DR250" s="315"/>
      <c r="DS250" s="315"/>
      <c r="DT250" s="604">
        <f>SUM(DT247:DT249)</f>
        <v>0</v>
      </c>
      <c r="DU250" s="315"/>
      <c r="DV250" s="316"/>
      <c r="DW250" s="316"/>
      <c r="DX250" s="315"/>
      <c r="DY250" s="315"/>
      <c r="DZ250" s="604">
        <f>SUM(DZ247:DZ249)</f>
        <v>0</v>
      </c>
      <c r="EA250" s="315"/>
      <c r="EB250" s="316"/>
      <c r="EC250" s="316"/>
      <c r="ED250" s="315"/>
      <c r="EE250" s="315"/>
      <c r="EF250" s="604">
        <f>SUM(EF247:EF249)</f>
        <v>0</v>
      </c>
      <c r="EG250" s="315"/>
      <c r="EH250" s="316"/>
      <c r="EI250" s="316"/>
      <c r="EJ250" s="315"/>
      <c r="EK250" s="315"/>
      <c r="EL250" s="604">
        <f>SUM(EL247:EL249)</f>
        <v>0</v>
      </c>
      <c r="EM250" s="315"/>
      <c r="EN250" s="316"/>
      <c r="EO250" s="316"/>
      <c r="EP250" s="315"/>
      <c r="EQ250" s="315"/>
      <c r="ER250" s="604">
        <f>SUM(ER247:ER249)</f>
        <v>0</v>
      </c>
      <c r="ES250" s="315"/>
      <c r="ET250" s="316"/>
      <c r="EU250" s="316"/>
      <c r="EV250" s="315"/>
      <c r="EW250" s="315"/>
      <c r="EX250" s="604">
        <f>SUM(EX247:EX249)</f>
        <v>0</v>
      </c>
      <c r="EY250" s="315"/>
      <c r="EZ250" s="316"/>
      <c r="FA250" s="316"/>
      <c r="FB250" s="315"/>
      <c r="FC250" s="315"/>
      <c r="FD250" s="604">
        <f>SUM(FD247:FD249)</f>
        <v>0</v>
      </c>
      <c r="FE250" s="315"/>
      <c r="FF250" s="316"/>
      <c r="FG250" s="316"/>
      <c r="FH250" s="315"/>
      <c r="FI250" s="315"/>
      <c r="FJ250" s="604">
        <f>SUM(FJ247:FJ249)</f>
        <v>0</v>
      </c>
      <c r="FK250" s="315"/>
      <c r="FL250" s="316"/>
      <c r="FM250" s="316"/>
      <c r="FN250" s="315"/>
      <c r="FO250" s="315"/>
      <c r="FP250" s="604">
        <f>SUM(FP247:FP249)</f>
        <v>0</v>
      </c>
      <c r="FQ250" s="315"/>
      <c r="FR250" s="316"/>
      <c r="FS250" s="316"/>
      <c r="FT250" s="315"/>
      <c r="FU250" s="315"/>
      <c r="FV250" s="604">
        <f>SUM(FV247:FV249)</f>
        <v>0</v>
      </c>
      <c r="FW250" s="315"/>
      <c r="FX250" s="316"/>
      <c r="FY250" s="316"/>
      <c r="FZ250" s="315"/>
      <c r="GA250" s="315"/>
      <c r="GB250" s="604">
        <f>SUM(GB247:GB249)</f>
        <v>0</v>
      </c>
      <c r="GC250" s="315"/>
      <c r="GD250" s="316"/>
      <c r="GE250" s="316"/>
      <c r="GF250" s="315"/>
      <c r="GG250" s="315"/>
      <c r="GH250" s="604">
        <f>SUM(GH247:GH249)</f>
        <v>0</v>
      </c>
      <c r="GI250" s="315"/>
      <c r="GJ250" s="316"/>
      <c r="GK250" s="316"/>
      <c r="GL250" s="315"/>
      <c r="GM250" s="315"/>
      <c r="GN250" s="604">
        <f>SUM(GN247:GN249)</f>
        <v>0</v>
      </c>
      <c r="GO250" s="315"/>
      <c r="GP250" s="316"/>
      <c r="GQ250" s="316"/>
      <c r="GR250" s="315"/>
      <c r="GS250" s="315"/>
      <c r="GT250" s="604">
        <f>SUM(GT247:GT249)</f>
        <v>0</v>
      </c>
      <c r="GU250" s="315"/>
      <c r="GV250" s="316"/>
      <c r="GW250" s="316"/>
      <c r="GX250" s="315"/>
      <c r="GY250" s="315"/>
      <c r="GZ250" s="610">
        <f>SUM(GZ247:GZ249)</f>
        <v>0</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42917.723467095253</v>
      </c>
      <c r="AU251" s="552"/>
      <c r="AV251" s="553"/>
      <c r="AW251" s="553"/>
      <c r="AX251" s="552"/>
      <c r="AY251" s="552"/>
      <c r="AZ251" s="551">
        <f>IF(AZ222=0,0,$AN$250-AZ250)</f>
        <v>42917.723467095253</v>
      </c>
      <c r="BA251" s="313"/>
      <c r="BB251" s="314"/>
      <c r="BC251" s="314"/>
      <c r="BD251" s="313"/>
      <c r="BE251" s="313"/>
      <c r="BF251" s="551">
        <f>IF(BF222=0,0,$AN$250-BF250)</f>
        <v>42917.723467095253</v>
      </c>
      <c r="BG251" s="313"/>
      <c r="BH251" s="314"/>
      <c r="BI251" s="314"/>
      <c r="BJ251" s="313"/>
      <c r="BK251" s="313"/>
      <c r="BL251" s="551">
        <f>IF(BL222=0,0,$AN$250-BL250)</f>
        <v>42917.723467095253</v>
      </c>
      <c r="BM251" s="313"/>
      <c r="BN251" s="314"/>
      <c r="BO251" s="314"/>
      <c r="BP251" s="313"/>
      <c r="BQ251" s="313"/>
      <c r="BR251" s="551">
        <f>IF(BR222=0,0,$AN$250-BR250)</f>
        <v>42917.723467095253</v>
      </c>
      <c r="BS251" s="552"/>
      <c r="BT251" s="553"/>
      <c r="BU251" s="553"/>
      <c r="BV251" s="552"/>
      <c r="BW251" s="552"/>
      <c r="BX251" s="551">
        <f>IF(BX222=0,0,$AN$250-BX250)</f>
        <v>42917.723467095253</v>
      </c>
      <c r="BY251" s="313"/>
      <c r="BZ251" s="314"/>
      <c r="CA251" s="314"/>
      <c r="CB251" s="313"/>
      <c r="CC251" s="313"/>
      <c r="CD251" s="551">
        <f>IF(CD222=0,0,$AN$250-CD250)</f>
        <v>42917.723467095253</v>
      </c>
      <c r="CE251" s="313"/>
      <c r="CF251" s="314"/>
      <c r="CG251" s="314"/>
      <c r="CH251" s="313"/>
      <c r="CI251" s="313"/>
      <c r="CJ251" s="551">
        <f>IF(CJ222=0,0,$AN$250-CJ250)</f>
        <v>42917.723467095253</v>
      </c>
      <c r="CK251" s="313"/>
      <c r="CL251" s="314"/>
      <c r="CM251" s="314"/>
      <c r="CN251" s="313"/>
      <c r="CO251" s="313"/>
      <c r="CP251" s="551">
        <f>IF(CP222=0,0,$AN$250-CP250)</f>
        <v>42917.723467095253</v>
      </c>
      <c r="CQ251" s="554"/>
      <c r="CR251" s="553"/>
      <c r="CS251" s="553"/>
      <c r="CT251" s="554"/>
      <c r="CU251" s="554"/>
      <c r="CV251" s="551">
        <f>IF(CV222=0,0,$AN$250-CV250)</f>
        <v>0</v>
      </c>
      <c r="CW251" s="554"/>
      <c r="CX251" s="553"/>
      <c r="CY251" s="553"/>
      <c r="CZ251" s="554"/>
      <c r="DA251" s="554"/>
      <c r="DB251" s="551">
        <f>IF(DB222=0,0,$AN$250-DB250)</f>
        <v>0</v>
      </c>
      <c r="DC251" s="313"/>
      <c r="DD251" s="314"/>
      <c r="DE251" s="314"/>
      <c r="DF251" s="313"/>
      <c r="DG251" s="313"/>
      <c r="DH251" s="551">
        <f>IF(DH222=0,0,$AN$250-DH250)</f>
        <v>0</v>
      </c>
      <c r="DI251" s="313"/>
      <c r="DJ251" s="314"/>
      <c r="DK251" s="314"/>
      <c r="DL251" s="313"/>
      <c r="DM251" s="313"/>
      <c r="DN251" s="551">
        <f>IF(DN222=0,0,$AN$250-DN250)</f>
        <v>0</v>
      </c>
      <c r="DO251" s="313"/>
      <c r="DP251" s="314"/>
      <c r="DQ251" s="314"/>
      <c r="DR251" s="313"/>
      <c r="DS251" s="313"/>
      <c r="DT251" s="551">
        <f>IF(DT222=0,0,$AN$250-DT250)</f>
        <v>0</v>
      </c>
      <c r="DU251" s="313"/>
      <c r="DV251" s="314"/>
      <c r="DW251" s="314"/>
      <c r="DX251" s="313"/>
      <c r="DY251" s="313"/>
      <c r="DZ251" s="551">
        <f>IF(DZ222=0,0,$AN$250-DZ250)</f>
        <v>0</v>
      </c>
      <c r="EA251" s="313"/>
      <c r="EB251" s="314"/>
      <c r="EC251" s="314"/>
      <c r="ED251" s="313"/>
      <c r="EE251" s="313"/>
      <c r="EF251" s="551">
        <f>IF(EF222=0,0,$AN$250-EF250)</f>
        <v>0</v>
      </c>
      <c r="EG251" s="313"/>
      <c r="EH251" s="314"/>
      <c r="EI251" s="314"/>
      <c r="EJ251" s="313"/>
      <c r="EK251" s="313"/>
      <c r="EL251" s="551">
        <f>IF(EL222=0,0,$AN$250-EL250)</f>
        <v>0</v>
      </c>
      <c r="EM251" s="313"/>
      <c r="EN251" s="314"/>
      <c r="EO251" s="314"/>
      <c r="EP251" s="313"/>
      <c r="EQ251" s="313"/>
      <c r="ER251" s="551">
        <f>IF(ER222=0,0,$AN$250-ER250)</f>
        <v>0</v>
      </c>
      <c r="ES251" s="313"/>
      <c r="ET251" s="314"/>
      <c r="EU251" s="314"/>
      <c r="EV251" s="313"/>
      <c r="EW251" s="313"/>
      <c r="EX251" s="551">
        <f>IF(EX222=0,0,$AN$250-EX250)</f>
        <v>0</v>
      </c>
      <c r="EY251" s="313"/>
      <c r="EZ251" s="314"/>
      <c r="FA251" s="314"/>
      <c r="FB251" s="313"/>
      <c r="FC251" s="313"/>
      <c r="FD251" s="551">
        <f>IF(FD222=0,0,$AN$250-FD250)</f>
        <v>0</v>
      </c>
      <c r="FE251" s="313"/>
      <c r="FF251" s="314"/>
      <c r="FG251" s="314"/>
      <c r="FH251" s="313"/>
      <c r="FI251" s="313"/>
      <c r="FJ251" s="551">
        <f>IF(FJ222=0,0,$AN$250-FJ250)</f>
        <v>0</v>
      </c>
      <c r="FK251" s="313"/>
      <c r="FL251" s="314"/>
      <c r="FM251" s="314"/>
      <c r="FN251" s="313"/>
      <c r="FO251" s="313"/>
      <c r="FP251" s="551">
        <f>IF(FP222=0,0,$AN$250-FP250)</f>
        <v>0</v>
      </c>
      <c r="FQ251" s="313"/>
      <c r="FR251" s="314"/>
      <c r="FS251" s="314"/>
      <c r="FT251" s="313"/>
      <c r="FU251" s="313"/>
      <c r="FV251" s="551">
        <f>IF(FV222=0,0,$AN$250-FV250)</f>
        <v>0</v>
      </c>
      <c r="FW251" s="313"/>
      <c r="FX251" s="314"/>
      <c r="FY251" s="314"/>
      <c r="FZ251" s="313"/>
      <c r="GA251" s="313"/>
      <c r="GB251" s="551">
        <f>IF(GB222=0,0,$AN$250-GB250)</f>
        <v>0</v>
      </c>
      <c r="GC251" s="313"/>
      <c r="GD251" s="314"/>
      <c r="GE251" s="314"/>
      <c r="GF251" s="313"/>
      <c r="GG251" s="313"/>
      <c r="GH251" s="551">
        <f>IF(GH222=0,0,$AN$250-GH250)</f>
        <v>0</v>
      </c>
      <c r="GI251" s="313"/>
      <c r="GJ251" s="314"/>
      <c r="GK251" s="314"/>
      <c r="GL251" s="313"/>
      <c r="GM251" s="313"/>
      <c r="GN251" s="551">
        <f>IF(GN222=0,0,$AN$250-GN250)</f>
        <v>0</v>
      </c>
      <c r="GO251" s="313"/>
      <c r="GP251" s="314"/>
      <c r="GQ251" s="314"/>
      <c r="GR251" s="313"/>
      <c r="GS251" s="313"/>
      <c r="GT251" s="551">
        <f>IF(GT222=0,0,$AN$250-GT250)</f>
        <v>0</v>
      </c>
      <c r="GU251" s="313"/>
      <c r="GV251" s="314"/>
      <c r="GW251" s="314"/>
      <c r="GX251" s="313"/>
      <c r="GY251" s="313"/>
      <c r="GZ251" s="555">
        <f>IF(GZ222=0,0,$AN$250-GZ250)</f>
        <v>0</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173.895636</v>
      </c>
      <c r="V253" s="541">
        <f>(V229*CO2factorElektriciteit+V232*CO2factorAardgas+(V235-V242)*CO2factorWarmte)/1000</f>
        <v>173.895636</v>
      </c>
      <c r="W253" s="542"/>
      <c r="X253" s="543"/>
      <c r="Y253" s="543"/>
      <c r="Z253" s="542"/>
      <c r="AA253" s="542"/>
      <c r="AB253" s="541">
        <f>(AB229*CO2factorElektriciteit+AB232*CO2factorAardgas+(AB235-AB242)*CO2factorWarmte)/1000</f>
        <v>173.895636</v>
      </c>
      <c r="AC253" s="542"/>
      <c r="AD253" s="543"/>
      <c r="AE253" s="543"/>
      <c r="AF253" s="542"/>
      <c r="AG253" s="542"/>
      <c r="AH253" s="541">
        <f>(AH229*CO2factorElektriciteit+AH232*CO2factorAardgas+(AH235-AH242)*CO2factorWarmte)/1000</f>
        <v>173.895636</v>
      </c>
      <c r="AI253" s="542"/>
      <c r="AJ253" s="543"/>
      <c r="AK253" s="543"/>
      <c r="AL253" s="542"/>
      <c r="AM253" s="542"/>
      <c r="AN253" s="541">
        <f>(AN229*CO2factorElektriciteit+AN232*CO2factorAardgas+(AN235-AN242)*CO2factorWarmte)/1000</f>
        <v>173.895636</v>
      </c>
      <c r="AO253" s="560"/>
      <c r="AP253" s="561"/>
      <c r="AQ253" s="561"/>
      <c r="AR253" s="560"/>
      <c r="AS253" s="560"/>
      <c r="AT253" s="642">
        <f>(AT229*CO2factorElektriciteit+AT232*CO2factorAardgas+(AT235-AT242)*CO2factorWarmte)/1000</f>
        <v>118.15837357759523</v>
      </c>
      <c r="AU253" s="542"/>
      <c r="AV253" s="543"/>
      <c r="AW253" s="543"/>
      <c r="AX253" s="542"/>
      <c r="AY253" s="542"/>
      <c r="AZ253" s="541">
        <f>(AZ229*CO2factorElektriciteit+AZ232*CO2factorAardgas+(AZ235-AZ242)*CO2factorWarmte)/1000</f>
        <v>118.15837357759523</v>
      </c>
      <c r="BA253" s="311"/>
      <c r="BB253" s="312"/>
      <c r="BC253" s="312"/>
      <c r="BD253" s="311"/>
      <c r="BE253" s="311"/>
      <c r="BF253" s="541">
        <f>(BF229*CO2factorElektriciteit+BF232*CO2factorAardgas+(BF235-BF242)*CO2factorWarmte)/1000</f>
        <v>118.15837357759523</v>
      </c>
      <c r="BG253" s="311"/>
      <c r="BH253" s="312"/>
      <c r="BI253" s="312"/>
      <c r="BJ253" s="311"/>
      <c r="BK253" s="311"/>
      <c r="BL253" s="541">
        <f>(BL229*CO2factorElektriciteit+BL232*CO2factorAardgas+(BL235-BL242)*CO2factorWarmte)/1000</f>
        <v>118.15837357759523</v>
      </c>
      <c r="BM253" s="311"/>
      <c r="BN253" s="312"/>
      <c r="BO253" s="312"/>
      <c r="BP253" s="311"/>
      <c r="BQ253" s="311"/>
      <c r="BR253" s="541">
        <f>(BR229*CO2factorElektriciteit+BR232*CO2factorAardgas+(BR235-BR242)*CO2factorWarmte)/1000</f>
        <v>118.15837357759523</v>
      </c>
      <c r="BS253" s="542"/>
      <c r="BT253" s="543"/>
      <c r="BU253" s="543"/>
      <c r="BV253" s="542"/>
      <c r="BW253" s="542"/>
      <c r="BX253" s="541">
        <f>(BX229*CO2factorElektriciteit+BX232*CO2factorAardgas+(BX235-BX242)*CO2factorWarmte)/1000</f>
        <v>118.15837357759523</v>
      </c>
      <c r="BY253" s="311"/>
      <c r="BZ253" s="312"/>
      <c r="CA253" s="312"/>
      <c r="CB253" s="311"/>
      <c r="CC253" s="311"/>
      <c r="CD253" s="541">
        <f>(CD229*CO2factorElektriciteit+CD232*CO2factorAardgas+(CD235-CD242)*CO2factorWarmte)/1000</f>
        <v>118.15837357759523</v>
      </c>
      <c r="CE253" s="311"/>
      <c r="CF253" s="312"/>
      <c r="CG253" s="312"/>
      <c r="CH253" s="311"/>
      <c r="CI253" s="311"/>
      <c r="CJ253" s="541">
        <f>(CJ229*CO2factorElektriciteit+CJ232*CO2factorAardgas+(CJ235-CJ242)*CO2factorWarmte)/1000</f>
        <v>118.15837357759523</v>
      </c>
      <c r="CK253" s="311"/>
      <c r="CL253" s="312"/>
      <c r="CM253" s="312"/>
      <c r="CN253" s="311"/>
      <c r="CO253" s="311"/>
      <c r="CP253" s="541">
        <f>(CP229*CO2factorElektriciteit+CP232*CO2factorAardgas+(CP235-CP242)*CO2factorWarmte)/1000</f>
        <v>118.15837357759523</v>
      </c>
      <c r="CQ253" s="544"/>
      <c r="CR253" s="543"/>
      <c r="CS253" s="543"/>
      <c r="CT253" s="544"/>
      <c r="CU253" s="544"/>
      <c r="CV253" s="541">
        <f>(CV229*CO2factorElektriciteit+CV232*CO2factorAardgas+(CV235-CV242)*CO2factorWarmte)/1000</f>
        <v>0</v>
      </c>
      <c r="CW253" s="544"/>
      <c r="CX253" s="543"/>
      <c r="CY253" s="543"/>
      <c r="CZ253" s="544"/>
      <c r="DA253" s="544"/>
      <c r="DB253" s="541">
        <f>(DB229*CO2factorElektriciteit+DB232*CO2factorAardgas+(DB235-DB242)*CO2factorWarmte)/1000</f>
        <v>0</v>
      </c>
      <c r="DC253" s="311"/>
      <c r="DD253" s="312"/>
      <c r="DE253" s="312"/>
      <c r="DF253" s="311"/>
      <c r="DG253" s="311"/>
      <c r="DH253" s="541">
        <f>(DH229*CO2factorElektriciteit+DH232*CO2factorAardgas+(DH235-DH242)*CO2factorWarmte)/1000</f>
        <v>0</v>
      </c>
      <c r="DI253" s="311"/>
      <c r="DJ253" s="312"/>
      <c r="DK253" s="312"/>
      <c r="DL253" s="311"/>
      <c r="DM253" s="311"/>
      <c r="DN253" s="541">
        <f>(DN229*CO2factorElektriciteit+DN232*CO2factorAardgas+(DN235-DN242)*CO2factorWarmte)/1000</f>
        <v>0</v>
      </c>
      <c r="DO253" s="311"/>
      <c r="DP253" s="312"/>
      <c r="DQ253" s="312"/>
      <c r="DR253" s="311"/>
      <c r="DS253" s="311"/>
      <c r="DT253" s="541">
        <f>(DT229*CO2factorElektriciteit+DT232*CO2factorAardgas+(DT235-DT242)*CO2factorWarmte)/1000</f>
        <v>0</v>
      </c>
      <c r="DU253" s="311"/>
      <c r="DV253" s="312"/>
      <c r="DW253" s="312"/>
      <c r="DX253" s="311"/>
      <c r="DY253" s="311"/>
      <c r="DZ253" s="541">
        <f>(DZ229*CO2factorElektriciteit+DZ232*CO2factorAardgas+(DZ235-DZ242)*CO2factorWarmte)/1000</f>
        <v>0</v>
      </c>
      <c r="EA253" s="311"/>
      <c r="EB253" s="312"/>
      <c r="EC253" s="312"/>
      <c r="ED253" s="311"/>
      <c r="EE253" s="311"/>
      <c r="EF253" s="541">
        <f>(EF229*CO2factorElektriciteit+EF232*CO2factorAardgas+(EF235-EF242)*CO2factorWarmte)/1000</f>
        <v>0</v>
      </c>
      <c r="EG253" s="311"/>
      <c r="EH253" s="312"/>
      <c r="EI253" s="312"/>
      <c r="EJ253" s="311"/>
      <c r="EK253" s="311"/>
      <c r="EL253" s="541">
        <f>(EL229*CO2factorElektriciteit+EL232*CO2factorAardgas+(EL235-EL242)*CO2factorWarmte)/1000</f>
        <v>0</v>
      </c>
      <c r="EM253" s="311"/>
      <c r="EN253" s="312"/>
      <c r="EO253" s="312"/>
      <c r="EP253" s="311"/>
      <c r="EQ253" s="311"/>
      <c r="ER253" s="541">
        <f>(ER229*CO2factorElektriciteit+ER232*CO2factorAardgas+(ER235-ER242)*CO2factorWarmte)/1000</f>
        <v>0</v>
      </c>
      <c r="ES253" s="311"/>
      <c r="ET253" s="312"/>
      <c r="EU253" s="312"/>
      <c r="EV253" s="311"/>
      <c r="EW253" s="311"/>
      <c r="EX253" s="541">
        <f>(EX229*CO2factorElektriciteit+EX232*CO2factorAardgas+(EX235-EX242)*CO2factorWarmte)/1000</f>
        <v>0</v>
      </c>
      <c r="EY253" s="311"/>
      <c r="EZ253" s="312"/>
      <c r="FA253" s="312"/>
      <c r="FB253" s="311"/>
      <c r="FC253" s="311"/>
      <c r="FD253" s="541">
        <f>(FD229*CO2factorElektriciteit+FD232*CO2factorAardgas+(FD235-FD242)*CO2factorWarmte)/1000</f>
        <v>0</v>
      </c>
      <c r="FE253" s="311"/>
      <c r="FF253" s="312"/>
      <c r="FG253" s="312"/>
      <c r="FH253" s="311"/>
      <c r="FI253" s="311"/>
      <c r="FJ253" s="541">
        <f>(FJ229*CO2factorElektriciteit+FJ232*CO2factorAardgas+(FJ235-FJ242)*CO2factorWarmte)/1000</f>
        <v>0</v>
      </c>
      <c r="FK253" s="311"/>
      <c r="FL253" s="312"/>
      <c r="FM253" s="312"/>
      <c r="FN253" s="311"/>
      <c r="FO253" s="311"/>
      <c r="FP253" s="541">
        <f>(FP229*CO2factorElektriciteit+FP232*CO2factorAardgas+(FP235-FP242)*CO2factorWarmte)/1000</f>
        <v>0</v>
      </c>
      <c r="FQ253" s="311"/>
      <c r="FR253" s="312"/>
      <c r="FS253" s="312"/>
      <c r="FT253" s="311"/>
      <c r="FU253" s="311"/>
      <c r="FV253" s="541">
        <f>(FV229*CO2factorElektriciteit+FV232*CO2factorAardgas+(FV235-FV242)*CO2factorWarmte)/1000</f>
        <v>0</v>
      </c>
      <c r="FW253" s="311"/>
      <c r="FX253" s="312"/>
      <c r="FY253" s="312"/>
      <c r="FZ253" s="311"/>
      <c r="GA253" s="311"/>
      <c r="GB253" s="541">
        <f>(GB229*CO2factorElektriciteit+GB232*CO2factorAardgas+(GB235-GB242)*CO2factorWarmte)/1000</f>
        <v>0</v>
      </c>
      <c r="GC253" s="311"/>
      <c r="GD253" s="312"/>
      <c r="GE253" s="312"/>
      <c r="GF253" s="311"/>
      <c r="GG253" s="311"/>
      <c r="GH253" s="541">
        <f>(GH229*CO2factorElektriciteit+GH232*CO2factorAardgas+(GH235-GH242)*CO2factorWarmte)/1000</f>
        <v>0</v>
      </c>
      <c r="GI253" s="311"/>
      <c r="GJ253" s="312"/>
      <c r="GK253" s="312"/>
      <c r="GL253" s="311"/>
      <c r="GM253" s="311"/>
      <c r="GN253" s="541">
        <f>(GN229*CO2factorElektriciteit+GN232*CO2factorAardgas+(GN235-GN242)*CO2factorWarmte)/1000</f>
        <v>0</v>
      </c>
      <c r="GO253" s="311"/>
      <c r="GP253" s="312"/>
      <c r="GQ253" s="312"/>
      <c r="GR253" s="311"/>
      <c r="GS253" s="311"/>
      <c r="GT253" s="541">
        <f>(GT229*CO2factorElektriciteit+GT232*CO2factorAardgas+(GT235-GT242)*CO2factorWarmte)/1000</f>
        <v>0</v>
      </c>
      <c r="GU253" s="311"/>
      <c r="GV253" s="312"/>
      <c r="GW253" s="312"/>
      <c r="GX253" s="311"/>
      <c r="GY253" s="311"/>
      <c r="GZ253" s="545">
        <f>(GZ229*CO2factorElektriciteit+GZ232*CO2factorAardgas+(GZ235-GZ242)*CO2factorWarmte)/1000</f>
        <v>0</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62.573995336519083</v>
      </c>
      <c r="V254" s="634">
        <f>IF(V222=0,0,(V253*1000)/V222)</f>
        <v>62.573995336519083</v>
      </c>
      <c r="W254" s="574"/>
      <c r="X254" s="575"/>
      <c r="Y254" s="575"/>
      <c r="Z254" s="574"/>
      <c r="AA254" s="574"/>
      <c r="AB254" s="634">
        <f>IF(AB222=0,0,(AB253*1000)/AB222)</f>
        <v>62.573995336519083</v>
      </c>
      <c r="AC254" s="315"/>
      <c r="AD254" s="316"/>
      <c r="AE254" s="316"/>
      <c r="AF254" s="315"/>
      <c r="AG254" s="315"/>
      <c r="AH254" s="634">
        <f>IF(AH222=0,0,(AH253*1000)/AH222)</f>
        <v>62.573995336519083</v>
      </c>
      <c r="AI254" s="574"/>
      <c r="AJ254" s="575"/>
      <c r="AK254" s="575"/>
      <c r="AL254" s="574"/>
      <c r="AM254" s="574"/>
      <c r="AN254" s="634">
        <f>IF(AN222=0,0,(AN253*1000)/AN222)</f>
        <v>62.573995336519083</v>
      </c>
      <c r="AO254" s="439"/>
      <c r="AP254" s="530"/>
      <c r="AQ254" s="530"/>
      <c r="AR254" s="439"/>
      <c r="AS254" s="439"/>
      <c r="AT254" s="633">
        <f>IF(AT222=0,0,(AT253*1000)/AT222)</f>
        <v>42.517694447577298</v>
      </c>
      <c r="AU254" s="315"/>
      <c r="AV254" s="316"/>
      <c r="AW254" s="316"/>
      <c r="AX254" s="315"/>
      <c r="AY254" s="315"/>
      <c r="AZ254" s="634">
        <f>IF(AZ222=0,0,(AZ253*1000)/AZ222)</f>
        <v>42.517694447577298</v>
      </c>
      <c r="BA254" s="315"/>
      <c r="BB254" s="316"/>
      <c r="BC254" s="316"/>
      <c r="BD254" s="315"/>
      <c r="BE254" s="315"/>
      <c r="BF254" s="634">
        <f>IF(BF222=0,0,(BF253*1000)/BF222)</f>
        <v>42.517694447577298</v>
      </c>
      <c r="BG254" s="315"/>
      <c r="BH254" s="316"/>
      <c r="BI254" s="316"/>
      <c r="BJ254" s="315"/>
      <c r="BK254" s="315"/>
      <c r="BL254" s="634">
        <f>IF(BL222=0,0,(BL253*1000)/BL222)</f>
        <v>42.517694447577298</v>
      </c>
      <c r="BM254" s="315"/>
      <c r="BN254" s="316"/>
      <c r="BO254" s="316"/>
      <c r="BP254" s="315"/>
      <c r="BQ254" s="315"/>
      <c r="BR254" s="634">
        <f>IF(BR222=0,0,(BR253*1000)/BR222)</f>
        <v>42.517694447577298</v>
      </c>
      <c r="BS254" s="315"/>
      <c r="BT254" s="316"/>
      <c r="BU254" s="316"/>
      <c r="BV254" s="315"/>
      <c r="BW254" s="315"/>
      <c r="BX254" s="634">
        <f>IF(BX222=0,0,(BX253*1000)/BX222)</f>
        <v>42.517694447577298</v>
      </c>
      <c r="BY254" s="315"/>
      <c r="BZ254" s="316"/>
      <c r="CA254" s="316"/>
      <c r="CB254" s="315"/>
      <c r="CC254" s="315"/>
      <c r="CD254" s="634">
        <f>IF(CD222=0,0,(CD253*1000)/CD222)</f>
        <v>42.517694447577298</v>
      </c>
      <c r="CE254" s="315"/>
      <c r="CF254" s="316"/>
      <c r="CG254" s="316"/>
      <c r="CH254" s="315"/>
      <c r="CI254" s="315"/>
      <c r="CJ254" s="634">
        <f>IF(CJ222=0,0,(CJ253*1000)/CJ222)</f>
        <v>42.517694447577298</v>
      </c>
      <c r="CK254" s="315"/>
      <c r="CL254" s="316"/>
      <c r="CM254" s="316"/>
      <c r="CN254" s="315"/>
      <c r="CO254" s="315"/>
      <c r="CP254" s="634">
        <f>IF(CP222=0,0,(CP253*1000)/CP222)</f>
        <v>42.517694447577298</v>
      </c>
      <c r="CQ254" s="315"/>
      <c r="CR254" s="316"/>
      <c r="CS254" s="316"/>
      <c r="CT254" s="315"/>
      <c r="CU254" s="315"/>
      <c r="CV254" s="634">
        <f>IF(CV222=0,0,(CV253*1000)/CV222)</f>
        <v>0</v>
      </c>
      <c r="CW254" s="577"/>
      <c r="CX254" s="575"/>
      <c r="CY254" s="575"/>
      <c r="CZ254" s="577"/>
      <c r="DA254" s="577"/>
      <c r="DB254" s="634">
        <f>IF(DB222=0,0,(DB253*1000)/DB222)</f>
        <v>0</v>
      </c>
      <c r="DC254" s="315"/>
      <c r="DD254" s="316"/>
      <c r="DE254" s="316"/>
      <c r="DF254" s="315"/>
      <c r="DG254" s="315"/>
      <c r="DH254" s="634">
        <f>IF(DH222=0,0,(DH253*1000)/DH222)</f>
        <v>0</v>
      </c>
      <c r="DI254" s="315"/>
      <c r="DJ254" s="316"/>
      <c r="DK254" s="316"/>
      <c r="DL254" s="315"/>
      <c r="DM254" s="315"/>
      <c r="DN254" s="634">
        <f>IF(DN222=0,0,(DN253*1000)/DN222)</f>
        <v>0</v>
      </c>
      <c r="DO254" s="315"/>
      <c r="DP254" s="316"/>
      <c r="DQ254" s="316"/>
      <c r="DR254" s="315"/>
      <c r="DS254" s="315"/>
      <c r="DT254" s="634">
        <f>IF(DT222=0,0,(DT253*1000)/DT222)</f>
        <v>0</v>
      </c>
      <c r="DU254" s="315"/>
      <c r="DV254" s="316"/>
      <c r="DW254" s="316"/>
      <c r="DX254" s="315"/>
      <c r="DY254" s="315"/>
      <c r="DZ254" s="634">
        <f>IF(DZ222=0,0,(DZ253*1000)/DZ222)</f>
        <v>0</v>
      </c>
      <c r="EA254" s="315"/>
      <c r="EB254" s="316"/>
      <c r="EC254" s="316"/>
      <c r="ED254" s="315"/>
      <c r="EE254" s="315"/>
      <c r="EF254" s="634">
        <f>IF(EF222=0,0,(EF253*1000)/EF222)</f>
        <v>0</v>
      </c>
      <c r="EG254" s="315"/>
      <c r="EH254" s="316"/>
      <c r="EI254" s="316"/>
      <c r="EJ254" s="315"/>
      <c r="EK254" s="315"/>
      <c r="EL254" s="634">
        <f>IF(EL222=0,0,(EL253*1000)/EL222)</f>
        <v>0</v>
      </c>
      <c r="EM254" s="315"/>
      <c r="EN254" s="316"/>
      <c r="EO254" s="316"/>
      <c r="EP254" s="315"/>
      <c r="EQ254" s="315"/>
      <c r="ER254" s="634">
        <f>IF(ER222=0,0,(ER253*1000)/ER222)</f>
        <v>0</v>
      </c>
      <c r="ES254" s="315"/>
      <c r="ET254" s="316"/>
      <c r="EU254" s="316"/>
      <c r="EV254" s="315"/>
      <c r="EW254" s="315"/>
      <c r="EX254" s="634">
        <f>IF(EX222=0,0,(EX253*1000)/EX222)</f>
        <v>0</v>
      </c>
      <c r="EY254" s="315"/>
      <c r="EZ254" s="316"/>
      <c r="FA254" s="316"/>
      <c r="FB254" s="315"/>
      <c r="FC254" s="315"/>
      <c r="FD254" s="634">
        <f>IF(FD222=0,0,(FD253*1000)/FD222)</f>
        <v>0</v>
      </c>
      <c r="FE254" s="315"/>
      <c r="FF254" s="316"/>
      <c r="FG254" s="316"/>
      <c r="FH254" s="315"/>
      <c r="FI254" s="315"/>
      <c r="FJ254" s="634">
        <f>IF(FJ222=0,0,(FJ253*1000)/FJ222)</f>
        <v>0</v>
      </c>
      <c r="FK254" s="315"/>
      <c r="FL254" s="316"/>
      <c r="FM254" s="316"/>
      <c r="FN254" s="315"/>
      <c r="FO254" s="315"/>
      <c r="FP254" s="634">
        <f>IF(FP222=0,0,(FP253*1000)/FP222)</f>
        <v>0</v>
      </c>
      <c r="FQ254" s="315"/>
      <c r="FR254" s="316"/>
      <c r="FS254" s="316"/>
      <c r="FT254" s="315"/>
      <c r="FU254" s="315"/>
      <c r="FV254" s="634">
        <f>IF(FV222=0,0,(FV253*1000)/FV222)</f>
        <v>0</v>
      </c>
      <c r="FW254" s="315"/>
      <c r="FX254" s="316"/>
      <c r="FY254" s="316"/>
      <c r="FZ254" s="315"/>
      <c r="GA254" s="315"/>
      <c r="GB254" s="634">
        <f>IF(GB222=0,0,(GB253*1000)/GB222)</f>
        <v>0</v>
      </c>
      <c r="GC254" s="315"/>
      <c r="GD254" s="316"/>
      <c r="GE254" s="316"/>
      <c r="GF254" s="315"/>
      <c r="GG254" s="315"/>
      <c r="GH254" s="634">
        <f>IF(GH222=0,0,(GH253*1000)/GH222)</f>
        <v>0</v>
      </c>
      <c r="GI254" s="315"/>
      <c r="GJ254" s="316"/>
      <c r="GK254" s="316"/>
      <c r="GL254" s="315"/>
      <c r="GM254" s="315"/>
      <c r="GN254" s="634">
        <f>IF(GN222=0,0,(GN253*1000)/GN222)</f>
        <v>0</v>
      </c>
      <c r="GO254" s="315"/>
      <c r="GP254" s="316"/>
      <c r="GQ254" s="316"/>
      <c r="GR254" s="315"/>
      <c r="GS254" s="315"/>
      <c r="GT254" s="634">
        <f>IF(GT222=0,0,(GT253*1000)/GT222)</f>
        <v>0</v>
      </c>
      <c r="GU254" s="315"/>
      <c r="GV254" s="316"/>
      <c r="GW254" s="316"/>
      <c r="GX254" s="315"/>
      <c r="GY254" s="315"/>
      <c r="GZ254" s="666">
        <f>IF(GZ222=0,0,(GZ253*1000)/GZ222)</f>
        <v>0</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0</v>
      </c>
      <c r="W255" s="668">
        <f t="shared" si="290"/>
        <v>0</v>
      </c>
      <c r="X255" s="668">
        <f t="shared" si="290"/>
        <v>0</v>
      </c>
      <c r="Y255" s="668">
        <f t="shared" si="290"/>
        <v>0</v>
      </c>
      <c r="Z255" s="668">
        <f t="shared" si="290"/>
        <v>0</v>
      </c>
      <c r="AA255" s="668">
        <f t="shared" si="290"/>
        <v>0</v>
      </c>
      <c r="AB255" s="668">
        <f t="shared" si="290"/>
        <v>0</v>
      </c>
      <c r="AC255" s="668">
        <f t="shared" si="290"/>
        <v>0</v>
      </c>
      <c r="AD255" s="668">
        <f t="shared" si="290"/>
        <v>0</v>
      </c>
      <c r="AE255" s="668">
        <f t="shared" si="290"/>
        <v>0</v>
      </c>
      <c r="AF255" s="668">
        <f t="shared" si="290"/>
        <v>0</v>
      </c>
      <c r="AG255" s="668">
        <f t="shared" si="290"/>
        <v>0</v>
      </c>
      <c r="AH255" s="668">
        <f t="shared" si="290"/>
        <v>0</v>
      </c>
      <c r="AI255" s="668">
        <f t="shared" si="290"/>
        <v>0</v>
      </c>
      <c r="AJ255" s="668">
        <f t="shared" si="290"/>
        <v>0</v>
      </c>
      <c r="AK255" s="668">
        <f t="shared" si="290"/>
        <v>0</v>
      </c>
      <c r="AL255" s="668">
        <f t="shared" si="290"/>
        <v>0</v>
      </c>
      <c r="AM255" s="668">
        <f t="shared" si="290"/>
        <v>0</v>
      </c>
      <c r="AN255" s="668">
        <f t="shared" si="290"/>
        <v>0</v>
      </c>
      <c r="AO255" s="668">
        <f t="shared" si="290"/>
        <v>0</v>
      </c>
      <c r="AP255" s="668">
        <f t="shared" si="290"/>
        <v>0</v>
      </c>
      <c r="AQ255" s="668">
        <f t="shared" si="290"/>
        <v>0</v>
      </c>
      <c r="AR255" s="668">
        <f t="shared" si="290"/>
        <v>0</v>
      </c>
      <c r="AS255" s="668">
        <f t="shared" si="290"/>
        <v>0</v>
      </c>
      <c r="AT255" s="668">
        <f t="shared" si="290"/>
        <v>-0.32052134087139927</v>
      </c>
      <c r="AU255" s="668">
        <f t="shared" si="290"/>
        <v>0</v>
      </c>
      <c r="AV255" s="668">
        <f t="shared" si="290"/>
        <v>0</v>
      </c>
      <c r="AW255" s="668">
        <f t="shared" si="290"/>
        <v>0</v>
      </c>
      <c r="AX255" s="668">
        <f t="shared" si="290"/>
        <v>0</v>
      </c>
      <c r="AY255" s="668">
        <f t="shared" si="290"/>
        <v>0</v>
      </c>
      <c r="AZ255" s="668">
        <f t="shared" si="290"/>
        <v>-0.32052134087139927</v>
      </c>
      <c r="BA255" s="668">
        <f t="shared" ref="BA255:CF255" si="291">IF(BA222=0,0,IF(CO2_2018=0,0,(BA253/$U$253)-1))</f>
        <v>0</v>
      </c>
      <c r="BB255" s="668">
        <f t="shared" si="291"/>
        <v>0</v>
      </c>
      <c r="BC255" s="668">
        <f t="shared" si="291"/>
        <v>0</v>
      </c>
      <c r="BD255" s="668">
        <f t="shared" si="291"/>
        <v>0</v>
      </c>
      <c r="BE255" s="668">
        <f t="shared" si="291"/>
        <v>0</v>
      </c>
      <c r="BF255" s="668">
        <f t="shared" si="291"/>
        <v>-0.32052134087139927</v>
      </c>
      <c r="BG255" s="668">
        <f t="shared" si="291"/>
        <v>0</v>
      </c>
      <c r="BH255" s="668">
        <f t="shared" si="291"/>
        <v>0</v>
      </c>
      <c r="BI255" s="668">
        <f t="shared" si="291"/>
        <v>0</v>
      </c>
      <c r="BJ255" s="668">
        <f t="shared" si="291"/>
        <v>0</v>
      </c>
      <c r="BK255" s="668">
        <f t="shared" si="291"/>
        <v>0</v>
      </c>
      <c r="BL255" s="668">
        <f t="shared" si="291"/>
        <v>-0.32052134087139927</v>
      </c>
      <c r="BM255" s="668">
        <f t="shared" si="291"/>
        <v>0</v>
      </c>
      <c r="BN255" s="668">
        <f t="shared" si="291"/>
        <v>0</v>
      </c>
      <c r="BO255" s="668">
        <f t="shared" si="291"/>
        <v>0</v>
      </c>
      <c r="BP255" s="668">
        <f t="shared" si="291"/>
        <v>0</v>
      </c>
      <c r="BQ255" s="668">
        <f t="shared" si="291"/>
        <v>0</v>
      </c>
      <c r="BR255" s="668">
        <f t="shared" si="291"/>
        <v>-0.32052134087139927</v>
      </c>
      <c r="BS255" s="668">
        <f t="shared" si="291"/>
        <v>0</v>
      </c>
      <c r="BT255" s="668">
        <f t="shared" si="291"/>
        <v>0</v>
      </c>
      <c r="BU255" s="668">
        <f t="shared" si="291"/>
        <v>0</v>
      </c>
      <c r="BV255" s="668">
        <f t="shared" si="291"/>
        <v>0</v>
      </c>
      <c r="BW255" s="668">
        <f t="shared" si="291"/>
        <v>0</v>
      </c>
      <c r="BX255" s="668">
        <f t="shared" si="291"/>
        <v>-0.32052134087139927</v>
      </c>
      <c r="BY255" s="668">
        <f t="shared" si="291"/>
        <v>0</v>
      </c>
      <c r="BZ255" s="668">
        <f t="shared" si="291"/>
        <v>0</v>
      </c>
      <c r="CA255" s="668">
        <f t="shared" si="291"/>
        <v>0</v>
      </c>
      <c r="CB255" s="668">
        <f t="shared" si="291"/>
        <v>0</v>
      </c>
      <c r="CC255" s="668">
        <f t="shared" si="291"/>
        <v>0</v>
      </c>
      <c r="CD255" s="668">
        <f t="shared" si="291"/>
        <v>-0.32052134087139927</v>
      </c>
      <c r="CE255" s="668">
        <f t="shared" si="291"/>
        <v>0</v>
      </c>
      <c r="CF255" s="668">
        <f t="shared" si="291"/>
        <v>0</v>
      </c>
      <c r="CG255" s="668">
        <f t="shared" ref="CG255:DL255" si="292">IF(CG222=0,0,IF(CO2_2018=0,0,(CG253/$U$253)-1))</f>
        <v>0</v>
      </c>
      <c r="CH255" s="668">
        <f t="shared" si="292"/>
        <v>0</v>
      </c>
      <c r="CI255" s="668">
        <f t="shared" si="292"/>
        <v>0</v>
      </c>
      <c r="CJ255" s="668">
        <f t="shared" si="292"/>
        <v>-0.32052134087139927</v>
      </c>
      <c r="CK255" s="668">
        <f t="shared" si="292"/>
        <v>0</v>
      </c>
      <c r="CL255" s="668">
        <f t="shared" si="292"/>
        <v>0</v>
      </c>
      <c r="CM255" s="668">
        <f t="shared" si="292"/>
        <v>0</v>
      </c>
      <c r="CN255" s="668">
        <f t="shared" si="292"/>
        <v>0</v>
      </c>
      <c r="CO255" s="668">
        <f t="shared" si="292"/>
        <v>0</v>
      </c>
      <c r="CP255" s="668">
        <f t="shared" si="292"/>
        <v>-0.32052134087139927</v>
      </c>
      <c r="CQ255" s="668">
        <f t="shared" si="292"/>
        <v>0</v>
      </c>
      <c r="CR255" s="668">
        <f t="shared" si="292"/>
        <v>0</v>
      </c>
      <c r="CS255" s="668">
        <f t="shared" si="292"/>
        <v>0</v>
      </c>
      <c r="CT255" s="668">
        <f t="shared" si="292"/>
        <v>0</v>
      </c>
      <c r="CU255" s="668">
        <f t="shared" si="292"/>
        <v>0</v>
      </c>
      <c r="CV255" s="668">
        <f t="shared" si="292"/>
        <v>0</v>
      </c>
      <c r="CW255" s="668">
        <f t="shared" si="292"/>
        <v>0</v>
      </c>
      <c r="CX255" s="668">
        <f t="shared" si="292"/>
        <v>0</v>
      </c>
      <c r="CY255" s="668">
        <f t="shared" si="292"/>
        <v>0</v>
      </c>
      <c r="CZ255" s="668">
        <f t="shared" si="292"/>
        <v>0</v>
      </c>
      <c r="DA255" s="668">
        <f t="shared" si="292"/>
        <v>0</v>
      </c>
      <c r="DB255" s="668">
        <f t="shared" si="292"/>
        <v>0</v>
      </c>
      <c r="DC255" s="668">
        <f t="shared" si="292"/>
        <v>0</v>
      </c>
      <c r="DD255" s="668">
        <f t="shared" si="292"/>
        <v>0</v>
      </c>
      <c r="DE255" s="668">
        <f t="shared" si="292"/>
        <v>0</v>
      </c>
      <c r="DF255" s="668">
        <f t="shared" si="292"/>
        <v>0</v>
      </c>
      <c r="DG255" s="668">
        <f t="shared" si="292"/>
        <v>0</v>
      </c>
      <c r="DH255" s="668">
        <f t="shared" si="292"/>
        <v>0</v>
      </c>
      <c r="DI255" s="668">
        <f t="shared" si="292"/>
        <v>0</v>
      </c>
      <c r="DJ255" s="668">
        <f t="shared" si="292"/>
        <v>0</v>
      </c>
      <c r="DK255" s="668">
        <f t="shared" si="292"/>
        <v>0</v>
      </c>
      <c r="DL255" s="668">
        <f t="shared" si="292"/>
        <v>0</v>
      </c>
      <c r="DM255" s="668">
        <f t="shared" ref="DM255:ER255" si="293">IF(DM222=0,0,IF(CO2_2018=0,0,(DM253/$U$253)-1))</f>
        <v>0</v>
      </c>
      <c r="DN255" s="668">
        <f t="shared" si="293"/>
        <v>0</v>
      </c>
      <c r="DO255" s="668">
        <f t="shared" si="293"/>
        <v>0</v>
      </c>
      <c r="DP255" s="668">
        <f t="shared" si="293"/>
        <v>0</v>
      </c>
      <c r="DQ255" s="668">
        <f t="shared" si="293"/>
        <v>0</v>
      </c>
      <c r="DR255" s="668">
        <f t="shared" si="293"/>
        <v>0</v>
      </c>
      <c r="DS255" s="668">
        <f t="shared" si="293"/>
        <v>0</v>
      </c>
      <c r="DT255" s="668">
        <f t="shared" si="293"/>
        <v>0</v>
      </c>
      <c r="DU255" s="668">
        <f t="shared" si="293"/>
        <v>0</v>
      </c>
      <c r="DV255" s="668">
        <f t="shared" si="293"/>
        <v>0</v>
      </c>
      <c r="DW255" s="668">
        <f t="shared" si="293"/>
        <v>0</v>
      </c>
      <c r="DX255" s="668">
        <f t="shared" si="293"/>
        <v>0</v>
      </c>
      <c r="DY255" s="668">
        <f t="shared" si="293"/>
        <v>0</v>
      </c>
      <c r="DZ255" s="668">
        <f t="shared" si="293"/>
        <v>0</v>
      </c>
      <c r="EA255" s="668">
        <f t="shared" si="293"/>
        <v>0</v>
      </c>
      <c r="EB255" s="668">
        <f t="shared" si="293"/>
        <v>0</v>
      </c>
      <c r="EC255" s="668">
        <f t="shared" si="293"/>
        <v>0</v>
      </c>
      <c r="ED255" s="668">
        <f t="shared" si="293"/>
        <v>0</v>
      </c>
      <c r="EE255" s="668">
        <f t="shared" si="293"/>
        <v>0</v>
      </c>
      <c r="EF255" s="668">
        <f t="shared" si="293"/>
        <v>0</v>
      </c>
      <c r="EG255" s="668">
        <f t="shared" si="293"/>
        <v>0</v>
      </c>
      <c r="EH255" s="668">
        <f t="shared" si="293"/>
        <v>0</v>
      </c>
      <c r="EI255" s="668">
        <f t="shared" si="293"/>
        <v>0</v>
      </c>
      <c r="EJ255" s="668">
        <f t="shared" si="293"/>
        <v>0</v>
      </c>
      <c r="EK255" s="668">
        <f t="shared" si="293"/>
        <v>0</v>
      </c>
      <c r="EL255" s="668">
        <f t="shared" si="293"/>
        <v>0</v>
      </c>
      <c r="EM255" s="668">
        <f t="shared" si="293"/>
        <v>0</v>
      </c>
      <c r="EN255" s="668">
        <f t="shared" si="293"/>
        <v>0</v>
      </c>
      <c r="EO255" s="668">
        <f t="shared" si="293"/>
        <v>0</v>
      </c>
      <c r="EP255" s="668">
        <f t="shared" si="293"/>
        <v>0</v>
      </c>
      <c r="EQ255" s="668">
        <f t="shared" si="293"/>
        <v>0</v>
      </c>
      <c r="ER255" s="668">
        <f t="shared" si="293"/>
        <v>0</v>
      </c>
      <c r="ES255" s="668">
        <f t="shared" ref="ES255:FX255" si="294">IF(ES222=0,0,IF(CO2_2018=0,0,(ES253/$U$253)-1))</f>
        <v>0</v>
      </c>
      <c r="ET255" s="668">
        <f t="shared" si="294"/>
        <v>0</v>
      </c>
      <c r="EU255" s="668">
        <f t="shared" si="294"/>
        <v>0</v>
      </c>
      <c r="EV255" s="668">
        <f t="shared" si="294"/>
        <v>0</v>
      </c>
      <c r="EW255" s="668">
        <f t="shared" si="294"/>
        <v>0</v>
      </c>
      <c r="EX255" s="668">
        <f t="shared" si="294"/>
        <v>0</v>
      </c>
      <c r="EY255" s="668">
        <f t="shared" si="294"/>
        <v>0</v>
      </c>
      <c r="EZ255" s="668">
        <f t="shared" si="294"/>
        <v>0</v>
      </c>
      <c r="FA255" s="668">
        <f t="shared" si="294"/>
        <v>0</v>
      </c>
      <c r="FB255" s="668">
        <f t="shared" si="294"/>
        <v>0</v>
      </c>
      <c r="FC255" s="668">
        <f t="shared" si="294"/>
        <v>0</v>
      </c>
      <c r="FD255" s="668">
        <f t="shared" si="294"/>
        <v>0</v>
      </c>
      <c r="FE255" s="668">
        <f t="shared" si="294"/>
        <v>0</v>
      </c>
      <c r="FF255" s="668">
        <f t="shared" si="294"/>
        <v>0</v>
      </c>
      <c r="FG255" s="668">
        <f t="shared" si="294"/>
        <v>0</v>
      </c>
      <c r="FH255" s="668">
        <f t="shared" si="294"/>
        <v>0</v>
      </c>
      <c r="FI255" s="668">
        <f t="shared" si="294"/>
        <v>0</v>
      </c>
      <c r="FJ255" s="668">
        <f t="shared" si="294"/>
        <v>0</v>
      </c>
      <c r="FK255" s="668">
        <f t="shared" si="294"/>
        <v>0</v>
      </c>
      <c r="FL255" s="668">
        <f t="shared" si="294"/>
        <v>0</v>
      </c>
      <c r="FM255" s="668">
        <f t="shared" si="294"/>
        <v>0</v>
      </c>
      <c r="FN255" s="668">
        <f t="shared" si="294"/>
        <v>0</v>
      </c>
      <c r="FO255" s="668">
        <f t="shared" si="294"/>
        <v>0</v>
      </c>
      <c r="FP255" s="668">
        <f t="shared" si="294"/>
        <v>0</v>
      </c>
      <c r="FQ255" s="668">
        <f t="shared" si="294"/>
        <v>0</v>
      </c>
      <c r="FR255" s="668">
        <f t="shared" si="294"/>
        <v>0</v>
      </c>
      <c r="FS255" s="668">
        <f t="shared" si="294"/>
        <v>0</v>
      </c>
      <c r="FT255" s="668">
        <f t="shared" si="294"/>
        <v>0</v>
      </c>
      <c r="FU255" s="668">
        <f t="shared" si="294"/>
        <v>0</v>
      </c>
      <c r="FV255" s="668">
        <f t="shared" si="294"/>
        <v>0</v>
      </c>
      <c r="FW255" s="668">
        <f t="shared" si="294"/>
        <v>0</v>
      </c>
      <c r="FX255" s="668">
        <f t="shared" si="294"/>
        <v>0</v>
      </c>
      <c r="FY255" s="668">
        <f t="shared" ref="FY255:GZ255" si="295">IF(FY222=0,0,IF(CO2_2018=0,0,(FY253/$U$253)-1))</f>
        <v>0</v>
      </c>
      <c r="FZ255" s="668">
        <f t="shared" si="295"/>
        <v>0</v>
      </c>
      <c r="GA255" s="668">
        <f t="shared" si="295"/>
        <v>0</v>
      </c>
      <c r="GB255" s="668">
        <f t="shared" si="295"/>
        <v>0</v>
      </c>
      <c r="GC255" s="668">
        <f t="shared" si="295"/>
        <v>0</v>
      </c>
      <c r="GD255" s="668">
        <f t="shared" si="295"/>
        <v>0</v>
      </c>
      <c r="GE255" s="668">
        <f t="shared" si="295"/>
        <v>0</v>
      </c>
      <c r="GF255" s="668">
        <f t="shared" si="295"/>
        <v>0</v>
      </c>
      <c r="GG255" s="668">
        <f t="shared" si="295"/>
        <v>0</v>
      </c>
      <c r="GH255" s="668">
        <f t="shared" si="295"/>
        <v>0</v>
      </c>
      <c r="GI255" s="668">
        <f t="shared" si="295"/>
        <v>0</v>
      </c>
      <c r="GJ255" s="668">
        <f t="shared" si="295"/>
        <v>0</v>
      </c>
      <c r="GK255" s="668">
        <f t="shared" si="295"/>
        <v>0</v>
      </c>
      <c r="GL255" s="668">
        <f t="shared" si="295"/>
        <v>0</v>
      </c>
      <c r="GM255" s="668">
        <f t="shared" si="295"/>
        <v>0</v>
      </c>
      <c r="GN255" s="668">
        <f t="shared" si="295"/>
        <v>0</v>
      </c>
      <c r="GO255" s="668">
        <f t="shared" si="295"/>
        <v>0</v>
      </c>
      <c r="GP255" s="668">
        <f t="shared" si="295"/>
        <v>0</v>
      </c>
      <c r="GQ255" s="668">
        <f t="shared" si="295"/>
        <v>0</v>
      </c>
      <c r="GR255" s="668">
        <f t="shared" si="295"/>
        <v>0</v>
      </c>
      <c r="GS255" s="668">
        <f t="shared" si="295"/>
        <v>0</v>
      </c>
      <c r="GT255" s="668">
        <f t="shared" si="295"/>
        <v>0</v>
      </c>
      <c r="GU255" s="668">
        <f t="shared" si="295"/>
        <v>0</v>
      </c>
      <c r="GV255" s="668">
        <f t="shared" si="295"/>
        <v>0</v>
      </c>
      <c r="GW255" s="668">
        <f t="shared" si="295"/>
        <v>0</v>
      </c>
      <c r="GX255" s="668">
        <f t="shared" si="295"/>
        <v>0</v>
      </c>
      <c r="GY255" s="668">
        <f t="shared" si="295"/>
        <v>0</v>
      </c>
      <c r="GZ255" s="668">
        <f t="shared" si="295"/>
        <v>0</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101" priority="7">
      <formula>LEN(TRIM(C12))=0</formula>
    </cfRule>
  </conditionalFormatting>
  <conditionalFormatting sqref="C15">
    <cfRule type="containsBlanks" dxfId="100" priority="6">
      <formula>LEN(TRIM(C15))=0</formula>
    </cfRule>
  </conditionalFormatting>
  <conditionalFormatting sqref="C29">
    <cfRule type="expression" dxfId="99" priority="5">
      <formula>$C$28="Ja"</formula>
    </cfRule>
  </conditionalFormatting>
  <conditionalFormatting sqref="C44:G215">
    <cfRule type="expression" dxfId="98" priority="51">
      <formula>$H44="x"</formula>
    </cfRule>
  </conditionalFormatting>
  <conditionalFormatting sqref="D29">
    <cfRule type="expression" dxfId="97" priority="14">
      <formula>$C$28="Ja"</formula>
    </cfRule>
  </conditionalFormatting>
  <conditionalFormatting sqref="D43:E43">
    <cfRule type="expression" dxfId="96" priority="72">
      <formula>$C$12&lt;K$219</formula>
    </cfRule>
  </conditionalFormatting>
  <conditionalFormatting sqref="E1">
    <cfRule type="containsText" dxfId="95" priority="52" operator="containsText" text="Let">
      <formula>NOT(ISERROR(SEARCH("Let",E1)))</formula>
    </cfRule>
  </conditionalFormatting>
  <conditionalFormatting sqref="E218:I218">
    <cfRule type="expression" dxfId="94" priority="66">
      <formula>#REF!=0</formula>
    </cfRule>
  </conditionalFormatting>
  <conditionalFormatting sqref="H42">
    <cfRule type="expression" dxfId="93" priority="71">
      <formula>$C$12&lt;L$219</formula>
    </cfRule>
  </conditionalFormatting>
  <conditionalFormatting sqref="H44:H215">
    <cfRule type="containsText" dxfId="90" priority="58" operator="containsText" text="x">
      <formula>NOT(ISERROR(SEARCH("x",H44)))</formula>
    </cfRule>
  </conditionalFormatting>
  <conditionalFormatting sqref="I42:I43">
    <cfRule type="expression" dxfId="89" priority="68">
      <formula>$C$12&lt;N$219</formula>
    </cfRule>
  </conditionalFormatting>
  <conditionalFormatting sqref="I45:GZ215">
    <cfRule type="expression" dxfId="88" priority="74">
      <formula>$H45="x"</formula>
    </cfRule>
  </conditionalFormatting>
  <conditionalFormatting sqref="I44:HE44">
    <cfRule type="expression" dxfId="87" priority="60">
      <formula>$H44="x"</formula>
    </cfRule>
  </conditionalFormatting>
  <conditionalFormatting sqref="J218">
    <cfRule type="expression" dxfId="86" priority="63">
      <formula>#REF!=0</formula>
    </cfRule>
  </conditionalFormatting>
  <conditionalFormatting sqref="K42:K43 N42:N43 P42:S43">
    <cfRule type="expression" dxfId="85" priority="67">
      <formula>$C$12&lt;#REF!</formula>
    </cfRule>
  </conditionalFormatting>
  <conditionalFormatting sqref="M42:M43 C43">
    <cfRule type="expression" dxfId="84" priority="69">
      <formula>$C$12&lt;K$219</formula>
    </cfRule>
  </conditionalFormatting>
  <conditionalFormatting sqref="O42:O43">
    <cfRule type="expression" dxfId="83" priority="70">
      <formula>$C$12&lt;Q$219</formula>
    </cfRule>
  </conditionalFormatting>
  <conditionalFormatting sqref="T44:T215">
    <cfRule type="cellIs" dxfId="82" priority="62" operator="equal">
      <formula>1</formula>
    </cfRule>
    <cfRule type="cellIs" dxfId="81" priority="73" operator="greaterThan">
      <formula>1</formula>
    </cfRule>
  </conditionalFormatting>
  <conditionalFormatting sqref="U229:V229 AB229 AH229 AN229 AT229:GZ229 U232:V232 AB232 AH232 AN232 AT232:GZ232 U235:V235 AB235 AH235 AN235 AT235:GZ235">
    <cfRule type="cellIs" dxfId="80" priority="53" operator="lessThan">
      <formula>0</formula>
    </cfRule>
  </conditionalFormatting>
  <conditionalFormatting sqref="U31:CJ33">
    <cfRule type="expression" dxfId="79" priority="3">
      <formula>YEAR(TODAY())=U$30+1</formula>
    </cfRule>
    <cfRule type="expression" dxfId="78" priority="4">
      <formula>YEAR(TODAY())&gt;U$30</formula>
    </cfRule>
  </conditionalFormatting>
  <conditionalFormatting sqref="U37:CJ37">
    <cfRule type="expression" dxfId="77" priority="1">
      <formula>YEAR(TODAY())=U$30+1</formula>
    </cfRule>
    <cfRule type="expression" dxfId="76" priority="2">
      <formula>YEAR(TODAY())&gt;U$30</formula>
    </cfRule>
  </conditionalFormatting>
  <conditionalFormatting sqref="V44:GZ215">
    <cfRule type="expression" dxfId="75" priority="11">
      <formula>V$219&lt;$C$11</formula>
    </cfRule>
    <cfRule type="expression" dxfId="74" priority="9">
      <formula>V$219&gt;$C$12</formula>
    </cfRule>
  </conditionalFormatting>
  <conditionalFormatting sqref="V44:HE44 V45:GZ215">
    <cfRule type="expression" dxfId="73" priority="8">
      <formula>YEAR(TODAY())&gt;V$42</formula>
    </cfRule>
    <cfRule type="notContainsBlanks" dxfId="72" priority="12">
      <formula>LEN(TRIM(V44))&gt;0</formula>
    </cfRule>
  </conditionalFormatting>
  <conditionalFormatting sqref="CQ36:CU37">
    <cfRule type="expression" dxfId="71" priority="54">
      <formula>YEAR(TODAY())=CQ$42</formula>
    </cfRule>
    <cfRule type="expression" dxfId="70" priority="55">
      <formula>YEAR(TODAY())&lt;CQ$42</formula>
    </cfRule>
  </conditionalFormatting>
  <conditionalFormatting sqref="HA45:HE215">
    <cfRule type="notContainsBlanks" dxfId="69" priority="16">
      <formula>LEN(TRIM(HA45))&gt;0</formula>
    </cfRule>
    <cfRule type="expression" dxfId="68" priority="17">
      <formula>$H45="x"</formula>
    </cfRule>
  </conditionalFormatting>
  <dataValidations count="27">
    <dataValidation type="whole" errorStyle="warning" operator="lessThan" showInputMessage="1" showErrorMessage="1" errorTitle="Let op!" error="U heeft deze maatregel al elders ingepland. Weet u zeker dat u deze maatregel nógmaals wilt uitvoeren? " sqref="HF46:HF66 HF218" xr:uid="{E8CBBC53-1B1F-44CB-9AC7-8EA89C5338BF}">
      <formula1>1</formula1>
    </dataValidation>
    <dataValidation type="whole" operator="notEqual" showErrorMessage="1" errorTitle="Let op!" error="U heeft deze maatregel al elders ingepland. Weet u zeker dat u deze maatregel nógmaals wilt uitvoeren? " sqref="HF43:HF45" xr:uid="{CCE3972E-8CD5-402E-8D87-3B21AFD87100}">
      <formula1>1</formula1>
    </dataValidation>
    <dataValidation allowBlank="1" showInputMessage="1" showErrorMessage="1" prompt="Alleen wijzigen als dit afwijkt van de rest van de organisatie! Voor de gehele organisatie kunt u de energieprijs wijzigen in het Dashboard. " sqref="C18:C20" xr:uid="{BBB7C728-1754-44BC-9339-4E639E98EC16}"/>
    <dataValidation allowBlank="1" sqref="U218:GY218 HA218:HE218" xr:uid="{8EBE41C7-7BEF-4F2A-855D-909A105EBB9A}"/>
    <dataValidation type="list" showInputMessage="1" showErrorMessage="1" error="Kies een jaar tussen 2018 en 2050. " prompt="Kies een jaar tussen '2018' en '2050 of later'. " sqref="C12" xr:uid="{87283504-3358-4042-AA19-6C383CF4D5D1}">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2D7D8363-06F3-40A9-B032-3F00F622BE32}">
      <formula1>0</formula1>
    </dataValidation>
    <dataValidation type="list" showInputMessage="1" showErrorMessage="1" error="Kies een jaar tussen 2018 en 2050 of laat leeg. " sqref="C11" xr:uid="{5832EC8C-4EAB-458A-BB94-EB9C55E2EA15}">
      <formula1>$HL$2:$HL$34</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718F7B59-3BAD-46FB-83B7-B59D7933E4E6}">
      <formula1>$GZ$233&gt;0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0A7E8E2A-4F8D-4016-9071-9B02138EE02C}">
      <formula1>$HL$1</formula1>
    </dataValidation>
    <dataValidation type="decimal" operator="greaterThan" allowBlank="1" showInputMessage="1" showErrorMessage="1" errorTitle="Ongeldige invoer" error="Je probeert iets anders dan een (komma)getal in te voeren. Dat kan niet. " sqref="HA45:HE215 V45:AS215" xr:uid="{B6B4B7FE-F597-40C3-90C2-2EE472D6E02A}">
      <formula1>0</formula1>
    </dataValidation>
    <dataValidation type="list" showDropDown="1" showInputMessage="1" showErrorMessage="1" error="Maak een keuze tussen 'Eigendom' of 'Huur'." prompt="Maak een keuze tussen 'Eigendom' of 'Huur'." sqref="C15" xr:uid="{A44BAE3A-B239-4A94-94BC-DB32EF892800}">
      <formula1>$HK$8:$HK$9</formula1>
    </dataValidation>
    <dataValidation allowBlank="1" showInputMessage="1" showErrorMessage="1" prompt="Hier komt automatisch de beheerder die op het starttabblad genoteerd staat. Je kunt dit overschrijven. " sqref="C37" xr:uid="{BBD53D25-0523-4DF0-B667-5CDC86A2709E}"/>
    <dataValidation allowBlank="1" showInputMessage="1" showErrorMessage="1" prompt="1234AA zonder spatie" sqref="C31" xr:uid="{B61ECEA2-FBC4-4018-8E2B-89DC968CC914}"/>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82E41DD6-0790-47F9-B27A-CBE8FD8ED9BA}">
      <formula1>$HL$1:$HM$1</formula1>
    </dataValidation>
    <dataValidation type="textLength" operator="lessThanOrEqual" showInputMessage="1" showErrorMessage="1" error="Typ alleen het energielabel (G t/m A++++)" sqref="C16" xr:uid="{7D4BA936-7E51-4247-93C3-9D1B69647753}">
      <formula1>6</formula1>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CAC596B4-8FA1-4471-AC0A-1B1595AB82DE}">
      <formula1>0</formula1>
      <formula2>2030</formula2>
    </dataValidation>
    <dataValidation type="whole" allowBlank="1" showInputMessage="1" showErrorMessage="1" error="Vul een geheel getal in." sqref="C4:C5" xr:uid="{95F9AD38-D0B8-4CAD-A88D-190A9EFDFB38}">
      <formula1>0</formula1>
      <formula2>10000000</formula2>
    </dataValidation>
    <dataValidation type="list" operator="greaterThan" showDropDown="1" showInputMessage="1" showErrorMessage="1" error="Typ &quot;Ja&quot; of &quot;Nee&quot;." prompt="Kies 'Ja' of 'Nee'." sqref="C10 C28" xr:uid="{2752453A-0991-495A-B43D-2437F8B02CBD}">
      <formula1>$HL$1:$HM$1</formula1>
    </dataValidation>
    <dataValidation type="list" operator="greaterThan" showDropDown="1" showInputMessage="1" showErrorMessage="1" error=" Typ 'brons', 'zilver' of 'goud'." prompt="Maak een keuze tussen brons, zilver of goud." sqref="C29" xr:uid="{9BEEFD0F-0036-4059-9938-1016D734847C}">
      <formula1>$HK$10:$HK$12</formula1>
    </dataValidation>
    <dataValidation allowBlank="1" showInputMessage="1" showErrorMessage="1" prompt="Dit is nodig als je de tool wilt gebruiken voor de informatieplicht. Met het e-mailadres en telefoonnummer wordt verder niets gedaan." sqref="C38:D39" xr:uid="{EF5BF95D-1B6B-4523-B69F-724B527EC9F0}"/>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93BD34F2-83CE-479D-A72B-5E7EDC6EA17B}">
      <formula1>AND($GZ$229&gt;-1,$GZ$232&gt;-1,$GZ$235&gt;-1)</formula1>
    </dataValidation>
    <dataValidation allowBlank="1" showInputMessage="1" showErrorMessage="1" prompt="Vul de reductie aardgas in als je overstapt van een aardgasbron naar een duurzaam warmtenet. Laat de reductie warmte (cel R44) leeg." sqref="P44" xr:uid="{29A87680-7259-4B95-A0CC-8FFDACF81480}"/>
    <dataValidation allowBlank="1" showInputMessage="1" showErrorMessage="1" prompt="Vul de reductie warmte in als het warmtenet waarop je aangesloten zit volledig duurzaam wordt. Laat de reductie aardgas (cel P44) leeg. " sqref="R44" xr:uid="{84F32CBE-52CB-4C67-9F79-E7FC2739E832}"/>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CF2076D6-2C7A-4C4C-AF3C-6C3CB0B67D15}">
      <formula1>AND($GZ$229&gt;-1,$GZ$232&gt;-1,$GZ$235&gt;-1)</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7897C004-E165-40C1-854B-E24793D5CCF2}">
      <formula1>$HK$3:$HK$6</formula1>
    </dataValidation>
    <dataValidation type="list" operator="equal" allowBlank="1" showDropDown="1" showInputMessage="1" showErrorMessage="1" errorTitle="Ongeldige invoer" error="Kies voor &quot;ja&quot; (direct uitvoeren) of laat de cel leeg." sqref="J44:J217" xr:uid="{9AE25D32-102E-4A45-8687-03F46B9D4F0E}">
      <formula1>$HK$7</formula1>
    </dataValidation>
    <dataValidation type="decimal" allowBlank="1" showInputMessage="1" showErrorMessage="1" sqref="C6" xr:uid="{C1B43643-4F66-4D5C-80A9-E2BEC18A4320}">
      <formula1>0</formula1>
      <formula2>9999</formula2>
    </dataValidation>
  </dataValidations>
  <pageMargins left="0.7" right="0.7" top="0.75" bottom="0.75" header="0.3" footer="0.3"/>
  <pageSetup paperSize="8" scale="12"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DAAAD053-BE6A-4916-91F8-1DC1FBB28C0F}">
            <xm:f>NOT(ISERROR(SEARCH("h",H44)))</xm:f>
            <xm:f>"h"</xm:f>
            <x14:dxf>
              <font>
                <color rgb="FFFDFDFF"/>
              </font>
              <fill>
                <patternFill>
                  <bgColor rgb="FF546A7B"/>
                </patternFill>
              </fill>
            </x14:dxf>
          </x14:cfRule>
          <x14:cfRule type="containsText" priority="59" operator="containsText" id="{11F9C987-3202-420E-9CCC-CC4A1128436C}">
            <xm:f>NOT(ISERROR(SEARCH("v",H44)))</xm:f>
            <xm:f>"v"</xm:f>
            <x14:dxf>
              <font>
                <color rgb="FFFDFDFF"/>
              </font>
              <fill>
                <patternFill>
                  <bgColor rgb="FF393D3F"/>
                </patternFill>
              </fill>
            </x14:dxf>
          </x14:cfRule>
          <xm:sqref>H44:H215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B925A-6184-4A4B-92C7-0E17B98A364A}">
  <sheetPr codeName="Blad40">
    <tabColor rgb="FFC9E0E1"/>
    <pageSetUpPr fitToPage="1"/>
  </sheetPr>
  <dimension ref="A1:HS261"/>
  <sheetViews>
    <sheetView zoomScale="3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f ca="1">IFERROR(AH1,"Let op! De naam van dit tabblad komt niet overeen met een van de opgegeven locaties in het tabblad 'Cijfers'! Wijzig de naam van dit tabblad in de overzichtsbalk onderin het scherm.")</f>
        <v>4</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f ca="1">MATCH(E2,Cijfers!D5:D54,0)</f>
        <v>4</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cluster eigendom</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v>3582</v>
      </c>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3152.16</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64">
        <v>2</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42</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v>1902</v>
      </c>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t="s">
        <v>92</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Ja</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95</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3430.6275000000041</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127545.43764325713</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487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767">
        <v>130162</v>
      </c>
      <c r="V31" s="767">
        <v>130162</v>
      </c>
      <c r="W31" s="767"/>
      <c r="X31" s="767"/>
      <c r="Y31" s="767"/>
      <c r="Z31" s="767"/>
      <c r="AA31" s="767"/>
      <c r="AB31" s="767">
        <v>130162</v>
      </c>
      <c r="AC31" s="767"/>
      <c r="AD31" s="767"/>
      <c r="AE31" s="767"/>
      <c r="AF31" s="767"/>
      <c r="AG31" s="767"/>
      <c r="AH31" s="767">
        <v>130162</v>
      </c>
      <c r="AI31" s="767"/>
      <c r="AJ31" s="767"/>
      <c r="AK31" s="767"/>
      <c r="AL31" s="767"/>
      <c r="AM31" s="767"/>
      <c r="AN31" s="767">
        <v>130162</v>
      </c>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767">
        <v>47319</v>
      </c>
      <c r="V32" s="767">
        <v>47319</v>
      </c>
      <c r="W32" s="767"/>
      <c r="X32" s="767"/>
      <c r="Y32" s="767"/>
      <c r="Z32" s="767"/>
      <c r="AA32" s="767"/>
      <c r="AB32" s="767">
        <v>47319</v>
      </c>
      <c r="AC32" s="767"/>
      <c r="AD32" s="767"/>
      <c r="AE32" s="767"/>
      <c r="AF32" s="767"/>
      <c r="AG32" s="767"/>
      <c r="AH32" s="767">
        <v>47319</v>
      </c>
      <c r="AI32" s="767"/>
      <c r="AJ32" s="767"/>
      <c r="AK32" s="767"/>
      <c r="AL32" s="767"/>
      <c r="AM32" s="767"/>
      <c r="AN32" s="767">
        <v>47319</v>
      </c>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767">
        <v>0</v>
      </c>
      <c r="V33" s="767"/>
      <c r="W33" s="767"/>
      <c r="X33" s="767"/>
      <c r="Y33" s="767"/>
      <c r="Z33" s="767"/>
      <c r="AA33" s="767"/>
      <c r="AB33" s="767"/>
      <c r="AC33" s="767"/>
      <c r="AD33" s="767"/>
      <c r="AE33" s="767"/>
      <c r="AF33" s="767"/>
      <c r="AG33" s="767"/>
      <c r="AH33" s="767"/>
      <c r="AI33" s="767"/>
      <c r="AJ33" s="767"/>
      <c r="AK33" s="767"/>
      <c r="AL33" s="767"/>
      <c r="AM33" s="767"/>
      <c r="AN33" s="767"/>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593225.73399999994</v>
      </c>
      <c r="V34" s="756">
        <f t="shared" ref="V34:CG34" si="0">V31+(V32*9.786)+(V33*278)</f>
        <v>593225.73399999994</v>
      </c>
      <c r="W34" s="756">
        <f t="shared" si="0"/>
        <v>0</v>
      </c>
      <c r="X34" s="756">
        <f t="shared" si="0"/>
        <v>0</v>
      </c>
      <c r="Y34" s="756">
        <f t="shared" si="0"/>
        <v>0</v>
      </c>
      <c r="Z34" s="756">
        <f t="shared" si="0"/>
        <v>0</v>
      </c>
      <c r="AA34" s="756">
        <f t="shared" si="0"/>
        <v>0</v>
      </c>
      <c r="AB34" s="756">
        <f t="shared" si="0"/>
        <v>593225.73399999994</v>
      </c>
      <c r="AC34" s="756">
        <f t="shared" si="0"/>
        <v>0</v>
      </c>
      <c r="AD34" s="756">
        <f t="shared" si="0"/>
        <v>0</v>
      </c>
      <c r="AE34" s="756">
        <f t="shared" si="0"/>
        <v>0</v>
      </c>
      <c r="AF34" s="756">
        <f t="shared" si="0"/>
        <v>0</v>
      </c>
      <c r="AG34" s="756">
        <f t="shared" si="0"/>
        <v>0</v>
      </c>
      <c r="AH34" s="756">
        <f t="shared" si="0"/>
        <v>593225.73399999994</v>
      </c>
      <c r="AI34" s="756">
        <f t="shared" si="0"/>
        <v>0</v>
      </c>
      <c r="AJ34" s="756">
        <f t="shared" si="0"/>
        <v>0</v>
      </c>
      <c r="AK34" s="756">
        <f t="shared" si="0"/>
        <v>0</v>
      </c>
      <c r="AL34" s="756">
        <f t="shared" si="0"/>
        <v>0</v>
      </c>
      <c r="AM34" s="756">
        <f t="shared" si="0"/>
        <v>0</v>
      </c>
      <c r="AN34" s="756">
        <f t="shared" si="0"/>
        <v>593225.73399999994</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188.19658075732195</v>
      </c>
      <c r="V35" s="757">
        <f t="shared" si="1"/>
        <v>188.19658075732195</v>
      </c>
      <c r="W35" s="757">
        <f t="shared" si="1"/>
        <v>0</v>
      </c>
      <c r="X35" s="757">
        <f t="shared" si="1"/>
        <v>0</v>
      </c>
      <c r="Y35" s="757">
        <f t="shared" si="1"/>
        <v>0</v>
      </c>
      <c r="Z35" s="757">
        <f t="shared" si="1"/>
        <v>0</v>
      </c>
      <c r="AA35" s="757">
        <f t="shared" si="1"/>
        <v>0</v>
      </c>
      <c r="AB35" s="757">
        <f t="shared" si="1"/>
        <v>188.19658075732195</v>
      </c>
      <c r="AC35" s="757">
        <f t="shared" si="1"/>
        <v>0</v>
      </c>
      <c r="AD35" s="757">
        <f t="shared" si="1"/>
        <v>0</v>
      </c>
      <c r="AE35" s="757">
        <f t="shared" si="1"/>
        <v>0</v>
      </c>
      <c r="AF35" s="757">
        <f t="shared" si="1"/>
        <v>0</v>
      </c>
      <c r="AG35" s="757">
        <f t="shared" si="1"/>
        <v>0</v>
      </c>
      <c r="AH35" s="757">
        <f t="shared" si="1"/>
        <v>188.19658075732195</v>
      </c>
      <c r="AI35" s="757">
        <f t="shared" si="1"/>
        <v>0</v>
      </c>
      <c r="AJ35" s="757">
        <f t="shared" si="1"/>
        <v>0</v>
      </c>
      <c r="AK35" s="757">
        <f t="shared" si="1"/>
        <v>0</v>
      </c>
      <c r="AL35" s="757">
        <f t="shared" si="1"/>
        <v>0</v>
      </c>
      <c r="AM35" s="757">
        <f t="shared" si="1"/>
        <v>0</v>
      </c>
      <c r="AN35" s="757">
        <f t="shared" si="1"/>
        <v>188.19658075732195</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767">
        <v>0</v>
      </c>
      <c r="V37" s="767"/>
      <c r="W37" s="767"/>
      <c r="X37" s="767"/>
      <c r="Y37" s="767"/>
      <c r="Z37" s="767"/>
      <c r="AA37" s="767"/>
      <c r="AB37" s="767"/>
      <c r="AC37" s="767"/>
      <c r="AD37" s="767"/>
      <c r="AE37" s="767"/>
      <c r="AF37" s="767"/>
      <c r="AG37" s="767"/>
      <c r="AH37" s="767"/>
      <c r="AI37" s="767"/>
      <c r="AJ37" s="767"/>
      <c r="AK37" s="767"/>
      <c r="AL37" s="767"/>
      <c r="AM37" s="767"/>
      <c r="AN37" s="76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593225.73399999994</v>
      </c>
      <c r="V38" s="756">
        <f t="shared" ref="V38:CG38" si="3">V31+(V32*9.786)+(V33*278)+V37</f>
        <v>593225.73399999994</v>
      </c>
      <c r="W38" s="756">
        <f t="shared" si="3"/>
        <v>0</v>
      </c>
      <c r="X38" s="756">
        <f t="shared" si="3"/>
        <v>0</v>
      </c>
      <c r="Y38" s="756">
        <f t="shared" si="3"/>
        <v>0</v>
      </c>
      <c r="Z38" s="756">
        <f t="shared" si="3"/>
        <v>0</v>
      </c>
      <c r="AA38" s="756">
        <f t="shared" si="3"/>
        <v>0</v>
      </c>
      <c r="AB38" s="756">
        <f t="shared" si="3"/>
        <v>593225.73399999994</v>
      </c>
      <c r="AC38" s="756">
        <f t="shared" si="3"/>
        <v>0</v>
      </c>
      <c r="AD38" s="756">
        <f t="shared" si="3"/>
        <v>0</v>
      </c>
      <c r="AE38" s="756">
        <f t="shared" si="3"/>
        <v>0</v>
      </c>
      <c r="AF38" s="756">
        <f t="shared" si="3"/>
        <v>0</v>
      </c>
      <c r="AG38" s="756">
        <f t="shared" si="3"/>
        <v>0</v>
      </c>
      <c r="AH38" s="756">
        <f t="shared" si="3"/>
        <v>593225.73399999994</v>
      </c>
      <c r="AI38" s="756">
        <f t="shared" si="3"/>
        <v>0</v>
      </c>
      <c r="AJ38" s="756">
        <f t="shared" si="3"/>
        <v>0</v>
      </c>
      <c r="AK38" s="756">
        <f t="shared" si="3"/>
        <v>0</v>
      </c>
      <c r="AL38" s="756">
        <f t="shared" si="3"/>
        <v>0</v>
      </c>
      <c r="AM38" s="756">
        <f t="shared" si="3"/>
        <v>0</v>
      </c>
      <c r="AN38" s="756">
        <f t="shared" si="3"/>
        <v>593225.73399999994</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customHeight="1">
      <c r="B44" s="488">
        <v>0</v>
      </c>
      <c r="C44" s="489" t="s">
        <v>440</v>
      </c>
      <c r="D44" s="490" t="s">
        <v>493</v>
      </c>
      <c r="E44" s="491" t="s">
        <v>457</v>
      </c>
      <c r="F44" s="492"/>
      <c r="G44" s="493"/>
      <c r="H44" s="146" t="s">
        <v>97</v>
      </c>
      <c r="I44" s="494" t="str">
        <f t="shared" ref="I44:I107" si="4">IF(H44="X","n.v.t.",IF(H44="I","ons",IF(H44="V","verhuurder",IF(H44="H","huurder",""))))</f>
        <v>n.v.t.</v>
      </c>
      <c r="J44" s="495"/>
      <c r="K44" s="151">
        <v>0</v>
      </c>
      <c r="L44" s="256"/>
      <c r="M44" s="256">
        <f>IF($C$5&lt;3000,(Bron!H33*$C$5)+Bron!I33,(Bron!M33*$C$5)+Bron!N33)</f>
        <v>0</v>
      </c>
      <c r="N44" s="496"/>
      <c r="O44" s="497" t="str">
        <f t="shared" ref="O44:O89" si="5">IF(N44=0,"",(L44+M44)/N44)</f>
        <v/>
      </c>
      <c r="P44" s="257"/>
      <c r="Q44" s="257"/>
      <c r="R44" s="257"/>
      <c r="S44" s="344"/>
      <c r="T44" s="258">
        <f t="shared" ref="T44:T107" si="6">K44+V44+AB44+AH44+AN44+AT44+AZ44+BF44+BL44+BR44+BX44+CD44+CJ44+CP44+CV44+DB44+DH44+DN44+DT44+DZ44+EF44+EL44+ER44+EX44+FD44+FJ44+FP44+FV44+GB44+GH44+GN44+GT44+GZ44</f>
        <v>0</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c r="BY44" s="676">
        <f t="shared" ref="BY44:BY107" si="26">+BX44*($L44+$M44)</f>
        <v>0</v>
      </c>
      <c r="BZ44" s="677">
        <f t="shared" ref="BZ44:BZ107" si="27">$P44*BX44</f>
        <v>0</v>
      </c>
      <c r="CA44" s="677"/>
      <c r="CB44" s="678">
        <f>BX44*((-$P44/32)-$R44)</f>
        <v>0</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1</v>
      </c>
      <c r="HJ44" s="8"/>
    </row>
    <row r="45" spans="1:227" ht="26.25" customHeight="1">
      <c r="B45" s="488">
        <v>1</v>
      </c>
      <c r="C45" s="489" t="s">
        <v>142</v>
      </c>
      <c r="D45" s="490" t="s">
        <v>141</v>
      </c>
      <c r="E45" s="491" t="s">
        <v>143</v>
      </c>
      <c r="F45" s="492"/>
      <c r="G45" s="493"/>
      <c r="H45" s="146" t="s">
        <v>97</v>
      </c>
      <c r="I45" s="494" t="str">
        <f t="shared" si="4"/>
        <v>n.v.t.</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c r="B46" s="488">
        <v>2</v>
      </c>
      <c r="C46" s="489" t="s">
        <v>142</v>
      </c>
      <c r="D46" s="490" t="s">
        <v>144</v>
      </c>
      <c r="E46" s="491" t="s">
        <v>403</v>
      </c>
      <c r="F46" s="492"/>
      <c r="G46" s="493"/>
      <c r="H46" s="146" t="s">
        <v>97</v>
      </c>
      <c r="I46" s="494" t="str">
        <f t="shared" si="4"/>
        <v>n.v.t.</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c r="B47" s="488">
        <v>3</v>
      </c>
      <c r="C47" s="489" t="s">
        <v>142</v>
      </c>
      <c r="D47" s="490" t="s">
        <v>5</v>
      </c>
      <c r="E47" s="491" t="s">
        <v>145</v>
      </c>
      <c r="F47" s="492"/>
      <c r="G47" s="493"/>
      <c r="H47" s="146" t="s">
        <v>97</v>
      </c>
      <c r="I47" s="494" t="str">
        <f t="shared" si="4"/>
        <v>n.v.t.</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c r="B48" s="488">
        <v>4</v>
      </c>
      <c r="C48" s="489" t="s">
        <v>142</v>
      </c>
      <c r="D48" s="490" t="s">
        <v>6</v>
      </c>
      <c r="E48" s="491" t="s">
        <v>146</v>
      </c>
      <c r="F48" s="504"/>
      <c r="G48" s="505"/>
      <c r="H48" s="146" t="s">
        <v>97</v>
      </c>
      <c r="I48" s="494" t="str">
        <f t="shared" si="4"/>
        <v>n.v.t.</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c r="B49" s="488">
        <v>5</v>
      </c>
      <c r="C49" s="489" t="s">
        <v>142</v>
      </c>
      <c r="D49" s="490" t="s">
        <v>292</v>
      </c>
      <c r="E49" s="491" t="s">
        <v>293</v>
      </c>
      <c r="F49" s="492"/>
      <c r="G49" s="493"/>
      <c r="H49" s="146" t="s">
        <v>97</v>
      </c>
      <c r="I49" s="494" t="str">
        <f t="shared" si="4"/>
        <v>n.v.t.</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c r="B50" s="488">
        <v>6</v>
      </c>
      <c r="C50" s="489" t="s">
        <v>142</v>
      </c>
      <c r="D50" s="490" t="s">
        <v>294</v>
      </c>
      <c r="E50" s="491" t="s">
        <v>404</v>
      </c>
      <c r="F50" s="492"/>
      <c r="G50" s="493"/>
      <c r="H50" s="146" t="s">
        <v>97</v>
      </c>
      <c r="I50" s="494" t="str">
        <f t="shared" si="4"/>
        <v>n.v.t.</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c r="B51" s="488">
        <v>7</v>
      </c>
      <c r="C51" s="489" t="s">
        <v>142</v>
      </c>
      <c r="D51" s="490" t="s">
        <v>295</v>
      </c>
      <c r="E51" s="491" t="s">
        <v>296</v>
      </c>
      <c r="F51" s="492"/>
      <c r="G51" s="493"/>
      <c r="H51" s="146" t="s">
        <v>97</v>
      </c>
      <c r="I51" s="494" t="str">
        <f t="shared" si="4"/>
        <v>n.v.t.</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c r="B52" s="488">
        <v>8</v>
      </c>
      <c r="C52" s="489" t="s">
        <v>142</v>
      </c>
      <c r="D52" s="490" t="s">
        <v>297</v>
      </c>
      <c r="E52" s="491" t="s">
        <v>405</v>
      </c>
      <c r="F52" s="492"/>
      <c r="G52" s="493"/>
      <c r="H52" s="146" t="s">
        <v>97</v>
      </c>
      <c r="I52" s="494" t="str">
        <f t="shared" si="4"/>
        <v>n.v.t.</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collapsed="1">
      <c r="B53" s="488">
        <v>9</v>
      </c>
      <c r="C53" s="489" t="s">
        <v>298</v>
      </c>
      <c r="D53" s="490" t="s">
        <v>23</v>
      </c>
      <c r="E53" s="491" t="s">
        <v>299</v>
      </c>
      <c r="F53" s="492"/>
      <c r="G53" s="493"/>
      <c r="H53" s="146" t="s">
        <v>97</v>
      </c>
      <c r="I53" s="494" t="str">
        <f t="shared" si="4"/>
        <v>n.v.t.</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c r="B54" s="488">
        <v>10</v>
      </c>
      <c r="C54" s="489" t="s">
        <v>298</v>
      </c>
      <c r="D54" s="490" t="s">
        <v>300</v>
      </c>
      <c r="E54" s="491" t="s">
        <v>406</v>
      </c>
      <c r="F54" s="492"/>
      <c r="G54" s="493"/>
      <c r="H54" s="146" t="s">
        <v>97</v>
      </c>
      <c r="I54" s="494" t="str">
        <f t="shared" si="4"/>
        <v>n.v.t.</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c r="B55" s="488">
        <v>11</v>
      </c>
      <c r="C55" s="489" t="s">
        <v>298</v>
      </c>
      <c r="D55" s="490" t="s">
        <v>301</v>
      </c>
      <c r="E55" s="491" t="s">
        <v>407</v>
      </c>
      <c r="F55" s="492"/>
      <c r="G55" s="493"/>
      <c r="H55" s="146" t="s">
        <v>97</v>
      </c>
      <c r="I55" s="494" t="str">
        <f t="shared" si="4"/>
        <v>n.v.t.</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c r="B56" s="488">
        <v>12</v>
      </c>
      <c r="C56" s="489" t="s">
        <v>298</v>
      </c>
      <c r="D56" s="490" t="s">
        <v>302</v>
      </c>
      <c r="E56" s="491" t="s">
        <v>303</v>
      </c>
      <c r="F56" s="492"/>
      <c r="G56" s="493"/>
      <c r="H56" s="146" t="s">
        <v>97</v>
      </c>
      <c r="I56" s="494" t="str">
        <f t="shared" si="4"/>
        <v>n.v.t.</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c r="B57" s="488">
        <v>13</v>
      </c>
      <c r="C57" s="489" t="s">
        <v>298</v>
      </c>
      <c r="D57" s="490" t="s">
        <v>304</v>
      </c>
      <c r="E57" s="491" t="s">
        <v>305</v>
      </c>
      <c r="F57" s="492"/>
      <c r="G57" s="493"/>
      <c r="H57" s="146" t="s">
        <v>97</v>
      </c>
      <c r="I57" s="494" t="str">
        <f t="shared" si="4"/>
        <v>n.v.t.</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c r="B58" s="488">
        <v>14</v>
      </c>
      <c r="C58" s="489" t="s">
        <v>298</v>
      </c>
      <c r="D58" s="490" t="s">
        <v>306</v>
      </c>
      <c r="E58" s="491" t="s">
        <v>307</v>
      </c>
      <c r="F58" s="492"/>
      <c r="G58" s="493"/>
      <c r="H58" s="146" t="s">
        <v>97</v>
      </c>
      <c r="I58" s="494" t="str">
        <f t="shared" si="4"/>
        <v>n.v.t.</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c r="B59" s="488">
        <v>15</v>
      </c>
      <c r="C59" s="489" t="s">
        <v>298</v>
      </c>
      <c r="D59" s="490" t="s">
        <v>308</v>
      </c>
      <c r="E59" s="491" t="s">
        <v>309</v>
      </c>
      <c r="F59" s="492"/>
      <c r="G59" s="493"/>
      <c r="H59" s="146" t="s">
        <v>97</v>
      </c>
      <c r="I59" s="494" t="str">
        <f t="shared" si="4"/>
        <v>n.v.t.</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c r="B60" s="488">
        <v>16</v>
      </c>
      <c r="C60" s="489" t="s">
        <v>298</v>
      </c>
      <c r="D60" s="490" t="s">
        <v>310</v>
      </c>
      <c r="E60" s="491" t="s">
        <v>408</v>
      </c>
      <c r="F60" s="492"/>
      <c r="G60" s="493"/>
      <c r="H60" s="146" t="s">
        <v>97</v>
      </c>
      <c r="I60" s="494" t="str">
        <f t="shared" si="4"/>
        <v>n.v.t.</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486</v>
      </c>
      <c r="I61" s="494" t="str">
        <f t="shared" si="4"/>
        <v>ons</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486</v>
      </c>
      <c r="I62" s="494" t="str">
        <f t="shared" si="4"/>
        <v>ons</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486</v>
      </c>
      <c r="I63" s="494" t="str">
        <f t="shared" si="4"/>
        <v>ons</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486</v>
      </c>
      <c r="I64" s="494" t="str">
        <f t="shared" si="4"/>
        <v>ons</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486</v>
      </c>
      <c r="I65" s="494" t="str">
        <f t="shared" si="4"/>
        <v>ons</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c r="B66" s="488">
        <v>22</v>
      </c>
      <c r="C66" s="489" t="s">
        <v>156</v>
      </c>
      <c r="D66" s="490" t="s">
        <v>155</v>
      </c>
      <c r="E66" s="491" t="s">
        <v>411</v>
      </c>
      <c r="F66" s="492"/>
      <c r="G66" s="493"/>
      <c r="H66" s="146" t="s">
        <v>97</v>
      </c>
      <c r="I66" s="494" t="str">
        <f t="shared" si="4"/>
        <v>n.v.t.</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c r="B67" s="488">
        <v>23</v>
      </c>
      <c r="C67" s="489" t="s">
        <v>156</v>
      </c>
      <c r="D67" s="490" t="s">
        <v>157</v>
      </c>
      <c r="E67" s="491" t="s">
        <v>158</v>
      </c>
      <c r="F67" s="492"/>
      <c r="G67" s="493"/>
      <c r="H67" s="146" t="s">
        <v>97</v>
      </c>
      <c r="I67" s="494" t="str">
        <f t="shared" si="4"/>
        <v>n.v.t.</v>
      </c>
      <c r="J67" s="495" t="s">
        <v>487</v>
      </c>
      <c r="K67" s="151">
        <v>0</v>
      </c>
      <c r="L67" s="256">
        <f>IF($C$5&lt;3000,(Bron!H56*$C$5)+Bron!I56,(Bron!M56*$C$5)+Bron!N56)</f>
        <v>3000</v>
      </c>
      <c r="M67" s="256"/>
      <c r="N67" s="496">
        <f t="shared" si="41"/>
        <v>330.61148000000003</v>
      </c>
      <c r="O67" s="497">
        <f t="shared" si="5"/>
        <v>9.0740950677211814</v>
      </c>
      <c r="P67" s="257">
        <f>IF($C$5&lt;3000,$AN$32*Bron!J56,$AN$32*Bron!O56)</f>
        <v>0</v>
      </c>
      <c r="Q67" s="257">
        <f>IF($C$5&lt;3000,$AN$31*Bron!K56,$AN$31*Bron!P56)</f>
        <v>1301.6200000000001</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c r="B68" s="488">
        <v>24</v>
      </c>
      <c r="C68" s="489" t="s">
        <v>156</v>
      </c>
      <c r="D68" s="490" t="s">
        <v>159</v>
      </c>
      <c r="E68" s="491" t="s">
        <v>160</v>
      </c>
      <c r="F68" s="492"/>
      <c r="G68" s="493"/>
      <c r="H68" s="146" t="s">
        <v>97</v>
      </c>
      <c r="I68" s="494" t="str">
        <f t="shared" si="4"/>
        <v>n.v.t.</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c r="B69" s="488">
        <v>25</v>
      </c>
      <c r="C69" s="489" t="s">
        <v>156</v>
      </c>
      <c r="D69" s="490" t="s">
        <v>161</v>
      </c>
      <c r="E69" s="491" t="s">
        <v>162</v>
      </c>
      <c r="F69" s="492"/>
      <c r="G69" s="493"/>
      <c r="H69" s="146" t="s">
        <v>97</v>
      </c>
      <c r="I69" s="494" t="str">
        <f t="shared" si="4"/>
        <v>n.v.t.</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c r="B70" s="488">
        <v>26</v>
      </c>
      <c r="C70" s="489" t="s">
        <v>156</v>
      </c>
      <c r="D70" s="490" t="s">
        <v>163</v>
      </c>
      <c r="E70" s="491" t="s">
        <v>164</v>
      </c>
      <c r="F70" s="492"/>
      <c r="G70" s="493"/>
      <c r="H70" s="146" t="s">
        <v>97</v>
      </c>
      <c r="I70" s="494" t="str">
        <f t="shared" si="4"/>
        <v>n.v.t.</v>
      </c>
      <c r="J70" s="495" t="s">
        <v>487</v>
      </c>
      <c r="K70" s="151">
        <v>0</v>
      </c>
      <c r="L70" s="256">
        <f>IF($C$5&lt;3000,(Bron!H59*$C$5)+Bron!I59,(Bron!M59*$C$5)+Bron!N59)</f>
        <v>600</v>
      </c>
      <c r="M70" s="256"/>
      <c r="N70" s="496">
        <f t="shared" si="41"/>
        <v>66.122296000000006</v>
      </c>
      <c r="O70" s="497">
        <f t="shared" si="5"/>
        <v>9.0740950677211814</v>
      </c>
      <c r="P70" s="257">
        <f>IF($C$5&lt;3000,$AN$32*Bron!J59,$AN$32*Bron!O59)</f>
        <v>0</v>
      </c>
      <c r="Q70" s="257">
        <f>IF($C$5&lt;3000,$AN$31*Bron!K59,$AN$31*Bron!P59)</f>
        <v>260.32400000000001</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c r="B71" s="488">
        <v>27</v>
      </c>
      <c r="C71" s="489" t="s">
        <v>156</v>
      </c>
      <c r="D71" s="490" t="s">
        <v>165</v>
      </c>
      <c r="E71" s="491" t="s">
        <v>166</v>
      </c>
      <c r="F71" s="492"/>
      <c r="G71" s="493"/>
      <c r="H71" s="146" t="s">
        <v>97</v>
      </c>
      <c r="I71" s="494" t="str">
        <f t="shared" si="4"/>
        <v>n.v.t.</v>
      </c>
      <c r="J71" s="495" t="s">
        <v>487</v>
      </c>
      <c r="K71" s="151">
        <v>0</v>
      </c>
      <c r="L71" s="256">
        <f>IF($C$5&lt;3000,(Bron!H60*$C$5)+Bron!I60,(Bron!M60*$C$5)+Bron!N60)</f>
        <v>120</v>
      </c>
      <c r="M71" s="256"/>
      <c r="N71" s="496">
        <f t="shared" si="41"/>
        <v>9.9183443999999987</v>
      </c>
      <c r="O71" s="497">
        <f t="shared" si="5"/>
        <v>12.098793423628244</v>
      </c>
      <c r="P71" s="257"/>
      <c r="Q71" s="257">
        <f>IF($C$5&lt;3000,$AN$31*Bron!K60,$AN$31*Bron!P60)</f>
        <v>39.048599999999993</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c r="B72" s="488">
        <v>28</v>
      </c>
      <c r="C72" s="489" t="s">
        <v>156</v>
      </c>
      <c r="D72" s="490" t="s">
        <v>167</v>
      </c>
      <c r="E72" s="491" t="s">
        <v>168</v>
      </c>
      <c r="F72" s="492"/>
      <c r="G72" s="493"/>
      <c r="H72" s="146" t="s">
        <v>97</v>
      </c>
      <c r="I72" s="494" t="str">
        <f t="shared" si="4"/>
        <v>n.v.t.</v>
      </c>
      <c r="J72" s="495" t="s">
        <v>487</v>
      </c>
      <c r="K72" s="151">
        <v>0</v>
      </c>
      <c r="L72" s="256">
        <f>IF($C$5&lt;3000,(Bron!H61*$C$5)+Bron!I61,(Bron!M61*$C$5)+Bron!N61)</f>
        <v>4800</v>
      </c>
      <c r="M72" s="256"/>
      <c r="N72" s="496">
        <f t="shared" si="41"/>
        <v>1190.2013279999999</v>
      </c>
      <c r="O72" s="497">
        <f t="shared" si="5"/>
        <v>4.0329311412094144</v>
      </c>
      <c r="P72" s="257">
        <f>IF($C$5&lt;3000,$AN$32*Bron!J61,$AN$32*Bron!O61)</f>
        <v>0</v>
      </c>
      <c r="Q72" s="257">
        <f>IF($C$5&lt;3000,$AN$31*Bron!K61,$AN$31*Bron!P61)</f>
        <v>4685.8319999999994</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c r="B73" s="488">
        <v>29</v>
      </c>
      <c r="C73" s="489" t="s">
        <v>156</v>
      </c>
      <c r="D73" s="490" t="s">
        <v>169</v>
      </c>
      <c r="E73" s="491" t="s">
        <v>412</v>
      </c>
      <c r="F73" s="492"/>
      <c r="G73" s="493"/>
      <c r="H73" s="146" t="s">
        <v>97</v>
      </c>
      <c r="I73" s="494" t="str">
        <f t="shared" si="4"/>
        <v>n.v.t.</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c r="B74" s="488">
        <v>30</v>
      </c>
      <c r="C74" s="489" t="s">
        <v>156</v>
      </c>
      <c r="D74" s="490" t="s">
        <v>170</v>
      </c>
      <c r="E74" s="491" t="s">
        <v>413</v>
      </c>
      <c r="F74" s="492"/>
      <c r="G74" s="493"/>
      <c r="H74" s="146" t="s">
        <v>97</v>
      </c>
      <c r="I74" s="494" t="str">
        <f t="shared" si="4"/>
        <v>n.v.t.</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c r="B75" s="488">
        <v>31</v>
      </c>
      <c r="C75" s="489" t="s">
        <v>156</v>
      </c>
      <c r="D75" s="490" t="s">
        <v>171</v>
      </c>
      <c r="E75" s="491" t="s">
        <v>414</v>
      </c>
      <c r="F75" s="492"/>
      <c r="G75" s="493"/>
      <c r="H75" s="146" t="s">
        <v>97</v>
      </c>
      <c r="I75" s="494" t="str">
        <f t="shared" si="4"/>
        <v>n.v.t.</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c r="B76" s="488">
        <v>32</v>
      </c>
      <c r="C76" s="489" t="s">
        <v>156</v>
      </c>
      <c r="D76" s="490" t="s">
        <v>172</v>
      </c>
      <c r="E76" s="491" t="s">
        <v>173</v>
      </c>
      <c r="F76" s="492"/>
      <c r="G76" s="493"/>
      <c r="H76" s="146" t="s">
        <v>97</v>
      </c>
      <c r="I76" s="494" t="str">
        <f t="shared" si="4"/>
        <v>n.v.t.</v>
      </c>
      <c r="J76" s="495" t="s">
        <v>487</v>
      </c>
      <c r="K76" s="151">
        <v>0</v>
      </c>
      <c r="L76" s="256">
        <f>IF($C$5&lt;3000,(Bron!H65*$C$5)+Bron!I65,(Bron!M65*$C$5)+Bron!N65)</f>
        <v>1200</v>
      </c>
      <c r="M76" s="256"/>
      <c r="N76" s="496">
        <f t="shared" si="41"/>
        <v>118.07552857142856</v>
      </c>
      <c r="O76" s="497">
        <f t="shared" si="5"/>
        <v>10.162986475847724</v>
      </c>
      <c r="P76" s="257">
        <f>IF($C$5&lt;3000,$AN$32*Bron!J65,$AN$32*Bron!O65)</f>
        <v>0</v>
      </c>
      <c r="Q76" s="257">
        <f>IF($C$5&lt;3000,$AN$31*Bron!K65,$AN$31*Bron!P65)</f>
        <v>464.8642857142857</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c r="B77" s="488">
        <v>33</v>
      </c>
      <c r="C77" s="489" t="s">
        <v>156</v>
      </c>
      <c r="D77" s="490" t="s">
        <v>174</v>
      </c>
      <c r="E77" s="491" t="s">
        <v>175</v>
      </c>
      <c r="F77" s="492"/>
      <c r="G77" s="493"/>
      <c r="H77" s="146" t="s">
        <v>97</v>
      </c>
      <c r="I77" s="494" t="str">
        <f t="shared" si="4"/>
        <v>n.v.t.</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c r="B78" s="488">
        <v>34</v>
      </c>
      <c r="C78" s="489" t="s">
        <v>156</v>
      </c>
      <c r="D78" s="490" t="s">
        <v>176</v>
      </c>
      <c r="E78" s="491" t="s">
        <v>177</v>
      </c>
      <c r="F78" s="492"/>
      <c r="G78" s="493"/>
      <c r="H78" s="146" t="s">
        <v>97</v>
      </c>
      <c r="I78" s="494" t="str">
        <f t="shared" si="4"/>
        <v>n.v.t.</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c r="B79" s="488">
        <v>35</v>
      </c>
      <c r="C79" s="489" t="s">
        <v>156</v>
      </c>
      <c r="D79" s="490" t="s">
        <v>178</v>
      </c>
      <c r="E79" s="491" t="s">
        <v>179</v>
      </c>
      <c r="F79" s="492"/>
      <c r="G79" s="493"/>
      <c r="H79" s="146" t="s">
        <v>97</v>
      </c>
      <c r="I79" s="494" t="str">
        <f t="shared" si="4"/>
        <v>n.v.t.</v>
      </c>
      <c r="J79" s="495"/>
      <c r="K79" s="151">
        <v>0</v>
      </c>
      <c r="L79" s="256"/>
      <c r="M79" s="256">
        <f>IF($C$5&lt;3000,(Bron!H68*$C$5)+Bron!I68,(Bron!M68*$C$5)+Bron!N68)</f>
        <v>80</v>
      </c>
      <c r="N79" s="496">
        <f t="shared" si="41"/>
        <v>6.6122296000000009</v>
      </c>
      <c r="O79" s="497">
        <f t="shared" si="5"/>
        <v>12.098793423628241</v>
      </c>
      <c r="P79" s="257">
        <f>IF($C$5&lt;3000,$AN$32*Bron!J68,$AN$32*Bron!O68)</f>
        <v>0</v>
      </c>
      <c r="Q79" s="257">
        <f>IF($C$5&lt;3000,$AN$31*Bron!K68,$AN$31*Bron!P68)</f>
        <v>26.032400000000003</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c r="B80" s="488">
        <v>36</v>
      </c>
      <c r="C80" s="489" t="s">
        <v>156</v>
      </c>
      <c r="D80" s="490" t="s">
        <v>180</v>
      </c>
      <c r="E80" s="491" t="s">
        <v>181</v>
      </c>
      <c r="F80" s="492"/>
      <c r="G80" s="493"/>
      <c r="H80" s="146" t="s">
        <v>97</v>
      </c>
      <c r="I80" s="494" t="str">
        <f t="shared" si="4"/>
        <v>n.v.t.</v>
      </c>
      <c r="J80" s="495"/>
      <c r="K80" s="151">
        <v>0</v>
      </c>
      <c r="L80" s="256"/>
      <c r="M80" s="256">
        <f>IF($C$5&lt;3000,(Bron!H69*$C$5)+Bron!I69,(Bron!M69*$C$5)+Bron!N69)</f>
        <v>1200</v>
      </c>
      <c r="N80" s="496">
        <f t="shared" si="41"/>
        <v>132.24459200000001</v>
      </c>
      <c r="O80" s="497">
        <f t="shared" si="5"/>
        <v>9.0740950677211814</v>
      </c>
      <c r="P80" s="257"/>
      <c r="Q80" s="257">
        <f>IF($C$5&lt;3000,$AN$31*Bron!K69,$AN$31*Bron!P69)</f>
        <v>520.64800000000002</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c r="B81" s="488">
        <v>37</v>
      </c>
      <c r="C81" s="489" t="s">
        <v>156</v>
      </c>
      <c r="D81" s="490" t="s">
        <v>493</v>
      </c>
      <c r="E81" s="491" t="s">
        <v>590</v>
      </c>
      <c r="F81" s="492"/>
      <c r="G81" s="493"/>
      <c r="H81" s="146" t="s">
        <v>97</v>
      </c>
      <c r="I81" s="494" t="str">
        <f t="shared" si="4"/>
        <v>n.v.t.</v>
      </c>
      <c r="J81" s="495" t="s">
        <v>487</v>
      </c>
      <c r="K81" s="151">
        <v>0</v>
      </c>
      <c r="L81" s="256">
        <f>IF($C$5&lt;3000,(Bron!H70*$C$5)+Bron!I70,(Bron!M70*$C$5)+Bron!N70)</f>
        <v>120</v>
      </c>
      <c r="M81" s="256"/>
      <c r="N81" s="496">
        <f t="shared" si="41"/>
        <v>264.48918400000002</v>
      </c>
      <c r="O81" s="497">
        <f t="shared" si="5"/>
        <v>0.45370475338605903</v>
      </c>
      <c r="P81" s="257"/>
      <c r="Q81" s="257">
        <f>IF($C$5&lt;3000,$AN$31*Bron!K70,$AN$31*Bron!P70)</f>
        <v>1041.296</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c r="B82" s="488">
        <v>38</v>
      </c>
      <c r="C82" s="489" t="s">
        <v>156</v>
      </c>
      <c r="D82" s="490" t="s">
        <v>493</v>
      </c>
      <c r="E82" s="491" t="s">
        <v>594</v>
      </c>
      <c r="F82" s="492"/>
      <c r="G82" s="493"/>
      <c r="H82" s="146" t="s">
        <v>97</v>
      </c>
      <c r="I82" s="494" t="str">
        <f t="shared" si="4"/>
        <v>n.v.t.</v>
      </c>
      <c r="J82" s="495"/>
      <c r="K82" s="151">
        <v>0</v>
      </c>
      <c r="L82" s="256"/>
      <c r="M82" s="256">
        <f>IF($C$5&lt;3000,(Bron!H71*$C$5)+Bron!I71,(Bron!M71*$C$5)+Bron!N71)</f>
        <v>40</v>
      </c>
      <c r="N82" s="496">
        <f t="shared" si="41"/>
        <v>33.061148000000003</v>
      </c>
      <c r="O82" s="497">
        <f t="shared" si="5"/>
        <v>1.209879342362824</v>
      </c>
      <c r="P82" s="257"/>
      <c r="Q82" s="257">
        <f>IF($C$5&lt;3000,$AN$31*Bron!K71,$AN$31*Bron!P71)</f>
        <v>130.16200000000001</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c r="B83" s="488">
        <v>39</v>
      </c>
      <c r="C83" s="489" t="s">
        <v>399</v>
      </c>
      <c r="D83" s="490" t="s">
        <v>182</v>
      </c>
      <c r="E83" s="491" t="s">
        <v>415</v>
      </c>
      <c r="F83" s="492"/>
      <c r="G83" s="493"/>
      <c r="H83" s="146" t="s">
        <v>97</v>
      </c>
      <c r="I83" s="494" t="str">
        <f t="shared" si="4"/>
        <v>n.v.t.</v>
      </c>
      <c r="J83" s="495" t="s">
        <v>487</v>
      </c>
      <c r="K83" s="151">
        <v>0</v>
      </c>
      <c r="L83" s="256">
        <f>IF($C$5&lt;3000,(Bron!H72*$C$5)+Bron!I72,(Bron!M72*$C$5)+Bron!N72)</f>
        <v>7000</v>
      </c>
      <c r="M83" s="256"/>
      <c r="N83" s="496">
        <f t="shared" si="41"/>
        <v>661.22296000000006</v>
      </c>
      <c r="O83" s="497">
        <f t="shared" si="5"/>
        <v>10.586444245674711</v>
      </c>
      <c r="P83" s="257"/>
      <c r="Q83" s="257">
        <f>IF($C$5&lt;3000,$AN$31*Bron!K72,$AN$31*Bron!P72)</f>
        <v>2603.2400000000002</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c r="B84" s="488">
        <v>40</v>
      </c>
      <c r="C84" s="489" t="s">
        <v>399</v>
      </c>
      <c r="D84" s="490" t="s">
        <v>183</v>
      </c>
      <c r="E84" s="491" t="s">
        <v>184</v>
      </c>
      <c r="F84" s="492"/>
      <c r="G84" s="493"/>
      <c r="H84" s="146" t="s">
        <v>97</v>
      </c>
      <c r="I84" s="494" t="str">
        <f t="shared" si="4"/>
        <v>n.v.t.</v>
      </c>
      <c r="J84" s="495" t="s">
        <v>487</v>
      </c>
      <c r="K84" s="151">
        <v>0</v>
      </c>
      <c r="L84" s="256">
        <f>IF($C$5&lt;3000,(Bron!H73*$C$5)+Bron!I73,(Bron!M73*$C$5)+Bron!N73)</f>
        <v>1300</v>
      </c>
      <c r="M84" s="256"/>
      <c r="N84" s="496">
        <f t="shared" si="41"/>
        <v>132.24459200000001</v>
      </c>
      <c r="O84" s="497">
        <f t="shared" si="5"/>
        <v>9.8302696566979453</v>
      </c>
      <c r="P84" s="257">
        <f>IF($C$5&lt;3000,$AN$32*Bron!J73,$AN$32*Bron!O73)</f>
        <v>0</v>
      </c>
      <c r="Q84" s="257">
        <f>IF($C$5&lt;3000,$AN$31*Bron!K73,$AN$31*Bron!P73)</f>
        <v>520.64800000000002</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c r="B85" s="488">
        <v>41</v>
      </c>
      <c r="C85" s="489" t="s">
        <v>399</v>
      </c>
      <c r="D85" s="490" t="s">
        <v>185</v>
      </c>
      <c r="E85" s="491" t="s">
        <v>186</v>
      </c>
      <c r="F85" s="492"/>
      <c r="G85" s="493"/>
      <c r="H85" s="146" t="s">
        <v>97</v>
      </c>
      <c r="I85" s="494" t="str">
        <f t="shared" si="4"/>
        <v>n.v.t.</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c r="B86" s="488">
        <v>42</v>
      </c>
      <c r="C86" s="489" t="s">
        <v>399</v>
      </c>
      <c r="D86" s="490" t="s">
        <v>187</v>
      </c>
      <c r="E86" s="491" t="s">
        <v>188</v>
      </c>
      <c r="F86" s="492"/>
      <c r="G86" s="493"/>
      <c r="H86" s="146" t="s">
        <v>97</v>
      </c>
      <c r="I86" s="494" t="str">
        <f t="shared" si="4"/>
        <v>n.v.t.</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c r="B87" s="488">
        <v>43</v>
      </c>
      <c r="C87" s="489" t="s">
        <v>399</v>
      </c>
      <c r="D87" s="490" t="s">
        <v>189</v>
      </c>
      <c r="E87" s="491" t="s">
        <v>190</v>
      </c>
      <c r="F87" s="492"/>
      <c r="G87" s="493"/>
      <c r="H87" s="146" t="s">
        <v>97</v>
      </c>
      <c r="I87" s="494" t="str">
        <f t="shared" si="4"/>
        <v>n.v.t.</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c r="B88" s="488">
        <v>44</v>
      </c>
      <c r="C88" s="489" t="s">
        <v>399</v>
      </c>
      <c r="D88" s="490" t="s">
        <v>191</v>
      </c>
      <c r="E88" s="491" t="s">
        <v>192</v>
      </c>
      <c r="F88" s="492"/>
      <c r="G88" s="493"/>
      <c r="H88" s="146" t="s">
        <v>97</v>
      </c>
      <c r="I88" s="494" t="str">
        <f t="shared" si="4"/>
        <v>n.v.t.</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c r="B89" s="488">
        <v>45</v>
      </c>
      <c r="C89" s="489" t="s">
        <v>399</v>
      </c>
      <c r="D89" s="490" t="s">
        <v>493</v>
      </c>
      <c r="E89" s="491" t="s">
        <v>585</v>
      </c>
      <c r="F89" s="492"/>
      <c r="G89" s="493"/>
      <c r="H89" s="146" t="s">
        <v>97</v>
      </c>
      <c r="I89" s="494" t="str">
        <f t="shared" si="4"/>
        <v>n.v.t.</v>
      </c>
      <c r="J89" s="495"/>
      <c r="K89" s="151">
        <v>0</v>
      </c>
      <c r="L89" s="256"/>
      <c r="M89" s="256">
        <f>IF($C$5&lt;3000,(Bron!H78*$C$5)+Bron!I78,(Bron!M78*$C$5)+Bron!N78)</f>
        <v>2000</v>
      </c>
      <c r="N89" s="496">
        <f t="shared" si="41"/>
        <v>628.16181200000005</v>
      </c>
      <c r="O89" s="497">
        <f t="shared" si="5"/>
        <v>3.183893006217958</v>
      </c>
      <c r="P89" s="257">
        <f>IF($C$5&lt;3000,$AN$32*Bron!J78,$AN$32*Bron!O78)</f>
        <v>0</v>
      </c>
      <c r="Q89" s="257">
        <f>IF($C$5&lt;3000,$AN$31*Bron!K78,$AN$31*Bron!P78)</f>
        <v>2473.078</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0.15</v>
      </c>
      <c r="L91" s="256">
        <f>IF($C$5&lt;3000,(Bron!H80*$C$5)+Bron!I80,(Bron!M80*$C$5)+Bron!N80)</f>
        <v>1000</v>
      </c>
      <c r="M91" s="256"/>
      <c r="N91" s="496">
        <f t="shared" ref="N91:N154" si="90">($C$19*P91)+($C$18*Q91)+($C$20*R91)</f>
        <v>198.36688799999999</v>
      </c>
      <c r="O91" s="497">
        <f t="shared" ref="O91:O154" si="91">IF(N91=0,"",(L91+M91)/N91)</f>
        <v>5.0411639265117678</v>
      </c>
      <c r="P91" s="257"/>
      <c r="Q91" s="257">
        <f>IF($C$5&lt;3000,$AN$31*Bron!K80,$AN$31*Bron!P80)</f>
        <v>780.97199999999998</v>
      </c>
      <c r="R91" s="257">
        <f>IF($C$5&lt;3000,$AN$33*Bron!J80,$AN$33*Bron!O80)</f>
        <v>0</v>
      </c>
      <c r="S91" s="344"/>
      <c r="T91" s="258">
        <f t="shared" si="6"/>
        <v>0.5</v>
      </c>
      <c r="U91" s="259">
        <f t="shared" si="7"/>
        <v>350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c r="AU91" s="676">
        <f t="shared" si="16"/>
        <v>0</v>
      </c>
      <c r="AV91" s="677">
        <f t="shared" si="17"/>
        <v>0</v>
      </c>
      <c r="AW91" s="677">
        <f t="shared" si="54"/>
        <v>0</v>
      </c>
      <c r="AX91" s="678">
        <f t="shared" si="55"/>
        <v>0</v>
      </c>
      <c r="AY91" s="679">
        <f t="shared" si="56"/>
        <v>0</v>
      </c>
      <c r="AZ91" s="675">
        <v>0.35</v>
      </c>
      <c r="BA91" s="676">
        <f t="shared" si="18"/>
        <v>350</v>
      </c>
      <c r="BB91" s="677">
        <f t="shared" si="19"/>
        <v>0</v>
      </c>
      <c r="BC91" s="677">
        <f t="shared" si="57"/>
        <v>273.34019999999998</v>
      </c>
      <c r="BD91" s="678">
        <f t="shared" si="58"/>
        <v>0</v>
      </c>
      <c r="BE91" s="679">
        <f t="shared" si="59"/>
        <v>69.428410799999995</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0.15</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0.5</v>
      </c>
      <c r="U92" s="259">
        <f t="shared" si="7"/>
        <v>350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c r="AU92" s="676">
        <f t="shared" si="16"/>
        <v>0</v>
      </c>
      <c r="AV92" s="677">
        <f t="shared" si="17"/>
        <v>0</v>
      </c>
      <c r="AW92" s="677">
        <f t="shared" si="54"/>
        <v>0</v>
      </c>
      <c r="AX92" s="678">
        <f t="shared" si="55"/>
        <v>0</v>
      </c>
      <c r="AY92" s="679">
        <f t="shared" si="56"/>
        <v>0</v>
      </c>
      <c r="AZ92" s="675">
        <v>0.35</v>
      </c>
      <c r="BA92" s="676">
        <f t="shared" si="18"/>
        <v>350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c r="B93" s="488">
        <v>49</v>
      </c>
      <c r="C93" s="489" t="s">
        <v>193</v>
      </c>
      <c r="D93" s="490" t="s">
        <v>195</v>
      </c>
      <c r="E93" s="491" t="s">
        <v>196</v>
      </c>
      <c r="F93" s="492"/>
      <c r="G93" s="493"/>
      <c r="H93" s="146" t="s">
        <v>97</v>
      </c>
      <c r="I93" s="494" t="str">
        <f t="shared" si="4"/>
        <v>n.v.t.</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c r="B94" s="488">
        <v>50</v>
      </c>
      <c r="C94" s="489" t="s">
        <v>193</v>
      </c>
      <c r="D94" s="490" t="s">
        <v>197</v>
      </c>
      <c r="E94" s="491" t="s">
        <v>417</v>
      </c>
      <c r="F94" s="492"/>
      <c r="G94" s="493"/>
      <c r="H94" s="146" t="s">
        <v>486</v>
      </c>
      <c r="I94" s="494" t="str">
        <f t="shared" si="4"/>
        <v>ons</v>
      </c>
      <c r="J94" s="495"/>
      <c r="K94" s="151">
        <v>0.15</v>
      </c>
      <c r="L94" s="256"/>
      <c r="M94" s="256">
        <f>IF($C$5&lt;3000,(Bron!H83*$C$5)+Bron!I83,(Bron!M83*$C$5)+Bron!N83)</f>
        <v>0</v>
      </c>
      <c r="N94" s="496">
        <f t="shared" si="90"/>
        <v>429.79492399999998</v>
      </c>
      <c r="O94" s="497">
        <f t="shared" si="91"/>
        <v>0</v>
      </c>
      <c r="P94" s="257">
        <f>IF($C$5&lt;3000,$AN$32*Bron!J83,$AN$32*Bron!O83)</f>
        <v>0</v>
      </c>
      <c r="Q94" s="257">
        <f>IF($C$5&lt;3000,$AN$31*Bron!K83,$AN$31*Bron!P83)</f>
        <v>1692.106</v>
      </c>
      <c r="R94" s="257">
        <f>IF($C$5&lt;3000,$AN$33*Bron!J83,$AN$33*Bron!O83)</f>
        <v>0</v>
      </c>
      <c r="S94" s="344"/>
      <c r="T94" s="258">
        <f t="shared" si="6"/>
        <v>0.5</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c r="AU94" s="676">
        <f t="shared" si="16"/>
        <v>0</v>
      </c>
      <c r="AV94" s="677">
        <f t="shared" si="17"/>
        <v>0</v>
      </c>
      <c r="AW94" s="677">
        <f t="shared" si="54"/>
        <v>0</v>
      </c>
      <c r="AX94" s="678">
        <f t="shared" si="55"/>
        <v>0</v>
      </c>
      <c r="AY94" s="679">
        <f t="shared" si="56"/>
        <v>0</v>
      </c>
      <c r="AZ94" s="675">
        <v>0.35</v>
      </c>
      <c r="BA94" s="676">
        <f t="shared" si="18"/>
        <v>0</v>
      </c>
      <c r="BB94" s="677">
        <f t="shared" si="19"/>
        <v>0</v>
      </c>
      <c r="BC94" s="677">
        <f t="shared" si="57"/>
        <v>592.23709999999994</v>
      </c>
      <c r="BD94" s="678">
        <f t="shared" si="58"/>
        <v>0</v>
      </c>
      <c r="BE94" s="679">
        <f t="shared" si="59"/>
        <v>150.42822339999998</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0.15</v>
      </c>
      <c r="L95" s="256"/>
      <c r="M95" s="256">
        <f>IF($C$5&lt;3000,(Bron!H84*$C$5)+Bron!I84,(Bron!M84*$C$5)+Bron!N84)</f>
        <v>0</v>
      </c>
      <c r="N95" s="496">
        <f t="shared" si="90"/>
        <v>429.79492399999998</v>
      </c>
      <c r="O95" s="497">
        <f t="shared" si="91"/>
        <v>0</v>
      </c>
      <c r="P95" s="257">
        <f>IF($C$5&lt;3000,$AN$32*Bron!J84,$AN$32*Bron!O84)</f>
        <v>0</v>
      </c>
      <c r="Q95" s="257">
        <f>IF($C$5&lt;3000,$AN$31*Bron!K84,$AN$31*Bron!P84)</f>
        <v>1692.106</v>
      </c>
      <c r="R95" s="257">
        <f>IF($C$5&lt;3000,$AN$33*Bron!J84,$AN$33*Bron!O84)</f>
        <v>0</v>
      </c>
      <c r="S95" s="344"/>
      <c r="T95" s="258">
        <f t="shared" si="6"/>
        <v>0.5</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c r="AU95" s="676">
        <f t="shared" si="16"/>
        <v>0</v>
      </c>
      <c r="AV95" s="677">
        <f t="shared" si="17"/>
        <v>0</v>
      </c>
      <c r="AW95" s="677">
        <f t="shared" si="54"/>
        <v>0</v>
      </c>
      <c r="AX95" s="678">
        <f t="shared" si="55"/>
        <v>0</v>
      </c>
      <c r="AY95" s="679">
        <f t="shared" si="56"/>
        <v>0</v>
      </c>
      <c r="AZ95" s="675">
        <v>0.35</v>
      </c>
      <c r="BA95" s="676">
        <f t="shared" si="18"/>
        <v>0</v>
      </c>
      <c r="BB95" s="677">
        <f t="shared" si="19"/>
        <v>0</v>
      </c>
      <c r="BC95" s="677">
        <f t="shared" si="57"/>
        <v>592.23709999999994</v>
      </c>
      <c r="BD95" s="678">
        <f t="shared" si="58"/>
        <v>0</v>
      </c>
      <c r="BE95" s="679">
        <f t="shared" si="59"/>
        <v>150.42822339999998</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c r="B96" s="488">
        <v>52</v>
      </c>
      <c r="C96" s="489" t="s">
        <v>314</v>
      </c>
      <c r="D96" s="490" t="s">
        <v>29</v>
      </c>
      <c r="E96" s="491" t="s">
        <v>419</v>
      </c>
      <c r="F96" s="492"/>
      <c r="G96" s="493"/>
      <c r="H96" s="146" t="s">
        <v>97</v>
      </c>
      <c r="I96" s="494" t="str">
        <f t="shared" si="4"/>
        <v>n.v.t.</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c r="B97" s="488">
        <v>53</v>
      </c>
      <c r="C97" s="489" t="s">
        <v>314</v>
      </c>
      <c r="D97" s="490" t="s">
        <v>315</v>
      </c>
      <c r="E97" s="491" t="s">
        <v>316</v>
      </c>
      <c r="F97" s="492"/>
      <c r="G97" s="493"/>
      <c r="H97" s="146" t="s">
        <v>97</v>
      </c>
      <c r="I97" s="494" t="str">
        <f t="shared" si="4"/>
        <v>n.v.t.</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c r="B98" s="488">
        <v>54</v>
      </c>
      <c r="C98" s="489" t="s">
        <v>314</v>
      </c>
      <c r="D98" s="490" t="s">
        <v>317</v>
      </c>
      <c r="E98" s="491" t="s">
        <v>318</v>
      </c>
      <c r="F98" s="492"/>
      <c r="G98" s="493"/>
      <c r="H98" s="146" t="s">
        <v>97</v>
      </c>
      <c r="I98" s="494" t="str">
        <f t="shared" si="4"/>
        <v>n.v.t.</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c r="B99" s="488">
        <v>55</v>
      </c>
      <c r="C99" s="489" t="s">
        <v>314</v>
      </c>
      <c r="D99" s="490" t="s">
        <v>319</v>
      </c>
      <c r="E99" s="491" t="s">
        <v>420</v>
      </c>
      <c r="F99" s="492"/>
      <c r="G99" s="493"/>
      <c r="H99" s="146" t="s">
        <v>97</v>
      </c>
      <c r="I99" s="494" t="str">
        <f t="shared" si="4"/>
        <v>n.v.t.</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c r="B100" s="488">
        <v>56</v>
      </c>
      <c r="C100" s="489" t="s">
        <v>314</v>
      </c>
      <c r="D100" s="490" t="s">
        <v>320</v>
      </c>
      <c r="E100" s="491" t="s">
        <v>321</v>
      </c>
      <c r="F100" s="492"/>
      <c r="G100" s="493"/>
      <c r="H100" s="146" t="s">
        <v>97</v>
      </c>
      <c r="I100" s="494" t="str">
        <f t="shared" si="4"/>
        <v>n.v.t.</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c r="B101" s="488">
        <v>57</v>
      </c>
      <c r="C101" s="489" t="s">
        <v>314</v>
      </c>
      <c r="D101" s="490" t="s">
        <v>322</v>
      </c>
      <c r="E101" s="491" t="s">
        <v>323</v>
      </c>
      <c r="F101" s="492"/>
      <c r="G101" s="493"/>
      <c r="H101" s="146" t="s">
        <v>97</v>
      </c>
      <c r="I101" s="494" t="str">
        <f t="shared" si="4"/>
        <v>n.v.t.</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c r="B102" s="488">
        <v>58</v>
      </c>
      <c r="C102" s="489" t="s">
        <v>314</v>
      </c>
      <c r="D102" s="490" t="s">
        <v>324</v>
      </c>
      <c r="E102" s="491" t="s">
        <v>325</v>
      </c>
      <c r="F102" s="492"/>
      <c r="G102" s="493"/>
      <c r="H102" s="146" t="s">
        <v>97</v>
      </c>
      <c r="I102" s="494" t="str">
        <f t="shared" si="4"/>
        <v>n.v.t.</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c r="B103" s="488">
        <v>59</v>
      </c>
      <c r="C103" s="489" t="s">
        <v>314</v>
      </c>
      <c r="D103" s="490" t="s">
        <v>326</v>
      </c>
      <c r="E103" s="491" t="s">
        <v>327</v>
      </c>
      <c r="F103" s="492"/>
      <c r="G103" s="493"/>
      <c r="H103" s="146" t="s">
        <v>97</v>
      </c>
      <c r="I103" s="494" t="str">
        <f t="shared" si="4"/>
        <v>n.v.t.</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c r="B104" s="488">
        <v>60</v>
      </c>
      <c r="C104" s="489" t="s">
        <v>314</v>
      </c>
      <c r="D104" s="490" t="s">
        <v>328</v>
      </c>
      <c r="E104" s="491" t="s">
        <v>329</v>
      </c>
      <c r="F104" s="492"/>
      <c r="G104" s="493"/>
      <c r="H104" s="146" t="s">
        <v>97</v>
      </c>
      <c r="I104" s="494" t="str">
        <f t="shared" si="4"/>
        <v>n.v.t.</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c r="B105" s="488">
        <v>61</v>
      </c>
      <c r="C105" s="489" t="s">
        <v>199</v>
      </c>
      <c r="D105" s="490" t="s">
        <v>30</v>
      </c>
      <c r="E105" s="491" t="s">
        <v>200</v>
      </c>
      <c r="F105" s="492"/>
      <c r="G105" s="493"/>
      <c r="H105" s="146" t="s">
        <v>97</v>
      </c>
      <c r="I105" s="494" t="str">
        <f t="shared" si="4"/>
        <v>n.v.t.</v>
      </c>
      <c r="J105" s="495" t="s">
        <v>487</v>
      </c>
      <c r="K105" s="151">
        <v>0</v>
      </c>
      <c r="L105" s="256">
        <f>IF($C$5&lt;3000,(Bron!H94*$C$5)+Bron!I94,(Bron!M94*$C$5)+Bron!N94)</f>
        <v>1500</v>
      </c>
      <c r="M105" s="256"/>
      <c r="N105" s="496">
        <f t="shared" si="90"/>
        <v>661.22296000000006</v>
      </c>
      <c r="O105" s="497">
        <f t="shared" si="91"/>
        <v>2.2685237669302953</v>
      </c>
      <c r="P105" s="257"/>
      <c r="Q105" s="257">
        <f>IF($C$5&lt;3000,$AN$31*Bron!K94,$AN$31*Bron!P94)</f>
        <v>2603.2400000000002</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c r="B106" s="488">
        <v>62</v>
      </c>
      <c r="C106" s="489" t="s">
        <v>199</v>
      </c>
      <c r="D106" s="490" t="s">
        <v>201</v>
      </c>
      <c r="E106" s="491" t="s">
        <v>202</v>
      </c>
      <c r="F106" s="492"/>
      <c r="G106" s="493"/>
      <c r="H106" s="146" t="s">
        <v>97</v>
      </c>
      <c r="I106" s="494" t="str">
        <f t="shared" si="4"/>
        <v>n.v.t.</v>
      </c>
      <c r="J106" s="495" t="s">
        <v>487</v>
      </c>
      <c r="K106" s="151">
        <v>0</v>
      </c>
      <c r="L106" s="256">
        <f>IF($C$5&lt;3000,(Bron!H95*$C$5)+Bron!I95,(Bron!M95*$C$5)+Bron!N95)</f>
        <v>600</v>
      </c>
      <c r="M106" s="256"/>
      <c r="N106" s="496">
        <f t="shared" si="90"/>
        <v>330.61148000000003</v>
      </c>
      <c r="O106" s="497">
        <f t="shared" si="91"/>
        <v>1.8148190135442361</v>
      </c>
      <c r="P106" s="257"/>
      <c r="Q106" s="257">
        <f>IF($C$5&lt;3000,$AN$31*Bron!K95,$AN$31*Bron!P95)</f>
        <v>1301.6200000000001</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c r="B107" s="488">
        <v>63</v>
      </c>
      <c r="C107" s="489" t="s">
        <v>199</v>
      </c>
      <c r="D107" s="490" t="s">
        <v>203</v>
      </c>
      <c r="E107" s="491" t="s">
        <v>204</v>
      </c>
      <c r="F107" s="492"/>
      <c r="G107" s="493"/>
      <c r="H107" s="146" t="s">
        <v>97</v>
      </c>
      <c r="I107" s="494" t="str">
        <f t="shared" si="4"/>
        <v>n.v.t.</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c r="B108" s="488">
        <v>64</v>
      </c>
      <c r="C108" s="489" t="s">
        <v>199</v>
      </c>
      <c r="D108" s="490" t="s">
        <v>205</v>
      </c>
      <c r="E108" s="491" t="s">
        <v>206</v>
      </c>
      <c r="F108" s="492"/>
      <c r="G108" s="493"/>
      <c r="H108" s="146" t="s">
        <v>97</v>
      </c>
      <c r="I108" s="494" t="str">
        <f t="shared" ref="I108:I171" si="92">IF(H108="X","n.v.t.",IF(H108="I","ons",IF(H108="V","verhuurder",IF(H108="H","huurder",""))))</f>
        <v>n.v.t.</v>
      </c>
      <c r="J108" s="495"/>
      <c r="K108" s="151">
        <v>0</v>
      </c>
      <c r="L108" s="256"/>
      <c r="M108" s="256">
        <f>IF($C$5&lt;3000,(Bron!H97*$C$5)+Bron!I97,(Bron!M97*$C$5)+Bron!N97)</f>
        <v>2500</v>
      </c>
      <c r="N108" s="496">
        <f t="shared" si="90"/>
        <v>991.83443999999997</v>
      </c>
      <c r="O108" s="497">
        <f t="shared" si="91"/>
        <v>2.5205819632558839</v>
      </c>
      <c r="P108" s="257"/>
      <c r="Q108" s="257">
        <f>IF($C$5&lt;3000,$AN$31*Bron!K97,$AN$31*Bron!P97)</f>
        <v>3904.8599999999997</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c r="B109" s="488">
        <v>65</v>
      </c>
      <c r="C109" s="489" t="s">
        <v>199</v>
      </c>
      <c r="D109" s="490" t="s">
        <v>207</v>
      </c>
      <c r="E109" s="491" t="s">
        <v>208</v>
      </c>
      <c r="F109" s="492"/>
      <c r="G109" s="493"/>
      <c r="H109" s="146" t="s">
        <v>97</v>
      </c>
      <c r="I109" s="494" t="str">
        <f t="shared" si="92"/>
        <v>n.v.t.</v>
      </c>
      <c r="J109" s="495"/>
      <c r="K109" s="151">
        <v>0</v>
      </c>
      <c r="L109" s="256"/>
      <c r="M109" s="256">
        <f>IF($C$5&lt;3000,(Bron!H98*$C$5)+Bron!I98,(Bron!M98*$C$5)+Bron!N98)</f>
        <v>7000</v>
      </c>
      <c r="N109" s="496">
        <f t="shared" si="90"/>
        <v>628.16181200000005</v>
      </c>
      <c r="O109" s="497">
        <f t="shared" si="91"/>
        <v>11.143625521762853</v>
      </c>
      <c r="P109" s="257"/>
      <c r="Q109" s="257">
        <f>IF($C$5&lt;3000,$AN$31*Bron!K98,$AN$31*Bron!P98)</f>
        <v>2473.078</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c r="B110" s="488">
        <v>66</v>
      </c>
      <c r="C110" s="489" t="s">
        <v>199</v>
      </c>
      <c r="D110" s="490" t="s">
        <v>209</v>
      </c>
      <c r="E110" s="491" t="s">
        <v>421</v>
      </c>
      <c r="F110" s="492"/>
      <c r="G110" s="493"/>
      <c r="H110" s="146" t="s">
        <v>97</v>
      </c>
      <c r="I110" s="494" t="str">
        <f t="shared" si="92"/>
        <v>n.v.t.</v>
      </c>
      <c r="J110" s="495" t="s">
        <v>487</v>
      </c>
      <c r="K110" s="151">
        <v>0</v>
      </c>
      <c r="L110" s="256">
        <f>IF($C$5&lt;3000,(Bron!H99*$C$5)+Bron!I99,(Bron!M99*$C$5)+Bron!N99)</f>
        <v>750</v>
      </c>
      <c r="M110" s="256"/>
      <c r="N110" s="496">
        <f t="shared" si="90"/>
        <v>297.55033199999997</v>
      </c>
      <c r="O110" s="497">
        <f t="shared" si="91"/>
        <v>2.5205819632558839</v>
      </c>
      <c r="P110" s="257"/>
      <c r="Q110" s="257">
        <f>IF($C$5&lt;3000,$AN$31*Bron!K99,$AN$31*Bron!P99)</f>
        <v>1171.4579999999999</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c r="B111" s="488">
        <v>67</v>
      </c>
      <c r="C111" s="489" t="s">
        <v>199</v>
      </c>
      <c r="D111" s="490" t="s">
        <v>493</v>
      </c>
      <c r="E111" s="491" t="s">
        <v>580</v>
      </c>
      <c r="F111" s="492"/>
      <c r="G111" s="493"/>
      <c r="H111" s="146" t="s">
        <v>97</v>
      </c>
      <c r="I111" s="494" t="str">
        <f t="shared" si="92"/>
        <v>n.v.t.</v>
      </c>
      <c r="J111" s="495"/>
      <c r="K111" s="151">
        <v>0</v>
      </c>
      <c r="L111" s="256"/>
      <c r="M111" s="256">
        <f>IF($C$5&lt;3000,(Bron!H100*$C$5)+Bron!I100,(Bron!M100*$C$5)+Bron!N100)</f>
        <v>1000</v>
      </c>
      <c r="N111" s="496">
        <f t="shared" si="90"/>
        <v>661.22296000000006</v>
      </c>
      <c r="O111" s="497">
        <f t="shared" si="91"/>
        <v>1.5123491779535301</v>
      </c>
      <c r="P111" s="257"/>
      <c r="Q111" s="257">
        <f>IF($C$5&lt;3000,$AN$31*Bron!K100,$AN$31*Bron!P100)</f>
        <v>2603.2400000000002</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c r="B112" s="488">
        <v>68</v>
      </c>
      <c r="C112" s="489" t="s">
        <v>199</v>
      </c>
      <c r="D112" s="490" t="s">
        <v>493</v>
      </c>
      <c r="E112" s="491" t="s">
        <v>589</v>
      </c>
      <c r="F112" s="492"/>
      <c r="G112" s="493"/>
      <c r="H112" s="146" t="s">
        <v>97</v>
      </c>
      <c r="I112" s="494" t="str">
        <f t="shared" si="92"/>
        <v>n.v.t.</v>
      </c>
      <c r="J112" s="495" t="s">
        <v>487</v>
      </c>
      <c r="K112" s="151">
        <v>0</v>
      </c>
      <c r="L112" s="256">
        <f>IF($C$5&lt;3000,(Bron!H101*$C$5)+Bron!I101,(Bron!M101*$C$5)+Bron!N101)</f>
        <v>200</v>
      </c>
      <c r="M112" s="256"/>
      <c r="N112" s="496">
        <f t="shared" si="90"/>
        <v>132.24459200000001</v>
      </c>
      <c r="O112" s="497">
        <f t="shared" si="91"/>
        <v>1.5123491779535301</v>
      </c>
      <c r="P112" s="257"/>
      <c r="Q112" s="257">
        <f>IF($C$5&lt;3000,$AN$31*Bron!K101,$AN$31*Bron!P101)</f>
        <v>520.64800000000002</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c r="B113" s="488">
        <v>69</v>
      </c>
      <c r="C113" s="489" t="s">
        <v>210</v>
      </c>
      <c r="D113" s="490" t="s">
        <v>31</v>
      </c>
      <c r="E113" s="491" t="s">
        <v>422</v>
      </c>
      <c r="F113" s="492"/>
      <c r="G113" s="493"/>
      <c r="H113" s="146" t="s">
        <v>97</v>
      </c>
      <c r="I113" s="494" t="str">
        <f t="shared" si="92"/>
        <v>n.v.t.</v>
      </c>
      <c r="J113" s="495" t="s">
        <v>487</v>
      </c>
      <c r="K113" s="151">
        <v>0</v>
      </c>
      <c r="L113" s="256">
        <f>IF($C$5&lt;3000,(Bron!H102*$C$5)+Bron!I102,(Bron!M102*$C$5)+Bron!N102)</f>
        <v>5000</v>
      </c>
      <c r="M113" s="256"/>
      <c r="N113" s="496">
        <f t="shared" si="90"/>
        <v>462.85607200000004</v>
      </c>
      <c r="O113" s="497">
        <f t="shared" si="91"/>
        <v>10.8024941282395</v>
      </c>
      <c r="P113" s="257"/>
      <c r="Q113" s="257">
        <f>IF($C$5&lt;3000,$AN$31*Bron!K102,$AN$31*Bron!P102)</f>
        <v>1822.268</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486</v>
      </c>
      <c r="I114" s="494" t="str">
        <f t="shared" si="92"/>
        <v>ons</v>
      </c>
      <c r="J114" s="495" t="s">
        <v>487</v>
      </c>
      <c r="K114" s="151">
        <v>0</v>
      </c>
      <c r="L114" s="256">
        <f>IF($C$5&lt;3000,(Bron!H103*$C$5)+Bron!I103,(Bron!M103*$C$5)+Bron!N103)</f>
        <v>6323.8879999999999</v>
      </c>
      <c r="M114" s="256"/>
      <c r="N114" s="496">
        <f t="shared" si="90"/>
        <v>2482.6937000000003</v>
      </c>
      <c r="O114" s="497">
        <f t="shared" si="91"/>
        <v>2.5471881609882039</v>
      </c>
      <c r="P114" s="257">
        <f>IF($C$5&lt;3000,$AN$32*Bron!J103,$AN$32*Bron!O103)</f>
        <v>1182.9750000000001</v>
      </c>
      <c r="Q114" s="257">
        <f>IF($C$5&lt;3000,$AN$31*Bron!K103,$AN$31*Bron!P103)</f>
        <v>3254.05</v>
      </c>
      <c r="R114" s="257">
        <f>IF($C$5&lt;3000,$AN$33*Bron!J103,$AN$33*Bron!O103)</f>
        <v>0</v>
      </c>
      <c r="S114" s="344"/>
      <c r="T114" s="258">
        <f t="shared" si="93"/>
        <v>1</v>
      </c>
      <c r="U114" s="259">
        <f t="shared" si="94"/>
        <v>6323.8879999999999</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c r="AU114" s="676">
        <f t="shared" si="103"/>
        <v>0</v>
      </c>
      <c r="AV114" s="677">
        <f t="shared" si="104"/>
        <v>0</v>
      </c>
      <c r="AW114" s="677">
        <f t="shared" si="139"/>
        <v>0</v>
      </c>
      <c r="AX114" s="678">
        <f t="shared" si="140"/>
        <v>0</v>
      </c>
      <c r="AY114" s="679">
        <f t="shared" si="141"/>
        <v>0</v>
      </c>
      <c r="AZ114" s="675">
        <v>1</v>
      </c>
      <c r="BA114" s="676">
        <f t="shared" si="105"/>
        <v>6323.8879999999999</v>
      </c>
      <c r="BB114" s="677">
        <f t="shared" si="106"/>
        <v>1182.9750000000001</v>
      </c>
      <c r="BC114" s="677">
        <f t="shared" si="142"/>
        <v>3254.05</v>
      </c>
      <c r="BD114" s="678">
        <f t="shared" si="143"/>
        <v>0</v>
      </c>
      <c r="BE114" s="679">
        <f t="shared" si="144"/>
        <v>2482.6937000000003</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c r="B115" s="488">
        <v>71</v>
      </c>
      <c r="C115" s="489" t="s">
        <v>400</v>
      </c>
      <c r="D115" s="490" t="s">
        <v>7</v>
      </c>
      <c r="E115" s="491" t="s">
        <v>853</v>
      </c>
      <c r="F115" s="492"/>
      <c r="G115" s="493"/>
      <c r="H115" s="146" t="s">
        <v>97</v>
      </c>
      <c r="I115" s="494" t="str">
        <f t="shared" si="92"/>
        <v>n.v.t.</v>
      </c>
      <c r="J115" s="495" t="s">
        <v>487</v>
      </c>
      <c r="K115" s="151">
        <v>0.6</v>
      </c>
      <c r="L115" s="256">
        <f>IF($C$5&lt;3000,(Bron!H104*$C$5)+Bron!I104,(Bron!M104*$C$5)+Bron!N104)</f>
        <v>113477.75999999999</v>
      </c>
      <c r="M115" s="256"/>
      <c r="N115" s="496">
        <f t="shared" si="90"/>
        <v>23186.309999999994</v>
      </c>
      <c r="O115" s="497">
        <f t="shared" si="91"/>
        <v>4.8941707412693107</v>
      </c>
      <c r="P115" s="257">
        <f>IF($C$5&lt;3000,$AN$32*Bron!J104,$AN$32*Bron!O104)</f>
        <v>16561.649999999998</v>
      </c>
      <c r="Q115" s="257"/>
      <c r="R115" s="257">
        <f>IF($C$5&lt;3000,$AN$33*Bron!J104,$AN$33*Bron!O104)</f>
        <v>0</v>
      </c>
      <c r="S115" s="344"/>
      <c r="T115" s="258">
        <f t="shared" si="93"/>
        <v>0.6</v>
      </c>
      <c r="U115" s="259">
        <f t="shared" si="94"/>
        <v>0</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c r="AU115" s="676">
        <f t="shared" si="103"/>
        <v>0</v>
      </c>
      <c r="AV115" s="677">
        <f t="shared" si="104"/>
        <v>0</v>
      </c>
      <c r="AW115" s="677">
        <f t="shared" si="139"/>
        <v>0</v>
      </c>
      <c r="AX115" s="678">
        <f t="shared" si="140"/>
        <v>0</v>
      </c>
      <c r="AY115" s="679">
        <f t="shared" si="141"/>
        <v>0</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c r="B116" s="488">
        <v>72</v>
      </c>
      <c r="C116" s="489" t="s">
        <v>400</v>
      </c>
      <c r="D116" s="490" t="s">
        <v>212</v>
      </c>
      <c r="E116" s="491" t="s">
        <v>854</v>
      </c>
      <c r="F116" s="492"/>
      <c r="G116" s="493"/>
      <c r="H116" s="146" t="s">
        <v>97</v>
      </c>
      <c r="I116" s="494" t="str">
        <f t="shared" si="92"/>
        <v>n.v.t.</v>
      </c>
      <c r="J116" s="495" t="s">
        <v>487</v>
      </c>
      <c r="K116" s="151">
        <v>0</v>
      </c>
      <c r="L116" s="256">
        <f>IF($C$5&lt;3000,(Bron!H105*$C$5/$C$6)+Bron!I105,(Bron!M105*$C$5/$C$6)+Bron!N105)</f>
        <v>190705.68</v>
      </c>
      <c r="M116" s="256"/>
      <c r="N116" s="496">
        <f t="shared" si="90"/>
        <v>11593.154999999997</v>
      </c>
      <c r="O116" s="497">
        <f t="shared" si="91"/>
        <v>16.449851658155183</v>
      </c>
      <c r="P116" s="257">
        <f>IF($C$5&lt;3000,$AN$32*Bron!J105,$AN$32*Bron!O105)/$C$6</f>
        <v>8280.8249999999989</v>
      </c>
      <c r="Q116" s="257">
        <f>IF($C$5&lt;3000,$AN$31*Bron!K105,$AN$31*Bron!P105)</f>
        <v>0</v>
      </c>
      <c r="R116" s="257">
        <f>IF($C$5&lt;3000,$AN$33*Bron!J105,$AN$33*Bron!O105)/$C$6</f>
        <v>0</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c r="B117" s="488">
        <v>73</v>
      </c>
      <c r="C117" s="489" t="s">
        <v>400</v>
      </c>
      <c r="D117" s="490" t="s">
        <v>213</v>
      </c>
      <c r="E117" s="491" t="s">
        <v>214</v>
      </c>
      <c r="F117" s="492"/>
      <c r="G117" s="493"/>
      <c r="H117" s="146" t="s">
        <v>97</v>
      </c>
      <c r="I117" s="494" t="str">
        <f t="shared" si="92"/>
        <v>n.v.t.</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c r="B118" s="488">
        <v>74</v>
      </c>
      <c r="C118" s="489" t="s">
        <v>400</v>
      </c>
      <c r="D118" s="490" t="s">
        <v>215</v>
      </c>
      <c r="E118" s="491" t="s">
        <v>855</v>
      </c>
      <c r="F118" s="492"/>
      <c r="G118" s="493"/>
      <c r="H118" s="146" t="s">
        <v>97</v>
      </c>
      <c r="I118" s="494" t="str">
        <f t="shared" si="92"/>
        <v>n.v.t.</v>
      </c>
      <c r="J118" s="495"/>
      <c r="K118" s="151">
        <v>0</v>
      </c>
      <c r="L118" s="256"/>
      <c r="M118" s="256">
        <f>IF($C$5&lt;3000,(Bron!H107*$C$5/$C$6)+Bron!I107,(Bron!M107*$C$5/$C$6)+Bron!N107)</f>
        <v>72499.679999999993</v>
      </c>
      <c r="N118" s="496">
        <f t="shared" si="90"/>
        <v>11593.154999999997</v>
      </c>
      <c r="O118" s="497">
        <f t="shared" si="91"/>
        <v>6.2536626138441189</v>
      </c>
      <c r="P118" s="257">
        <f>IF($C$5&lt;3000,$AN$32*Bron!J107,$AN$32*Bron!O107)/$C$6</f>
        <v>8280.8249999999989</v>
      </c>
      <c r="Q118" s="257">
        <f>IF($C$5&lt;3000,$AN$31*Bron!K107,$AN$31*Bron!P107)</f>
        <v>0</v>
      </c>
      <c r="R118" s="257">
        <f>IF($C$5&lt;3000,$AN$33*Bron!J107,$AN$33*Bron!O107)/$C$6</f>
        <v>0</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c r="B119" s="488">
        <v>75</v>
      </c>
      <c r="C119" s="489" t="s">
        <v>400</v>
      </c>
      <c r="D119" s="490" t="s">
        <v>216</v>
      </c>
      <c r="E119" s="491" t="s">
        <v>217</v>
      </c>
      <c r="F119" s="492"/>
      <c r="G119" s="493"/>
      <c r="H119" s="146" t="s">
        <v>97</v>
      </c>
      <c r="I119" s="494" t="str">
        <f t="shared" si="92"/>
        <v>n.v.t.</v>
      </c>
      <c r="J119" s="495"/>
      <c r="K119" s="151">
        <v>0</v>
      </c>
      <c r="L119" s="256"/>
      <c r="M119" s="256">
        <f>IF($C$5&lt;3000,(Bron!H108*$C$5)+Bron!I108,(Bron!M108*$C$5)+Bron!N108)</f>
        <v>81956.160000000003</v>
      </c>
      <c r="N119" s="496">
        <f t="shared" si="90"/>
        <v>18549.048000000003</v>
      </c>
      <c r="O119" s="497">
        <f t="shared" si="91"/>
        <v>4.4183485858681264</v>
      </c>
      <c r="P119" s="257">
        <f>IF($C$5&lt;3000,$AN$32*Bron!J108,$AN$32*Bron!O108)</f>
        <v>13249.320000000002</v>
      </c>
      <c r="Q119" s="257">
        <f>IF($C$5&lt;3000,$AN$31*Bron!K108,$AN$31*Bron!P108)</f>
        <v>0</v>
      </c>
      <c r="R119" s="257">
        <f>IF($C$5&lt;3000,$AN$33*Bron!J108,$AN$33*Bron!O108)</f>
        <v>0</v>
      </c>
      <c r="S119" s="344"/>
      <c r="T119" s="258">
        <f t="shared" si="93"/>
        <v>0</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c r="B120" s="488">
        <v>76</v>
      </c>
      <c r="C120" s="489" t="s">
        <v>400</v>
      </c>
      <c r="D120" s="490" t="s">
        <v>218</v>
      </c>
      <c r="E120" s="491" t="s">
        <v>219</v>
      </c>
      <c r="F120" s="492"/>
      <c r="G120" s="493"/>
      <c r="H120" s="146" t="s">
        <v>97</v>
      </c>
      <c r="I120" s="494" t="str">
        <f t="shared" si="92"/>
        <v>n.v.t.</v>
      </c>
      <c r="J120" s="495"/>
      <c r="K120" s="151">
        <v>0</v>
      </c>
      <c r="L120" s="256"/>
      <c r="M120" s="256">
        <f>IF($C$5&lt;3000,(Bron!H109*$C$5)+Bron!I109,(Bron!M109*$C$5)+Bron!N109)</f>
        <v>81956.160000000003</v>
      </c>
      <c r="N120" s="496">
        <f t="shared" si="90"/>
        <v>11924.387999999999</v>
      </c>
      <c r="O120" s="497">
        <f t="shared" si="91"/>
        <v>6.8729866891281972</v>
      </c>
      <c r="P120" s="257">
        <f>IF($C$5&lt;3000,$AN$32*Bron!J109,$AN$32*Bron!O109)</f>
        <v>8517.42</v>
      </c>
      <c r="Q120" s="257"/>
      <c r="R120" s="257">
        <f>IF($C$5&lt;3000,$AN$33*Bron!J109,$AN$33*Bron!O109)</f>
        <v>0</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c r="B121" s="488">
        <v>77</v>
      </c>
      <c r="C121" s="489" t="s">
        <v>400</v>
      </c>
      <c r="D121" s="490" t="s">
        <v>220</v>
      </c>
      <c r="E121" s="491" t="s">
        <v>221</v>
      </c>
      <c r="F121" s="492"/>
      <c r="G121" s="493"/>
      <c r="H121" s="146" t="s">
        <v>97</v>
      </c>
      <c r="I121" s="494" t="str">
        <f t="shared" si="92"/>
        <v>n.v.t.</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c r="B122" s="488">
        <v>78</v>
      </c>
      <c r="C122" s="489" t="s">
        <v>400</v>
      </c>
      <c r="D122" s="490" t="s">
        <v>222</v>
      </c>
      <c r="E122" s="491" t="s">
        <v>223</v>
      </c>
      <c r="F122" s="492"/>
      <c r="G122" s="493"/>
      <c r="H122" s="146" t="s">
        <v>97</v>
      </c>
      <c r="I122" s="494" t="str">
        <f t="shared" si="92"/>
        <v>n.v.t.</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c r="B123" s="488">
        <v>79</v>
      </c>
      <c r="C123" s="489" t="s">
        <v>400</v>
      </c>
      <c r="D123" s="490" t="s">
        <v>493</v>
      </c>
      <c r="E123" s="491" t="s">
        <v>856</v>
      </c>
      <c r="F123" s="492"/>
      <c r="G123" s="493"/>
      <c r="H123" s="146" t="s">
        <v>97</v>
      </c>
      <c r="I123" s="494" t="str">
        <f t="shared" si="92"/>
        <v>n.v.t.</v>
      </c>
      <c r="J123" s="495"/>
      <c r="K123" s="151">
        <v>0</v>
      </c>
      <c r="L123" s="256"/>
      <c r="M123" s="256">
        <f>IF($C$5&lt;3000,(Bron!H112*$C$5)+Bron!I112,(Bron!M112*$C$5)+Bron!N112)</f>
        <v>53586.720000000001</v>
      </c>
      <c r="N123" s="496">
        <f t="shared" si="90"/>
        <v>23186.309999999994</v>
      </c>
      <c r="O123" s="497">
        <f t="shared" si="91"/>
        <v>2.3111361833771746</v>
      </c>
      <c r="P123" s="257">
        <f>IF($C$5&lt;3000,$AN$32*Bron!J112,$AN$32*Bron!O112)</f>
        <v>16561.649999999998</v>
      </c>
      <c r="Q123" s="257">
        <f>IF($C$5&lt;3000,$AN$31*Bron!K112,$AN$31*Bron!P112)</f>
        <v>0</v>
      </c>
      <c r="R123" s="257">
        <f>IF($C$5&lt;3000,$AN$33*Bron!J112,$AN$33*Bron!O112)</f>
        <v>0</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c r="B124" s="488">
        <v>80</v>
      </c>
      <c r="C124" s="489" t="s">
        <v>400</v>
      </c>
      <c r="D124" s="490" t="s">
        <v>493</v>
      </c>
      <c r="E124" s="491" t="s">
        <v>444</v>
      </c>
      <c r="F124" s="492"/>
      <c r="G124" s="493"/>
      <c r="H124" s="146" t="s">
        <v>97</v>
      </c>
      <c r="I124" s="494" t="str">
        <f t="shared" si="92"/>
        <v>n.v.t.</v>
      </c>
      <c r="J124" s="495" t="s">
        <v>487</v>
      </c>
      <c r="K124" s="151">
        <v>0</v>
      </c>
      <c r="L124" s="256">
        <f>IF($C$5&lt;3000,(Bron!H113*$C$5)+Bron!I113,(Bron!M113*$C$5)+Bron!N113)</f>
        <v>406628.63999999996</v>
      </c>
      <c r="M124" s="256"/>
      <c r="N124" s="496">
        <f t="shared" si="90"/>
        <v>13249.320000000002</v>
      </c>
      <c r="O124" s="497">
        <f t="shared" si="91"/>
        <v>30.690529023376286</v>
      </c>
      <c r="P124" s="257">
        <f>IF($C$5&lt;3000,$AN$32*Bron!J113,$AN$32*Bron!O113)</f>
        <v>9463.8000000000011</v>
      </c>
      <c r="Q124" s="257"/>
      <c r="R124" s="257">
        <f>IF($C$5&lt;3000,$AN$33*Bron!J113,$AN$33*Bron!O113)</f>
        <v>0</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857</v>
      </c>
      <c r="F125" s="492"/>
      <c r="G125" s="493"/>
      <c r="H125" s="146" t="s">
        <v>486</v>
      </c>
      <c r="I125" s="494" t="str">
        <f t="shared" si="92"/>
        <v>ons</v>
      </c>
      <c r="J125" s="495"/>
      <c r="K125" s="151">
        <v>0</v>
      </c>
      <c r="L125" s="256"/>
      <c r="M125" s="256">
        <f>IF($C$5&lt;3000,(Bron!H114*$C$5/$C$6)+Bron!I114,(Bron!M114*$C$5/$C$6)+Bron!N114)</f>
        <v>234835.91999999998</v>
      </c>
      <c r="N125" s="496">
        <f t="shared" si="90"/>
        <v>3312.3300000000004</v>
      </c>
      <c r="O125" s="497">
        <f t="shared" si="91"/>
        <v>70.897501154776236</v>
      </c>
      <c r="P125" s="257">
        <f>IF($C$5&lt;3000,$AN$32*Bron!J114,$AN$32*Bron!O114)/$C$6</f>
        <v>2365.9500000000003</v>
      </c>
      <c r="Q125" s="257"/>
      <c r="R125" s="257">
        <f>IF($C$5&lt;3000,$AN$33*Bron!J114,$AN$33*Bron!O114)/$C$6</f>
        <v>0</v>
      </c>
      <c r="S125" s="344"/>
      <c r="T125" s="258">
        <f t="shared" si="93"/>
        <v>0.4</v>
      </c>
      <c r="U125" s="259">
        <f t="shared" si="94"/>
        <v>93934.368000000002</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v>0.4</v>
      </c>
      <c r="BG125" s="676">
        <f t="shared" si="107"/>
        <v>93934.368000000002</v>
      </c>
      <c r="BH125" s="677">
        <f t="shared" si="108"/>
        <v>946.38000000000011</v>
      </c>
      <c r="BI125" s="677">
        <f t="shared" si="145"/>
        <v>0</v>
      </c>
      <c r="BJ125" s="678">
        <f t="shared" si="146"/>
        <v>0</v>
      </c>
      <c r="BK125" s="679">
        <f t="shared" si="147"/>
        <v>1324.9320000000002</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c r="B126" s="488">
        <v>82</v>
      </c>
      <c r="C126" s="489" t="s">
        <v>400</v>
      </c>
      <c r="D126" s="490" t="s">
        <v>493</v>
      </c>
      <c r="E126" s="491" t="s">
        <v>598</v>
      </c>
      <c r="F126" s="492"/>
      <c r="G126" s="493"/>
      <c r="H126" s="146" t="s">
        <v>97</v>
      </c>
      <c r="I126" s="494" t="str">
        <f t="shared" si="92"/>
        <v>n.v.t.</v>
      </c>
      <c r="J126" s="495"/>
      <c r="K126" s="151">
        <v>0</v>
      </c>
      <c r="L126" s="256"/>
      <c r="M126" s="256">
        <f>IF($C$5&lt;3000,(Bron!H115*$C$5*1.4/$C$6)+Bron!I115,(Bron!M115*$C$5*1.4/$C$6)+Bron!N115)</f>
        <v>165488.4</v>
      </c>
      <c r="N126" s="496">
        <f t="shared" si="90"/>
        <v>9936.989999999998</v>
      </c>
      <c r="O126" s="497">
        <f t="shared" si="91"/>
        <v>16.653775439041404</v>
      </c>
      <c r="P126" s="257">
        <f>IF($C$5&lt;3000,$AN$32*Bron!J115,$AN$32*Bron!O115)/$C$6</f>
        <v>7097.8499999999995</v>
      </c>
      <c r="Q126" s="257">
        <f>IF($C$5&lt;3000,$AN$31*Bron!K115,$AN$31*Bron!P115)</f>
        <v>0</v>
      </c>
      <c r="R126" s="257">
        <f>IF($C$5&lt;3000,$AN$33*Bron!J115,$AN$33*Bron!O115)/$C$6</f>
        <v>0</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c r="B127" s="488">
        <v>83</v>
      </c>
      <c r="C127" s="489" t="s">
        <v>400</v>
      </c>
      <c r="D127" s="490" t="s">
        <v>493</v>
      </c>
      <c r="E127" s="491" t="s">
        <v>445</v>
      </c>
      <c r="F127" s="492"/>
      <c r="G127" s="493"/>
      <c r="H127" s="146" t="s">
        <v>486</v>
      </c>
      <c r="I127" s="494" t="str">
        <f t="shared" si="92"/>
        <v>ons</v>
      </c>
      <c r="J127" s="495" t="s">
        <v>487</v>
      </c>
      <c r="K127" s="151">
        <v>0</v>
      </c>
      <c r="L127" s="256">
        <f>IF($C$5&lt;3000,(Bron!H116*$C$5/$C$6)+Bron!I116,(Bron!M116*$C$5/$C$6)+Bron!N116)</f>
        <v>83532.239999999991</v>
      </c>
      <c r="M127" s="256"/>
      <c r="N127" s="496">
        <f t="shared" si="90"/>
        <v>1987.3979999999997</v>
      </c>
      <c r="O127" s="497">
        <f t="shared" si="91"/>
        <v>42.030957060437821</v>
      </c>
      <c r="P127" s="257">
        <f>IF($C$5&lt;3000,$AN$32*Bron!J116,$AN$32*Bron!O116)/$C$6</f>
        <v>1419.57</v>
      </c>
      <c r="Q127" s="257"/>
      <c r="R127" s="257">
        <f>IF($C$5&lt;3000,$AN$33*Bron!J116,$AN$33*Bron!O116)/$C$6</f>
        <v>0</v>
      </c>
      <c r="S127" s="344"/>
      <c r="T127" s="258">
        <f t="shared" si="93"/>
        <v>0.4</v>
      </c>
      <c r="U127" s="259">
        <f t="shared" si="94"/>
        <v>33412.896000000001</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v>0.4</v>
      </c>
      <c r="BA127" s="676">
        <f t="shared" si="105"/>
        <v>33412.896000000001</v>
      </c>
      <c r="BB127" s="677">
        <f t="shared" si="106"/>
        <v>567.82799999999997</v>
      </c>
      <c r="BC127" s="677">
        <f t="shared" si="142"/>
        <v>0</v>
      </c>
      <c r="BD127" s="678">
        <f t="shared" si="143"/>
        <v>0</v>
      </c>
      <c r="BE127" s="679">
        <f t="shared" si="144"/>
        <v>794.9591999999999</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c r="B128" s="488">
        <v>84</v>
      </c>
      <c r="C128" s="489" t="s">
        <v>400</v>
      </c>
      <c r="D128" s="490" t="s">
        <v>493</v>
      </c>
      <c r="E128" s="491" t="s">
        <v>612</v>
      </c>
      <c r="F128" s="492"/>
      <c r="G128" s="493"/>
      <c r="H128" s="146" t="s">
        <v>97</v>
      </c>
      <c r="I128" s="494" t="str">
        <f t="shared" si="92"/>
        <v>n.v.t.</v>
      </c>
      <c r="J128" s="495"/>
      <c r="K128" s="151">
        <v>0</v>
      </c>
      <c r="L128" s="256"/>
      <c r="M128" s="256">
        <f>IF($C$5&lt;3000,(Bron!H117*$C$5)+Bron!I117,(Bron!M117*$C$5)+Bron!N117)</f>
        <v>0</v>
      </c>
      <c r="N128" s="496">
        <f t="shared" si="90"/>
        <v>12586.853999999999</v>
      </c>
      <c r="O128" s="497">
        <f t="shared" si="91"/>
        <v>0</v>
      </c>
      <c r="P128" s="257">
        <f>IF($C$5&lt;3000,$AN$32*Bron!J117,$AN$32*Bron!O117)</f>
        <v>8990.61</v>
      </c>
      <c r="Q128" s="257">
        <f>IF($C$5&lt;3000,$AN$31*Bron!K117,$AN$31*Bron!P117)</f>
        <v>0</v>
      </c>
      <c r="R128" s="257">
        <f>IF($C$5&lt;3000,$AN$33*Bron!J117,$AN$33*Bron!O117)</f>
        <v>0</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c r="B129" s="488">
        <v>85</v>
      </c>
      <c r="C129" s="489" t="s">
        <v>400</v>
      </c>
      <c r="D129" s="490" t="s">
        <v>493</v>
      </c>
      <c r="E129" s="491" t="s">
        <v>600</v>
      </c>
      <c r="F129" s="492"/>
      <c r="G129" s="493"/>
      <c r="H129" s="146" t="s">
        <v>97</v>
      </c>
      <c r="I129" s="494" t="str">
        <f t="shared" si="92"/>
        <v>n.v.t.</v>
      </c>
      <c r="J129" s="495"/>
      <c r="K129" s="151">
        <v>0</v>
      </c>
      <c r="L129" s="256"/>
      <c r="M129" s="256">
        <f>IF($C$5&lt;3000,(Bron!H118*$C$5)+Bron!I118,(Bron!M118*$C$5)+Bron!N118)</f>
        <v>116629.92</v>
      </c>
      <c r="N129" s="496">
        <f t="shared" si="90"/>
        <v>19873.979999999996</v>
      </c>
      <c r="O129" s="497">
        <f t="shared" si="91"/>
        <v>5.8684732499479226</v>
      </c>
      <c r="P129" s="257">
        <f>IF($C$5&lt;3000,$AN$32*Bron!J118,$AN$32*Bron!O118)</f>
        <v>14195.699999999999</v>
      </c>
      <c r="Q129" s="257"/>
      <c r="R129" s="257">
        <f>IF($C$5&lt;3000,$AN$33*Bron!J118,$AN$33*Bron!O118)</f>
        <v>0</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c r="B130" s="488">
        <v>86</v>
      </c>
      <c r="C130" s="489" t="s">
        <v>400</v>
      </c>
      <c r="D130" s="490" t="s">
        <v>493</v>
      </c>
      <c r="E130" s="491" t="s">
        <v>446</v>
      </c>
      <c r="F130" s="492"/>
      <c r="G130" s="493"/>
      <c r="H130" s="146" t="s">
        <v>97</v>
      </c>
      <c r="I130" s="494" t="str">
        <f t="shared" si="92"/>
        <v>n.v.t.</v>
      </c>
      <c r="J130" s="495" t="s">
        <v>487</v>
      </c>
      <c r="K130" s="151">
        <v>0</v>
      </c>
      <c r="L130" s="256">
        <f>IF($C$5&lt;3000,(Bron!H119*$C$5)+Bron!I119,(Bron!M119*$C$5)+Bron!N119)</f>
        <v>66195.360000000001</v>
      </c>
      <c r="M130" s="256"/>
      <c r="N130" s="496">
        <f t="shared" si="90"/>
        <v>10599.456</v>
      </c>
      <c r="O130" s="497">
        <f t="shared" si="91"/>
        <v>6.2451657896405246</v>
      </c>
      <c r="P130" s="257">
        <f>IF($C$5&lt;3000,$AN$32*Bron!J119,$AN$32*Bron!O119)</f>
        <v>7571.04</v>
      </c>
      <c r="Q130" s="257"/>
      <c r="R130" s="257">
        <f>IF($C$5&lt;3000,$AN$33*Bron!J119,$AN$33*Bron!O119)</f>
        <v>0</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486</v>
      </c>
      <c r="I131" s="494" t="str">
        <f t="shared" si="92"/>
        <v>ons</v>
      </c>
      <c r="J131" s="495" t="s">
        <v>487</v>
      </c>
      <c r="K131" s="151">
        <v>0</v>
      </c>
      <c r="L131" s="256">
        <f>IF($C$5&lt;3000,(Bron!H120*$C$5)+Bron!I120,(Bron!M120*$C$5)+Bron!N120)</f>
        <v>3152.16</v>
      </c>
      <c r="M131" s="256"/>
      <c r="N131" s="496">
        <f t="shared" si="90"/>
        <v>2682.9872999999998</v>
      </c>
      <c r="O131" s="497">
        <f t="shared" si="91"/>
        <v>1.1748695195090935</v>
      </c>
      <c r="P131" s="257">
        <f>IF($C$5&lt;3000,$AN$32*Bron!J120,$AN$32*Bron!O120)</f>
        <v>1916.4195</v>
      </c>
      <c r="Q131" s="257"/>
      <c r="R131" s="257">
        <f>IF($C$5&lt;3000,$AN$33*Bron!J120,$AN$33*Bron!O120)</f>
        <v>0</v>
      </c>
      <c r="S131" s="344"/>
      <c r="T131" s="258">
        <f t="shared" si="93"/>
        <v>1</v>
      </c>
      <c r="U131" s="259">
        <f t="shared" si="94"/>
        <v>3152.16</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c r="AU131" s="676">
        <f t="shared" si="103"/>
        <v>0</v>
      </c>
      <c r="AV131" s="677">
        <f t="shared" si="104"/>
        <v>0</v>
      </c>
      <c r="AW131" s="677">
        <f t="shared" si="139"/>
        <v>0</v>
      </c>
      <c r="AX131" s="678">
        <f t="shared" si="140"/>
        <v>0</v>
      </c>
      <c r="AY131" s="679">
        <f t="shared" si="141"/>
        <v>0</v>
      </c>
      <c r="AZ131" s="675">
        <v>1</v>
      </c>
      <c r="BA131" s="676">
        <f t="shared" si="105"/>
        <v>3152.16</v>
      </c>
      <c r="BB131" s="677">
        <f t="shared" si="106"/>
        <v>1916.4195</v>
      </c>
      <c r="BC131" s="677">
        <f t="shared" si="142"/>
        <v>0</v>
      </c>
      <c r="BD131" s="678">
        <f t="shared" si="143"/>
        <v>0</v>
      </c>
      <c r="BE131" s="679">
        <f t="shared" si="144"/>
        <v>2682.9872999999998</v>
      </c>
      <c r="BF131" s="675"/>
      <c r="BG131" s="676">
        <f t="shared" si="107"/>
        <v>0</v>
      </c>
      <c r="BH131" s="677">
        <f t="shared" si="108"/>
        <v>0</v>
      </c>
      <c r="BI131" s="677">
        <f t="shared" si="145"/>
        <v>0</v>
      </c>
      <c r="BJ131" s="678">
        <f t="shared" si="146"/>
        <v>0</v>
      </c>
      <c r="BK131" s="679">
        <f t="shared" si="147"/>
        <v>0</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c r="B132" s="488">
        <v>88</v>
      </c>
      <c r="C132" s="489" t="s">
        <v>224</v>
      </c>
      <c r="D132" s="490" t="s">
        <v>493</v>
      </c>
      <c r="E132" s="491" t="s">
        <v>492</v>
      </c>
      <c r="F132" s="492"/>
      <c r="G132" s="493"/>
      <c r="H132" s="146" t="s">
        <v>486</v>
      </c>
      <c r="I132" s="494" t="str">
        <f t="shared" si="92"/>
        <v>ons</v>
      </c>
      <c r="J132" s="495" t="s">
        <v>487</v>
      </c>
      <c r="K132" s="151">
        <v>0</v>
      </c>
      <c r="L132" s="256">
        <f>IF($C$5&lt;3000,(Bron!H121*$C$5)+Bron!I121,(Bron!M121*$C$5)+Bron!N121)</f>
        <v>117064.79999999999</v>
      </c>
      <c r="M132" s="256"/>
      <c r="N132" s="496">
        <f t="shared" si="90"/>
        <v>19594.133293378571</v>
      </c>
      <c r="O132" s="497">
        <f t="shared" si="91"/>
        <v>5.9744821701074988</v>
      </c>
      <c r="P132" s="257">
        <f>IF($C$5&lt;3000,$AN$32*Bron!J121,$AN$32*Bron!O121)</f>
        <v>26971.829999999998</v>
      </c>
      <c r="Q132" s="257">
        <f>(-P132*(35.17/3.6*0.95)/3.5)</f>
        <v>-71521.372860714284</v>
      </c>
      <c r="R132" s="257">
        <f>IF($C$5&lt;3000,$AN$33*Bron!J121,$AN$33*Bron!O121)</f>
        <v>0</v>
      </c>
      <c r="S132" s="344"/>
      <c r="T132" s="258">
        <f t="shared" si="93"/>
        <v>1</v>
      </c>
      <c r="U132" s="259">
        <f t="shared" si="94"/>
        <v>117064.79999999999</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c r="AU132" s="676">
        <f t="shared" si="103"/>
        <v>0</v>
      </c>
      <c r="AV132" s="677">
        <f t="shared" si="104"/>
        <v>0</v>
      </c>
      <c r="AW132" s="677">
        <f t="shared" si="139"/>
        <v>0</v>
      </c>
      <c r="AX132" s="678">
        <f t="shared" si="140"/>
        <v>0</v>
      </c>
      <c r="AY132" s="679">
        <f t="shared" si="141"/>
        <v>0</v>
      </c>
      <c r="AZ132" s="675"/>
      <c r="BA132" s="676">
        <f t="shared" si="105"/>
        <v>0</v>
      </c>
      <c r="BB132" s="677">
        <f t="shared" si="106"/>
        <v>0</v>
      </c>
      <c r="BC132" s="677">
        <f t="shared" si="142"/>
        <v>0</v>
      </c>
      <c r="BD132" s="678">
        <f t="shared" si="143"/>
        <v>0</v>
      </c>
      <c r="BE132" s="679">
        <f t="shared" si="144"/>
        <v>0</v>
      </c>
      <c r="BF132" s="675">
        <v>0.1</v>
      </c>
      <c r="BG132" s="676">
        <f t="shared" si="107"/>
        <v>11706.48</v>
      </c>
      <c r="BH132" s="677">
        <f t="shared" si="108"/>
        <v>2697.183</v>
      </c>
      <c r="BI132" s="677">
        <f t="shared" si="145"/>
        <v>-7152.1372860714291</v>
      </c>
      <c r="BJ132" s="678">
        <f t="shared" si="146"/>
        <v>0</v>
      </c>
      <c r="BK132" s="679">
        <f t="shared" si="147"/>
        <v>1959.4133293378572</v>
      </c>
      <c r="BL132" s="675">
        <v>0.1</v>
      </c>
      <c r="BM132" s="676">
        <f t="shared" si="109"/>
        <v>11706.48</v>
      </c>
      <c r="BN132" s="677">
        <f t="shared" si="110"/>
        <v>2697.183</v>
      </c>
      <c r="BO132" s="677">
        <f t="shared" si="148"/>
        <v>-7152.1372860714291</v>
      </c>
      <c r="BP132" s="678">
        <f t="shared" si="149"/>
        <v>0</v>
      </c>
      <c r="BQ132" s="679">
        <f t="shared" si="150"/>
        <v>1959.4133293378572</v>
      </c>
      <c r="BR132" s="675">
        <v>0.1</v>
      </c>
      <c r="BS132" s="676">
        <f t="shared" si="111"/>
        <v>11706.48</v>
      </c>
      <c r="BT132" s="677">
        <f t="shared" si="112"/>
        <v>2697.183</v>
      </c>
      <c r="BU132" s="677">
        <f t="shared" si="151"/>
        <v>-7152.1372860714291</v>
      </c>
      <c r="BV132" s="678">
        <f t="shared" si="152"/>
        <v>0</v>
      </c>
      <c r="BW132" s="679">
        <f t="shared" si="153"/>
        <v>1959.4133293378572</v>
      </c>
      <c r="BX132" s="675">
        <v>0.1</v>
      </c>
      <c r="BY132" s="676">
        <f t="shared" si="113"/>
        <v>11706.48</v>
      </c>
      <c r="BZ132" s="677">
        <f t="shared" si="114"/>
        <v>2697.183</v>
      </c>
      <c r="CA132" s="677">
        <f t="shared" si="154"/>
        <v>-7152.1372860714291</v>
      </c>
      <c r="CB132" s="678">
        <f t="shared" si="155"/>
        <v>0</v>
      </c>
      <c r="CC132" s="679">
        <f t="shared" si="156"/>
        <v>1959.4133293378572</v>
      </c>
      <c r="CD132" s="675">
        <v>0.1</v>
      </c>
      <c r="CE132" s="676">
        <f t="shared" si="115"/>
        <v>11706.48</v>
      </c>
      <c r="CF132" s="677">
        <f t="shared" si="116"/>
        <v>2697.183</v>
      </c>
      <c r="CG132" s="677">
        <f t="shared" si="157"/>
        <v>-7152.1372860714291</v>
      </c>
      <c r="CH132" s="678">
        <f t="shared" si="158"/>
        <v>0</v>
      </c>
      <c r="CI132" s="679">
        <f t="shared" si="159"/>
        <v>1959.4133293378572</v>
      </c>
      <c r="CJ132" s="675">
        <v>0.1</v>
      </c>
      <c r="CK132" s="676">
        <f t="shared" si="117"/>
        <v>11706.48</v>
      </c>
      <c r="CL132" s="677">
        <f t="shared" si="118"/>
        <v>2697.183</v>
      </c>
      <c r="CM132" s="677">
        <f t="shared" si="160"/>
        <v>-7152.1372860714291</v>
      </c>
      <c r="CN132" s="678">
        <f t="shared" si="161"/>
        <v>0</v>
      </c>
      <c r="CO132" s="679">
        <f t="shared" si="162"/>
        <v>1959.4133293378572</v>
      </c>
      <c r="CP132" s="675">
        <v>0.1</v>
      </c>
      <c r="CQ132" s="676">
        <f t="shared" si="119"/>
        <v>11706.48</v>
      </c>
      <c r="CR132" s="677">
        <f t="shared" si="120"/>
        <v>2697.183</v>
      </c>
      <c r="CS132" s="677">
        <f t="shared" si="163"/>
        <v>-7152.1372860714291</v>
      </c>
      <c r="CT132" s="678">
        <f t="shared" si="164"/>
        <v>0</v>
      </c>
      <c r="CU132" s="679">
        <f t="shared" si="165"/>
        <v>1959.4133293378572</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v>0.3</v>
      </c>
      <c r="DU132" s="676">
        <f t="shared" si="121"/>
        <v>35119.439999999995</v>
      </c>
      <c r="DV132" s="677">
        <f t="shared" si="122"/>
        <v>8091.5489999999991</v>
      </c>
      <c r="DW132" s="677">
        <f t="shared" si="166"/>
        <v>-21456.411858214284</v>
      </c>
      <c r="DX132" s="678">
        <f t="shared" si="167"/>
        <v>0</v>
      </c>
      <c r="DY132" s="679">
        <f t="shared" si="168"/>
        <v>5878.2399880135708</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486</v>
      </c>
      <c r="I133" s="494" t="str">
        <f t="shared" si="92"/>
        <v>ons</v>
      </c>
      <c r="J133" s="495" t="s">
        <v>487</v>
      </c>
      <c r="K133" s="151">
        <v>0</v>
      </c>
      <c r="L133" s="256">
        <f>IF($C$5&lt;3000,(Bron!H122*$C$5)+Bron!I122,(Bron!M122*$C$5)+Bron!N122)</f>
        <v>3782.5919999999996</v>
      </c>
      <c r="M133" s="256"/>
      <c r="N133" s="496">
        <f t="shared" si="90"/>
        <v>2649.864</v>
      </c>
      <c r="O133" s="497">
        <f t="shared" si="91"/>
        <v>1.4274664662035483</v>
      </c>
      <c r="P133" s="257">
        <f>IF($C$5&lt;3000,$AN$32*Bron!J122,$AN$32*Bron!O122)</f>
        <v>1892.76</v>
      </c>
      <c r="Q133" s="257"/>
      <c r="R133" s="257">
        <f>IF($C$5&lt;3000,$AN$33*Bron!J122,$AN$33*Bron!O122)</f>
        <v>0</v>
      </c>
      <c r="S133" s="344"/>
      <c r="T133" s="258">
        <f t="shared" si="93"/>
        <v>1</v>
      </c>
      <c r="U133" s="259">
        <f t="shared" si="94"/>
        <v>3782.5919999999996</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v>1</v>
      </c>
      <c r="BA133" s="676">
        <f t="shared" si="105"/>
        <v>3782.5919999999996</v>
      </c>
      <c r="BB133" s="677">
        <f t="shared" si="106"/>
        <v>1892.76</v>
      </c>
      <c r="BC133" s="677">
        <f t="shared" si="142"/>
        <v>0</v>
      </c>
      <c r="BD133" s="678">
        <f t="shared" si="143"/>
        <v>0</v>
      </c>
      <c r="BE133" s="679">
        <f t="shared" si="144"/>
        <v>2649.864</v>
      </c>
      <c r="BF133" s="675"/>
      <c r="BG133" s="676">
        <f t="shared" si="107"/>
        <v>0</v>
      </c>
      <c r="BH133" s="677">
        <f t="shared" si="108"/>
        <v>0</v>
      </c>
      <c r="BI133" s="677">
        <f t="shared" si="145"/>
        <v>0</v>
      </c>
      <c r="BJ133" s="678">
        <f t="shared" si="146"/>
        <v>0</v>
      </c>
      <c r="BK133" s="679">
        <f t="shared" si="147"/>
        <v>0</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486</v>
      </c>
      <c r="I134" s="494" t="str">
        <f t="shared" si="92"/>
        <v>ons</v>
      </c>
      <c r="J134" s="495" t="s">
        <v>487</v>
      </c>
      <c r="K134" s="151">
        <v>0</v>
      </c>
      <c r="L134" s="256">
        <f>IF($C$5&lt;3000,(Bron!H123*$C$5)+Bron!I123,(Bron!M123*$C$5)+Bron!N123)</f>
        <v>3782.5919999999996</v>
      </c>
      <c r="M134" s="256"/>
      <c r="N134" s="496">
        <f t="shared" si="90"/>
        <v>662.46600000000001</v>
      </c>
      <c r="O134" s="497">
        <f t="shared" si="91"/>
        <v>5.7098658648141933</v>
      </c>
      <c r="P134" s="257">
        <f>IF($C$5&lt;3000,$AN$32*Bron!J123,$AN$32*Bron!O123)</f>
        <v>473.19</v>
      </c>
      <c r="Q134" s="257"/>
      <c r="R134" s="257">
        <f>IF($C$5&lt;3000,$AN$33*Bron!J123,$AN$33*Bron!O123)</f>
        <v>0</v>
      </c>
      <c r="S134" s="344"/>
      <c r="T134" s="258">
        <f t="shared" si="93"/>
        <v>1</v>
      </c>
      <c r="U134" s="259">
        <f t="shared" si="94"/>
        <v>3782.5919999999996</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c r="AU134" s="676">
        <f t="shared" si="103"/>
        <v>0</v>
      </c>
      <c r="AV134" s="677">
        <f t="shared" si="104"/>
        <v>0</v>
      </c>
      <c r="AW134" s="677">
        <f t="shared" si="139"/>
        <v>0</v>
      </c>
      <c r="AX134" s="678">
        <f t="shared" si="140"/>
        <v>0</v>
      </c>
      <c r="AY134" s="679">
        <f t="shared" si="141"/>
        <v>0</v>
      </c>
      <c r="AZ134" s="675">
        <v>1</v>
      </c>
      <c r="BA134" s="676">
        <f t="shared" si="105"/>
        <v>3782.5919999999996</v>
      </c>
      <c r="BB134" s="677">
        <f t="shared" si="106"/>
        <v>473.19</v>
      </c>
      <c r="BC134" s="677">
        <f t="shared" si="142"/>
        <v>0</v>
      </c>
      <c r="BD134" s="678">
        <f t="shared" si="143"/>
        <v>0</v>
      </c>
      <c r="BE134" s="679">
        <f t="shared" si="144"/>
        <v>662.46600000000001</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c r="B135" s="488">
        <v>91</v>
      </c>
      <c r="C135" s="489" t="s">
        <v>224</v>
      </c>
      <c r="D135" s="490" t="s">
        <v>228</v>
      </c>
      <c r="E135" s="491" t="s">
        <v>229</v>
      </c>
      <c r="F135" s="492"/>
      <c r="G135" s="493"/>
      <c r="H135" s="146" t="s">
        <v>97</v>
      </c>
      <c r="I135" s="494" t="str">
        <f t="shared" si="92"/>
        <v>n.v.t.</v>
      </c>
      <c r="J135" s="495" t="s">
        <v>487</v>
      </c>
      <c r="K135" s="151">
        <v>0</v>
      </c>
      <c r="L135" s="256">
        <f>IF($C$5&lt;3000,(Bron!H124*$C$5)+Bron!I124,(Bron!M124*$C$5)+Bron!N124)</f>
        <v>1891.2959999999998</v>
      </c>
      <c r="M135" s="256"/>
      <c r="N135" s="496">
        <f t="shared" si="90"/>
        <v>1656.1650000000002</v>
      </c>
      <c r="O135" s="497">
        <f t="shared" si="91"/>
        <v>1.1419731729628386</v>
      </c>
      <c r="P135" s="257">
        <f>IF($C$5&lt;3000,$AN$32*Bron!J124,$AN$32*Bron!O124)</f>
        <v>1182.9750000000001</v>
      </c>
      <c r="Q135" s="257"/>
      <c r="R135" s="257">
        <f>IF($C$5&lt;3000,$AN$33*Bron!J124,$AN$33*Bron!O124)</f>
        <v>0</v>
      </c>
      <c r="S135" s="344"/>
      <c r="T135" s="258">
        <f t="shared" si="93"/>
        <v>0</v>
      </c>
      <c r="U135" s="259">
        <f t="shared" si="94"/>
        <v>0</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c r="AU135" s="676">
        <f t="shared" si="103"/>
        <v>0</v>
      </c>
      <c r="AV135" s="677">
        <f t="shared" si="104"/>
        <v>0</v>
      </c>
      <c r="AW135" s="677">
        <f t="shared" si="139"/>
        <v>0</v>
      </c>
      <c r="AX135" s="678">
        <f t="shared" si="140"/>
        <v>0</v>
      </c>
      <c r="AY135" s="679">
        <f t="shared" si="141"/>
        <v>0</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486</v>
      </c>
      <c r="I136" s="494" t="str">
        <f t="shared" si="92"/>
        <v>ons</v>
      </c>
      <c r="J136" s="495"/>
      <c r="K136" s="151">
        <v>1</v>
      </c>
      <c r="L136" s="256"/>
      <c r="M136" s="256">
        <f>IF($C$5&lt;3000,(Bron!H125*$C$5)+Bron!I125,(Bron!M125*$C$5)+Bron!N125)</f>
        <v>10402.127999999999</v>
      </c>
      <c r="N136" s="496">
        <f t="shared" si="90"/>
        <v>2318.6310000000003</v>
      </c>
      <c r="O136" s="497">
        <f t="shared" si="91"/>
        <v>4.4863231794968659</v>
      </c>
      <c r="P136" s="257">
        <f>IF($C$5&lt;3000,$AN$32*Bron!J125,$AN$32*Bron!O125)</f>
        <v>1656.1650000000002</v>
      </c>
      <c r="Q136" s="257"/>
      <c r="R136" s="257">
        <f>IF($C$5&lt;3000,$AN$33*Bron!J125,$AN$33*Bron!O125)</f>
        <v>0</v>
      </c>
      <c r="S136" s="344"/>
      <c r="T136" s="258">
        <f t="shared" si="93"/>
        <v>1</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858</v>
      </c>
      <c r="I137" s="494" t="str">
        <f t="shared" si="92"/>
        <v/>
      </c>
      <c r="J137" s="495"/>
      <c r="K137" s="151">
        <v>0</v>
      </c>
      <c r="L137" s="256"/>
      <c r="M137" s="256">
        <f>IF($C$5&lt;3000,(Bron!H126*$C$5)+Bron!I126,(Bron!M126*$C$5)+Bron!N126)</f>
        <v>0</v>
      </c>
      <c r="N137" s="496">
        <f t="shared" si="90"/>
        <v>462.85607200000004</v>
      </c>
      <c r="O137" s="497">
        <f t="shared" si="91"/>
        <v>0</v>
      </c>
      <c r="P137" s="257">
        <f>IF($C$5&lt;3000,$AN$32*Bron!J126,$AN$32*Bron!O126)</f>
        <v>0</v>
      </c>
      <c r="Q137" s="257">
        <f>IF($C$5&lt;3000,$AN$31*Bron!K126,$AN$31*Bron!P126)</f>
        <v>1822.268</v>
      </c>
      <c r="R137" s="257">
        <f>IF($C$5&lt;3000,$AN$33*Bron!J126,$AN$33*Bron!O126)</f>
        <v>0</v>
      </c>
      <c r="S137" s="344"/>
      <c r="T137" s="258">
        <f t="shared" si="93"/>
        <v>0</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c r="AU137" s="676">
        <f t="shared" si="103"/>
        <v>0</v>
      </c>
      <c r="AV137" s="677">
        <f t="shared" si="104"/>
        <v>0</v>
      </c>
      <c r="AW137" s="677">
        <f t="shared" si="139"/>
        <v>0</v>
      </c>
      <c r="AX137" s="678">
        <f t="shared" si="140"/>
        <v>0</v>
      </c>
      <c r="AY137" s="679">
        <f t="shared" si="141"/>
        <v>0</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c r="B138" s="488">
        <v>94</v>
      </c>
      <c r="C138" s="489" t="s">
        <v>224</v>
      </c>
      <c r="D138" s="490" t="s">
        <v>21</v>
      </c>
      <c r="E138" s="491" t="s">
        <v>424</v>
      </c>
      <c r="F138" s="492"/>
      <c r="G138" s="493"/>
      <c r="H138" s="146" t="s">
        <v>97</v>
      </c>
      <c r="I138" s="494" t="str">
        <f t="shared" si="92"/>
        <v>n.v.t.</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c r="B139" s="488">
        <v>95</v>
      </c>
      <c r="C139" s="489" t="s">
        <v>224</v>
      </c>
      <c r="D139" s="490" t="s">
        <v>493</v>
      </c>
      <c r="E139" s="491" t="s">
        <v>601</v>
      </c>
      <c r="F139" s="492"/>
      <c r="G139" s="493"/>
      <c r="H139" s="146" t="s">
        <v>486</v>
      </c>
      <c r="I139" s="494" t="str">
        <f t="shared" si="92"/>
        <v>ons</v>
      </c>
      <c r="J139" s="495" t="s">
        <v>487</v>
      </c>
      <c r="K139" s="151">
        <v>1</v>
      </c>
      <c r="L139" s="256">
        <f>IF($C$5&lt;3000,(Bron!H128*$C$5)+Bron!I128,(Bron!M128*$C$5)+Bron!N128)</f>
        <v>31521.599999999999</v>
      </c>
      <c r="M139" s="256"/>
      <c r="N139" s="496">
        <f t="shared" si="90"/>
        <v>10599.456</v>
      </c>
      <c r="O139" s="497">
        <f t="shared" si="91"/>
        <v>2.9738884712573928</v>
      </c>
      <c r="P139" s="257">
        <f>IF($C$5&lt;3000,$AN$32*Bron!J128,$AN$32*Bron!O128)</f>
        <v>7571.04</v>
      </c>
      <c r="Q139" s="257"/>
      <c r="R139" s="257">
        <f>IF($C$5&lt;3000,$AN$33*Bron!J128,$AN$33*Bron!O128)</f>
        <v>0</v>
      </c>
      <c r="S139" s="344"/>
      <c r="T139" s="258">
        <f t="shared" si="93"/>
        <v>1</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486</v>
      </c>
      <c r="I140" s="494" t="str">
        <f t="shared" si="92"/>
        <v>ons</v>
      </c>
      <c r="J140" s="495" t="s">
        <v>487</v>
      </c>
      <c r="K140" s="151">
        <v>0</v>
      </c>
      <c r="L140" s="256">
        <f>IF($C$5&lt;3000,(Bron!H129*$C$5)+Bron!I129,(Bron!M129*$C$5)+Bron!N129)</f>
        <v>1260.864</v>
      </c>
      <c r="M140" s="256"/>
      <c r="N140" s="496">
        <f t="shared" si="90"/>
        <v>662.46600000000001</v>
      </c>
      <c r="O140" s="497">
        <f t="shared" si="91"/>
        <v>1.9032886216047313</v>
      </c>
      <c r="P140" s="257">
        <f>IF($C$5&lt;3000,$AN$32*Bron!J129,$AN$32*Bron!O129)</f>
        <v>473.19</v>
      </c>
      <c r="Q140" s="257"/>
      <c r="R140" s="257">
        <f>IF($C$5&lt;3000,$AN$33*Bron!J129,$AN$33*Bron!O129)</f>
        <v>0</v>
      </c>
      <c r="S140" s="344"/>
      <c r="T140" s="258">
        <f t="shared" si="93"/>
        <v>1</v>
      </c>
      <c r="U140" s="259">
        <f t="shared" si="94"/>
        <v>1260.864</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v>1</v>
      </c>
      <c r="BA140" s="676">
        <f t="shared" si="105"/>
        <v>1260.864</v>
      </c>
      <c r="BB140" s="677">
        <f t="shared" si="106"/>
        <v>473.19</v>
      </c>
      <c r="BC140" s="677">
        <f t="shared" si="142"/>
        <v>0</v>
      </c>
      <c r="BD140" s="678">
        <f t="shared" si="143"/>
        <v>0</v>
      </c>
      <c r="BE140" s="679">
        <f t="shared" si="144"/>
        <v>662.46600000000001</v>
      </c>
      <c r="BF140" s="675"/>
      <c r="BG140" s="676">
        <f t="shared" si="107"/>
        <v>0</v>
      </c>
      <c r="BH140" s="677">
        <f t="shared" si="108"/>
        <v>0</v>
      </c>
      <c r="BI140" s="677">
        <f t="shared" si="145"/>
        <v>0</v>
      </c>
      <c r="BJ140" s="678">
        <f t="shared" si="146"/>
        <v>0</v>
      </c>
      <c r="BK140" s="679">
        <f t="shared" si="147"/>
        <v>0</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c r="B141" s="488">
        <v>97</v>
      </c>
      <c r="C141" s="489" t="s">
        <v>224</v>
      </c>
      <c r="D141" s="490" t="s">
        <v>493</v>
      </c>
      <c r="E141" s="491" t="s">
        <v>442</v>
      </c>
      <c r="F141" s="492"/>
      <c r="G141" s="493"/>
      <c r="H141" s="146" t="s">
        <v>97</v>
      </c>
      <c r="I141" s="494" t="str">
        <f t="shared" si="92"/>
        <v>n.v.t.</v>
      </c>
      <c r="J141" s="495" t="s">
        <v>487</v>
      </c>
      <c r="K141" s="151">
        <v>0</v>
      </c>
      <c r="L141" s="256">
        <f>IF($C$5&lt;3000,(Bron!H130*$C$5)+Bron!I130,(Bron!M130*$C$5)+Bron!N130)</f>
        <v>192281.75999999998</v>
      </c>
      <c r="M141" s="256"/>
      <c r="N141" s="496">
        <f t="shared" si="90"/>
        <v>1324.932</v>
      </c>
      <c r="O141" s="497">
        <f t="shared" si="91"/>
        <v>145.12575739736076</v>
      </c>
      <c r="P141" s="257">
        <f>IF($C$5&lt;3000,$AN$32*Bron!J130,$AN$32*Bron!O130)</f>
        <v>946.38</v>
      </c>
      <c r="Q141" s="257"/>
      <c r="R141" s="257">
        <f>IF($C$5&lt;3000,$AN$33*Bron!J130,$AN$33*Bron!O130)</f>
        <v>0</v>
      </c>
      <c r="S141" s="344"/>
      <c r="T141" s="258">
        <f t="shared" si="93"/>
        <v>0</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c r="B142" s="488">
        <v>98</v>
      </c>
      <c r="C142" s="489" t="s">
        <v>224</v>
      </c>
      <c r="D142" s="490" t="s">
        <v>493</v>
      </c>
      <c r="E142" s="491" t="s">
        <v>443</v>
      </c>
      <c r="F142" s="492"/>
      <c r="G142" s="493"/>
      <c r="H142" s="146" t="s">
        <v>97</v>
      </c>
      <c r="I142" s="494" t="str">
        <f t="shared" si="92"/>
        <v>n.v.t.</v>
      </c>
      <c r="J142" s="495"/>
      <c r="K142" s="151">
        <v>0</v>
      </c>
      <c r="L142" s="256"/>
      <c r="M142" s="256">
        <f>IF($C$5&lt;3000,(Bron!H131*$C$5)+Bron!I131,(Bron!M131*$C$5)+Bron!N131)</f>
        <v>375000</v>
      </c>
      <c r="N142" s="496">
        <f t="shared" si="90"/>
        <v>38359.538388958332</v>
      </c>
      <c r="O142" s="497">
        <f t="shared" si="91"/>
        <v>9.7759257735995728</v>
      </c>
      <c r="P142" s="257">
        <f>IF($C$5&lt;3000,$AN$32*Bron!J131,$AN$32*Bron!O131)</f>
        <v>47319</v>
      </c>
      <c r="Q142" s="257">
        <f>(-P142*(35.17/3.6*0.95)/4)</f>
        <v>-109791.58114583332</v>
      </c>
      <c r="R142" s="257">
        <f>IF($C$5&lt;3000,$AN$33*Bron!J131,$AN$33*Bron!O131)</f>
        <v>0</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c r="B143" s="488">
        <v>99</v>
      </c>
      <c r="C143" s="489" t="s">
        <v>234</v>
      </c>
      <c r="D143" s="490" t="s">
        <v>4</v>
      </c>
      <c r="E143" s="491" t="s">
        <v>235</v>
      </c>
      <c r="F143" s="492"/>
      <c r="G143" s="493"/>
      <c r="H143" s="146" t="s">
        <v>97</v>
      </c>
      <c r="I143" s="494" t="str">
        <f t="shared" si="92"/>
        <v>n.v.t.</v>
      </c>
      <c r="J143" s="495" t="s">
        <v>489</v>
      </c>
      <c r="K143" s="151">
        <v>0</v>
      </c>
      <c r="L143" s="256">
        <f>IF($C$5&lt;3000,(Bron!H132*$C$5)+Bron!I132,(Bron!M132*$C$5)+Bron!N132)</f>
        <v>11347.776</v>
      </c>
      <c r="M143" s="256"/>
      <c r="N143" s="496">
        <f t="shared" si="90"/>
        <v>3973.5529600000004</v>
      </c>
      <c r="O143" s="497">
        <f t="shared" si="91"/>
        <v>2.8558260363541246</v>
      </c>
      <c r="P143" s="257">
        <f>IF($C$5&lt;3000,$AN$32*Bron!J132,$AN$32*Bron!O132)</f>
        <v>2365.9500000000003</v>
      </c>
      <c r="Q143" s="257">
        <f>IF($C$5&lt;3000,$AN$31*Bron!K132,$AN$31*Bron!P132)</f>
        <v>2603.2400000000002</v>
      </c>
      <c r="R143" s="257">
        <f>IF($C$5&lt;3000,$AN$33*Bron!J132,$AN$33*Bron!O132)</f>
        <v>0</v>
      </c>
      <c r="S143" s="344"/>
      <c r="T143" s="258">
        <f t="shared" si="93"/>
        <v>0</v>
      </c>
      <c r="U143" s="259">
        <f t="shared" si="94"/>
        <v>0</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c r="BA143" s="676">
        <f t="shared" si="105"/>
        <v>0</v>
      </c>
      <c r="BB143" s="677">
        <f t="shared" si="106"/>
        <v>0</v>
      </c>
      <c r="BC143" s="677">
        <f t="shared" si="142"/>
        <v>0</v>
      </c>
      <c r="BD143" s="678">
        <f t="shared" si="143"/>
        <v>0</v>
      </c>
      <c r="BE143" s="679">
        <f t="shared" si="144"/>
        <v>0</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c r="B144" s="488">
        <v>100</v>
      </c>
      <c r="C144" s="489" t="s">
        <v>234</v>
      </c>
      <c r="D144" s="490" t="s">
        <v>236</v>
      </c>
      <c r="E144" s="491" t="s">
        <v>237</v>
      </c>
      <c r="F144" s="492"/>
      <c r="G144" s="493"/>
      <c r="H144" s="146" t="s">
        <v>97</v>
      </c>
      <c r="I144" s="494" t="str">
        <f t="shared" si="92"/>
        <v>n.v.t.</v>
      </c>
      <c r="J144" s="495" t="s">
        <v>487</v>
      </c>
      <c r="K144" s="151">
        <v>0</v>
      </c>
      <c r="L144" s="256">
        <f>IF($C$5&lt;3000,(Bron!H133*$C$5)+Bron!I133,(Bron!M133*$C$5)+Bron!N133)</f>
        <v>40978.080000000002</v>
      </c>
      <c r="M144" s="256"/>
      <c r="N144" s="496">
        <f t="shared" si="90"/>
        <v>18549.048000000003</v>
      </c>
      <c r="O144" s="497">
        <f t="shared" si="91"/>
        <v>2.2091742929340632</v>
      </c>
      <c r="P144" s="257">
        <f>IF($C$5&lt;3000,$AN$32*Bron!J133,$AN$32*Bron!O133)</f>
        <v>13249.320000000002</v>
      </c>
      <c r="Q144" s="257"/>
      <c r="R144" s="257">
        <f>IF($C$5&lt;3000,$AN$33*Bron!J133,$AN$33*Bron!O133)</f>
        <v>0</v>
      </c>
      <c r="S144" s="344"/>
      <c r="T144" s="258">
        <f t="shared" si="93"/>
        <v>0</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c r="B145" s="488">
        <v>101</v>
      </c>
      <c r="C145" s="489" t="s">
        <v>234</v>
      </c>
      <c r="D145" s="490" t="s">
        <v>22</v>
      </c>
      <c r="E145" s="491" t="s">
        <v>238</v>
      </c>
      <c r="F145" s="492"/>
      <c r="G145" s="493"/>
      <c r="H145" s="146" t="s">
        <v>97</v>
      </c>
      <c r="I145" s="494" t="str">
        <f t="shared" si="92"/>
        <v>n.v.t.</v>
      </c>
      <c r="J145" s="495" t="s">
        <v>487</v>
      </c>
      <c r="K145" s="151">
        <v>0</v>
      </c>
      <c r="L145" s="256">
        <f>IF($C$5&lt;3000,(Bron!H134*$C$5)+Bron!I134,(Bron!M134*$C$5)+Bron!N134)</f>
        <v>21434.687999999998</v>
      </c>
      <c r="M145" s="256"/>
      <c r="N145" s="496">
        <f t="shared" si="90"/>
        <v>2314.2803600000002</v>
      </c>
      <c r="O145" s="497">
        <f t="shared" si="91"/>
        <v>9.2619236504258264</v>
      </c>
      <c r="P145" s="257">
        <f>IF($C$5&lt;3000,$AN$32*Bron!J134,$AN$32*Bron!O134)</f>
        <v>0</v>
      </c>
      <c r="Q145" s="257">
        <f>IF($C$5&lt;3000,$AN$31*Bron!K134,$AN$31*Bron!P134)</f>
        <v>9111.34</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c r="B146" s="488">
        <v>102</v>
      </c>
      <c r="C146" s="489" t="s">
        <v>234</v>
      </c>
      <c r="D146" s="490" t="s">
        <v>239</v>
      </c>
      <c r="E146" s="491" t="s">
        <v>240</v>
      </c>
      <c r="F146" s="492"/>
      <c r="G146" s="493"/>
      <c r="H146" s="146" t="s">
        <v>97</v>
      </c>
      <c r="I146" s="494" t="str">
        <f t="shared" si="92"/>
        <v>n.v.t.</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c r="B147" s="488">
        <v>103</v>
      </c>
      <c r="C147" s="489" t="s">
        <v>234</v>
      </c>
      <c r="D147" s="490" t="s">
        <v>241</v>
      </c>
      <c r="E147" s="491" t="s">
        <v>242</v>
      </c>
      <c r="F147" s="492"/>
      <c r="G147" s="493"/>
      <c r="H147" s="146" t="s">
        <v>97</v>
      </c>
      <c r="I147" s="494" t="str">
        <f t="shared" si="92"/>
        <v>n.v.t.</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c r="B148" s="488">
        <v>104</v>
      </c>
      <c r="C148" s="489" t="s">
        <v>234</v>
      </c>
      <c r="D148" s="490" t="s">
        <v>243</v>
      </c>
      <c r="E148" s="491" t="s">
        <v>244</v>
      </c>
      <c r="F148" s="492"/>
      <c r="G148" s="493"/>
      <c r="H148" s="146" t="s">
        <v>97</v>
      </c>
      <c r="I148" s="494" t="str">
        <f t="shared" si="92"/>
        <v>n.v.t.</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c r="B149" s="488">
        <v>105</v>
      </c>
      <c r="C149" s="489" t="s">
        <v>234</v>
      </c>
      <c r="D149" s="490" t="s">
        <v>245</v>
      </c>
      <c r="E149" s="491" t="s">
        <v>246</v>
      </c>
      <c r="F149" s="492"/>
      <c r="G149" s="493"/>
      <c r="H149" s="146" t="s">
        <v>97</v>
      </c>
      <c r="I149" s="494" t="str">
        <f t="shared" si="92"/>
        <v>n.v.t.</v>
      </c>
      <c r="J149" s="495"/>
      <c r="K149" s="151">
        <v>0</v>
      </c>
      <c r="L149" s="256"/>
      <c r="M149" s="256">
        <f>IF($C$5&lt;3000,(Bron!H138*$C$5)+Bron!I138,(Bron!M138*$C$5)+Bron!N138)</f>
        <v>1891.2959999999998</v>
      </c>
      <c r="N149" s="496">
        <f t="shared" si="90"/>
        <v>1653.0574000000001</v>
      </c>
      <c r="O149" s="497">
        <f t="shared" si="91"/>
        <v>1.1441199803467197</v>
      </c>
      <c r="P149" s="257">
        <f>IF($C$5&lt;3000,$AN$32*Bron!J138,$AN$32*Bron!O138)</f>
        <v>0</v>
      </c>
      <c r="Q149" s="257">
        <f>IF($C$5&lt;3000,$AN$31*Bron!K138,$AN$31*Bron!P138)</f>
        <v>6508.1</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c r="B150" s="488">
        <v>106</v>
      </c>
      <c r="C150" s="489" t="s">
        <v>234</v>
      </c>
      <c r="D150" s="490" t="s">
        <v>493</v>
      </c>
      <c r="E150" s="491" t="s">
        <v>579</v>
      </c>
      <c r="F150" s="492"/>
      <c r="G150" s="493"/>
      <c r="H150" s="146" t="s">
        <v>97</v>
      </c>
      <c r="I150" s="494" t="str">
        <f t="shared" si="92"/>
        <v>n.v.t.</v>
      </c>
      <c r="J150" s="495" t="s">
        <v>487</v>
      </c>
      <c r="K150" s="151">
        <v>0.8</v>
      </c>
      <c r="L150" s="256">
        <f>IF($C$5&lt;3000,(Bron!H139*$C$5)+Bron!I139,(Bron!M139*$C$5)+Bron!N139)</f>
        <v>19543.392</v>
      </c>
      <c r="M150" s="256"/>
      <c r="N150" s="496">
        <f t="shared" si="90"/>
        <v>2314.2803600000002</v>
      </c>
      <c r="O150" s="497">
        <f t="shared" si="91"/>
        <v>8.444695093035314</v>
      </c>
      <c r="P150" s="257">
        <f>IF($C$5&lt;3000,$AN$32*Bron!J139,$AN$32*Bron!O139)</f>
        <v>0</v>
      </c>
      <c r="Q150" s="257">
        <f>IF($C$5&lt;3000,$AN$31*Bron!K139,$AN$31*Bron!P139)</f>
        <v>9111.34</v>
      </c>
      <c r="R150" s="257">
        <f>IF($C$5&lt;3000,$AN$33*Bron!J139,$AN$33*Bron!O139)</f>
        <v>0</v>
      </c>
      <c r="S150" s="344"/>
      <c r="T150" s="258">
        <f t="shared" si="93"/>
        <v>0.8</v>
      </c>
      <c r="U150" s="259">
        <f t="shared" si="94"/>
        <v>0</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v>0</v>
      </c>
      <c r="BA150" s="676">
        <f t="shared" si="105"/>
        <v>0</v>
      </c>
      <c r="BB150" s="677">
        <f t="shared" si="106"/>
        <v>0</v>
      </c>
      <c r="BC150" s="677">
        <f t="shared" si="142"/>
        <v>0</v>
      </c>
      <c r="BD150" s="678">
        <f t="shared" si="143"/>
        <v>0</v>
      </c>
      <c r="BE150" s="679">
        <f t="shared" si="144"/>
        <v>0</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c r="B151" s="488">
        <v>107</v>
      </c>
      <c r="C151" s="489" t="s">
        <v>234</v>
      </c>
      <c r="D151" s="490" t="s">
        <v>493</v>
      </c>
      <c r="E151" s="491" t="s">
        <v>584</v>
      </c>
      <c r="F151" s="492"/>
      <c r="G151" s="493"/>
      <c r="H151" s="146" t="s">
        <v>97</v>
      </c>
      <c r="I151" s="494" t="str">
        <f t="shared" si="92"/>
        <v>n.v.t.</v>
      </c>
      <c r="J151" s="495" t="s">
        <v>487</v>
      </c>
      <c r="K151" s="151">
        <v>0</v>
      </c>
      <c r="L151" s="256">
        <f>IF($C$5&lt;3000,(Bron!H140*$C$5)+Bron!I140,(Bron!M140*$C$5)+Bron!N140)</f>
        <v>10402.127999999999</v>
      </c>
      <c r="M151" s="256"/>
      <c r="N151" s="496">
        <f t="shared" si="90"/>
        <v>3973.5529600000004</v>
      </c>
      <c r="O151" s="497">
        <f t="shared" si="91"/>
        <v>2.617840533324614</v>
      </c>
      <c r="P151" s="257">
        <f>IF($C$5&lt;3000,$AN$32*Bron!J140,$AN$32*Bron!O140)</f>
        <v>2365.9500000000003</v>
      </c>
      <c r="Q151" s="257">
        <f>IF($C$5&lt;3000,$AN$31*Bron!K140,$AN$31*Bron!P140)</f>
        <v>2603.2400000000002</v>
      </c>
      <c r="R151" s="257">
        <f>IF($C$5&lt;3000,$AN$33*Bron!J140,$AN$33*Bron!O140)</f>
        <v>0</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c r="B152" s="488">
        <v>108</v>
      </c>
      <c r="C152" s="489" t="s">
        <v>234</v>
      </c>
      <c r="D152" s="490" t="s">
        <v>493</v>
      </c>
      <c r="E152" s="491" t="s">
        <v>605</v>
      </c>
      <c r="F152" s="492"/>
      <c r="G152" s="493"/>
      <c r="H152" s="146" t="s">
        <v>97</v>
      </c>
      <c r="I152" s="494" t="str">
        <f t="shared" si="92"/>
        <v>n.v.t.</v>
      </c>
      <c r="J152" s="495"/>
      <c r="K152" s="151">
        <v>0</v>
      </c>
      <c r="L152" s="256"/>
      <c r="M152" s="256">
        <f>IF($C$5&lt;3000,(Bron!H141*$C$5)+Bron!I141,(Bron!M141*$C$5)+Bron!N141)</f>
        <v>113477.75999999999</v>
      </c>
      <c r="N152" s="496">
        <f t="shared" si="90"/>
        <v>23848.775999999998</v>
      </c>
      <c r="O152" s="497">
        <f t="shared" si="91"/>
        <v>4.7582215540118291</v>
      </c>
      <c r="P152" s="257">
        <f>IF($C$5&lt;3000,$AN$32*Bron!J141,$AN$32*Bron!O141)</f>
        <v>17034.84</v>
      </c>
      <c r="Q152" s="257">
        <f>IF($C$5&lt;3000,$AN$31*Bron!K141,$AN$31*Bron!P141)</f>
        <v>0</v>
      </c>
      <c r="R152" s="257">
        <f>IF($C$5&lt;3000,$AN$33*Bron!J141,$AN$33*Bron!O141)</f>
        <v>0</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c r="B153" s="488">
        <v>109</v>
      </c>
      <c r="C153" s="489" t="s">
        <v>234</v>
      </c>
      <c r="D153" s="490" t="s">
        <v>493</v>
      </c>
      <c r="E153" s="491" t="s">
        <v>608</v>
      </c>
      <c r="F153" s="492"/>
      <c r="G153" s="493"/>
      <c r="H153" s="146" t="s">
        <v>97</v>
      </c>
      <c r="I153" s="494" t="str">
        <f t="shared" si="92"/>
        <v>n.v.t.</v>
      </c>
      <c r="J153" s="495"/>
      <c r="K153" s="151">
        <v>0</v>
      </c>
      <c r="L153" s="256"/>
      <c r="M153" s="256">
        <f>IF($C$5&lt;3000,(Bron!H142*$C$5)+Bron!I142,(Bron!M142*$C$5)+Bron!N142)</f>
        <v>69347.51999999999</v>
      </c>
      <c r="N153" s="496">
        <f t="shared" si="90"/>
        <v>15899.183999999997</v>
      </c>
      <c r="O153" s="497">
        <f t="shared" si="91"/>
        <v>4.3617030911775094</v>
      </c>
      <c r="P153" s="257">
        <f>IF($C$5&lt;3000,$AN$32*Bron!J142,$AN$32*Bron!O142)</f>
        <v>11356.56</v>
      </c>
      <c r="Q153" s="257">
        <f>IF($C$5&lt;3000,$AN$31*Bron!K142,$AN$31*Bron!P142)</f>
        <v>0</v>
      </c>
      <c r="R153" s="257">
        <f>IF($C$5&lt;3000,$AN$33*Bron!J142,$AN$33*Bron!O142)</f>
        <v>0</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486</v>
      </c>
      <c r="I154" s="494" t="str">
        <f t="shared" si="92"/>
        <v>ons</v>
      </c>
      <c r="J154" s="495" t="s">
        <v>487</v>
      </c>
      <c r="K154" s="151">
        <v>0</v>
      </c>
      <c r="L154" s="256">
        <f>IF($C$5&lt;3000,(Bron!H143*$C$5)+Bron!I143,(Bron!M143*$C$5)+Bron!N143)</f>
        <v>3814.1135999999997</v>
      </c>
      <c r="M154" s="256"/>
      <c r="N154" s="496">
        <f t="shared" si="90"/>
        <v>662.46600000000001</v>
      </c>
      <c r="O154" s="497">
        <f t="shared" si="91"/>
        <v>5.7574480803543118</v>
      </c>
      <c r="P154" s="257">
        <f>IF($C$5&lt;3000,$AN$32*Bron!J143,$AN$32*Bron!O143)</f>
        <v>473.19</v>
      </c>
      <c r="Q154" s="257"/>
      <c r="R154" s="257">
        <f>IF($C$5&lt;3000,$AN$33*Bron!J143,$AN$33*Bron!O143)</f>
        <v>0</v>
      </c>
      <c r="S154" s="344"/>
      <c r="T154" s="258">
        <f t="shared" si="93"/>
        <v>1</v>
      </c>
      <c r="U154" s="259">
        <f t="shared" si="94"/>
        <v>3814.1135999999997</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c r="AU154" s="676">
        <f t="shared" si="103"/>
        <v>0</v>
      </c>
      <c r="AV154" s="677">
        <f t="shared" si="104"/>
        <v>0</v>
      </c>
      <c r="AW154" s="677">
        <f t="shared" si="139"/>
        <v>0</v>
      </c>
      <c r="AX154" s="678">
        <f t="shared" si="140"/>
        <v>0</v>
      </c>
      <c r="AY154" s="679">
        <f t="shared" si="141"/>
        <v>0</v>
      </c>
      <c r="AZ154" s="675">
        <v>1</v>
      </c>
      <c r="BA154" s="676">
        <f t="shared" si="105"/>
        <v>3814.1135999999997</v>
      </c>
      <c r="BB154" s="677">
        <f t="shared" si="106"/>
        <v>473.19</v>
      </c>
      <c r="BC154" s="677">
        <f t="shared" si="142"/>
        <v>0</v>
      </c>
      <c r="BD154" s="678">
        <f t="shared" si="143"/>
        <v>0</v>
      </c>
      <c r="BE154" s="679">
        <f t="shared" si="144"/>
        <v>662.46600000000001</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1</v>
      </c>
      <c r="L155" s="256">
        <f>IF($C$5&lt;3000,(Bron!H144*$C$5)+Bron!I144,(Bron!M144*$C$5)+Bron!N144)</f>
        <v>2836.944</v>
      </c>
      <c r="M155" s="256"/>
      <c r="N155" s="496">
        <f t="shared" ref="N155:N181" si="175">($C$19*P155)+($C$18*Q155)+($C$20*R155)</f>
        <v>927.4523999999999</v>
      </c>
      <c r="O155" s="497">
        <f t="shared" ref="O155:O181" si="176">IF(N155=0,"",(L155+M155)/N155)</f>
        <v>3.0588567132933187</v>
      </c>
      <c r="P155" s="257">
        <f>IF($C$5&lt;3000,$AN$32*Bron!J144,$AN$32*Bron!O144)</f>
        <v>662.46600000000001</v>
      </c>
      <c r="Q155" s="257">
        <f>IF($C$5&lt;3000,$AN$31*Bron!K144,$AN$31*Bron!P144)</f>
        <v>0</v>
      </c>
      <c r="R155" s="257">
        <f>IF($C$5&lt;3000,$AN$33*Bron!J144,$AN$33*Bron!O144)</f>
        <v>0</v>
      </c>
      <c r="S155" s="344"/>
      <c r="T155" s="258">
        <f t="shared" si="93"/>
        <v>1</v>
      </c>
      <c r="U155" s="259">
        <f t="shared" si="94"/>
        <v>0</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c r="AU155" s="676">
        <f t="shared" si="103"/>
        <v>0</v>
      </c>
      <c r="AV155" s="677">
        <f t="shared" si="104"/>
        <v>0</v>
      </c>
      <c r="AW155" s="677">
        <f t="shared" si="139"/>
        <v>0</v>
      </c>
      <c r="AX155" s="678">
        <f t="shared" si="140"/>
        <v>0</v>
      </c>
      <c r="AY155" s="679">
        <f t="shared" si="141"/>
        <v>0</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c r="B156" s="488">
        <v>112</v>
      </c>
      <c r="C156" s="489" t="s">
        <v>248</v>
      </c>
      <c r="D156" s="490" t="s">
        <v>252</v>
      </c>
      <c r="E156" s="491" t="s">
        <v>253</v>
      </c>
      <c r="F156" s="492"/>
      <c r="G156" s="493"/>
      <c r="H156" s="146" t="s">
        <v>486</v>
      </c>
      <c r="I156" s="494" t="str">
        <f t="shared" si="92"/>
        <v>ons</v>
      </c>
      <c r="J156" s="495"/>
      <c r="K156" s="151">
        <v>1</v>
      </c>
      <c r="L156" s="256"/>
      <c r="M156" s="256">
        <f>IF($C$5&lt;3000,(Bron!H145*$C$5)+Bron!I145,(Bron!M145*$C$5)+Bron!N145)</f>
        <v>0</v>
      </c>
      <c r="N156" s="496">
        <f t="shared" si="175"/>
        <v>2649.864</v>
      </c>
      <c r="O156" s="497">
        <f t="shared" si="176"/>
        <v>0</v>
      </c>
      <c r="P156" s="257">
        <f>IF($C$5&lt;3000,$AN$32*Bron!J145,$AN$32*Bron!O145)</f>
        <v>1892.76</v>
      </c>
      <c r="Q156" s="257"/>
      <c r="R156" s="257">
        <f>IF($C$5&lt;3000,$AN$33*Bron!J145,$AN$33*Bron!O145)</f>
        <v>0</v>
      </c>
      <c r="S156" s="344"/>
      <c r="T156" s="258">
        <f t="shared" si="93"/>
        <v>1</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c r="B157" s="488">
        <v>113</v>
      </c>
      <c r="C157" s="489" t="s">
        <v>248</v>
      </c>
      <c r="D157" s="490" t="s">
        <v>493</v>
      </c>
      <c r="E157" s="491" t="s">
        <v>447</v>
      </c>
      <c r="F157" s="492"/>
      <c r="G157" s="493"/>
      <c r="H157" s="146" t="s">
        <v>97</v>
      </c>
      <c r="I157" s="494" t="str">
        <f t="shared" si="92"/>
        <v>n.v.t.</v>
      </c>
      <c r="J157" s="495"/>
      <c r="K157" s="151">
        <v>0</v>
      </c>
      <c r="L157" s="256"/>
      <c r="M157" s="256">
        <f>IF($C$5&lt;3000,(Bron!H146*$C$5)+Bron!I146,(Bron!M146*$C$5)+Bron!N146)</f>
        <v>28369.439999999999</v>
      </c>
      <c r="N157" s="496">
        <f t="shared" si="175"/>
        <v>1722.4115999999997</v>
      </c>
      <c r="O157" s="497">
        <f t="shared" si="176"/>
        <v>16.470766917733254</v>
      </c>
      <c r="P157" s="257">
        <f>IF($C$5&lt;3000,$AN$32*Bron!J146,$AN$32*Bron!O146)</f>
        <v>1230.2939999999999</v>
      </c>
      <c r="Q157" s="257"/>
      <c r="R157" s="257">
        <f>IF($C$5&lt;3000,$AN$33*Bron!J146,$AN$33*Bron!O146)</f>
        <v>0</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c r="B158" s="488">
        <v>114</v>
      </c>
      <c r="C158" s="489" t="s">
        <v>248</v>
      </c>
      <c r="D158" s="490" t="s">
        <v>493</v>
      </c>
      <c r="E158" s="491" t="s">
        <v>448</v>
      </c>
      <c r="F158" s="492"/>
      <c r="G158" s="493"/>
      <c r="H158" s="146" t="s">
        <v>486</v>
      </c>
      <c r="I158" s="494" t="str">
        <f t="shared" si="92"/>
        <v>ons</v>
      </c>
      <c r="J158" s="495"/>
      <c r="K158" s="151">
        <v>0</v>
      </c>
      <c r="L158" s="256"/>
      <c r="M158" s="256">
        <f>IF($C$5&lt;3000,(Bron!H147*$C$5)+Bron!I147,(Bron!M147*$C$5)+Bron!N147)</f>
        <v>15130.367999999999</v>
      </c>
      <c r="N158" s="496">
        <f t="shared" si="175"/>
        <v>6213.6109331657126</v>
      </c>
      <c r="O158" s="497">
        <f t="shared" si="176"/>
        <v>2.4350362716211094</v>
      </c>
      <c r="P158" s="257">
        <f>IF($C$5&lt;3000,$AN$32*Bron!J147,$AN$32*Bron!O147)</f>
        <v>8990.61</v>
      </c>
      <c r="Q158" s="257">
        <f>(-P158*9.768/3.5)</f>
        <v>-25091.508137142861</v>
      </c>
      <c r="R158" s="257">
        <f>IF($C$5&lt;3000,$AN$33*Bron!J147,$AN$33*Bron!O147)</f>
        <v>0</v>
      </c>
      <c r="S158" s="344"/>
      <c r="T158" s="258">
        <f t="shared" si="93"/>
        <v>1</v>
      </c>
      <c r="U158" s="259">
        <f t="shared" si="94"/>
        <v>15130.367999999999</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c r="AU158" s="676">
        <f t="shared" si="103"/>
        <v>0</v>
      </c>
      <c r="AV158" s="677">
        <f t="shared" si="104"/>
        <v>0</v>
      </c>
      <c r="AW158" s="677">
        <f t="shared" si="139"/>
        <v>0</v>
      </c>
      <c r="AX158" s="678">
        <f t="shared" si="140"/>
        <v>0</v>
      </c>
      <c r="AY158" s="679">
        <f t="shared" si="141"/>
        <v>0</v>
      </c>
      <c r="AZ158" s="675"/>
      <c r="BA158" s="676">
        <f t="shared" si="105"/>
        <v>0</v>
      </c>
      <c r="BB158" s="677">
        <f t="shared" si="106"/>
        <v>0</v>
      </c>
      <c r="BC158" s="677">
        <f t="shared" si="142"/>
        <v>0</v>
      </c>
      <c r="BD158" s="678">
        <f t="shared" si="143"/>
        <v>0</v>
      </c>
      <c r="BE158" s="679">
        <f t="shared" si="144"/>
        <v>0</v>
      </c>
      <c r="BF158" s="675">
        <v>0.1</v>
      </c>
      <c r="BG158" s="676">
        <f t="shared" si="107"/>
        <v>1513.0367999999999</v>
      </c>
      <c r="BH158" s="677">
        <f t="shared" si="108"/>
        <v>899.06100000000015</v>
      </c>
      <c r="BI158" s="677">
        <f t="shared" si="145"/>
        <v>-2509.1508137142864</v>
      </c>
      <c r="BJ158" s="678">
        <f t="shared" si="146"/>
        <v>0</v>
      </c>
      <c r="BK158" s="679">
        <f t="shared" si="147"/>
        <v>621.36109331657133</v>
      </c>
      <c r="BL158" s="675">
        <v>0.1</v>
      </c>
      <c r="BM158" s="676">
        <f t="shared" si="109"/>
        <v>1513.0367999999999</v>
      </c>
      <c r="BN158" s="677">
        <f t="shared" si="110"/>
        <v>899.06100000000015</v>
      </c>
      <c r="BO158" s="677">
        <f t="shared" si="148"/>
        <v>-2509.1508137142864</v>
      </c>
      <c r="BP158" s="678">
        <f t="shared" si="149"/>
        <v>0</v>
      </c>
      <c r="BQ158" s="679">
        <f t="shared" si="150"/>
        <v>621.36109331657133</v>
      </c>
      <c r="BR158" s="675">
        <v>0.1</v>
      </c>
      <c r="BS158" s="676">
        <f t="shared" si="111"/>
        <v>1513.0367999999999</v>
      </c>
      <c r="BT158" s="677">
        <f t="shared" si="112"/>
        <v>899.06100000000015</v>
      </c>
      <c r="BU158" s="677">
        <f t="shared" si="151"/>
        <v>-2509.1508137142864</v>
      </c>
      <c r="BV158" s="678">
        <f t="shared" si="152"/>
        <v>0</v>
      </c>
      <c r="BW158" s="679">
        <f t="shared" si="153"/>
        <v>621.36109331657133</v>
      </c>
      <c r="BX158" s="675">
        <v>0.1</v>
      </c>
      <c r="BY158" s="676">
        <f t="shared" si="113"/>
        <v>1513.0367999999999</v>
      </c>
      <c r="BZ158" s="677">
        <f t="shared" si="114"/>
        <v>899.06100000000015</v>
      </c>
      <c r="CA158" s="677">
        <f t="shared" si="154"/>
        <v>-2509.1508137142864</v>
      </c>
      <c r="CB158" s="678">
        <f t="shared" si="155"/>
        <v>0</v>
      </c>
      <c r="CC158" s="679">
        <f t="shared" si="156"/>
        <v>621.36109331657133</v>
      </c>
      <c r="CD158" s="675">
        <v>0.1</v>
      </c>
      <c r="CE158" s="676">
        <f t="shared" si="115"/>
        <v>1513.0367999999999</v>
      </c>
      <c r="CF158" s="677">
        <f t="shared" si="116"/>
        <v>899.06100000000015</v>
      </c>
      <c r="CG158" s="677">
        <f t="shared" si="157"/>
        <v>-2509.1508137142864</v>
      </c>
      <c r="CH158" s="678">
        <f t="shared" si="158"/>
        <v>0</v>
      </c>
      <c r="CI158" s="679">
        <f t="shared" si="159"/>
        <v>621.36109331657133</v>
      </c>
      <c r="CJ158" s="675">
        <v>0.1</v>
      </c>
      <c r="CK158" s="676">
        <f t="shared" si="117"/>
        <v>1513.0367999999999</v>
      </c>
      <c r="CL158" s="677">
        <f t="shared" si="118"/>
        <v>899.06100000000015</v>
      </c>
      <c r="CM158" s="677">
        <f t="shared" si="160"/>
        <v>-2509.1508137142864</v>
      </c>
      <c r="CN158" s="678">
        <f t="shared" si="161"/>
        <v>0</v>
      </c>
      <c r="CO158" s="679">
        <f t="shared" si="162"/>
        <v>621.36109331657133</v>
      </c>
      <c r="CP158" s="675">
        <v>0.1</v>
      </c>
      <c r="CQ158" s="676">
        <f t="shared" si="119"/>
        <v>1513.0367999999999</v>
      </c>
      <c r="CR158" s="677">
        <f t="shared" si="120"/>
        <v>899.06100000000015</v>
      </c>
      <c r="CS158" s="677">
        <f t="shared" si="163"/>
        <v>-2509.1508137142864</v>
      </c>
      <c r="CT158" s="678">
        <f t="shared" si="164"/>
        <v>0</v>
      </c>
      <c r="CU158" s="679">
        <f t="shared" si="165"/>
        <v>621.36109331657133</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v>0.3</v>
      </c>
      <c r="DU158" s="676">
        <f t="shared" si="121"/>
        <v>4539.1103999999996</v>
      </c>
      <c r="DV158" s="677">
        <f t="shared" si="122"/>
        <v>2697.183</v>
      </c>
      <c r="DW158" s="677">
        <f t="shared" si="166"/>
        <v>-7527.4524411428574</v>
      </c>
      <c r="DX158" s="678">
        <f t="shared" si="167"/>
        <v>0</v>
      </c>
      <c r="DY158" s="679">
        <f t="shared" si="168"/>
        <v>1864.0832799497136</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c r="B159" s="488">
        <v>115</v>
      </c>
      <c r="C159" s="489" t="s">
        <v>248</v>
      </c>
      <c r="D159" s="490" t="s">
        <v>493</v>
      </c>
      <c r="E159" s="491" t="s">
        <v>449</v>
      </c>
      <c r="F159" s="492"/>
      <c r="G159" s="493"/>
      <c r="H159" s="146" t="s">
        <v>97</v>
      </c>
      <c r="I159" s="494" t="str">
        <f t="shared" si="92"/>
        <v>n.v.t.</v>
      </c>
      <c r="J159" s="495"/>
      <c r="K159" s="151">
        <v>0</v>
      </c>
      <c r="L159" s="256"/>
      <c r="M159" s="256">
        <f>IF($C$5&lt;3000,(Bron!H148*$C$5)+Bron!I148,(Bron!M148*$C$5)+Bron!N148)</f>
        <v>31521.599999999999</v>
      </c>
      <c r="N159" s="496">
        <f t="shared" si="175"/>
        <v>3974.7959999999994</v>
      </c>
      <c r="O159" s="497">
        <f t="shared" si="176"/>
        <v>7.9303692566863822</v>
      </c>
      <c r="P159" s="257">
        <f>IF($C$5&lt;3000,$AN$32*Bron!J148,$AN$32*Bron!O148)</f>
        <v>2839.14</v>
      </c>
      <c r="Q159" s="257"/>
      <c r="R159" s="257">
        <f>IF($C$5&lt;3000,$AN$33*Bron!J148,$AN$33*Bron!O148)</f>
        <v>0</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97</v>
      </c>
      <c r="I160" s="494" t="str">
        <f t="shared" si="92"/>
        <v>n.v.t.</v>
      </c>
      <c r="J160" s="495" t="s">
        <v>487</v>
      </c>
      <c r="K160" s="151">
        <v>0</v>
      </c>
      <c r="L160" s="256">
        <f>IF($C$5&lt;3000,(Bron!H149*$C$5)+Bron!I149,(Bron!M149*$C$5)+Bron!N149)</f>
        <v>17000</v>
      </c>
      <c r="M160" s="256"/>
      <c r="N160" s="496">
        <f t="shared" si="175"/>
        <v>2716.1106</v>
      </c>
      <c r="O160" s="497">
        <f t="shared" si="176"/>
        <v>6.2589498380515138</v>
      </c>
      <c r="P160" s="257">
        <f>IF($C$5&lt;3000,$AN$32*Bron!J149,$AN$32*Bron!O149)</f>
        <v>1940.0790000000002</v>
      </c>
      <c r="Q160" s="257">
        <f>IF($C$5&lt;3000,$AN$31*Bron!K149,$AN$31*Bron!P149)</f>
        <v>0</v>
      </c>
      <c r="R160" s="257">
        <f>IF($C$5&lt;3000,$AN$33*Bron!J149,$AN$33*Bron!O149)</f>
        <v>0</v>
      </c>
      <c r="S160" s="344"/>
      <c r="T160" s="258">
        <f t="shared" si="93"/>
        <v>0</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97</v>
      </c>
      <c r="I161" s="494" t="str">
        <f t="shared" si="92"/>
        <v>n.v.t.</v>
      </c>
      <c r="J161" s="495" t="s">
        <v>487</v>
      </c>
      <c r="K161" s="151">
        <v>0</v>
      </c>
      <c r="L161" s="256">
        <f>IF($C$5&lt;3000,(Bron!H150*$C$5)+Bron!I150,(Bron!M150*$C$5)+Bron!N150)</f>
        <v>2521.7280000000001</v>
      </c>
      <c r="M161" s="256"/>
      <c r="N161" s="496">
        <f t="shared" si="175"/>
        <v>859.58984799999996</v>
      </c>
      <c r="O161" s="497">
        <f t="shared" si="176"/>
        <v>2.9336409752480002</v>
      </c>
      <c r="P161" s="257">
        <f>IF($C$5&lt;3000,$AN$32*Bron!J150,$AN$32*Bron!O150)</f>
        <v>0</v>
      </c>
      <c r="Q161" s="257">
        <f>IF($C$5&lt;3000,$AN$31*Bron!K150,$AN$31*Bron!P150)</f>
        <v>3384.212</v>
      </c>
      <c r="R161" s="257">
        <f>IF($C$5&lt;3000,$AN$33*Bron!J150,$AN$33*Bron!O150)</f>
        <v>0</v>
      </c>
      <c r="S161" s="344"/>
      <c r="T161" s="258">
        <f t="shared" si="93"/>
        <v>0</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0.65</v>
      </c>
      <c r="L162" s="256">
        <f>IF($C$5&lt;3000,(Bron!H151*$C$5)+Bron!I151,(Bron!M151*$C$5)+Bron!N151)</f>
        <v>34673.759999999995</v>
      </c>
      <c r="M162" s="256"/>
      <c r="N162" s="496">
        <f t="shared" si="175"/>
        <v>5289.7836800000005</v>
      </c>
      <c r="O162" s="497">
        <f t="shared" si="176"/>
        <v>6.5548540540697484</v>
      </c>
      <c r="P162" s="257"/>
      <c r="Q162" s="257">
        <f>IF($C$5&lt;3000,$AN$31*Bron!K151,$AN$31*Bron!P151)</f>
        <v>20825.920000000002</v>
      </c>
      <c r="R162" s="257">
        <f>IF($C$5&lt;3000,$AN$33*Bron!J151,$AN$33*Bron!O151)</f>
        <v>0</v>
      </c>
      <c r="S162" s="344"/>
      <c r="T162" s="258">
        <f t="shared" si="93"/>
        <v>1</v>
      </c>
      <c r="U162" s="259">
        <f t="shared" si="94"/>
        <v>12135.815999999997</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c r="AU162" s="676">
        <f t="shared" si="103"/>
        <v>0</v>
      </c>
      <c r="AV162" s="677">
        <f t="shared" si="104"/>
        <v>0</v>
      </c>
      <c r="AW162" s="677">
        <f t="shared" si="139"/>
        <v>0</v>
      </c>
      <c r="AX162" s="678">
        <f t="shared" si="140"/>
        <v>0</v>
      </c>
      <c r="AY162" s="679">
        <f t="shared" si="141"/>
        <v>0</v>
      </c>
      <c r="AZ162" s="675">
        <v>0.35</v>
      </c>
      <c r="BA162" s="676">
        <f t="shared" si="105"/>
        <v>12135.815999999997</v>
      </c>
      <c r="BB162" s="677">
        <f t="shared" si="106"/>
        <v>0</v>
      </c>
      <c r="BC162" s="677">
        <f t="shared" si="142"/>
        <v>7289.0720000000001</v>
      </c>
      <c r="BD162" s="678">
        <f t="shared" si="143"/>
        <v>0</v>
      </c>
      <c r="BE162" s="679">
        <f t="shared" si="144"/>
        <v>1851.4242879999999</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c r="B163" s="488">
        <v>119</v>
      </c>
      <c r="C163" s="489" t="s">
        <v>255</v>
      </c>
      <c r="D163" s="490" t="s">
        <v>258</v>
      </c>
      <c r="E163" s="491" t="s">
        <v>259</v>
      </c>
      <c r="F163" s="492"/>
      <c r="G163" s="493"/>
      <c r="H163" s="146" t="s">
        <v>97</v>
      </c>
      <c r="I163" s="494" t="str">
        <f t="shared" si="92"/>
        <v>n.v.t.</v>
      </c>
      <c r="J163" s="495" t="s">
        <v>487</v>
      </c>
      <c r="K163" s="151">
        <v>0</v>
      </c>
      <c r="L163" s="256">
        <f>IF($C$5&lt;3000,(Bron!H152*$C$5)+Bron!I152,(Bron!M152*$C$5)+Bron!N152)</f>
        <v>44130.239999999998</v>
      </c>
      <c r="M163" s="256"/>
      <c r="N163" s="496">
        <f t="shared" si="175"/>
        <v>5951.0066399999996</v>
      </c>
      <c r="O163" s="497">
        <f t="shared" si="176"/>
        <v>7.4155924652102225</v>
      </c>
      <c r="P163" s="257">
        <f>IF($C$5&lt;3000,$AN$32*Bron!J152,$AN$32*Bron!O152)</f>
        <v>0</v>
      </c>
      <c r="Q163" s="257">
        <f>IF($C$5&lt;3000,$AN$31*Bron!K152,$AN$31*Bron!P152)</f>
        <v>23429.16</v>
      </c>
      <c r="R163" s="257">
        <f>IF($C$5&lt;3000,$AN$33*Bron!J152,$AN$33*Bron!O152)</f>
        <v>0</v>
      </c>
      <c r="S163" s="344"/>
      <c r="T163" s="258">
        <f t="shared" si="93"/>
        <v>0</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c r="B164" s="488">
        <v>120</v>
      </c>
      <c r="C164" s="489" t="s">
        <v>255</v>
      </c>
      <c r="D164" s="490" t="s">
        <v>260</v>
      </c>
      <c r="E164" s="491" t="s">
        <v>261</v>
      </c>
      <c r="F164" s="492"/>
      <c r="G164" s="493"/>
      <c r="H164" s="146" t="s">
        <v>97</v>
      </c>
      <c r="I164" s="494" t="str">
        <f t="shared" si="92"/>
        <v>n.v.t.</v>
      </c>
      <c r="J164" s="495" t="s">
        <v>487</v>
      </c>
      <c r="K164" s="151">
        <v>0</v>
      </c>
      <c r="L164" s="256">
        <f>IF($C$5&lt;3000,(Bron!H153*$C$5)+Bron!I153,(Bron!M153*$C$5)+Bron!N153)</f>
        <v>34673.759999999995</v>
      </c>
      <c r="M164" s="256"/>
      <c r="N164" s="496">
        <f t="shared" si="175"/>
        <v>5289.7836800000005</v>
      </c>
      <c r="O164" s="497">
        <f t="shared" si="176"/>
        <v>6.5548540540697484</v>
      </c>
      <c r="P164" s="257"/>
      <c r="Q164" s="257">
        <f>IF($C$5&lt;3000,$AN$31*Bron!K153,$AN$31*Bron!P153)</f>
        <v>20825.920000000002</v>
      </c>
      <c r="R164" s="257">
        <f>IF($C$5&lt;3000,$AN$33*Bron!J153,$AN$33*Bron!O153)</f>
        <v>0</v>
      </c>
      <c r="S164" s="344"/>
      <c r="T164" s="258">
        <f t="shared" si="93"/>
        <v>0</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c r="B165" s="488">
        <v>121</v>
      </c>
      <c r="C165" s="489" t="s">
        <v>255</v>
      </c>
      <c r="D165" s="490" t="s">
        <v>262</v>
      </c>
      <c r="E165" s="491" t="s">
        <v>263</v>
      </c>
      <c r="F165" s="492"/>
      <c r="G165" s="493"/>
      <c r="H165" s="146" t="s">
        <v>97</v>
      </c>
      <c r="I165" s="494" t="str">
        <f t="shared" si="92"/>
        <v>n.v.t.</v>
      </c>
      <c r="J165" s="495" t="s">
        <v>487</v>
      </c>
      <c r="K165" s="151">
        <v>0</v>
      </c>
      <c r="L165" s="256">
        <f>IF($C$5&lt;3000,(Bron!H154*$C$5)+Bron!I154,(Bron!M154*$C$5)+Bron!N154)</f>
        <v>630.43200000000002</v>
      </c>
      <c r="M165" s="256"/>
      <c r="N165" s="496">
        <f t="shared" si="175"/>
        <v>429.79492399999998</v>
      </c>
      <c r="O165" s="497">
        <f t="shared" si="176"/>
        <v>1.4668204876240001</v>
      </c>
      <c r="P165" s="257">
        <f>IF($C$5&lt;3000,$AN$32*Bron!J154,$AN$32*Bron!O154)</f>
        <v>0</v>
      </c>
      <c r="Q165" s="257">
        <f>IF($C$5&lt;3000,$AN$31*Bron!K154,$AN$31*Bron!P154)</f>
        <v>1692.106</v>
      </c>
      <c r="R165" s="257">
        <f>IF($C$5&lt;3000,$AN$33*Bron!J154,$AN$33*Bron!O154)</f>
        <v>0</v>
      </c>
      <c r="S165" s="344"/>
      <c r="T165" s="258">
        <f t="shared" si="93"/>
        <v>0</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c r="B166" s="488">
        <v>122</v>
      </c>
      <c r="C166" s="489" t="s">
        <v>255</v>
      </c>
      <c r="D166" s="490" t="s">
        <v>264</v>
      </c>
      <c r="E166" s="491" t="s">
        <v>265</v>
      </c>
      <c r="F166" s="492"/>
      <c r="G166" s="493"/>
      <c r="H166" s="146" t="s">
        <v>97</v>
      </c>
      <c r="I166" s="494" t="str">
        <f t="shared" si="92"/>
        <v>n.v.t.</v>
      </c>
      <c r="J166" s="495" t="s">
        <v>487</v>
      </c>
      <c r="K166" s="151">
        <v>0</v>
      </c>
      <c r="L166" s="256">
        <f>IF($C$5&lt;3000,(Bron!H155*$C$5)+Bron!I155,(Bron!M155*$C$5)+Bron!N155)</f>
        <v>63043.199999999997</v>
      </c>
      <c r="M166" s="256"/>
      <c r="N166" s="496">
        <f t="shared" si="175"/>
        <v>8595.8984800000017</v>
      </c>
      <c r="O166" s="497">
        <f t="shared" si="176"/>
        <v>7.3341024381199977</v>
      </c>
      <c r="P166" s="257"/>
      <c r="Q166" s="257">
        <f>IF($C$5&lt;3000,$AN$31*Bron!K155,$AN$31*Bron!P155)</f>
        <v>33842.120000000003</v>
      </c>
      <c r="R166" s="257">
        <f>IF($C$5&lt;3000,$AN$33*Bron!J155,$AN$33*Bron!O155)</f>
        <v>0</v>
      </c>
      <c r="S166" s="344"/>
      <c r="T166" s="258">
        <f t="shared" si="93"/>
        <v>0</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c r="B167" s="488">
        <v>123</v>
      </c>
      <c r="C167" s="489" t="s">
        <v>255</v>
      </c>
      <c r="D167" s="490" t="s">
        <v>266</v>
      </c>
      <c r="E167" s="491" t="s">
        <v>267</v>
      </c>
      <c r="F167" s="492"/>
      <c r="G167" s="493"/>
      <c r="H167" s="146" t="s">
        <v>97</v>
      </c>
      <c r="I167" s="494" t="str">
        <f t="shared" si="92"/>
        <v>n.v.t.</v>
      </c>
      <c r="J167" s="495" t="s">
        <v>487</v>
      </c>
      <c r="K167" s="151">
        <v>0</v>
      </c>
      <c r="L167" s="256">
        <f>IF($C$5&lt;3000,(Bron!H156*$C$5)+Bron!I156,(Bron!M156*$C$5)+Bron!N156)</f>
        <v>50434.559999999998</v>
      </c>
      <c r="M167" s="256"/>
      <c r="N167" s="496">
        <f t="shared" si="175"/>
        <v>6612.2296000000006</v>
      </c>
      <c r="O167" s="497">
        <f t="shared" si="176"/>
        <v>7.6274665356447988</v>
      </c>
      <c r="P167" s="257">
        <f>IF($C$5&lt;3000,$AN$32*Bron!J156,$AN$32*Bron!O156)</f>
        <v>0</v>
      </c>
      <c r="Q167" s="257">
        <f>IF($C$5&lt;3000,$AN$31*Bron!K156,$AN$31*Bron!P156)</f>
        <v>26032.400000000001</v>
      </c>
      <c r="R167" s="257">
        <f>IF($C$5&lt;3000,$AN$33*Bron!J156,$AN$33*Bron!O156)</f>
        <v>0</v>
      </c>
      <c r="S167" s="344"/>
      <c r="T167" s="258">
        <f t="shared" si="93"/>
        <v>0</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c r="B168" s="488">
        <v>124</v>
      </c>
      <c r="C168" s="489" t="s">
        <v>255</v>
      </c>
      <c r="D168" s="490" t="s">
        <v>268</v>
      </c>
      <c r="E168" s="491" t="s">
        <v>269</v>
      </c>
      <c r="F168" s="492"/>
      <c r="G168" s="493"/>
      <c r="H168" s="146" t="s">
        <v>97</v>
      </c>
      <c r="I168" s="494" t="str">
        <f t="shared" si="92"/>
        <v>n.v.t.</v>
      </c>
      <c r="J168" s="495" t="s">
        <v>487</v>
      </c>
      <c r="K168" s="151">
        <v>0</v>
      </c>
      <c r="L168" s="256">
        <f>IF($C$5&lt;3000,(Bron!H157*$C$5)+Bron!I157,(Bron!M157*$C$5)+Bron!N157)</f>
        <v>7249.9679999999989</v>
      </c>
      <c r="M168" s="256"/>
      <c r="N168" s="496">
        <f t="shared" si="175"/>
        <v>1024.8955880000001</v>
      </c>
      <c r="O168" s="497">
        <f t="shared" si="176"/>
        <v>7.0738600935415468</v>
      </c>
      <c r="P168" s="257">
        <f>IF($C$5&lt;3000,$AN$32*Bron!J157,$AN$32*Bron!O157)</f>
        <v>0</v>
      </c>
      <c r="Q168" s="257">
        <f>IF($C$5&lt;3000,$AN$31*Bron!K157,$AN$31*Bron!P157)</f>
        <v>4035.0219999999999</v>
      </c>
      <c r="R168" s="257">
        <f>IF($C$5&lt;3000,$AN$33*Bron!J157,$AN$33*Bron!O157)</f>
        <v>0</v>
      </c>
      <c r="S168" s="344"/>
      <c r="T168" s="258">
        <f t="shared" si="93"/>
        <v>0</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c r="B169" s="488">
        <v>125</v>
      </c>
      <c r="C169" s="489" t="s">
        <v>255</v>
      </c>
      <c r="D169" s="490" t="s">
        <v>270</v>
      </c>
      <c r="E169" s="491" t="s">
        <v>271</v>
      </c>
      <c r="F169" s="492"/>
      <c r="G169" s="493"/>
      <c r="H169" s="146" t="s">
        <v>97</v>
      </c>
      <c r="I169" s="494" t="str">
        <f t="shared" si="92"/>
        <v>n.v.t.</v>
      </c>
      <c r="J169" s="495" t="s">
        <v>487</v>
      </c>
      <c r="K169" s="151">
        <v>0</v>
      </c>
      <c r="L169" s="256">
        <f>IF($C$5&lt;3000,(Bron!H158*$C$5)+Bron!I158,(Bron!M158*$C$5)+Bron!N158)</f>
        <v>625</v>
      </c>
      <c r="M169" s="256"/>
      <c r="N169" s="496">
        <f t="shared" si="175"/>
        <v>66.122296000000006</v>
      </c>
      <c r="O169" s="497">
        <f t="shared" si="176"/>
        <v>9.4521823622095624</v>
      </c>
      <c r="P169" s="257">
        <f>IF($C$5&lt;3000,$AN$32*Bron!J158,$AN$32*Bron!O158)</f>
        <v>0</v>
      </c>
      <c r="Q169" s="257">
        <f>IF($C$5&lt;3000,$AN$31*Bron!K158,$AN$31*Bron!P158)</f>
        <v>260.32400000000001</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c r="B170" s="488">
        <v>126</v>
      </c>
      <c r="C170" s="489" t="s">
        <v>255</v>
      </c>
      <c r="D170" s="490" t="s">
        <v>272</v>
      </c>
      <c r="E170" s="491" t="s">
        <v>273</v>
      </c>
      <c r="F170" s="492"/>
      <c r="G170" s="493"/>
      <c r="H170" s="146" t="s">
        <v>97</v>
      </c>
      <c r="I170" s="494" t="str">
        <f t="shared" si="92"/>
        <v>n.v.t.</v>
      </c>
      <c r="J170" s="495" t="s">
        <v>487</v>
      </c>
      <c r="K170" s="151">
        <v>0</v>
      </c>
      <c r="L170" s="256">
        <f>IF($C$5&lt;3000,(Bron!H159*$C$5)+Bron!I159,(Bron!M159*$C$5)+Bron!N159)</f>
        <v>650</v>
      </c>
      <c r="M170" s="256"/>
      <c r="N170" s="496">
        <f t="shared" si="175"/>
        <v>66.122296000000006</v>
      </c>
      <c r="O170" s="497">
        <f t="shared" si="176"/>
        <v>9.8302696566979453</v>
      </c>
      <c r="P170" s="257">
        <f>IF($C$5&lt;3000,$AN$32*Bron!J159,$AN$32*Bron!O159)</f>
        <v>0</v>
      </c>
      <c r="Q170" s="257">
        <f>IF($C$5&lt;3000,$AN$31*Bron!K159,$AN$31*Bron!P159)</f>
        <v>260.32400000000001</v>
      </c>
      <c r="R170" s="257">
        <f>IF($C$5&lt;3000,$AN$33*Bron!J159,$AN$33*Bron!O159)</f>
        <v>0</v>
      </c>
      <c r="S170" s="344"/>
      <c r="T170" s="258">
        <f t="shared" si="93"/>
        <v>0.7</v>
      </c>
      <c r="U170" s="259">
        <f t="shared" si="94"/>
        <v>454.99999999999994</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c r="AU170" s="676">
        <f t="shared" si="103"/>
        <v>0</v>
      </c>
      <c r="AV170" s="677">
        <f t="shared" si="104"/>
        <v>0</v>
      </c>
      <c r="AW170" s="677">
        <f t="shared" si="139"/>
        <v>0</v>
      </c>
      <c r="AX170" s="678">
        <f t="shared" si="140"/>
        <v>0</v>
      </c>
      <c r="AY170" s="679">
        <f t="shared" si="141"/>
        <v>0</v>
      </c>
      <c r="AZ170" s="675">
        <v>0.7</v>
      </c>
      <c r="BA170" s="676">
        <f t="shared" si="105"/>
        <v>454.99999999999994</v>
      </c>
      <c r="BB170" s="677">
        <f t="shared" si="106"/>
        <v>0</v>
      </c>
      <c r="BC170" s="677">
        <f t="shared" si="142"/>
        <v>182.2268</v>
      </c>
      <c r="BD170" s="678">
        <f t="shared" si="143"/>
        <v>0</v>
      </c>
      <c r="BE170" s="679">
        <f t="shared" si="144"/>
        <v>46.285607200000001</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c r="B171" s="488">
        <v>127</v>
      </c>
      <c r="C171" s="489" t="s">
        <v>255</v>
      </c>
      <c r="D171" s="490" t="s">
        <v>274</v>
      </c>
      <c r="E171" s="491" t="s">
        <v>275</v>
      </c>
      <c r="F171" s="492"/>
      <c r="G171" s="493"/>
      <c r="H171" s="146" t="s">
        <v>97</v>
      </c>
      <c r="I171" s="494" t="str">
        <f t="shared" si="92"/>
        <v>n.v.t.</v>
      </c>
      <c r="J171" s="495" t="s">
        <v>487</v>
      </c>
      <c r="K171" s="151">
        <v>0</v>
      </c>
      <c r="L171" s="256">
        <f>IF($C$5&lt;3000,(Bron!H160*$C$5)+Bron!I160,(Bron!M160*$C$5)+Bron!N160)</f>
        <v>1000</v>
      </c>
      <c r="M171" s="256"/>
      <c r="N171" s="496">
        <f t="shared" si="175"/>
        <v>99.183443999999994</v>
      </c>
      <c r="O171" s="497">
        <f t="shared" si="176"/>
        <v>10.082327853023536</v>
      </c>
      <c r="P171" s="257">
        <f>IF($C$5&lt;3000,$AN$32*Bron!J160,$AN$32*Bron!O160)</f>
        <v>0</v>
      </c>
      <c r="Q171" s="257">
        <f>IF($C$5&lt;3000,$AN$31*Bron!K160,$AN$31*Bron!P160)</f>
        <v>390.48599999999999</v>
      </c>
      <c r="R171" s="257">
        <f>IF($C$5&lt;3000,$AN$33*Bron!J160,$AN$33*Bron!O160)</f>
        <v>0</v>
      </c>
      <c r="S171" s="344"/>
      <c r="T171" s="258">
        <f t="shared" si="93"/>
        <v>0.7</v>
      </c>
      <c r="U171" s="259">
        <f t="shared" si="94"/>
        <v>700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c r="AU171" s="676">
        <f t="shared" si="103"/>
        <v>0</v>
      </c>
      <c r="AV171" s="677">
        <f t="shared" si="104"/>
        <v>0</v>
      </c>
      <c r="AW171" s="677">
        <f t="shared" si="139"/>
        <v>0</v>
      </c>
      <c r="AX171" s="678">
        <f t="shared" si="140"/>
        <v>0</v>
      </c>
      <c r="AY171" s="679">
        <f t="shared" si="141"/>
        <v>0</v>
      </c>
      <c r="AZ171" s="675">
        <v>0.7</v>
      </c>
      <c r="BA171" s="676">
        <f t="shared" si="105"/>
        <v>700</v>
      </c>
      <c r="BB171" s="677">
        <f t="shared" si="106"/>
        <v>0</v>
      </c>
      <c r="BC171" s="677">
        <f t="shared" si="142"/>
        <v>273.34019999999998</v>
      </c>
      <c r="BD171" s="678">
        <f t="shared" si="143"/>
        <v>0</v>
      </c>
      <c r="BE171" s="679">
        <f t="shared" si="144"/>
        <v>69.428410799999995</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c r="B172" s="488">
        <v>128</v>
      </c>
      <c r="C172" s="489" t="s">
        <v>255</v>
      </c>
      <c r="D172" s="490" t="s">
        <v>276</v>
      </c>
      <c r="E172" s="491" t="s">
        <v>277</v>
      </c>
      <c r="F172" s="492"/>
      <c r="G172" s="493"/>
      <c r="H172" s="146" t="s">
        <v>97</v>
      </c>
      <c r="I172" s="494" t="str">
        <f t="shared" ref="I172:I215" si="177">IF(H172="X","n.v.t.",IF(H172="I","ons",IF(H172="V","verhuurder",IF(H172="H","huurder",""))))</f>
        <v>n.v.t.</v>
      </c>
      <c r="J172" s="495" t="s">
        <v>487</v>
      </c>
      <c r="K172" s="151">
        <v>0</v>
      </c>
      <c r="L172" s="256">
        <f>IF($C$5&lt;3000,(Bron!H161*$C$5)+Bron!I161,(Bron!M161*$C$5)+Bron!N161)</f>
        <v>1500</v>
      </c>
      <c r="M172" s="256"/>
      <c r="N172" s="496">
        <f t="shared" si="175"/>
        <v>396.73377599999998</v>
      </c>
      <c r="O172" s="497">
        <f t="shared" si="176"/>
        <v>3.7808729448838259</v>
      </c>
      <c r="P172" s="257">
        <f>IF($C$5&lt;3000,$AN$32*Bron!J161,$AN$32*Bron!O161)</f>
        <v>0</v>
      </c>
      <c r="Q172" s="257">
        <f>IF($C$5&lt;3000,$AN$31*Bron!K161,$AN$31*Bron!P161)</f>
        <v>1561.944</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c r="B173" s="488">
        <v>129</v>
      </c>
      <c r="C173" s="489" t="s">
        <v>255</v>
      </c>
      <c r="D173" s="490" t="s">
        <v>278</v>
      </c>
      <c r="E173" s="491" t="s">
        <v>426</v>
      </c>
      <c r="F173" s="492"/>
      <c r="G173" s="493"/>
      <c r="H173" s="146" t="s">
        <v>97</v>
      </c>
      <c r="I173" s="494" t="str">
        <f t="shared" si="177"/>
        <v>n.v.t.</v>
      </c>
      <c r="J173" s="495"/>
      <c r="K173" s="151">
        <v>0</v>
      </c>
      <c r="L173" s="256"/>
      <c r="M173" s="256">
        <f>IF($C$5&lt;3000,(Bron!H162*$C$5)+Bron!I162,(Bron!M162*$C$5)+Bron!N162)</f>
        <v>0</v>
      </c>
      <c r="N173" s="496">
        <f t="shared" si="175"/>
        <v>429.79492399999998</v>
      </c>
      <c r="O173" s="497">
        <f t="shared" si="176"/>
        <v>0</v>
      </c>
      <c r="P173" s="257">
        <f>IF($C$5&lt;3000,$AN$32*Bron!J162,$AN$32*Bron!O162)</f>
        <v>0</v>
      </c>
      <c r="Q173" s="257">
        <f>IF($C$5&lt;3000,$AN$31*Bron!K162,$AN$31*Bron!P162)</f>
        <v>1692.106</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486</v>
      </c>
      <c r="I174" s="494" t="str">
        <f t="shared" si="177"/>
        <v>ons</v>
      </c>
      <c r="J174" s="495" t="s">
        <v>487</v>
      </c>
      <c r="K174" s="151">
        <v>0.65</v>
      </c>
      <c r="L174" s="256">
        <f>IF($C$5&lt;3000,(Bron!H163*$C$5)+Bron!I163,(Bron!M163*$C$5)+Bron!N163)</f>
        <v>40978.080000000002</v>
      </c>
      <c r="M174" s="256"/>
      <c r="N174" s="496">
        <f t="shared" si="175"/>
        <v>5289.7836800000005</v>
      </c>
      <c r="O174" s="497">
        <f t="shared" si="176"/>
        <v>7.7466457002642493</v>
      </c>
      <c r="P174" s="257"/>
      <c r="Q174" s="257">
        <f>IF($C$5&lt;3000,$AN$31*Bron!K163,$AN$31*Bron!P163)</f>
        <v>20825.920000000002</v>
      </c>
      <c r="R174" s="257">
        <f>IF($C$5&lt;3000,$AN$33*Bron!J163,$AN$33*Bron!O163)</f>
        <v>0</v>
      </c>
      <c r="S174" s="344"/>
      <c r="T174" s="258">
        <f t="shared" si="178"/>
        <v>1</v>
      </c>
      <c r="U174" s="259">
        <f t="shared" si="179"/>
        <v>14342.328</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c r="AU174" s="676">
        <f t="shared" si="188"/>
        <v>0</v>
      </c>
      <c r="AV174" s="677">
        <f t="shared" si="189"/>
        <v>0</v>
      </c>
      <c r="AW174" s="677">
        <f t="shared" si="224"/>
        <v>0</v>
      </c>
      <c r="AX174" s="678">
        <f t="shared" si="225"/>
        <v>0</v>
      </c>
      <c r="AY174" s="679">
        <f t="shared" si="226"/>
        <v>0</v>
      </c>
      <c r="AZ174" s="675">
        <v>0.35</v>
      </c>
      <c r="BA174" s="676">
        <f t="shared" si="190"/>
        <v>14342.328</v>
      </c>
      <c r="BB174" s="677">
        <f t="shared" si="191"/>
        <v>0</v>
      </c>
      <c r="BC174" s="677">
        <f t="shared" si="227"/>
        <v>7289.0720000000001</v>
      </c>
      <c r="BD174" s="678">
        <f t="shared" si="228"/>
        <v>0</v>
      </c>
      <c r="BE174" s="679">
        <f t="shared" si="229"/>
        <v>1851.4242879999999</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486</v>
      </c>
      <c r="I175" s="494" t="str">
        <f t="shared" si="177"/>
        <v>ons</v>
      </c>
      <c r="J175" s="495"/>
      <c r="K175" s="151">
        <v>0.3</v>
      </c>
      <c r="L175" s="256"/>
      <c r="M175" s="256">
        <f>IF($C$5&lt;3000,(Bron!H164*$C$5)+Bron!I164,(Bron!M164*$C$5)+Bron!N164)</f>
        <v>0</v>
      </c>
      <c r="N175" s="496">
        <f t="shared" si="175"/>
        <v>396.73377599999998</v>
      </c>
      <c r="O175" s="497">
        <f t="shared" si="176"/>
        <v>0</v>
      </c>
      <c r="P175" s="257"/>
      <c r="Q175" s="257">
        <f>IF($C$5&lt;3000,$AN$31*Bron!K164,$AN$31*Bron!P164)</f>
        <v>1561.944</v>
      </c>
      <c r="R175" s="257">
        <f>IF($C$5&lt;3000,$AN$33*Bron!J164,$AN$33*Bron!O164)</f>
        <v>0</v>
      </c>
      <c r="S175" s="344"/>
      <c r="T175" s="258">
        <f t="shared" si="178"/>
        <v>1</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c r="AU175" s="676">
        <f t="shared" si="188"/>
        <v>0</v>
      </c>
      <c r="AV175" s="677">
        <f t="shared" si="189"/>
        <v>0</v>
      </c>
      <c r="AW175" s="677">
        <f t="shared" si="224"/>
        <v>0</v>
      </c>
      <c r="AX175" s="678">
        <f t="shared" si="225"/>
        <v>0</v>
      </c>
      <c r="AY175" s="679">
        <f t="shared" si="226"/>
        <v>0</v>
      </c>
      <c r="AZ175" s="675">
        <v>0.7</v>
      </c>
      <c r="BA175" s="676">
        <f t="shared" si="190"/>
        <v>0</v>
      </c>
      <c r="BB175" s="677">
        <f t="shared" si="191"/>
        <v>0</v>
      </c>
      <c r="BC175" s="677">
        <f t="shared" si="227"/>
        <v>1093.3607999999999</v>
      </c>
      <c r="BD175" s="678">
        <f t="shared" si="228"/>
        <v>0</v>
      </c>
      <c r="BE175" s="679">
        <f t="shared" si="229"/>
        <v>277.71364319999998</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486</v>
      </c>
      <c r="I176" s="494" t="str">
        <f t="shared" si="177"/>
        <v>ons</v>
      </c>
      <c r="J176" s="495"/>
      <c r="K176" s="151">
        <v>0.3</v>
      </c>
      <c r="L176" s="256"/>
      <c r="M176" s="256">
        <f>IF($C$5&lt;3000,(Bron!H165*$C$5)+Bron!I165,(Bron!M165*$C$5)+Bron!N165)</f>
        <v>0</v>
      </c>
      <c r="N176" s="496">
        <f t="shared" si="175"/>
        <v>420.9770435262858</v>
      </c>
      <c r="O176" s="497">
        <f t="shared" si="176"/>
        <v>0</v>
      </c>
      <c r="P176" s="257">
        <f>IF($C$5&lt;3000,$AN$32*Bron!J165,$AN$32*Bron!O165)</f>
        <v>0</v>
      </c>
      <c r="Q176" s="257">
        <f>IF($C$5&lt;3000,$AN$31*Bron!K165,$AN$31*Bron!P165)</f>
        <v>1657.3899351428574</v>
      </c>
      <c r="R176" s="257">
        <f>IF($C$5&lt;3000,$AN$33*Bron!J165,$AN$33*Bron!O165)</f>
        <v>0</v>
      </c>
      <c r="S176" s="344"/>
      <c r="T176" s="258">
        <f t="shared" si="178"/>
        <v>1</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c r="AU176" s="676">
        <f t="shared" si="188"/>
        <v>0</v>
      </c>
      <c r="AV176" s="677">
        <f t="shared" si="189"/>
        <v>0</v>
      </c>
      <c r="AW176" s="677">
        <f t="shared" si="224"/>
        <v>0</v>
      </c>
      <c r="AX176" s="678">
        <f t="shared" si="225"/>
        <v>0</v>
      </c>
      <c r="AY176" s="679">
        <f t="shared" si="226"/>
        <v>0</v>
      </c>
      <c r="AZ176" s="675">
        <v>0.7</v>
      </c>
      <c r="BA176" s="676">
        <f t="shared" si="190"/>
        <v>0</v>
      </c>
      <c r="BB176" s="677">
        <f t="shared" si="191"/>
        <v>0</v>
      </c>
      <c r="BC176" s="677">
        <f t="shared" si="227"/>
        <v>1160.1729546000001</v>
      </c>
      <c r="BD176" s="678">
        <f t="shared" si="228"/>
        <v>0</v>
      </c>
      <c r="BE176" s="679">
        <f t="shared" si="229"/>
        <v>294.68393046840004</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c r="B177" s="488">
        <v>133</v>
      </c>
      <c r="C177" s="489" t="s">
        <v>283</v>
      </c>
      <c r="D177" s="490" t="s">
        <v>285</v>
      </c>
      <c r="E177" s="491" t="s">
        <v>286</v>
      </c>
      <c r="F177" s="492"/>
      <c r="G177" s="493"/>
      <c r="H177" s="146" t="s">
        <v>97</v>
      </c>
      <c r="I177" s="494" t="str">
        <f t="shared" si="177"/>
        <v>n.v.t.</v>
      </c>
      <c r="J177" s="495"/>
      <c r="K177" s="151"/>
      <c r="L177" s="256"/>
      <c r="M177" s="256">
        <f>IF($C$5&lt;3000,(Bron!H166*$C$5)+Bron!I166,(Bron!M166*$C$5)+Bron!N166)</f>
        <v>0</v>
      </c>
      <c r="N177" s="496">
        <f t="shared" si="175"/>
        <v>429.79492399999998</v>
      </c>
      <c r="O177" s="497">
        <f t="shared" si="176"/>
        <v>0</v>
      </c>
      <c r="P177" s="257">
        <f>IF($C$5&lt;3000,$AN$32*Bron!J166,$AN$32*Bron!O166)</f>
        <v>0</v>
      </c>
      <c r="Q177" s="257">
        <f>IF($C$5&lt;3000,$AN$31*Bron!K166,$AN$31*Bron!P166)</f>
        <v>1692.106</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486</v>
      </c>
      <c r="I178" s="494" t="str">
        <f t="shared" si="177"/>
        <v>ons</v>
      </c>
      <c r="J178" s="495"/>
      <c r="K178" s="151">
        <v>0.3</v>
      </c>
      <c r="L178" s="256"/>
      <c r="M178" s="256">
        <f>IF($C$5&lt;3000,(Bron!H167*$C$5)+Bron!I167,(Bron!M167*$C$5)+Bron!N167)</f>
        <v>0</v>
      </c>
      <c r="N178" s="496">
        <f t="shared" si="175"/>
        <v>429.79492399999998</v>
      </c>
      <c r="O178" s="497">
        <f t="shared" si="176"/>
        <v>0</v>
      </c>
      <c r="P178" s="257">
        <f>IF($C$5&lt;3000,$AN$32*Bron!J167,$AN$32*Bron!O167)</f>
        <v>0</v>
      </c>
      <c r="Q178" s="257">
        <f>IF($C$5&lt;3000,$AN$31*Bron!K167,$AN$31*Bron!P167)</f>
        <v>1692.106</v>
      </c>
      <c r="R178" s="257">
        <f>IF($C$5&lt;3000,$AN$33*Bron!J167,$AN$33*Bron!O167)</f>
        <v>0</v>
      </c>
      <c r="S178" s="344"/>
      <c r="T178" s="258">
        <f t="shared" si="178"/>
        <v>1</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c r="AU178" s="676">
        <f t="shared" si="188"/>
        <v>0</v>
      </c>
      <c r="AV178" s="677">
        <f t="shared" si="189"/>
        <v>0</v>
      </c>
      <c r="AW178" s="677">
        <f t="shared" si="224"/>
        <v>0</v>
      </c>
      <c r="AX178" s="678">
        <f t="shared" si="225"/>
        <v>0</v>
      </c>
      <c r="AY178" s="679">
        <f t="shared" si="226"/>
        <v>0</v>
      </c>
      <c r="AZ178" s="675">
        <v>0.7</v>
      </c>
      <c r="BA178" s="676">
        <f t="shared" si="190"/>
        <v>0</v>
      </c>
      <c r="BB178" s="677">
        <f t="shared" si="191"/>
        <v>0</v>
      </c>
      <c r="BC178" s="677">
        <f t="shared" si="227"/>
        <v>1184.4741999999999</v>
      </c>
      <c r="BD178" s="678">
        <f t="shared" si="228"/>
        <v>0</v>
      </c>
      <c r="BE178" s="679">
        <f t="shared" si="229"/>
        <v>300.85644679999996</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c r="B179" s="488">
        <v>135</v>
      </c>
      <c r="C179" s="489" t="s">
        <v>283</v>
      </c>
      <c r="D179" s="490" t="s">
        <v>289</v>
      </c>
      <c r="E179" s="491" t="s">
        <v>290</v>
      </c>
      <c r="F179" s="492"/>
      <c r="G179" s="493"/>
      <c r="H179" s="146" t="s">
        <v>97</v>
      </c>
      <c r="I179" s="494" t="str">
        <f t="shared" si="177"/>
        <v>n.v.t.</v>
      </c>
      <c r="J179" s="495"/>
      <c r="K179" s="151">
        <v>0</v>
      </c>
      <c r="L179" s="256"/>
      <c r="M179" s="256">
        <f>IF($C$5&lt;3000,(Bron!H168*$C$5)+Bron!I168,(Bron!M168*$C$5)+Bron!N168)</f>
        <v>0</v>
      </c>
      <c r="N179" s="496">
        <f t="shared" si="175"/>
        <v>429.79492399999998</v>
      </c>
      <c r="O179" s="497">
        <f t="shared" si="176"/>
        <v>0</v>
      </c>
      <c r="P179" s="257">
        <f>IF($C$5&lt;3000,$AN$32*Bron!J168,$AN$32*Bron!O168)</f>
        <v>0</v>
      </c>
      <c r="Q179" s="257">
        <f>IF($C$5&lt;3000,$AN$31*Bron!K168,$AN$31*Bron!P168)</f>
        <v>1692.106</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493</v>
      </c>
      <c r="E180" s="491" t="s">
        <v>691</v>
      </c>
      <c r="F180" s="492"/>
      <c r="G180" s="493"/>
      <c r="H180" s="146" t="s">
        <v>486</v>
      </c>
      <c r="I180" s="494" t="str">
        <f t="shared" si="177"/>
        <v>ons</v>
      </c>
      <c r="J180" s="495" t="s">
        <v>487</v>
      </c>
      <c r="K180" s="151">
        <v>0</v>
      </c>
      <c r="L180" s="256">
        <f>IF($C$5&lt;3000,(Bron!H169*$C$5/$C$6*0.5)+Bron!I169,(Bron!M169*$C$5/$C$6*0.5)+Bron!N169)</f>
        <v>174944.88</v>
      </c>
      <c r="M180" s="260"/>
      <c r="N180" s="496">
        <f t="shared" si="175"/>
        <v>38631.296880000002</v>
      </c>
      <c r="O180" s="497">
        <f t="shared" si="176"/>
        <v>4.5285790053445387</v>
      </c>
      <c r="P180" s="257"/>
      <c r="Q180" s="257">
        <f>IF($C$5&lt;3000,(+$C$5/$C$6*0.5*Bron!K169),(+$C$5/$C$6*0.5*Bron!P169))</f>
        <v>152091.72</v>
      </c>
      <c r="R180" s="257">
        <f>IF($C$5&lt;3000,$AN$33*Bron!J169,$AN$33*Bron!O169)</f>
        <v>0</v>
      </c>
      <c r="S180" s="344" t="s">
        <v>460</v>
      </c>
      <c r="T180" s="258">
        <f t="shared" si="178"/>
        <v>0.5</v>
      </c>
      <c r="U180" s="259">
        <f t="shared" si="179"/>
        <v>87472.44</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c r="AU180" s="676">
        <f t="shared" si="188"/>
        <v>0</v>
      </c>
      <c r="AV180" s="677">
        <f t="shared" si="189"/>
        <v>0</v>
      </c>
      <c r="AW180" s="677">
        <f t="shared" si="224"/>
        <v>0</v>
      </c>
      <c r="AX180" s="678">
        <f t="shared" si="225"/>
        <v>0</v>
      </c>
      <c r="AY180" s="679">
        <f t="shared" si="226"/>
        <v>0</v>
      </c>
      <c r="AZ180" s="675"/>
      <c r="BA180" s="676">
        <f t="shared" si="190"/>
        <v>0</v>
      </c>
      <c r="BB180" s="677">
        <f t="shared" si="191"/>
        <v>0</v>
      </c>
      <c r="BC180" s="677">
        <f t="shared" si="227"/>
        <v>0</v>
      </c>
      <c r="BD180" s="678">
        <f t="shared" si="228"/>
        <v>0</v>
      </c>
      <c r="BE180" s="679">
        <f t="shared" si="229"/>
        <v>0</v>
      </c>
      <c r="BF180" s="675">
        <v>0.5</v>
      </c>
      <c r="BG180" s="676">
        <f t="shared" si="192"/>
        <v>87472.44</v>
      </c>
      <c r="BH180" s="677">
        <f t="shared" si="193"/>
        <v>0</v>
      </c>
      <c r="BI180" s="677">
        <f t="shared" si="230"/>
        <v>76045.86</v>
      </c>
      <c r="BJ180" s="678">
        <f t="shared" si="231"/>
        <v>0</v>
      </c>
      <c r="BK180" s="679">
        <f t="shared" si="232"/>
        <v>19315.648440000001</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c r="B181" s="488">
        <v>137</v>
      </c>
      <c r="C181" s="489" t="s">
        <v>211</v>
      </c>
      <c r="D181" s="490" t="s">
        <v>493</v>
      </c>
      <c r="E181" s="491" t="s">
        <v>491</v>
      </c>
      <c r="F181" s="492"/>
      <c r="G181" s="493"/>
      <c r="H181" s="146" t="s">
        <v>97</v>
      </c>
      <c r="I181" s="494" t="str">
        <f t="shared" si="177"/>
        <v>n.v.t.</v>
      </c>
      <c r="J181" s="495" t="s">
        <v>487</v>
      </c>
      <c r="K181" s="151">
        <v>0</v>
      </c>
      <c r="L181" s="256">
        <f>IF($C$5&lt;3000,(Bron!H170*$C$5)+Bron!I170,(Bron!M170*$C$5)+Bron!N170)</f>
        <v>47282.399999999994</v>
      </c>
      <c r="M181" s="260"/>
      <c r="N181" s="496">
        <f t="shared" si="175"/>
        <v>3967.3377599999999</v>
      </c>
      <c r="O181" s="497">
        <f t="shared" si="176"/>
        <v>11.917916461944998</v>
      </c>
      <c r="P181" s="257"/>
      <c r="Q181" s="257">
        <f>IF($C$5&lt;3000,$AN$31*Bron!K170,$AN$31*Bron!P170)</f>
        <v>15619.439999999999</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c r="B185" s="488">
        <v>141</v>
      </c>
      <c r="C185" s="489" t="s">
        <v>336</v>
      </c>
      <c r="D185" s="490" t="s">
        <v>335</v>
      </c>
      <c r="E185" s="491" t="s">
        <v>337</v>
      </c>
      <c r="F185" s="492"/>
      <c r="G185" s="493"/>
      <c r="H185" s="146" t="s">
        <v>97</v>
      </c>
      <c r="I185" s="494" t="str">
        <f t="shared" si="177"/>
        <v>n.v.t.</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c r="B186" s="488">
        <v>142</v>
      </c>
      <c r="C186" s="489" t="s">
        <v>336</v>
      </c>
      <c r="D186" s="490" t="s">
        <v>338</v>
      </c>
      <c r="E186" s="491" t="s">
        <v>428</v>
      </c>
      <c r="F186" s="492"/>
      <c r="G186" s="493"/>
      <c r="H186" s="146" t="s">
        <v>97</v>
      </c>
      <c r="I186" s="494" t="str">
        <f t="shared" si="177"/>
        <v>n.v.t.</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c r="B187" s="488">
        <v>143</v>
      </c>
      <c r="C187" s="489" t="s">
        <v>336</v>
      </c>
      <c r="D187" s="490" t="s">
        <v>339</v>
      </c>
      <c r="E187" s="491" t="s">
        <v>340</v>
      </c>
      <c r="F187" s="492"/>
      <c r="G187" s="493"/>
      <c r="H187" s="146" t="s">
        <v>97</v>
      </c>
      <c r="I187" s="494" t="str">
        <f t="shared" si="177"/>
        <v>n.v.t.</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c r="B188" s="488">
        <v>144</v>
      </c>
      <c r="C188" s="489" t="s">
        <v>336</v>
      </c>
      <c r="D188" s="490" t="s">
        <v>341</v>
      </c>
      <c r="E188" s="491" t="s">
        <v>342</v>
      </c>
      <c r="F188" s="492"/>
      <c r="G188" s="493"/>
      <c r="H188" s="146" t="s">
        <v>97</v>
      </c>
      <c r="I188" s="494" t="str">
        <f t="shared" si="177"/>
        <v>n.v.t.</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c r="B189" s="488">
        <v>145</v>
      </c>
      <c r="C189" s="489" t="s">
        <v>336</v>
      </c>
      <c r="D189" s="490" t="s">
        <v>343</v>
      </c>
      <c r="E189" s="491" t="s">
        <v>429</v>
      </c>
      <c r="F189" s="492"/>
      <c r="G189" s="493"/>
      <c r="H189" s="146" t="s">
        <v>97</v>
      </c>
      <c r="I189" s="494" t="str">
        <f t="shared" si="177"/>
        <v>n.v.t.</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c r="B190" s="488">
        <v>146</v>
      </c>
      <c r="C190" s="489" t="s">
        <v>336</v>
      </c>
      <c r="D190" s="490" t="s">
        <v>344</v>
      </c>
      <c r="E190" s="491" t="s">
        <v>345</v>
      </c>
      <c r="F190" s="492"/>
      <c r="G190" s="493"/>
      <c r="H190" s="146" t="s">
        <v>97</v>
      </c>
      <c r="I190" s="494" t="str">
        <f t="shared" si="177"/>
        <v>n.v.t.</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c r="B191" s="488">
        <v>147</v>
      </c>
      <c r="C191" s="489" t="s">
        <v>336</v>
      </c>
      <c r="D191" s="490" t="s">
        <v>346</v>
      </c>
      <c r="E191" s="491" t="s">
        <v>430</v>
      </c>
      <c r="F191" s="492"/>
      <c r="G191" s="493"/>
      <c r="H191" s="146" t="s">
        <v>97</v>
      </c>
      <c r="I191" s="494" t="str">
        <f t="shared" si="177"/>
        <v>n.v.t.</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c r="B192" s="488">
        <v>148</v>
      </c>
      <c r="C192" s="489" t="s">
        <v>336</v>
      </c>
      <c r="D192" s="490" t="s">
        <v>347</v>
      </c>
      <c r="E192" s="491" t="s">
        <v>431</v>
      </c>
      <c r="F192" s="492"/>
      <c r="G192" s="493"/>
      <c r="H192" s="146" t="s">
        <v>97</v>
      </c>
      <c r="I192" s="494" t="str">
        <f t="shared" si="177"/>
        <v>n.v.t.</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c r="B193" s="488">
        <v>149</v>
      </c>
      <c r="C193" s="489" t="s">
        <v>336</v>
      </c>
      <c r="D193" s="490" t="s">
        <v>348</v>
      </c>
      <c r="E193" s="491" t="s">
        <v>349</v>
      </c>
      <c r="F193" s="492"/>
      <c r="G193" s="493"/>
      <c r="H193" s="146" t="s">
        <v>97</v>
      </c>
      <c r="I193" s="494" t="str">
        <f t="shared" si="177"/>
        <v>n.v.t.</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c r="B194" s="488">
        <v>150</v>
      </c>
      <c r="C194" s="489" t="s">
        <v>351</v>
      </c>
      <c r="D194" s="490" t="s">
        <v>350</v>
      </c>
      <c r="E194" s="491" t="s">
        <v>432</v>
      </c>
      <c r="F194" s="492"/>
      <c r="G194" s="493"/>
      <c r="H194" s="146" t="s">
        <v>97</v>
      </c>
      <c r="I194" s="494" t="str">
        <f t="shared" si="177"/>
        <v>n.v.t.</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c r="B195" s="488">
        <v>151</v>
      </c>
      <c r="C195" s="489" t="s">
        <v>351</v>
      </c>
      <c r="D195" s="490" t="s">
        <v>352</v>
      </c>
      <c r="E195" s="491" t="s">
        <v>353</v>
      </c>
      <c r="F195" s="492"/>
      <c r="G195" s="493"/>
      <c r="H195" s="146" t="s">
        <v>97</v>
      </c>
      <c r="I195" s="494" t="str">
        <f t="shared" si="177"/>
        <v>n.v.t.</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c r="B196" s="488">
        <v>152</v>
      </c>
      <c r="C196" s="489" t="s">
        <v>351</v>
      </c>
      <c r="D196" s="490" t="s">
        <v>354</v>
      </c>
      <c r="E196" s="491" t="s">
        <v>355</v>
      </c>
      <c r="F196" s="492"/>
      <c r="G196" s="493"/>
      <c r="H196" s="146" t="s">
        <v>97</v>
      </c>
      <c r="I196" s="494" t="str">
        <f t="shared" si="177"/>
        <v>n.v.t.</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c r="B197" s="488">
        <v>153</v>
      </c>
      <c r="C197" s="489" t="s">
        <v>351</v>
      </c>
      <c r="D197" s="490" t="s">
        <v>356</v>
      </c>
      <c r="E197" s="491" t="s">
        <v>357</v>
      </c>
      <c r="F197" s="492"/>
      <c r="G197" s="493"/>
      <c r="H197" s="146" t="s">
        <v>97</v>
      </c>
      <c r="I197" s="494" t="str">
        <f t="shared" si="177"/>
        <v>n.v.t.</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c r="B198" s="488">
        <v>154</v>
      </c>
      <c r="C198" s="489" t="s">
        <v>351</v>
      </c>
      <c r="D198" s="490" t="s">
        <v>358</v>
      </c>
      <c r="E198" s="491" t="s">
        <v>359</v>
      </c>
      <c r="F198" s="492"/>
      <c r="G198" s="493"/>
      <c r="H198" s="146" t="s">
        <v>97</v>
      </c>
      <c r="I198" s="494" t="str">
        <f t="shared" si="177"/>
        <v>n.v.t.</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c r="B199" s="488">
        <v>155</v>
      </c>
      <c r="C199" s="489" t="s">
        <v>351</v>
      </c>
      <c r="D199" s="490" t="s">
        <v>360</v>
      </c>
      <c r="E199" s="491" t="s">
        <v>450</v>
      </c>
      <c r="F199" s="492"/>
      <c r="G199" s="493"/>
      <c r="H199" s="146" t="s">
        <v>97</v>
      </c>
      <c r="I199" s="494" t="str">
        <f t="shared" si="177"/>
        <v>n.v.t.</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c r="B200" s="488">
        <v>156</v>
      </c>
      <c r="C200" s="489" t="s">
        <v>351</v>
      </c>
      <c r="D200" s="490" t="s">
        <v>361</v>
      </c>
      <c r="E200" s="491" t="s">
        <v>433</v>
      </c>
      <c r="F200" s="492"/>
      <c r="G200" s="493"/>
      <c r="H200" s="146" t="s">
        <v>97</v>
      </c>
      <c r="I200" s="494" t="str">
        <f t="shared" si="177"/>
        <v>n.v.t.</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c r="B201" s="488">
        <v>157</v>
      </c>
      <c r="C201" s="489" t="s">
        <v>351</v>
      </c>
      <c r="D201" s="490" t="s">
        <v>362</v>
      </c>
      <c r="E201" s="491" t="s">
        <v>434</v>
      </c>
      <c r="F201" s="492"/>
      <c r="G201" s="493"/>
      <c r="H201" s="146" t="s">
        <v>97</v>
      </c>
      <c r="I201" s="494" t="str">
        <f t="shared" si="177"/>
        <v>n.v.t.</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c r="B204" s="488">
        <v>160</v>
      </c>
      <c r="C204" s="489" t="s">
        <v>368</v>
      </c>
      <c r="D204" s="490" t="s">
        <v>367</v>
      </c>
      <c r="E204" s="491" t="s">
        <v>369</v>
      </c>
      <c r="F204" s="492"/>
      <c r="G204" s="493"/>
      <c r="H204" s="146" t="s">
        <v>97</v>
      </c>
      <c r="I204" s="494" t="str">
        <f t="shared" si="177"/>
        <v>n.v.t.</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c r="B205" s="488">
        <v>161</v>
      </c>
      <c r="C205" s="489" t="s">
        <v>368</v>
      </c>
      <c r="D205" s="490" t="s">
        <v>370</v>
      </c>
      <c r="E205" s="491" t="s">
        <v>371</v>
      </c>
      <c r="F205" s="492"/>
      <c r="G205" s="493"/>
      <c r="H205" s="146" t="s">
        <v>97</v>
      </c>
      <c r="I205" s="494" t="str">
        <f t="shared" si="177"/>
        <v>n.v.t.</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c r="B206" s="488">
        <v>162</v>
      </c>
      <c r="C206" s="489" t="s">
        <v>368</v>
      </c>
      <c r="D206" s="490" t="s">
        <v>372</v>
      </c>
      <c r="E206" s="491" t="s">
        <v>435</v>
      </c>
      <c r="F206" s="492"/>
      <c r="G206" s="493"/>
      <c r="H206" s="146" t="s">
        <v>97</v>
      </c>
      <c r="I206" s="494" t="str">
        <f t="shared" si="177"/>
        <v>n.v.t.</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c r="B207" s="488">
        <v>163</v>
      </c>
      <c r="C207" s="489" t="s">
        <v>439</v>
      </c>
      <c r="D207" s="490" t="s">
        <v>493</v>
      </c>
      <c r="E207" s="491" t="s">
        <v>451</v>
      </c>
      <c r="F207" s="492"/>
      <c r="G207" s="493"/>
      <c r="H207" s="146" t="s">
        <v>97</v>
      </c>
      <c r="I207" s="494" t="str">
        <f t="shared" si="177"/>
        <v>n.v.t.</v>
      </c>
      <c r="J207" s="495"/>
      <c r="K207" s="151">
        <v>0</v>
      </c>
      <c r="L207" s="256"/>
      <c r="M207" s="256">
        <f>IF($C$5&lt;3000,(Bron!H196*$C$5)+Bron!I196,(Bron!M196*$C$5)+Bron!N196)</f>
        <v>0</v>
      </c>
      <c r="N207" s="496">
        <f t="shared" si="260"/>
        <v>231.42803600000002</v>
      </c>
      <c r="O207" s="497">
        <f t="shared" si="261"/>
        <v>0</v>
      </c>
      <c r="P207" s="257"/>
      <c r="Q207" s="257">
        <f>IF($C$5&lt;3000,$AN$31*Bron!K196,$AN$31*Bron!P196)</f>
        <v>911.13400000000001</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c r="B208" s="488">
        <v>164</v>
      </c>
      <c r="C208" s="489" t="s">
        <v>439</v>
      </c>
      <c r="D208" s="490" t="s">
        <v>493</v>
      </c>
      <c r="E208" s="491" t="s">
        <v>452</v>
      </c>
      <c r="F208" s="492"/>
      <c r="G208" s="493"/>
      <c r="H208" s="146" t="s">
        <v>97</v>
      </c>
      <c r="I208" s="494" t="str">
        <f t="shared" si="177"/>
        <v>n.v.t.</v>
      </c>
      <c r="J208" s="495"/>
      <c r="K208" s="151">
        <v>0</v>
      </c>
      <c r="L208" s="256"/>
      <c r="M208" s="256">
        <f>IF($C$5&lt;3000,(Bron!H197*$C$5)+Bron!I197,(Bron!M197*$C$5)+Bron!N197)</f>
        <v>1576.08</v>
      </c>
      <c r="N208" s="496">
        <f t="shared" si="260"/>
        <v>363.67262799999997</v>
      </c>
      <c r="O208" s="497">
        <f t="shared" si="261"/>
        <v>4.3337878043436362</v>
      </c>
      <c r="P208" s="257"/>
      <c r="Q208" s="257">
        <f>IF($C$5&lt;3000,$AN$31*Bron!K197,$AN$31*Bron!P197)</f>
        <v>1431.7819999999999</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c r="B209" s="488">
        <v>165</v>
      </c>
      <c r="C209" s="489" t="s">
        <v>439</v>
      </c>
      <c r="D209" s="490" t="s">
        <v>493</v>
      </c>
      <c r="E209" s="491" t="s">
        <v>453</v>
      </c>
      <c r="F209" s="492"/>
      <c r="G209" s="493"/>
      <c r="H209" s="146" t="s">
        <v>97</v>
      </c>
      <c r="I209" s="494" t="str">
        <f t="shared" si="177"/>
        <v>n.v.t.</v>
      </c>
      <c r="J209" s="495"/>
      <c r="K209" s="151">
        <v>0</v>
      </c>
      <c r="L209" s="256"/>
      <c r="M209" s="256">
        <f>IF($C$5&lt;3000,(Bron!H198*$C$5)+Bron!I198,(Bron!M198*$C$5)+Bron!N198)</f>
        <v>2521.7280000000001</v>
      </c>
      <c r="N209" s="496">
        <f t="shared" si="260"/>
        <v>1091.0178840000001</v>
      </c>
      <c r="O209" s="497">
        <f t="shared" si="261"/>
        <v>2.3113534956499393</v>
      </c>
      <c r="P209" s="257"/>
      <c r="Q209" s="257">
        <f>IF($C$5&lt;3000,$AN$31*Bron!K198,$AN$31*Bron!P198)</f>
        <v>4295.3460000000005</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c r="B210" s="488">
        <v>166</v>
      </c>
      <c r="C210" s="489" t="s">
        <v>439</v>
      </c>
      <c r="D210" s="490" t="s">
        <v>493</v>
      </c>
      <c r="E210" s="491" t="s">
        <v>454</v>
      </c>
      <c r="F210" s="492"/>
      <c r="G210" s="493"/>
      <c r="H210" s="146" t="s">
        <v>97</v>
      </c>
      <c r="I210" s="494" t="str">
        <f t="shared" si="177"/>
        <v>n.v.t.</v>
      </c>
      <c r="J210" s="495"/>
      <c r="K210" s="151">
        <v>0</v>
      </c>
      <c r="L210" s="256"/>
      <c r="M210" s="256">
        <f>IF($C$5&lt;3000,(Bron!H199*$C$5)+Bron!I199,(Bron!M199*$C$5)+Bron!N199)</f>
        <v>0</v>
      </c>
      <c r="N210" s="496">
        <f t="shared" si="260"/>
        <v>1487.7516599999999</v>
      </c>
      <c r="O210" s="497">
        <f t="shared" si="261"/>
        <v>0</v>
      </c>
      <c r="P210" s="257"/>
      <c r="Q210" s="257">
        <f>IF($C$5&lt;3000,$AN$31*Bron!K199,$AN$31*Bron!P199)</f>
        <v>5857.29</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97</v>
      </c>
      <c r="I211" s="494" t="str">
        <f t="shared" si="177"/>
        <v>n.v.t.</v>
      </c>
      <c r="J211" s="495" t="s">
        <v>487</v>
      </c>
      <c r="K211" s="151">
        <v>0</v>
      </c>
      <c r="L211" s="256">
        <f>IF($C$5&lt;3000,(Bron!H200*$C$5)+Bron!I200,(Bron!M200*$C$5)+Bron!N200)</f>
        <v>40978.080000000002</v>
      </c>
      <c r="M211" s="256"/>
      <c r="N211" s="496">
        <f t="shared" si="260"/>
        <v>991.83443999999997</v>
      </c>
      <c r="O211" s="497">
        <f t="shared" si="261"/>
        <v>41.315443734742665</v>
      </c>
      <c r="P211" s="257"/>
      <c r="Q211" s="257">
        <f>IF($C$5&lt;3000,$AN$31*Bron!K200,$AN$31*Bron!P200)</f>
        <v>3904.8599999999997</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486</v>
      </c>
      <c r="I212" s="494" t="str">
        <f t="shared" si="177"/>
        <v>ons</v>
      </c>
      <c r="J212" s="495" t="s">
        <v>487</v>
      </c>
      <c r="K212" s="151">
        <v>1</v>
      </c>
      <c r="L212" s="256">
        <f>IF($C$5&lt;3000,(Bron!H201*$C$5)+Bron!I201,(Bron!M201*$C$5)+Bron!N201)</f>
        <v>151303.67999999999</v>
      </c>
      <c r="M212" s="256"/>
      <c r="N212" s="496">
        <f t="shared" si="260"/>
        <v>2314.2803600000002</v>
      </c>
      <c r="O212" s="497">
        <f t="shared" si="261"/>
        <v>65.378284591241126</v>
      </c>
      <c r="P212" s="257"/>
      <c r="Q212" s="257">
        <f>IF($C$5&lt;3000,$AN$31*Bron!K201,$AN$31*Bron!P201)</f>
        <v>9111.34</v>
      </c>
      <c r="R212" s="257">
        <f>IF($C$5&lt;3000,$AN$33*Bron!J201,$AN$33*Bron!O201)</f>
        <v>0</v>
      </c>
      <c r="S212" s="344"/>
      <c r="T212" s="258">
        <f t="shared" si="178"/>
        <v>1</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customHeight="1">
      <c r="B213" s="488">
        <v>169</v>
      </c>
      <c r="C213" s="489" t="s">
        <v>581</v>
      </c>
      <c r="D213" s="490" t="s">
        <v>493</v>
      </c>
      <c r="E213" s="491" t="s">
        <v>582</v>
      </c>
      <c r="F213" s="492"/>
      <c r="G213" s="493"/>
      <c r="H213" s="146" t="s">
        <v>97</v>
      </c>
      <c r="I213" s="494" t="str">
        <f t="shared" si="177"/>
        <v>n.v.t.</v>
      </c>
      <c r="J213" s="495" t="s">
        <v>487</v>
      </c>
      <c r="K213" s="151">
        <v>0</v>
      </c>
      <c r="L213" s="256">
        <f>IF($C$5&lt;3000,(Bron!H202*$C$5)+Bron!I202,(Bron!M202*$C$5)+Bron!N202)</f>
        <v>1000</v>
      </c>
      <c r="M213" s="256"/>
      <c r="N213" s="496">
        <f t="shared" si="260"/>
        <v>991.83443999999997</v>
      </c>
      <c r="O213" s="497">
        <f t="shared" si="261"/>
        <v>1.0082327853023536</v>
      </c>
      <c r="P213" s="257">
        <f>IF($C$5&lt;3000,$AN$32*Bron!J202,$AN$32*Bron!O202)</f>
        <v>0</v>
      </c>
      <c r="Q213" s="257">
        <f>IF($C$5&lt;3000,$AN$31*Bron!K202,$AN$31*Bron!P202)</f>
        <v>3904.8599999999997</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customHeight="1">
      <c r="B214" s="488">
        <v>170</v>
      </c>
      <c r="C214" s="489" t="s">
        <v>591</v>
      </c>
      <c r="D214" s="490" t="s">
        <v>493</v>
      </c>
      <c r="E214" s="491" t="s">
        <v>592</v>
      </c>
      <c r="F214" s="492"/>
      <c r="G214" s="493"/>
      <c r="H214" s="146" t="s">
        <v>97</v>
      </c>
      <c r="I214" s="494" t="str">
        <f t="shared" si="177"/>
        <v>n.v.t.</v>
      </c>
      <c r="J214" s="495" t="s">
        <v>487</v>
      </c>
      <c r="K214" s="151">
        <v>0</v>
      </c>
      <c r="L214" s="256">
        <f>IF($C$5&lt;3000,(Bron!H203*$C$5)+Bron!I203,(Bron!M203*$C$5)+Bron!N203)</f>
        <v>1110</v>
      </c>
      <c r="M214" s="256"/>
      <c r="N214" s="496">
        <f t="shared" si="260"/>
        <v>198.36688799999999</v>
      </c>
      <c r="O214" s="497">
        <f t="shared" si="261"/>
        <v>5.5956919584280618</v>
      </c>
      <c r="P214" s="257"/>
      <c r="Q214" s="257">
        <f>IF($C$5&lt;3000,$AN$31*Bron!K203,$AN$31*Bron!P203)</f>
        <v>780.97199999999998</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customHeight="1">
      <c r="B215" s="488">
        <v>171</v>
      </c>
      <c r="C215" s="701" t="s">
        <v>591</v>
      </c>
      <c r="D215" s="702" t="s">
        <v>493</v>
      </c>
      <c r="E215" s="703" t="s">
        <v>593</v>
      </c>
      <c r="F215" s="704"/>
      <c r="G215" s="705"/>
      <c r="H215" s="706" t="s">
        <v>97</v>
      </c>
      <c r="I215" s="707" t="str">
        <f t="shared" si="177"/>
        <v>n.v.t.</v>
      </c>
      <c r="J215" s="708"/>
      <c r="K215" s="151">
        <v>0</v>
      </c>
      <c r="L215" s="709"/>
      <c r="M215" s="709">
        <f>IF($C$5&lt;3000,(Bron!H204*$C$5)+Bron!I204,(Bron!M204*$C$5)+Bron!N204)</f>
        <v>78</v>
      </c>
      <c r="N215" s="710">
        <f t="shared" si="260"/>
        <v>198.36688799999999</v>
      </c>
      <c r="O215" s="711">
        <f t="shared" si="261"/>
        <v>0.39321078626791789</v>
      </c>
      <c r="P215" s="712"/>
      <c r="Q215" s="712">
        <f>IF($C$5&lt;3000,$AN$31*Bron!K204,$AN$31*Bron!P204)</f>
        <v>780.97199999999998</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3582</v>
      </c>
      <c r="V221" s="541">
        <f>IF($C$12&lt;V219,0,IF(V219&lt;$C$11,0,$C$4))</f>
        <v>3582</v>
      </c>
      <c r="W221" s="542"/>
      <c r="X221" s="543"/>
      <c r="Y221" s="543"/>
      <c r="Z221" s="542"/>
      <c r="AA221" s="542"/>
      <c r="AB221" s="541">
        <f>IF($C$12&lt;AB219,0,IF(AB219&lt;$C$11,0,$C$4))</f>
        <v>3582</v>
      </c>
      <c r="AC221" s="542"/>
      <c r="AD221" s="543"/>
      <c r="AE221" s="543"/>
      <c r="AF221" s="542"/>
      <c r="AG221" s="542"/>
      <c r="AH221" s="541">
        <f>IF($C$12&lt;AH219,0,IF(AH219&lt;$C$11,0,$C$4))</f>
        <v>3582</v>
      </c>
      <c r="AI221" s="542"/>
      <c r="AJ221" s="543"/>
      <c r="AK221" s="543"/>
      <c r="AL221" s="542"/>
      <c r="AM221" s="542"/>
      <c r="AN221" s="541">
        <f>IF($C$12&lt;AN219,0,IF(AN219&lt;$C$11,0,$C$4))</f>
        <v>3582</v>
      </c>
      <c r="AO221" s="542"/>
      <c r="AP221" s="543"/>
      <c r="AQ221" s="543"/>
      <c r="AR221" s="542"/>
      <c r="AS221" s="542"/>
      <c r="AT221" s="541">
        <f>IF($C$12&lt;AT219,0,IF(AT219&lt;$C$11,0,$C$4))</f>
        <v>3582</v>
      </c>
      <c r="AU221" s="542"/>
      <c r="AV221" s="543"/>
      <c r="AW221" s="543"/>
      <c r="AX221" s="542"/>
      <c r="AY221" s="542"/>
      <c r="AZ221" s="541">
        <f>IF($C$12&lt;AZ219,0,IF(AZ219&lt;$C$11,0,$C$4))</f>
        <v>3582</v>
      </c>
      <c r="BA221" s="311"/>
      <c r="BB221" s="312"/>
      <c r="BC221" s="312"/>
      <c r="BD221" s="311"/>
      <c r="BE221" s="311"/>
      <c r="BF221" s="541">
        <f>IF($C$12&lt;BF219,0,IF(BF219&lt;$C$11,0,$C$4))</f>
        <v>3582</v>
      </c>
      <c r="BG221" s="311"/>
      <c r="BH221" s="312"/>
      <c r="BI221" s="312"/>
      <c r="BJ221" s="311"/>
      <c r="BK221" s="311"/>
      <c r="BL221" s="541">
        <f>IF($C$12&lt;BL219,0,IF(BL219&lt;$C$11,0,$C$4))</f>
        <v>3582</v>
      </c>
      <c r="BM221" s="311"/>
      <c r="BN221" s="312"/>
      <c r="BO221" s="312"/>
      <c r="BP221" s="311"/>
      <c r="BQ221" s="311"/>
      <c r="BR221" s="541">
        <f>IF($C$12&lt;BR219,0,IF(BR219&lt;$C$11,0,$C$4))</f>
        <v>3582</v>
      </c>
      <c r="BS221" s="542"/>
      <c r="BT221" s="543"/>
      <c r="BU221" s="543"/>
      <c r="BV221" s="542"/>
      <c r="BW221" s="542"/>
      <c r="BX221" s="541">
        <f>IF($C$12&lt;BX219,0,IF(BX219&lt;$C$11,0,$C$4))</f>
        <v>3582</v>
      </c>
      <c r="BY221" s="311"/>
      <c r="BZ221" s="312"/>
      <c r="CA221" s="312"/>
      <c r="CB221" s="311"/>
      <c r="CC221" s="311"/>
      <c r="CD221" s="541">
        <f>IF($C$12&lt;CD219,0,IF(CD219&lt;$C$11,0,$C$4))</f>
        <v>3582</v>
      </c>
      <c r="CE221" s="311"/>
      <c r="CF221" s="312"/>
      <c r="CG221" s="312"/>
      <c r="CH221" s="311"/>
      <c r="CI221" s="311"/>
      <c r="CJ221" s="541">
        <f>IF($C$12&lt;CJ219,0,IF(CJ219&lt;$C$11,0,$C$4))</f>
        <v>3582</v>
      </c>
      <c r="CK221" s="311"/>
      <c r="CL221" s="312"/>
      <c r="CM221" s="312"/>
      <c r="CN221" s="311"/>
      <c r="CO221" s="311"/>
      <c r="CP221" s="541">
        <f>IF($C$12&lt;CP219,0,IF(CP219&lt;$C$11,0,$C$4))</f>
        <v>3582</v>
      </c>
      <c r="CQ221" s="544"/>
      <c r="CR221" s="543"/>
      <c r="CS221" s="543"/>
      <c r="CT221" s="544"/>
      <c r="CU221" s="544"/>
      <c r="CV221" s="541">
        <f>IF($C$12&lt;CV219,0,IF(CV219&lt;$C$11,0,$C$4))</f>
        <v>3582</v>
      </c>
      <c r="CW221" s="544"/>
      <c r="CX221" s="543"/>
      <c r="CY221" s="543"/>
      <c r="CZ221" s="544"/>
      <c r="DA221" s="544"/>
      <c r="DB221" s="541">
        <f>IF($C$12&lt;DB219,0,IF(DB219&lt;$C$11,0,$C$4))</f>
        <v>3582</v>
      </c>
      <c r="DC221" s="311"/>
      <c r="DD221" s="312"/>
      <c r="DE221" s="312"/>
      <c r="DF221" s="311"/>
      <c r="DG221" s="311"/>
      <c r="DH221" s="541">
        <f>IF($C$12&lt;DH219,0,IF(DH219&lt;$C$11,0,$C$4))</f>
        <v>3582</v>
      </c>
      <c r="DI221" s="311"/>
      <c r="DJ221" s="312"/>
      <c r="DK221" s="312"/>
      <c r="DL221" s="311"/>
      <c r="DM221" s="311"/>
      <c r="DN221" s="541">
        <f>IF($C$12&lt;DN219,0,IF(DN219&lt;$C$11,0,$C$4))</f>
        <v>3582</v>
      </c>
      <c r="DO221" s="311"/>
      <c r="DP221" s="312"/>
      <c r="DQ221" s="312"/>
      <c r="DR221" s="311"/>
      <c r="DS221" s="311"/>
      <c r="DT221" s="541">
        <f>IF($C$12&lt;DT219,0,IF(DT219&lt;$C$11,0,$C$4))</f>
        <v>3582</v>
      </c>
      <c r="DU221" s="311"/>
      <c r="DV221" s="312"/>
      <c r="DW221" s="312"/>
      <c r="DX221" s="311"/>
      <c r="DY221" s="311"/>
      <c r="DZ221" s="541">
        <f>IF($C$12&lt;DZ219,0,IF(DZ219&lt;$C$11,0,$C$4))</f>
        <v>3582</v>
      </c>
      <c r="EA221" s="311"/>
      <c r="EB221" s="312"/>
      <c r="EC221" s="312"/>
      <c r="ED221" s="311"/>
      <c r="EE221" s="311"/>
      <c r="EF221" s="541">
        <f>IF($C$12&lt;EF219,0,IF(EF219&lt;$C$11,0,$C$4))</f>
        <v>3582</v>
      </c>
      <c r="EG221" s="311"/>
      <c r="EH221" s="312"/>
      <c r="EI221" s="312"/>
      <c r="EJ221" s="311"/>
      <c r="EK221" s="311"/>
      <c r="EL221" s="541">
        <f>IF($C$12&lt;EL219,0,IF(EL219&lt;$C$11,0,$C$4))</f>
        <v>3582</v>
      </c>
      <c r="EM221" s="311"/>
      <c r="EN221" s="312"/>
      <c r="EO221" s="312"/>
      <c r="EP221" s="311"/>
      <c r="EQ221" s="311"/>
      <c r="ER221" s="541">
        <f>IF($C$12&lt;ER219,0,IF(ER219&lt;$C$11,0,$C$4))</f>
        <v>3582</v>
      </c>
      <c r="ES221" s="311"/>
      <c r="ET221" s="312"/>
      <c r="EU221" s="312"/>
      <c r="EV221" s="311"/>
      <c r="EW221" s="311"/>
      <c r="EX221" s="541">
        <f>IF($C$12&lt;EX219,0,IF(EX219&lt;$C$11,0,$C$4))</f>
        <v>3582</v>
      </c>
      <c r="EY221" s="311"/>
      <c r="EZ221" s="312"/>
      <c r="FA221" s="312"/>
      <c r="FB221" s="311"/>
      <c r="FC221" s="311"/>
      <c r="FD221" s="541">
        <f>IF($C$12&lt;FD219,0,IF(FD219&lt;$C$11,0,$C$4))</f>
        <v>3582</v>
      </c>
      <c r="FE221" s="311"/>
      <c r="FF221" s="312"/>
      <c r="FG221" s="312"/>
      <c r="FH221" s="311"/>
      <c r="FI221" s="311"/>
      <c r="FJ221" s="541">
        <f>IF($C$12&lt;FJ219,0,IF(FJ219&lt;$C$11,0,$C$4))</f>
        <v>3582</v>
      </c>
      <c r="FK221" s="311"/>
      <c r="FL221" s="312"/>
      <c r="FM221" s="312"/>
      <c r="FN221" s="311"/>
      <c r="FO221" s="311"/>
      <c r="FP221" s="541">
        <f>IF($C$12&lt;FP219,0,IF(FP219&lt;$C$11,0,$C$4))</f>
        <v>3582</v>
      </c>
      <c r="FQ221" s="311"/>
      <c r="FR221" s="312"/>
      <c r="FS221" s="312"/>
      <c r="FT221" s="311"/>
      <c r="FU221" s="311"/>
      <c r="FV221" s="541">
        <f>IF($C$12&lt;FV219,0,IF(FV219&lt;$C$11,0,$C$4))</f>
        <v>3582</v>
      </c>
      <c r="FW221" s="311"/>
      <c r="FX221" s="312"/>
      <c r="FY221" s="312"/>
      <c r="FZ221" s="311"/>
      <c r="GA221" s="311"/>
      <c r="GB221" s="541">
        <f>IF($C$12&lt;GB219,0,IF(GB219&lt;$C$11,0,$C$4))</f>
        <v>3582</v>
      </c>
      <c r="GC221" s="311"/>
      <c r="GD221" s="312"/>
      <c r="GE221" s="312"/>
      <c r="GF221" s="311"/>
      <c r="GG221" s="311"/>
      <c r="GH221" s="541">
        <f>IF($C$12&lt;GH219,0,IF(GH219&lt;$C$11,0,$C$4))</f>
        <v>3582</v>
      </c>
      <c r="GI221" s="311"/>
      <c r="GJ221" s="312"/>
      <c r="GK221" s="312"/>
      <c r="GL221" s="311"/>
      <c r="GM221" s="311"/>
      <c r="GN221" s="541">
        <f>IF($C$12&lt;GN219,0,IF(GN219&lt;$C$11,0,$C$4))</f>
        <v>3582</v>
      </c>
      <c r="GO221" s="311"/>
      <c r="GP221" s="312"/>
      <c r="GQ221" s="312"/>
      <c r="GR221" s="311"/>
      <c r="GS221" s="311"/>
      <c r="GT221" s="541">
        <f>IF($C$12&lt;GT219,0,IF(GT219&lt;$C$11,0,$C$4))</f>
        <v>3582</v>
      </c>
      <c r="GU221" s="311"/>
      <c r="GV221" s="312"/>
      <c r="GW221" s="312"/>
      <c r="GX221" s="311"/>
      <c r="GY221" s="311"/>
      <c r="GZ221" s="545">
        <f>IF($C$12&lt;GZ219,0,IF(GZ219&lt;$C$11,0,$C$4))</f>
        <v>3582</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3152.16</v>
      </c>
      <c r="V222" s="551">
        <f>IF($C$12&lt;V219,0,IF(V219&lt;$C$11,0,$C$5))</f>
        <v>3152.16</v>
      </c>
      <c r="W222" s="552"/>
      <c r="X222" s="553"/>
      <c r="Y222" s="553"/>
      <c r="Z222" s="552"/>
      <c r="AA222" s="552"/>
      <c r="AB222" s="551">
        <f>IF($C$12&lt;AB219,0,IF(AB219&lt;$C$11,0,$C$5))</f>
        <v>3152.16</v>
      </c>
      <c r="AC222" s="313"/>
      <c r="AD222" s="314"/>
      <c r="AE222" s="314"/>
      <c r="AF222" s="313"/>
      <c r="AG222" s="313"/>
      <c r="AH222" s="551">
        <f>IF($C$12&lt;AH219,0,IF(AH219&lt;$C$11,0,$C$5))</f>
        <v>3152.16</v>
      </c>
      <c r="AI222" s="552"/>
      <c r="AJ222" s="553"/>
      <c r="AK222" s="553"/>
      <c r="AL222" s="552"/>
      <c r="AM222" s="552"/>
      <c r="AN222" s="551">
        <f>IF($C$12&lt;AN219,0,IF(AN219&lt;$C$11,0,$C$5))</f>
        <v>3152.16</v>
      </c>
      <c r="AO222" s="552"/>
      <c r="AP222" s="553"/>
      <c r="AQ222" s="553"/>
      <c r="AR222" s="552"/>
      <c r="AS222" s="552"/>
      <c r="AT222" s="551">
        <f>IF($C$12&lt;AT219,0,IF(AT219&lt;$C$11,0,$C$5))</f>
        <v>3152.16</v>
      </c>
      <c r="AU222" s="313"/>
      <c r="AV222" s="314"/>
      <c r="AW222" s="314"/>
      <c r="AX222" s="313"/>
      <c r="AY222" s="313"/>
      <c r="AZ222" s="551">
        <f>IF($C$12&lt;AZ219,0,IF(AZ219&lt;$C$11,0,$C$5))</f>
        <v>3152.16</v>
      </c>
      <c r="BA222" s="313"/>
      <c r="BB222" s="314"/>
      <c r="BC222" s="314"/>
      <c r="BD222" s="313"/>
      <c r="BE222" s="313"/>
      <c r="BF222" s="551">
        <f>IF($C$12&lt;BF219,0,IF(BF219&lt;$C$11,0,$C$5))</f>
        <v>3152.16</v>
      </c>
      <c r="BG222" s="313"/>
      <c r="BH222" s="314"/>
      <c r="BI222" s="314"/>
      <c r="BJ222" s="313"/>
      <c r="BK222" s="313"/>
      <c r="BL222" s="551">
        <f>IF($C$12&lt;BL219,0,IF(BL219&lt;$C$11,0,$C$5))</f>
        <v>3152.16</v>
      </c>
      <c r="BM222" s="313"/>
      <c r="BN222" s="314"/>
      <c r="BO222" s="314"/>
      <c r="BP222" s="313"/>
      <c r="BQ222" s="313"/>
      <c r="BR222" s="551">
        <f>IF($C$12&lt;BR219,0,IF(BR219&lt;$C$11,0,$C$5))</f>
        <v>3152.16</v>
      </c>
      <c r="BS222" s="313"/>
      <c r="BT222" s="314"/>
      <c r="BU222" s="314"/>
      <c r="BV222" s="313"/>
      <c r="BW222" s="313"/>
      <c r="BX222" s="551">
        <f>IF($C$12&lt;BX219,0,IF(BX219&lt;$C$11,0,$C$5))</f>
        <v>3152.16</v>
      </c>
      <c r="BY222" s="313"/>
      <c r="BZ222" s="314"/>
      <c r="CA222" s="314"/>
      <c r="CB222" s="313"/>
      <c r="CC222" s="313"/>
      <c r="CD222" s="551">
        <f>IF($C$12&lt;CD219,0,IF(CD219&lt;$C$11,0,$C$5))</f>
        <v>3152.16</v>
      </c>
      <c r="CE222" s="313"/>
      <c r="CF222" s="314"/>
      <c r="CG222" s="314"/>
      <c r="CH222" s="313"/>
      <c r="CI222" s="313"/>
      <c r="CJ222" s="551">
        <f>IF($C$12&lt;CJ219,0,IF(CJ219&lt;$C$11,0,$C$5))</f>
        <v>3152.16</v>
      </c>
      <c r="CK222" s="313"/>
      <c r="CL222" s="314"/>
      <c r="CM222" s="314"/>
      <c r="CN222" s="313"/>
      <c r="CO222" s="313"/>
      <c r="CP222" s="551">
        <f>IF($C$12&lt;CP219,0,IF(CP219&lt;$C$11,0,$C$5))</f>
        <v>3152.16</v>
      </c>
      <c r="CQ222" s="313"/>
      <c r="CR222" s="314"/>
      <c r="CS222" s="314"/>
      <c r="CT222" s="313"/>
      <c r="CU222" s="313"/>
      <c r="CV222" s="551">
        <f>IF($C$12&lt;CV219,0,IF(CV219&lt;$C$11,0,$C$5))</f>
        <v>3152.16</v>
      </c>
      <c r="CW222" s="554"/>
      <c r="CX222" s="553"/>
      <c r="CY222" s="553"/>
      <c r="CZ222" s="554"/>
      <c r="DA222" s="554"/>
      <c r="DB222" s="551">
        <f>IF($C$12&lt;DB219,0,IF(DB219&lt;$C$11,0,$C$5))</f>
        <v>3152.16</v>
      </c>
      <c r="DC222" s="313"/>
      <c r="DD222" s="314"/>
      <c r="DE222" s="314"/>
      <c r="DF222" s="313"/>
      <c r="DG222" s="313"/>
      <c r="DH222" s="551">
        <f>IF($C$12&lt;DH219,0,IF(DH219&lt;$C$11,0,$C$5))</f>
        <v>3152.16</v>
      </c>
      <c r="DI222" s="313"/>
      <c r="DJ222" s="314"/>
      <c r="DK222" s="314"/>
      <c r="DL222" s="313"/>
      <c r="DM222" s="313"/>
      <c r="DN222" s="551">
        <f>IF($C$12&lt;DN219,0,IF(DN219&lt;$C$11,0,$C$5))</f>
        <v>3152.16</v>
      </c>
      <c r="DO222" s="313"/>
      <c r="DP222" s="314"/>
      <c r="DQ222" s="314"/>
      <c r="DR222" s="313"/>
      <c r="DS222" s="313"/>
      <c r="DT222" s="551">
        <f>IF($C$12&lt;DT219,0,IF(DT219&lt;$C$11,0,$C$5))</f>
        <v>3152.16</v>
      </c>
      <c r="DU222" s="313"/>
      <c r="DV222" s="314"/>
      <c r="DW222" s="314"/>
      <c r="DX222" s="313"/>
      <c r="DY222" s="313"/>
      <c r="DZ222" s="551">
        <f>IF($C$12&lt;DZ219,0,IF(DZ219&lt;$C$11,0,$C$5))</f>
        <v>3152.16</v>
      </c>
      <c r="EA222" s="313"/>
      <c r="EB222" s="314"/>
      <c r="EC222" s="314"/>
      <c r="ED222" s="313"/>
      <c r="EE222" s="313"/>
      <c r="EF222" s="551">
        <f>IF($C$12&lt;EF219,0,IF(EF219&lt;$C$11,0,$C$5))</f>
        <v>3152.16</v>
      </c>
      <c r="EG222" s="313"/>
      <c r="EH222" s="314"/>
      <c r="EI222" s="314"/>
      <c r="EJ222" s="313"/>
      <c r="EK222" s="313"/>
      <c r="EL222" s="551">
        <f>IF($C$12&lt;EL219,0,IF(EL219&lt;$C$11,0,$C$5))</f>
        <v>3152.16</v>
      </c>
      <c r="EM222" s="313"/>
      <c r="EN222" s="314"/>
      <c r="EO222" s="314"/>
      <c r="EP222" s="313"/>
      <c r="EQ222" s="313"/>
      <c r="ER222" s="551">
        <f>IF($C$12&lt;ER219,0,IF(ER219&lt;$C$11,0,$C$5))</f>
        <v>3152.16</v>
      </c>
      <c r="ES222" s="313"/>
      <c r="ET222" s="314"/>
      <c r="EU222" s="314"/>
      <c r="EV222" s="313"/>
      <c r="EW222" s="313"/>
      <c r="EX222" s="551">
        <f>IF($C$12&lt;EX219,0,IF(EX219&lt;$C$11,0,$C$5))</f>
        <v>3152.16</v>
      </c>
      <c r="EY222" s="313"/>
      <c r="EZ222" s="314"/>
      <c r="FA222" s="314"/>
      <c r="FB222" s="313"/>
      <c r="FC222" s="313"/>
      <c r="FD222" s="551">
        <f>IF($C$12&lt;FD219,0,IF(FD219&lt;$C$11,0,$C$5))</f>
        <v>3152.16</v>
      </c>
      <c r="FE222" s="313"/>
      <c r="FF222" s="314"/>
      <c r="FG222" s="314"/>
      <c r="FH222" s="313"/>
      <c r="FI222" s="313"/>
      <c r="FJ222" s="551">
        <f>IF($C$12&lt;FJ219,0,IF(FJ219&lt;$C$11,0,$C$5))</f>
        <v>3152.16</v>
      </c>
      <c r="FK222" s="313"/>
      <c r="FL222" s="314"/>
      <c r="FM222" s="314"/>
      <c r="FN222" s="313"/>
      <c r="FO222" s="313"/>
      <c r="FP222" s="551">
        <f>IF($C$12&lt;FP219,0,IF(FP219&lt;$C$11,0,$C$5))</f>
        <v>3152.16</v>
      </c>
      <c r="FQ222" s="313"/>
      <c r="FR222" s="314"/>
      <c r="FS222" s="314"/>
      <c r="FT222" s="313"/>
      <c r="FU222" s="313"/>
      <c r="FV222" s="551">
        <f>IF($C$12&lt;FV219,0,IF(FV219&lt;$C$11,0,$C$5))</f>
        <v>3152.16</v>
      </c>
      <c r="FW222" s="313"/>
      <c r="FX222" s="314"/>
      <c r="FY222" s="314"/>
      <c r="FZ222" s="313"/>
      <c r="GA222" s="313"/>
      <c r="GB222" s="551">
        <f>IF($C$12&lt;GB219,0,IF(GB219&lt;$C$11,0,$C$5))</f>
        <v>3152.16</v>
      </c>
      <c r="GC222" s="313"/>
      <c r="GD222" s="314"/>
      <c r="GE222" s="314"/>
      <c r="GF222" s="313"/>
      <c r="GG222" s="313"/>
      <c r="GH222" s="551">
        <f>IF($C$12&lt;GH219,0,IF(GH219&lt;$C$11,0,$C$5))</f>
        <v>3152.16</v>
      </c>
      <c r="GI222" s="313"/>
      <c r="GJ222" s="314"/>
      <c r="GK222" s="314"/>
      <c r="GL222" s="313"/>
      <c r="GM222" s="313"/>
      <c r="GN222" s="551">
        <f>IF($C$12&lt;GN219,0,IF(GN219&lt;$C$11,0,$C$5))</f>
        <v>3152.16</v>
      </c>
      <c r="GO222" s="313"/>
      <c r="GP222" s="314"/>
      <c r="GQ222" s="314"/>
      <c r="GR222" s="313"/>
      <c r="GS222" s="313"/>
      <c r="GT222" s="551">
        <f>IF($C$12&lt;GT219,0,IF(GT219&lt;$C$11,0,$C$5))</f>
        <v>3152.16</v>
      </c>
      <c r="GU222" s="313"/>
      <c r="GV222" s="314"/>
      <c r="GW222" s="314"/>
      <c r="GX222" s="313"/>
      <c r="GY222" s="313"/>
      <c r="GZ222" s="555">
        <f>IF($C$12&lt;GZ219,0,IF(GZ219&lt;$C$11,0,$C$5))</f>
        <v>3152.16</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0</v>
      </c>
      <c r="AU223" s="311"/>
      <c r="AV223" s="312"/>
      <c r="AW223" s="312"/>
      <c r="AX223" s="311"/>
      <c r="AY223" s="311"/>
      <c r="AZ223" s="563">
        <f>SUM(BA44:BA216)</f>
        <v>83862.249599999981</v>
      </c>
      <c r="BA223" s="311"/>
      <c r="BB223" s="312"/>
      <c r="BC223" s="312"/>
      <c r="BD223" s="311"/>
      <c r="BE223" s="311"/>
      <c r="BF223" s="563">
        <f>SUM(BG44:BG216)</f>
        <v>194626.3248</v>
      </c>
      <c r="BG223" s="311"/>
      <c r="BH223" s="312"/>
      <c r="BI223" s="312"/>
      <c r="BJ223" s="311"/>
      <c r="BK223" s="311"/>
      <c r="BL223" s="563">
        <f>SUM(BM44:BM216)</f>
        <v>13219.516799999999</v>
      </c>
      <c r="BM223" s="311"/>
      <c r="BN223" s="312"/>
      <c r="BO223" s="312"/>
      <c r="BP223" s="311"/>
      <c r="BQ223" s="311"/>
      <c r="BR223" s="563">
        <f>SUM(BS44:BS216)</f>
        <v>13219.516799999999</v>
      </c>
      <c r="BS223" s="311"/>
      <c r="BT223" s="312"/>
      <c r="BU223" s="312"/>
      <c r="BV223" s="311"/>
      <c r="BW223" s="311"/>
      <c r="BX223" s="563">
        <f>SUM(BY44:BY216)</f>
        <v>13219.516799999999</v>
      </c>
      <c r="BY223" s="311"/>
      <c r="BZ223" s="312"/>
      <c r="CA223" s="312"/>
      <c r="CB223" s="311"/>
      <c r="CC223" s="311"/>
      <c r="CD223" s="563">
        <f>SUM(CE44:CE216)</f>
        <v>13219.516799999999</v>
      </c>
      <c r="CE223" s="311"/>
      <c r="CF223" s="312"/>
      <c r="CG223" s="312"/>
      <c r="CH223" s="311"/>
      <c r="CI223" s="311"/>
      <c r="CJ223" s="563">
        <f>SUM(CK44:CK216)</f>
        <v>13219.516799999999</v>
      </c>
      <c r="CK223" s="311"/>
      <c r="CL223" s="312"/>
      <c r="CM223" s="312"/>
      <c r="CN223" s="311"/>
      <c r="CO223" s="311"/>
      <c r="CP223" s="563">
        <f>SUM(CQ44:CQ216)</f>
        <v>13219.516799999999</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39658.550399999993</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0</v>
      </c>
      <c r="AU224" s="574"/>
      <c r="AV224" s="575"/>
      <c r="AW224" s="575"/>
      <c r="AX224" s="574"/>
      <c r="AY224" s="574"/>
      <c r="AZ224" s="576">
        <f>AT224+AZ223</f>
        <v>83862.249599999981</v>
      </c>
      <c r="BA224" s="315"/>
      <c r="BB224" s="316"/>
      <c r="BC224" s="316"/>
      <c r="BD224" s="315"/>
      <c r="BE224" s="315"/>
      <c r="BF224" s="576">
        <f>AZ224+BF223</f>
        <v>278488.57439999998</v>
      </c>
      <c r="BG224" s="315"/>
      <c r="BH224" s="316"/>
      <c r="BI224" s="316"/>
      <c r="BJ224" s="315"/>
      <c r="BK224" s="315"/>
      <c r="BL224" s="576">
        <f>BF224+BL223</f>
        <v>291708.09119999997</v>
      </c>
      <c r="BM224" s="315"/>
      <c r="BN224" s="316"/>
      <c r="BO224" s="316"/>
      <c r="BP224" s="315"/>
      <c r="BQ224" s="315"/>
      <c r="BR224" s="576">
        <f>BL224+BR223</f>
        <v>304927.60799999995</v>
      </c>
      <c r="BS224" s="574"/>
      <c r="BT224" s="575"/>
      <c r="BU224" s="575"/>
      <c r="BV224" s="574"/>
      <c r="BW224" s="574"/>
      <c r="BX224" s="576">
        <f>BR224+BX223</f>
        <v>318147.12479999993</v>
      </c>
      <c r="BY224" s="315"/>
      <c r="BZ224" s="316"/>
      <c r="CA224" s="316"/>
      <c r="CB224" s="315"/>
      <c r="CC224" s="315"/>
      <c r="CD224" s="576">
        <f>BX224+CD223</f>
        <v>331366.64159999992</v>
      </c>
      <c r="CE224" s="315"/>
      <c r="CF224" s="316"/>
      <c r="CG224" s="316"/>
      <c r="CH224" s="315"/>
      <c r="CI224" s="315"/>
      <c r="CJ224" s="576">
        <f>CD224+CJ223</f>
        <v>344586.1583999999</v>
      </c>
      <c r="CK224" s="315"/>
      <c r="CL224" s="316"/>
      <c r="CM224" s="316"/>
      <c r="CN224" s="315"/>
      <c r="CO224" s="315"/>
      <c r="CP224" s="576">
        <f>CJ224+CP223</f>
        <v>357805.67519999988</v>
      </c>
      <c r="CQ224" s="577"/>
      <c r="CR224" s="575"/>
      <c r="CS224" s="575"/>
      <c r="CT224" s="577"/>
      <c r="CU224" s="577"/>
      <c r="CV224" s="576">
        <f>CP224+CV223</f>
        <v>357805.67519999988</v>
      </c>
      <c r="CW224" s="577"/>
      <c r="CX224" s="575"/>
      <c r="CY224" s="575"/>
      <c r="CZ224" s="577"/>
      <c r="DA224" s="577"/>
      <c r="DB224" s="576">
        <f>CV224+DB223</f>
        <v>357805.67519999988</v>
      </c>
      <c r="DC224" s="315"/>
      <c r="DD224" s="316"/>
      <c r="DE224" s="316"/>
      <c r="DF224" s="315"/>
      <c r="DG224" s="315"/>
      <c r="DH224" s="576">
        <f>DB224+DH223</f>
        <v>357805.67519999988</v>
      </c>
      <c r="DI224" s="315"/>
      <c r="DJ224" s="316"/>
      <c r="DK224" s="316"/>
      <c r="DL224" s="315"/>
      <c r="DM224" s="315"/>
      <c r="DN224" s="576">
        <f>DH224+DN223</f>
        <v>357805.67519999988</v>
      </c>
      <c r="DO224" s="315"/>
      <c r="DP224" s="316"/>
      <c r="DQ224" s="316"/>
      <c r="DR224" s="315"/>
      <c r="DS224" s="315"/>
      <c r="DT224" s="576">
        <f>DN224+DT223</f>
        <v>397464.22559999989</v>
      </c>
      <c r="DU224" s="315"/>
      <c r="DV224" s="316"/>
      <c r="DW224" s="316"/>
      <c r="DX224" s="315"/>
      <c r="DY224" s="315"/>
      <c r="DZ224" s="576">
        <f>DT224+DZ223</f>
        <v>397464.22559999989</v>
      </c>
      <c r="EA224" s="315"/>
      <c r="EB224" s="316"/>
      <c r="EC224" s="316"/>
      <c r="ED224" s="315"/>
      <c r="EE224" s="315"/>
      <c r="EF224" s="576">
        <f>DZ224+EF223</f>
        <v>397464.22559999989</v>
      </c>
      <c r="EG224" s="315"/>
      <c r="EH224" s="316"/>
      <c r="EI224" s="316"/>
      <c r="EJ224" s="315"/>
      <c r="EK224" s="315"/>
      <c r="EL224" s="576">
        <f>EF224+EL223</f>
        <v>397464.22559999989</v>
      </c>
      <c r="EM224" s="315"/>
      <c r="EN224" s="316"/>
      <c r="EO224" s="316"/>
      <c r="EP224" s="315"/>
      <c r="EQ224" s="315"/>
      <c r="ER224" s="576">
        <f>EL224+ER223</f>
        <v>397464.22559999989</v>
      </c>
      <c r="ES224" s="315"/>
      <c r="ET224" s="316"/>
      <c r="EU224" s="316"/>
      <c r="EV224" s="315"/>
      <c r="EW224" s="315"/>
      <c r="EX224" s="576">
        <f>ER224+EX223</f>
        <v>397464.22559999989</v>
      </c>
      <c r="EY224" s="315"/>
      <c r="EZ224" s="316"/>
      <c r="FA224" s="316"/>
      <c r="FB224" s="315"/>
      <c r="FC224" s="315"/>
      <c r="FD224" s="576">
        <f>EX224+FD223</f>
        <v>397464.22559999989</v>
      </c>
      <c r="FE224" s="315"/>
      <c r="FF224" s="316"/>
      <c r="FG224" s="316"/>
      <c r="FH224" s="315"/>
      <c r="FI224" s="315"/>
      <c r="FJ224" s="576">
        <f>FD224+FJ223</f>
        <v>397464.22559999989</v>
      </c>
      <c r="FK224" s="315"/>
      <c r="FL224" s="316"/>
      <c r="FM224" s="316"/>
      <c r="FN224" s="315"/>
      <c r="FO224" s="315"/>
      <c r="FP224" s="576">
        <f>FJ224+FP223</f>
        <v>397464.22559999989</v>
      </c>
      <c r="FQ224" s="315"/>
      <c r="FR224" s="316"/>
      <c r="FS224" s="316"/>
      <c r="FT224" s="315"/>
      <c r="FU224" s="315"/>
      <c r="FV224" s="576">
        <f>FP224+FV223</f>
        <v>397464.22559999989</v>
      </c>
      <c r="FW224" s="315"/>
      <c r="FX224" s="316"/>
      <c r="FY224" s="316"/>
      <c r="FZ224" s="315"/>
      <c r="GA224" s="315"/>
      <c r="GB224" s="576">
        <f>FV224+GB223</f>
        <v>397464.22559999989</v>
      </c>
      <c r="GC224" s="315"/>
      <c r="GD224" s="316"/>
      <c r="GE224" s="316"/>
      <c r="GF224" s="315"/>
      <c r="GG224" s="315"/>
      <c r="GH224" s="576">
        <f>GB224+GH223</f>
        <v>397464.22559999989</v>
      </c>
      <c r="GI224" s="315"/>
      <c r="GJ224" s="316"/>
      <c r="GK224" s="316"/>
      <c r="GL224" s="315"/>
      <c r="GM224" s="315"/>
      <c r="GN224" s="576">
        <f>GH224+GN223</f>
        <v>397464.22559999989</v>
      </c>
      <c r="GO224" s="315"/>
      <c r="GP224" s="316"/>
      <c r="GQ224" s="316"/>
      <c r="GR224" s="315"/>
      <c r="GS224" s="315"/>
      <c r="GT224" s="576">
        <f>GN224+GT223</f>
        <v>397464.22559999989</v>
      </c>
      <c r="GU224" s="315"/>
      <c r="GV224" s="316"/>
      <c r="GW224" s="316"/>
      <c r="GX224" s="315"/>
      <c r="GY224" s="315"/>
      <c r="GZ224" s="578">
        <f>GT224+GZ223</f>
        <v>397464.22559999989</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0</v>
      </c>
      <c r="AU225" s="574"/>
      <c r="AV225" s="575"/>
      <c r="AW225" s="575"/>
      <c r="AX225" s="574"/>
      <c r="AY225" s="574"/>
      <c r="AZ225" s="576">
        <f>SUM(BE44:BE216)</f>
        <v>15660.0036720684</v>
      </c>
      <c r="BA225" s="315"/>
      <c r="BB225" s="316"/>
      <c r="BC225" s="316"/>
      <c r="BD225" s="315"/>
      <c r="BE225" s="315"/>
      <c r="BF225" s="576">
        <f>SUM(BK44:BK216)</f>
        <v>23221.354862654429</v>
      </c>
      <c r="BG225" s="315"/>
      <c r="BH225" s="316"/>
      <c r="BI225" s="316"/>
      <c r="BJ225" s="315"/>
      <c r="BK225" s="315"/>
      <c r="BL225" s="576">
        <f>SUM(BQ44:BQ216)</f>
        <v>2580.7744226544287</v>
      </c>
      <c r="BM225" s="315"/>
      <c r="BN225" s="316"/>
      <c r="BO225" s="316"/>
      <c r="BP225" s="315"/>
      <c r="BQ225" s="315"/>
      <c r="BR225" s="576">
        <f>SUM(BW44:BW216)</f>
        <v>2580.7744226544287</v>
      </c>
      <c r="BS225" s="574"/>
      <c r="BT225" s="575"/>
      <c r="BU225" s="575"/>
      <c r="BV225" s="574"/>
      <c r="BW225" s="574"/>
      <c r="BX225" s="576">
        <f>SUM(CC44:CC216)</f>
        <v>2580.7744226544287</v>
      </c>
      <c r="BY225" s="315"/>
      <c r="BZ225" s="316"/>
      <c r="CA225" s="316"/>
      <c r="CB225" s="315"/>
      <c r="CC225" s="315"/>
      <c r="CD225" s="576">
        <f>SUM(CI44:CI216)</f>
        <v>2580.7744226544287</v>
      </c>
      <c r="CE225" s="315"/>
      <c r="CF225" s="316"/>
      <c r="CG225" s="316"/>
      <c r="CH225" s="315"/>
      <c r="CI225" s="315"/>
      <c r="CJ225" s="576">
        <f>SUM(CO44:CO216)</f>
        <v>2580.7744226544287</v>
      </c>
      <c r="CK225" s="315"/>
      <c r="CL225" s="316"/>
      <c r="CM225" s="316"/>
      <c r="CN225" s="315"/>
      <c r="CO225" s="315"/>
      <c r="CP225" s="576">
        <f>SUM(CU44:CU216)</f>
        <v>2580.7744226544287</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7742.3232679632847</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0</v>
      </c>
      <c r="AU226" s="552"/>
      <c r="AV226" s="553"/>
      <c r="AW226" s="553"/>
      <c r="AX226" s="552"/>
      <c r="AY226" s="552"/>
      <c r="AZ226" s="589">
        <f>AT226+AZ251</f>
        <v>15660.0036720684</v>
      </c>
      <c r="BA226" s="313"/>
      <c r="BB226" s="314"/>
      <c r="BC226" s="314"/>
      <c r="BD226" s="313"/>
      <c r="BE226" s="313"/>
      <c r="BF226" s="589">
        <f>AZ226+BF251</f>
        <v>54541.362206791229</v>
      </c>
      <c r="BG226" s="313"/>
      <c r="BH226" s="314"/>
      <c r="BI226" s="314"/>
      <c r="BJ226" s="313"/>
      <c r="BK226" s="313"/>
      <c r="BL226" s="589">
        <f>BF226+BL251</f>
        <v>96003.495164168489</v>
      </c>
      <c r="BM226" s="313"/>
      <c r="BN226" s="314"/>
      <c r="BO226" s="314"/>
      <c r="BP226" s="313"/>
      <c r="BQ226" s="313"/>
      <c r="BR226" s="589">
        <f>BL226+BR251</f>
        <v>140046.40254420019</v>
      </c>
      <c r="BS226" s="552"/>
      <c r="BT226" s="553"/>
      <c r="BU226" s="553"/>
      <c r="BV226" s="552"/>
      <c r="BW226" s="552"/>
      <c r="BX226" s="589">
        <f>BR226+BX251</f>
        <v>186670.08434688632</v>
      </c>
      <c r="BY226" s="313"/>
      <c r="BZ226" s="314"/>
      <c r="CA226" s="314"/>
      <c r="CB226" s="313"/>
      <c r="CC226" s="313"/>
      <c r="CD226" s="589">
        <f>BX226+CD251</f>
        <v>235874.54057222686</v>
      </c>
      <c r="CE226" s="313"/>
      <c r="CF226" s="314"/>
      <c r="CG226" s="314"/>
      <c r="CH226" s="313"/>
      <c r="CI226" s="313"/>
      <c r="CJ226" s="589">
        <f>CD226+CJ251</f>
        <v>287659.77122022182</v>
      </c>
      <c r="CK226" s="313"/>
      <c r="CL226" s="314"/>
      <c r="CM226" s="314"/>
      <c r="CN226" s="313"/>
      <c r="CO226" s="313"/>
      <c r="CP226" s="589">
        <f>CJ226+CP251</f>
        <v>342025.7762908712</v>
      </c>
      <c r="CQ226" s="554"/>
      <c r="CR226" s="553"/>
      <c r="CS226" s="553"/>
      <c r="CT226" s="554"/>
      <c r="CU226" s="554"/>
      <c r="CV226" s="589">
        <f>CP226+CV251</f>
        <v>396391.78136152058</v>
      </c>
      <c r="CW226" s="554"/>
      <c r="CX226" s="553"/>
      <c r="CY226" s="553"/>
      <c r="CZ226" s="554"/>
      <c r="DA226" s="554"/>
      <c r="DB226" s="589">
        <f>CV226+DB251</f>
        <v>450757.78643216996</v>
      </c>
      <c r="DC226" s="313"/>
      <c r="DD226" s="314"/>
      <c r="DE226" s="314"/>
      <c r="DF226" s="313"/>
      <c r="DG226" s="313"/>
      <c r="DH226" s="589">
        <f>DB226+DH251</f>
        <v>505123.79150281934</v>
      </c>
      <c r="DI226" s="313"/>
      <c r="DJ226" s="314"/>
      <c r="DK226" s="314"/>
      <c r="DL226" s="313"/>
      <c r="DM226" s="313"/>
      <c r="DN226" s="589">
        <f>DH226+DN251</f>
        <v>559489.79657346872</v>
      </c>
      <c r="DO226" s="313"/>
      <c r="DP226" s="314"/>
      <c r="DQ226" s="314"/>
      <c r="DR226" s="313"/>
      <c r="DS226" s="313"/>
      <c r="DT226" s="590">
        <f>DN226+DT251</f>
        <v>621598.1249120814</v>
      </c>
      <c r="DU226" s="313"/>
      <c r="DV226" s="314"/>
      <c r="DW226" s="314"/>
      <c r="DX226" s="313"/>
      <c r="DY226" s="313"/>
      <c r="DZ226" s="589">
        <f>DT226+DZ251</f>
        <v>683706.45325069409</v>
      </c>
      <c r="EA226" s="313"/>
      <c r="EB226" s="314"/>
      <c r="EC226" s="314"/>
      <c r="ED226" s="313"/>
      <c r="EE226" s="313"/>
      <c r="EF226" s="589">
        <f>DZ226+EF251</f>
        <v>745814.78158930677</v>
      </c>
      <c r="EG226" s="313"/>
      <c r="EH226" s="314"/>
      <c r="EI226" s="314"/>
      <c r="EJ226" s="313"/>
      <c r="EK226" s="313"/>
      <c r="EL226" s="589">
        <f>EF226+EL251</f>
        <v>807923.10992791946</v>
      </c>
      <c r="EM226" s="313"/>
      <c r="EN226" s="314"/>
      <c r="EO226" s="314"/>
      <c r="EP226" s="313"/>
      <c r="EQ226" s="313"/>
      <c r="ER226" s="589">
        <f>EL226+ER251</f>
        <v>870031.43826653215</v>
      </c>
      <c r="ES226" s="313"/>
      <c r="ET226" s="314"/>
      <c r="EU226" s="314"/>
      <c r="EV226" s="313"/>
      <c r="EW226" s="313"/>
      <c r="EX226" s="590">
        <f>ER226+EX251</f>
        <v>932139.76660514483</v>
      </c>
      <c r="EY226" s="313"/>
      <c r="EZ226" s="314"/>
      <c r="FA226" s="314"/>
      <c r="FB226" s="313"/>
      <c r="FC226" s="313"/>
      <c r="FD226" s="589">
        <f>EX226+FD251</f>
        <v>994248.09494375752</v>
      </c>
      <c r="FE226" s="313"/>
      <c r="FF226" s="314"/>
      <c r="FG226" s="314"/>
      <c r="FH226" s="313"/>
      <c r="FI226" s="313"/>
      <c r="FJ226" s="589">
        <f>FD226+FJ251</f>
        <v>1056356.4232823702</v>
      </c>
      <c r="FK226" s="313"/>
      <c r="FL226" s="314"/>
      <c r="FM226" s="314"/>
      <c r="FN226" s="313"/>
      <c r="FO226" s="313"/>
      <c r="FP226" s="589">
        <f>FJ226+FP251</f>
        <v>1118464.7516209828</v>
      </c>
      <c r="FQ226" s="313"/>
      <c r="FR226" s="314"/>
      <c r="FS226" s="314"/>
      <c r="FT226" s="313"/>
      <c r="FU226" s="313"/>
      <c r="FV226" s="589">
        <f>FP226+FV251</f>
        <v>1180573.0799595953</v>
      </c>
      <c r="FW226" s="313"/>
      <c r="FX226" s="314"/>
      <c r="FY226" s="314"/>
      <c r="FZ226" s="313"/>
      <c r="GA226" s="313"/>
      <c r="GB226" s="590">
        <f>FV226+GB251</f>
        <v>1242681.4082982079</v>
      </c>
      <c r="GC226" s="313"/>
      <c r="GD226" s="314"/>
      <c r="GE226" s="314"/>
      <c r="GF226" s="313"/>
      <c r="GG226" s="313"/>
      <c r="GH226" s="589">
        <f>GB226+GH251</f>
        <v>1304789.7366368205</v>
      </c>
      <c r="GI226" s="313"/>
      <c r="GJ226" s="314"/>
      <c r="GK226" s="314"/>
      <c r="GL226" s="313"/>
      <c r="GM226" s="313"/>
      <c r="GN226" s="589">
        <f>GH226+GN251</f>
        <v>1366898.0649754331</v>
      </c>
      <c r="GO226" s="313"/>
      <c r="GP226" s="314"/>
      <c r="GQ226" s="314"/>
      <c r="GR226" s="313"/>
      <c r="GS226" s="313"/>
      <c r="GT226" s="589">
        <f>GN226+GT251</f>
        <v>1429006.3933140456</v>
      </c>
      <c r="GU226" s="313"/>
      <c r="GV226" s="314"/>
      <c r="GW226" s="314"/>
      <c r="GX226" s="313"/>
      <c r="GY226" s="313"/>
      <c r="GZ226" s="591">
        <f>GT226+GZ251</f>
        <v>1491114.7216526582</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0</v>
      </c>
      <c r="AU228" s="542"/>
      <c r="AV228" s="543"/>
      <c r="AW228" s="543"/>
      <c r="AX228" s="542"/>
      <c r="AY228" s="542"/>
      <c r="AZ228" s="541">
        <f>SUM(BC44:BC216)</f>
        <v>23183.583354599999</v>
      </c>
      <c r="BA228" s="311"/>
      <c r="BB228" s="312"/>
      <c r="BC228" s="312"/>
      <c r="BD228" s="311"/>
      <c r="BE228" s="311"/>
      <c r="BF228" s="541">
        <f>SUM(BI44:BI216)</f>
        <v>66384.571900214287</v>
      </c>
      <c r="BG228" s="311"/>
      <c r="BH228" s="312"/>
      <c r="BI228" s="312"/>
      <c r="BJ228" s="311"/>
      <c r="BK228" s="311"/>
      <c r="BL228" s="541">
        <f>SUM(BO44:BO216)</f>
        <v>-9661.2880997857155</v>
      </c>
      <c r="BM228" s="311"/>
      <c r="BN228" s="312"/>
      <c r="BO228" s="312"/>
      <c r="BP228" s="311"/>
      <c r="BQ228" s="311"/>
      <c r="BR228" s="541">
        <f>SUM(BU44:BU216)</f>
        <v>-9661.2880997857155</v>
      </c>
      <c r="BS228" s="542"/>
      <c r="BT228" s="543"/>
      <c r="BU228" s="543"/>
      <c r="BV228" s="542"/>
      <c r="BW228" s="542"/>
      <c r="BX228" s="541">
        <f>SUM(CA44:CA216)</f>
        <v>-9661.2880997857155</v>
      </c>
      <c r="BY228" s="311"/>
      <c r="BZ228" s="312"/>
      <c r="CA228" s="312"/>
      <c r="CB228" s="311"/>
      <c r="CC228" s="311"/>
      <c r="CD228" s="541">
        <f>SUM(CG44:CG216)</f>
        <v>-9661.2880997857155</v>
      </c>
      <c r="CE228" s="311"/>
      <c r="CF228" s="312"/>
      <c r="CG228" s="312"/>
      <c r="CH228" s="311"/>
      <c r="CI228" s="311"/>
      <c r="CJ228" s="541">
        <f>SUM(CM44:CM216)</f>
        <v>-9661.2880997857155</v>
      </c>
      <c r="CK228" s="311"/>
      <c r="CL228" s="312"/>
      <c r="CM228" s="312"/>
      <c r="CN228" s="311"/>
      <c r="CO228" s="311"/>
      <c r="CP228" s="541">
        <f>SUM(CS44:CS216)</f>
        <v>-9661.2880997857155</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-28983.864299357141</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130162</v>
      </c>
      <c r="V229" s="604">
        <f>V$31</f>
        <v>130162</v>
      </c>
      <c r="W229" s="605"/>
      <c r="X229" s="606"/>
      <c r="Y229" s="606"/>
      <c r="Z229" s="605"/>
      <c r="AA229" s="605"/>
      <c r="AB229" s="604">
        <f>AB$31</f>
        <v>130162</v>
      </c>
      <c r="AC229" s="607"/>
      <c r="AD229" s="608"/>
      <c r="AE229" s="608"/>
      <c r="AF229" s="607"/>
      <c r="AG229" s="607"/>
      <c r="AH229" s="604">
        <f>AH$31</f>
        <v>130162</v>
      </c>
      <c r="AI229" s="605"/>
      <c r="AJ229" s="606"/>
      <c r="AK229" s="606"/>
      <c r="AL229" s="605"/>
      <c r="AM229" s="605"/>
      <c r="AN229" s="604">
        <f>AN$31</f>
        <v>130162</v>
      </c>
      <c r="AO229" s="439"/>
      <c r="AP229" s="530"/>
      <c r="AQ229" s="530"/>
      <c r="AR229" s="439"/>
      <c r="AS229" s="439"/>
      <c r="AT229" s="609">
        <f t="shared" ref="AT229:DE229" si="262">IF(AT222=0,0,IF(AT31&gt;0,AT31,AN229-AT228))</f>
        <v>130162</v>
      </c>
      <c r="AU229" s="609">
        <f t="shared" si="262"/>
        <v>0</v>
      </c>
      <c r="AV229" s="609">
        <f t="shared" si="262"/>
        <v>0</v>
      </c>
      <c r="AW229" s="609">
        <f t="shared" si="262"/>
        <v>0</v>
      </c>
      <c r="AX229" s="609">
        <f t="shared" si="262"/>
        <v>0</v>
      </c>
      <c r="AY229" s="609">
        <f t="shared" si="262"/>
        <v>0</v>
      </c>
      <c r="AZ229" s="609">
        <f t="shared" si="262"/>
        <v>106978.41664539999</v>
      </c>
      <c r="BA229" s="609">
        <f t="shared" si="262"/>
        <v>0</v>
      </c>
      <c r="BB229" s="609">
        <f t="shared" si="262"/>
        <v>0</v>
      </c>
      <c r="BC229" s="609">
        <f t="shared" si="262"/>
        <v>0</v>
      </c>
      <c r="BD229" s="609">
        <f t="shared" si="262"/>
        <v>0</v>
      </c>
      <c r="BE229" s="609">
        <f t="shared" si="262"/>
        <v>0</v>
      </c>
      <c r="BF229" s="609">
        <f t="shared" si="262"/>
        <v>40593.844745185706</v>
      </c>
      <c r="BG229" s="609">
        <f t="shared" si="262"/>
        <v>0</v>
      </c>
      <c r="BH229" s="609">
        <f t="shared" si="262"/>
        <v>0</v>
      </c>
      <c r="BI229" s="609">
        <f t="shared" si="262"/>
        <v>0</v>
      </c>
      <c r="BJ229" s="609">
        <f t="shared" si="262"/>
        <v>0</v>
      </c>
      <c r="BK229" s="609">
        <f t="shared" si="262"/>
        <v>0</v>
      </c>
      <c r="BL229" s="609">
        <f t="shared" si="262"/>
        <v>50255.13284497142</v>
      </c>
      <c r="BM229" s="609">
        <f t="shared" si="262"/>
        <v>0</v>
      </c>
      <c r="BN229" s="609">
        <f t="shared" si="262"/>
        <v>0</v>
      </c>
      <c r="BO229" s="609">
        <f t="shared" si="262"/>
        <v>0</v>
      </c>
      <c r="BP229" s="609">
        <f t="shared" si="262"/>
        <v>0</v>
      </c>
      <c r="BQ229" s="609">
        <f t="shared" si="262"/>
        <v>0</v>
      </c>
      <c r="BR229" s="609">
        <f t="shared" si="262"/>
        <v>59916.420944757134</v>
      </c>
      <c r="BS229" s="609">
        <f t="shared" si="262"/>
        <v>0</v>
      </c>
      <c r="BT229" s="609">
        <f t="shared" si="262"/>
        <v>0</v>
      </c>
      <c r="BU229" s="609">
        <f t="shared" si="262"/>
        <v>0</v>
      </c>
      <c r="BV229" s="609">
        <f t="shared" si="262"/>
        <v>0</v>
      </c>
      <c r="BW229" s="609">
        <f t="shared" si="262"/>
        <v>0</v>
      </c>
      <c r="BX229" s="609">
        <f t="shared" si="262"/>
        <v>69577.709044542848</v>
      </c>
      <c r="BY229" s="609">
        <f t="shared" si="262"/>
        <v>0</v>
      </c>
      <c r="BZ229" s="609">
        <f t="shared" si="262"/>
        <v>0</v>
      </c>
      <c r="CA229" s="609">
        <f t="shared" si="262"/>
        <v>0</v>
      </c>
      <c r="CB229" s="609">
        <f t="shared" si="262"/>
        <v>0</v>
      </c>
      <c r="CC229" s="609">
        <f t="shared" si="262"/>
        <v>0</v>
      </c>
      <c r="CD229" s="609">
        <f t="shared" si="262"/>
        <v>79238.997144328561</v>
      </c>
      <c r="CE229" s="609">
        <f t="shared" si="262"/>
        <v>0</v>
      </c>
      <c r="CF229" s="609">
        <f t="shared" si="262"/>
        <v>0</v>
      </c>
      <c r="CG229" s="609">
        <f t="shared" si="262"/>
        <v>0</v>
      </c>
      <c r="CH229" s="609">
        <f t="shared" si="262"/>
        <v>0</v>
      </c>
      <c r="CI229" s="609">
        <f t="shared" si="262"/>
        <v>0</v>
      </c>
      <c r="CJ229" s="609">
        <f t="shared" si="262"/>
        <v>88900.285244114275</v>
      </c>
      <c r="CK229" s="609">
        <f t="shared" si="262"/>
        <v>0</v>
      </c>
      <c r="CL229" s="609">
        <f t="shared" si="262"/>
        <v>0</v>
      </c>
      <c r="CM229" s="609">
        <f t="shared" si="262"/>
        <v>0</v>
      </c>
      <c r="CN229" s="609">
        <f t="shared" si="262"/>
        <v>0</v>
      </c>
      <c r="CO229" s="609">
        <f t="shared" si="262"/>
        <v>0</v>
      </c>
      <c r="CP229" s="609">
        <f t="shared" si="262"/>
        <v>98561.573343899989</v>
      </c>
      <c r="CQ229" s="609">
        <f t="shared" si="262"/>
        <v>0</v>
      </c>
      <c r="CR229" s="609">
        <f t="shared" si="262"/>
        <v>0</v>
      </c>
      <c r="CS229" s="609">
        <f t="shared" si="262"/>
        <v>0</v>
      </c>
      <c r="CT229" s="609">
        <f t="shared" si="262"/>
        <v>0</v>
      </c>
      <c r="CU229" s="609">
        <f t="shared" si="262"/>
        <v>0</v>
      </c>
      <c r="CV229" s="609">
        <f t="shared" si="262"/>
        <v>98561.573343899989</v>
      </c>
      <c r="CW229" s="609">
        <f t="shared" si="262"/>
        <v>0</v>
      </c>
      <c r="CX229" s="609">
        <f t="shared" si="262"/>
        <v>0</v>
      </c>
      <c r="CY229" s="609">
        <f t="shared" si="262"/>
        <v>0</v>
      </c>
      <c r="CZ229" s="609">
        <f t="shared" si="262"/>
        <v>0</v>
      </c>
      <c r="DA229" s="609">
        <f t="shared" si="262"/>
        <v>0</v>
      </c>
      <c r="DB229" s="609">
        <f t="shared" si="262"/>
        <v>98561.573343899989</v>
      </c>
      <c r="DC229" s="609">
        <f t="shared" si="262"/>
        <v>0</v>
      </c>
      <c r="DD229" s="609">
        <f t="shared" si="262"/>
        <v>0</v>
      </c>
      <c r="DE229" s="609">
        <f t="shared" si="262"/>
        <v>0</v>
      </c>
      <c r="DF229" s="609">
        <f t="shared" ref="DF229:FQ229" si="263">IF(DF222=0,0,IF(DF31&gt;0,DF31,CZ229-DF228))</f>
        <v>0</v>
      </c>
      <c r="DG229" s="609">
        <f t="shared" si="263"/>
        <v>0</v>
      </c>
      <c r="DH229" s="609">
        <f t="shared" si="263"/>
        <v>98561.573343899989</v>
      </c>
      <c r="DI229" s="609">
        <f t="shared" si="263"/>
        <v>0</v>
      </c>
      <c r="DJ229" s="609">
        <f t="shared" si="263"/>
        <v>0</v>
      </c>
      <c r="DK229" s="609">
        <f t="shared" si="263"/>
        <v>0</v>
      </c>
      <c r="DL229" s="609">
        <f t="shared" si="263"/>
        <v>0</v>
      </c>
      <c r="DM229" s="609">
        <f t="shared" si="263"/>
        <v>0</v>
      </c>
      <c r="DN229" s="609">
        <f t="shared" si="263"/>
        <v>98561.573343899989</v>
      </c>
      <c r="DO229" s="609">
        <f t="shared" si="263"/>
        <v>0</v>
      </c>
      <c r="DP229" s="609">
        <f t="shared" si="263"/>
        <v>0</v>
      </c>
      <c r="DQ229" s="609">
        <f t="shared" si="263"/>
        <v>0</v>
      </c>
      <c r="DR229" s="609">
        <f t="shared" si="263"/>
        <v>0</v>
      </c>
      <c r="DS229" s="609">
        <f t="shared" si="263"/>
        <v>0</v>
      </c>
      <c r="DT229" s="609">
        <f t="shared" si="263"/>
        <v>127545.43764325713</v>
      </c>
      <c r="DU229" s="609">
        <f t="shared" si="263"/>
        <v>0</v>
      </c>
      <c r="DV229" s="609">
        <f t="shared" si="263"/>
        <v>0</v>
      </c>
      <c r="DW229" s="609">
        <f t="shared" si="263"/>
        <v>0</v>
      </c>
      <c r="DX229" s="609">
        <f t="shared" si="263"/>
        <v>0</v>
      </c>
      <c r="DY229" s="609">
        <f t="shared" si="263"/>
        <v>0</v>
      </c>
      <c r="DZ229" s="609">
        <f t="shared" si="263"/>
        <v>127545.43764325713</v>
      </c>
      <c r="EA229" s="609">
        <f t="shared" si="263"/>
        <v>0</v>
      </c>
      <c r="EB229" s="609">
        <f t="shared" si="263"/>
        <v>0</v>
      </c>
      <c r="EC229" s="609">
        <f t="shared" si="263"/>
        <v>0</v>
      </c>
      <c r="ED229" s="609">
        <f t="shared" si="263"/>
        <v>0</v>
      </c>
      <c r="EE229" s="609">
        <f t="shared" si="263"/>
        <v>0</v>
      </c>
      <c r="EF229" s="609">
        <f t="shared" si="263"/>
        <v>127545.43764325713</v>
      </c>
      <c r="EG229" s="609">
        <f t="shared" si="263"/>
        <v>0</v>
      </c>
      <c r="EH229" s="609">
        <f t="shared" si="263"/>
        <v>0</v>
      </c>
      <c r="EI229" s="609">
        <f t="shared" si="263"/>
        <v>0</v>
      </c>
      <c r="EJ229" s="609">
        <f t="shared" si="263"/>
        <v>0</v>
      </c>
      <c r="EK229" s="609">
        <f t="shared" si="263"/>
        <v>0</v>
      </c>
      <c r="EL229" s="609">
        <f t="shared" si="263"/>
        <v>127545.43764325713</v>
      </c>
      <c r="EM229" s="609">
        <f t="shared" si="263"/>
        <v>0</v>
      </c>
      <c r="EN229" s="609">
        <f t="shared" si="263"/>
        <v>0</v>
      </c>
      <c r="EO229" s="609">
        <f t="shared" si="263"/>
        <v>0</v>
      </c>
      <c r="EP229" s="609">
        <f t="shared" si="263"/>
        <v>0</v>
      </c>
      <c r="EQ229" s="609">
        <f t="shared" si="263"/>
        <v>0</v>
      </c>
      <c r="ER229" s="609">
        <f t="shared" si="263"/>
        <v>127545.43764325713</v>
      </c>
      <c r="ES229" s="609">
        <f t="shared" si="263"/>
        <v>0</v>
      </c>
      <c r="ET229" s="609">
        <f t="shared" si="263"/>
        <v>0</v>
      </c>
      <c r="EU229" s="609">
        <f t="shared" si="263"/>
        <v>0</v>
      </c>
      <c r="EV229" s="609">
        <f t="shared" si="263"/>
        <v>0</v>
      </c>
      <c r="EW229" s="609">
        <f t="shared" si="263"/>
        <v>0</v>
      </c>
      <c r="EX229" s="609">
        <f t="shared" si="263"/>
        <v>127545.43764325713</v>
      </c>
      <c r="EY229" s="609">
        <f t="shared" si="263"/>
        <v>0</v>
      </c>
      <c r="EZ229" s="609">
        <f t="shared" si="263"/>
        <v>0</v>
      </c>
      <c r="FA229" s="609">
        <f t="shared" si="263"/>
        <v>0</v>
      </c>
      <c r="FB229" s="609">
        <f t="shared" si="263"/>
        <v>0</v>
      </c>
      <c r="FC229" s="609">
        <f t="shared" si="263"/>
        <v>0</v>
      </c>
      <c r="FD229" s="609">
        <f t="shared" si="263"/>
        <v>127545.43764325713</v>
      </c>
      <c r="FE229" s="609">
        <f t="shared" si="263"/>
        <v>0</v>
      </c>
      <c r="FF229" s="609">
        <f t="shared" si="263"/>
        <v>0</v>
      </c>
      <c r="FG229" s="609">
        <f t="shared" si="263"/>
        <v>0</v>
      </c>
      <c r="FH229" s="609">
        <f t="shared" si="263"/>
        <v>0</v>
      </c>
      <c r="FI229" s="609">
        <f t="shared" si="263"/>
        <v>0</v>
      </c>
      <c r="FJ229" s="609">
        <f t="shared" si="263"/>
        <v>127545.43764325713</v>
      </c>
      <c r="FK229" s="609">
        <f t="shared" si="263"/>
        <v>0</v>
      </c>
      <c r="FL229" s="609">
        <f t="shared" si="263"/>
        <v>0</v>
      </c>
      <c r="FM229" s="609">
        <f t="shared" si="263"/>
        <v>0</v>
      </c>
      <c r="FN229" s="609">
        <f t="shared" si="263"/>
        <v>0</v>
      </c>
      <c r="FO229" s="609">
        <f t="shared" si="263"/>
        <v>0</v>
      </c>
      <c r="FP229" s="609">
        <f t="shared" si="263"/>
        <v>127545.43764325713</v>
      </c>
      <c r="FQ229" s="609">
        <f t="shared" si="263"/>
        <v>0</v>
      </c>
      <c r="FR229" s="609">
        <f t="shared" ref="FR229:GZ229" si="264">IF(FR222=0,0,IF(FR31&gt;0,FR31,FL229-FR228))</f>
        <v>0</v>
      </c>
      <c r="FS229" s="609">
        <f t="shared" si="264"/>
        <v>0</v>
      </c>
      <c r="FT229" s="609">
        <f t="shared" si="264"/>
        <v>0</v>
      </c>
      <c r="FU229" s="609">
        <f t="shared" si="264"/>
        <v>0</v>
      </c>
      <c r="FV229" s="609">
        <f t="shared" si="264"/>
        <v>127545.43764325713</v>
      </c>
      <c r="FW229" s="609">
        <f t="shared" si="264"/>
        <v>0</v>
      </c>
      <c r="FX229" s="609">
        <f t="shared" si="264"/>
        <v>0</v>
      </c>
      <c r="FY229" s="609">
        <f t="shared" si="264"/>
        <v>0</v>
      </c>
      <c r="FZ229" s="609">
        <f t="shared" si="264"/>
        <v>0</v>
      </c>
      <c r="GA229" s="609">
        <f t="shared" si="264"/>
        <v>0</v>
      </c>
      <c r="GB229" s="609">
        <f t="shared" si="264"/>
        <v>127545.43764325713</v>
      </c>
      <c r="GC229" s="609">
        <f t="shared" si="264"/>
        <v>0</v>
      </c>
      <c r="GD229" s="609">
        <f t="shared" si="264"/>
        <v>0</v>
      </c>
      <c r="GE229" s="609">
        <f t="shared" si="264"/>
        <v>0</v>
      </c>
      <c r="GF229" s="609">
        <f t="shared" si="264"/>
        <v>0</v>
      </c>
      <c r="GG229" s="609">
        <f t="shared" si="264"/>
        <v>0</v>
      </c>
      <c r="GH229" s="609">
        <f t="shared" si="264"/>
        <v>127545.43764325713</v>
      </c>
      <c r="GI229" s="609">
        <f t="shared" si="264"/>
        <v>0</v>
      </c>
      <c r="GJ229" s="609">
        <f t="shared" si="264"/>
        <v>0</v>
      </c>
      <c r="GK229" s="609">
        <f t="shared" si="264"/>
        <v>0</v>
      </c>
      <c r="GL229" s="609">
        <f t="shared" si="264"/>
        <v>0</v>
      </c>
      <c r="GM229" s="609">
        <f t="shared" si="264"/>
        <v>0</v>
      </c>
      <c r="GN229" s="609">
        <f t="shared" si="264"/>
        <v>127545.43764325713</v>
      </c>
      <c r="GO229" s="609">
        <f t="shared" si="264"/>
        <v>0</v>
      </c>
      <c r="GP229" s="609">
        <f t="shared" si="264"/>
        <v>0</v>
      </c>
      <c r="GQ229" s="609">
        <f t="shared" si="264"/>
        <v>0</v>
      </c>
      <c r="GR229" s="609">
        <f t="shared" si="264"/>
        <v>0</v>
      </c>
      <c r="GS229" s="609">
        <f t="shared" si="264"/>
        <v>0</v>
      </c>
      <c r="GT229" s="609">
        <f t="shared" si="264"/>
        <v>127545.43764325713</v>
      </c>
      <c r="GU229" s="609">
        <f t="shared" si="264"/>
        <v>0</v>
      </c>
      <c r="GV229" s="609">
        <f t="shared" si="264"/>
        <v>0</v>
      </c>
      <c r="GW229" s="609">
        <f t="shared" si="264"/>
        <v>0</v>
      </c>
      <c r="GX229" s="609">
        <f t="shared" si="264"/>
        <v>0</v>
      </c>
      <c r="GY229" s="609">
        <f t="shared" si="264"/>
        <v>0</v>
      </c>
      <c r="GZ229" s="609">
        <f t="shared" si="264"/>
        <v>127545.43764325713</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41.292954672351662</v>
      </c>
      <c r="V230" s="604">
        <f>(IF(V222=0,0,V229/V222))</f>
        <v>41.292954672351662</v>
      </c>
      <c r="W230" s="611"/>
      <c r="X230" s="612"/>
      <c r="Y230" s="612"/>
      <c r="Z230" s="611"/>
      <c r="AA230" s="611"/>
      <c r="AB230" s="604">
        <f>(IF(AB222=0,0,AB229/AB222))</f>
        <v>41.292954672351662</v>
      </c>
      <c r="AC230" s="611"/>
      <c r="AD230" s="612"/>
      <c r="AE230" s="612"/>
      <c r="AF230" s="611"/>
      <c r="AG230" s="611"/>
      <c r="AH230" s="604">
        <f>(IF(AH222=0,0,AH229/AH222))</f>
        <v>41.292954672351662</v>
      </c>
      <c r="AI230" s="611"/>
      <c r="AJ230" s="612"/>
      <c r="AK230" s="612"/>
      <c r="AL230" s="611"/>
      <c r="AM230" s="611"/>
      <c r="AN230" s="604">
        <f>(IF(AN222=0,0,AN229/AN222))</f>
        <v>41.292954672351662</v>
      </c>
      <c r="AO230" s="439"/>
      <c r="AP230" s="530"/>
      <c r="AQ230" s="530"/>
      <c r="AR230" s="439"/>
      <c r="AS230" s="439"/>
      <c r="AT230" s="609">
        <f>(IF(AT222=0,0,AT229/AT222))</f>
        <v>41.292954672351662</v>
      </c>
      <c r="AU230" s="574"/>
      <c r="AV230" s="575"/>
      <c r="AW230" s="575"/>
      <c r="AX230" s="574"/>
      <c r="AY230" s="574"/>
      <c r="AZ230" s="604">
        <f>(IF(AZ222=0,0,AZ229/AZ222))</f>
        <v>33.938130248908685</v>
      </c>
      <c r="BA230" s="315"/>
      <c r="BB230" s="316"/>
      <c r="BC230" s="316"/>
      <c r="BD230" s="315"/>
      <c r="BE230" s="315"/>
      <c r="BF230" s="604">
        <f>(IF(BF222=0,0,BF229/BF222))</f>
        <v>12.878104139759945</v>
      </c>
      <c r="BG230" s="315"/>
      <c r="BH230" s="316"/>
      <c r="BI230" s="316"/>
      <c r="BJ230" s="315"/>
      <c r="BK230" s="315"/>
      <c r="BL230" s="604">
        <f>(IF(BL222=0,0,BL229/BL222))</f>
        <v>15.943078030611208</v>
      </c>
      <c r="BM230" s="315"/>
      <c r="BN230" s="316"/>
      <c r="BO230" s="316"/>
      <c r="BP230" s="315"/>
      <c r="BQ230" s="315"/>
      <c r="BR230" s="604">
        <f>(IF(BR222=0,0,BR229/BR222))</f>
        <v>19.008051921462471</v>
      </c>
      <c r="BS230" s="574"/>
      <c r="BT230" s="575"/>
      <c r="BU230" s="575"/>
      <c r="BV230" s="574"/>
      <c r="BW230" s="574"/>
      <c r="BX230" s="604">
        <f>(IF(BX222=0,0,BX229/BX222))</f>
        <v>22.07302581231373</v>
      </c>
      <c r="BY230" s="315"/>
      <c r="BZ230" s="316"/>
      <c r="CA230" s="316"/>
      <c r="CB230" s="315"/>
      <c r="CC230" s="315"/>
      <c r="CD230" s="604">
        <f>(IF(CD222=0,0,CD229/CD222))</f>
        <v>25.137999703164994</v>
      </c>
      <c r="CE230" s="315"/>
      <c r="CF230" s="316"/>
      <c r="CG230" s="316"/>
      <c r="CH230" s="315"/>
      <c r="CI230" s="315"/>
      <c r="CJ230" s="604">
        <f>(IF(CJ222=0,0,CJ229/CJ222))</f>
        <v>28.202973594016257</v>
      </c>
      <c r="CK230" s="315"/>
      <c r="CL230" s="316"/>
      <c r="CM230" s="316"/>
      <c r="CN230" s="315"/>
      <c r="CO230" s="315"/>
      <c r="CP230" s="604">
        <f>(IF(CP222=0,0,CP229/CP222))</f>
        <v>31.267947484867516</v>
      </c>
      <c r="CQ230" s="577"/>
      <c r="CR230" s="575"/>
      <c r="CS230" s="575"/>
      <c r="CT230" s="577"/>
      <c r="CU230" s="577"/>
      <c r="CV230" s="604">
        <f>(IF(CV222=0,0,CV229/CV222))</f>
        <v>31.267947484867516</v>
      </c>
      <c r="CW230" s="577"/>
      <c r="CX230" s="575"/>
      <c r="CY230" s="575"/>
      <c r="CZ230" s="577"/>
      <c r="DA230" s="577"/>
      <c r="DB230" s="604">
        <f>(IF(DB222=0,0,DB229/DB222))</f>
        <v>31.267947484867516</v>
      </c>
      <c r="DC230" s="315"/>
      <c r="DD230" s="316"/>
      <c r="DE230" s="316"/>
      <c r="DF230" s="315"/>
      <c r="DG230" s="315"/>
      <c r="DH230" s="604">
        <f>(IF(DH222=0,0,DH229/DH222))</f>
        <v>31.267947484867516</v>
      </c>
      <c r="DI230" s="315"/>
      <c r="DJ230" s="316"/>
      <c r="DK230" s="316"/>
      <c r="DL230" s="315"/>
      <c r="DM230" s="315"/>
      <c r="DN230" s="604">
        <f>(IF(DN222=0,0,DN229/DN222))</f>
        <v>31.267947484867516</v>
      </c>
      <c r="DO230" s="315"/>
      <c r="DP230" s="316"/>
      <c r="DQ230" s="316"/>
      <c r="DR230" s="315"/>
      <c r="DS230" s="315"/>
      <c r="DT230" s="604">
        <f>(IF(DT222=0,0,DT229/DT222))</f>
        <v>40.462869157421302</v>
      </c>
      <c r="DU230" s="315"/>
      <c r="DV230" s="316"/>
      <c r="DW230" s="316"/>
      <c r="DX230" s="315"/>
      <c r="DY230" s="315"/>
      <c r="DZ230" s="604">
        <f>(IF(DZ222=0,0,DZ229/DZ222))</f>
        <v>40.462869157421302</v>
      </c>
      <c r="EA230" s="315"/>
      <c r="EB230" s="316"/>
      <c r="EC230" s="316"/>
      <c r="ED230" s="315"/>
      <c r="EE230" s="315"/>
      <c r="EF230" s="604">
        <f>(IF(EF222=0,0,EF229/EF222))</f>
        <v>40.462869157421302</v>
      </c>
      <c r="EG230" s="315"/>
      <c r="EH230" s="316"/>
      <c r="EI230" s="316"/>
      <c r="EJ230" s="315"/>
      <c r="EK230" s="315"/>
      <c r="EL230" s="604">
        <f>(IF(EL222=0,0,EL229/EL222))</f>
        <v>40.462869157421302</v>
      </c>
      <c r="EM230" s="315"/>
      <c r="EN230" s="316"/>
      <c r="EO230" s="316"/>
      <c r="EP230" s="315"/>
      <c r="EQ230" s="315"/>
      <c r="ER230" s="604">
        <f>(IF(ER222=0,0,ER229/ER222))</f>
        <v>40.462869157421302</v>
      </c>
      <c r="ES230" s="315"/>
      <c r="ET230" s="316"/>
      <c r="EU230" s="316"/>
      <c r="EV230" s="315"/>
      <c r="EW230" s="315"/>
      <c r="EX230" s="604">
        <f>(IF(EX222=0,0,EX229/EX222))</f>
        <v>40.462869157421302</v>
      </c>
      <c r="EY230" s="315"/>
      <c r="EZ230" s="316"/>
      <c r="FA230" s="316"/>
      <c r="FB230" s="315"/>
      <c r="FC230" s="315"/>
      <c r="FD230" s="604">
        <f>(IF(FD222=0,0,FD229/FD222))</f>
        <v>40.462869157421302</v>
      </c>
      <c r="FE230" s="315"/>
      <c r="FF230" s="316"/>
      <c r="FG230" s="316"/>
      <c r="FH230" s="315"/>
      <c r="FI230" s="315"/>
      <c r="FJ230" s="604">
        <f>(IF(FJ222=0,0,FJ229/FJ222))</f>
        <v>40.462869157421302</v>
      </c>
      <c r="FK230" s="315"/>
      <c r="FL230" s="316"/>
      <c r="FM230" s="316"/>
      <c r="FN230" s="315"/>
      <c r="FO230" s="315"/>
      <c r="FP230" s="604">
        <f>(IF(FP222=0,0,FP229/FP222))</f>
        <v>40.462869157421302</v>
      </c>
      <c r="FQ230" s="315"/>
      <c r="FR230" s="316"/>
      <c r="FS230" s="316"/>
      <c r="FT230" s="315"/>
      <c r="FU230" s="315"/>
      <c r="FV230" s="604">
        <f>(IF(FV222=0,0,FV229/FV222))</f>
        <v>40.462869157421302</v>
      </c>
      <c r="FW230" s="315"/>
      <c r="FX230" s="316"/>
      <c r="FY230" s="316"/>
      <c r="FZ230" s="315"/>
      <c r="GA230" s="315"/>
      <c r="GB230" s="604">
        <f>(IF(GB222=0,0,GB229/GB222))</f>
        <v>40.462869157421302</v>
      </c>
      <c r="GC230" s="315"/>
      <c r="GD230" s="316"/>
      <c r="GE230" s="316"/>
      <c r="GF230" s="315"/>
      <c r="GG230" s="315"/>
      <c r="GH230" s="604">
        <f>(IF(GH222=0,0,GH229/GH222))</f>
        <v>40.462869157421302</v>
      </c>
      <c r="GI230" s="315"/>
      <c r="GJ230" s="316"/>
      <c r="GK230" s="316"/>
      <c r="GL230" s="315"/>
      <c r="GM230" s="315"/>
      <c r="GN230" s="604">
        <f>(IF(GN222=0,0,GN229/GN222))</f>
        <v>40.462869157421302</v>
      </c>
      <c r="GO230" s="315"/>
      <c r="GP230" s="316"/>
      <c r="GQ230" s="316"/>
      <c r="GR230" s="315"/>
      <c r="GS230" s="315"/>
      <c r="GT230" s="604">
        <f>(IF(GT222=0,0,GT229/GT222))</f>
        <v>40.462869157421302</v>
      </c>
      <c r="GU230" s="315"/>
      <c r="GV230" s="316"/>
      <c r="GW230" s="316"/>
      <c r="GX230" s="315"/>
      <c r="GY230" s="315"/>
      <c r="GZ230" s="610">
        <f>(IF(GZ222=0,0,GZ229/GZ222))</f>
        <v>40.462869157421302</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0</v>
      </c>
      <c r="AU231" s="315"/>
      <c r="AV231" s="316"/>
      <c r="AW231" s="316"/>
      <c r="AX231" s="315"/>
      <c r="AY231" s="315"/>
      <c r="AZ231" s="604">
        <f>SUM(BB44:BB216)</f>
        <v>6979.5524999999989</v>
      </c>
      <c r="BA231" s="315"/>
      <c r="BB231" s="316"/>
      <c r="BC231" s="316"/>
      <c r="BD231" s="315"/>
      <c r="BE231" s="315"/>
      <c r="BF231" s="604">
        <f>SUM(BH44:BH216)</f>
        <v>4542.6239999999998</v>
      </c>
      <c r="BG231" s="315"/>
      <c r="BH231" s="316"/>
      <c r="BI231" s="316"/>
      <c r="BJ231" s="315"/>
      <c r="BK231" s="315"/>
      <c r="BL231" s="604">
        <f>SUM(BN44:BN216)</f>
        <v>3596.2440000000001</v>
      </c>
      <c r="BM231" s="315"/>
      <c r="BN231" s="316"/>
      <c r="BO231" s="316"/>
      <c r="BP231" s="315"/>
      <c r="BQ231" s="315"/>
      <c r="BR231" s="604">
        <f>SUM(BT44:BT216)</f>
        <v>3596.2440000000001</v>
      </c>
      <c r="BS231" s="315"/>
      <c r="BT231" s="316"/>
      <c r="BU231" s="316"/>
      <c r="BV231" s="315"/>
      <c r="BW231" s="315"/>
      <c r="BX231" s="604">
        <f>SUM(BZ44:BZ216)</f>
        <v>3596.2440000000001</v>
      </c>
      <c r="BY231" s="315"/>
      <c r="BZ231" s="316"/>
      <c r="CA231" s="316"/>
      <c r="CB231" s="315"/>
      <c r="CC231" s="315"/>
      <c r="CD231" s="604">
        <f>SUM(CF44:CF216)</f>
        <v>3596.2440000000001</v>
      </c>
      <c r="CE231" s="315"/>
      <c r="CF231" s="316"/>
      <c r="CG231" s="316"/>
      <c r="CH231" s="315"/>
      <c r="CI231" s="315"/>
      <c r="CJ231" s="604">
        <f>SUM(CL44:CL216)</f>
        <v>3596.2440000000001</v>
      </c>
      <c r="CK231" s="315"/>
      <c r="CL231" s="316"/>
      <c r="CM231" s="316"/>
      <c r="CN231" s="315"/>
      <c r="CO231" s="315"/>
      <c r="CP231" s="604">
        <f>SUM(CR44:CR216)</f>
        <v>3596.2440000000001</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10788.732</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47319</v>
      </c>
      <c r="V232" s="604">
        <f>V$32</f>
        <v>47319</v>
      </c>
      <c r="W232" s="605"/>
      <c r="X232" s="606"/>
      <c r="Y232" s="606"/>
      <c r="Z232" s="605"/>
      <c r="AA232" s="605"/>
      <c r="AB232" s="604">
        <f>AB$32</f>
        <v>47319</v>
      </c>
      <c r="AC232" s="605"/>
      <c r="AD232" s="606"/>
      <c r="AE232" s="606"/>
      <c r="AF232" s="605"/>
      <c r="AG232" s="605"/>
      <c r="AH232" s="604">
        <f>AH$32</f>
        <v>47319</v>
      </c>
      <c r="AI232" s="605"/>
      <c r="AJ232" s="606"/>
      <c r="AK232" s="606"/>
      <c r="AL232" s="605"/>
      <c r="AM232" s="605"/>
      <c r="AN232" s="604">
        <f>AN$32</f>
        <v>47319</v>
      </c>
      <c r="AO232" s="439"/>
      <c r="AP232" s="530"/>
      <c r="AQ232" s="530"/>
      <c r="AR232" s="439"/>
      <c r="AS232" s="439"/>
      <c r="AT232" s="609">
        <f t="shared" ref="AT232:DE232" si="265">IF(AT222=0,0,IF(AT32&gt;0,AT32,AN232-AT231))</f>
        <v>47319</v>
      </c>
      <c r="AU232" s="609">
        <f t="shared" si="265"/>
        <v>0</v>
      </c>
      <c r="AV232" s="609">
        <f t="shared" si="265"/>
        <v>0</v>
      </c>
      <c r="AW232" s="609">
        <f t="shared" si="265"/>
        <v>0</v>
      </c>
      <c r="AX232" s="609">
        <f t="shared" si="265"/>
        <v>0</v>
      </c>
      <c r="AY232" s="609">
        <f t="shared" si="265"/>
        <v>0</v>
      </c>
      <c r="AZ232" s="609">
        <f t="shared" si="265"/>
        <v>40339.447500000002</v>
      </c>
      <c r="BA232" s="609">
        <f t="shared" si="265"/>
        <v>0</v>
      </c>
      <c r="BB232" s="609">
        <f t="shared" si="265"/>
        <v>0</v>
      </c>
      <c r="BC232" s="609">
        <f t="shared" si="265"/>
        <v>0</v>
      </c>
      <c r="BD232" s="609">
        <f t="shared" si="265"/>
        <v>0</v>
      </c>
      <c r="BE232" s="609">
        <f t="shared" si="265"/>
        <v>0</v>
      </c>
      <c r="BF232" s="609">
        <f t="shared" si="265"/>
        <v>35796.823499999999</v>
      </c>
      <c r="BG232" s="609">
        <f t="shared" si="265"/>
        <v>0</v>
      </c>
      <c r="BH232" s="609">
        <f t="shared" si="265"/>
        <v>0</v>
      </c>
      <c r="BI232" s="609">
        <f t="shared" si="265"/>
        <v>0</v>
      </c>
      <c r="BJ232" s="609">
        <f t="shared" si="265"/>
        <v>0</v>
      </c>
      <c r="BK232" s="609">
        <f t="shared" si="265"/>
        <v>0</v>
      </c>
      <c r="BL232" s="609">
        <f t="shared" si="265"/>
        <v>32200.5795</v>
      </c>
      <c r="BM232" s="609">
        <f t="shared" si="265"/>
        <v>0</v>
      </c>
      <c r="BN232" s="609">
        <f t="shared" si="265"/>
        <v>0</v>
      </c>
      <c r="BO232" s="609">
        <f t="shared" si="265"/>
        <v>0</v>
      </c>
      <c r="BP232" s="609">
        <f t="shared" si="265"/>
        <v>0</v>
      </c>
      <c r="BQ232" s="609">
        <f t="shared" si="265"/>
        <v>0</v>
      </c>
      <c r="BR232" s="609">
        <f t="shared" si="265"/>
        <v>28604.335500000001</v>
      </c>
      <c r="BS232" s="609">
        <f t="shared" si="265"/>
        <v>0</v>
      </c>
      <c r="BT232" s="609">
        <f t="shared" si="265"/>
        <v>0</v>
      </c>
      <c r="BU232" s="609">
        <f t="shared" si="265"/>
        <v>0</v>
      </c>
      <c r="BV232" s="609">
        <f t="shared" si="265"/>
        <v>0</v>
      </c>
      <c r="BW232" s="609">
        <f t="shared" si="265"/>
        <v>0</v>
      </c>
      <c r="BX232" s="609">
        <f t="shared" si="265"/>
        <v>25008.091500000002</v>
      </c>
      <c r="BY232" s="609">
        <f t="shared" si="265"/>
        <v>0</v>
      </c>
      <c r="BZ232" s="609">
        <f t="shared" si="265"/>
        <v>0</v>
      </c>
      <c r="CA232" s="609">
        <f t="shared" si="265"/>
        <v>0</v>
      </c>
      <c r="CB232" s="609">
        <f t="shared" si="265"/>
        <v>0</v>
      </c>
      <c r="CC232" s="609">
        <f t="shared" si="265"/>
        <v>0</v>
      </c>
      <c r="CD232" s="609">
        <f t="shared" si="265"/>
        <v>21411.847500000003</v>
      </c>
      <c r="CE232" s="609">
        <f t="shared" si="265"/>
        <v>0</v>
      </c>
      <c r="CF232" s="609">
        <f t="shared" si="265"/>
        <v>0</v>
      </c>
      <c r="CG232" s="609">
        <f t="shared" si="265"/>
        <v>0</v>
      </c>
      <c r="CH232" s="609">
        <f t="shared" si="265"/>
        <v>0</v>
      </c>
      <c r="CI232" s="609">
        <f t="shared" si="265"/>
        <v>0</v>
      </c>
      <c r="CJ232" s="609">
        <f t="shared" si="265"/>
        <v>17815.603500000005</v>
      </c>
      <c r="CK232" s="609">
        <f t="shared" si="265"/>
        <v>0</v>
      </c>
      <c r="CL232" s="609">
        <f t="shared" si="265"/>
        <v>0</v>
      </c>
      <c r="CM232" s="609">
        <f t="shared" si="265"/>
        <v>0</v>
      </c>
      <c r="CN232" s="609">
        <f t="shared" si="265"/>
        <v>0</v>
      </c>
      <c r="CO232" s="609">
        <f t="shared" si="265"/>
        <v>0</v>
      </c>
      <c r="CP232" s="609">
        <f t="shared" si="265"/>
        <v>14219.359500000004</v>
      </c>
      <c r="CQ232" s="609">
        <f t="shared" si="265"/>
        <v>0</v>
      </c>
      <c r="CR232" s="609">
        <f t="shared" si="265"/>
        <v>0</v>
      </c>
      <c r="CS232" s="609">
        <f t="shared" si="265"/>
        <v>0</v>
      </c>
      <c r="CT232" s="609">
        <f t="shared" si="265"/>
        <v>0</v>
      </c>
      <c r="CU232" s="609">
        <f t="shared" si="265"/>
        <v>0</v>
      </c>
      <c r="CV232" s="609">
        <f t="shared" si="265"/>
        <v>14219.359500000004</v>
      </c>
      <c r="CW232" s="609">
        <f t="shared" si="265"/>
        <v>0</v>
      </c>
      <c r="CX232" s="609">
        <f t="shared" si="265"/>
        <v>0</v>
      </c>
      <c r="CY232" s="609">
        <f t="shared" si="265"/>
        <v>0</v>
      </c>
      <c r="CZ232" s="609">
        <f t="shared" si="265"/>
        <v>0</v>
      </c>
      <c r="DA232" s="609">
        <f t="shared" si="265"/>
        <v>0</v>
      </c>
      <c r="DB232" s="609">
        <f t="shared" si="265"/>
        <v>14219.359500000004</v>
      </c>
      <c r="DC232" s="609">
        <f t="shared" si="265"/>
        <v>0</v>
      </c>
      <c r="DD232" s="609">
        <f t="shared" si="265"/>
        <v>0</v>
      </c>
      <c r="DE232" s="609">
        <f t="shared" si="265"/>
        <v>0</v>
      </c>
      <c r="DF232" s="609">
        <f t="shared" ref="DF232:FQ232" si="266">IF(DF222=0,0,IF(DF32&gt;0,DF32,CZ232-DF231))</f>
        <v>0</v>
      </c>
      <c r="DG232" s="609">
        <f t="shared" si="266"/>
        <v>0</v>
      </c>
      <c r="DH232" s="609">
        <f t="shared" si="266"/>
        <v>14219.359500000004</v>
      </c>
      <c r="DI232" s="609">
        <f t="shared" si="266"/>
        <v>0</v>
      </c>
      <c r="DJ232" s="609">
        <f t="shared" si="266"/>
        <v>0</v>
      </c>
      <c r="DK232" s="609">
        <f t="shared" si="266"/>
        <v>0</v>
      </c>
      <c r="DL232" s="609">
        <f t="shared" si="266"/>
        <v>0</v>
      </c>
      <c r="DM232" s="609">
        <f t="shared" si="266"/>
        <v>0</v>
      </c>
      <c r="DN232" s="609">
        <f t="shared" si="266"/>
        <v>14219.359500000004</v>
      </c>
      <c r="DO232" s="609">
        <f t="shared" si="266"/>
        <v>0</v>
      </c>
      <c r="DP232" s="609">
        <f t="shared" si="266"/>
        <v>0</v>
      </c>
      <c r="DQ232" s="609">
        <f t="shared" si="266"/>
        <v>0</v>
      </c>
      <c r="DR232" s="609">
        <f t="shared" si="266"/>
        <v>0</v>
      </c>
      <c r="DS232" s="609">
        <f t="shared" si="266"/>
        <v>0</v>
      </c>
      <c r="DT232" s="609">
        <f t="shared" si="266"/>
        <v>3430.6275000000041</v>
      </c>
      <c r="DU232" s="609">
        <f t="shared" si="266"/>
        <v>0</v>
      </c>
      <c r="DV232" s="609">
        <f t="shared" si="266"/>
        <v>0</v>
      </c>
      <c r="DW232" s="609">
        <f t="shared" si="266"/>
        <v>0</v>
      </c>
      <c r="DX232" s="609">
        <f t="shared" si="266"/>
        <v>0</v>
      </c>
      <c r="DY232" s="609">
        <f t="shared" si="266"/>
        <v>0</v>
      </c>
      <c r="DZ232" s="609">
        <f t="shared" si="266"/>
        <v>3430.6275000000041</v>
      </c>
      <c r="EA232" s="609">
        <f t="shared" si="266"/>
        <v>0</v>
      </c>
      <c r="EB232" s="609">
        <f t="shared" si="266"/>
        <v>0</v>
      </c>
      <c r="EC232" s="609">
        <f t="shared" si="266"/>
        <v>0</v>
      </c>
      <c r="ED232" s="609">
        <f t="shared" si="266"/>
        <v>0</v>
      </c>
      <c r="EE232" s="609">
        <f t="shared" si="266"/>
        <v>0</v>
      </c>
      <c r="EF232" s="609">
        <f t="shared" si="266"/>
        <v>3430.6275000000041</v>
      </c>
      <c r="EG232" s="609">
        <f t="shared" si="266"/>
        <v>0</v>
      </c>
      <c r="EH232" s="609">
        <f t="shared" si="266"/>
        <v>0</v>
      </c>
      <c r="EI232" s="609">
        <f t="shared" si="266"/>
        <v>0</v>
      </c>
      <c r="EJ232" s="609">
        <f t="shared" si="266"/>
        <v>0</v>
      </c>
      <c r="EK232" s="609">
        <f t="shared" si="266"/>
        <v>0</v>
      </c>
      <c r="EL232" s="609">
        <f t="shared" si="266"/>
        <v>3430.6275000000041</v>
      </c>
      <c r="EM232" s="609">
        <f t="shared" si="266"/>
        <v>0</v>
      </c>
      <c r="EN232" s="609">
        <f t="shared" si="266"/>
        <v>0</v>
      </c>
      <c r="EO232" s="609">
        <f t="shared" si="266"/>
        <v>0</v>
      </c>
      <c r="EP232" s="609">
        <f t="shared" si="266"/>
        <v>0</v>
      </c>
      <c r="EQ232" s="609">
        <f t="shared" si="266"/>
        <v>0</v>
      </c>
      <c r="ER232" s="609">
        <f t="shared" si="266"/>
        <v>3430.6275000000041</v>
      </c>
      <c r="ES232" s="609">
        <f t="shared" si="266"/>
        <v>0</v>
      </c>
      <c r="ET232" s="609">
        <f t="shared" si="266"/>
        <v>0</v>
      </c>
      <c r="EU232" s="609">
        <f t="shared" si="266"/>
        <v>0</v>
      </c>
      <c r="EV232" s="609">
        <f t="shared" si="266"/>
        <v>0</v>
      </c>
      <c r="EW232" s="609">
        <f t="shared" si="266"/>
        <v>0</v>
      </c>
      <c r="EX232" s="609">
        <f t="shared" si="266"/>
        <v>3430.6275000000041</v>
      </c>
      <c r="EY232" s="609">
        <f t="shared" si="266"/>
        <v>0</v>
      </c>
      <c r="EZ232" s="609">
        <f t="shared" si="266"/>
        <v>0</v>
      </c>
      <c r="FA232" s="609">
        <f t="shared" si="266"/>
        <v>0</v>
      </c>
      <c r="FB232" s="609">
        <f t="shared" si="266"/>
        <v>0</v>
      </c>
      <c r="FC232" s="609">
        <f t="shared" si="266"/>
        <v>0</v>
      </c>
      <c r="FD232" s="609">
        <f t="shared" si="266"/>
        <v>3430.6275000000041</v>
      </c>
      <c r="FE232" s="609">
        <f t="shared" si="266"/>
        <v>0</v>
      </c>
      <c r="FF232" s="609">
        <f t="shared" si="266"/>
        <v>0</v>
      </c>
      <c r="FG232" s="609">
        <f t="shared" si="266"/>
        <v>0</v>
      </c>
      <c r="FH232" s="609">
        <f t="shared" si="266"/>
        <v>0</v>
      </c>
      <c r="FI232" s="609">
        <f t="shared" si="266"/>
        <v>0</v>
      </c>
      <c r="FJ232" s="609">
        <f t="shared" si="266"/>
        <v>3430.6275000000041</v>
      </c>
      <c r="FK232" s="609">
        <f t="shared" si="266"/>
        <v>0</v>
      </c>
      <c r="FL232" s="609">
        <f t="shared" si="266"/>
        <v>0</v>
      </c>
      <c r="FM232" s="609">
        <f t="shared" si="266"/>
        <v>0</v>
      </c>
      <c r="FN232" s="609">
        <f t="shared" si="266"/>
        <v>0</v>
      </c>
      <c r="FO232" s="609">
        <f t="shared" si="266"/>
        <v>0</v>
      </c>
      <c r="FP232" s="609">
        <f t="shared" si="266"/>
        <v>3430.6275000000041</v>
      </c>
      <c r="FQ232" s="609">
        <f t="shared" si="266"/>
        <v>0</v>
      </c>
      <c r="FR232" s="609">
        <f t="shared" ref="FR232:GZ232" si="267">IF(FR222=0,0,IF(FR32&gt;0,FR32,FL232-FR231))</f>
        <v>0</v>
      </c>
      <c r="FS232" s="609">
        <f t="shared" si="267"/>
        <v>0</v>
      </c>
      <c r="FT232" s="609">
        <f t="shared" si="267"/>
        <v>0</v>
      </c>
      <c r="FU232" s="609">
        <f t="shared" si="267"/>
        <v>0</v>
      </c>
      <c r="FV232" s="609">
        <f t="shared" si="267"/>
        <v>3430.6275000000041</v>
      </c>
      <c r="FW232" s="609">
        <f t="shared" si="267"/>
        <v>0</v>
      </c>
      <c r="FX232" s="609">
        <f t="shared" si="267"/>
        <v>0</v>
      </c>
      <c r="FY232" s="609">
        <f t="shared" si="267"/>
        <v>0</v>
      </c>
      <c r="FZ232" s="609">
        <f t="shared" si="267"/>
        <v>0</v>
      </c>
      <c r="GA232" s="609">
        <f t="shared" si="267"/>
        <v>0</v>
      </c>
      <c r="GB232" s="609">
        <f t="shared" si="267"/>
        <v>3430.6275000000041</v>
      </c>
      <c r="GC232" s="609">
        <f t="shared" si="267"/>
        <v>0</v>
      </c>
      <c r="GD232" s="609">
        <f t="shared" si="267"/>
        <v>0</v>
      </c>
      <c r="GE232" s="609">
        <f t="shared" si="267"/>
        <v>0</v>
      </c>
      <c r="GF232" s="609">
        <f t="shared" si="267"/>
        <v>0</v>
      </c>
      <c r="GG232" s="609">
        <f t="shared" si="267"/>
        <v>0</v>
      </c>
      <c r="GH232" s="609">
        <f t="shared" si="267"/>
        <v>3430.6275000000041</v>
      </c>
      <c r="GI232" s="609">
        <f t="shared" si="267"/>
        <v>0</v>
      </c>
      <c r="GJ232" s="609">
        <f t="shared" si="267"/>
        <v>0</v>
      </c>
      <c r="GK232" s="609">
        <f t="shared" si="267"/>
        <v>0</v>
      </c>
      <c r="GL232" s="609">
        <f t="shared" si="267"/>
        <v>0</v>
      </c>
      <c r="GM232" s="609">
        <f t="shared" si="267"/>
        <v>0</v>
      </c>
      <c r="GN232" s="609">
        <f t="shared" si="267"/>
        <v>3430.6275000000041</v>
      </c>
      <c r="GO232" s="609">
        <f t="shared" si="267"/>
        <v>0</v>
      </c>
      <c r="GP232" s="609">
        <f t="shared" si="267"/>
        <v>0</v>
      </c>
      <c r="GQ232" s="609">
        <f t="shared" si="267"/>
        <v>0</v>
      </c>
      <c r="GR232" s="609">
        <f t="shared" si="267"/>
        <v>0</v>
      </c>
      <c r="GS232" s="609">
        <f t="shared" si="267"/>
        <v>0</v>
      </c>
      <c r="GT232" s="609">
        <f t="shared" si="267"/>
        <v>3430.6275000000041</v>
      </c>
      <c r="GU232" s="609">
        <f t="shared" si="267"/>
        <v>0</v>
      </c>
      <c r="GV232" s="609">
        <f t="shared" si="267"/>
        <v>0</v>
      </c>
      <c r="GW232" s="609">
        <f t="shared" si="267"/>
        <v>0</v>
      </c>
      <c r="GX232" s="609">
        <f t="shared" si="267"/>
        <v>0</v>
      </c>
      <c r="GY232" s="609">
        <f t="shared" si="267"/>
        <v>0</v>
      </c>
      <c r="GZ232" s="609">
        <f t="shared" si="267"/>
        <v>3430.6275000000041</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15.011611085731689</v>
      </c>
      <c r="V233" s="623">
        <f>(IF(V222=0,0,V232/V222))</f>
        <v>15.011611085731689</v>
      </c>
      <c r="W233" s="624"/>
      <c r="X233" s="624"/>
      <c r="Y233" s="624"/>
      <c r="Z233" s="624"/>
      <c r="AA233" s="624"/>
      <c r="AB233" s="623">
        <f>(IF(AB222=0,0,AB232/AB222))</f>
        <v>15.011611085731689</v>
      </c>
      <c r="AC233" s="625"/>
      <c r="AD233" s="625"/>
      <c r="AE233" s="625"/>
      <c r="AF233" s="625"/>
      <c r="AG233" s="625"/>
      <c r="AH233" s="623">
        <f>(IF(AH222=0,0,AH232/AH222))</f>
        <v>15.011611085731689</v>
      </c>
      <c r="AI233" s="624"/>
      <c r="AJ233" s="624"/>
      <c r="AK233" s="624"/>
      <c r="AL233" s="624"/>
      <c r="AM233" s="624"/>
      <c r="AN233" s="623">
        <f>(IF(AN222=0,0,AN232/AN222))</f>
        <v>15.011611085731689</v>
      </c>
      <c r="AO233" s="626"/>
      <c r="AP233" s="626"/>
      <c r="AQ233" s="626"/>
      <c r="AR233" s="626"/>
      <c r="AS233" s="626"/>
      <c r="AT233" s="627">
        <f>(IF(AT222=0,0,AT232/AT222))</f>
        <v>15.011611085731689</v>
      </c>
      <c r="AU233" s="317"/>
      <c r="AV233" s="317"/>
      <c r="AW233" s="317"/>
      <c r="AX233" s="317"/>
      <c r="AY233" s="317"/>
      <c r="AZ233" s="623">
        <f>(IF(AZ222=0,0,AZ232/AZ222))</f>
        <v>12.797398450586266</v>
      </c>
      <c r="BA233" s="317"/>
      <c r="BB233" s="317"/>
      <c r="BC233" s="317"/>
      <c r="BD233" s="317"/>
      <c r="BE233" s="317"/>
      <c r="BF233" s="623">
        <f>(IF(BF222=0,0,BF232/BF222))</f>
        <v>11.356283786356023</v>
      </c>
      <c r="BG233" s="317"/>
      <c r="BH233" s="317"/>
      <c r="BI233" s="317"/>
      <c r="BJ233" s="317"/>
      <c r="BK233" s="317"/>
      <c r="BL233" s="623">
        <f>(IF(BL222=0,0,BL232/BL222))</f>
        <v>10.215401343840414</v>
      </c>
      <c r="BM233" s="317"/>
      <c r="BN233" s="317"/>
      <c r="BO233" s="317"/>
      <c r="BP233" s="317"/>
      <c r="BQ233" s="317"/>
      <c r="BR233" s="623">
        <f>(IF(BR222=0,0,BR232/BR222))</f>
        <v>9.0745189013248062</v>
      </c>
      <c r="BS233" s="317"/>
      <c r="BT233" s="317"/>
      <c r="BU233" s="317"/>
      <c r="BV233" s="317"/>
      <c r="BW233" s="317"/>
      <c r="BX233" s="623">
        <f>(IF(BX222=0,0,BX232/BX222))</f>
        <v>7.9336364588091985</v>
      </c>
      <c r="BY233" s="317"/>
      <c r="BZ233" s="317"/>
      <c r="CA233" s="317"/>
      <c r="CB233" s="317"/>
      <c r="CC233" s="317"/>
      <c r="CD233" s="623">
        <f>(IF(CD222=0,0,CD232/CD222))</f>
        <v>6.7927540162935909</v>
      </c>
      <c r="CE233" s="317"/>
      <c r="CF233" s="317"/>
      <c r="CG233" s="317"/>
      <c r="CH233" s="317"/>
      <c r="CI233" s="317"/>
      <c r="CJ233" s="623">
        <f>(IF(CJ222=0,0,CJ232/CJ222))</f>
        <v>5.6518715737779823</v>
      </c>
      <c r="CK233" s="317"/>
      <c r="CL233" s="317"/>
      <c r="CM233" s="317"/>
      <c r="CN233" s="317"/>
      <c r="CO233" s="317"/>
      <c r="CP233" s="623">
        <f>(IF(CP222=0,0,CP232/CP222))</f>
        <v>4.5109891312623738</v>
      </c>
      <c r="CQ233" s="317"/>
      <c r="CR233" s="317"/>
      <c r="CS233" s="317"/>
      <c r="CT233" s="317"/>
      <c r="CU233" s="317"/>
      <c r="CV233" s="623">
        <f>(IF(CV222=0,0,CV232/CV222))</f>
        <v>4.5109891312623738</v>
      </c>
      <c r="CW233" s="628"/>
      <c r="CX233" s="629"/>
      <c r="CY233" s="629"/>
      <c r="CZ233" s="628"/>
      <c r="DA233" s="628"/>
      <c r="DB233" s="623">
        <f>(IF(DB222=0,0,DB232/DB222))</f>
        <v>4.5109891312623738</v>
      </c>
      <c r="DC233" s="317"/>
      <c r="DD233" s="317"/>
      <c r="DE233" s="317"/>
      <c r="DF233" s="317"/>
      <c r="DG233" s="317"/>
      <c r="DH233" s="623">
        <f>(IF(DH222=0,0,DH232/DH222))</f>
        <v>4.5109891312623738</v>
      </c>
      <c r="DI233" s="317"/>
      <c r="DJ233" s="317"/>
      <c r="DK233" s="317"/>
      <c r="DL233" s="317"/>
      <c r="DM233" s="317"/>
      <c r="DN233" s="623">
        <f>(IF(DN222=0,0,DN232/DN222))</f>
        <v>4.5109891312623738</v>
      </c>
      <c r="DO233" s="317"/>
      <c r="DP233" s="317"/>
      <c r="DQ233" s="317"/>
      <c r="DR233" s="317"/>
      <c r="DS233" s="317"/>
      <c r="DT233" s="623">
        <f>(IF(DT222=0,0,DT232/DT222))</f>
        <v>1.0883418037155488</v>
      </c>
      <c r="DU233" s="317"/>
      <c r="DV233" s="317"/>
      <c r="DW233" s="317"/>
      <c r="DX233" s="317"/>
      <c r="DY233" s="317"/>
      <c r="DZ233" s="623">
        <f>(IF(DZ222=0,0,DZ232/DZ222))</f>
        <v>1.0883418037155488</v>
      </c>
      <c r="EA233" s="317"/>
      <c r="EB233" s="317"/>
      <c r="EC233" s="317"/>
      <c r="ED233" s="317"/>
      <c r="EE233" s="317"/>
      <c r="EF233" s="623">
        <f>(IF(EF222=0,0,EF232/EF222))</f>
        <v>1.0883418037155488</v>
      </c>
      <c r="EG233" s="317"/>
      <c r="EH233" s="317"/>
      <c r="EI233" s="317"/>
      <c r="EJ233" s="317"/>
      <c r="EK233" s="317"/>
      <c r="EL233" s="623">
        <f>(IF(EL222=0,0,EL232/EL222))</f>
        <v>1.0883418037155488</v>
      </c>
      <c r="EM233" s="317"/>
      <c r="EN233" s="317"/>
      <c r="EO233" s="317"/>
      <c r="EP233" s="317"/>
      <c r="EQ233" s="317"/>
      <c r="ER233" s="623">
        <f>(IF(ER222=0,0,ER232/ER222))</f>
        <v>1.0883418037155488</v>
      </c>
      <c r="ES233" s="317"/>
      <c r="ET233" s="317"/>
      <c r="EU233" s="317"/>
      <c r="EV233" s="317"/>
      <c r="EW233" s="317"/>
      <c r="EX233" s="623">
        <f>(IF(EX222=0,0,EX232/EX222))</f>
        <v>1.0883418037155488</v>
      </c>
      <c r="EY233" s="317"/>
      <c r="EZ233" s="317"/>
      <c r="FA233" s="317"/>
      <c r="FB233" s="317"/>
      <c r="FC233" s="317"/>
      <c r="FD233" s="623">
        <f>(IF(FD222=0,0,FD232/FD222))</f>
        <v>1.0883418037155488</v>
      </c>
      <c r="FE233" s="317"/>
      <c r="FF233" s="317"/>
      <c r="FG233" s="317"/>
      <c r="FH233" s="317"/>
      <c r="FI233" s="317"/>
      <c r="FJ233" s="623">
        <f>(IF(FJ222=0,0,FJ232/FJ222))</f>
        <v>1.0883418037155488</v>
      </c>
      <c r="FK233" s="317"/>
      <c r="FL233" s="317"/>
      <c r="FM233" s="317"/>
      <c r="FN233" s="317"/>
      <c r="FO233" s="317"/>
      <c r="FP233" s="623">
        <f>(IF(FP222=0,0,FP232/FP222))</f>
        <v>1.0883418037155488</v>
      </c>
      <c r="FQ233" s="317"/>
      <c r="FR233" s="317"/>
      <c r="FS233" s="317"/>
      <c r="FT233" s="317"/>
      <c r="FU233" s="317"/>
      <c r="FV233" s="623">
        <f>(IF(FV222=0,0,FV232/FV222))</f>
        <v>1.0883418037155488</v>
      </c>
      <c r="FW233" s="317"/>
      <c r="FX233" s="317"/>
      <c r="FY233" s="317"/>
      <c r="FZ233" s="317"/>
      <c r="GA233" s="317"/>
      <c r="GB233" s="623">
        <f>(IF(GB222=0,0,GB232/GB222))</f>
        <v>1.0883418037155488</v>
      </c>
      <c r="GC233" s="317"/>
      <c r="GD233" s="317"/>
      <c r="GE233" s="317"/>
      <c r="GF233" s="317"/>
      <c r="GG233" s="317"/>
      <c r="GH233" s="623">
        <f>(IF(GH222=0,0,GH232/GH222))</f>
        <v>1.0883418037155488</v>
      </c>
      <c r="GI233" s="317"/>
      <c r="GJ233" s="317"/>
      <c r="GK233" s="317"/>
      <c r="GL233" s="317"/>
      <c r="GM233" s="317"/>
      <c r="GN233" s="623">
        <f>(IF(GN222=0,0,GN232/GN222))</f>
        <v>1.0883418037155488</v>
      </c>
      <c r="GO233" s="317"/>
      <c r="GP233" s="317"/>
      <c r="GQ233" s="317"/>
      <c r="GR233" s="317"/>
      <c r="GS233" s="317"/>
      <c r="GT233" s="623">
        <f>(IF(GT222=0,0,GT232/GT222))</f>
        <v>1.0883418037155488</v>
      </c>
      <c r="GU233" s="317"/>
      <c r="GV233" s="317"/>
      <c r="GW233" s="317"/>
      <c r="GX233" s="317"/>
      <c r="GY233" s="317"/>
      <c r="GZ233" s="630">
        <f>(IF(GZ222=0,0,GZ232/GZ222))</f>
        <v>1.0883418037155488</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0</v>
      </c>
      <c r="AU234" s="604">
        <f t="shared" si="268"/>
        <v>0</v>
      </c>
      <c r="AV234" s="604">
        <f t="shared" si="268"/>
        <v>11.999999999999996</v>
      </c>
      <c r="AW234" s="604">
        <f t="shared" si="268"/>
        <v>83862.249599999981</v>
      </c>
      <c r="AX234" s="604">
        <f t="shared" si="268"/>
        <v>6979.5524999999989</v>
      </c>
      <c r="AY234" s="604">
        <f t="shared" si="268"/>
        <v>23183.583354599999</v>
      </c>
      <c r="AZ234" s="604">
        <f t="shared" si="268"/>
        <v>0</v>
      </c>
      <c r="BA234" s="604">
        <f t="shared" si="268"/>
        <v>15660.0036720684</v>
      </c>
      <c r="BB234" s="604">
        <f t="shared" si="268"/>
        <v>1.1000000000000001</v>
      </c>
      <c r="BC234" s="604">
        <f t="shared" si="268"/>
        <v>194626.3248</v>
      </c>
      <c r="BD234" s="604">
        <f t="shared" si="268"/>
        <v>4542.6239999999998</v>
      </c>
      <c r="BE234" s="604">
        <f t="shared" si="268"/>
        <v>66384.571900214287</v>
      </c>
      <c r="BF234" s="604">
        <f t="shared" si="268"/>
        <v>0</v>
      </c>
      <c r="BG234" s="604">
        <f t="shared" si="268"/>
        <v>23221.354862654429</v>
      </c>
      <c r="BH234" s="604">
        <f t="shared" si="268"/>
        <v>0.2</v>
      </c>
      <c r="BI234" s="604">
        <f t="shared" si="268"/>
        <v>13219.516799999999</v>
      </c>
      <c r="BJ234" s="604">
        <f t="shared" si="268"/>
        <v>3596.2440000000001</v>
      </c>
      <c r="BK234" s="604">
        <f t="shared" si="268"/>
        <v>-9661.2880997857155</v>
      </c>
      <c r="BL234" s="604">
        <f t="shared" si="268"/>
        <v>0</v>
      </c>
      <c r="BM234" s="604">
        <f t="shared" si="268"/>
        <v>2580.7744226544287</v>
      </c>
      <c r="BN234" s="604">
        <f t="shared" si="268"/>
        <v>0.2</v>
      </c>
      <c r="BO234" s="604">
        <f t="shared" si="268"/>
        <v>13219.516799999999</v>
      </c>
      <c r="BP234" s="604">
        <f t="shared" si="268"/>
        <v>3596.2440000000001</v>
      </c>
      <c r="BQ234" s="604">
        <f t="shared" si="268"/>
        <v>-9661.2880997857155</v>
      </c>
      <c r="BR234" s="604">
        <f t="shared" si="268"/>
        <v>0</v>
      </c>
      <c r="BS234" s="604">
        <f t="shared" si="268"/>
        <v>2580.7744226544287</v>
      </c>
      <c r="BT234" s="604">
        <f t="shared" si="268"/>
        <v>0.2</v>
      </c>
      <c r="BU234" s="604">
        <f t="shared" si="268"/>
        <v>13219.516799999999</v>
      </c>
      <c r="BV234" s="604">
        <f t="shared" si="268"/>
        <v>3596.2440000000001</v>
      </c>
      <c r="BW234" s="604">
        <f t="shared" si="268"/>
        <v>-9661.2880997857155</v>
      </c>
      <c r="BX234" s="604">
        <f t="shared" si="268"/>
        <v>0</v>
      </c>
      <c r="BY234" s="604">
        <f t="shared" si="268"/>
        <v>2580.7744226544287</v>
      </c>
      <c r="BZ234" s="604">
        <f t="shared" si="268"/>
        <v>0.2</v>
      </c>
      <c r="CA234" s="604">
        <f t="shared" si="268"/>
        <v>13219.516799999999</v>
      </c>
      <c r="CB234" s="604">
        <f t="shared" si="268"/>
        <v>3596.2440000000001</v>
      </c>
      <c r="CC234" s="604">
        <f t="shared" si="268"/>
        <v>-9661.2880997857155</v>
      </c>
      <c r="CD234" s="604">
        <f t="shared" si="268"/>
        <v>0</v>
      </c>
      <c r="CE234" s="604">
        <f t="shared" si="268"/>
        <v>2580.7744226544287</v>
      </c>
      <c r="CF234" s="604">
        <f t="shared" si="268"/>
        <v>0.2</v>
      </c>
      <c r="CG234" s="604">
        <f t="shared" si="268"/>
        <v>13219.516799999999</v>
      </c>
      <c r="CH234" s="604">
        <f t="shared" si="268"/>
        <v>3596.2440000000001</v>
      </c>
      <c r="CI234" s="604">
        <f t="shared" si="268"/>
        <v>-9661.2880997857155</v>
      </c>
      <c r="CJ234" s="604">
        <f t="shared" si="268"/>
        <v>0</v>
      </c>
      <c r="CK234" s="604">
        <f t="shared" si="268"/>
        <v>2580.7744226544287</v>
      </c>
      <c r="CL234" s="604">
        <f t="shared" si="268"/>
        <v>0.2</v>
      </c>
      <c r="CM234" s="604">
        <f t="shared" si="268"/>
        <v>13219.516799999999</v>
      </c>
      <c r="CN234" s="604">
        <f t="shared" si="268"/>
        <v>3596.2440000000001</v>
      </c>
      <c r="CO234" s="604">
        <f t="shared" si="268"/>
        <v>-9661.2880997857155</v>
      </c>
      <c r="CP234" s="604">
        <f t="shared" si="268"/>
        <v>0</v>
      </c>
      <c r="CQ234" s="604">
        <f t="shared" si="268"/>
        <v>2580.7744226544287</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0.6</v>
      </c>
      <c r="DQ234" s="604">
        <f t="shared" si="269"/>
        <v>39658.550399999993</v>
      </c>
      <c r="DR234" s="604">
        <f t="shared" si="269"/>
        <v>10788.732</v>
      </c>
      <c r="DS234" s="604">
        <f t="shared" si="269"/>
        <v>-28983.864299357141</v>
      </c>
      <c r="DT234" s="604">
        <f t="shared" si="269"/>
        <v>0</v>
      </c>
      <c r="DU234" s="604">
        <f t="shared" si="269"/>
        <v>7742.3232679632847</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0</v>
      </c>
      <c r="V235" s="634">
        <f>V$33</f>
        <v>0</v>
      </c>
      <c r="W235" s="605"/>
      <c r="X235" s="606"/>
      <c r="Y235" s="606"/>
      <c r="Z235" s="605"/>
      <c r="AA235" s="605"/>
      <c r="AB235" s="634">
        <f>AB$33</f>
        <v>0</v>
      </c>
      <c r="AC235" s="607"/>
      <c r="AD235" s="608"/>
      <c r="AE235" s="608"/>
      <c r="AF235" s="607"/>
      <c r="AG235" s="607"/>
      <c r="AH235" s="634">
        <f>AH$33</f>
        <v>0</v>
      </c>
      <c r="AI235" s="605"/>
      <c r="AJ235" s="606"/>
      <c r="AK235" s="606"/>
      <c r="AL235" s="605"/>
      <c r="AM235" s="605"/>
      <c r="AN235" s="634">
        <f>AN$33</f>
        <v>0</v>
      </c>
      <c r="AO235" s="439"/>
      <c r="AP235" s="530"/>
      <c r="AQ235" s="530"/>
      <c r="AR235" s="439"/>
      <c r="AS235" s="439"/>
      <c r="AT235" s="634">
        <f t="shared" ref="AT235:DE235" si="271">IF(AT222=0,0,IF(AT33&gt;0,AT33,IF(AN235=0,0,IF(AN235&lt;AT242,0,AN235-AT234+AX44))))</f>
        <v>0</v>
      </c>
      <c r="AU235" s="634">
        <f t="shared" si="271"/>
        <v>0</v>
      </c>
      <c r="AV235" s="634">
        <f t="shared" si="271"/>
        <v>0</v>
      </c>
      <c r="AW235" s="634">
        <f t="shared" si="271"/>
        <v>0</v>
      </c>
      <c r="AX235" s="634">
        <f t="shared" si="271"/>
        <v>0</v>
      </c>
      <c r="AY235" s="634">
        <f t="shared" si="271"/>
        <v>0</v>
      </c>
      <c r="AZ235" s="634">
        <f t="shared" si="271"/>
        <v>0</v>
      </c>
      <c r="BA235" s="634">
        <f t="shared" si="271"/>
        <v>0</v>
      </c>
      <c r="BB235" s="634">
        <f t="shared" si="271"/>
        <v>0</v>
      </c>
      <c r="BC235" s="634">
        <f t="shared" si="271"/>
        <v>0</v>
      </c>
      <c r="BD235" s="634">
        <f t="shared" si="271"/>
        <v>0</v>
      </c>
      <c r="BE235" s="634">
        <f t="shared" si="271"/>
        <v>0</v>
      </c>
      <c r="BF235" s="634">
        <f t="shared" si="271"/>
        <v>0</v>
      </c>
      <c r="BG235" s="634">
        <f t="shared" si="271"/>
        <v>0</v>
      </c>
      <c r="BH235" s="634">
        <f t="shared" si="271"/>
        <v>0</v>
      </c>
      <c r="BI235" s="634">
        <f t="shared" si="271"/>
        <v>0</v>
      </c>
      <c r="BJ235" s="634">
        <f t="shared" si="271"/>
        <v>0</v>
      </c>
      <c r="BK235" s="634">
        <f t="shared" si="271"/>
        <v>0</v>
      </c>
      <c r="BL235" s="634">
        <f t="shared" si="271"/>
        <v>0</v>
      </c>
      <c r="BM235" s="634">
        <f t="shared" si="271"/>
        <v>0</v>
      </c>
      <c r="BN235" s="634">
        <f t="shared" si="271"/>
        <v>0</v>
      </c>
      <c r="BO235" s="634">
        <f t="shared" si="271"/>
        <v>0</v>
      </c>
      <c r="BP235" s="634">
        <f t="shared" si="271"/>
        <v>0</v>
      </c>
      <c r="BQ235" s="634">
        <f t="shared" si="271"/>
        <v>0</v>
      </c>
      <c r="BR235" s="634">
        <f t="shared" si="271"/>
        <v>0</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v>
      </c>
      <c r="V236" s="604">
        <f>(IF(V222=0,0,V235/V222))</f>
        <v>0</v>
      </c>
      <c r="W236" s="574"/>
      <c r="X236" s="575"/>
      <c r="Y236" s="575"/>
      <c r="Z236" s="574"/>
      <c r="AA236" s="574"/>
      <c r="AB236" s="604">
        <f>(IF(AB222=0,0,AB235/AB222))</f>
        <v>0</v>
      </c>
      <c r="AC236" s="574"/>
      <c r="AD236" s="575"/>
      <c r="AE236" s="575"/>
      <c r="AF236" s="574"/>
      <c r="AG236" s="574"/>
      <c r="AH236" s="604">
        <f>(IF(AH222=0,0,AH235/AH222))</f>
        <v>0</v>
      </c>
      <c r="AI236" s="574"/>
      <c r="AJ236" s="575"/>
      <c r="AK236" s="575"/>
      <c r="AL236" s="574"/>
      <c r="AM236" s="574"/>
      <c r="AN236" s="604">
        <f>(IF(AN222=0,0,AN235/AN222))</f>
        <v>0</v>
      </c>
      <c r="AO236" s="439"/>
      <c r="AP236" s="530"/>
      <c r="AQ236" s="530"/>
      <c r="AR236" s="439"/>
      <c r="AS236" s="439"/>
      <c r="AT236" s="609">
        <f>(IF(AT222=0,0,AT235/AT222))</f>
        <v>0</v>
      </c>
      <c r="AU236" s="574"/>
      <c r="AV236" s="575"/>
      <c r="AW236" s="575"/>
      <c r="AX236" s="574"/>
      <c r="AY236" s="574"/>
      <c r="AZ236" s="604">
        <f>(IF(AZ222=0,0,AZ235/AZ222))</f>
        <v>0</v>
      </c>
      <c r="BA236" s="315"/>
      <c r="BB236" s="316"/>
      <c r="BC236" s="316"/>
      <c r="BD236" s="315"/>
      <c r="BE236" s="315"/>
      <c r="BF236" s="604">
        <f>(IF(BF222=0,0,BF235/BF222))</f>
        <v>0</v>
      </c>
      <c r="BG236" s="315"/>
      <c r="BH236" s="316"/>
      <c r="BI236" s="316"/>
      <c r="BJ236" s="315"/>
      <c r="BK236" s="315"/>
      <c r="BL236" s="604">
        <f>(IF(BL222=0,0,BL235/BL222))</f>
        <v>0</v>
      </c>
      <c r="BM236" s="315"/>
      <c r="BN236" s="316"/>
      <c r="BO236" s="316"/>
      <c r="BP236" s="315"/>
      <c r="BQ236" s="315"/>
      <c r="BR236" s="604">
        <f>(IF(BR222=0,0,BR235/BR222))</f>
        <v>0</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593225.73399999994</v>
      </c>
      <c r="V237" s="604">
        <f>V34</f>
        <v>593225.73399999994</v>
      </c>
      <c r="W237" s="574"/>
      <c r="X237" s="575"/>
      <c r="Y237" s="575"/>
      <c r="Z237" s="574"/>
      <c r="AA237" s="574"/>
      <c r="AB237" s="604">
        <f>AB34</f>
        <v>593225.73399999994</v>
      </c>
      <c r="AC237" s="315"/>
      <c r="AD237" s="316"/>
      <c r="AE237" s="316"/>
      <c r="AF237" s="315"/>
      <c r="AG237" s="315"/>
      <c r="AH237" s="604">
        <f>AH34</f>
        <v>593225.73399999994</v>
      </c>
      <c r="AI237" s="574"/>
      <c r="AJ237" s="575"/>
      <c r="AK237" s="575"/>
      <c r="AL237" s="574"/>
      <c r="AM237" s="574"/>
      <c r="AN237" s="604">
        <f>AN34</f>
        <v>593225.73399999994</v>
      </c>
      <c r="AO237" s="439"/>
      <c r="AP237" s="530"/>
      <c r="AQ237" s="530"/>
      <c r="AR237" s="439"/>
      <c r="AS237" s="439"/>
      <c r="AT237" s="604">
        <f t="shared" ref="AT237:BK237" si="274">AT229+(AT232*9.786)+(AT235*278)+(AT242*278)</f>
        <v>593225.73399999994</v>
      </c>
      <c r="AU237" s="604">
        <f t="shared" si="274"/>
        <v>0</v>
      </c>
      <c r="AV237" s="604">
        <f t="shared" si="274"/>
        <v>0</v>
      </c>
      <c r="AW237" s="604">
        <f t="shared" si="274"/>
        <v>0</v>
      </c>
      <c r="AX237" s="604">
        <f t="shared" si="274"/>
        <v>0</v>
      </c>
      <c r="AY237" s="604">
        <f t="shared" si="274"/>
        <v>0</v>
      </c>
      <c r="AZ237" s="604">
        <f t="shared" si="274"/>
        <v>501740.24988040002</v>
      </c>
      <c r="BA237" s="604">
        <f t="shared" si="274"/>
        <v>0</v>
      </c>
      <c r="BB237" s="604">
        <f t="shared" si="274"/>
        <v>0</v>
      </c>
      <c r="BC237" s="604">
        <f t="shared" si="274"/>
        <v>0</v>
      </c>
      <c r="BD237" s="604">
        <f t="shared" si="274"/>
        <v>0</v>
      </c>
      <c r="BE237" s="604">
        <f t="shared" si="274"/>
        <v>0</v>
      </c>
      <c r="BF237" s="604">
        <f t="shared" si="274"/>
        <v>390901.55951618566</v>
      </c>
      <c r="BG237" s="604">
        <f t="shared" si="274"/>
        <v>0</v>
      </c>
      <c r="BH237" s="604">
        <f t="shared" si="274"/>
        <v>0</v>
      </c>
      <c r="BI237" s="604">
        <f t="shared" si="274"/>
        <v>0</v>
      </c>
      <c r="BJ237" s="604">
        <f t="shared" si="274"/>
        <v>0</v>
      </c>
      <c r="BK237" s="604">
        <f t="shared" si="274"/>
        <v>0</v>
      </c>
      <c r="BL237" s="604">
        <f>BL229+(BL232*9.786)+(BL235*278)+(BL242*278)</f>
        <v>365370.00383197144</v>
      </c>
      <c r="BM237" s="604">
        <f t="shared" ref="BM237:DX237" si="275">BM229+(BM232*9.786)+(BM235*278)+(BM242*278)</f>
        <v>0</v>
      </c>
      <c r="BN237" s="604">
        <f t="shared" si="275"/>
        <v>0</v>
      </c>
      <c r="BO237" s="604">
        <f t="shared" si="275"/>
        <v>0</v>
      </c>
      <c r="BP237" s="604">
        <f t="shared" si="275"/>
        <v>0</v>
      </c>
      <c r="BQ237" s="604">
        <f t="shared" si="275"/>
        <v>0</v>
      </c>
      <c r="BR237" s="604">
        <f t="shared" si="275"/>
        <v>339838.4481477571</v>
      </c>
      <c r="BS237" s="604">
        <f t="shared" si="275"/>
        <v>0</v>
      </c>
      <c r="BT237" s="604">
        <f t="shared" si="275"/>
        <v>0</v>
      </c>
      <c r="BU237" s="604">
        <f t="shared" si="275"/>
        <v>0</v>
      </c>
      <c r="BV237" s="604">
        <f t="shared" si="275"/>
        <v>0</v>
      </c>
      <c r="BW237" s="604">
        <f t="shared" si="275"/>
        <v>0</v>
      </c>
      <c r="BX237" s="604">
        <f t="shared" si="275"/>
        <v>314306.89246354287</v>
      </c>
      <c r="BY237" s="604">
        <f t="shared" si="275"/>
        <v>0</v>
      </c>
      <c r="BZ237" s="604">
        <f t="shared" si="275"/>
        <v>0</v>
      </c>
      <c r="CA237" s="604">
        <f t="shared" si="275"/>
        <v>0</v>
      </c>
      <c r="CB237" s="604">
        <f t="shared" si="275"/>
        <v>0</v>
      </c>
      <c r="CC237" s="604">
        <f t="shared" si="275"/>
        <v>0</v>
      </c>
      <c r="CD237" s="604">
        <f t="shared" si="275"/>
        <v>288775.33677932859</v>
      </c>
      <c r="CE237" s="604">
        <f t="shared" si="275"/>
        <v>0</v>
      </c>
      <c r="CF237" s="604">
        <f t="shared" si="275"/>
        <v>0</v>
      </c>
      <c r="CG237" s="604">
        <f t="shared" si="275"/>
        <v>0</v>
      </c>
      <c r="CH237" s="604">
        <f t="shared" si="275"/>
        <v>0</v>
      </c>
      <c r="CI237" s="604">
        <f t="shared" si="275"/>
        <v>0</v>
      </c>
      <c r="CJ237" s="604">
        <f t="shared" si="275"/>
        <v>263243.7810951143</v>
      </c>
      <c r="CK237" s="604">
        <f t="shared" si="275"/>
        <v>0</v>
      </c>
      <c r="CL237" s="604">
        <f t="shared" si="275"/>
        <v>0</v>
      </c>
      <c r="CM237" s="604">
        <f t="shared" si="275"/>
        <v>0</v>
      </c>
      <c r="CN237" s="604">
        <f t="shared" si="275"/>
        <v>0</v>
      </c>
      <c r="CO237" s="604">
        <f t="shared" si="275"/>
        <v>0</v>
      </c>
      <c r="CP237" s="604">
        <f t="shared" si="275"/>
        <v>237712.22541090002</v>
      </c>
      <c r="CQ237" s="604">
        <f t="shared" si="275"/>
        <v>0</v>
      </c>
      <c r="CR237" s="604">
        <f t="shared" si="275"/>
        <v>0</v>
      </c>
      <c r="CS237" s="604">
        <f t="shared" si="275"/>
        <v>0</v>
      </c>
      <c r="CT237" s="604">
        <f t="shared" si="275"/>
        <v>0</v>
      </c>
      <c r="CU237" s="604">
        <f t="shared" si="275"/>
        <v>0</v>
      </c>
      <c r="CV237" s="604">
        <f t="shared" si="275"/>
        <v>237712.22541090002</v>
      </c>
      <c r="CW237" s="604">
        <f t="shared" si="275"/>
        <v>0</v>
      </c>
      <c r="CX237" s="604">
        <f t="shared" si="275"/>
        <v>0</v>
      </c>
      <c r="CY237" s="604">
        <f t="shared" si="275"/>
        <v>0</v>
      </c>
      <c r="CZ237" s="604">
        <f t="shared" si="275"/>
        <v>0</v>
      </c>
      <c r="DA237" s="604">
        <f t="shared" si="275"/>
        <v>0</v>
      </c>
      <c r="DB237" s="604">
        <f t="shared" si="275"/>
        <v>237712.22541090002</v>
      </c>
      <c r="DC237" s="604">
        <f t="shared" si="275"/>
        <v>0</v>
      </c>
      <c r="DD237" s="604">
        <f t="shared" si="275"/>
        <v>0</v>
      </c>
      <c r="DE237" s="604">
        <f t="shared" si="275"/>
        <v>0</v>
      </c>
      <c r="DF237" s="604">
        <f t="shared" si="275"/>
        <v>0</v>
      </c>
      <c r="DG237" s="604">
        <f t="shared" si="275"/>
        <v>0</v>
      </c>
      <c r="DH237" s="604">
        <f t="shared" si="275"/>
        <v>237712.22541090002</v>
      </c>
      <c r="DI237" s="604">
        <f t="shared" si="275"/>
        <v>0</v>
      </c>
      <c r="DJ237" s="604">
        <f t="shared" si="275"/>
        <v>0</v>
      </c>
      <c r="DK237" s="604">
        <f t="shared" si="275"/>
        <v>0</v>
      </c>
      <c r="DL237" s="604">
        <f t="shared" si="275"/>
        <v>0</v>
      </c>
      <c r="DM237" s="604">
        <f t="shared" si="275"/>
        <v>0</v>
      </c>
      <c r="DN237" s="604">
        <f t="shared" si="275"/>
        <v>237712.22541090002</v>
      </c>
      <c r="DO237" s="604">
        <f t="shared" si="275"/>
        <v>0</v>
      </c>
      <c r="DP237" s="604">
        <f t="shared" si="275"/>
        <v>0</v>
      </c>
      <c r="DQ237" s="604">
        <f t="shared" si="275"/>
        <v>0</v>
      </c>
      <c r="DR237" s="604">
        <f t="shared" si="275"/>
        <v>0</v>
      </c>
      <c r="DS237" s="604">
        <f t="shared" si="275"/>
        <v>0</v>
      </c>
      <c r="DT237" s="604">
        <f t="shared" si="275"/>
        <v>161117.55835825717</v>
      </c>
      <c r="DU237" s="604">
        <f t="shared" si="275"/>
        <v>0</v>
      </c>
      <c r="DV237" s="604">
        <f t="shared" si="275"/>
        <v>0</v>
      </c>
      <c r="DW237" s="604">
        <f t="shared" si="275"/>
        <v>0</v>
      </c>
      <c r="DX237" s="604">
        <f t="shared" si="275"/>
        <v>0</v>
      </c>
      <c r="DY237" s="604">
        <f t="shared" ref="DY237:GJ237" si="276">DY229+(DY232*9.786)+(DY235*278)+(DY242*278)</f>
        <v>0</v>
      </c>
      <c r="DZ237" s="604">
        <f t="shared" si="276"/>
        <v>161117.55835825717</v>
      </c>
      <c r="EA237" s="604">
        <f t="shared" si="276"/>
        <v>0</v>
      </c>
      <c r="EB237" s="604">
        <f t="shared" si="276"/>
        <v>0</v>
      </c>
      <c r="EC237" s="604">
        <f t="shared" si="276"/>
        <v>0</v>
      </c>
      <c r="ED237" s="604">
        <f t="shared" si="276"/>
        <v>0</v>
      </c>
      <c r="EE237" s="604">
        <f t="shared" si="276"/>
        <v>0</v>
      </c>
      <c r="EF237" s="604">
        <f t="shared" si="276"/>
        <v>161117.55835825717</v>
      </c>
      <c r="EG237" s="604">
        <f t="shared" si="276"/>
        <v>0</v>
      </c>
      <c r="EH237" s="604">
        <f t="shared" si="276"/>
        <v>0</v>
      </c>
      <c r="EI237" s="604">
        <f t="shared" si="276"/>
        <v>0</v>
      </c>
      <c r="EJ237" s="604">
        <f t="shared" si="276"/>
        <v>0</v>
      </c>
      <c r="EK237" s="604">
        <f t="shared" si="276"/>
        <v>0</v>
      </c>
      <c r="EL237" s="604">
        <f t="shared" si="276"/>
        <v>161117.55835825717</v>
      </c>
      <c r="EM237" s="604">
        <f t="shared" si="276"/>
        <v>0</v>
      </c>
      <c r="EN237" s="604">
        <f t="shared" si="276"/>
        <v>0</v>
      </c>
      <c r="EO237" s="604">
        <f t="shared" si="276"/>
        <v>0</v>
      </c>
      <c r="EP237" s="604">
        <f t="shared" si="276"/>
        <v>0</v>
      </c>
      <c r="EQ237" s="604">
        <f t="shared" si="276"/>
        <v>0</v>
      </c>
      <c r="ER237" s="604">
        <f t="shared" si="276"/>
        <v>161117.55835825717</v>
      </c>
      <c r="ES237" s="604">
        <f t="shared" si="276"/>
        <v>0</v>
      </c>
      <c r="ET237" s="604">
        <f t="shared" si="276"/>
        <v>0</v>
      </c>
      <c r="EU237" s="604">
        <f t="shared" si="276"/>
        <v>0</v>
      </c>
      <c r="EV237" s="604">
        <f t="shared" si="276"/>
        <v>0</v>
      </c>
      <c r="EW237" s="604">
        <f t="shared" si="276"/>
        <v>0</v>
      </c>
      <c r="EX237" s="604">
        <f t="shared" si="276"/>
        <v>161117.55835825717</v>
      </c>
      <c r="EY237" s="604">
        <f t="shared" si="276"/>
        <v>0</v>
      </c>
      <c r="EZ237" s="604">
        <f t="shared" si="276"/>
        <v>0</v>
      </c>
      <c r="FA237" s="604">
        <f t="shared" si="276"/>
        <v>0</v>
      </c>
      <c r="FB237" s="604">
        <f t="shared" si="276"/>
        <v>0</v>
      </c>
      <c r="FC237" s="604">
        <f t="shared" si="276"/>
        <v>0</v>
      </c>
      <c r="FD237" s="604">
        <f t="shared" si="276"/>
        <v>161117.55835825717</v>
      </c>
      <c r="FE237" s="604">
        <f t="shared" si="276"/>
        <v>0</v>
      </c>
      <c r="FF237" s="604">
        <f t="shared" si="276"/>
        <v>0</v>
      </c>
      <c r="FG237" s="604">
        <f t="shared" si="276"/>
        <v>0</v>
      </c>
      <c r="FH237" s="604">
        <f t="shared" si="276"/>
        <v>0</v>
      </c>
      <c r="FI237" s="604">
        <f t="shared" si="276"/>
        <v>0</v>
      </c>
      <c r="FJ237" s="604">
        <f t="shared" si="276"/>
        <v>161117.55835825717</v>
      </c>
      <c r="FK237" s="604">
        <f t="shared" si="276"/>
        <v>0</v>
      </c>
      <c r="FL237" s="604">
        <f t="shared" si="276"/>
        <v>0</v>
      </c>
      <c r="FM237" s="604">
        <f t="shared" si="276"/>
        <v>0</v>
      </c>
      <c r="FN237" s="604">
        <f t="shared" si="276"/>
        <v>0</v>
      </c>
      <c r="FO237" s="604">
        <f t="shared" si="276"/>
        <v>0</v>
      </c>
      <c r="FP237" s="604">
        <f t="shared" si="276"/>
        <v>161117.55835825717</v>
      </c>
      <c r="FQ237" s="604">
        <f t="shared" si="276"/>
        <v>0</v>
      </c>
      <c r="FR237" s="604">
        <f t="shared" si="276"/>
        <v>0</v>
      </c>
      <c r="FS237" s="604">
        <f t="shared" si="276"/>
        <v>0</v>
      </c>
      <c r="FT237" s="604">
        <f t="shared" si="276"/>
        <v>0</v>
      </c>
      <c r="FU237" s="604">
        <f t="shared" si="276"/>
        <v>0</v>
      </c>
      <c r="FV237" s="604">
        <f t="shared" si="276"/>
        <v>161117.55835825717</v>
      </c>
      <c r="FW237" s="604">
        <f t="shared" si="276"/>
        <v>0</v>
      </c>
      <c r="FX237" s="604">
        <f t="shared" si="276"/>
        <v>0</v>
      </c>
      <c r="FY237" s="604">
        <f t="shared" si="276"/>
        <v>0</v>
      </c>
      <c r="FZ237" s="604">
        <f t="shared" si="276"/>
        <v>0</v>
      </c>
      <c r="GA237" s="604">
        <f t="shared" si="276"/>
        <v>0</v>
      </c>
      <c r="GB237" s="604">
        <f t="shared" si="276"/>
        <v>161117.55835825717</v>
      </c>
      <c r="GC237" s="604">
        <f t="shared" si="276"/>
        <v>0</v>
      </c>
      <c r="GD237" s="604">
        <f t="shared" si="276"/>
        <v>0</v>
      </c>
      <c r="GE237" s="604">
        <f t="shared" si="276"/>
        <v>0</v>
      </c>
      <c r="GF237" s="604">
        <f t="shared" si="276"/>
        <v>0</v>
      </c>
      <c r="GG237" s="604">
        <f t="shared" si="276"/>
        <v>0</v>
      </c>
      <c r="GH237" s="604">
        <f t="shared" si="276"/>
        <v>161117.55835825717</v>
      </c>
      <c r="GI237" s="604">
        <f t="shared" si="276"/>
        <v>0</v>
      </c>
      <c r="GJ237" s="604">
        <f t="shared" si="276"/>
        <v>0</v>
      </c>
      <c r="GK237" s="604">
        <f t="shared" ref="GK237:GZ237" si="277">GK229+(GK232*9.786)+(GK235*278)+(GK242*278)</f>
        <v>0</v>
      </c>
      <c r="GL237" s="604">
        <f t="shared" si="277"/>
        <v>0</v>
      </c>
      <c r="GM237" s="604">
        <f t="shared" si="277"/>
        <v>0</v>
      </c>
      <c r="GN237" s="604">
        <f t="shared" si="277"/>
        <v>161117.55835825717</v>
      </c>
      <c r="GO237" s="604">
        <f t="shared" si="277"/>
        <v>0</v>
      </c>
      <c r="GP237" s="604">
        <f t="shared" si="277"/>
        <v>0</v>
      </c>
      <c r="GQ237" s="604">
        <f t="shared" si="277"/>
        <v>0</v>
      </c>
      <c r="GR237" s="604">
        <f t="shared" si="277"/>
        <v>0</v>
      </c>
      <c r="GS237" s="604">
        <f t="shared" si="277"/>
        <v>0</v>
      </c>
      <c r="GT237" s="604">
        <f t="shared" si="277"/>
        <v>161117.55835825717</v>
      </c>
      <c r="GU237" s="604">
        <f t="shared" si="277"/>
        <v>0</v>
      </c>
      <c r="GV237" s="604">
        <f t="shared" si="277"/>
        <v>0</v>
      </c>
      <c r="GW237" s="604">
        <f t="shared" si="277"/>
        <v>0</v>
      </c>
      <c r="GX237" s="604">
        <f t="shared" si="277"/>
        <v>0</v>
      </c>
      <c r="GY237" s="604">
        <f t="shared" si="277"/>
        <v>0</v>
      </c>
      <c r="GZ237" s="604">
        <f t="shared" si="277"/>
        <v>161117.55835825717</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188.19658075732195</v>
      </c>
      <c r="V238" s="551">
        <f>IF(V222=0,0,V237/V222)</f>
        <v>188.19658075732195</v>
      </c>
      <c r="W238" s="552"/>
      <c r="X238" s="553"/>
      <c r="Y238" s="553"/>
      <c r="Z238" s="552"/>
      <c r="AA238" s="552"/>
      <c r="AB238" s="551">
        <f>IF(AB222=0,0,AB237/AB222)</f>
        <v>188.19658075732195</v>
      </c>
      <c r="AC238" s="552"/>
      <c r="AD238" s="553"/>
      <c r="AE238" s="553"/>
      <c r="AF238" s="552"/>
      <c r="AG238" s="552"/>
      <c r="AH238" s="551">
        <f>IF(AH222=0,0,AH237/AH222)</f>
        <v>188.19658075732195</v>
      </c>
      <c r="AI238" s="552"/>
      <c r="AJ238" s="553"/>
      <c r="AK238" s="553"/>
      <c r="AL238" s="552"/>
      <c r="AM238" s="552"/>
      <c r="AN238" s="551">
        <f>IF(AN222=0,0,AN237/AN222)</f>
        <v>188.19658075732195</v>
      </c>
      <c r="AO238" s="586"/>
      <c r="AP238" s="587"/>
      <c r="AQ238" s="587"/>
      <c r="AR238" s="586"/>
      <c r="AS238" s="586"/>
      <c r="AT238" s="550">
        <f>IF(AT222=0,0,AT237/AT222)</f>
        <v>188.19658075732195</v>
      </c>
      <c r="AU238" s="313"/>
      <c r="AV238" s="314"/>
      <c r="AW238" s="314"/>
      <c r="AX238" s="313"/>
      <c r="AY238" s="313"/>
      <c r="AZ238" s="551">
        <f>IF(AZ222=0,0,AZ237/AZ222)</f>
        <v>159.17347148634587</v>
      </c>
      <c r="BA238" s="313"/>
      <c r="BB238" s="314"/>
      <c r="BC238" s="314"/>
      <c r="BD238" s="313"/>
      <c r="BE238" s="313"/>
      <c r="BF238" s="551">
        <f>IF(BF222=0,0,BF237/BF222)</f>
        <v>124.01069727303997</v>
      </c>
      <c r="BG238" s="313"/>
      <c r="BH238" s="314"/>
      <c r="BI238" s="314"/>
      <c r="BJ238" s="313"/>
      <c r="BK238" s="313"/>
      <c r="BL238" s="551">
        <f>IF(BL222=0,0,BL237/BL222)</f>
        <v>115.91099558143351</v>
      </c>
      <c r="BM238" s="313"/>
      <c r="BN238" s="314"/>
      <c r="BO238" s="314"/>
      <c r="BP238" s="313"/>
      <c r="BQ238" s="313"/>
      <c r="BR238" s="551">
        <f>IF(BR222=0,0,BR237/BR222)</f>
        <v>107.81129388982701</v>
      </c>
      <c r="BS238" s="552"/>
      <c r="BT238" s="553"/>
      <c r="BU238" s="553"/>
      <c r="BV238" s="552"/>
      <c r="BW238" s="552"/>
      <c r="BX238" s="551">
        <f>IF(BX222=0,0,BX237/BX222)</f>
        <v>99.711592198220544</v>
      </c>
      <c r="BY238" s="313"/>
      <c r="BZ238" s="314"/>
      <c r="CA238" s="314"/>
      <c r="CB238" s="313"/>
      <c r="CC238" s="313"/>
      <c r="CD238" s="551">
        <f>IF(CD222=0,0,CD237/CD222)</f>
        <v>91.611890506614074</v>
      </c>
      <c r="CE238" s="313"/>
      <c r="CF238" s="314"/>
      <c r="CG238" s="314"/>
      <c r="CH238" s="313"/>
      <c r="CI238" s="313"/>
      <c r="CJ238" s="551">
        <f>IF(CJ222=0,0,CJ237/CJ222)</f>
        <v>83.51218881500759</v>
      </c>
      <c r="CK238" s="313"/>
      <c r="CL238" s="314"/>
      <c r="CM238" s="314"/>
      <c r="CN238" s="313"/>
      <c r="CO238" s="313"/>
      <c r="CP238" s="551">
        <f>IF(CP222=0,0,CP237/CP222)</f>
        <v>75.412487123401107</v>
      </c>
      <c r="CQ238" s="554"/>
      <c r="CR238" s="553"/>
      <c r="CS238" s="553"/>
      <c r="CT238" s="554"/>
      <c r="CU238" s="554"/>
      <c r="CV238" s="551">
        <f>IF(CV222=0,0,CV237/CV222)</f>
        <v>75.412487123401107</v>
      </c>
      <c r="CW238" s="554"/>
      <c r="CX238" s="553"/>
      <c r="CY238" s="553"/>
      <c r="CZ238" s="554"/>
      <c r="DA238" s="554"/>
      <c r="DB238" s="551">
        <f>IF(DB222=0,0,DB237/DB222)</f>
        <v>75.412487123401107</v>
      </c>
      <c r="DC238" s="313"/>
      <c r="DD238" s="314"/>
      <c r="DE238" s="314"/>
      <c r="DF238" s="313"/>
      <c r="DG238" s="313"/>
      <c r="DH238" s="551">
        <f>IF(DH222=0,0,DH237/DH222)</f>
        <v>75.412487123401107</v>
      </c>
      <c r="DI238" s="313"/>
      <c r="DJ238" s="314"/>
      <c r="DK238" s="314"/>
      <c r="DL238" s="313"/>
      <c r="DM238" s="313"/>
      <c r="DN238" s="551">
        <f>IF(DN222=0,0,DN237/DN222)</f>
        <v>75.412487123401107</v>
      </c>
      <c r="DO238" s="313"/>
      <c r="DP238" s="314"/>
      <c r="DQ238" s="314"/>
      <c r="DR238" s="313"/>
      <c r="DS238" s="313"/>
      <c r="DT238" s="551">
        <f>IF(DT222=0,0,DT237/DT222)</f>
        <v>51.113382048581663</v>
      </c>
      <c r="DU238" s="313"/>
      <c r="DV238" s="314"/>
      <c r="DW238" s="314"/>
      <c r="DX238" s="313"/>
      <c r="DY238" s="313"/>
      <c r="DZ238" s="551">
        <f>IF(DZ222=0,0,DZ237/DZ222)</f>
        <v>51.113382048581663</v>
      </c>
      <c r="EA238" s="313"/>
      <c r="EB238" s="314"/>
      <c r="EC238" s="314"/>
      <c r="ED238" s="313"/>
      <c r="EE238" s="313"/>
      <c r="EF238" s="551">
        <f>IF(EF222=0,0,EF237/EF222)</f>
        <v>51.113382048581663</v>
      </c>
      <c r="EG238" s="313"/>
      <c r="EH238" s="314"/>
      <c r="EI238" s="314"/>
      <c r="EJ238" s="313"/>
      <c r="EK238" s="313"/>
      <c r="EL238" s="551">
        <f>IF(EL222=0,0,EL237/EL222)</f>
        <v>51.113382048581663</v>
      </c>
      <c r="EM238" s="313"/>
      <c r="EN238" s="314"/>
      <c r="EO238" s="314"/>
      <c r="EP238" s="313"/>
      <c r="EQ238" s="313"/>
      <c r="ER238" s="551">
        <f>IF(ER222=0,0,ER237/ER222)</f>
        <v>51.113382048581663</v>
      </c>
      <c r="ES238" s="313"/>
      <c r="ET238" s="314"/>
      <c r="EU238" s="314"/>
      <c r="EV238" s="313"/>
      <c r="EW238" s="313"/>
      <c r="EX238" s="551">
        <f>IF(EX222=0,0,EX237/EX222)</f>
        <v>51.113382048581663</v>
      </c>
      <c r="EY238" s="313"/>
      <c r="EZ238" s="314"/>
      <c r="FA238" s="314"/>
      <c r="FB238" s="313"/>
      <c r="FC238" s="313"/>
      <c r="FD238" s="551">
        <f>IF(FD222=0,0,FD237/FD222)</f>
        <v>51.113382048581663</v>
      </c>
      <c r="FE238" s="313"/>
      <c r="FF238" s="314"/>
      <c r="FG238" s="314"/>
      <c r="FH238" s="313"/>
      <c r="FI238" s="313"/>
      <c r="FJ238" s="551">
        <f>IF(FJ222=0,0,FJ237/FJ222)</f>
        <v>51.113382048581663</v>
      </c>
      <c r="FK238" s="313"/>
      <c r="FL238" s="314"/>
      <c r="FM238" s="314"/>
      <c r="FN238" s="313"/>
      <c r="FO238" s="313"/>
      <c r="FP238" s="551">
        <f>IF(FP222=0,0,FP237/FP222)</f>
        <v>51.113382048581663</v>
      </c>
      <c r="FQ238" s="313"/>
      <c r="FR238" s="314"/>
      <c r="FS238" s="314"/>
      <c r="FT238" s="313"/>
      <c r="FU238" s="313"/>
      <c r="FV238" s="551">
        <f>IF(FV222=0,0,FV237/FV222)</f>
        <v>51.113382048581663</v>
      </c>
      <c r="FW238" s="313"/>
      <c r="FX238" s="314"/>
      <c r="FY238" s="314"/>
      <c r="FZ238" s="313"/>
      <c r="GA238" s="313"/>
      <c r="GB238" s="551">
        <f>IF(GB222=0,0,GB237/GB222)</f>
        <v>51.113382048581663</v>
      </c>
      <c r="GC238" s="313"/>
      <c r="GD238" s="314"/>
      <c r="GE238" s="314"/>
      <c r="GF238" s="313"/>
      <c r="GG238" s="313"/>
      <c r="GH238" s="551">
        <f>IF(GH222=0,0,GH237/GH222)</f>
        <v>51.113382048581663</v>
      </c>
      <c r="GI238" s="313"/>
      <c r="GJ238" s="314"/>
      <c r="GK238" s="314"/>
      <c r="GL238" s="313"/>
      <c r="GM238" s="313"/>
      <c r="GN238" s="551">
        <f>IF(GN222=0,0,GN237/GN222)</f>
        <v>51.113382048581663</v>
      </c>
      <c r="GO238" s="313"/>
      <c r="GP238" s="314"/>
      <c r="GQ238" s="314"/>
      <c r="GR238" s="313"/>
      <c r="GS238" s="313"/>
      <c r="GT238" s="551">
        <f>IF(GT222=0,0,GT237/GT222)</f>
        <v>51.113382048581663</v>
      </c>
      <c r="GU238" s="313"/>
      <c r="GV238" s="314"/>
      <c r="GW238" s="314"/>
      <c r="GX238" s="313"/>
      <c r="GY238" s="313"/>
      <c r="GZ238" s="555">
        <f>IF(GZ222=0,0,GZ237/GZ222)</f>
        <v>51.113382048581663</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0</v>
      </c>
      <c r="AU240" s="542"/>
      <c r="AV240" s="543"/>
      <c r="AW240" s="543"/>
      <c r="AX240" s="542"/>
      <c r="AY240" s="542"/>
      <c r="AZ240" s="541">
        <f>IF(AZ222=0,0,AT240+SUMIF($S44:$S216,"ja",BC44:BC216))</f>
        <v>0</v>
      </c>
      <c r="BA240" s="311"/>
      <c r="BB240" s="312"/>
      <c r="BC240" s="312"/>
      <c r="BD240" s="311"/>
      <c r="BE240" s="311"/>
      <c r="BF240" s="541">
        <f>IF(BF222=0,0,AZ240+SUMIF($S44:$S216,"ja",BI44:BI216))</f>
        <v>76045.86</v>
      </c>
      <c r="BG240" s="311"/>
      <c r="BH240" s="312"/>
      <c r="BI240" s="312"/>
      <c r="BJ240" s="311"/>
      <c r="BK240" s="311"/>
      <c r="BL240" s="541">
        <f>IF(BL222=0,0,BF240+SUMIF($S44:$S216,"ja",BO44:BO216))</f>
        <v>76045.86</v>
      </c>
      <c r="BM240" s="311"/>
      <c r="BN240" s="312"/>
      <c r="BO240" s="312"/>
      <c r="BP240" s="311"/>
      <c r="BQ240" s="311"/>
      <c r="BR240" s="541">
        <f>IF(BR222=0,0,BL240+SUMIF($S44:$S216,"ja",BU44:BU216))</f>
        <v>76045.86</v>
      </c>
      <c r="BS240" s="542"/>
      <c r="BT240" s="543"/>
      <c r="BU240" s="543"/>
      <c r="BV240" s="542"/>
      <c r="BW240" s="542"/>
      <c r="BX240" s="541">
        <f>IF(BX222=0,0,BR240+SUMIF($S44:$S216,"ja",CA44:CA216))</f>
        <v>76045.86</v>
      </c>
      <c r="BY240" s="311"/>
      <c r="BZ240" s="312"/>
      <c r="CA240" s="312"/>
      <c r="CB240" s="311"/>
      <c r="CC240" s="311"/>
      <c r="CD240" s="541">
        <f>IF(CD222=0,0,BX240+SUMIF($S44:$S216,"ja",CG44:CG216))</f>
        <v>76045.86</v>
      </c>
      <c r="CE240" s="311"/>
      <c r="CF240" s="312"/>
      <c r="CG240" s="312"/>
      <c r="CH240" s="311"/>
      <c r="CI240" s="311"/>
      <c r="CJ240" s="541">
        <f>IF(CJ222=0,0,CD240+SUMIF($S44:$S216,"ja",CM44:CM216))</f>
        <v>76045.86</v>
      </c>
      <c r="CK240" s="311"/>
      <c r="CL240" s="312"/>
      <c r="CM240" s="312"/>
      <c r="CN240" s="311"/>
      <c r="CO240" s="311"/>
      <c r="CP240" s="541">
        <f>IF(CP222=0,0,CJ240+SUMIF($S44:$S216,"ja",CS44:CS216))</f>
        <v>76045.86</v>
      </c>
      <c r="CQ240" s="544"/>
      <c r="CR240" s="543"/>
      <c r="CS240" s="543"/>
      <c r="CT240" s="544"/>
      <c r="CU240" s="544"/>
      <c r="CV240" s="541">
        <f>IF(CV222=0,0,CP240+SUMIF($S44:$S216,"ja",CY44:CY216))</f>
        <v>76045.86</v>
      </c>
      <c r="CW240" s="544"/>
      <c r="CX240" s="543"/>
      <c r="CY240" s="543"/>
      <c r="CZ240" s="544"/>
      <c r="DA240" s="544"/>
      <c r="DB240" s="541">
        <f>IF(DB222=0,0,CV240+SUMIF($S44:$S216,"ja",DE44:DE216))</f>
        <v>76045.86</v>
      </c>
      <c r="DC240" s="311"/>
      <c r="DD240" s="312"/>
      <c r="DE240" s="312"/>
      <c r="DF240" s="311"/>
      <c r="DG240" s="311"/>
      <c r="DH240" s="541">
        <f>IF(DH222=0,0,DB240+SUMIF($S44:$S216,"ja",DK44:DK216))</f>
        <v>76045.86</v>
      </c>
      <c r="DI240" s="311"/>
      <c r="DJ240" s="312"/>
      <c r="DK240" s="312"/>
      <c r="DL240" s="311"/>
      <c r="DM240" s="311"/>
      <c r="DN240" s="541">
        <f>IF(DN222=0,0,DH240+SUMIF($S44:$S216,"ja",DQ44:DQ216))</f>
        <v>76045.86</v>
      </c>
      <c r="DO240" s="311"/>
      <c r="DP240" s="312"/>
      <c r="DQ240" s="312"/>
      <c r="DR240" s="311"/>
      <c r="DS240" s="311"/>
      <c r="DT240" s="541">
        <f>IF(DT222=0,0,DN240+SUMIF($S44:$S216,"ja",DW44:DW216))</f>
        <v>76045.86</v>
      </c>
      <c r="DU240" s="311"/>
      <c r="DV240" s="312"/>
      <c r="DW240" s="312"/>
      <c r="DX240" s="311"/>
      <c r="DY240" s="311"/>
      <c r="DZ240" s="541">
        <f>IF(DZ222=0,0,DT240+SUMIF($S44:$S216,"ja",EC44:EC216))</f>
        <v>76045.86</v>
      </c>
      <c r="EA240" s="311"/>
      <c r="EB240" s="312"/>
      <c r="EC240" s="312"/>
      <c r="ED240" s="311"/>
      <c r="EE240" s="311"/>
      <c r="EF240" s="541">
        <f>IF(EF222=0,0,DZ240+SUMIF($S44:$S216,"ja",EI44:EI216))</f>
        <v>76045.86</v>
      </c>
      <c r="EG240" s="311"/>
      <c r="EH240" s="312"/>
      <c r="EI240" s="312"/>
      <c r="EJ240" s="311"/>
      <c r="EK240" s="311"/>
      <c r="EL240" s="541">
        <f>IF(EL222=0,0,EF240+SUMIF($S44:$S216,"ja",EO44:EO216))</f>
        <v>76045.86</v>
      </c>
      <c r="EM240" s="311"/>
      <c r="EN240" s="312"/>
      <c r="EO240" s="312"/>
      <c r="EP240" s="311"/>
      <c r="EQ240" s="311"/>
      <c r="ER240" s="541">
        <f>IF(ER222=0,0,EL240+SUMIF($S44:$S216,"ja",EU44:EU216))</f>
        <v>76045.86</v>
      </c>
      <c r="ES240" s="311"/>
      <c r="ET240" s="312"/>
      <c r="EU240" s="312"/>
      <c r="EV240" s="311"/>
      <c r="EW240" s="311"/>
      <c r="EX240" s="541">
        <f>IF(EX222=0,0,ER240+SUMIF($S44:$S216,"ja",FA44:FA216))</f>
        <v>76045.86</v>
      </c>
      <c r="EY240" s="311"/>
      <c r="EZ240" s="312"/>
      <c r="FA240" s="312"/>
      <c r="FB240" s="311"/>
      <c r="FC240" s="311"/>
      <c r="FD240" s="541">
        <f>IF(FD222=0,0,EX240+SUMIF($S44:$S216,"ja",FG44:FG216))</f>
        <v>76045.86</v>
      </c>
      <c r="FE240" s="311"/>
      <c r="FF240" s="312"/>
      <c r="FG240" s="312"/>
      <c r="FH240" s="311"/>
      <c r="FI240" s="311"/>
      <c r="FJ240" s="541">
        <f>IF(FJ222=0,0,FD240+SUMIF($S44:$S216,"ja",FM44:FM216))</f>
        <v>76045.86</v>
      </c>
      <c r="FK240" s="311"/>
      <c r="FL240" s="312"/>
      <c r="FM240" s="312"/>
      <c r="FN240" s="311"/>
      <c r="FO240" s="311"/>
      <c r="FP240" s="541">
        <f>IF(FP222=0,0,FJ240+SUMIF($S44:$S216,"ja",FS44:FS216))</f>
        <v>76045.86</v>
      </c>
      <c r="FQ240" s="311"/>
      <c r="FR240" s="312"/>
      <c r="FS240" s="312"/>
      <c r="FT240" s="311"/>
      <c r="FU240" s="311"/>
      <c r="FV240" s="541">
        <f>IF(FV222=0,0,FP240+SUMIF($S44:$S216,"ja",FY44:FY216))</f>
        <v>76045.86</v>
      </c>
      <c r="FW240" s="311"/>
      <c r="FX240" s="312"/>
      <c r="FY240" s="312"/>
      <c r="FZ240" s="311"/>
      <c r="GA240" s="311"/>
      <c r="GB240" s="541">
        <f>IF(GB222=0,0,FV240+SUMIF($S44:$S216,"ja",GE44:GE216))</f>
        <v>76045.86</v>
      </c>
      <c r="GC240" s="311"/>
      <c r="GD240" s="312"/>
      <c r="GE240" s="312"/>
      <c r="GF240" s="311"/>
      <c r="GG240" s="311"/>
      <c r="GH240" s="541">
        <f>IF(GH222=0,0,GB240+SUMIF($S44:$S216,"ja",GK44:GK216))</f>
        <v>76045.86</v>
      </c>
      <c r="GI240" s="311"/>
      <c r="GJ240" s="312"/>
      <c r="GK240" s="312"/>
      <c r="GL240" s="311"/>
      <c r="GM240" s="311"/>
      <c r="GN240" s="541">
        <f>IF(GN222=0,0,GH240+SUMIF($S44:$S216,"ja",GQ44:GQ216))</f>
        <v>76045.86</v>
      </c>
      <c r="GO240" s="311"/>
      <c r="GP240" s="312"/>
      <c r="GQ240" s="312"/>
      <c r="GR240" s="311"/>
      <c r="GS240" s="311"/>
      <c r="GT240" s="541">
        <f>IF(GT222=0,0,GN240+SUMIF($S44:$S216,"ja",GW44:GW216))</f>
        <v>76045.86</v>
      </c>
      <c r="GU240" s="311"/>
      <c r="GV240" s="312"/>
      <c r="GW240" s="312"/>
      <c r="GX240" s="311"/>
      <c r="GY240" s="311"/>
      <c r="GZ240" s="545">
        <f>IF(GZ222=0,0,GT240+SUMIF($S44:$S216,"ja",HC44:HC216))</f>
        <v>76045.86</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0</v>
      </c>
      <c r="AU241" s="317"/>
      <c r="AV241" s="317"/>
      <c r="AW241" s="317"/>
      <c r="AX241" s="317"/>
      <c r="AY241" s="317"/>
      <c r="AZ241" s="623">
        <f>(IF(AZ222=0,0,AZ240/AZ222))</f>
        <v>0</v>
      </c>
      <c r="BA241" s="317"/>
      <c r="BB241" s="317"/>
      <c r="BC241" s="317"/>
      <c r="BD241" s="317"/>
      <c r="BE241" s="317"/>
      <c r="BF241" s="623">
        <f>(IF(BF222=0,0,BF240/BF222))</f>
        <v>24.125</v>
      </c>
      <c r="BG241" s="317"/>
      <c r="BH241" s="317"/>
      <c r="BI241" s="317"/>
      <c r="BJ241" s="317"/>
      <c r="BK241" s="317"/>
      <c r="BL241" s="623">
        <f>(IF(BL222=0,0,BL240/BL222))</f>
        <v>24.125</v>
      </c>
      <c r="BM241" s="317"/>
      <c r="BN241" s="317"/>
      <c r="BO241" s="317"/>
      <c r="BP241" s="317"/>
      <c r="BQ241" s="317"/>
      <c r="BR241" s="623">
        <f>(IF(BR222=0,0,BR240/BR222))</f>
        <v>24.125</v>
      </c>
      <c r="BS241" s="317"/>
      <c r="BT241" s="317"/>
      <c r="BU241" s="317"/>
      <c r="BV241" s="317"/>
      <c r="BW241" s="317"/>
      <c r="BX241" s="623">
        <f>(IF(BX222=0,0,BX240/BX222))</f>
        <v>24.125</v>
      </c>
      <c r="BY241" s="317"/>
      <c r="BZ241" s="317"/>
      <c r="CA241" s="317"/>
      <c r="CB241" s="317"/>
      <c r="CC241" s="317"/>
      <c r="CD241" s="623">
        <f>(IF(CD222=0,0,CD240/CD222))</f>
        <v>24.125</v>
      </c>
      <c r="CE241" s="317"/>
      <c r="CF241" s="317"/>
      <c r="CG241" s="317"/>
      <c r="CH241" s="317"/>
      <c r="CI241" s="317"/>
      <c r="CJ241" s="623">
        <f>(IF(CJ222=0,0,CJ240/CJ222))</f>
        <v>24.125</v>
      </c>
      <c r="CK241" s="317"/>
      <c r="CL241" s="317"/>
      <c r="CM241" s="317"/>
      <c r="CN241" s="317"/>
      <c r="CO241" s="317"/>
      <c r="CP241" s="623">
        <f>(IF(CP222=0,0,CP240/CP222))</f>
        <v>24.125</v>
      </c>
      <c r="CQ241" s="317"/>
      <c r="CR241" s="317"/>
      <c r="CS241" s="317"/>
      <c r="CT241" s="317"/>
      <c r="CU241" s="317"/>
      <c r="CV241" s="623">
        <f>(IF(CV222=0,0,CV240/CV222))</f>
        <v>24.125</v>
      </c>
      <c r="CW241" s="628"/>
      <c r="CX241" s="629"/>
      <c r="CY241" s="629"/>
      <c r="CZ241" s="628"/>
      <c r="DA241" s="628"/>
      <c r="DB241" s="623">
        <f>(IF(DB222=0,0,DB240/DB222))</f>
        <v>24.125</v>
      </c>
      <c r="DC241" s="317"/>
      <c r="DD241" s="317"/>
      <c r="DE241" s="317"/>
      <c r="DF241" s="317"/>
      <c r="DG241" s="317"/>
      <c r="DH241" s="623">
        <f>(IF(DH222=0,0,DH240/DH222))</f>
        <v>24.125</v>
      </c>
      <c r="DI241" s="317"/>
      <c r="DJ241" s="317"/>
      <c r="DK241" s="317"/>
      <c r="DL241" s="317"/>
      <c r="DM241" s="317"/>
      <c r="DN241" s="623">
        <f>(IF(DN222=0,0,DN240/DN222))</f>
        <v>24.125</v>
      </c>
      <c r="DO241" s="317"/>
      <c r="DP241" s="317"/>
      <c r="DQ241" s="317"/>
      <c r="DR241" s="317"/>
      <c r="DS241" s="317"/>
      <c r="DT241" s="623">
        <f>(IF(DT222=0,0,DT240/DT222))</f>
        <v>24.125</v>
      </c>
      <c r="DU241" s="317"/>
      <c r="DV241" s="317"/>
      <c r="DW241" s="317"/>
      <c r="DX241" s="317"/>
      <c r="DY241" s="317"/>
      <c r="DZ241" s="623">
        <f>(IF(DZ222=0,0,DZ240/DZ222))</f>
        <v>24.125</v>
      </c>
      <c r="EA241" s="317"/>
      <c r="EB241" s="317"/>
      <c r="EC241" s="317"/>
      <c r="ED241" s="317"/>
      <c r="EE241" s="317"/>
      <c r="EF241" s="623">
        <f>(IF(EF222=0,0,EF240/EF222))</f>
        <v>24.125</v>
      </c>
      <c r="EG241" s="317"/>
      <c r="EH241" s="317"/>
      <c r="EI241" s="317"/>
      <c r="EJ241" s="317"/>
      <c r="EK241" s="317"/>
      <c r="EL241" s="623">
        <f>(IF(EL222=0,0,EL240/EL222))</f>
        <v>24.125</v>
      </c>
      <c r="EM241" s="317"/>
      <c r="EN241" s="317"/>
      <c r="EO241" s="317"/>
      <c r="EP241" s="317"/>
      <c r="EQ241" s="317"/>
      <c r="ER241" s="623">
        <f>(IF(ER222=0,0,ER240/ER222))</f>
        <v>24.125</v>
      </c>
      <c r="ES241" s="317"/>
      <c r="ET241" s="317"/>
      <c r="EU241" s="317"/>
      <c r="EV241" s="317"/>
      <c r="EW241" s="317"/>
      <c r="EX241" s="623">
        <f>(IF(EX222=0,0,EX240/EX222))</f>
        <v>24.125</v>
      </c>
      <c r="EY241" s="317"/>
      <c r="EZ241" s="317"/>
      <c r="FA241" s="317"/>
      <c r="FB241" s="317"/>
      <c r="FC241" s="317"/>
      <c r="FD241" s="623">
        <f>(IF(FD222=0,0,FD240/FD222))</f>
        <v>24.125</v>
      </c>
      <c r="FE241" s="317"/>
      <c r="FF241" s="317"/>
      <c r="FG241" s="317"/>
      <c r="FH241" s="317"/>
      <c r="FI241" s="317"/>
      <c r="FJ241" s="623">
        <f>(IF(FJ222=0,0,FJ240/FJ222))</f>
        <v>24.125</v>
      </c>
      <c r="FK241" s="317"/>
      <c r="FL241" s="317"/>
      <c r="FM241" s="317"/>
      <c r="FN241" s="317"/>
      <c r="FO241" s="317"/>
      <c r="FP241" s="623">
        <f>(IF(FP222=0,0,FP240/FP222))</f>
        <v>24.125</v>
      </c>
      <c r="FQ241" s="317"/>
      <c r="FR241" s="317"/>
      <c r="FS241" s="317"/>
      <c r="FT241" s="317"/>
      <c r="FU241" s="317"/>
      <c r="FV241" s="623">
        <f>(IF(FV222=0,0,FV240/FV222))</f>
        <v>24.125</v>
      </c>
      <c r="FW241" s="317"/>
      <c r="FX241" s="317"/>
      <c r="FY241" s="317"/>
      <c r="FZ241" s="317"/>
      <c r="GA241" s="317"/>
      <c r="GB241" s="623">
        <f>(IF(GB222=0,0,GB240/GB222))</f>
        <v>24.125</v>
      </c>
      <c r="GC241" s="317"/>
      <c r="GD241" s="317"/>
      <c r="GE241" s="317"/>
      <c r="GF241" s="317"/>
      <c r="GG241" s="317"/>
      <c r="GH241" s="623">
        <f>(IF(GH222=0,0,GH240/GH222))</f>
        <v>24.125</v>
      </c>
      <c r="GI241" s="317"/>
      <c r="GJ241" s="317"/>
      <c r="GK241" s="317"/>
      <c r="GL241" s="317"/>
      <c r="GM241" s="317"/>
      <c r="GN241" s="623">
        <f>(IF(GN222=0,0,GN240/GN222))</f>
        <v>24.125</v>
      </c>
      <c r="GO241" s="317"/>
      <c r="GP241" s="317"/>
      <c r="GQ241" s="317"/>
      <c r="GR241" s="317"/>
      <c r="GS241" s="317"/>
      <c r="GT241" s="623">
        <f>(IF(GT222=0,0,GT240/GT222))</f>
        <v>24.125</v>
      </c>
      <c r="GU241" s="317"/>
      <c r="GV241" s="317"/>
      <c r="GW241" s="317"/>
      <c r="GX241" s="317"/>
      <c r="GY241" s="317"/>
      <c r="GZ241" s="630">
        <f>(IF(GZ222=0,0,GZ240/GZ222))</f>
        <v>24.125</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0</v>
      </c>
      <c r="BY242" s="609">
        <f t="shared" si="278"/>
        <v>0</v>
      </c>
      <c r="BZ242" s="609">
        <f t="shared" si="278"/>
        <v>0</v>
      </c>
      <c r="CA242" s="609">
        <f t="shared" si="278"/>
        <v>0</v>
      </c>
      <c r="CB242" s="609">
        <f t="shared" si="278"/>
        <v>0</v>
      </c>
      <c r="CC242" s="609">
        <f t="shared" si="278"/>
        <v>0</v>
      </c>
      <c r="CD242" s="609">
        <f t="shared" si="278"/>
        <v>0</v>
      </c>
      <c r="CE242" s="609">
        <f t="shared" si="278"/>
        <v>0</v>
      </c>
      <c r="CF242" s="609">
        <f t="shared" si="278"/>
        <v>0</v>
      </c>
      <c r="CG242" s="609">
        <f t="shared" si="278"/>
        <v>0</v>
      </c>
      <c r="CH242" s="609">
        <f t="shared" si="278"/>
        <v>0</v>
      </c>
      <c r="CI242" s="609">
        <f t="shared" si="278"/>
        <v>0</v>
      </c>
      <c r="CJ242" s="609">
        <f t="shared" si="278"/>
        <v>0</v>
      </c>
      <c r="CK242" s="609">
        <f t="shared" si="278"/>
        <v>0</v>
      </c>
      <c r="CL242" s="609">
        <f t="shared" si="278"/>
        <v>0</v>
      </c>
      <c r="CM242" s="609">
        <f t="shared" si="278"/>
        <v>0</v>
      </c>
      <c r="CN242" s="609">
        <f t="shared" si="278"/>
        <v>0</v>
      </c>
      <c r="CO242" s="609">
        <f t="shared" si="278"/>
        <v>0</v>
      </c>
      <c r="CP242" s="609">
        <f t="shared" si="278"/>
        <v>0</v>
      </c>
      <c r="CQ242" s="609">
        <f t="shared" si="278"/>
        <v>0</v>
      </c>
      <c r="CR242" s="609">
        <f t="shared" si="278"/>
        <v>0</v>
      </c>
      <c r="CS242" s="609">
        <f t="shared" si="278"/>
        <v>0</v>
      </c>
      <c r="CT242" s="609">
        <f t="shared" si="278"/>
        <v>0</v>
      </c>
      <c r="CU242" s="609">
        <f t="shared" si="278"/>
        <v>0</v>
      </c>
      <c r="CV242" s="609">
        <f t="shared" si="278"/>
        <v>0</v>
      </c>
      <c r="CW242" s="609">
        <f t="shared" si="278"/>
        <v>0</v>
      </c>
      <c r="CX242" s="609">
        <f t="shared" si="278"/>
        <v>0</v>
      </c>
      <c r="CY242" s="609">
        <f t="shared" si="278"/>
        <v>0</v>
      </c>
      <c r="CZ242" s="609">
        <f t="shared" si="278"/>
        <v>0</v>
      </c>
      <c r="DA242" s="609">
        <f t="shared" si="278"/>
        <v>0</v>
      </c>
      <c r="DB242" s="609">
        <f t="shared" si="278"/>
        <v>0</v>
      </c>
      <c r="DC242" s="609">
        <f t="shared" si="278"/>
        <v>0</v>
      </c>
      <c r="DD242" s="609">
        <f t="shared" si="278"/>
        <v>0</v>
      </c>
      <c r="DE242" s="609">
        <f t="shared" si="278"/>
        <v>0</v>
      </c>
      <c r="DF242" s="609">
        <f t="shared" ref="DF242:FQ242" si="279">IF(DF222=0,0,IF(DF44&gt;0,-DJ44,IF(CZ242&gt;0,CZ242,0)))</f>
        <v>0</v>
      </c>
      <c r="DG242" s="609">
        <f t="shared" si="279"/>
        <v>0</v>
      </c>
      <c r="DH242" s="609">
        <f t="shared" si="279"/>
        <v>0</v>
      </c>
      <c r="DI242" s="609">
        <f t="shared" si="279"/>
        <v>0</v>
      </c>
      <c r="DJ242" s="609">
        <f t="shared" si="279"/>
        <v>0</v>
      </c>
      <c r="DK242" s="609">
        <f t="shared" si="279"/>
        <v>0</v>
      </c>
      <c r="DL242" s="609">
        <f t="shared" si="279"/>
        <v>0</v>
      </c>
      <c r="DM242" s="609">
        <f t="shared" si="279"/>
        <v>0</v>
      </c>
      <c r="DN242" s="609">
        <f t="shared" si="279"/>
        <v>0</v>
      </c>
      <c r="DO242" s="609">
        <f t="shared" si="279"/>
        <v>0</v>
      </c>
      <c r="DP242" s="609">
        <f t="shared" si="279"/>
        <v>0</v>
      </c>
      <c r="DQ242" s="609">
        <f t="shared" si="279"/>
        <v>0</v>
      </c>
      <c r="DR242" s="609">
        <f t="shared" si="279"/>
        <v>0</v>
      </c>
      <c r="DS242" s="609">
        <f t="shared" si="279"/>
        <v>0</v>
      </c>
      <c r="DT242" s="609">
        <f t="shared" si="279"/>
        <v>0</v>
      </c>
      <c r="DU242" s="609">
        <f t="shared" si="279"/>
        <v>0</v>
      </c>
      <c r="DV242" s="609">
        <f t="shared" si="279"/>
        <v>0</v>
      </c>
      <c r="DW242" s="609">
        <f t="shared" si="279"/>
        <v>0</v>
      </c>
      <c r="DX242" s="609">
        <f t="shared" si="279"/>
        <v>0</v>
      </c>
      <c r="DY242" s="609">
        <f t="shared" si="279"/>
        <v>0</v>
      </c>
      <c r="DZ242" s="609">
        <f t="shared" si="279"/>
        <v>0</v>
      </c>
      <c r="EA242" s="609">
        <f t="shared" si="279"/>
        <v>0</v>
      </c>
      <c r="EB242" s="609">
        <f t="shared" si="279"/>
        <v>0</v>
      </c>
      <c r="EC242" s="609">
        <f t="shared" si="279"/>
        <v>0</v>
      </c>
      <c r="ED242" s="609">
        <f t="shared" si="279"/>
        <v>0</v>
      </c>
      <c r="EE242" s="609">
        <f t="shared" si="279"/>
        <v>0</v>
      </c>
      <c r="EF242" s="609">
        <f t="shared" si="279"/>
        <v>0</v>
      </c>
      <c r="EG242" s="609">
        <f t="shared" si="279"/>
        <v>0</v>
      </c>
      <c r="EH242" s="609">
        <f t="shared" si="279"/>
        <v>0</v>
      </c>
      <c r="EI242" s="609">
        <f t="shared" si="279"/>
        <v>0</v>
      </c>
      <c r="EJ242" s="609">
        <f t="shared" si="279"/>
        <v>0</v>
      </c>
      <c r="EK242" s="609">
        <f t="shared" si="279"/>
        <v>0</v>
      </c>
      <c r="EL242" s="609">
        <f t="shared" si="279"/>
        <v>0</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v>
      </c>
      <c r="BY243" s="651">
        <f t="shared" si="281"/>
        <v>0</v>
      </c>
      <c r="BZ243" s="651">
        <f t="shared" si="281"/>
        <v>0</v>
      </c>
      <c r="CA243" s="651">
        <f t="shared" si="281"/>
        <v>0</v>
      </c>
      <c r="CB243" s="651">
        <f t="shared" si="281"/>
        <v>0</v>
      </c>
      <c r="CC243" s="651">
        <f t="shared" si="281"/>
        <v>0</v>
      </c>
      <c r="CD243" s="651">
        <f t="shared" si="281"/>
        <v>0</v>
      </c>
      <c r="CE243" s="651">
        <f t="shared" si="281"/>
        <v>0</v>
      </c>
      <c r="CF243" s="651">
        <f t="shared" si="281"/>
        <v>0</v>
      </c>
      <c r="CG243" s="651">
        <f t="shared" si="281"/>
        <v>0</v>
      </c>
      <c r="CH243" s="651">
        <f t="shared" si="281"/>
        <v>0</v>
      </c>
      <c r="CI243" s="651">
        <f t="shared" si="281"/>
        <v>0</v>
      </c>
      <c r="CJ243" s="651">
        <f t="shared" si="281"/>
        <v>0</v>
      </c>
      <c r="CK243" s="651">
        <f t="shared" si="281"/>
        <v>0</v>
      </c>
      <c r="CL243" s="651">
        <f t="shared" si="281"/>
        <v>0</v>
      </c>
      <c r="CM243" s="651">
        <f t="shared" si="281"/>
        <v>0</v>
      </c>
      <c r="CN243" s="651">
        <f t="shared" si="281"/>
        <v>0</v>
      </c>
      <c r="CO243" s="651">
        <f t="shared" si="281"/>
        <v>0</v>
      </c>
      <c r="CP243" s="651">
        <f t="shared" si="281"/>
        <v>0</v>
      </c>
      <c r="CQ243" s="651">
        <f t="shared" si="281"/>
        <v>0</v>
      </c>
      <c r="CR243" s="651">
        <f t="shared" si="281"/>
        <v>0</v>
      </c>
      <c r="CS243" s="651">
        <f t="shared" si="281"/>
        <v>0</v>
      </c>
      <c r="CT243" s="651">
        <f t="shared" si="281"/>
        <v>0</v>
      </c>
      <c r="CU243" s="651">
        <f t="shared" si="281"/>
        <v>0</v>
      </c>
      <c r="CV243" s="651">
        <f t="shared" si="281"/>
        <v>0</v>
      </c>
      <c r="CW243" s="651">
        <f t="shared" si="281"/>
        <v>0</v>
      </c>
      <c r="CX243" s="651">
        <f t="shared" si="281"/>
        <v>0</v>
      </c>
      <c r="CY243" s="651">
        <f t="shared" si="281"/>
        <v>0</v>
      </c>
      <c r="CZ243" s="651">
        <f t="shared" si="281"/>
        <v>0</v>
      </c>
      <c r="DA243" s="651">
        <f t="shared" si="281"/>
        <v>0</v>
      </c>
      <c r="DB243" s="651">
        <f t="shared" si="281"/>
        <v>0</v>
      </c>
      <c r="DC243" s="651">
        <f t="shared" si="281"/>
        <v>0</v>
      </c>
      <c r="DD243" s="651">
        <f t="shared" si="281"/>
        <v>0</v>
      </c>
      <c r="DE243" s="651">
        <f t="shared" si="281"/>
        <v>0</v>
      </c>
      <c r="DF243" s="651">
        <f t="shared" si="281"/>
        <v>0</v>
      </c>
      <c r="DG243" s="651">
        <f t="shared" ref="DG243:FR243" si="282">IF(DG222=0,0,DG242/DG222)</f>
        <v>0</v>
      </c>
      <c r="DH243" s="651">
        <f t="shared" si="282"/>
        <v>0</v>
      </c>
      <c r="DI243" s="651">
        <f t="shared" si="282"/>
        <v>0</v>
      </c>
      <c r="DJ243" s="651">
        <f t="shared" si="282"/>
        <v>0</v>
      </c>
      <c r="DK243" s="651">
        <f t="shared" si="282"/>
        <v>0</v>
      </c>
      <c r="DL243" s="651">
        <f t="shared" si="282"/>
        <v>0</v>
      </c>
      <c r="DM243" s="651">
        <f t="shared" si="282"/>
        <v>0</v>
      </c>
      <c r="DN243" s="651">
        <f t="shared" si="282"/>
        <v>0</v>
      </c>
      <c r="DO243" s="651">
        <f t="shared" si="282"/>
        <v>0</v>
      </c>
      <c r="DP243" s="651">
        <f t="shared" si="282"/>
        <v>0</v>
      </c>
      <c r="DQ243" s="651">
        <f t="shared" si="282"/>
        <v>0</v>
      </c>
      <c r="DR243" s="651">
        <f t="shared" si="282"/>
        <v>0</v>
      </c>
      <c r="DS243" s="651">
        <f t="shared" si="282"/>
        <v>0</v>
      </c>
      <c r="DT243" s="651">
        <f t="shared" si="282"/>
        <v>0</v>
      </c>
      <c r="DU243" s="651">
        <f t="shared" si="282"/>
        <v>0</v>
      </c>
      <c r="DV243" s="651">
        <f t="shared" si="282"/>
        <v>0</v>
      </c>
      <c r="DW243" s="651">
        <f t="shared" si="282"/>
        <v>0</v>
      </c>
      <c r="DX243" s="651">
        <f t="shared" si="282"/>
        <v>0</v>
      </c>
      <c r="DY243" s="651">
        <f t="shared" si="282"/>
        <v>0</v>
      </c>
      <c r="DZ243" s="651">
        <f t="shared" si="282"/>
        <v>0</v>
      </c>
      <c r="EA243" s="651">
        <f t="shared" si="282"/>
        <v>0</v>
      </c>
      <c r="EB243" s="651">
        <f t="shared" si="282"/>
        <v>0</v>
      </c>
      <c r="EC243" s="651">
        <f t="shared" si="282"/>
        <v>0</v>
      </c>
      <c r="ED243" s="651">
        <f t="shared" si="282"/>
        <v>0</v>
      </c>
      <c r="EE243" s="651">
        <f t="shared" si="282"/>
        <v>0</v>
      </c>
      <c r="EF243" s="651">
        <f t="shared" si="282"/>
        <v>0</v>
      </c>
      <c r="EG243" s="651">
        <f t="shared" si="282"/>
        <v>0</v>
      </c>
      <c r="EH243" s="651">
        <f t="shared" si="282"/>
        <v>0</v>
      </c>
      <c r="EI243" s="651">
        <f t="shared" si="282"/>
        <v>0</v>
      </c>
      <c r="EJ243" s="651">
        <f t="shared" si="282"/>
        <v>0</v>
      </c>
      <c r="EK243" s="651">
        <f t="shared" si="282"/>
        <v>0</v>
      </c>
      <c r="EL243" s="651">
        <f t="shared" si="282"/>
        <v>0</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593225.73399999994</v>
      </c>
      <c r="V244" s="654">
        <f>V38</f>
        <v>593225.73399999994</v>
      </c>
      <c r="W244" s="605"/>
      <c r="X244" s="606"/>
      <c r="Y244" s="606"/>
      <c r="Z244" s="605"/>
      <c r="AA244" s="605"/>
      <c r="AB244" s="654">
        <f>AB38</f>
        <v>593225.73399999994</v>
      </c>
      <c r="AC244" s="607"/>
      <c r="AD244" s="608"/>
      <c r="AE244" s="608"/>
      <c r="AF244" s="607"/>
      <c r="AG244" s="607"/>
      <c r="AH244" s="654">
        <f>AH38</f>
        <v>593225.73399999994</v>
      </c>
      <c r="AI244" s="605"/>
      <c r="AJ244" s="606"/>
      <c r="AK244" s="606"/>
      <c r="AL244" s="605"/>
      <c r="AM244" s="605"/>
      <c r="AN244" s="654">
        <f>AN38</f>
        <v>593225.73399999994</v>
      </c>
      <c r="AO244" s="439"/>
      <c r="AP244" s="530"/>
      <c r="AQ244" s="530"/>
      <c r="AR244" s="439"/>
      <c r="AS244" s="439"/>
      <c r="AT244" s="609">
        <f>AT229+(AT232*9.786)+(AT235*278)+(AT242*278)+AT240</f>
        <v>593225.73399999994</v>
      </c>
      <c r="AU244" s="609">
        <f t="shared" ref="AU244:DF244" si="284">AU229+(AU232*9.786)+(AU235*278)+(AU242*278)+AU240</f>
        <v>0</v>
      </c>
      <c r="AV244" s="609">
        <f t="shared" si="284"/>
        <v>0</v>
      </c>
      <c r="AW244" s="609">
        <f t="shared" si="284"/>
        <v>0</v>
      </c>
      <c r="AX244" s="609">
        <f t="shared" si="284"/>
        <v>0</v>
      </c>
      <c r="AY244" s="609">
        <f t="shared" si="284"/>
        <v>0</v>
      </c>
      <c r="AZ244" s="609">
        <f t="shared" si="284"/>
        <v>501740.24988040002</v>
      </c>
      <c r="BA244" s="609">
        <f t="shared" si="284"/>
        <v>0</v>
      </c>
      <c r="BB244" s="609">
        <f t="shared" si="284"/>
        <v>0</v>
      </c>
      <c r="BC244" s="609">
        <f t="shared" si="284"/>
        <v>0</v>
      </c>
      <c r="BD244" s="609">
        <f t="shared" si="284"/>
        <v>0</v>
      </c>
      <c r="BE244" s="609">
        <f t="shared" si="284"/>
        <v>0</v>
      </c>
      <c r="BF244" s="609">
        <f t="shared" si="284"/>
        <v>466947.41951618565</v>
      </c>
      <c r="BG244" s="609">
        <f t="shared" si="284"/>
        <v>0</v>
      </c>
      <c r="BH244" s="609">
        <f t="shared" si="284"/>
        <v>0</v>
      </c>
      <c r="BI244" s="609">
        <f t="shared" si="284"/>
        <v>0</v>
      </c>
      <c r="BJ244" s="609">
        <f t="shared" si="284"/>
        <v>0</v>
      </c>
      <c r="BK244" s="609">
        <f t="shared" si="284"/>
        <v>0</v>
      </c>
      <c r="BL244" s="609">
        <f t="shared" si="284"/>
        <v>441415.86383197142</v>
      </c>
      <c r="BM244" s="609">
        <f t="shared" si="284"/>
        <v>0</v>
      </c>
      <c r="BN244" s="609">
        <f t="shared" si="284"/>
        <v>0</v>
      </c>
      <c r="BO244" s="609">
        <f t="shared" si="284"/>
        <v>0</v>
      </c>
      <c r="BP244" s="609">
        <f t="shared" si="284"/>
        <v>0</v>
      </c>
      <c r="BQ244" s="609">
        <f t="shared" si="284"/>
        <v>0</v>
      </c>
      <c r="BR244" s="609">
        <f t="shared" si="284"/>
        <v>415884.30814775708</v>
      </c>
      <c r="BS244" s="609">
        <f t="shared" si="284"/>
        <v>0</v>
      </c>
      <c r="BT244" s="609">
        <f t="shared" si="284"/>
        <v>0</v>
      </c>
      <c r="BU244" s="609">
        <f t="shared" si="284"/>
        <v>0</v>
      </c>
      <c r="BV244" s="609">
        <f t="shared" si="284"/>
        <v>0</v>
      </c>
      <c r="BW244" s="609">
        <f t="shared" si="284"/>
        <v>0</v>
      </c>
      <c r="BX244" s="609">
        <f t="shared" si="284"/>
        <v>390352.75246354286</v>
      </c>
      <c r="BY244" s="609">
        <f t="shared" si="284"/>
        <v>0</v>
      </c>
      <c r="BZ244" s="609">
        <f t="shared" si="284"/>
        <v>0</v>
      </c>
      <c r="CA244" s="609">
        <f t="shared" si="284"/>
        <v>0</v>
      </c>
      <c r="CB244" s="609">
        <f t="shared" si="284"/>
        <v>0</v>
      </c>
      <c r="CC244" s="609">
        <f t="shared" si="284"/>
        <v>0</v>
      </c>
      <c r="CD244" s="609">
        <f t="shared" si="284"/>
        <v>364821.19677932857</v>
      </c>
      <c r="CE244" s="609">
        <f t="shared" si="284"/>
        <v>0</v>
      </c>
      <c r="CF244" s="609">
        <f t="shared" si="284"/>
        <v>0</v>
      </c>
      <c r="CG244" s="609">
        <f t="shared" si="284"/>
        <v>0</v>
      </c>
      <c r="CH244" s="609">
        <f t="shared" si="284"/>
        <v>0</v>
      </c>
      <c r="CI244" s="609">
        <f t="shared" si="284"/>
        <v>0</v>
      </c>
      <c r="CJ244" s="609">
        <f t="shared" si="284"/>
        <v>339289.64109511429</v>
      </c>
      <c r="CK244" s="609">
        <f t="shared" si="284"/>
        <v>0</v>
      </c>
      <c r="CL244" s="609">
        <f t="shared" si="284"/>
        <v>0</v>
      </c>
      <c r="CM244" s="609">
        <f t="shared" si="284"/>
        <v>0</v>
      </c>
      <c r="CN244" s="609">
        <f t="shared" si="284"/>
        <v>0</v>
      </c>
      <c r="CO244" s="609">
        <f t="shared" si="284"/>
        <v>0</v>
      </c>
      <c r="CP244" s="609">
        <f t="shared" si="284"/>
        <v>313758.08541090001</v>
      </c>
      <c r="CQ244" s="609">
        <f t="shared" si="284"/>
        <v>0</v>
      </c>
      <c r="CR244" s="609">
        <f t="shared" si="284"/>
        <v>0</v>
      </c>
      <c r="CS244" s="609">
        <f t="shared" si="284"/>
        <v>0</v>
      </c>
      <c r="CT244" s="609">
        <f t="shared" si="284"/>
        <v>0</v>
      </c>
      <c r="CU244" s="609">
        <f t="shared" si="284"/>
        <v>0</v>
      </c>
      <c r="CV244" s="609">
        <f t="shared" si="284"/>
        <v>313758.08541090001</v>
      </c>
      <c r="CW244" s="609">
        <f t="shared" si="284"/>
        <v>0</v>
      </c>
      <c r="CX244" s="609">
        <f t="shared" si="284"/>
        <v>0</v>
      </c>
      <c r="CY244" s="609">
        <f t="shared" si="284"/>
        <v>0</v>
      </c>
      <c r="CZ244" s="609">
        <f t="shared" si="284"/>
        <v>0</v>
      </c>
      <c r="DA244" s="609">
        <f t="shared" si="284"/>
        <v>0</v>
      </c>
      <c r="DB244" s="609">
        <f t="shared" si="284"/>
        <v>313758.08541090001</v>
      </c>
      <c r="DC244" s="609">
        <f t="shared" si="284"/>
        <v>0</v>
      </c>
      <c r="DD244" s="609">
        <f t="shared" si="284"/>
        <v>0</v>
      </c>
      <c r="DE244" s="609">
        <f t="shared" si="284"/>
        <v>0</v>
      </c>
      <c r="DF244" s="609">
        <f t="shared" si="284"/>
        <v>0</v>
      </c>
      <c r="DG244" s="609">
        <f t="shared" ref="DG244:FR244" si="285">DG229+(DG232*9.786)+(DG235*278)+(DG242*278)+DG240</f>
        <v>0</v>
      </c>
      <c r="DH244" s="609">
        <f t="shared" si="285"/>
        <v>313758.08541090001</v>
      </c>
      <c r="DI244" s="609">
        <f t="shared" si="285"/>
        <v>0</v>
      </c>
      <c r="DJ244" s="609">
        <f t="shared" si="285"/>
        <v>0</v>
      </c>
      <c r="DK244" s="609">
        <f t="shared" si="285"/>
        <v>0</v>
      </c>
      <c r="DL244" s="609">
        <f t="shared" si="285"/>
        <v>0</v>
      </c>
      <c r="DM244" s="609">
        <f t="shared" si="285"/>
        <v>0</v>
      </c>
      <c r="DN244" s="609">
        <f t="shared" si="285"/>
        <v>313758.08541090001</v>
      </c>
      <c r="DO244" s="609">
        <f t="shared" si="285"/>
        <v>0</v>
      </c>
      <c r="DP244" s="609">
        <f t="shared" si="285"/>
        <v>0</v>
      </c>
      <c r="DQ244" s="609">
        <f t="shared" si="285"/>
        <v>0</v>
      </c>
      <c r="DR244" s="609">
        <f t="shared" si="285"/>
        <v>0</v>
      </c>
      <c r="DS244" s="609">
        <f t="shared" si="285"/>
        <v>0</v>
      </c>
      <c r="DT244" s="609">
        <f t="shared" si="285"/>
        <v>237163.41835825716</v>
      </c>
      <c r="DU244" s="609">
        <f t="shared" si="285"/>
        <v>0</v>
      </c>
      <c r="DV244" s="609">
        <f t="shared" si="285"/>
        <v>0</v>
      </c>
      <c r="DW244" s="609">
        <f t="shared" si="285"/>
        <v>0</v>
      </c>
      <c r="DX244" s="609">
        <f t="shared" si="285"/>
        <v>0</v>
      </c>
      <c r="DY244" s="609">
        <f t="shared" si="285"/>
        <v>0</v>
      </c>
      <c r="DZ244" s="609">
        <f t="shared" si="285"/>
        <v>237163.41835825716</v>
      </c>
      <c r="EA244" s="609">
        <f t="shared" si="285"/>
        <v>0</v>
      </c>
      <c r="EB244" s="609">
        <f t="shared" si="285"/>
        <v>0</v>
      </c>
      <c r="EC244" s="609">
        <f t="shared" si="285"/>
        <v>0</v>
      </c>
      <c r="ED244" s="609">
        <f t="shared" si="285"/>
        <v>0</v>
      </c>
      <c r="EE244" s="609">
        <f t="shared" si="285"/>
        <v>0</v>
      </c>
      <c r="EF244" s="609">
        <f t="shared" si="285"/>
        <v>237163.41835825716</v>
      </c>
      <c r="EG244" s="609">
        <f t="shared" si="285"/>
        <v>0</v>
      </c>
      <c r="EH244" s="609">
        <f t="shared" si="285"/>
        <v>0</v>
      </c>
      <c r="EI244" s="609">
        <f t="shared" si="285"/>
        <v>0</v>
      </c>
      <c r="EJ244" s="609">
        <f t="shared" si="285"/>
        <v>0</v>
      </c>
      <c r="EK244" s="609">
        <f t="shared" si="285"/>
        <v>0</v>
      </c>
      <c r="EL244" s="609">
        <f t="shared" si="285"/>
        <v>237163.41835825716</v>
      </c>
      <c r="EM244" s="609">
        <f t="shared" si="285"/>
        <v>0</v>
      </c>
      <c r="EN244" s="609">
        <f t="shared" si="285"/>
        <v>0</v>
      </c>
      <c r="EO244" s="609">
        <f t="shared" si="285"/>
        <v>0</v>
      </c>
      <c r="EP244" s="609">
        <f t="shared" si="285"/>
        <v>0</v>
      </c>
      <c r="EQ244" s="609">
        <f t="shared" si="285"/>
        <v>0</v>
      </c>
      <c r="ER244" s="609">
        <f t="shared" si="285"/>
        <v>237163.41835825716</v>
      </c>
      <c r="ES244" s="609">
        <f t="shared" si="285"/>
        <v>0</v>
      </c>
      <c r="ET244" s="609">
        <f t="shared" si="285"/>
        <v>0</v>
      </c>
      <c r="EU244" s="609">
        <f t="shared" si="285"/>
        <v>0</v>
      </c>
      <c r="EV244" s="609">
        <f t="shared" si="285"/>
        <v>0</v>
      </c>
      <c r="EW244" s="609">
        <f t="shared" si="285"/>
        <v>0</v>
      </c>
      <c r="EX244" s="609">
        <f t="shared" si="285"/>
        <v>237163.41835825716</v>
      </c>
      <c r="EY244" s="609">
        <f t="shared" si="285"/>
        <v>0</v>
      </c>
      <c r="EZ244" s="609">
        <f t="shared" si="285"/>
        <v>0</v>
      </c>
      <c r="FA244" s="609">
        <f t="shared" si="285"/>
        <v>0</v>
      </c>
      <c r="FB244" s="609">
        <f t="shared" si="285"/>
        <v>0</v>
      </c>
      <c r="FC244" s="609">
        <f t="shared" si="285"/>
        <v>0</v>
      </c>
      <c r="FD244" s="609">
        <f t="shared" si="285"/>
        <v>237163.41835825716</v>
      </c>
      <c r="FE244" s="609">
        <f t="shared" si="285"/>
        <v>0</v>
      </c>
      <c r="FF244" s="609">
        <f t="shared" si="285"/>
        <v>0</v>
      </c>
      <c r="FG244" s="609">
        <f t="shared" si="285"/>
        <v>0</v>
      </c>
      <c r="FH244" s="609">
        <f t="shared" si="285"/>
        <v>0</v>
      </c>
      <c r="FI244" s="609">
        <f t="shared" si="285"/>
        <v>0</v>
      </c>
      <c r="FJ244" s="609">
        <f t="shared" si="285"/>
        <v>237163.41835825716</v>
      </c>
      <c r="FK244" s="609">
        <f t="shared" si="285"/>
        <v>0</v>
      </c>
      <c r="FL244" s="609">
        <f t="shared" si="285"/>
        <v>0</v>
      </c>
      <c r="FM244" s="609">
        <f t="shared" si="285"/>
        <v>0</v>
      </c>
      <c r="FN244" s="609">
        <f t="shared" si="285"/>
        <v>0</v>
      </c>
      <c r="FO244" s="609">
        <f t="shared" si="285"/>
        <v>0</v>
      </c>
      <c r="FP244" s="609">
        <f t="shared" si="285"/>
        <v>237163.41835825716</v>
      </c>
      <c r="FQ244" s="609">
        <f t="shared" si="285"/>
        <v>0</v>
      </c>
      <c r="FR244" s="609">
        <f t="shared" si="285"/>
        <v>0</v>
      </c>
      <c r="FS244" s="609">
        <f t="shared" ref="FS244:GZ244" si="286">FS229+(FS232*9.786)+(FS235*278)+(FS242*278)+FS240</f>
        <v>0</v>
      </c>
      <c r="FT244" s="609">
        <f t="shared" si="286"/>
        <v>0</v>
      </c>
      <c r="FU244" s="609">
        <f t="shared" si="286"/>
        <v>0</v>
      </c>
      <c r="FV244" s="609">
        <f t="shared" si="286"/>
        <v>237163.41835825716</v>
      </c>
      <c r="FW244" s="609">
        <f t="shared" si="286"/>
        <v>0</v>
      </c>
      <c r="FX244" s="609">
        <f t="shared" si="286"/>
        <v>0</v>
      </c>
      <c r="FY244" s="609">
        <f t="shared" si="286"/>
        <v>0</v>
      </c>
      <c r="FZ244" s="609">
        <f t="shared" si="286"/>
        <v>0</v>
      </c>
      <c r="GA244" s="609">
        <f t="shared" si="286"/>
        <v>0</v>
      </c>
      <c r="GB244" s="609">
        <f t="shared" si="286"/>
        <v>237163.41835825716</v>
      </c>
      <c r="GC244" s="609">
        <f t="shared" si="286"/>
        <v>0</v>
      </c>
      <c r="GD244" s="609">
        <f t="shared" si="286"/>
        <v>0</v>
      </c>
      <c r="GE244" s="609">
        <f t="shared" si="286"/>
        <v>0</v>
      </c>
      <c r="GF244" s="609">
        <f t="shared" si="286"/>
        <v>0</v>
      </c>
      <c r="GG244" s="609">
        <f t="shared" si="286"/>
        <v>0</v>
      </c>
      <c r="GH244" s="609">
        <f t="shared" si="286"/>
        <v>237163.41835825716</v>
      </c>
      <c r="GI244" s="609">
        <f t="shared" si="286"/>
        <v>0</v>
      </c>
      <c r="GJ244" s="609">
        <f t="shared" si="286"/>
        <v>0</v>
      </c>
      <c r="GK244" s="609">
        <f t="shared" si="286"/>
        <v>0</v>
      </c>
      <c r="GL244" s="609">
        <f t="shared" si="286"/>
        <v>0</v>
      </c>
      <c r="GM244" s="609">
        <f t="shared" si="286"/>
        <v>0</v>
      </c>
      <c r="GN244" s="609">
        <f t="shared" si="286"/>
        <v>237163.41835825716</v>
      </c>
      <c r="GO244" s="609">
        <f t="shared" si="286"/>
        <v>0</v>
      </c>
      <c r="GP244" s="609">
        <f t="shared" si="286"/>
        <v>0</v>
      </c>
      <c r="GQ244" s="609">
        <f t="shared" si="286"/>
        <v>0</v>
      </c>
      <c r="GR244" s="609">
        <f t="shared" si="286"/>
        <v>0</v>
      </c>
      <c r="GS244" s="609">
        <f t="shared" si="286"/>
        <v>0</v>
      </c>
      <c r="GT244" s="609">
        <f t="shared" si="286"/>
        <v>237163.41835825716</v>
      </c>
      <c r="GU244" s="609">
        <f t="shared" si="286"/>
        <v>0</v>
      </c>
      <c r="GV244" s="609">
        <f t="shared" si="286"/>
        <v>0</v>
      </c>
      <c r="GW244" s="609">
        <f t="shared" si="286"/>
        <v>0</v>
      </c>
      <c r="GX244" s="609">
        <f t="shared" si="286"/>
        <v>0</v>
      </c>
      <c r="GY244" s="609">
        <f t="shared" si="286"/>
        <v>0</v>
      </c>
      <c r="GZ244" s="609">
        <f t="shared" si="286"/>
        <v>237163.41835825716</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188.19658075732195</v>
      </c>
      <c r="V245" s="551">
        <f>IF(V222=0,0,V244/V222)</f>
        <v>188.19658075732195</v>
      </c>
      <c r="W245" s="552"/>
      <c r="X245" s="553"/>
      <c r="Y245" s="553"/>
      <c r="Z245" s="552"/>
      <c r="AA245" s="552"/>
      <c r="AB245" s="551">
        <f>IF(AB222=0,0,AB244/AB222)</f>
        <v>188.19658075732195</v>
      </c>
      <c r="AC245" s="552"/>
      <c r="AD245" s="553"/>
      <c r="AE245" s="553"/>
      <c r="AF245" s="552"/>
      <c r="AG245" s="552"/>
      <c r="AH245" s="551">
        <f>IF(AH222=0,0,AH244/AH222)</f>
        <v>188.19658075732195</v>
      </c>
      <c r="AI245" s="552"/>
      <c r="AJ245" s="553"/>
      <c r="AK245" s="553"/>
      <c r="AL245" s="552"/>
      <c r="AM245" s="552"/>
      <c r="AN245" s="551">
        <f>IF(AN222=0,0,AN244/AN222)</f>
        <v>188.19658075732195</v>
      </c>
      <c r="AO245" s="586"/>
      <c r="AP245" s="587"/>
      <c r="AQ245" s="587"/>
      <c r="AR245" s="586"/>
      <c r="AS245" s="586"/>
      <c r="AT245" s="637">
        <f>IF(AT222=0,0,AT244/AT222)</f>
        <v>188.19658075732195</v>
      </c>
      <c r="AU245" s="313"/>
      <c r="AV245" s="314"/>
      <c r="AW245" s="314"/>
      <c r="AX245" s="313"/>
      <c r="AY245" s="313"/>
      <c r="AZ245" s="551">
        <f>IF(AZ222=0,0,AZ244/AZ222)</f>
        <v>159.17347148634587</v>
      </c>
      <c r="BA245" s="313"/>
      <c r="BB245" s="314"/>
      <c r="BC245" s="314"/>
      <c r="BD245" s="313"/>
      <c r="BE245" s="313"/>
      <c r="BF245" s="551">
        <f>IF(BF222=0,0,BF244/BF222)</f>
        <v>148.13569727303997</v>
      </c>
      <c r="BG245" s="313"/>
      <c r="BH245" s="314"/>
      <c r="BI245" s="314"/>
      <c r="BJ245" s="313"/>
      <c r="BK245" s="313"/>
      <c r="BL245" s="551">
        <f>IF(BL222=0,0,BL244/BL222)</f>
        <v>140.0359955814335</v>
      </c>
      <c r="BM245" s="313"/>
      <c r="BN245" s="314"/>
      <c r="BO245" s="314"/>
      <c r="BP245" s="313"/>
      <c r="BQ245" s="313"/>
      <c r="BR245" s="551">
        <f>IF(BR222=0,0,BR244/BR222)</f>
        <v>131.936293889827</v>
      </c>
      <c r="BS245" s="552"/>
      <c r="BT245" s="553"/>
      <c r="BU245" s="553"/>
      <c r="BV245" s="552"/>
      <c r="BW245" s="552"/>
      <c r="BX245" s="551">
        <f>IF(BX222=0,0,BX244/BX222)</f>
        <v>123.83659219822054</v>
      </c>
      <c r="BY245" s="313"/>
      <c r="BZ245" s="314"/>
      <c r="CA245" s="314"/>
      <c r="CB245" s="313"/>
      <c r="CC245" s="313"/>
      <c r="CD245" s="551">
        <f>IF(CD222=0,0,CD244/CD222)</f>
        <v>115.73689050661406</v>
      </c>
      <c r="CE245" s="313"/>
      <c r="CF245" s="314"/>
      <c r="CG245" s="314"/>
      <c r="CH245" s="313"/>
      <c r="CI245" s="313"/>
      <c r="CJ245" s="551">
        <f>IF(CJ222=0,0,CJ244/CJ222)</f>
        <v>107.63718881500759</v>
      </c>
      <c r="CK245" s="313"/>
      <c r="CL245" s="314"/>
      <c r="CM245" s="314"/>
      <c r="CN245" s="313"/>
      <c r="CO245" s="313"/>
      <c r="CP245" s="551">
        <f>IF(CP222=0,0,CP244/CP222)</f>
        <v>99.537487123401107</v>
      </c>
      <c r="CQ245" s="554"/>
      <c r="CR245" s="553"/>
      <c r="CS245" s="553"/>
      <c r="CT245" s="554"/>
      <c r="CU245" s="554"/>
      <c r="CV245" s="551">
        <f>IF(CV222=0,0,CV244/CV222)</f>
        <v>99.537487123401107</v>
      </c>
      <c r="CW245" s="554"/>
      <c r="CX245" s="553"/>
      <c r="CY245" s="553"/>
      <c r="CZ245" s="554"/>
      <c r="DA245" s="554"/>
      <c r="DB245" s="551">
        <f>IF(DB222=0,0,DB244/DB222)</f>
        <v>99.537487123401107</v>
      </c>
      <c r="DC245" s="313"/>
      <c r="DD245" s="314"/>
      <c r="DE245" s="314"/>
      <c r="DF245" s="313"/>
      <c r="DG245" s="313"/>
      <c r="DH245" s="551">
        <f>IF(DH222=0,0,DH244/DH222)</f>
        <v>99.537487123401107</v>
      </c>
      <c r="DI245" s="313"/>
      <c r="DJ245" s="314"/>
      <c r="DK245" s="314"/>
      <c r="DL245" s="313"/>
      <c r="DM245" s="313"/>
      <c r="DN245" s="551">
        <f>IF(DN222=0,0,DN244/DN222)</f>
        <v>99.537487123401107</v>
      </c>
      <c r="DO245" s="313"/>
      <c r="DP245" s="314"/>
      <c r="DQ245" s="314"/>
      <c r="DR245" s="313"/>
      <c r="DS245" s="313"/>
      <c r="DT245" s="551">
        <f>IF(DT222=0,0,DT244/DT222)</f>
        <v>75.238382048581656</v>
      </c>
      <c r="DU245" s="313"/>
      <c r="DV245" s="314"/>
      <c r="DW245" s="314"/>
      <c r="DX245" s="313"/>
      <c r="DY245" s="313"/>
      <c r="DZ245" s="551">
        <f>IF(DZ222=0,0,DZ244/DZ222)</f>
        <v>75.238382048581656</v>
      </c>
      <c r="EA245" s="313"/>
      <c r="EB245" s="314"/>
      <c r="EC245" s="314"/>
      <c r="ED245" s="313"/>
      <c r="EE245" s="313"/>
      <c r="EF245" s="551">
        <f>IF(EF222=0,0,EF244/EF222)</f>
        <v>75.238382048581656</v>
      </c>
      <c r="EG245" s="313"/>
      <c r="EH245" s="314"/>
      <c r="EI245" s="314"/>
      <c r="EJ245" s="313"/>
      <c r="EK245" s="313"/>
      <c r="EL245" s="551">
        <f>IF(EL222=0,0,EL244/EL222)</f>
        <v>75.238382048581656</v>
      </c>
      <c r="EM245" s="313"/>
      <c r="EN245" s="314"/>
      <c r="EO245" s="314"/>
      <c r="EP245" s="313"/>
      <c r="EQ245" s="313"/>
      <c r="ER245" s="551">
        <f>IF(ER222=0,0,ER244/ER222)</f>
        <v>75.238382048581656</v>
      </c>
      <c r="ES245" s="313"/>
      <c r="ET245" s="314"/>
      <c r="EU245" s="314"/>
      <c r="EV245" s="313"/>
      <c r="EW245" s="313"/>
      <c r="EX245" s="551">
        <f>IF(EX222=0,0,EX244/EX222)</f>
        <v>75.238382048581656</v>
      </c>
      <c r="EY245" s="313"/>
      <c r="EZ245" s="314"/>
      <c r="FA245" s="314"/>
      <c r="FB245" s="313"/>
      <c r="FC245" s="313"/>
      <c r="FD245" s="551">
        <f>IF(FD222=0,0,FD244/FD222)</f>
        <v>75.238382048581656</v>
      </c>
      <c r="FE245" s="313"/>
      <c r="FF245" s="314"/>
      <c r="FG245" s="314"/>
      <c r="FH245" s="313"/>
      <c r="FI245" s="313"/>
      <c r="FJ245" s="551">
        <f>IF(FJ222=0,0,FJ244/FJ222)</f>
        <v>75.238382048581656</v>
      </c>
      <c r="FK245" s="313"/>
      <c r="FL245" s="314"/>
      <c r="FM245" s="314"/>
      <c r="FN245" s="313"/>
      <c r="FO245" s="313"/>
      <c r="FP245" s="551">
        <f>IF(FP222=0,0,FP244/FP222)</f>
        <v>75.238382048581656</v>
      </c>
      <c r="FQ245" s="313"/>
      <c r="FR245" s="314"/>
      <c r="FS245" s="314"/>
      <c r="FT245" s="313"/>
      <c r="FU245" s="313"/>
      <c r="FV245" s="551">
        <f>IF(FV222=0,0,FV244/FV222)</f>
        <v>75.238382048581656</v>
      </c>
      <c r="FW245" s="313"/>
      <c r="FX245" s="314"/>
      <c r="FY245" s="314"/>
      <c r="FZ245" s="313"/>
      <c r="GA245" s="313"/>
      <c r="GB245" s="551">
        <f>IF(GB222=0,0,GB244/GB222)</f>
        <v>75.238382048581656</v>
      </c>
      <c r="GC245" s="313"/>
      <c r="GD245" s="314"/>
      <c r="GE245" s="314"/>
      <c r="GF245" s="313"/>
      <c r="GG245" s="313"/>
      <c r="GH245" s="551">
        <f>IF(GH222=0,0,GH244/GH222)</f>
        <v>75.238382048581656</v>
      </c>
      <c r="GI245" s="313"/>
      <c r="GJ245" s="314"/>
      <c r="GK245" s="314"/>
      <c r="GL245" s="313"/>
      <c r="GM245" s="313"/>
      <c r="GN245" s="551">
        <f>IF(GN222=0,0,GN244/GN222)</f>
        <v>75.238382048581656</v>
      </c>
      <c r="GO245" s="313"/>
      <c r="GP245" s="314"/>
      <c r="GQ245" s="314"/>
      <c r="GR245" s="313"/>
      <c r="GS245" s="313"/>
      <c r="GT245" s="551">
        <f>IF(GT222=0,0,GT244/GT222)</f>
        <v>75.238382048581656</v>
      </c>
      <c r="GU245" s="313"/>
      <c r="GV245" s="314"/>
      <c r="GW245" s="314"/>
      <c r="GX245" s="313"/>
      <c r="GY245" s="313"/>
      <c r="GZ245" s="555">
        <f>IF(GZ222=0,0,GZ244/GZ222)</f>
        <v>75.238382048581656</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33061.148000000001</v>
      </c>
      <c r="V247" s="541">
        <f>V229*$C18</f>
        <v>33061.148000000001</v>
      </c>
      <c r="W247" s="542"/>
      <c r="X247" s="543"/>
      <c r="Y247" s="543"/>
      <c r="Z247" s="542"/>
      <c r="AA247" s="542"/>
      <c r="AB247" s="541">
        <f>AB229*$C18</f>
        <v>33061.148000000001</v>
      </c>
      <c r="AC247" s="542"/>
      <c r="AD247" s="543"/>
      <c r="AE247" s="543"/>
      <c r="AF247" s="542"/>
      <c r="AG247" s="542"/>
      <c r="AH247" s="541">
        <f>AH229*$C18</f>
        <v>33061.148000000001</v>
      </c>
      <c r="AI247" s="542"/>
      <c r="AJ247" s="543"/>
      <c r="AK247" s="543"/>
      <c r="AL247" s="542"/>
      <c r="AM247" s="542"/>
      <c r="AN247" s="541">
        <f>AN229*$C18</f>
        <v>33061.148000000001</v>
      </c>
      <c r="AO247" s="560"/>
      <c r="AP247" s="561"/>
      <c r="AQ247" s="561"/>
      <c r="AR247" s="560"/>
      <c r="AS247" s="560"/>
      <c r="AT247" s="540">
        <f>AT229*$C18</f>
        <v>33061.148000000001</v>
      </c>
      <c r="AU247" s="311"/>
      <c r="AV247" s="312"/>
      <c r="AW247" s="312"/>
      <c r="AX247" s="311"/>
      <c r="AY247" s="311"/>
      <c r="AZ247" s="541">
        <f>AZ229*$C18</f>
        <v>27172.517827931599</v>
      </c>
      <c r="BA247" s="311"/>
      <c r="BB247" s="312"/>
      <c r="BC247" s="312"/>
      <c r="BD247" s="311"/>
      <c r="BE247" s="311"/>
      <c r="BF247" s="541">
        <f>BF229*$C18</f>
        <v>10310.83656527717</v>
      </c>
      <c r="BG247" s="311"/>
      <c r="BH247" s="312"/>
      <c r="BI247" s="312"/>
      <c r="BJ247" s="311"/>
      <c r="BK247" s="311"/>
      <c r="BL247" s="541">
        <f>BL229*$C18</f>
        <v>12764.80374262274</v>
      </c>
      <c r="BM247" s="311"/>
      <c r="BN247" s="312"/>
      <c r="BO247" s="312"/>
      <c r="BP247" s="311"/>
      <c r="BQ247" s="311"/>
      <c r="BR247" s="541">
        <f>BR229*$C18</f>
        <v>15218.770919968312</v>
      </c>
      <c r="BS247" s="542"/>
      <c r="BT247" s="543"/>
      <c r="BU247" s="543"/>
      <c r="BV247" s="542"/>
      <c r="BW247" s="542"/>
      <c r="BX247" s="541">
        <f>BX229*$C18</f>
        <v>17672.738097313882</v>
      </c>
      <c r="BY247" s="311"/>
      <c r="BZ247" s="312"/>
      <c r="CA247" s="312"/>
      <c r="CB247" s="311"/>
      <c r="CC247" s="311"/>
      <c r="CD247" s="541">
        <f>CD229*$C18</f>
        <v>20126.705274659456</v>
      </c>
      <c r="CE247" s="311"/>
      <c r="CF247" s="312"/>
      <c r="CG247" s="312"/>
      <c r="CH247" s="311"/>
      <c r="CI247" s="311"/>
      <c r="CJ247" s="541">
        <f>CJ229*$C18</f>
        <v>22580.672452005027</v>
      </c>
      <c r="CK247" s="311"/>
      <c r="CL247" s="312"/>
      <c r="CM247" s="312"/>
      <c r="CN247" s="311"/>
      <c r="CO247" s="311"/>
      <c r="CP247" s="541">
        <f>CP229*$C18</f>
        <v>25034.639629350597</v>
      </c>
      <c r="CQ247" s="544"/>
      <c r="CR247" s="543"/>
      <c r="CS247" s="543"/>
      <c r="CT247" s="544"/>
      <c r="CU247" s="544"/>
      <c r="CV247" s="541">
        <f>CV229*$C18</f>
        <v>25034.639629350597</v>
      </c>
      <c r="CW247" s="544"/>
      <c r="CX247" s="543"/>
      <c r="CY247" s="543"/>
      <c r="CZ247" s="544"/>
      <c r="DA247" s="544"/>
      <c r="DB247" s="541">
        <f>DB229*$C18</f>
        <v>25034.639629350597</v>
      </c>
      <c r="DC247" s="311"/>
      <c r="DD247" s="312"/>
      <c r="DE247" s="312"/>
      <c r="DF247" s="311"/>
      <c r="DG247" s="311"/>
      <c r="DH247" s="541">
        <f>DH229*$C18</f>
        <v>25034.639629350597</v>
      </c>
      <c r="DI247" s="311"/>
      <c r="DJ247" s="312"/>
      <c r="DK247" s="312"/>
      <c r="DL247" s="311"/>
      <c r="DM247" s="311"/>
      <c r="DN247" s="541">
        <f>DN229*$C18</f>
        <v>25034.639629350597</v>
      </c>
      <c r="DO247" s="311"/>
      <c r="DP247" s="312"/>
      <c r="DQ247" s="312"/>
      <c r="DR247" s="311"/>
      <c r="DS247" s="311"/>
      <c r="DT247" s="541">
        <f>DT229*$C18</f>
        <v>32396.541161387311</v>
      </c>
      <c r="DU247" s="311"/>
      <c r="DV247" s="312"/>
      <c r="DW247" s="312"/>
      <c r="DX247" s="311"/>
      <c r="DY247" s="311"/>
      <c r="DZ247" s="541">
        <f>DZ229*$C18</f>
        <v>32396.541161387311</v>
      </c>
      <c r="EA247" s="311"/>
      <c r="EB247" s="312"/>
      <c r="EC247" s="312"/>
      <c r="ED247" s="311"/>
      <c r="EE247" s="311"/>
      <c r="EF247" s="541">
        <f>EF229*$C18</f>
        <v>32396.541161387311</v>
      </c>
      <c r="EG247" s="311"/>
      <c r="EH247" s="312"/>
      <c r="EI247" s="312"/>
      <c r="EJ247" s="311"/>
      <c r="EK247" s="311"/>
      <c r="EL247" s="541">
        <f>EL229*$C18</f>
        <v>32396.541161387311</v>
      </c>
      <c r="EM247" s="311"/>
      <c r="EN247" s="312"/>
      <c r="EO247" s="312"/>
      <c r="EP247" s="311"/>
      <c r="EQ247" s="311"/>
      <c r="ER247" s="541">
        <f>ER229*$C18</f>
        <v>32396.541161387311</v>
      </c>
      <c r="ES247" s="311"/>
      <c r="ET247" s="312"/>
      <c r="EU247" s="312"/>
      <c r="EV247" s="311"/>
      <c r="EW247" s="311"/>
      <c r="EX247" s="541">
        <f>EX229*$C18</f>
        <v>32396.541161387311</v>
      </c>
      <c r="EY247" s="311"/>
      <c r="EZ247" s="312"/>
      <c r="FA247" s="312"/>
      <c r="FB247" s="311"/>
      <c r="FC247" s="311"/>
      <c r="FD247" s="541">
        <f>FD229*$C18</f>
        <v>32396.541161387311</v>
      </c>
      <c r="FE247" s="311"/>
      <c r="FF247" s="312"/>
      <c r="FG247" s="312"/>
      <c r="FH247" s="311"/>
      <c r="FI247" s="311"/>
      <c r="FJ247" s="541">
        <f>FJ229*$C18</f>
        <v>32396.541161387311</v>
      </c>
      <c r="FK247" s="311"/>
      <c r="FL247" s="312"/>
      <c r="FM247" s="312"/>
      <c r="FN247" s="311"/>
      <c r="FO247" s="311"/>
      <c r="FP247" s="541">
        <f>FP229*$C18</f>
        <v>32396.541161387311</v>
      </c>
      <c r="FQ247" s="311"/>
      <c r="FR247" s="312"/>
      <c r="FS247" s="312"/>
      <c r="FT247" s="311"/>
      <c r="FU247" s="311"/>
      <c r="FV247" s="541">
        <f>FV229*$C18</f>
        <v>32396.541161387311</v>
      </c>
      <c r="FW247" s="311"/>
      <c r="FX247" s="312"/>
      <c r="FY247" s="312"/>
      <c r="FZ247" s="311"/>
      <c r="GA247" s="311"/>
      <c r="GB247" s="541">
        <f>GB229*$C18</f>
        <v>32396.541161387311</v>
      </c>
      <c r="GC247" s="311"/>
      <c r="GD247" s="312"/>
      <c r="GE247" s="312"/>
      <c r="GF247" s="311"/>
      <c r="GG247" s="311"/>
      <c r="GH247" s="541">
        <f>GH229*$C18</f>
        <v>32396.541161387311</v>
      </c>
      <c r="GI247" s="311"/>
      <c r="GJ247" s="312"/>
      <c r="GK247" s="312"/>
      <c r="GL247" s="311"/>
      <c r="GM247" s="311"/>
      <c r="GN247" s="541">
        <f>GN229*$C18</f>
        <v>32396.541161387311</v>
      </c>
      <c r="GO247" s="311"/>
      <c r="GP247" s="312"/>
      <c r="GQ247" s="312"/>
      <c r="GR247" s="311"/>
      <c r="GS247" s="311"/>
      <c r="GT247" s="541">
        <f>GT229*$C18</f>
        <v>32396.541161387311</v>
      </c>
      <c r="GU247" s="311"/>
      <c r="GV247" s="312"/>
      <c r="GW247" s="312"/>
      <c r="GX247" s="311"/>
      <c r="GY247" s="311"/>
      <c r="GZ247" s="545">
        <f>GZ229*$C18</f>
        <v>32396.541161387311</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66246.599999999991</v>
      </c>
      <c r="V248" s="604">
        <f>V232*$C19</f>
        <v>66246.599999999991</v>
      </c>
      <c r="W248" s="574"/>
      <c r="X248" s="575"/>
      <c r="Y248" s="575"/>
      <c r="Z248" s="574"/>
      <c r="AA248" s="574"/>
      <c r="AB248" s="604">
        <f>AB232*$C19</f>
        <v>66246.599999999991</v>
      </c>
      <c r="AC248" s="315"/>
      <c r="AD248" s="316"/>
      <c r="AE248" s="316"/>
      <c r="AF248" s="315"/>
      <c r="AG248" s="315"/>
      <c r="AH248" s="604">
        <f>AH232*$C19</f>
        <v>66246.599999999991</v>
      </c>
      <c r="AI248" s="574"/>
      <c r="AJ248" s="575"/>
      <c r="AK248" s="575"/>
      <c r="AL248" s="574"/>
      <c r="AM248" s="574"/>
      <c r="AN248" s="604">
        <f>AN232*$C19</f>
        <v>66246.599999999991</v>
      </c>
      <c r="AO248" s="439"/>
      <c r="AP248" s="530"/>
      <c r="AQ248" s="530"/>
      <c r="AR248" s="439"/>
      <c r="AS248" s="439"/>
      <c r="AT248" s="609">
        <f>AT232*$C19</f>
        <v>66246.599999999991</v>
      </c>
      <c r="AU248" s="315"/>
      <c r="AV248" s="316"/>
      <c r="AW248" s="316"/>
      <c r="AX248" s="315"/>
      <c r="AY248" s="315"/>
      <c r="AZ248" s="604">
        <f>AZ232*$C19</f>
        <v>56475.226499999997</v>
      </c>
      <c r="BA248" s="315"/>
      <c r="BB248" s="316"/>
      <c r="BC248" s="316"/>
      <c r="BD248" s="315"/>
      <c r="BE248" s="315"/>
      <c r="BF248" s="604">
        <f>BF232*$C19</f>
        <v>50115.552899999995</v>
      </c>
      <c r="BG248" s="315"/>
      <c r="BH248" s="316"/>
      <c r="BI248" s="316"/>
      <c r="BJ248" s="315"/>
      <c r="BK248" s="315"/>
      <c r="BL248" s="604">
        <f>BL232*$C19</f>
        <v>45080.811299999994</v>
      </c>
      <c r="BM248" s="315"/>
      <c r="BN248" s="316"/>
      <c r="BO248" s="316"/>
      <c r="BP248" s="315"/>
      <c r="BQ248" s="315"/>
      <c r="BR248" s="604">
        <f>BR232*$C19</f>
        <v>40046.0697</v>
      </c>
      <c r="BS248" s="315"/>
      <c r="BT248" s="316"/>
      <c r="BU248" s="316"/>
      <c r="BV248" s="315"/>
      <c r="BW248" s="315"/>
      <c r="BX248" s="604">
        <f>BX232*$C19</f>
        <v>35011.328099999999</v>
      </c>
      <c r="BY248" s="315"/>
      <c r="BZ248" s="316"/>
      <c r="CA248" s="316"/>
      <c r="CB248" s="315"/>
      <c r="CC248" s="315"/>
      <c r="CD248" s="604">
        <f>CD232*$C19</f>
        <v>29976.586500000001</v>
      </c>
      <c r="CE248" s="315"/>
      <c r="CF248" s="316"/>
      <c r="CG248" s="316"/>
      <c r="CH248" s="315"/>
      <c r="CI248" s="315"/>
      <c r="CJ248" s="604">
        <f>CJ232*$C19</f>
        <v>24941.844900000004</v>
      </c>
      <c r="CK248" s="315"/>
      <c r="CL248" s="316"/>
      <c r="CM248" s="316"/>
      <c r="CN248" s="315"/>
      <c r="CO248" s="315"/>
      <c r="CP248" s="604">
        <f>CP232*$C19</f>
        <v>19907.103300000006</v>
      </c>
      <c r="CQ248" s="315"/>
      <c r="CR248" s="316"/>
      <c r="CS248" s="316"/>
      <c r="CT248" s="315"/>
      <c r="CU248" s="315"/>
      <c r="CV248" s="604">
        <f>CV232*$C19</f>
        <v>19907.103300000006</v>
      </c>
      <c r="CW248" s="577"/>
      <c r="CX248" s="575"/>
      <c r="CY248" s="575"/>
      <c r="CZ248" s="577"/>
      <c r="DA248" s="577"/>
      <c r="DB248" s="604">
        <f>DB232*$C19</f>
        <v>19907.103300000006</v>
      </c>
      <c r="DC248" s="315"/>
      <c r="DD248" s="316"/>
      <c r="DE248" s="316"/>
      <c r="DF248" s="315"/>
      <c r="DG248" s="315"/>
      <c r="DH248" s="604">
        <f>DH232*$C19</f>
        <v>19907.103300000006</v>
      </c>
      <c r="DI248" s="315"/>
      <c r="DJ248" s="316"/>
      <c r="DK248" s="316"/>
      <c r="DL248" s="315"/>
      <c r="DM248" s="315"/>
      <c r="DN248" s="604">
        <f>DN232*$C19</f>
        <v>19907.103300000006</v>
      </c>
      <c r="DO248" s="315"/>
      <c r="DP248" s="316"/>
      <c r="DQ248" s="316"/>
      <c r="DR248" s="315"/>
      <c r="DS248" s="315"/>
      <c r="DT248" s="604">
        <f>DT232*$C19</f>
        <v>4802.8785000000053</v>
      </c>
      <c r="DU248" s="315"/>
      <c r="DV248" s="316"/>
      <c r="DW248" s="316"/>
      <c r="DX248" s="315"/>
      <c r="DY248" s="315"/>
      <c r="DZ248" s="604">
        <f>DZ232*$C19</f>
        <v>4802.8785000000053</v>
      </c>
      <c r="EA248" s="315"/>
      <c r="EB248" s="316"/>
      <c r="EC248" s="316"/>
      <c r="ED248" s="315"/>
      <c r="EE248" s="315"/>
      <c r="EF248" s="604">
        <f>EF232*$C19</f>
        <v>4802.8785000000053</v>
      </c>
      <c r="EG248" s="315"/>
      <c r="EH248" s="316"/>
      <c r="EI248" s="316"/>
      <c r="EJ248" s="315"/>
      <c r="EK248" s="315"/>
      <c r="EL248" s="604">
        <f>EL232*$C19</f>
        <v>4802.8785000000053</v>
      </c>
      <c r="EM248" s="315"/>
      <c r="EN248" s="316"/>
      <c r="EO248" s="316"/>
      <c r="EP248" s="315"/>
      <c r="EQ248" s="315"/>
      <c r="ER248" s="604">
        <f>ER232*$C19</f>
        <v>4802.8785000000053</v>
      </c>
      <c r="ES248" s="315"/>
      <c r="ET248" s="316"/>
      <c r="EU248" s="316"/>
      <c r="EV248" s="315"/>
      <c r="EW248" s="315"/>
      <c r="EX248" s="604">
        <f>EX232*$C19</f>
        <v>4802.8785000000053</v>
      </c>
      <c r="EY248" s="315"/>
      <c r="EZ248" s="316"/>
      <c r="FA248" s="316"/>
      <c r="FB248" s="315"/>
      <c r="FC248" s="315"/>
      <c r="FD248" s="604">
        <f>FD232*$C19</f>
        <v>4802.8785000000053</v>
      </c>
      <c r="FE248" s="315"/>
      <c r="FF248" s="316"/>
      <c r="FG248" s="316"/>
      <c r="FH248" s="315"/>
      <c r="FI248" s="315"/>
      <c r="FJ248" s="604">
        <f>FJ232*$C19</f>
        <v>4802.8785000000053</v>
      </c>
      <c r="FK248" s="315"/>
      <c r="FL248" s="316"/>
      <c r="FM248" s="316"/>
      <c r="FN248" s="315"/>
      <c r="FO248" s="315"/>
      <c r="FP248" s="604">
        <f>FP232*$C19</f>
        <v>4802.8785000000053</v>
      </c>
      <c r="FQ248" s="315"/>
      <c r="FR248" s="316"/>
      <c r="FS248" s="316"/>
      <c r="FT248" s="315"/>
      <c r="FU248" s="315"/>
      <c r="FV248" s="604">
        <f>FV232*$C19</f>
        <v>4802.8785000000053</v>
      </c>
      <c r="FW248" s="315"/>
      <c r="FX248" s="316"/>
      <c r="FY248" s="316"/>
      <c r="FZ248" s="315"/>
      <c r="GA248" s="315"/>
      <c r="GB248" s="604">
        <f>GB232*$C19</f>
        <v>4802.8785000000053</v>
      </c>
      <c r="GC248" s="315"/>
      <c r="GD248" s="316"/>
      <c r="GE248" s="316"/>
      <c r="GF248" s="315"/>
      <c r="GG248" s="315"/>
      <c r="GH248" s="604">
        <f>GH232*$C19</f>
        <v>4802.8785000000053</v>
      </c>
      <c r="GI248" s="315"/>
      <c r="GJ248" s="316"/>
      <c r="GK248" s="316"/>
      <c r="GL248" s="315"/>
      <c r="GM248" s="315"/>
      <c r="GN248" s="604">
        <f>GN232*$C19</f>
        <v>4802.8785000000053</v>
      </c>
      <c r="GO248" s="315"/>
      <c r="GP248" s="316"/>
      <c r="GQ248" s="316"/>
      <c r="GR248" s="315"/>
      <c r="GS248" s="315"/>
      <c r="GT248" s="604">
        <f>GT232*$C19</f>
        <v>4802.8785000000053</v>
      </c>
      <c r="GU248" s="315"/>
      <c r="GV248" s="316"/>
      <c r="GW248" s="316"/>
      <c r="GX248" s="315"/>
      <c r="GY248" s="315"/>
      <c r="GZ248" s="610">
        <f>GZ232*$C19</f>
        <v>4802.8785000000053</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0</v>
      </c>
      <c r="V249" s="604">
        <f>V235*$C20</f>
        <v>0</v>
      </c>
      <c r="W249" s="574"/>
      <c r="X249" s="575"/>
      <c r="Y249" s="575"/>
      <c r="Z249" s="574"/>
      <c r="AA249" s="574"/>
      <c r="AB249" s="604">
        <f>AB235*$C20</f>
        <v>0</v>
      </c>
      <c r="AC249" s="574"/>
      <c r="AD249" s="575"/>
      <c r="AE249" s="575"/>
      <c r="AF249" s="574"/>
      <c r="AG249" s="574"/>
      <c r="AH249" s="604">
        <f>AH235*$C20</f>
        <v>0</v>
      </c>
      <c r="AI249" s="574"/>
      <c r="AJ249" s="575"/>
      <c r="AK249" s="575"/>
      <c r="AL249" s="574"/>
      <c r="AM249" s="574"/>
      <c r="AN249" s="604">
        <f>AN235*$C20</f>
        <v>0</v>
      </c>
      <c r="AO249" s="439"/>
      <c r="AP249" s="530"/>
      <c r="AQ249" s="530"/>
      <c r="AR249" s="439"/>
      <c r="AS249" s="439"/>
      <c r="AT249" s="609">
        <f t="shared" ref="AT249:DE249" si="287">(AT235+AT242)*$C20</f>
        <v>0</v>
      </c>
      <c r="AU249" s="609">
        <f t="shared" si="287"/>
        <v>0</v>
      </c>
      <c r="AV249" s="609">
        <f t="shared" si="287"/>
        <v>0</v>
      </c>
      <c r="AW249" s="609">
        <f t="shared" si="287"/>
        <v>0</v>
      </c>
      <c r="AX249" s="609">
        <f t="shared" si="287"/>
        <v>0</v>
      </c>
      <c r="AY249" s="609">
        <f t="shared" si="287"/>
        <v>0</v>
      </c>
      <c r="AZ249" s="609">
        <f t="shared" si="287"/>
        <v>0</v>
      </c>
      <c r="BA249" s="609">
        <f t="shared" si="287"/>
        <v>0</v>
      </c>
      <c r="BB249" s="609">
        <f t="shared" si="287"/>
        <v>0</v>
      </c>
      <c r="BC249" s="609">
        <f t="shared" si="287"/>
        <v>0</v>
      </c>
      <c r="BD249" s="609">
        <f t="shared" si="287"/>
        <v>0</v>
      </c>
      <c r="BE249" s="609">
        <f t="shared" si="287"/>
        <v>0</v>
      </c>
      <c r="BF249" s="609">
        <f t="shared" si="287"/>
        <v>0</v>
      </c>
      <c r="BG249" s="609">
        <f t="shared" si="287"/>
        <v>0</v>
      </c>
      <c r="BH249" s="609">
        <f t="shared" si="287"/>
        <v>0</v>
      </c>
      <c r="BI249" s="609">
        <f t="shared" si="287"/>
        <v>0</v>
      </c>
      <c r="BJ249" s="609">
        <f t="shared" si="287"/>
        <v>0</v>
      </c>
      <c r="BK249" s="609">
        <f t="shared" si="287"/>
        <v>0</v>
      </c>
      <c r="BL249" s="609">
        <f t="shared" si="287"/>
        <v>0</v>
      </c>
      <c r="BM249" s="609">
        <f t="shared" si="287"/>
        <v>0</v>
      </c>
      <c r="BN249" s="609">
        <f t="shared" si="287"/>
        <v>0</v>
      </c>
      <c r="BO249" s="609">
        <f t="shared" si="287"/>
        <v>0</v>
      </c>
      <c r="BP249" s="609">
        <f t="shared" si="287"/>
        <v>0</v>
      </c>
      <c r="BQ249" s="609">
        <f t="shared" si="287"/>
        <v>0</v>
      </c>
      <c r="BR249" s="609">
        <f t="shared" si="287"/>
        <v>0</v>
      </c>
      <c r="BS249" s="609">
        <f t="shared" si="287"/>
        <v>0</v>
      </c>
      <c r="BT249" s="609">
        <f t="shared" si="287"/>
        <v>0</v>
      </c>
      <c r="BU249" s="609">
        <f t="shared" si="287"/>
        <v>0</v>
      </c>
      <c r="BV249" s="609">
        <f t="shared" si="287"/>
        <v>0</v>
      </c>
      <c r="BW249" s="609">
        <f t="shared" si="287"/>
        <v>0</v>
      </c>
      <c r="BX249" s="609">
        <f t="shared" si="287"/>
        <v>0</v>
      </c>
      <c r="BY249" s="609">
        <f t="shared" si="287"/>
        <v>0</v>
      </c>
      <c r="BZ249" s="609">
        <f t="shared" si="287"/>
        <v>0</v>
      </c>
      <c r="CA249" s="609">
        <f t="shared" si="287"/>
        <v>0</v>
      </c>
      <c r="CB249" s="609">
        <f t="shared" si="287"/>
        <v>0</v>
      </c>
      <c r="CC249" s="609">
        <f t="shared" si="287"/>
        <v>0</v>
      </c>
      <c r="CD249" s="609">
        <f t="shared" si="287"/>
        <v>0</v>
      </c>
      <c r="CE249" s="609">
        <f t="shared" si="287"/>
        <v>0</v>
      </c>
      <c r="CF249" s="609">
        <f t="shared" si="287"/>
        <v>0</v>
      </c>
      <c r="CG249" s="609">
        <f t="shared" si="287"/>
        <v>0</v>
      </c>
      <c r="CH249" s="609">
        <f t="shared" si="287"/>
        <v>0</v>
      </c>
      <c r="CI249" s="609">
        <f t="shared" si="287"/>
        <v>0</v>
      </c>
      <c r="CJ249" s="609">
        <f t="shared" si="287"/>
        <v>0</v>
      </c>
      <c r="CK249" s="609">
        <f t="shared" si="287"/>
        <v>0</v>
      </c>
      <c r="CL249" s="609">
        <f t="shared" si="287"/>
        <v>0</v>
      </c>
      <c r="CM249" s="609">
        <f t="shared" si="287"/>
        <v>0</v>
      </c>
      <c r="CN249" s="609">
        <f t="shared" si="287"/>
        <v>0</v>
      </c>
      <c r="CO249" s="609">
        <f t="shared" si="287"/>
        <v>0</v>
      </c>
      <c r="CP249" s="609">
        <f t="shared" si="287"/>
        <v>0</v>
      </c>
      <c r="CQ249" s="609">
        <f t="shared" si="287"/>
        <v>0</v>
      </c>
      <c r="CR249" s="609">
        <f t="shared" si="287"/>
        <v>0</v>
      </c>
      <c r="CS249" s="609">
        <f t="shared" si="287"/>
        <v>0</v>
      </c>
      <c r="CT249" s="609">
        <f t="shared" si="287"/>
        <v>0</v>
      </c>
      <c r="CU249" s="609">
        <f t="shared" si="287"/>
        <v>0</v>
      </c>
      <c r="CV249" s="609">
        <f t="shared" si="287"/>
        <v>0</v>
      </c>
      <c r="CW249" s="609">
        <f t="shared" si="287"/>
        <v>0</v>
      </c>
      <c r="CX249" s="609">
        <f t="shared" si="287"/>
        <v>0</v>
      </c>
      <c r="CY249" s="609">
        <f t="shared" si="287"/>
        <v>0</v>
      </c>
      <c r="CZ249" s="609">
        <f t="shared" si="287"/>
        <v>0</v>
      </c>
      <c r="DA249" s="609">
        <f t="shared" si="287"/>
        <v>0</v>
      </c>
      <c r="DB249" s="609">
        <f t="shared" si="287"/>
        <v>0</v>
      </c>
      <c r="DC249" s="609">
        <f t="shared" si="287"/>
        <v>0</v>
      </c>
      <c r="DD249" s="609">
        <f t="shared" si="287"/>
        <v>0</v>
      </c>
      <c r="DE249" s="609">
        <f t="shared" si="287"/>
        <v>0</v>
      </c>
      <c r="DF249" s="609">
        <f t="shared" ref="DF249:FQ249" si="288">(DF235+DF242)*$C20</f>
        <v>0</v>
      </c>
      <c r="DG249" s="609">
        <f t="shared" si="288"/>
        <v>0</v>
      </c>
      <c r="DH249" s="609">
        <f t="shared" si="288"/>
        <v>0</v>
      </c>
      <c r="DI249" s="609">
        <f t="shared" si="288"/>
        <v>0</v>
      </c>
      <c r="DJ249" s="609">
        <f t="shared" si="288"/>
        <v>0</v>
      </c>
      <c r="DK249" s="609">
        <f t="shared" si="288"/>
        <v>0</v>
      </c>
      <c r="DL249" s="609">
        <f t="shared" si="288"/>
        <v>0</v>
      </c>
      <c r="DM249" s="609">
        <f t="shared" si="288"/>
        <v>0</v>
      </c>
      <c r="DN249" s="609">
        <f t="shared" si="288"/>
        <v>0</v>
      </c>
      <c r="DO249" s="609">
        <f t="shared" si="288"/>
        <v>0</v>
      </c>
      <c r="DP249" s="609">
        <f t="shared" si="288"/>
        <v>0</v>
      </c>
      <c r="DQ249" s="609">
        <f t="shared" si="288"/>
        <v>0</v>
      </c>
      <c r="DR249" s="609">
        <f t="shared" si="288"/>
        <v>0</v>
      </c>
      <c r="DS249" s="609">
        <f t="shared" si="288"/>
        <v>0</v>
      </c>
      <c r="DT249" s="609">
        <f t="shared" si="288"/>
        <v>0</v>
      </c>
      <c r="DU249" s="609">
        <f t="shared" si="288"/>
        <v>0</v>
      </c>
      <c r="DV249" s="609">
        <f t="shared" si="288"/>
        <v>0</v>
      </c>
      <c r="DW249" s="609">
        <f t="shared" si="288"/>
        <v>0</v>
      </c>
      <c r="DX249" s="609">
        <f t="shared" si="288"/>
        <v>0</v>
      </c>
      <c r="DY249" s="609">
        <f t="shared" si="288"/>
        <v>0</v>
      </c>
      <c r="DZ249" s="609">
        <f t="shared" si="288"/>
        <v>0</v>
      </c>
      <c r="EA249" s="609">
        <f t="shared" si="288"/>
        <v>0</v>
      </c>
      <c r="EB249" s="609">
        <f t="shared" si="288"/>
        <v>0</v>
      </c>
      <c r="EC249" s="609">
        <f t="shared" si="288"/>
        <v>0</v>
      </c>
      <c r="ED249" s="609">
        <f t="shared" si="288"/>
        <v>0</v>
      </c>
      <c r="EE249" s="609">
        <f t="shared" si="288"/>
        <v>0</v>
      </c>
      <c r="EF249" s="609">
        <f t="shared" si="288"/>
        <v>0</v>
      </c>
      <c r="EG249" s="609">
        <f t="shared" si="288"/>
        <v>0</v>
      </c>
      <c r="EH249" s="609">
        <f t="shared" si="288"/>
        <v>0</v>
      </c>
      <c r="EI249" s="609">
        <f t="shared" si="288"/>
        <v>0</v>
      </c>
      <c r="EJ249" s="609">
        <f t="shared" si="288"/>
        <v>0</v>
      </c>
      <c r="EK249" s="609">
        <f t="shared" si="288"/>
        <v>0</v>
      </c>
      <c r="EL249" s="609">
        <f t="shared" si="288"/>
        <v>0</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99307.747999999992</v>
      </c>
      <c r="V250" s="604">
        <f>SUM(V247:V249)</f>
        <v>99307.747999999992</v>
      </c>
      <c r="W250" s="611"/>
      <c r="X250" s="612"/>
      <c r="Y250" s="612"/>
      <c r="Z250" s="611"/>
      <c r="AA250" s="611"/>
      <c r="AB250" s="604">
        <f>SUM(AB247:AB249)</f>
        <v>99307.747999999992</v>
      </c>
      <c r="AC250" s="659"/>
      <c r="AD250" s="660"/>
      <c r="AE250" s="660"/>
      <c r="AF250" s="659"/>
      <c r="AG250" s="659"/>
      <c r="AH250" s="604">
        <f>SUM(AH247:AH249)</f>
        <v>99307.747999999992</v>
      </c>
      <c r="AI250" s="611"/>
      <c r="AJ250" s="612"/>
      <c r="AK250" s="612"/>
      <c r="AL250" s="611"/>
      <c r="AM250" s="611"/>
      <c r="AN250" s="604">
        <f>SUM(AN247:AN249)</f>
        <v>99307.747999999992</v>
      </c>
      <c r="AO250" s="439"/>
      <c r="AP250" s="530"/>
      <c r="AQ250" s="530"/>
      <c r="AR250" s="439"/>
      <c r="AS250" s="439"/>
      <c r="AT250" s="609">
        <f>SUM(AT247:AT249)</f>
        <v>99307.747999999992</v>
      </c>
      <c r="AU250" s="315"/>
      <c r="AV250" s="316"/>
      <c r="AW250" s="316"/>
      <c r="AX250" s="315"/>
      <c r="AY250" s="315"/>
      <c r="AZ250" s="604">
        <f>SUM(AZ247:AZ249)</f>
        <v>83647.744327931592</v>
      </c>
      <c r="BA250" s="315"/>
      <c r="BB250" s="316"/>
      <c r="BC250" s="316"/>
      <c r="BD250" s="315"/>
      <c r="BE250" s="315"/>
      <c r="BF250" s="604">
        <f>SUM(BF247:BF249)</f>
        <v>60426.389465277163</v>
      </c>
      <c r="BG250" s="315"/>
      <c r="BH250" s="316"/>
      <c r="BI250" s="316"/>
      <c r="BJ250" s="315"/>
      <c r="BK250" s="315"/>
      <c r="BL250" s="604">
        <f>SUM(BL247:BL249)</f>
        <v>57845.615042622732</v>
      </c>
      <c r="BM250" s="315"/>
      <c r="BN250" s="316"/>
      <c r="BO250" s="316"/>
      <c r="BP250" s="315"/>
      <c r="BQ250" s="315"/>
      <c r="BR250" s="604">
        <f>SUM(BR247:BR249)</f>
        <v>55264.840619968309</v>
      </c>
      <c r="BS250" s="315"/>
      <c r="BT250" s="316"/>
      <c r="BU250" s="316"/>
      <c r="BV250" s="315"/>
      <c r="BW250" s="315"/>
      <c r="BX250" s="604">
        <f>SUM(BX247:BX249)</f>
        <v>52684.066197313878</v>
      </c>
      <c r="BY250" s="315"/>
      <c r="BZ250" s="316"/>
      <c r="CA250" s="316"/>
      <c r="CB250" s="315"/>
      <c r="CC250" s="315"/>
      <c r="CD250" s="604">
        <f>SUM(CD247:CD249)</f>
        <v>50103.291774659461</v>
      </c>
      <c r="CE250" s="315"/>
      <c r="CF250" s="316"/>
      <c r="CG250" s="316"/>
      <c r="CH250" s="315"/>
      <c r="CI250" s="315"/>
      <c r="CJ250" s="604">
        <f>SUM(CJ247:CJ249)</f>
        <v>47522.51735200503</v>
      </c>
      <c r="CK250" s="315"/>
      <c r="CL250" s="316"/>
      <c r="CM250" s="316"/>
      <c r="CN250" s="315"/>
      <c r="CO250" s="315"/>
      <c r="CP250" s="604">
        <f>SUM(CP247:CP249)</f>
        <v>44941.742929350599</v>
      </c>
      <c r="CQ250" s="315"/>
      <c r="CR250" s="316"/>
      <c r="CS250" s="316"/>
      <c r="CT250" s="315"/>
      <c r="CU250" s="315"/>
      <c r="CV250" s="604">
        <f>SUM(CV247:CV249)</f>
        <v>44941.742929350599</v>
      </c>
      <c r="CW250" s="577"/>
      <c r="CX250" s="575"/>
      <c r="CY250" s="575"/>
      <c r="CZ250" s="577"/>
      <c r="DA250" s="577"/>
      <c r="DB250" s="604">
        <f>SUM(DB247:DB249)</f>
        <v>44941.742929350599</v>
      </c>
      <c r="DC250" s="315"/>
      <c r="DD250" s="316"/>
      <c r="DE250" s="316"/>
      <c r="DF250" s="315"/>
      <c r="DG250" s="315"/>
      <c r="DH250" s="604">
        <f>SUM(DH247:DH249)</f>
        <v>44941.742929350599</v>
      </c>
      <c r="DI250" s="315"/>
      <c r="DJ250" s="316"/>
      <c r="DK250" s="316"/>
      <c r="DL250" s="315"/>
      <c r="DM250" s="315"/>
      <c r="DN250" s="604">
        <f>SUM(DN247:DN249)</f>
        <v>44941.742929350599</v>
      </c>
      <c r="DO250" s="315"/>
      <c r="DP250" s="316"/>
      <c r="DQ250" s="316"/>
      <c r="DR250" s="315"/>
      <c r="DS250" s="315"/>
      <c r="DT250" s="604">
        <f>SUM(DT247:DT249)</f>
        <v>37199.419661387314</v>
      </c>
      <c r="DU250" s="315"/>
      <c r="DV250" s="316"/>
      <c r="DW250" s="316"/>
      <c r="DX250" s="315"/>
      <c r="DY250" s="315"/>
      <c r="DZ250" s="604">
        <f>SUM(DZ247:DZ249)</f>
        <v>37199.419661387314</v>
      </c>
      <c r="EA250" s="315"/>
      <c r="EB250" s="316"/>
      <c r="EC250" s="316"/>
      <c r="ED250" s="315"/>
      <c r="EE250" s="315"/>
      <c r="EF250" s="604">
        <f>SUM(EF247:EF249)</f>
        <v>37199.419661387314</v>
      </c>
      <c r="EG250" s="315"/>
      <c r="EH250" s="316"/>
      <c r="EI250" s="316"/>
      <c r="EJ250" s="315"/>
      <c r="EK250" s="315"/>
      <c r="EL250" s="604">
        <f>SUM(EL247:EL249)</f>
        <v>37199.419661387314</v>
      </c>
      <c r="EM250" s="315"/>
      <c r="EN250" s="316"/>
      <c r="EO250" s="316"/>
      <c r="EP250" s="315"/>
      <c r="EQ250" s="315"/>
      <c r="ER250" s="604">
        <f>SUM(ER247:ER249)</f>
        <v>37199.419661387314</v>
      </c>
      <c r="ES250" s="315"/>
      <c r="ET250" s="316"/>
      <c r="EU250" s="316"/>
      <c r="EV250" s="315"/>
      <c r="EW250" s="315"/>
      <c r="EX250" s="604">
        <f>SUM(EX247:EX249)</f>
        <v>37199.419661387314</v>
      </c>
      <c r="EY250" s="315"/>
      <c r="EZ250" s="316"/>
      <c r="FA250" s="316"/>
      <c r="FB250" s="315"/>
      <c r="FC250" s="315"/>
      <c r="FD250" s="604">
        <f>SUM(FD247:FD249)</f>
        <v>37199.419661387314</v>
      </c>
      <c r="FE250" s="315"/>
      <c r="FF250" s="316"/>
      <c r="FG250" s="316"/>
      <c r="FH250" s="315"/>
      <c r="FI250" s="315"/>
      <c r="FJ250" s="604">
        <f>SUM(FJ247:FJ249)</f>
        <v>37199.419661387314</v>
      </c>
      <c r="FK250" s="315"/>
      <c r="FL250" s="316"/>
      <c r="FM250" s="316"/>
      <c r="FN250" s="315"/>
      <c r="FO250" s="315"/>
      <c r="FP250" s="604">
        <f>SUM(FP247:FP249)</f>
        <v>37199.419661387314</v>
      </c>
      <c r="FQ250" s="315"/>
      <c r="FR250" s="316"/>
      <c r="FS250" s="316"/>
      <c r="FT250" s="315"/>
      <c r="FU250" s="315"/>
      <c r="FV250" s="604">
        <f>SUM(FV247:FV249)</f>
        <v>37199.419661387314</v>
      </c>
      <c r="FW250" s="315"/>
      <c r="FX250" s="316"/>
      <c r="FY250" s="316"/>
      <c r="FZ250" s="315"/>
      <c r="GA250" s="315"/>
      <c r="GB250" s="604">
        <f>SUM(GB247:GB249)</f>
        <v>37199.419661387314</v>
      </c>
      <c r="GC250" s="315"/>
      <c r="GD250" s="316"/>
      <c r="GE250" s="316"/>
      <c r="GF250" s="315"/>
      <c r="GG250" s="315"/>
      <c r="GH250" s="604">
        <f>SUM(GH247:GH249)</f>
        <v>37199.419661387314</v>
      </c>
      <c r="GI250" s="315"/>
      <c r="GJ250" s="316"/>
      <c r="GK250" s="316"/>
      <c r="GL250" s="315"/>
      <c r="GM250" s="315"/>
      <c r="GN250" s="604">
        <f>SUM(GN247:GN249)</f>
        <v>37199.419661387314</v>
      </c>
      <c r="GO250" s="315"/>
      <c r="GP250" s="316"/>
      <c r="GQ250" s="316"/>
      <c r="GR250" s="315"/>
      <c r="GS250" s="315"/>
      <c r="GT250" s="604">
        <f>SUM(GT247:GT249)</f>
        <v>37199.419661387314</v>
      </c>
      <c r="GU250" s="315"/>
      <c r="GV250" s="316"/>
      <c r="GW250" s="316"/>
      <c r="GX250" s="315"/>
      <c r="GY250" s="315"/>
      <c r="GZ250" s="610">
        <f>SUM(GZ247:GZ249)</f>
        <v>37199.419661387314</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0</v>
      </c>
      <c r="AU251" s="552"/>
      <c r="AV251" s="553"/>
      <c r="AW251" s="553"/>
      <c r="AX251" s="552"/>
      <c r="AY251" s="552"/>
      <c r="AZ251" s="551">
        <f>IF(AZ222=0,0,$AN$250-AZ250)</f>
        <v>15660.0036720684</v>
      </c>
      <c r="BA251" s="313"/>
      <c r="BB251" s="314"/>
      <c r="BC251" s="314"/>
      <c r="BD251" s="313"/>
      <c r="BE251" s="313"/>
      <c r="BF251" s="551">
        <f>IF(BF222=0,0,$AN$250-BF250)</f>
        <v>38881.358534722829</v>
      </c>
      <c r="BG251" s="313"/>
      <c r="BH251" s="314"/>
      <c r="BI251" s="314"/>
      <c r="BJ251" s="313"/>
      <c r="BK251" s="313"/>
      <c r="BL251" s="551">
        <f>IF(BL222=0,0,$AN$250-BL250)</f>
        <v>41462.13295737726</v>
      </c>
      <c r="BM251" s="313"/>
      <c r="BN251" s="314"/>
      <c r="BO251" s="314"/>
      <c r="BP251" s="313"/>
      <c r="BQ251" s="313"/>
      <c r="BR251" s="551">
        <f>IF(BR222=0,0,$AN$250-BR250)</f>
        <v>44042.907380031684</v>
      </c>
      <c r="BS251" s="552"/>
      <c r="BT251" s="553"/>
      <c r="BU251" s="553"/>
      <c r="BV251" s="552"/>
      <c r="BW251" s="552"/>
      <c r="BX251" s="551">
        <f>IF(BX222=0,0,$AN$250-BX250)</f>
        <v>46623.681802686115</v>
      </c>
      <c r="BY251" s="313"/>
      <c r="BZ251" s="314"/>
      <c r="CA251" s="314"/>
      <c r="CB251" s="313"/>
      <c r="CC251" s="313"/>
      <c r="CD251" s="551">
        <f>IF(CD222=0,0,$AN$250-CD250)</f>
        <v>49204.456225340531</v>
      </c>
      <c r="CE251" s="313"/>
      <c r="CF251" s="314"/>
      <c r="CG251" s="314"/>
      <c r="CH251" s="313"/>
      <c r="CI251" s="313"/>
      <c r="CJ251" s="551">
        <f>IF(CJ222=0,0,$AN$250-CJ250)</f>
        <v>51785.230647994962</v>
      </c>
      <c r="CK251" s="313"/>
      <c r="CL251" s="314"/>
      <c r="CM251" s="314"/>
      <c r="CN251" s="313"/>
      <c r="CO251" s="313"/>
      <c r="CP251" s="551">
        <f>IF(CP222=0,0,$AN$250-CP250)</f>
        <v>54366.005070649393</v>
      </c>
      <c r="CQ251" s="554"/>
      <c r="CR251" s="553"/>
      <c r="CS251" s="553"/>
      <c r="CT251" s="554"/>
      <c r="CU251" s="554"/>
      <c r="CV251" s="551">
        <f>IF(CV222=0,0,$AN$250-CV250)</f>
        <v>54366.005070649393</v>
      </c>
      <c r="CW251" s="554"/>
      <c r="CX251" s="553"/>
      <c r="CY251" s="553"/>
      <c r="CZ251" s="554"/>
      <c r="DA251" s="554"/>
      <c r="DB251" s="551">
        <f>IF(DB222=0,0,$AN$250-DB250)</f>
        <v>54366.005070649393</v>
      </c>
      <c r="DC251" s="313"/>
      <c r="DD251" s="314"/>
      <c r="DE251" s="314"/>
      <c r="DF251" s="313"/>
      <c r="DG251" s="313"/>
      <c r="DH251" s="551">
        <f>IF(DH222=0,0,$AN$250-DH250)</f>
        <v>54366.005070649393</v>
      </c>
      <c r="DI251" s="313"/>
      <c r="DJ251" s="314"/>
      <c r="DK251" s="314"/>
      <c r="DL251" s="313"/>
      <c r="DM251" s="313"/>
      <c r="DN251" s="551">
        <f>IF(DN222=0,0,$AN$250-DN250)</f>
        <v>54366.005070649393</v>
      </c>
      <c r="DO251" s="313"/>
      <c r="DP251" s="314"/>
      <c r="DQ251" s="314"/>
      <c r="DR251" s="313"/>
      <c r="DS251" s="313"/>
      <c r="DT251" s="551">
        <f>IF(DT222=0,0,$AN$250-DT250)</f>
        <v>62108.328338612679</v>
      </c>
      <c r="DU251" s="313"/>
      <c r="DV251" s="314"/>
      <c r="DW251" s="314"/>
      <c r="DX251" s="313"/>
      <c r="DY251" s="313"/>
      <c r="DZ251" s="551">
        <f>IF(DZ222=0,0,$AN$250-DZ250)</f>
        <v>62108.328338612679</v>
      </c>
      <c r="EA251" s="313"/>
      <c r="EB251" s="314"/>
      <c r="EC251" s="314"/>
      <c r="ED251" s="313"/>
      <c r="EE251" s="313"/>
      <c r="EF251" s="551">
        <f>IF(EF222=0,0,$AN$250-EF250)</f>
        <v>62108.328338612679</v>
      </c>
      <c r="EG251" s="313"/>
      <c r="EH251" s="314"/>
      <c r="EI251" s="314"/>
      <c r="EJ251" s="313"/>
      <c r="EK251" s="313"/>
      <c r="EL251" s="551">
        <f>IF(EL222=0,0,$AN$250-EL250)</f>
        <v>62108.328338612679</v>
      </c>
      <c r="EM251" s="313"/>
      <c r="EN251" s="314"/>
      <c r="EO251" s="314"/>
      <c r="EP251" s="313"/>
      <c r="EQ251" s="313"/>
      <c r="ER251" s="551">
        <f>IF(ER222=0,0,$AN$250-ER250)</f>
        <v>62108.328338612679</v>
      </c>
      <c r="ES251" s="313"/>
      <c r="ET251" s="314"/>
      <c r="EU251" s="314"/>
      <c r="EV251" s="313"/>
      <c r="EW251" s="313"/>
      <c r="EX251" s="551">
        <f>IF(EX222=0,0,$AN$250-EX250)</f>
        <v>62108.328338612679</v>
      </c>
      <c r="EY251" s="313"/>
      <c r="EZ251" s="314"/>
      <c r="FA251" s="314"/>
      <c r="FB251" s="313"/>
      <c r="FC251" s="313"/>
      <c r="FD251" s="551">
        <f>IF(FD222=0,0,$AN$250-FD250)</f>
        <v>62108.328338612679</v>
      </c>
      <c r="FE251" s="313"/>
      <c r="FF251" s="314"/>
      <c r="FG251" s="314"/>
      <c r="FH251" s="313"/>
      <c r="FI251" s="313"/>
      <c r="FJ251" s="551">
        <f>IF(FJ222=0,0,$AN$250-FJ250)</f>
        <v>62108.328338612679</v>
      </c>
      <c r="FK251" s="313"/>
      <c r="FL251" s="314"/>
      <c r="FM251" s="314"/>
      <c r="FN251" s="313"/>
      <c r="FO251" s="313"/>
      <c r="FP251" s="551">
        <f>IF(FP222=0,0,$AN$250-FP250)</f>
        <v>62108.328338612679</v>
      </c>
      <c r="FQ251" s="313"/>
      <c r="FR251" s="314"/>
      <c r="FS251" s="314"/>
      <c r="FT251" s="313"/>
      <c r="FU251" s="313"/>
      <c r="FV251" s="551">
        <f>IF(FV222=0,0,$AN$250-FV250)</f>
        <v>62108.328338612679</v>
      </c>
      <c r="FW251" s="313"/>
      <c r="FX251" s="314"/>
      <c r="FY251" s="314"/>
      <c r="FZ251" s="313"/>
      <c r="GA251" s="313"/>
      <c r="GB251" s="551">
        <f>IF(GB222=0,0,$AN$250-GB250)</f>
        <v>62108.328338612679</v>
      </c>
      <c r="GC251" s="313"/>
      <c r="GD251" s="314"/>
      <c r="GE251" s="314"/>
      <c r="GF251" s="313"/>
      <c r="GG251" s="313"/>
      <c r="GH251" s="551">
        <f>IF(GH222=0,0,$AN$250-GH250)</f>
        <v>62108.328338612679</v>
      </c>
      <c r="GI251" s="313"/>
      <c r="GJ251" s="314"/>
      <c r="GK251" s="314"/>
      <c r="GL251" s="313"/>
      <c r="GM251" s="313"/>
      <c r="GN251" s="551">
        <f>IF(GN222=0,0,$AN$250-GN250)</f>
        <v>62108.328338612679</v>
      </c>
      <c r="GO251" s="313"/>
      <c r="GP251" s="314"/>
      <c r="GQ251" s="314"/>
      <c r="GR251" s="313"/>
      <c r="GS251" s="313"/>
      <c r="GT251" s="551">
        <f>IF(GT222=0,0,$AN$250-GT250)</f>
        <v>62108.328338612679</v>
      </c>
      <c r="GU251" s="313"/>
      <c r="GV251" s="314"/>
      <c r="GW251" s="314"/>
      <c r="GX251" s="313"/>
      <c r="GY251" s="313"/>
      <c r="GZ251" s="555">
        <f>IF(GZ222=0,0,$AN$250-GZ250)</f>
        <v>62108.328338612679</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166.97143599999998</v>
      </c>
      <c r="V253" s="541">
        <f>(V229*CO2factorElektriciteit+V232*CO2factorAardgas+(V235-V242)*CO2factorWarmte)/1000</f>
        <v>166.97143599999998</v>
      </c>
      <c r="W253" s="542"/>
      <c r="X253" s="543"/>
      <c r="Y253" s="543"/>
      <c r="Z253" s="542"/>
      <c r="AA253" s="542"/>
      <c r="AB253" s="541">
        <f>(AB229*CO2factorElektriciteit+AB232*CO2factorAardgas+(AB235-AB242)*CO2factorWarmte)/1000</f>
        <v>166.97143599999998</v>
      </c>
      <c r="AC253" s="542"/>
      <c r="AD253" s="543"/>
      <c r="AE253" s="543"/>
      <c r="AF253" s="542"/>
      <c r="AG253" s="542"/>
      <c r="AH253" s="541">
        <f>(AH229*CO2factorElektriciteit+AH232*CO2factorAardgas+(AH235-AH242)*CO2factorWarmte)/1000</f>
        <v>166.97143599999998</v>
      </c>
      <c r="AI253" s="542"/>
      <c r="AJ253" s="543"/>
      <c r="AK253" s="543"/>
      <c r="AL253" s="542"/>
      <c r="AM253" s="542"/>
      <c r="AN253" s="541">
        <f>(AN229*CO2factorElektriciteit+AN232*CO2factorAardgas+(AN235-AN242)*CO2factorWarmte)/1000</f>
        <v>166.97143599999998</v>
      </c>
      <c r="AO253" s="560"/>
      <c r="AP253" s="561"/>
      <c r="AQ253" s="561"/>
      <c r="AR253" s="560"/>
      <c r="AS253" s="560"/>
      <c r="AT253" s="642">
        <f>(AT229*CO2factorElektriciteit+AT232*CO2factorAardgas+(AT235-AT242)*CO2factorWarmte)/1000</f>
        <v>166.97143599999998</v>
      </c>
      <c r="AU253" s="542"/>
      <c r="AV253" s="543"/>
      <c r="AW253" s="543"/>
      <c r="AX253" s="542"/>
      <c r="AY253" s="542"/>
      <c r="AZ253" s="541">
        <f>(AZ229*CO2factorElektriciteit+AZ232*CO2factorAardgas+(AZ235-AZ242)*CO2factorWarmte)/1000</f>
        <v>140.25915718054424</v>
      </c>
      <c r="BA253" s="311"/>
      <c r="BB253" s="312"/>
      <c r="BC253" s="312"/>
      <c r="BD253" s="311"/>
      <c r="BE253" s="311"/>
      <c r="BF253" s="541">
        <f>(BF229*CO2factorElektriciteit+BF232*CO2factorAardgas+(BF235-BF242)*CO2factorWarmte)/1000</f>
        <v>96.045941916732119</v>
      </c>
      <c r="BG253" s="311"/>
      <c r="BH253" s="312"/>
      <c r="BI253" s="312"/>
      <c r="BJ253" s="311"/>
      <c r="BK253" s="311"/>
      <c r="BL253" s="541">
        <f>(BL229*CO2factorElektriciteit+BL232*CO2factorAardgas+(BL235-BL242)*CO2factorWarmte)/1000</f>
        <v>93.582645632920062</v>
      </c>
      <c r="BM253" s="311"/>
      <c r="BN253" s="312"/>
      <c r="BO253" s="312"/>
      <c r="BP253" s="311"/>
      <c r="BQ253" s="311"/>
      <c r="BR253" s="541">
        <f>(BR229*CO2factorElektriciteit+BR232*CO2factorAardgas+(BR235-BR242)*CO2factorWarmte)/1000</f>
        <v>91.119349349107978</v>
      </c>
      <c r="BS253" s="542"/>
      <c r="BT253" s="543"/>
      <c r="BU253" s="543"/>
      <c r="BV253" s="542"/>
      <c r="BW253" s="542"/>
      <c r="BX253" s="541">
        <f>(BX229*CO2factorElektriciteit+BX232*CO2factorAardgas+(BX235-BX242)*CO2factorWarmte)/1000</f>
        <v>88.656053065295907</v>
      </c>
      <c r="BY253" s="311"/>
      <c r="BZ253" s="312"/>
      <c r="CA253" s="312"/>
      <c r="CB253" s="311"/>
      <c r="CC253" s="311"/>
      <c r="CD253" s="541">
        <f>(CD229*CO2factorElektriciteit+CD232*CO2factorAardgas+(CD235-CD242)*CO2factorWarmte)/1000</f>
        <v>86.192756781483837</v>
      </c>
      <c r="CE253" s="311"/>
      <c r="CF253" s="312"/>
      <c r="CG253" s="312"/>
      <c r="CH253" s="311"/>
      <c r="CI253" s="311"/>
      <c r="CJ253" s="541">
        <f>(CJ229*CO2factorElektriciteit+CJ232*CO2factorAardgas+(CJ235-CJ242)*CO2factorWarmte)/1000</f>
        <v>83.729460497671766</v>
      </c>
      <c r="CK253" s="311"/>
      <c r="CL253" s="312"/>
      <c r="CM253" s="312"/>
      <c r="CN253" s="311"/>
      <c r="CO253" s="311"/>
      <c r="CP253" s="541">
        <f>(CP229*CO2factorElektriciteit+CP232*CO2factorAardgas+(CP235-CP242)*CO2factorWarmte)/1000</f>
        <v>81.26616421385971</v>
      </c>
      <c r="CQ253" s="544"/>
      <c r="CR253" s="543"/>
      <c r="CS253" s="543"/>
      <c r="CT253" s="544"/>
      <c r="CU253" s="544"/>
      <c r="CV253" s="541">
        <f>(CV229*CO2factorElektriciteit+CV232*CO2factorAardgas+(CV235-CV242)*CO2factorWarmte)/1000</f>
        <v>81.26616421385971</v>
      </c>
      <c r="CW253" s="544"/>
      <c r="CX253" s="543"/>
      <c r="CY253" s="543"/>
      <c r="CZ253" s="544"/>
      <c r="DA253" s="544"/>
      <c r="DB253" s="541">
        <f>(DB229*CO2factorElektriciteit+DB232*CO2factorAardgas+(DB235-DB242)*CO2factorWarmte)/1000</f>
        <v>81.26616421385971</v>
      </c>
      <c r="DC253" s="311"/>
      <c r="DD253" s="312"/>
      <c r="DE253" s="312"/>
      <c r="DF253" s="311"/>
      <c r="DG253" s="311"/>
      <c r="DH253" s="541">
        <f>(DH229*CO2factorElektriciteit+DH232*CO2factorAardgas+(DH235-DH242)*CO2factorWarmte)/1000</f>
        <v>81.26616421385971</v>
      </c>
      <c r="DI253" s="311"/>
      <c r="DJ253" s="312"/>
      <c r="DK253" s="312"/>
      <c r="DL253" s="311"/>
      <c r="DM253" s="311"/>
      <c r="DN253" s="541">
        <f>(DN229*CO2factorElektriciteit+DN232*CO2factorAardgas+(DN235-DN242)*CO2factorWarmte)/1000</f>
        <v>81.26616421385971</v>
      </c>
      <c r="DO253" s="311"/>
      <c r="DP253" s="312"/>
      <c r="DQ253" s="312"/>
      <c r="DR253" s="311"/>
      <c r="DS253" s="311"/>
      <c r="DT253" s="541">
        <f>(DT229*CO2factorElektriciteit+DT232*CO2factorAardgas+(DT235-DT242)*CO2factorWarmte)/1000</f>
        <v>73.876275362423485</v>
      </c>
      <c r="DU253" s="311"/>
      <c r="DV253" s="312"/>
      <c r="DW253" s="312"/>
      <c r="DX253" s="311"/>
      <c r="DY253" s="311"/>
      <c r="DZ253" s="541">
        <f>(DZ229*CO2factorElektriciteit+DZ232*CO2factorAardgas+(DZ235-DZ242)*CO2factorWarmte)/1000</f>
        <v>73.876275362423485</v>
      </c>
      <c r="EA253" s="311"/>
      <c r="EB253" s="312"/>
      <c r="EC253" s="312"/>
      <c r="ED253" s="311"/>
      <c r="EE253" s="311"/>
      <c r="EF253" s="541">
        <f>(EF229*CO2factorElektriciteit+EF232*CO2factorAardgas+(EF235-EF242)*CO2factorWarmte)/1000</f>
        <v>73.876275362423485</v>
      </c>
      <c r="EG253" s="311"/>
      <c r="EH253" s="312"/>
      <c r="EI253" s="312"/>
      <c r="EJ253" s="311"/>
      <c r="EK253" s="311"/>
      <c r="EL253" s="541">
        <f>(EL229*CO2factorElektriciteit+EL232*CO2factorAardgas+(EL235-EL242)*CO2factorWarmte)/1000</f>
        <v>73.876275362423485</v>
      </c>
      <c r="EM253" s="311"/>
      <c r="EN253" s="312"/>
      <c r="EO253" s="312"/>
      <c r="EP253" s="311"/>
      <c r="EQ253" s="311"/>
      <c r="ER253" s="541">
        <f>(ER229*CO2factorElektriciteit+ER232*CO2factorAardgas+(ER235-ER242)*CO2factorWarmte)/1000</f>
        <v>73.876275362423485</v>
      </c>
      <c r="ES253" s="311"/>
      <c r="ET253" s="312"/>
      <c r="EU253" s="312"/>
      <c r="EV253" s="311"/>
      <c r="EW253" s="311"/>
      <c r="EX253" s="541">
        <f>(EX229*CO2factorElektriciteit+EX232*CO2factorAardgas+(EX235-EX242)*CO2factorWarmte)/1000</f>
        <v>73.876275362423485</v>
      </c>
      <c r="EY253" s="311"/>
      <c r="EZ253" s="312"/>
      <c r="FA253" s="312"/>
      <c r="FB253" s="311"/>
      <c r="FC253" s="311"/>
      <c r="FD253" s="541">
        <f>(FD229*CO2factorElektriciteit+FD232*CO2factorAardgas+(FD235-FD242)*CO2factorWarmte)/1000</f>
        <v>73.876275362423485</v>
      </c>
      <c r="FE253" s="311"/>
      <c r="FF253" s="312"/>
      <c r="FG253" s="312"/>
      <c r="FH253" s="311"/>
      <c r="FI253" s="311"/>
      <c r="FJ253" s="541">
        <f>(FJ229*CO2factorElektriciteit+FJ232*CO2factorAardgas+(FJ235-FJ242)*CO2factorWarmte)/1000</f>
        <v>73.876275362423485</v>
      </c>
      <c r="FK253" s="311"/>
      <c r="FL253" s="312"/>
      <c r="FM253" s="312"/>
      <c r="FN253" s="311"/>
      <c r="FO253" s="311"/>
      <c r="FP253" s="541">
        <f>(FP229*CO2factorElektriciteit+FP232*CO2factorAardgas+(FP235-FP242)*CO2factorWarmte)/1000</f>
        <v>73.876275362423485</v>
      </c>
      <c r="FQ253" s="311"/>
      <c r="FR253" s="312"/>
      <c r="FS253" s="312"/>
      <c r="FT253" s="311"/>
      <c r="FU253" s="311"/>
      <c r="FV253" s="541">
        <f>(FV229*CO2factorElektriciteit+FV232*CO2factorAardgas+(FV235-FV242)*CO2factorWarmte)/1000</f>
        <v>73.876275362423485</v>
      </c>
      <c r="FW253" s="311"/>
      <c r="FX253" s="312"/>
      <c r="FY253" s="312"/>
      <c r="FZ253" s="311"/>
      <c r="GA253" s="311"/>
      <c r="GB253" s="541">
        <f>(GB229*CO2factorElektriciteit+GB232*CO2factorAardgas+(GB235-GB242)*CO2factorWarmte)/1000</f>
        <v>73.876275362423485</v>
      </c>
      <c r="GC253" s="311"/>
      <c r="GD253" s="312"/>
      <c r="GE253" s="312"/>
      <c r="GF253" s="311"/>
      <c r="GG253" s="311"/>
      <c r="GH253" s="541">
        <f>(GH229*CO2factorElektriciteit+GH232*CO2factorAardgas+(GH235-GH242)*CO2factorWarmte)/1000</f>
        <v>73.876275362423485</v>
      </c>
      <c r="GI253" s="311"/>
      <c r="GJ253" s="312"/>
      <c r="GK253" s="312"/>
      <c r="GL253" s="311"/>
      <c r="GM253" s="311"/>
      <c r="GN253" s="541">
        <f>(GN229*CO2factorElektriciteit+GN232*CO2factorAardgas+(GN235-GN242)*CO2factorWarmte)/1000</f>
        <v>73.876275362423485</v>
      </c>
      <c r="GO253" s="311"/>
      <c r="GP253" s="312"/>
      <c r="GQ253" s="312"/>
      <c r="GR253" s="311"/>
      <c r="GS253" s="311"/>
      <c r="GT253" s="541">
        <f>(GT229*CO2factorElektriciteit+GT232*CO2factorAardgas+(GT235-GT242)*CO2factorWarmte)/1000</f>
        <v>73.876275362423485</v>
      </c>
      <c r="GU253" s="311"/>
      <c r="GV253" s="312"/>
      <c r="GW253" s="312"/>
      <c r="GX253" s="311"/>
      <c r="GY253" s="311"/>
      <c r="GZ253" s="545">
        <f>(GZ229*CO2factorElektriciteit+GZ232*CO2factorAardgas+(GZ235-GZ242)*CO2factorWarmte)/1000</f>
        <v>73.876275362423485</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52.970482462819142</v>
      </c>
      <c r="V254" s="634">
        <f>IF(V222=0,0,(V253*1000)/V222)</f>
        <v>52.970482462819142</v>
      </c>
      <c r="W254" s="574"/>
      <c r="X254" s="575"/>
      <c r="Y254" s="575"/>
      <c r="Z254" s="574"/>
      <c r="AA254" s="574"/>
      <c r="AB254" s="634">
        <f>IF(AB222=0,0,(AB253*1000)/AB222)</f>
        <v>52.970482462819142</v>
      </c>
      <c r="AC254" s="315"/>
      <c r="AD254" s="316"/>
      <c r="AE254" s="316"/>
      <c r="AF254" s="315"/>
      <c r="AG254" s="315"/>
      <c r="AH254" s="634">
        <f>IF(AH222=0,0,(AH253*1000)/AH222)</f>
        <v>52.970482462819142</v>
      </c>
      <c r="AI254" s="574"/>
      <c r="AJ254" s="575"/>
      <c r="AK254" s="575"/>
      <c r="AL254" s="574"/>
      <c r="AM254" s="574"/>
      <c r="AN254" s="634">
        <f>IF(AN222=0,0,(AN253*1000)/AN222)</f>
        <v>52.970482462819142</v>
      </c>
      <c r="AO254" s="439"/>
      <c r="AP254" s="530"/>
      <c r="AQ254" s="530"/>
      <c r="AR254" s="439"/>
      <c r="AS254" s="439"/>
      <c r="AT254" s="633">
        <f>IF(AT222=0,0,(AT253*1000)/AT222)</f>
        <v>52.970482462819142</v>
      </c>
      <c r="AU254" s="315"/>
      <c r="AV254" s="316"/>
      <c r="AW254" s="316"/>
      <c r="AX254" s="315"/>
      <c r="AY254" s="315"/>
      <c r="AZ254" s="634">
        <f>IF(AZ222=0,0,(AZ253*1000)/AZ222)</f>
        <v>44.496204881904546</v>
      </c>
      <c r="BA254" s="315"/>
      <c r="BB254" s="316"/>
      <c r="BC254" s="316"/>
      <c r="BD254" s="315"/>
      <c r="BE254" s="315"/>
      <c r="BF254" s="634">
        <f>IF(BF222=0,0,(BF253*1000)/BF222)</f>
        <v>30.469881578578537</v>
      </c>
      <c r="BG254" s="315"/>
      <c r="BH254" s="316"/>
      <c r="BI254" s="316"/>
      <c r="BJ254" s="315"/>
      <c r="BK254" s="315"/>
      <c r="BL254" s="634">
        <f>IF(BL222=0,0,(BL253*1000)/BL222)</f>
        <v>29.688418618636131</v>
      </c>
      <c r="BM254" s="315"/>
      <c r="BN254" s="316"/>
      <c r="BO254" s="316"/>
      <c r="BP254" s="315"/>
      <c r="BQ254" s="315"/>
      <c r="BR254" s="634">
        <f>IF(BR222=0,0,(BR253*1000)/BR222)</f>
        <v>28.906955658693715</v>
      </c>
      <c r="BS254" s="315"/>
      <c r="BT254" s="316"/>
      <c r="BU254" s="316"/>
      <c r="BV254" s="315"/>
      <c r="BW254" s="315"/>
      <c r="BX254" s="634">
        <f>IF(BX222=0,0,(BX253*1000)/BX222)</f>
        <v>28.125492698751305</v>
      </c>
      <c r="BY254" s="315"/>
      <c r="BZ254" s="316"/>
      <c r="CA254" s="316"/>
      <c r="CB254" s="315"/>
      <c r="CC254" s="315"/>
      <c r="CD254" s="634">
        <f>IF(CD222=0,0,(CD253*1000)/CD222)</f>
        <v>27.344029738808896</v>
      </c>
      <c r="CE254" s="315"/>
      <c r="CF254" s="316"/>
      <c r="CG254" s="316"/>
      <c r="CH254" s="315"/>
      <c r="CI254" s="315"/>
      <c r="CJ254" s="634">
        <f>IF(CJ222=0,0,(CJ253*1000)/CJ222)</f>
        <v>26.562566778866483</v>
      </c>
      <c r="CK254" s="315"/>
      <c r="CL254" s="316"/>
      <c r="CM254" s="316"/>
      <c r="CN254" s="315"/>
      <c r="CO254" s="315"/>
      <c r="CP254" s="634">
        <f>IF(CP222=0,0,(CP253*1000)/CP222)</f>
        <v>25.781103818924077</v>
      </c>
      <c r="CQ254" s="315"/>
      <c r="CR254" s="316"/>
      <c r="CS254" s="316"/>
      <c r="CT254" s="315"/>
      <c r="CU254" s="315"/>
      <c r="CV254" s="634">
        <f>IF(CV222=0,0,(CV253*1000)/CV222)</f>
        <v>25.781103818924077</v>
      </c>
      <c r="CW254" s="577"/>
      <c r="CX254" s="575"/>
      <c r="CY254" s="575"/>
      <c r="CZ254" s="577"/>
      <c r="DA254" s="577"/>
      <c r="DB254" s="634">
        <f>IF(DB222=0,0,(DB253*1000)/DB222)</f>
        <v>25.781103818924077</v>
      </c>
      <c r="DC254" s="315"/>
      <c r="DD254" s="316"/>
      <c r="DE254" s="316"/>
      <c r="DF254" s="315"/>
      <c r="DG254" s="315"/>
      <c r="DH254" s="634">
        <f>IF(DH222=0,0,(DH253*1000)/DH222)</f>
        <v>25.781103818924077</v>
      </c>
      <c r="DI254" s="315"/>
      <c r="DJ254" s="316"/>
      <c r="DK254" s="316"/>
      <c r="DL254" s="315"/>
      <c r="DM254" s="315"/>
      <c r="DN254" s="634">
        <f>IF(DN222=0,0,(DN253*1000)/DN222)</f>
        <v>25.781103818924077</v>
      </c>
      <c r="DO254" s="315"/>
      <c r="DP254" s="316"/>
      <c r="DQ254" s="316"/>
      <c r="DR254" s="315"/>
      <c r="DS254" s="315"/>
      <c r="DT254" s="634">
        <f>IF(DT222=0,0,(DT253*1000)/DT222)</f>
        <v>23.436714939096838</v>
      </c>
      <c r="DU254" s="315"/>
      <c r="DV254" s="316"/>
      <c r="DW254" s="316"/>
      <c r="DX254" s="315"/>
      <c r="DY254" s="315"/>
      <c r="DZ254" s="634">
        <f>IF(DZ222=0,0,(DZ253*1000)/DZ222)</f>
        <v>23.436714939096838</v>
      </c>
      <c r="EA254" s="315"/>
      <c r="EB254" s="316"/>
      <c r="EC254" s="316"/>
      <c r="ED254" s="315"/>
      <c r="EE254" s="315"/>
      <c r="EF254" s="634">
        <f>IF(EF222=0,0,(EF253*1000)/EF222)</f>
        <v>23.436714939096838</v>
      </c>
      <c r="EG254" s="315"/>
      <c r="EH254" s="316"/>
      <c r="EI254" s="316"/>
      <c r="EJ254" s="315"/>
      <c r="EK254" s="315"/>
      <c r="EL254" s="634">
        <f>IF(EL222=0,0,(EL253*1000)/EL222)</f>
        <v>23.436714939096838</v>
      </c>
      <c r="EM254" s="315"/>
      <c r="EN254" s="316"/>
      <c r="EO254" s="316"/>
      <c r="EP254" s="315"/>
      <c r="EQ254" s="315"/>
      <c r="ER254" s="634">
        <f>IF(ER222=0,0,(ER253*1000)/ER222)</f>
        <v>23.436714939096838</v>
      </c>
      <c r="ES254" s="315"/>
      <c r="ET254" s="316"/>
      <c r="EU254" s="316"/>
      <c r="EV254" s="315"/>
      <c r="EW254" s="315"/>
      <c r="EX254" s="634">
        <f>IF(EX222=0,0,(EX253*1000)/EX222)</f>
        <v>23.436714939096838</v>
      </c>
      <c r="EY254" s="315"/>
      <c r="EZ254" s="316"/>
      <c r="FA254" s="316"/>
      <c r="FB254" s="315"/>
      <c r="FC254" s="315"/>
      <c r="FD254" s="634">
        <f>IF(FD222=0,0,(FD253*1000)/FD222)</f>
        <v>23.436714939096838</v>
      </c>
      <c r="FE254" s="315"/>
      <c r="FF254" s="316"/>
      <c r="FG254" s="316"/>
      <c r="FH254" s="315"/>
      <c r="FI254" s="315"/>
      <c r="FJ254" s="634">
        <f>IF(FJ222=0,0,(FJ253*1000)/FJ222)</f>
        <v>23.436714939096838</v>
      </c>
      <c r="FK254" s="315"/>
      <c r="FL254" s="316"/>
      <c r="FM254" s="316"/>
      <c r="FN254" s="315"/>
      <c r="FO254" s="315"/>
      <c r="FP254" s="634">
        <f>IF(FP222=0,0,(FP253*1000)/FP222)</f>
        <v>23.436714939096838</v>
      </c>
      <c r="FQ254" s="315"/>
      <c r="FR254" s="316"/>
      <c r="FS254" s="316"/>
      <c r="FT254" s="315"/>
      <c r="FU254" s="315"/>
      <c r="FV254" s="634">
        <f>IF(FV222=0,0,(FV253*1000)/FV222)</f>
        <v>23.436714939096838</v>
      </c>
      <c r="FW254" s="315"/>
      <c r="FX254" s="316"/>
      <c r="FY254" s="316"/>
      <c r="FZ254" s="315"/>
      <c r="GA254" s="315"/>
      <c r="GB254" s="634">
        <f>IF(GB222=0,0,(GB253*1000)/GB222)</f>
        <v>23.436714939096838</v>
      </c>
      <c r="GC254" s="315"/>
      <c r="GD254" s="316"/>
      <c r="GE254" s="316"/>
      <c r="GF254" s="315"/>
      <c r="GG254" s="315"/>
      <c r="GH254" s="634">
        <f>IF(GH222=0,0,(GH253*1000)/GH222)</f>
        <v>23.436714939096838</v>
      </c>
      <c r="GI254" s="315"/>
      <c r="GJ254" s="316"/>
      <c r="GK254" s="316"/>
      <c r="GL254" s="315"/>
      <c r="GM254" s="315"/>
      <c r="GN254" s="634">
        <f>IF(GN222=0,0,(GN253*1000)/GN222)</f>
        <v>23.436714939096838</v>
      </c>
      <c r="GO254" s="315"/>
      <c r="GP254" s="316"/>
      <c r="GQ254" s="316"/>
      <c r="GR254" s="315"/>
      <c r="GS254" s="315"/>
      <c r="GT254" s="634">
        <f>IF(GT222=0,0,(GT253*1000)/GT222)</f>
        <v>23.436714939096838</v>
      </c>
      <c r="GU254" s="315"/>
      <c r="GV254" s="316"/>
      <c r="GW254" s="316"/>
      <c r="GX254" s="315"/>
      <c r="GY254" s="315"/>
      <c r="GZ254" s="666">
        <f>IF(GZ222=0,0,(GZ253*1000)/GZ222)</f>
        <v>23.436714939096838</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0</v>
      </c>
      <c r="W255" s="668">
        <f t="shared" si="290"/>
        <v>0</v>
      </c>
      <c r="X255" s="668">
        <f t="shared" si="290"/>
        <v>0</v>
      </c>
      <c r="Y255" s="668">
        <f t="shared" si="290"/>
        <v>0</v>
      </c>
      <c r="Z255" s="668">
        <f t="shared" si="290"/>
        <v>0</v>
      </c>
      <c r="AA255" s="668">
        <f t="shared" si="290"/>
        <v>0</v>
      </c>
      <c r="AB255" s="668">
        <f t="shared" si="290"/>
        <v>0</v>
      </c>
      <c r="AC255" s="668">
        <f t="shared" si="290"/>
        <v>0</v>
      </c>
      <c r="AD255" s="668">
        <f t="shared" si="290"/>
        <v>0</v>
      </c>
      <c r="AE255" s="668">
        <f t="shared" si="290"/>
        <v>0</v>
      </c>
      <c r="AF255" s="668">
        <f t="shared" si="290"/>
        <v>0</v>
      </c>
      <c r="AG255" s="668">
        <f t="shared" si="290"/>
        <v>0</v>
      </c>
      <c r="AH255" s="668">
        <f t="shared" si="290"/>
        <v>0</v>
      </c>
      <c r="AI255" s="668">
        <f t="shared" si="290"/>
        <v>0</v>
      </c>
      <c r="AJ255" s="668">
        <f t="shared" si="290"/>
        <v>0</v>
      </c>
      <c r="AK255" s="668">
        <f t="shared" si="290"/>
        <v>0</v>
      </c>
      <c r="AL255" s="668">
        <f t="shared" si="290"/>
        <v>0</v>
      </c>
      <c r="AM255" s="668">
        <f t="shared" si="290"/>
        <v>0</v>
      </c>
      <c r="AN255" s="668">
        <f t="shared" si="290"/>
        <v>0</v>
      </c>
      <c r="AO255" s="668">
        <f t="shared" si="290"/>
        <v>0</v>
      </c>
      <c r="AP255" s="668">
        <f t="shared" si="290"/>
        <v>0</v>
      </c>
      <c r="AQ255" s="668">
        <f t="shared" si="290"/>
        <v>0</v>
      </c>
      <c r="AR255" s="668">
        <f t="shared" si="290"/>
        <v>0</v>
      </c>
      <c r="AS255" s="668">
        <f t="shared" si="290"/>
        <v>0</v>
      </c>
      <c r="AT255" s="668">
        <f t="shared" si="290"/>
        <v>0</v>
      </c>
      <c r="AU255" s="668">
        <f t="shared" si="290"/>
        <v>0</v>
      </c>
      <c r="AV255" s="668">
        <f t="shared" si="290"/>
        <v>0</v>
      </c>
      <c r="AW255" s="668">
        <f t="shared" si="290"/>
        <v>0</v>
      </c>
      <c r="AX255" s="668">
        <f t="shared" si="290"/>
        <v>0</v>
      </c>
      <c r="AY255" s="668">
        <f t="shared" si="290"/>
        <v>0</v>
      </c>
      <c r="AZ255" s="668">
        <f t="shared" si="290"/>
        <v>-0.15998112886479432</v>
      </c>
      <c r="BA255" s="668">
        <f t="shared" ref="BA255:CF255" si="291">IF(BA222=0,0,IF(CO2_2018=0,0,(BA253/$U$253)-1))</f>
        <v>0</v>
      </c>
      <c r="BB255" s="668">
        <f t="shared" si="291"/>
        <v>0</v>
      </c>
      <c r="BC255" s="668">
        <f t="shared" si="291"/>
        <v>0</v>
      </c>
      <c r="BD255" s="668">
        <f t="shared" si="291"/>
        <v>0</v>
      </c>
      <c r="BE255" s="668">
        <f t="shared" si="291"/>
        <v>0</v>
      </c>
      <c r="BF255" s="668">
        <f t="shared" si="291"/>
        <v>-0.42477621192206716</v>
      </c>
      <c r="BG255" s="668">
        <f t="shared" si="291"/>
        <v>0</v>
      </c>
      <c r="BH255" s="668">
        <f t="shared" si="291"/>
        <v>0</v>
      </c>
      <c r="BI255" s="668">
        <f t="shared" si="291"/>
        <v>0</v>
      </c>
      <c r="BJ255" s="668">
        <f t="shared" si="291"/>
        <v>0</v>
      </c>
      <c r="BK255" s="668">
        <f t="shared" si="291"/>
        <v>0</v>
      </c>
      <c r="BL255" s="668">
        <f t="shared" si="291"/>
        <v>-0.43952901241790798</v>
      </c>
      <c r="BM255" s="668">
        <f t="shared" si="291"/>
        <v>0</v>
      </c>
      <c r="BN255" s="668">
        <f t="shared" si="291"/>
        <v>0</v>
      </c>
      <c r="BO255" s="668">
        <f t="shared" si="291"/>
        <v>0</v>
      </c>
      <c r="BP255" s="668">
        <f t="shared" si="291"/>
        <v>0</v>
      </c>
      <c r="BQ255" s="668">
        <f t="shared" si="291"/>
        <v>0</v>
      </c>
      <c r="BR255" s="668">
        <f t="shared" si="291"/>
        <v>-0.45428181291374903</v>
      </c>
      <c r="BS255" s="668">
        <f t="shared" si="291"/>
        <v>0</v>
      </c>
      <c r="BT255" s="668">
        <f t="shared" si="291"/>
        <v>0</v>
      </c>
      <c r="BU255" s="668">
        <f t="shared" si="291"/>
        <v>0</v>
      </c>
      <c r="BV255" s="668">
        <f t="shared" si="291"/>
        <v>0</v>
      </c>
      <c r="BW255" s="668">
        <f t="shared" si="291"/>
        <v>0</v>
      </c>
      <c r="BX255" s="668">
        <f t="shared" si="291"/>
        <v>-0.46903461340958996</v>
      </c>
      <c r="BY255" s="668">
        <f t="shared" si="291"/>
        <v>0</v>
      </c>
      <c r="BZ255" s="668">
        <f t="shared" si="291"/>
        <v>0</v>
      </c>
      <c r="CA255" s="668">
        <f t="shared" si="291"/>
        <v>0</v>
      </c>
      <c r="CB255" s="668">
        <f t="shared" si="291"/>
        <v>0</v>
      </c>
      <c r="CC255" s="668">
        <f t="shared" si="291"/>
        <v>0</v>
      </c>
      <c r="CD255" s="668">
        <f t="shared" si="291"/>
        <v>-0.48378741390543079</v>
      </c>
      <c r="CE255" s="668">
        <f t="shared" si="291"/>
        <v>0</v>
      </c>
      <c r="CF255" s="668">
        <f t="shared" si="291"/>
        <v>0</v>
      </c>
      <c r="CG255" s="668">
        <f t="shared" ref="CG255:DL255" si="292">IF(CG222=0,0,IF(CO2_2018=0,0,(CG253/$U$253)-1))</f>
        <v>0</v>
      </c>
      <c r="CH255" s="668">
        <f t="shared" si="292"/>
        <v>0</v>
      </c>
      <c r="CI255" s="668">
        <f t="shared" si="292"/>
        <v>0</v>
      </c>
      <c r="CJ255" s="668">
        <f t="shared" si="292"/>
        <v>-0.49854021440127172</v>
      </c>
      <c r="CK255" s="668">
        <f t="shared" si="292"/>
        <v>0</v>
      </c>
      <c r="CL255" s="668">
        <f t="shared" si="292"/>
        <v>0</v>
      </c>
      <c r="CM255" s="668">
        <f t="shared" si="292"/>
        <v>0</v>
      </c>
      <c r="CN255" s="668">
        <f t="shared" si="292"/>
        <v>0</v>
      </c>
      <c r="CO255" s="668">
        <f t="shared" si="292"/>
        <v>0</v>
      </c>
      <c r="CP255" s="668">
        <f t="shared" si="292"/>
        <v>-0.51329301489711265</v>
      </c>
      <c r="CQ255" s="668">
        <f t="shared" si="292"/>
        <v>0</v>
      </c>
      <c r="CR255" s="668">
        <f t="shared" si="292"/>
        <v>0</v>
      </c>
      <c r="CS255" s="668">
        <f t="shared" si="292"/>
        <v>0</v>
      </c>
      <c r="CT255" s="668">
        <f t="shared" si="292"/>
        <v>0</v>
      </c>
      <c r="CU255" s="668">
        <f t="shared" si="292"/>
        <v>0</v>
      </c>
      <c r="CV255" s="668">
        <f t="shared" si="292"/>
        <v>-0.51329301489711265</v>
      </c>
      <c r="CW255" s="668">
        <f t="shared" si="292"/>
        <v>0</v>
      </c>
      <c r="CX255" s="668">
        <f t="shared" si="292"/>
        <v>0</v>
      </c>
      <c r="CY255" s="668">
        <f t="shared" si="292"/>
        <v>0</v>
      </c>
      <c r="CZ255" s="668">
        <f t="shared" si="292"/>
        <v>0</v>
      </c>
      <c r="DA255" s="668">
        <f t="shared" si="292"/>
        <v>0</v>
      </c>
      <c r="DB255" s="668">
        <f t="shared" si="292"/>
        <v>-0.51329301489711265</v>
      </c>
      <c r="DC255" s="668">
        <f t="shared" si="292"/>
        <v>0</v>
      </c>
      <c r="DD255" s="668">
        <f t="shared" si="292"/>
        <v>0</v>
      </c>
      <c r="DE255" s="668">
        <f t="shared" si="292"/>
        <v>0</v>
      </c>
      <c r="DF255" s="668">
        <f t="shared" si="292"/>
        <v>0</v>
      </c>
      <c r="DG255" s="668">
        <f t="shared" si="292"/>
        <v>0</v>
      </c>
      <c r="DH255" s="668">
        <f t="shared" si="292"/>
        <v>-0.51329301489711265</v>
      </c>
      <c r="DI255" s="668">
        <f t="shared" si="292"/>
        <v>0</v>
      </c>
      <c r="DJ255" s="668">
        <f t="shared" si="292"/>
        <v>0</v>
      </c>
      <c r="DK255" s="668">
        <f t="shared" si="292"/>
        <v>0</v>
      </c>
      <c r="DL255" s="668">
        <f t="shared" si="292"/>
        <v>0</v>
      </c>
      <c r="DM255" s="668">
        <f t="shared" ref="DM255:ER255" si="293">IF(DM222=0,0,IF(CO2_2018=0,0,(DM253/$U$253)-1))</f>
        <v>0</v>
      </c>
      <c r="DN255" s="668">
        <f t="shared" si="293"/>
        <v>-0.51329301489711265</v>
      </c>
      <c r="DO255" s="668">
        <f t="shared" si="293"/>
        <v>0</v>
      </c>
      <c r="DP255" s="668">
        <f t="shared" si="293"/>
        <v>0</v>
      </c>
      <c r="DQ255" s="668">
        <f t="shared" si="293"/>
        <v>0</v>
      </c>
      <c r="DR255" s="668">
        <f t="shared" si="293"/>
        <v>0</v>
      </c>
      <c r="DS255" s="668">
        <f t="shared" si="293"/>
        <v>0</v>
      </c>
      <c r="DT255" s="668">
        <f t="shared" si="293"/>
        <v>-0.55755141638463546</v>
      </c>
      <c r="DU255" s="668">
        <f t="shared" si="293"/>
        <v>0</v>
      </c>
      <c r="DV255" s="668">
        <f t="shared" si="293"/>
        <v>0</v>
      </c>
      <c r="DW255" s="668">
        <f t="shared" si="293"/>
        <v>0</v>
      </c>
      <c r="DX255" s="668">
        <f t="shared" si="293"/>
        <v>0</v>
      </c>
      <c r="DY255" s="668">
        <f t="shared" si="293"/>
        <v>0</v>
      </c>
      <c r="DZ255" s="668">
        <f t="shared" si="293"/>
        <v>-0.55755141638463546</v>
      </c>
      <c r="EA255" s="668">
        <f t="shared" si="293"/>
        <v>0</v>
      </c>
      <c r="EB255" s="668">
        <f t="shared" si="293"/>
        <v>0</v>
      </c>
      <c r="EC255" s="668">
        <f t="shared" si="293"/>
        <v>0</v>
      </c>
      <c r="ED255" s="668">
        <f t="shared" si="293"/>
        <v>0</v>
      </c>
      <c r="EE255" s="668">
        <f t="shared" si="293"/>
        <v>0</v>
      </c>
      <c r="EF255" s="668">
        <f t="shared" si="293"/>
        <v>-0.55755141638463546</v>
      </c>
      <c r="EG255" s="668">
        <f t="shared" si="293"/>
        <v>0</v>
      </c>
      <c r="EH255" s="668">
        <f t="shared" si="293"/>
        <v>0</v>
      </c>
      <c r="EI255" s="668">
        <f t="shared" si="293"/>
        <v>0</v>
      </c>
      <c r="EJ255" s="668">
        <f t="shared" si="293"/>
        <v>0</v>
      </c>
      <c r="EK255" s="668">
        <f t="shared" si="293"/>
        <v>0</v>
      </c>
      <c r="EL255" s="668">
        <f t="shared" si="293"/>
        <v>-0.55755141638463546</v>
      </c>
      <c r="EM255" s="668">
        <f t="shared" si="293"/>
        <v>0</v>
      </c>
      <c r="EN255" s="668">
        <f t="shared" si="293"/>
        <v>0</v>
      </c>
      <c r="EO255" s="668">
        <f t="shared" si="293"/>
        <v>0</v>
      </c>
      <c r="EP255" s="668">
        <f t="shared" si="293"/>
        <v>0</v>
      </c>
      <c r="EQ255" s="668">
        <f t="shared" si="293"/>
        <v>0</v>
      </c>
      <c r="ER255" s="668">
        <f t="shared" si="293"/>
        <v>-0.55755141638463546</v>
      </c>
      <c r="ES255" s="668">
        <f t="shared" ref="ES255:FX255" si="294">IF(ES222=0,0,IF(CO2_2018=0,0,(ES253/$U$253)-1))</f>
        <v>0</v>
      </c>
      <c r="ET255" s="668">
        <f t="shared" si="294"/>
        <v>0</v>
      </c>
      <c r="EU255" s="668">
        <f t="shared" si="294"/>
        <v>0</v>
      </c>
      <c r="EV255" s="668">
        <f t="shared" si="294"/>
        <v>0</v>
      </c>
      <c r="EW255" s="668">
        <f t="shared" si="294"/>
        <v>0</v>
      </c>
      <c r="EX255" s="668">
        <f t="shared" si="294"/>
        <v>-0.55755141638463546</v>
      </c>
      <c r="EY255" s="668">
        <f t="shared" si="294"/>
        <v>0</v>
      </c>
      <c r="EZ255" s="668">
        <f t="shared" si="294"/>
        <v>0</v>
      </c>
      <c r="FA255" s="668">
        <f t="shared" si="294"/>
        <v>0</v>
      </c>
      <c r="FB255" s="668">
        <f t="shared" si="294"/>
        <v>0</v>
      </c>
      <c r="FC255" s="668">
        <f t="shared" si="294"/>
        <v>0</v>
      </c>
      <c r="FD255" s="668">
        <f t="shared" si="294"/>
        <v>-0.55755141638463546</v>
      </c>
      <c r="FE255" s="668">
        <f t="shared" si="294"/>
        <v>0</v>
      </c>
      <c r="FF255" s="668">
        <f t="shared" si="294"/>
        <v>0</v>
      </c>
      <c r="FG255" s="668">
        <f t="shared" si="294"/>
        <v>0</v>
      </c>
      <c r="FH255" s="668">
        <f t="shared" si="294"/>
        <v>0</v>
      </c>
      <c r="FI255" s="668">
        <f t="shared" si="294"/>
        <v>0</v>
      </c>
      <c r="FJ255" s="668">
        <f t="shared" si="294"/>
        <v>-0.55755141638463546</v>
      </c>
      <c r="FK255" s="668">
        <f t="shared" si="294"/>
        <v>0</v>
      </c>
      <c r="FL255" s="668">
        <f t="shared" si="294"/>
        <v>0</v>
      </c>
      <c r="FM255" s="668">
        <f t="shared" si="294"/>
        <v>0</v>
      </c>
      <c r="FN255" s="668">
        <f t="shared" si="294"/>
        <v>0</v>
      </c>
      <c r="FO255" s="668">
        <f t="shared" si="294"/>
        <v>0</v>
      </c>
      <c r="FP255" s="668">
        <f t="shared" si="294"/>
        <v>-0.55755141638463546</v>
      </c>
      <c r="FQ255" s="668">
        <f t="shared" si="294"/>
        <v>0</v>
      </c>
      <c r="FR255" s="668">
        <f t="shared" si="294"/>
        <v>0</v>
      </c>
      <c r="FS255" s="668">
        <f t="shared" si="294"/>
        <v>0</v>
      </c>
      <c r="FT255" s="668">
        <f t="shared" si="294"/>
        <v>0</v>
      </c>
      <c r="FU255" s="668">
        <f t="shared" si="294"/>
        <v>0</v>
      </c>
      <c r="FV255" s="668">
        <f t="shared" si="294"/>
        <v>-0.55755141638463546</v>
      </c>
      <c r="FW255" s="668">
        <f t="shared" si="294"/>
        <v>0</v>
      </c>
      <c r="FX255" s="668">
        <f t="shared" si="294"/>
        <v>0</v>
      </c>
      <c r="FY255" s="668">
        <f t="shared" ref="FY255:GZ255" si="295">IF(FY222=0,0,IF(CO2_2018=0,0,(FY253/$U$253)-1))</f>
        <v>0</v>
      </c>
      <c r="FZ255" s="668">
        <f t="shared" si="295"/>
        <v>0</v>
      </c>
      <c r="GA255" s="668">
        <f t="shared" si="295"/>
        <v>0</v>
      </c>
      <c r="GB255" s="668">
        <f t="shared" si="295"/>
        <v>-0.55755141638463546</v>
      </c>
      <c r="GC255" s="668">
        <f t="shared" si="295"/>
        <v>0</v>
      </c>
      <c r="GD255" s="668">
        <f t="shared" si="295"/>
        <v>0</v>
      </c>
      <c r="GE255" s="668">
        <f t="shared" si="295"/>
        <v>0</v>
      </c>
      <c r="GF255" s="668">
        <f t="shared" si="295"/>
        <v>0</v>
      </c>
      <c r="GG255" s="668">
        <f t="shared" si="295"/>
        <v>0</v>
      </c>
      <c r="GH255" s="668">
        <f t="shared" si="295"/>
        <v>-0.55755141638463546</v>
      </c>
      <c r="GI255" s="668">
        <f t="shared" si="295"/>
        <v>0</v>
      </c>
      <c r="GJ255" s="668">
        <f t="shared" si="295"/>
        <v>0</v>
      </c>
      <c r="GK255" s="668">
        <f t="shared" si="295"/>
        <v>0</v>
      </c>
      <c r="GL255" s="668">
        <f t="shared" si="295"/>
        <v>0</v>
      </c>
      <c r="GM255" s="668">
        <f t="shared" si="295"/>
        <v>0</v>
      </c>
      <c r="GN255" s="668">
        <f t="shared" si="295"/>
        <v>-0.55755141638463546</v>
      </c>
      <c r="GO255" s="668">
        <f t="shared" si="295"/>
        <v>0</v>
      </c>
      <c r="GP255" s="668">
        <f t="shared" si="295"/>
        <v>0</v>
      </c>
      <c r="GQ255" s="668">
        <f t="shared" si="295"/>
        <v>0</v>
      </c>
      <c r="GR255" s="668">
        <f t="shared" si="295"/>
        <v>0</v>
      </c>
      <c r="GS255" s="668">
        <f t="shared" si="295"/>
        <v>0</v>
      </c>
      <c r="GT255" s="668">
        <f t="shared" si="295"/>
        <v>-0.55755141638463546</v>
      </c>
      <c r="GU255" s="668">
        <f t="shared" si="295"/>
        <v>0</v>
      </c>
      <c r="GV255" s="668">
        <f t="shared" si="295"/>
        <v>0</v>
      </c>
      <c r="GW255" s="668">
        <f t="shared" si="295"/>
        <v>0</v>
      </c>
      <c r="GX255" s="668">
        <f t="shared" si="295"/>
        <v>0</v>
      </c>
      <c r="GY255" s="668">
        <f t="shared" si="295"/>
        <v>0</v>
      </c>
      <c r="GZ255" s="668">
        <f t="shared" si="295"/>
        <v>-0.55755141638463546</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67" priority="7">
      <formula>LEN(TRIM(C12))=0</formula>
    </cfRule>
  </conditionalFormatting>
  <conditionalFormatting sqref="C15">
    <cfRule type="containsBlanks" dxfId="66" priority="6">
      <formula>LEN(TRIM(C15))=0</formula>
    </cfRule>
  </conditionalFormatting>
  <conditionalFormatting sqref="C29">
    <cfRule type="expression" dxfId="65" priority="5">
      <formula>$C$28="Ja"</formula>
    </cfRule>
  </conditionalFormatting>
  <conditionalFormatting sqref="C44:G215">
    <cfRule type="expression" dxfId="64" priority="51">
      <formula>$H44="x"</formula>
    </cfRule>
  </conditionalFormatting>
  <conditionalFormatting sqref="D29">
    <cfRule type="expression" dxfId="63" priority="14">
      <formula>$C$28="Ja"</formula>
    </cfRule>
  </conditionalFormatting>
  <conditionalFormatting sqref="D43:E43">
    <cfRule type="expression" dxfId="62" priority="72">
      <formula>$C$12&lt;K$219</formula>
    </cfRule>
  </conditionalFormatting>
  <conditionalFormatting sqref="E1">
    <cfRule type="containsText" dxfId="61" priority="52" operator="containsText" text="Let">
      <formula>NOT(ISERROR(SEARCH("Let",E1)))</formula>
    </cfRule>
  </conditionalFormatting>
  <conditionalFormatting sqref="E218:I218">
    <cfRule type="expression" dxfId="60" priority="66">
      <formula>#REF!=0</formula>
    </cfRule>
  </conditionalFormatting>
  <conditionalFormatting sqref="H42">
    <cfRule type="expression" dxfId="59" priority="71">
      <formula>$C$12&lt;L$219</formula>
    </cfRule>
  </conditionalFormatting>
  <conditionalFormatting sqref="H44:H215">
    <cfRule type="containsText" dxfId="56" priority="58" operator="containsText" text="x">
      <formula>NOT(ISERROR(SEARCH("x",H44)))</formula>
    </cfRule>
  </conditionalFormatting>
  <conditionalFormatting sqref="I42:I43">
    <cfRule type="expression" dxfId="55" priority="68">
      <formula>$C$12&lt;N$219</formula>
    </cfRule>
  </conditionalFormatting>
  <conditionalFormatting sqref="I45:GZ215">
    <cfRule type="expression" dxfId="54" priority="74">
      <formula>$H45="x"</formula>
    </cfRule>
  </conditionalFormatting>
  <conditionalFormatting sqref="I44:HE44">
    <cfRule type="expression" dxfId="53" priority="60">
      <formula>$H44="x"</formula>
    </cfRule>
  </conditionalFormatting>
  <conditionalFormatting sqref="J218">
    <cfRule type="expression" dxfId="52" priority="63">
      <formula>#REF!=0</formula>
    </cfRule>
  </conditionalFormatting>
  <conditionalFormatting sqref="K42:K43 N42:N43 P42:S43">
    <cfRule type="expression" dxfId="51" priority="67">
      <formula>$C$12&lt;#REF!</formula>
    </cfRule>
  </conditionalFormatting>
  <conditionalFormatting sqref="M42:M43 C43">
    <cfRule type="expression" dxfId="50" priority="69">
      <formula>$C$12&lt;K$219</formula>
    </cfRule>
  </conditionalFormatting>
  <conditionalFormatting sqref="O42:O43">
    <cfRule type="expression" dxfId="49" priority="70">
      <formula>$C$12&lt;Q$219</formula>
    </cfRule>
  </conditionalFormatting>
  <conditionalFormatting sqref="T44:T215">
    <cfRule type="cellIs" dxfId="48" priority="62" operator="equal">
      <formula>1</formula>
    </cfRule>
    <cfRule type="cellIs" dxfId="47" priority="73" operator="greaterThan">
      <formula>1</formula>
    </cfRule>
  </conditionalFormatting>
  <conditionalFormatting sqref="U229:V229 AB229 AH229 AN229 AT229:GZ229 U232:V232 AB232 AH232 AN232 AT232:GZ232 U235:V235 AB235 AH235 AN235 AT235:GZ235">
    <cfRule type="cellIs" dxfId="46" priority="53" operator="lessThan">
      <formula>0</formula>
    </cfRule>
  </conditionalFormatting>
  <conditionalFormatting sqref="U31:CJ33">
    <cfRule type="expression" dxfId="45" priority="3">
      <formula>YEAR(TODAY())=U$30+1</formula>
    </cfRule>
    <cfRule type="expression" dxfId="44" priority="4">
      <formula>YEAR(TODAY())&gt;U$30</formula>
    </cfRule>
  </conditionalFormatting>
  <conditionalFormatting sqref="U37:CJ37">
    <cfRule type="expression" dxfId="43" priority="1">
      <formula>YEAR(TODAY())=U$30+1</formula>
    </cfRule>
    <cfRule type="expression" dxfId="42" priority="2">
      <formula>YEAR(TODAY())&gt;U$30</formula>
    </cfRule>
  </conditionalFormatting>
  <conditionalFormatting sqref="V44:GZ215">
    <cfRule type="expression" dxfId="41" priority="11">
      <formula>V$219&lt;$C$11</formula>
    </cfRule>
    <cfRule type="expression" dxfId="40" priority="9">
      <formula>V$219&gt;$C$12</formula>
    </cfRule>
  </conditionalFormatting>
  <conditionalFormatting sqref="V44:HE44 V45:GZ215">
    <cfRule type="expression" dxfId="39" priority="8">
      <formula>YEAR(TODAY())&gt;V$42</formula>
    </cfRule>
    <cfRule type="notContainsBlanks" dxfId="38" priority="12">
      <formula>LEN(TRIM(V44))&gt;0</formula>
    </cfRule>
  </conditionalFormatting>
  <conditionalFormatting sqref="CQ36:CU37">
    <cfRule type="expression" dxfId="37" priority="54">
      <formula>YEAR(TODAY())=CQ$42</formula>
    </cfRule>
    <cfRule type="expression" dxfId="36" priority="55">
      <formula>YEAR(TODAY())&lt;CQ$42</formula>
    </cfRule>
  </conditionalFormatting>
  <conditionalFormatting sqref="HA45:HE215">
    <cfRule type="notContainsBlanks" dxfId="35" priority="16">
      <formula>LEN(TRIM(HA45))&gt;0</formula>
    </cfRule>
    <cfRule type="expression" dxfId="34" priority="17">
      <formula>$H45="x"</formula>
    </cfRule>
  </conditionalFormatting>
  <dataValidations count="27">
    <dataValidation type="whole" errorStyle="warning" operator="lessThan" showInputMessage="1" showErrorMessage="1" errorTitle="Let op!" error="U heeft deze maatregel al elders ingepland. Weet u zeker dat u deze maatregel nógmaals wilt uitvoeren? " sqref="HF46:HF66 HF218" xr:uid="{189D9C98-F36C-424C-A99F-3E94E1A0A65E}">
      <formula1>1</formula1>
    </dataValidation>
    <dataValidation type="whole" operator="notEqual" showErrorMessage="1" errorTitle="Let op!" error="U heeft deze maatregel al elders ingepland. Weet u zeker dat u deze maatregel nógmaals wilt uitvoeren? " sqref="HF43:HF45" xr:uid="{E40EAD44-33EE-4A4E-976D-BC5326C09366}">
      <formula1>1</formula1>
    </dataValidation>
    <dataValidation allowBlank="1" showInputMessage="1" showErrorMessage="1" prompt="Alleen wijzigen als dit afwijkt van de rest van de organisatie! Voor de gehele organisatie kunt u de energieprijs wijzigen in het Dashboard. " sqref="C18:C20" xr:uid="{5F7BA623-13DB-4A10-B244-FC514228D0A8}"/>
    <dataValidation allowBlank="1" sqref="U218:GY218 HA218:HE218" xr:uid="{A71622D7-2827-4A90-B834-83CD3B08D55D}"/>
    <dataValidation type="list" showInputMessage="1" showErrorMessage="1" error="Kies een jaar tussen 2018 en 2050. " prompt="Kies een jaar tussen '2018' en '2050 of later'. " sqref="C12" xr:uid="{49DABF01-5E88-4BC4-B9A5-7F6AF79A15D3}">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3AB1C6D0-6A80-48DF-92D9-78C97AB210D5}">
      <formula1>0</formula1>
    </dataValidation>
    <dataValidation type="list" showInputMessage="1" showErrorMessage="1" error="Kies een jaar tussen 2018 en 2050 of laat leeg. " sqref="C11" xr:uid="{514A55DC-09F0-4FD2-8CD7-CB57AAD24FE0}">
      <formula1>$HL$2:$HL$34</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78D271BE-85BD-4B80-BC22-48BAFEE7178B}">
      <formula1>$GZ$233&gt;0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86602A19-BCF5-41D3-BA6E-5B2BF15748F6}">
      <formula1>$HL$1</formula1>
    </dataValidation>
    <dataValidation type="decimal" operator="greaterThan" allowBlank="1" showInputMessage="1" showErrorMessage="1" errorTitle="Ongeldige invoer" error="Je probeert iets anders dan een (komma)getal in te voeren. Dat kan niet. " sqref="HA45:HE215 V45:AS215" xr:uid="{6DD6EB98-4BE6-4D0A-B0A8-06176D50FB2C}">
      <formula1>0</formula1>
    </dataValidation>
    <dataValidation type="list" showDropDown="1" showInputMessage="1" showErrorMessage="1" error="Maak een keuze tussen 'Eigendom' of 'Huur'." prompt="Maak een keuze tussen 'Eigendom' of 'Huur'." sqref="C15" xr:uid="{CB873A03-DB2E-46A8-90B9-32B7F1DD5E0E}">
      <formula1>$HK$8:$HK$9</formula1>
    </dataValidation>
    <dataValidation allowBlank="1" showInputMessage="1" showErrorMessage="1" prompt="Hier komt automatisch de beheerder die op het starttabblad genoteerd staat. Je kunt dit overschrijven. " sqref="C37" xr:uid="{E9330098-C097-4146-BA60-F5CC68433F92}"/>
    <dataValidation allowBlank="1" showInputMessage="1" showErrorMessage="1" prompt="1234AA zonder spatie" sqref="C31" xr:uid="{AB69B432-E216-4388-95C7-ACE844A3D7D8}"/>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F9DF42A2-2469-43D0-A5A1-5AB4233E0BA7}">
      <formula1>$HL$1:$HM$1</formula1>
    </dataValidation>
    <dataValidation type="textLength" operator="lessThanOrEqual" showInputMessage="1" showErrorMessage="1" error="Typ alleen het energielabel (G t/m A++++)" sqref="C16" xr:uid="{2A51DA0C-E0D6-4727-BEE4-C82E2E839D44}">
      <formula1>6</formula1>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FA2B4AD9-3948-4651-BA45-74ADD8D23FD7}">
      <formula1>0</formula1>
      <formula2>2030</formula2>
    </dataValidation>
    <dataValidation type="whole" allowBlank="1" showInputMessage="1" showErrorMessage="1" error="Vul een geheel getal in." sqref="C4:C5" xr:uid="{971B9423-3AAC-4E9B-864D-F41CC6F7BA89}">
      <formula1>0</formula1>
      <formula2>10000000</formula2>
    </dataValidation>
    <dataValidation type="list" operator="greaterThan" showDropDown="1" showInputMessage="1" showErrorMessage="1" error="Typ &quot;Ja&quot; of &quot;Nee&quot;." prompt="Kies 'Ja' of 'Nee'." sqref="C10 C28" xr:uid="{2BCF4C66-2347-43F0-AC8E-762C341D1CB9}">
      <formula1>$HL$1:$HM$1</formula1>
    </dataValidation>
    <dataValidation type="list" operator="greaterThan" showDropDown="1" showInputMessage="1" showErrorMessage="1" error=" Typ 'brons', 'zilver' of 'goud'." prompt="Maak een keuze tussen brons, zilver of goud." sqref="C29" xr:uid="{314D469D-86B0-40BC-A991-81EFA262DAEE}">
      <formula1>$HK$10:$HK$12</formula1>
    </dataValidation>
    <dataValidation allowBlank="1" showInputMessage="1" showErrorMessage="1" prompt="Dit is nodig als je de tool wilt gebruiken voor de informatieplicht. Met het e-mailadres en telefoonnummer wordt verder niets gedaan." sqref="C38:D39" xr:uid="{90E70414-F87D-4C0D-9D06-9247E296BD87}"/>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39850A0B-4126-44F2-AA8E-33446F455075}">
      <formula1>AND($GZ$229&gt;-1,$GZ$232&gt;-1,$GZ$235&gt;-1)</formula1>
    </dataValidation>
    <dataValidation allowBlank="1" showInputMessage="1" showErrorMessage="1" prompt="Vul de reductie aardgas in als je overstapt van een aardgasbron naar een duurzaam warmtenet. Laat de reductie warmte (cel R44) leeg." sqref="P44" xr:uid="{FB9F6B20-4068-4C36-A13F-296D6CB6DF5E}"/>
    <dataValidation allowBlank="1" showInputMessage="1" showErrorMessage="1" prompt="Vul de reductie warmte in als het warmtenet waarop je aangesloten zit volledig duurzaam wordt. Laat de reductie aardgas (cel P44) leeg. " sqref="R44" xr:uid="{5418DC1F-BA55-4A6D-897A-4EB326AE8297}"/>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084C2A4A-98FE-400F-BD72-B580A326B6B2}">
      <formula1>AND($GZ$229&gt;-1,$GZ$232&gt;-1,$GZ$235&gt;-1)</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CE9993DD-119F-4E03-BB1B-A81E75CD0961}">
      <formula1>$HK$3:$HK$6</formula1>
    </dataValidation>
    <dataValidation type="list" operator="equal" allowBlank="1" showDropDown="1" showInputMessage="1" showErrorMessage="1" errorTitle="Ongeldige invoer" error="Kies voor &quot;ja&quot; (direct uitvoeren) of laat de cel leeg." sqref="J44:J217" xr:uid="{FCF8E73E-FA97-4D83-ABC6-1A0DB613A3A2}">
      <formula1>$HK$7</formula1>
    </dataValidation>
    <dataValidation type="decimal" allowBlank="1" showInputMessage="1" showErrorMessage="1" sqref="C6" xr:uid="{57DBFEDA-1689-4EC0-8388-57076EF4F596}">
      <formula1>0</formula1>
      <formula2>9999</formula2>
    </dataValidation>
  </dataValidations>
  <pageMargins left="0.7" right="0.7" top="0.75" bottom="0.75" header="0.3" footer="0.3"/>
  <pageSetup paperSize="8" scale="12"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4D2FD6BD-C01D-4946-B782-35CB5E17C397}">
            <xm:f>NOT(ISERROR(SEARCH("h",H44)))</xm:f>
            <xm:f>"h"</xm:f>
            <x14:dxf>
              <font>
                <color rgb="FFFDFDFF"/>
              </font>
              <fill>
                <patternFill>
                  <bgColor rgb="FF546A7B"/>
                </patternFill>
              </fill>
            </x14:dxf>
          </x14:cfRule>
          <x14:cfRule type="containsText" priority="59" operator="containsText" id="{5C632E2A-6106-4A2B-AE34-38A8FCB66645}">
            <xm:f>NOT(ISERROR(SEARCH("v",H44)))</xm:f>
            <xm:f>"v"</xm:f>
            <x14:dxf>
              <font>
                <color rgb="FFFDFDFF"/>
              </font>
              <fill>
                <patternFill>
                  <bgColor rgb="FF393D3F"/>
                </patternFill>
              </fill>
            </x14:dxf>
          </x14:cfRule>
          <xm:sqref>H44:H215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214B-BF20-4297-B21A-1210BB488031}">
  <sheetPr codeName="Blad41">
    <tabColor rgb="FFC9E0E1"/>
    <pageSetUpPr fitToPage="1"/>
  </sheetPr>
  <dimension ref="A1:HS261"/>
  <sheetViews>
    <sheetView zoomScale="3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f ca="1">IFERROR(AH1,"Let op! De naam van dit tabblad komt niet overeen met een van de opgegeven locaties in het tabblad 'Cijfers'! Wijzig de naam van dit tabblad in de overzichtsbalk onderin het scherm.")</f>
        <v>5</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f ca="1">MATCH(E2,Cijfers!D5:D54,0)</f>
        <v>5</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cluster huur</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v>11862</v>
      </c>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10438.56</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64">
        <v>2</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1</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v>1980</v>
      </c>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v>2026</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Ja</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851</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0</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0</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487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767">
        <v>215477</v>
      </c>
      <c r="V31" s="767">
        <v>215477</v>
      </c>
      <c r="W31" s="767"/>
      <c r="X31" s="767"/>
      <c r="Y31" s="767"/>
      <c r="Z31" s="767"/>
      <c r="AA31" s="767"/>
      <c r="AB31" s="767">
        <v>215477</v>
      </c>
      <c r="AC31" s="767"/>
      <c r="AD31" s="767"/>
      <c r="AE31" s="767"/>
      <c r="AF31" s="767"/>
      <c r="AG31" s="767"/>
      <c r="AH31" s="767">
        <v>215477</v>
      </c>
      <c r="AI31" s="767"/>
      <c r="AJ31" s="767"/>
      <c r="AK31" s="767"/>
      <c r="AL31" s="767"/>
      <c r="AM31" s="767"/>
      <c r="AN31" s="767">
        <v>215477</v>
      </c>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767">
        <v>114902</v>
      </c>
      <c r="V32" s="767">
        <v>114902</v>
      </c>
      <c r="W32" s="767"/>
      <c r="X32" s="767"/>
      <c r="Y32" s="767"/>
      <c r="Z32" s="767"/>
      <c r="AA32" s="767"/>
      <c r="AB32" s="767">
        <v>114902</v>
      </c>
      <c r="AC32" s="767"/>
      <c r="AD32" s="767"/>
      <c r="AE32" s="767"/>
      <c r="AF32" s="767"/>
      <c r="AG32" s="767"/>
      <c r="AH32" s="767">
        <v>114902</v>
      </c>
      <c r="AI32" s="767"/>
      <c r="AJ32" s="767"/>
      <c r="AK32" s="767"/>
      <c r="AL32" s="767"/>
      <c r="AM32" s="767"/>
      <c r="AN32" s="767">
        <v>114902</v>
      </c>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767">
        <v>0</v>
      </c>
      <c r="V33" s="767"/>
      <c r="W33" s="767"/>
      <c r="X33" s="767"/>
      <c r="Y33" s="767"/>
      <c r="Z33" s="767"/>
      <c r="AA33" s="767"/>
      <c r="AB33" s="767"/>
      <c r="AC33" s="767"/>
      <c r="AD33" s="767"/>
      <c r="AE33" s="767"/>
      <c r="AF33" s="767"/>
      <c r="AG33" s="767"/>
      <c r="AH33" s="767"/>
      <c r="AI33" s="767"/>
      <c r="AJ33" s="767"/>
      <c r="AK33" s="767"/>
      <c r="AL33" s="767"/>
      <c r="AM33" s="767"/>
      <c r="AN33" s="767"/>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1339907.9720000001</v>
      </c>
      <c r="V34" s="756">
        <f t="shared" ref="V34:CG34" si="0">V31+(V32*9.786)+(V33*278)</f>
        <v>1339907.9720000001</v>
      </c>
      <c r="W34" s="756">
        <f t="shared" si="0"/>
        <v>0</v>
      </c>
      <c r="X34" s="756">
        <f t="shared" si="0"/>
        <v>0</v>
      </c>
      <c r="Y34" s="756">
        <f t="shared" si="0"/>
        <v>0</v>
      </c>
      <c r="Z34" s="756">
        <f t="shared" si="0"/>
        <v>0</v>
      </c>
      <c r="AA34" s="756">
        <f t="shared" si="0"/>
        <v>0</v>
      </c>
      <c r="AB34" s="756">
        <f t="shared" si="0"/>
        <v>1339907.9720000001</v>
      </c>
      <c r="AC34" s="756">
        <f t="shared" si="0"/>
        <v>0</v>
      </c>
      <c r="AD34" s="756">
        <f t="shared" si="0"/>
        <v>0</v>
      </c>
      <c r="AE34" s="756">
        <f t="shared" si="0"/>
        <v>0</v>
      </c>
      <c r="AF34" s="756">
        <f t="shared" si="0"/>
        <v>0</v>
      </c>
      <c r="AG34" s="756">
        <f t="shared" si="0"/>
        <v>0</v>
      </c>
      <c r="AH34" s="756">
        <f t="shared" si="0"/>
        <v>1339907.9720000001</v>
      </c>
      <c r="AI34" s="756">
        <f t="shared" si="0"/>
        <v>0</v>
      </c>
      <c r="AJ34" s="756">
        <f t="shared" si="0"/>
        <v>0</v>
      </c>
      <c r="AK34" s="756">
        <f t="shared" si="0"/>
        <v>0</v>
      </c>
      <c r="AL34" s="756">
        <f t="shared" si="0"/>
        <v>0</v>
      </c>
      <c r="AM34" s="756">
        <f t="shared" si="0"/>
        <v>0</v>
      </c>
      <c r="AN34" s="756">
        <f t="shared" si="0"/>
        <v>1339907.9720000001</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128.36138049692678</v>
      </c>
      <c r="V35" s="757">
        <f t="shared" si="1"/>
        <v>128.36138049692678</v>
      </c>
      <c r="W35" s="757">
        <f t="shared" si="1"/>
        <v>0</v>
      </c>
      <c r="X35" s="757">
        <f t="shared" si="1"/>
        <v>0</v>
      </c>
      <c r="Y35" s="757">
        <f t="shared" si="1"/>
        <v>0</v>
      </c>
      <c r="Z35" s="757">
        <f t="shared" si="1"/>
        <v>0</v>
      </c>
      <c r="AA35" s="757">
        <f t="shared" si="1"/>
        <v>0</v>
      </c>
      <c r="AB35" s="757">
        <f t="shared" si="1"/>
        <v>128.36138049692678</v>
      </c>
      <c r="AC35" s="757">
        <f t="shared" si="1"/>
        <v>0</v>
      </c>
      <c r="AD35" s="757">
        <f t="shared" si="1"/>
        <v>0</v>
      </c>
      <c r="AE35" s="757">
        <f t="shared" si="1"/>
        <v>0</v>
      </c>
      <c r="AF35" s="757">
        <f t="shared" si="1"/>
        <v>0</v>
      </c>
      <c r="AG35" s="757">
        <f t="shared" si="1"/>
        <v>0</v>
      </c>
      <c r="AH35" s="757">
        <f t="shared" si="1"/>
        <v>128.36138049692678</v>
      </c>
      <c r="AI35" s="757">
        <f t="shared" si="1"/>
        <v>0</v>
      </c>
      <c r="AJ35" s="757">
        <f t="shared" si="1"/>
        <v>0</v>
      </c>
      <c r="AK35" s="757">
        <f t="shared" si="1"/>
        <v>0</v>
      </c>
      <c r="AL35" s="757">
        <f t="shared" si="1"/>
        <v>0</v>
      </c>
      <c r="AM35" s="757">
        <f t="shared" si="1"/>
        <v>0</v>
      </c>
      <c r="AN35" s="757">
        <f t="shared" si="1"/>
        <v>128.36138049692678</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767">
        <v>0</v>
      </c>
      <c r="V37" s="767"/>
      <c r="W37" s="767"/>
      <c r="X37" s="767"/>
      <c r="Y37" s="767"/>
      <c r="Z37" s="767"/>
      <c r="AA37" s="767"/>
      <c r="AB37" s="767"/>
      <c r="AC37" s="767"/>
      <c r="AD37" s="767"/>
      <c r="AE37" s="767"/>
      <c r="AF37" s="767"/>
      <c r="AG37" s="767"/>
      <c r="AH37" s="767"/>
      <c r="AI37" s="767"/>
      <c r="AJ37" s="767"/>
      <c r="AK37" s="767"/>
      <c r="AL37" s="767"/>
      <c r="AM37" s="767"/>
      <c r="AN37" s="76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1339907.9720000001</v>
      </c>
      <c r="V38" s="756">
        <f t="shared" ref="V38:CG38" si="3">V31+(V32*9.786)+(V33*278)+V37</f>
        <v>1339907.9720000001</v>
      </c>
      <c r="W38" s="756">
        <f t="shared" si="3"/>
        <v>0</v>
      </c>
      <c r="X38" s="756">
        <f t="shared" si="3"/>
        <v>0</v>
      </c>
      <c r="Y38" s="756">
        <f t="shared" si="3"/>
        <v>0</v>
      </c>
      <c r="Z38" s="756">
        <f t="shared" si="3"/>
        <v>0</v>
      </c>
      <c r="AA38" s="756">
        <f t="shared" si="3"/>
        <v>0</v>
      </c>
      <c r="AB38" s="756">
        <f t="shared" si="3"/>
        <v>1339907.9720000001</v>
      </c>
      <c r="AC38" s="756">
        <f t="shared" si="3"/>
        <v>0</v>
      </c>
      <c r="AD38" s="756">
        <f t="shared" si="3"/>
        <v>0</v>
      </c>
      <c r="AE38" s="756">
        <f t="shared" si="3"/>
        <v>0</v>
      </c>
      <c r="AF38" s="756">
        <f t="shared" si="3"/>
        <v>0</v>
      </c>
      <c r="AG38" s="756">
        <f t="shared" si="3"/>
        <v>0</v>
      </c>
      <c r="AH38" s="756">
        <f t="shared" si="3"/>
        <v>1339907.9720000001</v>
      </c>
      <c r="AI38" s="756">
        <f t="shared" si="3"/>
        <v>0</v>
      </c>
      <c r="AJ38" s="756">
        <f t="shared" si="3"/>
        <v>0</v>
      </c>
      <c r="AK38" s="756">
        <f t="shared" si="3"/>
        <v>0</v>
      </c>
      <c r="AL38" s="756">
        <f t="shared" si="3"/>
        <v>0</v>
      </c>
      <c r="AM38" s="756">
        <f t="shared" si="3"/>
        <v>0</v>
      </c>
      <c r="AN38" s="756">
        <f t="shared" si="3"/>
        <v>1339907.9720000001</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customHeight="1">
      <c r="B44" s="488">
        <v>0</v>
      </c>
      <c r="C44" s="489" t="s">
        <v>440</v>
      </c>
      <c r="D44" s="490" t="s">
        <v>493</v>
      </c>
      <c r="E44" s="491" t="s">
        <v>457</v>
      </c>
      <c r="F44" s="492"/>
      <c r="G44" s="493"/>
      <c r="H44" s="146" t="s">
        <v>486</v>
      </c>
      <c r="I44" s="494" t="str">
        <f t="shared" ref="I44:I107" si="4">IF(H44="X","n.v.t.",IF(H44="I","ons",IF(H44="V","verhuurder",IF(H44="H","huurder",""))))</f>
        <v>ons</v>
      </c>
      <c r="J44" s="495"/>
      <c r="K44" s="151">
        <v>0</v>
      </c>
      <c r="L44" s="256"/>
      <c r="M44" s="256">
        <f>IF($C$5&lt;3000,(Bron!H33*$C$5)+Bron!I33,(Bron!M33*$C$5)+Bron!N33)</f>
        <v>0</v>
      </c>
      <c r="N44" s="496"/>
      <c r="O44" s="497" t="str">
        <f t="shared" ref="O44:O89" si="5">IF(N44=0,"",(L44+M44)/N44)</f>
        <v/>
      </c>
      <c r="P44" s="257"/>
      <c r="Q44" s="257"/>
      <c r="R44" s="257"/>
      <c r="S44" s="344"/>
      <c r="T44" s="258">
        <f t="shared" ref="T44:T107" si="6">K44+V44+AB44+AH44+AN44+AT44+AZ44+BF44+BL44+BR44+BX44+CD44+CJ44+CP44+CV44+DB44+DH44+DN44+DT44+DZ44+EF44+EL44+ER44+EX44+FD44+FJ44+FP44+FV44+GB44+GH44+GN44+GT44+GZ44</f>
        <v>0</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c r="BY44" s="676">
        <f t="shared" ref="BY44:BY107" si="26">+BX44*($L44+$M44)</f>
        <v>0</v>
      </c>
      <c r="BZ44" s="677">
        <f t="shared" ref="BZ44:BZ107" si="27">$P44*BX44</f>
        <v>0</v>
      </c>
      <c r="CA44" s="677"/>
      <c r="CB44" s="678">
        <f>BX44*((-$P44/32)-$R44)</f>
        <v>0</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1</v>
      </c>
      <c r="HJ44" s="8"/>
    </row>
    <row r="45" spans="1:227" ht="26.25" customHeight="1">
      <c r="B45" s="488">
        <v>1</v>
      </c>
      <c r="C45" s="489" t="s">
        <v>142</v>
      </c>
      <c r="D45" s="490" t="s">
        <v>141</v>
      </c>
      <c r="E45" s="491" t="s">
        <v>143</v>
      </c>
      <c r="F45" s="492"/>
      <c r="G45" s="493"/>
      <c r="H45" s="146" t="s">
        <v>97</v>
      </c>
      <c r="I45" s="494" t="str">
        <f t="shared" si="4"/>
        <v>n.v.t.</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c r="B46" s="488">
        <v>2</v>
      </c>
      <c r="C46" s="489" t="s">
        <v>142</v>
      </c>
      <c r="D46" s="490" t="s">
        <v>144</v>
      </c>
      <c r="E46" s="491" t="s">
        <v>403</v>
      </c>
      <c r="F46" s="492"/>
      <c r="G46" s="493"/>
      <c r="H46" s="146" t="s">
        <v>97</v>
      </c>
      <c r="I46" s="494" t="str">
        <f t="shared" si="4"/>
        <v>n.v.t.</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c r="B47" s="488">
        <v>3</v>
      </c>
      <c r="C47" s="489" t="s">
        <v>142</v>
      </c>
      <c r="D47" s="490" t="s">
        <v>5</v>
      </c>
      <c r="E47" s="491" t="s">
        <v>145</v>
      </c>
      <c r="F47" s="492"/>
      <c r="G47" s="493"/>
      <c r="H47" s="146" t="s">
        <v>97</v>
      </c>
      <c r="I47" s="494" t="str">
        <f t="shared" si="4"/>
        <v>n.v.t.</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c r="B48" s="488">
        <v>4</v>
      </c>
      <c r="C48" s="489" t="s">
        <v>142</v>
      </c>
      <c r="D48" s="490" t="s">
        <v>6</v>
      </c>
      <c r="E48" s="491" t="s">
        <v>146</v>
      </c>
      <c r="F48" s="504"/>
      <c r="G48" s="505"/>
      <c r="H48" s="146" t="s">
        <v>97</v>
      </c>
      <c r="I48" s="494" t="str">
        <f t="shared" si="4"/>
        <v>n.v.t.</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c r="B49" s="488">
        <v>5</v>
      </c>
      <c r="C49" s="489" t="s">
        <v>142</v>
      </c>
      <c r="D49" s="490" t="s">
        <v>292</v>
      </c>
      <c r="E49" s="491" t="s">
        <v>293</v>
      </c>
      <c r="F49" s="492"/>
      <c r="G49" s="493"/>
      <c r="H49" s="146" t="s">
        <v>97</v>
      </c>
      <c r="I49" s="494" t="str">
        <f t="shared" si="4"/>
        <v>n.v.t.</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c r="B50" s="488">
        <v>6</v>
      </c>
      <c r="C50" s="489" t="s">
        <v>142</v>
      </c>
      <c r="D50" s="490" t="s">
        <v>294</v>
      </c>
      <c r="E50" s="491" t="s">
        <v>404</v>
      </c>
      <c r="F50" s="492"/>
      <c r="G50" s="493"/>
      <c r="H50" s="146" t="s">
        <v>97</v>
      </c>
      <c r="I50" s="494" t="str">
        <f t="shared" si="4"/>
        <v>n.v.t.</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c r="B51" s="488">
        <v>7</v>
      </c>
      <c r="C51" s="489" t="s">
        <v>142</v>
      </c>
      <c r="D51" s="490" t="s">
        <v>295</v>
      </c>
      <c r="E51" s="491" t="s">
        <v>296</v>
      </c>
      <c r="F51" s="492"/>
      <c r="G51" s="493"/>
      <c r="H51" s="146" t="s">
        <v>97</v>
      </c>
      <c r="I51" s="494" t="str">
        <f t="shared" si="4"/>
        <v>n.v.t.</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c r="B52" s="488">
        <v>8</v>
      </c>
      <c r="C52" s="489" t="s">
        <v>142</v>
      </c>
      <c r="D52" s="490" t="s">
        <v>297</v>
      </c>
      <c r="E52" s="491" t="s">
        <v>405</v>
      </c>
      <c r="F52" s="492"/>
      <c r="G52" s="493"/>
      <c r="H52" s="146" t="s">
        <v>97</v>
      </c>
      <c r="I52" s="494" t="str">
        <f t="shared" si="4"/>
        <v>n.v.t.</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collapsed="1">
      <c r="B53" s="488">
        <v>9</v>
      </c>
      <c r="C53" s="489" t="s">
        <v>298</v>
      </c>
      <c r="D53" s="490" t="s">
        <v>23</v>
      </c>
      <c r="E53" s="491" t="s">
        <v>299</v>
      </c>
      <c r="F53" s="492"/>
      <c r="G53" s="493"/>
      <c r="H53" s="146" t="s">
        <v>97</v>
      </c>
      <c r="I53" s="494" t="str">
        <f t="shared" si="4"/>
        <v>n.v.t.</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c r="B54" s="488">
        <v>10</v>
      </c>
      <c r="C54" s="489" t="s">
        <v>298</v>
      </c>
      <c r="D54" s="490" t="s">
        <v>300</v>
      </c>
      <c r="E54" s="491" t="s">
        <v>406</v>
      </c>
      <c r="F54" s="492"/>
      <c r="G54" s="493"/>
      <c r="H54" s="146" t="s">
        <v>97</v>
      </c>
      <c r="I54" s="494" t="str">
        <f t="shared" si="4"/>
        <v>n.v.t.</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c r="B55" s="488">
        <v>11</v>
      </c>
      <c r="C55" s="489" t="s">
        <v>298</v>
      </c>
      <c r="D55" s="490" t="s">
        <v>301</v>
      </c>
      <c r="E55" s="491" t="s">
        <v>407</v>
      </c>
      <c r="F55" s="492"/>
      <c r="G55" s="493"/>
      <c r="H55" s="146" t="s">
        <v>97</v>
      </c>
      <c r="I55" s="494" t="str">
        <f t="shared" si="4"/>
        <v>n.v.t.</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c r="B56" s="488">
        <v>12</v>
      </c>
      <c r="C56" s="489" t="s">
        <v>298</v>
      </c>
      <c r="D56" s="490" t="s">
        <v>302</v>
      </c>
      <c r="E56" s="491" t="s">
        <v>303</v>
      </c>
      <c r="F56" s="492"/>
      <c r="G56" s="493"/>
      <c r="H56" s="146" t="s">
        <v>97</v>
      </c>
      <c r="I56" s="494" t="str">
        <f t="shared" si="4"/>
        <v>n.v.t.</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c r="B57" s="488">
        <v>13</v>
      </c>
      <c r="C57" s="489" t="s">
        <v>298</v>
      </c>
      <c r="D57" s="490" t="s">
        <v>304</v>
      </c>
      <c r="E57" s="491" t="s">
        <v>305</v>
      </c>
      <c r="F57" s="492"/>
      <c r="G57" s="493"/>
      <c r="H57" s="146" t="s">
        <v>97</v>
      </c>
      <c r="I57" s="494" t="str">
        <f t="shared" si="4"/>
        <v>n.v.t.</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c r="B58" s="488">
        <v>14</v>
      </c>
      <c r="C58" s="489" t="s">
        <v>298</v>
      </c>
      <c r="D58" s="490" t="s">
        <v>306</v>
      </c>
      <c r="E58" s="491" t="s">
        <v>307</v>
      </c>
      <c r="F58" s="492"/>
      <c r="G58" s="493"/>
      <c r="H58" s="146" t="s">
        <v>97</v>
      </c>
      <c r="I58" s="494" t="str">
        <f t="shared" si="4"/>
        <v>n.v.t.</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c r="B59" s="488">
        <v>15</v>
      </c>
      <c r="C59" s="489" t="s">
        <v>298</v>
      </c>
      <c r="D59" s="490" t="s">
        <v>308</v>
      </c>
      <c r="E59" s="491" t="s">
        <v>309</v>
      </c>
      <c r="F59" s="492"/>
      <c r="G59" s="493"/>
      <c r="H59" s="146" t="s">
        <v>97</v>
      </c>
      <c r="I59" s="494" t="str">
        <f t="shared" si="4"/>
        <v>n.v.t.</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c r="B60" s="488">
        <v>16</v>
      </c>
      <c r="C60" s="489" t="s">
        <v>298</v>
      </c>
      <c r="D60" s="490" t="s">
        <v>310</v>
      </c>
      <c r="E60" s="491" t="s">
        <v>408</v>
      </c>
      <c r="F60" s="492"/>
      <c r="G60" s="493"/>
      <c r="H60" s="146" t="s">
        <v>97</v>
      </c>
      <c r="I60" s="494" t="str">
        <f t="shared" si="4"/>
        <v>n.v.t.</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852</v>
      </c>
      <c r="I61" s="494" t="str">
        <f t="shared" si="4"/>
        <v>verhuurder</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852</v>
      </c>
      <c r="I62" s="494" t="str">
        <f t="shared" si="4"/>
        <v>verhuurder</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852</v>
      </c>
      <c r="I63" s="494" t="str">
        <f t="shared" si="4"/>
        <v>verhuurder</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852</v>
      </c>
      <c r="I64" s="494" t="str">
        <f t="shared" si="4"/>
        <v>verhuurder</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852</v>
      </c>
      <c r="I65" s="494" t="str">
        <f t="shared" si="4"/>
        <v>verhuurder</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c r="B66" s="488">
        <v>22</v>
      </c>
      <c r="C66" s="489" t="s">
        <v>156</v>
      </c>
      <c r="D66" s="490" t="s">
        <v>155</v>
      </c>
      <c r="E66" s="491" t="s">
        <v>411</v>
      </c>
      <c r="F66" s="492"/>
      <c r="G66" s="493"/>
      <c r="H66" s="146" t="s">
        <v>97</v>
      </c>
      <c r="I66" s="494" t="str">
        <f t="shared" si="4"/>
        <v>n.v.t.</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c r="B67" s="488">
        <v>23</v>
      </c>
      <c r="C67" s="489" t="s">
        <v>156</v>
      </c>
      <c r="D67" s="490" t="s">
        <v>157</v>
      </c>
      <c r="E67" s="491" t="s">
        <v>158</v>
      </c>
      <c r="F67" s="492"/>
      <c r="G67" s="493"/>
      <c r="H67" s="146" t="s">
        <v>97</v>
      </c>
      <c r="I67" s="494" t="str">
        <f t="shared" si="4"/>
        <v>n.v.t.</v>
      </c>
      <c r="J67" s="495" t="s">
        <v>487</v>
      </c>
      <c r="K67" s="151">
        <v>0</v>
      </c>
      <c r="L67" s="256">
        <f>IF($C$5&lt;3000,(Bron!H56*$C$5)+Bron!I56,(Bron!M56*$C$5)+Bron!N56)</f>
        <v>3000</v>
      </c>
      <c r="M67" s="256"/>
      <c r="N67" s="496">
        <f t="shared" si="41"/>
        <v>547.31158000000005</v>
      </c>
      <c r="O67" s="497">
        <f t="shared" si="5"/>
        <v>5.4813384361427175</v>
      </c>
      <c r="P67" s="257">
        <f>IF($C$5&lt;3000,$AN$32*Bron!J56,$AN$32*Bron!O56)</f>
        <v>0</v>
      </c>
      <c r="Q67" s="257">
        <f>IF($C$5&lt;3000,$AN$31*Bron!K56,$AN$31*Bron!P56)</f>
        <v>2154.77</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c r="B68" s="488">
        <v>24</v>
      </c>
      <c r="C68" s="489" t="s">
        <v>156</v>
      </c>
      <c r="D68" s="490" t="s">
        <v>159</v>
      </c>
      <c r="E68" s="491" t="s">
        <v>160</v>
      </c>
      <c r="F68" s="492"/>
      <c r="G68" s="493"/>
      <c r="H68" s="146" t="s">
        <v>97</v>
      </c>
      <c r="I68" s="494" t="str">
        <f t="shared" si="4"/>
        <v>n.v.t.</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c r="B69" s="488">
        <v>25</v>
      </c>
      <c r="C69" s="489" t="s">
        <v>156</v>
      </c>
      <c r="D69" s="490" t="s">
        <v>161</v>
      </c>
      <c r="E69" s="491" t="s">
        <v>162</v>
      </c>
      <c r="F69" s="492"/>
      <c r="G69" s="493"/>
      <c r="H69" s="146" t="s">
        <v>97</v>
      </c>
      <c r="I69" s="494" t="str">
        <f t="shared" si="4"/>
        <v>n.v.t.</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c r="B70" s="488">
        <v>26</v>
      </c>
      <c r="C70" s="489" t="s">
        <v>156</v>
      </c>
      <c r="D70" s="490" t="s">
        <v>163</v>
      </c>
      <c r="E70" s="491" t="s">
        <v>164</v>
      </c>
      <c r="F70" s="492"/>
      <c r="G70" s="493"/>
      <c r="H70" s="146" t="s">
        <v>97</v>
      </c>
      <c r="I70" s="494" t="str">
        <f t="shared" si="4"/>
        <v>n.v.t.</v>
      </c>
      <c r="J70" s="495" t="s">
        <v>487</v>
      </c>
      <c r="K70" s="151">
        <v>0</v>
      </c>
      <c r="L70" s="256">
        <f>IF($C$5&lt;3000,(Bron!H59*$C$5)+Bron!I59,(Bron!M59*$C$5)+Bron!N59)</f>
        <v>600</v>
      </c>
      <c r="M70" s="256"/>
      <c r="N70" s="496">
        <f t="shared" si="41"/>
        <v>109.462316</v>
      </c>
      <c r="O70" s="497">
        <f t="shared" si="5"/>
        <v>5.4813384361427175</v>
      </c>
      <c r="P70" s="257">
        <f>IF($C$5&lt;3000,$AN$32*Bron!J59,$AN$32*Bron!O59)</f>
        <v>0</v>
      </c>
      <c r="Q70" s="257">
        <f>IF($C$5&lt;3000,$AN$31*Bron!K59,$AN$31*Bron!P59)</f>
        <v>430.95400000000001</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c r="B71" s="488">
        <v>27</v>
      </c>
      <c r="C71" s="489" t="s">
        <v>156</v>
      </c>
      <c r="D71" s="490" t="s">
        <v>165</v>
      </c>
      <c r="E71" s="491" t="s">
        <v>166</v>
      </c>
      <c r="F71" s="492"/>
      <c r="G71" s="493"/>
      <c r="H71" s="146" t="s">
        <v>97</v>
      </c>
      <c r="I71" s="494" t="str">
        <f t="shared" si="4"/>
        <v>n.v.t.</v>
      </c>
      <c r="J71" s="495" t="s">
        <v>487</v>
      </c>
      <c r="K71" s="151">
        <v>0</v>
      </c>
      <c r="L71" s="256">
        <f>IF($C$5&lt;3000,(Bron!H60*$C$5)+Bron!I60,(Bron!M60*$C$5)+Bron!N60)</f>
        <v>120</v>
      </c>
      <c r="M71" s="256"/>
      <c r="N71" s="496">
        <f t="shared" si="41"/>
        <v>16.419347399999996</v>
      </c>
      <c r="O71" s="497">
        <f t="shared" si="5"/>
        <v>7.3084512481902921</v>
      </c>
      <c r="P71" s="257"/>
      <c r="Q71" s="257">
        <f>IF($C$5&lt;3000,$AN$31*Bron!K60,$AN$31*Bron!P60)</f>
        <v>64.64309999999999</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c r="B72" s="488">
        <v>28</v>
      </c>
      <c r="C72" s="489" t="s">
        <v>156</v>
      </c>
      <c r="D72" s="490" t="s">
        <v>167</v>
      </c>
      <c r="E72" s="491" t="s">
        <v>168</v>
      </c>
      <c r="F72" s="492"/>
      <c r="G72" s="493"/>
      <c r="H72" s="146" t="s">
        <v>97</v>
      </c>
      <c r="I72" s="494" t="str">
        <f t="shared" si="4"/>
        <v>n.v.t.</v>
      </c>
      <c r="J72" s="495" t="s">
        <v>487</v>
      </c>
      <c r="K72" s="151">
        <v>0</v>
      </c>
      <c r="L72" s="256">
        <f>IF($C$5&lt;3000,(Bron!H61*$C$5)+Bron!I61,(Bron!M61*$C$5)+Bron!N61)</f>
        <v>4800</v>
      </c>
      <c r="M72" s="256"/>
      <c r="N72" s="496">
        <f t="shared" si="41"/>
        <v>1970.321688</v>
      </c>
      <c r="O72" s="497">
        <f t="shared" si="5"/>
        <v>2.43615041606343</v>
      </c>
      <c r="P72" s="257">
        <f>IF($C$5&lt;3000,$AN$32*Bron!J61,$AN$32*Bron!O61)</f>
        <v>0</v>
      </c>
      <c r="Q72" s="257">
        <f>IF($C$5&lt;3000,$AN$31*Bron!K61,$AN$31*Bron!P61)</f>
        <v>7757.1719999999996</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c r="B73" s="488">
        <v>29</v>
      </c>
      <c r="C73" s="489" t="s">
        <v>156</v>
      </c>
      <c r="D73" s="490" t="s">
        <v>169</v>
      </c>
      <c r="E73" s="491" t="s">
        <v>412</v>
      </c>
      <c r="F73" s="492"/>
      <c r="G73" s="493"/>
      <c r="H73" s="146" t="s">
        <v>97</v>
      </c>
      <c r="I73" s="494" t="str">
        <f t="shared" si="4"/>
        <v>n.v.t.</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c r="B74" s="488">
        <v>30</v>
      </c>
      <c r="C74" s="489" t="s">
        <v>156</v>
      </c>
      <c r="D74" s="490" t="s">
        <v>170</v>
      </c>
      <c r="E74" s="491" t="s">
        <v>413</v>
      </c>
      <c r="F74" s="492"/>
      <c r="G74" s="493"/>
      <c r="H74" s="146" t="s">
        <v>97</v>
      </c>
      <c r="I74" s="494" t="str">
        <f t="shared" si="4"/>
        <v>n.v.t.</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c r="B75" s="488">
        <v>31</v>
      </c>
      <c r="C75" s="489" t="s">
        <v>156</v>
      </c>
      <c r="D75" s="490" t="s">
        <v>171</v>
      </c>
      <c r="E75" s="491" t="s">
        <v>414</v>
      </c>
      <c r="F75" s="492"/>
      <c r="G75" s="493"/>
      <c r="H75" s="146" t="s">
        <v>97</v>
      </c>
      <c r="I75" s="494" t="str">
        <f t="shared" si="4"/>
        <v>n.v.t.</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c r="B76" s="488">
        <v>32</v>
      </c>
      <c r="C76" s="489" t="s">
        <v>156</v>
      </c>
      <c r="D76" s="490" t="s">
        <v>172</v>
      </c>
      <c r="E76" s="491" t="s">
        <v>173</v>
      </c>
      <c r="F76" s="492"/>
      <c r="G76" s="493"/>
      <c r="H76" s="146" t="s">
        <v>97</v>
      </c>
      <c r="I76" s="494" t="str">
        <f t="shared" si="4"/>
        <v>n.v.t.</v>
      </c>
      <c r="J76" s="495" t="s">
        <v>487</v>
      </c>
      <c r="K76" s="151">
        <v>0</v>
      </c>
      <c r="L76" s="256">
        <f>IF($C$5&lt;3000,(Bron!H65*$C$5)+Bron!I65,(Bron!M65*$C$5)+Bron!N65)</f>
        <v>1200</v>
      </c>
      <c r="M76" s="256"/>
      <c r="N76" s="496">
        <f t="shared" si="41"/>
        <v>195.46842142857145</v>
      </c>
      <c r="O76" s="497">
        <f t="shared" si="5"/>
        <v>6.1390990484798431</v>
      </c>
      <c r="P76" s="257">
        <f>IF($C$5&lt;3000,$AN$32*Bron!J65,$AN$32*Bron!O65)</f>
        <v>0</v>
      </c>
      <c r="Q76" s="257">
        <f>IF($C$5&lt;3000,$AN$31*Bron!K65,$AN$31*Bron!P65)</f>
        <v>769.56071428571431</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c r="B77" s="488">
        <v>33</v>
      </c>
      <c r="C77" s="489" t="s">
        <v>156</v>
      </c>
      <c r="D77" s="490" t="s">
        <v>174</v>
      </c>
      <c r="E77" s="491" t="s">
        <v>175</v>
      </c>
      <c r="F77" s="492"/>
      <c r="G77" s="493"/>
      <c r="H77" s="146" t="s">
        <v>97</v>
      </c>
      <c r="I77" s="494" t="str">
        <f t="shared" si="4"/>
        <v>n.v.t.</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c r="B78" s="488">
        <v>34</v>
      </c>
      <c r="C78" s="489" t="s">
        <v>156</v>
      </c>
      <c r="D78" s="490" t="s">
        <v>176</v>
      </c>
      <c r="E78" s="491" t="s">
        <v>177</v>
      </c>
      <c r="F78" s="492"/>
      <c r="G78" s="493"/>
      <c r="H78" s="146" t="s">
        <v>97</v>
      </c>
      <c r="I78" s="494" t="str">
        <f t="shared" si="4"/>
        <v>n.v.t.</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c r="B79" s="488">
        <v>35</v>
      </c>
      <c r="C79" s="489" t="s">
        <v>156</v>
      </c>
      <c r="D79" s="490" t="s">
        <v>178</v>
      </c>
      <c r="E79" s="491" t="s">
        <v>179</v>
      </c>
      <c r="F79" s="492"/>
      <c r="G79" s="493"/>
      <c r="H79" s="146" t="s">
        <v>97</v>
      </c>
      <c r="I79" s="494" t="str">
        <f t="shared" si="4"/>
        <v>n.v.t.</v>
      </c>
      <c r="J79" s="495"/>
      <c r="K79" s="151">
        <v>0</v>
      </c>
      <c r="L79" s="256"/>
      <c r="M79" s="256">
        <f>IF($C$5&lt;3000,(Bron!H68*$C$5)+Bron!I68,(Bron!M68*$C$5)+Bron!N68)</f>
        <v>80</v>
      </c>
      <c r="N79" s="496">
        <f t="shared" si="41"/>
        <v>10.946231600000001</v>
      </c>
      <c r="O79" s="497">
        <f t="shared" si="5"/>
        <v>7.3084512481902895</v>
      </c>
      <c r="P79" s="257">
        <f>IF($C$5&lt;3000,$AN$32*Bron!J68,$AN$32*Bron!O68)</f>
        <v>0</v>
      </c>
      <c r="Q79" s="257">
        <f>IF($C$5&lt;3000,$AN$31*Bron!K68,$AN$31*Bron!P68)</f>
        <v>43.095400000000005</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c r="B80" s="488">
        <v>36</v>
      </c>
      <c r="C80" s="489" t="s">
        <v>156</v>
      </c>
      <c r="D80" s="490" t="s">
        <v>180</v>
      </c>
      <c r="E80" s="491" t="s">
        <v>181</v>
      </c>
      <c r="F80" s="492"/>
      <c r="G80" s="493"/>
      <c r="H80" s="146" t="s">
        <v>97</v>
      </c>
      <c r="I80" s="494" t="str">
        <f t="shared" si="4"/>
        <v>n.v.t.</v>
      </c>
      <c r="J80" s="495"/>
      <c r="K80" s="151">
        <v>0</v>
      </c>
      <c r="L80" s="256"/>
      <c r="M80" s="256">
        <f>IF($C$5&lt;3000,(Bron!H69*$C$5)+Bron!I69,(Bron!M69*$C$5)+Bron!N69)</f>
        <v>1200</v>
      </c>
      <c r="N80" s="496">
        <f t="shared" si="41"/>
        <v>218.924632</v>
      </c>
      <c r="O80" s="497">
        <f t="shared" si="5"/>
        <v>5.4813384361427175</v>
      </c>
      <c r="P80" s="257"/>
      <c r="Q80" s="257">
        <f>IF($C$5&lt;3000,$AN$31*Bron!K69,$AN$31*Bron!P69)</f>
        <v>861.90800000000002</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c r="B81" s="488">
        <v>37</v>
      </c>
      <c r="C81" s="489" t="s">
        <v>156</v>
      </c>
      <c r="D81" s="490" t="s">
        <v>493</v>
      </c>
      <c r="E81" s="491" t="s">
        <v>590</v>
      </c>
      <c r="F81" s="492"/>
      <c r="G81" s="493"/>
      <c r="H81" s="146" t="s">
        <v>97</v>
      </c>
      <c r="I81" s="494" t="str">
        <f t="shared" si="4"/>
        <v>n.v.t.</v>
      </c>
      <c r="J81" s="495" t="s">
        <v>487</v>
      </c>
      <c r="K81" s="151">
        <v>0</v>
      </c>
      <c r="L81" s="256">
        <f>IF($C$5&lt;3000,(Bron!H70*$C$5)+Bron!I70,(Bron!M70*$C$5)+Bron!N70)</f>
        <v>120</v>
      </c>
      <c r="M81" s="256"/>
      <c r="N81" s="496">
        <f t="shared" si="41"/>
        <v>437.84926400000001</v>
      </c>
      <c r="O81" s="497">
        <f t="shared" si="5"/>
        <v>0.27406692180713588</v>
      </c>
      <c r="P81" s="257"/>
      <c r="Q81" s="257">
        <f>IF($C$5&lt;3000,$AN$31*Bron!K70,$AN$31*Bron!P70)</f>
        <v>1723.816</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c r="B82" s="488">
        <v>38</v>
      </c>
      <c r="C82" s="489" t="s">
        <v>156</v>
      </c>
      <c r="D82" s="490" t="s">
        <v>493</v>
      </c>
      <c r="E82" s="491" t="s">
        <v>594</v>
      </c>
      <c r="F82" s="492"/>
      <c r="G82" s="493"/>
      <c r="H82" s="146" t="s">
        <v>97</v>
      </c>
      <c r="I82" s="494" t="str">
        <f t="shared" si="4"/>
        <v>n.v.t.</v>
      </c>
      <c r="J82" s="495"/>
      <c r="K82" s="151">
        <v>0</v>
      </c>
      <c r="L82" s="256"/>
      <c r="M82" s="256">
        <f>IF($C$5&lt;3000,(Bron!H71*$C$5)+Bron!I71,(Bron!M71*$C$5)+Bron!N71)</f>
        <v>40</v>
      </c>
      <c r="N82" s="496">
        <f t="shared" si="41"/>
        <v>54.731158000000001</v>
      </c>
      <c r="O82" s="497">
        <f t="shared" si="5"/>
        <v>0.73084512481902908</v>
      </c>
      <c r="P82" s="257"/>
      <c r="Q82" s="257">
        <f>IF($C$5&lt;3000,$AN$31*Bron!K71,$AN$31*Bron!P71)</f>
        <v>215.477</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c r="B83" s="488">
        <v>39</v>
      </c>
      <c r="C83" s="489" t="s">
        <v>399</v>
      </c>
      <c r="D83" s="490" t="s">
        <v>182</v>
      </c>
      <c r="E83" s="491" t="s">
        <v>415</v>
      </c>
      <c r="F83" s="492"/>
      <c r="G83" s="493"/>
      <c r="H83" s="146" t="s">
        <v>97</v>
      </c>
      <c r="I83" s="494" t="str">
        <f t="shared" si="4"/>
        <v>n.v.t.</v>
      </c>
      <c r="J83" s="495" t="s">
        <v>487</v>
      </c>
      <c r="K83" s="151">
        <v>0</v>
      </c>
      <c r="L83" s="256">
        <f>IF($C$5&lt;3000,(Bron!H72*$C$5)+Bron!I72,(Bron!M72*$C$5)+Bron!N72)</f>
        <v>7000</v>
      </c>
      <c r="M83" s="256"/>
      <c r="N83" s="496">
        <f t="shared" si="41"/>
        <v>1094.6231600000001</v>
      </c>
      <c r="O83" s="497">
        <f t="shared" si="5"/>
        <v>6.3948948421665035</v>
      </c>
      <c r="P83" s="257"/>
      <c r="Q83" s="257">
        <f>IF($C$5&lt;3000,$AN$31*Bron!K72,$AN$31*Bron!P72)</f>
        <v>4309.54</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c r="B84" s="488">
        <v>40</v>
      </c>
      <c r="C84" s="489" t="s">
        <v>399</v>
      </c>
      <c r="D84" s="490" t="s">
        <v>183</v>
      </c>
      <c r="E84" s="491" t="s">
        <v>184</v>
      </c>
      <c r="F84" s="492"/>
      <c r="G84" s="493"/>
      <c r="H84" s="146" t="s">
        <v>97</v>
      </c>
      <c r="I84" s="494" t="str">
        <f t="shared" si="4"/>
        <v>n.v.t.</v>
      </c>
      <c r="J84" s="495" t="s">
        <v>487</v>
      </c>
      <c r="K84" s="151">
        <v>0</v>
      </c>
      <c r="L84" s="256">
        <f>IF($C$5&lt;3000,(Bron!H73*$C$5)+Bron!I73,(Bron!M73*$C$5)+Bron!N73)</f>
        <v>1300</v>
      </c>
      <c r="M84" s="256"/>
      <c r="N84" s="496">
        <f t="shared" si="41"/>
        <v>218.924632</v>
      </c>
      <c r="O84" s="497">
        <f t="shared" si="5"/>
        <v>5.938116639154611</v>
      </c>
      <c r="P84" s="257">
        <f>IF($C$5&lt;3000,$AN$32*Bron!J73,$AN$32*Bron!O73)</f>
        <v>0</v>
      </c>
      <c r="Q84" s="257">
        <f>IF($C$5&lt;3000,$AN$31*Bron!K73,$AN$31*Bron!P73)</f>
        <v>861.90800000000002</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c r="B85" s="488">
        <v>41</v>
      </c>
      <c r="C85" s="489" t="s">
        <v>399</v>
      </c>
      <c r="D85" s="490" t="s">
        <v>185</v>
      </c>
      <c r="E85" s="491" t="s">
        <v>186</v>
      </c>
      <c r="F85" s="492"/>
      <c r="G85" s="493"/>
      <c r="H85" s="146" t="s">
        <v>97</v>
      </c>
      <c r="I85" s="494" t="str">
        <f t="shared" si="4"/>
        <v>n.v.t.</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c r="B86" s="488">
        <v>42</v>
      </c>
      <c r="C86" s="489" t="s">
        <v>399</v>
      </c>
      <c r="D86" s="490" t="s">
        <v>187</v>
      </c>
      <c r="E86" s="491" t="s">
        <v>188</v>
      </c>
      <c r="F86" s="492"/>
      <c r="G86" s="493"/>
      <c r="H86" s="146" t="s">
        <v>97</v>
      </c>
      <c r="I86" s="494" t="str">
        <f t="shared" si="4"/>
        <v>n.v.t.</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c r="B87" s="488">
        <v>43</v>
      </c>
      <c r="C87" s="489" t="s">
        <v>399</v>
      </c>
      <c r="D87" s="490" t="s">
        <v>189</v>
      </c>
      <c r="E87" s="491" t="s">
        <v>190</v>
      </c>
      <c r="F87" s="492"/>
      <c r="G87" s="493"/>
      <c r="H87" s="146" t="s">
        <v>97</v>
      </c>
      <c r="I87" s="494" t="str">
        <f t="shared" si="4"/>
        <v>n.v.t.</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c r="B88" s="488">
        <v>44</v>
      </c>
      <c r="C88" s="489" t="s">
        <v>399</v>
      </c>
      <c r="D88" s="490" t="s">
        <v>191</v>
      </c>
      <c r="E88" s="491" t="s">
        <v>192</v>
      </c>
      <c r="F88" s="492"/>
      <c r="G88" s="493"/>
      <c r="H88" s="146" t="s">
        <v>97</v>
      </c>
      <c r="I88" s="494" t="str">
        <f t="shared" si="4"/>
        <v>n.v.t.</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c r="B89" s="488">
        <v>45</v>
      </c>
      <c r="C89" s="489" t="s">
        <v>399</v>
      </c>
      <c r="D89" s="490" t="s">
        <v>493</v>
      </c>
      <c r="E89" s="491" t="s">
        <v>585</v>
      </c>
      <c r="F89" s="492"/>
      <c r="G89" s="493"/>
      <c r="H89" s="146" t="s">
        <v>97</v>
      </c>
      <c r="I89" s="494" t="str">
        <f t="shared" si="4"/>
        <v>n.v.t.</v>
      </c>
      <c r="J89" s="495"/>
      <c r="K89" s="151">
        <v>0</v>
      </c>
      <c r="L89" s="256"/>
      <c r="M89" s="256">
        <f>IF($C$5&lt;3000,(Bron!H78*$C$5)+Bron!I78,(Bron!M78*$C$5)+Bron!N78)</f>
        <v>2000</v>
      </c>
      <c r="N89" s="496">
        <f t="shared" si="41"/>
        <v>1039.892002</v>
      </c>
      <c r="O89" s="497">
        <f t="shared" si="5"/>
        <v>1.9232766442606026</v>
      </c>
      <c r="P89" s="257">
        <f>IF($C$5&lt;3000,$AN$32*Bron!J78,$AN$32*Bron!O78)</f>
        <v>0</v>
      </c>
      <c r="Q89" s="257">
        <f>IF($C$5&lt;3000,$AN$31*Bron!K78,$AN$31*Bron!P78)</f>
        <v>4094.0630000000001</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0.5</v>
      </c>
      <c r="L91" s="256">
        <f>IF($C$5&lt;3000,(Bron!H80*$C$5)+Bron!I80,(Bron!M80*$C$5)+Bron!N80)</f>
        <v>1000</v>
      </c>
      <c r="M91" s="256"/>
      <c r="N91" s="496">
        <f t="shared" ref="N91:N154" si="90">($C$19*P91)+($C$18*Q91)+($C$20*R91)</f>
        <v>328.38694800000002</v>
      </c>
      <c r="O91" s="497">
        <f t="shared" ref="O91:O154" si="91">IF(N91=0,"",(L91+M91)/N91)</f>
        <v>3.0451880200792876</v>
      </c>
      <c r="P91" s="257"/>
      <c r="Q91" s="257">
        <f>IF($C$5&lt;3000,$AN$31*Bron!K80,$AN$31*Bron!P80)</f>
        <v>1292.8620000000001</v>
      </c>
      <c r="R91" s="257">
        <f>IF($C$5&lt;3000,$AN$33*Bron!J80,$AN$33*Bron!O80)</f>
        <v>0</v>
      </c>
      <c r="S91" s="344"/>
      <c r="T91" s="258">
        <f t="shared" si="6"/>
        <v>1</v>
      </c>
      <c r="U91" s="259">
        <f t="shared" si="7"/>
        <v>500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v>0.5</v>
      </c>
      <c r="AU91" s="676">
        <f t="shared" si="16"/>
        <v>500</v>
      </c>
      <c r="AV91" s="677">
        <f t="shared" si="17"/>
        <v>0</v>
      </c>
      <c r="AW91" s="677">
        <f t="shared" si="54"/>
        <v>646.43100000000004</v>
      </c>
      <c r="AX91" s="678">
        <f t="shared" si="55"/>
        <v>0</v>
      </c>
      <c r="AY91" s="679">
        <f t="shared" si="56"/>
        <v>164.19347400000001</v>
      </c>
      <c r="AZ91" s="675"/>
      <c r="BA91" s="676">
        <f t="shared" si="18"/>
        <v>0</v>
      </c>
      <c r="BB91" s="677">
        <f t="shared" si="19"/>
        <v>0</v>
      </c>
      <c r="BC91" s="677">
        <f t="shared" si="57"/>
        <v>0</v>
      </c>
      <c r="BD91" s="678">
        <f t="shared" si="58"/>
        <v>0</v>
      </c>
      <c r="BE91" s="679">
        <f t="shared" si="59"/>
        <v>0</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0.5</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1</v>
      </c>
      <c r="U92" s="259">
        <f t="shared" si="7"/>
        <v>500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v>0.5</v>
      </c>
      <c r="AU92" s="676">
        <f t="shared" si="16"/>
        <v>500</v>
      </c>
      <c r="AV92" s="677">
        <f t="shared" si="17"/>
        <v>0</v>
      </c>
      <c r="AW92" s="677">
        <f t="shared" si="54"/>
        <v>0</v>
      </c>
      <c r="AX92" s="678">
        <f t="shared" si="55"/>
        <v>0</v>
      </c>
      <c r="AY92" s="679">
        <f t="shared" si="56"/>
        <v>0</v>
      </c>
      <c r="AZ92" s="675"/>
      <c r="BA92" s="676">
        <f t="shared" si="18"/>
        <v>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c r="B93" s="488">
        <v>49</v>
      </c>
      <c r="C93" s="489" t="s">
        <v>193</v>
      </c>
      <c r="D93" s="490" t="s">
        <v>195</v>
      </c>
      <c r="E93" s="491" t="s">
        <v>196</v>
      </c>
      <c r="F93" s="492"/>
      <c r="G93" s="493"/>
      <c r="H93" s="146" t="s">
        <v>97</v>
      </c>
      <c r="I93" s="494" t="str">
        <f t="shared" si="4"/>
        <v>n.v.t.</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c r="B94" s="488">
        <v>50</v>
      </c>
      <c r="C94" s="489" t="s">
        <v>193</v>
      </c>
      <c r="D94" s="490" t="s">
        <v>197</v>
      </c>
      <c r="E94" s="491" t="s">
        <v>417</v>
      </c>
      <c r="F94" s="492"/>
      <c r="G94" s="493"/>
      <c r="H94" s="146" t="s">
        <v>486</v>
      </c>
      <c r="I94" s="494" t="str">
        <f t="shared" si="4"/>
        <v>ons</v>
      </c>
      <c r="J94" s="495"/>
      <c r="K94" s="151">
        <v>0.5</v>
      </c>
      <c r="L94" s="256"/>
      <c r="M94" s="256">
        <f>IF($C$5&lt;3000,(Bron!H83*$C$5)+Bron!I83,(Bron!M83*$C$5)+Bron!N83)</f>
        <v>0</v>
      </c>
      <c r="N94" s="496">
        <f t="shared" si="90"/>
        <v>711.50505399999997</v>
      </c>
      <c r="O94" s="497">
        <f t="shared" si="91"/>
        <v>0</v>
      </c>
      <c r="P94" s="257">
        <f>IF($C$5&lt;3000,$AN$32*Bron!J83,$AN$32*Bron!O83)</f>
        <v>0</v>
      </c>
      <c r="Q94" s="257">
        <f>IF($C$5&lt;3000,$AN$31*Bron!K83,$AN$31*Bron!P83)</f>
        <v>2801.201</v>
      </c>
      <c r="R94" s="257">
        <f>IF($C$5&lt;3000,$AN$33*Bron!J83,$AN$33*Bron!O83)</f>
        <v>0</v>
      </c>
      <c r="S94" s="344"/>
      <c r="T94" s="258">
        <f t="shared" si="6"/>
        <v>1</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v>0.5</v>
      </c>
      <c r="AU94" s="676">
        <f t="shared" si="16"/>
        <v>0</v>
      </c>
      <c r="AV94" s="677">
        <f t="shared" si="17"/>
        <v>0</v>
      </c>
      <c r="AW94" s="677">
        <f t="shared" si="54"/>
        <v>1400.6005</v>
      </c>
      <c r="AX94" s="678">
        <f t="shared" si="55"/>
        <v>0</v>
      </c>
      <c r="AY94" s="679">
        <f t="shared" si="56"/>
        <v>355.75252699999999</v>
      </c>
      <c r="AZ94" s="675"/>
      <c r="BA94" s="676">
        <f t="shared" si="18"/>
        <v>0</v>
      </c>
      <c r="BB94" s="677">
        <f t="shared" si="19"/>
        <v>0</v>
      </c>
      <c r="BC94" s="677">
        <f t="shared" si="57"/>
        <v>0</v>
      </c>
      <c r="BD94" s="678">
        <f t="shared" si="58"/>
        <v>0</v>
      </c>
      <c r="BE94" s="679">
        <f t="shared" si="59"/>
        <v>0</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0.5</v>
      </c>
      <c r="L95" s="256"/>
      <c r="M95" s="256">
        <f>IF($C$5&lt;3000,(Bron!H84*$C$5)+Bron!I84,(Bron!M84*$C$5)+Bron!N84)</f>
        <v>0</v>
      </c>
      <c r="N95" s="496">
        <f t="shared" si="90"/>
        <v>711.50505399999997</v>
      </c>
      <c r="O95" s="497">
        <f t="shared" si="91"/>
        <v>0</v>
      </c>
      <c r="P95" s="257">
        <f>IF($C$5&lt;3000,$AN$32*Bron!J84,$AN$32*Bron!O84)</f>
        <v>0</v>
      </c>
      <c r="Q95" s="257">
        <f>IF($C$5&lt;3000,$AN$31*Bron!K84,$AN$31*Bron!P84)</f>
        <v>2801.201</v>
      </c>
      <c r="R95" s="257">
        <f>IF($C$5&lt;3000,$AN$33*Bron!J84,$AN$33*Bron!O84)</f>
        <v>0</v>
      </c>
      <c r="S95" s="344"/>
      <c r="T95" s="258">
        <f t="shared" si="6"/>
        <v>1</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v>0.5</v>
      </c>
      <c r="AU95" s="676">
        <f t="shared" si="16"/>
        <v>0</v>
      </c>
      <c r="AV95" s="677">
        <f t="shared" si="17"/>
        <v>0</v>
      </c>
      <c r="AW95" s="677">
        <f t="shared" si="54"/>
        <v>1400.6005</v>
      </c>
      <c r="AX95" s="678">
        <f t="shared" si="55"/>
        <v>0</v>
      </c>
      <c r="AY95" s="679">
        <f t="shared" si="56"/>
        <v>355.75252699999999</v>
      </c>
      <c r="AZ95" s="675"/>
      <c r="BA95" s="676">
        <f t="shared" si="18"/>
        <v>0</v>
      </c>
      <c r="BB95" s="677">
        <f t="shared" si="19"/>
        <v>0</v>
      </c>
      <c r="BC95" s="677">
        <f t="shared" si="57"/>
        <v>0</v>
      </c>
      <c r="BD95" s="678">
        <f t="shared" si="58"/>
        <v>0</v>
      </c>
      <c r="BE95" s="679">
        <f t="shared" si="59"/>
        <v>0</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c r="B96" s="488">
        <v>52</v>
      </c>
      <c r="C96" s="489" t="s">
        <v>314</v>
      </c>
      <c r="D96" s="490" t="s">
        <v>29</v>
      </c>
      <c r="E96" s="491" t="s">
        <v>419</v>
      </c>
      <c r="F96" s="492"/>
      <c r="G96" s="493"/>
      <c r="H96" s="146" t="s">
        <v>97</v>
      </c>
      <c r="I96" s="494" t="str">
        <f t="shared" si="4"/>
        <v>n.v.t.</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c r="B97" s="488">
        <v>53</v>
      </c>
      <c r="C97" s="489" t="s">
        <v>314</v>
      </c>
      <c r="D97" s="490" t="s">
        <v>315</v>
      </c>
      <c r="E97" s="491" t="s">
        <v>316</v>
      </c>
      <c r="F97" s="492"/>
      <c r="G97" s="493"/>
      <c r="H97" s="146" t="s">
        <v>97</v>
      </c>
      <c r="I97" s="494" t="str">
        <f t="shared" si="4"/>
        <v>n.v.t.</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c r="B98" s="488">
        <v>54</v>
      </c>
      <c r="C98" s="489" t="s">
        <v>314</v>
      </c>
      <c r="D98" s="490" t="s">
        <v>317</v>
      </c>
      <c r="E98" s="491" t="s">
        <v>318</v>
      </c>
      <c r="F98" s="492"/>
      <c r="G98" s="493"/>
      <c r="H98" s="146" t="s">
        <v>97</v>
      </c>
      <c r="I98" s="494" t="str">
        <f t="shared" si="4"/>
        <v>n.v.t.</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c r="B99" s="488">
        <v>55</v>
      </c>
      <c r="C99" s="489" t="s">
        <v>314</v>
      </c>
      <c r="D99" s="490" t="s">
        <v>319</v>
      </c>
      <c r="E99" s="491" t="s">
        <v>420</v>
      </c>
      <c r="F99" s="492"/>
      <c r="G99" s="493"/>
      <c r="H99" s="146" t="s">
        <v>97</v>
      </c>
      <c r="I99" s="494" t="str">
        <f t="shared" si="4"/>
        <v>n.v.t.</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c r="B100" s="488">
        <v>56</v>
      </c>
      <c r="C100" s="489" t="s">
        <v>314</v>
      </c>
      <c r="D100" s="490" t="s">
        <v>320</v>
      </c>
      <c r="E100" s="491" t="s">
        <v>321</v>
      </c>
      <c r="F100" s="492"/>
      <c r="G100" s="493"/>
      <c r="H100" s="146" t="s">
        <v>97</v>
      </c>
      <c r="I100" s="494" t="str">
        <f t="shared" si="4"/>
        <v>n.v.t.</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c r="B101" s="488">
        <v>57</v>
      </c>
      <c r="C101" s="489" t="s">
        <v>314</v>
      </c>
      <c r="D101" s="490" t="s">
        <v>322</v>
      </c>
      <c r="E101" s="491" t="s">
        <v>323</v>
      </c>
      <c r="F101" s="492"/>
      <c r="G101" s="493"/>
      <c r="H101" s="146" t="s">
        <v>97</v>
      </c>
      <c r="I101" s="494" t="str">
        <f t="shared" si="4"/>
        <v>n.v.t.</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c r="B102" s="488">
        <v>58</v>
      </c>
      <c r="C102" s="489" t="s">
        <v>314</v>
      </c>
      <c r="D102" s="490" t="s">
        <v>324</v>
      </c>
      <c r="E102" s="491" t="s">
        <v>325</v>
      </c>
      <c r="F102" s="492"/>
      <c r="G102" s="493"/>
      <c r="H102" s="146" t="s">
        <v>97</v>
      </c>
      <c r="I102" s="494" t="str">
        <f t="shared" si="4"/>
        <v>n.v.t.</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c r="B103" s="488">
        <v>59</v>
      </c>
      <c r="C103" s="489" t="s">
        <v>314</v>
      </c>
      <c r="D103" s="490" t="s">
        <v>326</v>
      </c>
      <c r="E103" s="491" t="s">
        <v>327</v>
      </c>
      <c r="F103" s="492"/>
      <c r="G103" s="493"/>
      <c r="H103" s="146" t="s">
        <v>97</v>
      </c>
      <c r="I103" s="494" t="str">
        <f t="shared" si="4"/>
        <v>n.v.t.</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c r="B104" s="488">
        <v>60</v>
      </c>
      <c r="C104" s="489" t="s">
        <v>314</v>
      </c>
      <c r="D104" s="490" t="s">
        <v>328</v>
      </c>
      <c r="E104" s="491" t="s">
        <v>329</v>
      </c>
      <c r="F104" s="492"/>
      <c r="G104" s="493"/>
      <c r="H104" s="146" t="s">
        <v>97</v>
      </c>
      <c r="I104" s="494" t="str">
        <f t="shared" si="4"/>
        <v>n.v.t.</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c r="B105" s="488">
        <v>61</v>
      </c>
      <c r="C105" s="489" t="s">
        <v>199</v>
      </c>
      <c r="D105" s="490" t="s">
        <v>30</v>
      </c>
      <c r="E105" s="491" t="s">
        <v>200</v>
      </c>
      <c r="F105" s="492"/>
      <c r="G105" s="493"/>
      <c r="H105" s="146" t="s">
        <v>97</v>
      </c>
      <c r="I105" s="494" t="str">
        <f t="shared" si="4"/>
        <v>n.v.t.</v>
      </c>
      <c r="J105" s="495" t="s">
        <v>487</v>
      </c>
      <c r="K105" s="151">
        <v>0</v>
      </c>
      <c r="L105" s="256">
        <f>IF($C$5&lt;3000,(Bron!H94*$C$5)+Bron!I94,(Bron!M94*$C$5)+Bron!N94)</f>
        <v>1500</v>
      </c>
      <c r="M105" s="256"/>
      <c r="N105" s="496">
        <f t="shared" si="90"/>
        <v>1094.6231600000001</v>
      </c>
      <c r="O105" s="497">
        <f t="shared" si="91"/>
        <v>1.3703346090356794</v>
      </c>
      <c r="P105" s="257"/>
      <c r="Q105" s="257">
        <f>IF($C$5&lt;3000,$AN$31*Bron!K94,$AN$31*Bron!P94)</f>
        <v>4309.54</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c r="B106" s="488">
        <v>62</v>
      </c>
      <c r="C106" s="489" t="s">
        <v>199</v>
      </c>
      <c r="D106" s="490" t="s">
        <v>201</v>
      </c>
      <c r="E106" s="491" t="s">
        <v>202</v>
      </c>
      <c r="F106" s="492"/>
      <c r="G106" s="493"/>
      <c r="H106" s="146" t="s">
        <v>97</v>
      </c>
      <c r="I106" s="494" t="str">
        <f t="shared" si="4"/>
        <v>n.v.t.</v>
      </c>
      <c r="J106" s="495" t="s">
        <v>487</v>
      </c>
      <c r="K106" s="151">
        <v>0</v>
      </c>
      <c r="L106" s="256">
        <f>IF($C$5&lt;3000,(Bron!H95*$C$5)+Bron!I95,(Bron!M95*$C$5)+Bron!N95)</f>
        <v>600</v>
      </c>
      <c r="M106" s="256"/>
      <c r="N106" s="496">
        <f t="shared" si="90"/>
        <v>547.31158000000005</v>
      </c>
      <c r="O106" s="497">
        <f t="shared" si="91"/>
        <v>1.0962676872285435</v>
      </c>
      <c r="P106" s="257"/>
      <c r="Q106" s="257">
        <f>IF($C$5&lt;3000,$AN$31*Bron!K95,$AN$31*Bron!P95)</f>
        <v>2154.77</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c r="B107" s="488">
        <v>63</v>
      </c>
      <c r="C107" s="489" t="s">
        <v>199</v>
      </c>
      <c r="D107" s="490" t="s">
        <v>203</v>
      </c>
      <c r="E107" s="491" t="s">
        <v>204</v>
      </c>
      <c r="F107" s="492"/>
      <c r="G107" s="493"/>
      <c r="H107" s="146" t="s">
        <v>97</v>
      </c>
      <c r="I107" s="494" t="str">
        <f t="shared" si="4"/>
        <v>n.v.t.</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c r="B108" s="488">
        <v>64</v>
      </c>
      <c r="C108" s="489" t="s">
        <v>199</v>
      </c>
      <c r="D108" s="490" t="s">
        <v>205</v>
      </c>
      <c r="E108" s="491" t="s">
        <v>206</v>
      </c>
      <c r="F108" s="492"/>
      <c r="G108" s="493"/>
      <c r="H108" s="146" t="s">
        <v>97</v>
      </c>
      <c r="I108" s="494" t="str">
        <f t="shared" ref="I108:I171" si="92">IF(H108="X","n.v.t.",IF(H108="I","ons",IF(H108="V","verhuurder",IF(H108="H","huurder",""))))</f>
        <v>n.v.t.</v>
      </c>
      <c r="J108" s="495"/>
      <c r="K108" s="151">
        <v>0</v>
      </c>
      <c r="L108" s="256"/>
      <c r="M108" s="256">
        <f>IF($C$5&lt;3000,(Bron!H97*$C$5)+Bron!I97,(Bron!M97*$C$5)+Bron!N97)</f>
        <v>2500</v>
      </c>
      <c r="N108" s="496">
        <f t="shared" si="90"/>
        <v>1641.9347399999999</v>
      </c>
      <c r="O108" s="497">
        <f t="shared" si="91"/>
        <v>1.522594010039644</v>
      </c>
      <c r="P108" s="257"/>
      <c r="Q108" s="257">
        <f>IF($C$5&lt;3000,$AN$31*Bron!K97,$AN$31*Bron!P97)</f>
        <v>6464.3099999999995</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c r="B109" s="488">
        <v>65</v>
      </c>
      <c r="C109" s="489" t="s">
        <v>199</v>
      </c>
      <c r="D109" s="490" t="s">
        <v>207</v>
      </c>
      <c r="E109" s="491" t="s">
        <v>208</v>
      </c>
      <c r="F109" s="492"/>
      <c r="G109" s="493"/>
      <c r="H109" s="146" t="s">
        <v>97</v>
      </c>
      <c r="I109" s="494" t="str">
        <f t="shared" si="92"/>
        <v>n.v.t.</v>
      </c>
      <c r="J109" s="495"/>
      <c r="K109" s="151">
        <v>0</v>
      </c>
      <c r="L109" s="256"/>
      <c r="M109" s="256">
        <f>IF($C$5&lt;3000,(Bron!H98*$C$5)+Bron!I98,(Bron!M98*$C$5)+Bron!N98)</f>
        <v>7000</v>
      </c>
      <c r="N109" s="496">
        <f t="shared" si="90"/>
        <v>1039.892002</v>
      </c>
      <c r="O109" s="497">
        <f t="shared" si="91"/>
        <v>6.7314682549121096</v>
      </c>
      <c r="P109" s="257"/>
      <c r="Q109" s="257">
        <f>IF($C$5&lt;3000,$AN$31*Bron!K98,$AN$31*Bron!P98)</f>
        <v>4094.0630000000001</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c r="B110" s="488">
        <v>66</v>
      </c>
      <c r="C110" s="489" t="s">
        <v>199</v>
      </c>
      <c r="D110" s="490" t="s">
        <v>209</v>
      </c>
      <c r="E110" s="491" t="s">
        <v>421</v>
      </c>
      <c r="F110" s="492"/>
      <c r="G110" s="493"/>
      <c r="H110" s="146" t="s">
        <v>97</v>
      </c>
      <c r="I110" s="494" t="str">
        <f t="shared" si="92"/>
        <v>n.v.t.</v>
      </c>
      <c r="J110" s="495" t="s">
        <v>487</v>
      </c>
      <c r="K110" s="151">
        <v>0</v>
      </c>
      <c r="L110" s="256">
        <f>IF($C$5&lt;3000,(Bron!H99*$C$5)+Bron!I99,(Bron!M99*$C$5)+Bron!N99)</f>
        <v>750</v>
      </c>
      <c r="M110" s="256"/>
      <c r="N110" s="496">
        <f t="shared" si="90"/>
        <v>492.580422</v>
      </c>
      <c r="O110" s="497">
        <f t="shared" si="91"/>
        <v>1.5225940100396438</v>
      </c>
      <c r="P110" s="257"/>
      <c r="Q110" s="257">
        <f>IF($C$5&lt;3000,$AN$31*Bron!K99,$AN$31*Bron!P99)</f>
        <v>1939.2929999999999</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c r="B111" s="488">
        <v>67</v>
      </c>
      <c r="C111" s="489" t="s">
        <v>199</v>
      </c>
      <c r="D111" s="490" t="s">
        <v>493</v>
      </c>
      <c r="E111" s="491" t="s">
        <v>580</v>
      </c>
      <c r="F111" s="492"/>
      <c r="G111" s="493"/>
      <c r="H111" s="146" t="s">
        <v>97</v>
      </c>
      <c r="I111" s="494" t="str">
        <f t="shared" si="92"/>
        <v>n.v.t.</v>
      </c>
      <c r="J111" s="495"/>
      <c r="K111" s="151">
        <v>0</v>
      </c>
      <c r="L111" s="256"/>
      <c r="M111" s="256">
        <f>IF($C$5&lt;3000,(Bron!H100*$C$5)+Bron!I100,(Bron!M100*$C$5)+Bron!N100)</f>
        <v>1000</v>
      </c>
      <c r="N111" s="496">
        <f t="shared" si="90"/>
        <v>1094.6231600000001</v>
      </c>
      <c r="O111" s="497">
        <f t="shared" si="91"/>
        <v>0.91355640602378618</v>
      </c>
      <c r="P111" s="257"/>
      <c r="Q111" s="257">
        <f>IF($C$5&lt;3000,$AN$31*Bron!K100,$AN$31*Bron!P100)</f>
        <v>4309.54</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c r="B112" s="488">
        <v>68</v>
      </c>
      <c r="C112" s="489" t="s">
        <v>199</v>
      </c>
      <c r="D112" s="490" t="s">
        <v>493</v>
      </c>
      <c r="E112" s="491" t="s">
        <v>589</v>
      </c>
      <c r="F112" s="492"/>
      <c r="G112" s="493"/>
      <c r="H112" s="146" t="s">
        <v>97</v>
      </c>
      <c r="I112" s="494" t="str">
        <f t="shared" si="92"/>
        <v>n.v.t.</v>
      </c>
      <c r="J112" s="495" t="s">
        <v>487</v>
      </c>
      <c r="K112" s="151">
        <v>0</v>
      </c>
      <c r="L112" s="256">
        <f>IF($C$5&lt;3000,(Bron!H101*$C$5)+Bron!I101,(Bron!M101*$C$5)+Bron!N101)</f>
        <v>200</v>
      </c>
      <c r="M112" s="256"/>
      <c r="N112" s="496">
        <f t="shared" si="90"/>
        <v>218.924632</v>
      </c>
      <c r="O112" s="497">
        <f t="shared" si="91"/>
        <v>0.91355640602378629</v>
      </c>
      <c r="P112" s="257"/>
      <c r="Q112" s="257">
        <f>IF($C$5&lt;3000,$AN$31*Bron!K101,$AN$31*Bron!P101)</f>
        <v>861.90800000000002</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c r="B113" s="488">
        <v>69</v>
      </c>
      <c r="C113" s="489" t="s">
        <v>210</v>
      </c>
      <c r="D113" s="490" t="s">
        <v>31</v>
      </c>
      <c r="E113" s="491" t="s">
        <v>422</v>
      </c>
      <c r="F113" s="492"/>
      <c r="G113" s="493"/>
      <c r="H113" s="146" t="s">
        <v>97</v>
      </c>
      <c r="I113" s="494" t="str">
        <f t="shared" si="92"/>
        <v>n.v.t.</v>
      </c>
      <c r="J113" s="495" t="s">
        <v>487</v>
      </c>
      <c r="K113" s="151">
        <v>0</v>
      </c>
      <c r="L113" s="256">
        <f>IF($C$5&lt;3000,(Bron!H102*$C$5)+Bron!I102,(Bron!M102*$C$5)+Bron!N102)</f>
        <v>5000</v>
      </c>
      <c r="M113" s="256"/>
      <c r="N113" s="496">
        <f t="shared" si="90"/>
        <v>766.23621200000002</v>
      </c>
      <c r="O113" s="497">
        <f t="shared" si="91"/>
        <v>6.5254029001699019</v>
      </c>
      <c r="P113" s="257"/>
      <c r="Q113" s="257">
        <f>IF($C$5&lt;3000,$AN$31*Bron!K102,$AN$31*Bron!P102)</f>
        <v>3016.6779999999999</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852</v>
      </c>
      <c r="I114" s="494" t="str">
        <f t="shared" si="92"/>
        <v>verhuurder</v>
      </c>
      <c r="J114" s="495" t="s">
        <v>487</v>
      </c>
      <c r="K114" s="151">
        <v>0</v>
      </c>
      <c r="L114" s="256">
        <f>IF($C$5&lt;3000,(Bron!H103*$C$5)+Bron!I103,(Bron!M103*$C$5)+Bron!N103)</f>
        <v>19439.407999999999</v>
      </c>
      <c r="M114" s="256"/>
      <c r="N114" s="496">
        <f t="shared" si="90"/>
        <v>5389.8489500000005</v>
      </c>
      <c r="O114" s="497">
        <f t="shared" si="91"/>
        <v>3.6066702759824092</v>
      </c>
      <c r="P114" s="257">
        <f>IF($C$5&lt;3000,$AN$32*Bron!J103,$AN$32*Bron!O103)</f>
        <v>2872.55</v>
      </c>
      <c r="Q114" s="257">
        <f>IF($C$5&lt;3000,$AN$31*Bron!K103,$AN$31*Bron!P103)</f>
        <v>5386.9250000000002</v>
      </c>
      <c r="R114" s="257">
        <f>IF($C$5&lt;3000,$AN$33*Bron!J103,$AN$33*Bron!O103)</f>
        <v>0</v>
      </c>
      <c r="S114" s="344"/>
      <c r="T114" s="258">
        <f t="shared" si="93"/>
        <v>1</v>
      </c>
      <c r="U114" s="259">
        <f t="shared" si="94"/>
        <v>19439.407999999999</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v>1</v>
      </c>
      <c r="AU114" s="676">
        <f t="shared" si="103"/>
        <v>19439.407999999999</v>
      </c>
      <c r="AV114" s="677">
        <f t="shared" si="104"/>
        <v>2872.55</v>
      </c>
      <c r="AW114" s="677">
        <f t="shared" si="139"/>
        <v>5386.9250000000002</v>
      </c>
      <c r="AX114" s="678">
        <f t="shared" si="140"/>
        <v>0</v>
      </c>
      <c r="AY114" s="679">
        <f t="shared" si="141"/>
        <v>5389.8489500000005</v>
      </c>
      <c r="AZ114" s="675"/>
      <c r="BA114" s="676">
        <f t="shared" si="105"/>
        <v>0</v>
      </c>
      <c r="BB114" s="677">
        <f t="shared" si="106"/>
        <v>0</v>
      </c>
      <c r="BC114" s="677">
        <f t="shared" si="142"/>
        <v>0</v>
      </c>
      <c r="BD114" s="678">
        <f t="shared" si="143"/>
        <v>0</v>
      </c>
      <c r="BE114" s="679">
        <f t="shared" si="144"/>
        <v>0</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c r="B115" s="488">
        <v>71</v>
      </c>
      <c r="C115" s="489" t="s">
        <v>400</v>
      </c>
      <c r="D115" s="490" t="s">
        <v>7</v>
      </c>
      <c r="E115" s="491" t="s">
        <v>853</v>
      </c>
      <c r="F115" s="492"/>
      <c r="G115" s="493"/>
      <c r="H115" s="146" t="s">
        <v>852</v>
      </c>
      <c r="I115" s="494" t="str">
        <f t="shared" si="92"/>
        <v>verhuurder</v>
      </c>
      <c r="J115" s="495" t="s">
        <v>487</v>
      </c>
      <c r="K115" s="151">
        <v>0.8</v>
      </c>
      <c r="L115" s="256">
        <f>IF($C$5&lt;3000,(Bron!H104*$C$5)+Bron!I104,(Bron!M104*$C$5)+Bron!N104)</f>
        <v>375788.16</v>
      </c>
      <c r="M115" s="256"/>
      <c r="N115" s="496">
        <f t="shared" si="90"/>
        <v>56301.979999999996</v>
      </c>
      <c r="O115" s="497">
        <f t="shared" si="91"/>
        <v>6.674510558953699</v>
      </c>
      <c r="P115" s="257">
        <f>IF($C$5&lt;3000,$AN$32*Bron!J104,$AN$32*Bron!O104)</f>
        <v>40215.699999999997</v>
      </c>
      <c r="Q115" s="257"/>
      <c r="R115" s="257">
        <f>IF($C$5&lt;3000,$AN$33*Bron!J104,$AN$33*Bron!O104)</f>
        <v>0</v>
      </c>
      <c r="S115" s="344"/>
      <c r="T115" s="258">
        <f t="shared" si="93"/>
        <v>1</v>
      </c>
      <c r="U115" s="259">
        <f t="shared" si="94"/>
        <v>75157.631999999998</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v>0.2</v>
      </c>
      <c r="AU115" s="676">
        <f t="shared" si="103"/>
        <v>75157.631999999998</v>
      </c>
      <c r="AV115" s="677">
        <f t="shared" si="104"/>
        <v>8043.1399999999994</v>
      </c>
      <c r="AW115" s="677">
        <f t="shared" si="139"/>
        <v>0</v>
      </c>
      <c r="AX115" s="678">
        <f t="shared" si="140"/>
        <v>0</v>
      </c>
      <c r="AY115" s="679">
        <f t="shared" si="141"/>
        <v>11260.396000000001</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c r="B116" s="488">
        <v>72</v>
      </c>
      <c r="C116" s="489" t="s">
        <v>400</v>
      </c>
      <c r="D116" s="490" t="s">
        <v>212</v>
      </c>
      <c r="E116" s="491" t="s">
        <v>854</v>
      </c>
      <c r="F116" s="492"/>
      <c r="G116" s="493"/>
      <c r="H116" s="146" t="s">
        <v>852</v>
      </c>
      <c r="I116" s="494" t="str">
        <f t="shared" si="92"/>
        <v>verhuurder</v>
      </c>
      <c r="J116" s="495" t="s">
        <v>487</v>
      </c>
      <c r="K116" s="151">
        <v>0</v>
      </c>
      <c r="L116" s="256">
        <f>IF($C$5&lt;3000,(Bron!H105*$C$5/$C$6)+Bron!I105,(Bron!M105*$C$5/$C$6)+Bron!N105)</f>
        <v>631532.88</v>
      </c>
      <c r="M116" s="256"/>
      <c r="N116" s="496">
        <f t="shared" si="90"/>
        <v>28150.989999999998</v>
      </c>
      <c r="O116" s="497">
        <f t="shared" si="91"/>
        <v>22.433771600927713</v>
      </c>
      <c r="P116" s="257">
        <f>IF($C$5&lt;3000,$AN$32*Bron!J105,$AN$32*Bron!O105)/$C$6</f>
        <v>20107.849999999999</v>
      </c>
      <c r="Q116" s="257">
        <f>IF($C$5&lt;3000,$AN$31*Bron!K105,$AN$31*Bron!P105)</f>
        <v>0</v>
      </c>
      <c r="R116" s="257">
        <f>IF($C$5&lt;3000,$AN$33*Bron!J105,$AN$33*Bron!O105)/$C$6</f>
        <v>0</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c r="B117" s="488">
        <v>73</v>
      </c>
      <c r="C117" s="489" t="s">
        <v>400</v>
      </c>
      <c r="D117" s="490" t="s">
        <v>213</v>
      </c>
      <c r="E117" s="491" t="s">
        <v>214</v>
      </c>
      <c r="F117" s="492"/>
      <c r="G117" s="493"/>
      <c r="H117" s="146" t="s">
        <v>97</v>
      </c>
      <c r="I117" s="494" t="str">
        <f t="shared" si="92"/>
        <v>n.v.t.</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c r="B118" s="488">
        <v>74</v>
      </c>
      <c r="C118" s="489" t="s">
        <v>400</v>
      </c>
      <c r="D118" s="490" t="s">
        <v>215</v>
      </c>
      <c r="E118" s="491" t="s">
        <v>855</v>
      </c>
      <c r="F118" s="492"/>
      <c r="G118" s="493"/>
      <c r="H118" s="146" t="s">
        <v>852</v>
      </c>
      <c r="I118" s="494" t="str">
        <f t="shared" si="92"/>
        <v>verhuurder</v>
      </c>
      <c r="J118" s="495"/>
      <c r="K118" s="151">
        <v>0</v>
      </c>
      <c r="L118" s="256"/>
      <c r="M118" s="256">
        <f>IF($C$5&lt;3000,(Bron!H107*$C$5/$C$6)+Bron!I107,(Bron!M107*$C$5/$C$6)+Bron!N107)</f>
        <v>240086.87999999998</v>
      </c>
      <c r="N118" s="496">
        <f t="shared" si="90"/>
        <v>28150.989999999998</v>
      </c>
      <c r="O118" s="497">
        <f t="shared" si="91"/>
        <v>8.5285412697741716</v>
      </c>
      <c r="P118" s="257">
        <f>IF($C$5&lt;3000,$AN$32*Bron!J107,$AN$32*Bron!O107)/$C$6</f>
        <v>20107.849999999999</v>
      </c>
      <c r="Q118" s="257">
        <f>IF($C$5&lt;3000,$AN$31*Bron!K107,$AN$31*Bron!P107)</f>
        <v>0</v>
      </c>
      <c r="R118" s="257">
        <f>IF($C$5&lt;3000,$AN$33*Bron!J107,$AN$33*Bron!O107)/$C$6</f>
        <v>0</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c r="B119" s="488">
        <v>75</v>
      </c>
      <c r="C119" s="489" t="s">
        <v>400</v>
      </c>
      <c r="D119" s="490" t="s">
        <v>216</v>
      </c>
      <c r="E119" s="491" t="s">
        <v>217</v>
      </c>
      <c r="F119" s="492"/>
      <c r="G119" s="493"/>
      <c r="H119" s="146" t="s">
        <v>852</v>
      </c>
      <c r="I119" s="494" t="str">
        <f t="shared" si="92"/>
        <v>verhuurder</v>
      </c>
      <c r="J119" s="495"/>
      <c r="K119" s="151">
        <v>0</v>
      </c>
      <c r="L119" s="256"/>
      <c r="M119" s="256">
        <f>IF($C$5&lt;3000,(Bron!H108*$C$5)+Bron!I108,(Bron!M108*$C$5)+Bron!N108)</f>
        <v>271402.56</v>
      </c>
      <c r="N119" s="496">
        <f t="shared" si="90"/>
        <v>45041.584000000003</v>
      </c>
      <c r="O119" s="497">
        <f t="shared" si="91"/>
        <v>6.0255998101665336</v>
      </c>
      <c r="P119" s="257">
        <f>IF($C$5&lt;3000,$AN$32*Bron!J108,$AN$32*Bron!O108)</f>
        <v>32172.560000000001</v>
      </c>
      <c r="Q119" s="257">
        <f>IF($C$5&lt;3000,$AN$31*Bron!K108,$AN$31*Bron!P108)</f>
        <v>0</v>
      </c>
      <c r="R119" s="257">
        <f>IF($C$5&lt;3000,$AN$33*Bron!J108,$AN$33*Bron!O108)</f>
        <v>0</v>
      </c>
      <c r="S119" s="344"/>
      <c r="T119" s="258">
        <f t="shared" si="93"/>
        <v>0</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c r="B120" s="488">
        <v>76</v>
      </c>
      <c r="C120" s="489" t="s">
        <v>400</v>
      </c>
      <c r="D120" s="490" t="s">
        <v>218</v>
      </c>
      <c r="E120" s="491" t="s">
        <v>219</v>
      </c>
      <c r="F120" s="492"/>
      <c r="G120" s="493"/>
      <c r="H120" s="146" t="s">
        <v>852</v>
      </c>
      <c r="I120" s="494" t="str">
        <f t="shared" si="92"/>
        <v>verhuurder</v>
      </c>
      <c r="J120" s="495"/>
      <c r="K120" s="151">
        <v>0</v>
      </c>
      <c r="L120" s="256"/>
      <c r="M120" s="256">
        <f>IF($C$5&lt;3000,(Bron!H109*$C$5)+Bron!I109,(Bron!M109*$C$5)+Bron!N109)</f>
        <v>271402.56</v>
      </c>
      <c r="N120" s="496">
        <f t="shared" si="90"/>
        <v>28955.304</v>
      </c>
      <c r="O120" s="497">
        <f t="shared" si="91"/>
        <v>9.3731552602590522</v>
      </c>
      <c r="P120" s="257">
        <f>IF($C$5&lt;3000,$AN$32*Bron!J109,$AN$32*Bron!O109)</f>
        <v>20682.36</v>
      </c>
      <c r="Q120" s="257"/>
      <c r="R120" s="257">
        <f>IF($C$5&lt;3000,$AN$33*Bron!J109,$AN$33*Bron!O109)</f>
        <v>0</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c r="B121" s="488">
        <v>77</v>
      </c>
      <c r="C121" s="489" t="s">
        <v>400</v>
      </c>
      <c r="D121" s="490" t="s">
        <v>220</v>
      </c>
      <c r="E121" s="491" t="s">
        <v>221</v>
      </c>
      <c r="F121" s="492"/>
      <c r="G121" s="493"/>
      <c r="H121" s="146" t="s">
        <v>97</v>
      </c>
      <c r="I121" s="494" t="str">
        <f t="shared" si="92"/>
        <v>n.v.t.</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c r="B122" s="488">
        <v>78</v>
      </c>
      <c r="C122" s="489" t="s">
        <v>400</v>
      </c>
      <c r="D122" s="490" t="s">
        <v>222</v>
      </c>
      <c r="E122" s="491" t="s">
        <v>223</v>
      </c>
      <c r="F122" s="492"/>
      <c r="G122" s="493"/>
      <c r="H122" s="146" t="s">
        <v>97</v>
      </c>
      <c r="I122" s="494" t="str">
        <f t="shared" si="92"/>
        <v>n.v.t.</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c r="B123" s="488">
        <v>79</v>
      </c>
      <c r="C123" s="489" t="s">
        <v>400</v>
      </c>
      <c r="D123" s="490" t="s">
        <v>493</v>
      </c>
      <c r="E123" s="491" t="s">
        <v>856</v>
      </c>
      <c r="F123" s="492"/>
      <c r="G123" s="493"/>
      <c r="H123" s="146" t="s">
        <v>97</v>
      </c>
      <c r="I123" s="494" t="str">
        <f t="shared" si="92"/>
        <v>n.v.t.</v>
      </c>
      <c r="J123" s="495"/>
      <c r="K123" s="151">
        <v>0</v>
      </c>
      <c r="L123" s="256"/>
      <c r="M123" s="256">
        <f>IF($C$5&lt;3000,(Bron!H112*$C$5)+Bron!I112,(Bron!M112*$C$5)+Bron!N112)</f>
        <v>177455.52</v>
      </c>
      <c r="N123" s="496">
        <f t="shared" si="90"/>
        <v>56301.979999999996</v>
      </c>
      <c r="O123" s="497">
        <f t="shared" si="91"/>
        <v>3.1518522083948026</v>
      </c>
      <c r="P123" s="257">
        <f>IF($C$5&lt;3000,$AN$32*Bron!J112,$AN$32*Bron!O112)</f>
        <v>40215.699999999997</v>
      </c>
      <c r="Q123" s="257">
        <f>IF($C$5&lt;3000,$AN$31*Bron!K112,$AN$31*Bron!P112)</f>
        <v>0</v>
      </c>
      <c r="R123" s="257">
        <f>IF($C$5&lt;3000,$AN$33*Bron!J112,$AN$33*Bron!O112)</f>
        <v>0</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c r="B124" s="488">
        <v>80</v>
      </c>
      <c r="C124" s="489" t="s">
        <v>400</v>
      </c>
      <c r="D124" s="490" t="s">
        <v>493</v>
      </c>
      <c r="E124" s="491" t="s">
        <v>444</v>
      </c>
      <c r="F124" s="492"/>
      <c r="G124" s="493"/>
      <c r="H124" s="146" t="s">
        <v>97</v>
      </c>
      <c r="I124" s="494" t="str">
        <f t="shared" si="92"/>
        <v>n.v.t.</v>
      </c>
      <c r="J124" s="495" t="s">
        <v>487</v>
      </c>
      <c r="K124" s="151">
        <v>0</v>
      </c>
      <c r="L124" s="256">
        <f>IF($C$5&lt;3000,(Bron!H113*$C$5)+Bron!I113,(Bron!M113*$C$5)+Bron!N113)</f>
        <v>1346574.24</v>
      </c>
      <c r="M124" s="256"/>
      <c r="N124" s="496">
        <f t="shared" si="90"/>
        <v>32172.560000000001</v>
      </c>
      <c r="O124" s="497">
        <f t="shared" si="91"/>
        <v>41.854743296772156</v>
      </c>
      <c r="P124" s="257">
        <f>IF($C$5&lt;3000,$AN$32*Bron!J113,$AN$32*Bron!O113)</f>
        <v>22980.400000000001</v>
      </c>
      <c r="Q124" s="257"/>
      <c r="R124" s="257">
        <f>IF($C$5&lt;3000,$AN$33*Bron!J113,$AN$33*Bron!O113)</f>
        <v>0</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857</v>
      </c>
      <c r="F125" s="492"/>
      <c r="G125" s="493"/>
      <c r="H125" s="146" t="s">
        <v>852</v>
      </c>
      <c r="I125" s="494" t="str">
        <f t="shared" si="92"/>
        <v>verhuurder</v>
      </c>
      <c r="J125" s="495"/>
      <c r="K125" s="151">
        <v>0</v>
      </c>
      <c r="L125" s="256"/>
      <c r="M125" s="256">
        <f>IF($C$5&lt;3000,(Bron!H114*$C$5/$C$6)+Bron!I114,(Bron!M114*$C$5/$C$6)+Bron!N114)</f>
        <v>777672.72</v>
      </c>
      <c r="N125" s="496">
        <f t="shared" si="90"/>
        <v>8043.14</v>
      </c>
      <c r="O125" s="497">
        <f t="shared" si="91"/>
        <v>96.687701569287611</v>
      </c>
      <c r="P125" s="257">
        <f>IF($C$5&lt;3000,$AN$32*Bron!J114,$AN$32*Bron!O114)/$C$6</f>
        <v>5745.1</v>
      </c>
      <c r="Q125" s="257"/>
      <c r="R125" s="257">
        <f>IF($C$5&lt;3000,$AN$33*Bron!J114,$AN$33*Bron!O114)/$C$6</f>
        <v>0</v>
      </c>
      <c r="S125" s="344"/>
      <c r="T125" s="258">
        <f t="shared" si="93"/>
        <v>0</v>
      </c>
      <c r="U125" s="259">
        <f t="shared" si="94"/>
        <v>0</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c r="BG125" s="676">
        <f t="shared" si="107"/>
        <v>0</v>
      </c>
      <c r="BH125" s="677">
        <f t="shared" si="108"/>
        <v>0</v>
      </c>
      <c r="BI125" s="677">
        <f t="shared" si="145"/>
        <v>0</v>
      </c>
      <c r="BJ125" s="678">
        <f t="shared" si="146"/>
        <v>0</v>
      </c>
      <c r="BK125" s="679">
        <f t="shared" si="147"/>
        <v>0</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c r="B126" s="488">
        <v>82</v>
      </c>
      <c r="C126" s="489" t="s">
        <v>400</v>
      </c>
      <c r="D126" s="490" t="s">
        <v>493</v>
      </c>
      <c r="E126" s="491" t="s">
        <v>598</v>
      </c>
      <c r="F126" s="492"/>
      <c r="G126" s="493"/>
      <c r="H126" s="146" t="s">
        <v>97</v>
      </c>
      <c r="I126" s="494" t="str">
        <f t="shared" si="92"/>
        <v>n.v.t.</v>
      </c>
      <c r="J126" s="495"/>
      <c r="K126" s="151">
        <v>0</v>
      </c>
      <c r="L126" s="256"/>
      <c r="M126" s="256">
        <f>IF($C$5&lt;3000,(Bron!H115*$C$5*1.4/$C$6)+Bron!I115,(Bron!M115*$C$5*1.4/$C$6)+Bron!N115)</f>
        <v>548024.4</v>
      </c>
      <c r="N126" s="496">
        <f t="shared" si="90"/>
        <v>24129.42</v>
      </c>
      <c r="O126" s="497">
        <f t="shared" si="91"/>
        <v>22.711876207550784</v>
      </c>
      <c r="P126" s="257">
        <f>IF($C$5&lt;3000,$AN$32*Bron!J115,$AN$32*Bron!O115)/$C$6</f>
        <v>17235.3</v>
      </c>
      <c r="Q126" s="257">
        <f>IF($C$5&lt;3000,$AN$31*Bron!K115,$AN$31*Bron!P115)</f>
        <v>0</v>
      </c>
      <c r="R126" s="257">
        <f>IF($C$5&lt;3000,$AN$33*Bron!J115,$AN$33*Bron!O115)/$C$6</f>
        <v>0</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c r="B127" s="488">
        <v>83</v>
      </c>
      <c r="C127" s="489" t="s">
        <v>400</v>
      </c>
      <c r="D127" s="490" t="s">
        <v>493</v>
      </c>
      <c r="E127" s="491" t="s">
        <v>445</v>
      </c>
      <c r="F127" s="492"/>
      <c r="G127" s="493"/>
      <c r="H127" s="146" t="s">
        <v>852</v>
      </c>
      <c r="I127" s="494" t="str">
        <f t="shared" si="92"/>
        <v>verhuurder</v>
      </c>
      <c r="J127" s="495" t="s">
        <v>487</v>
      </c>
      <c r="K127" s="151">
        <v>0</v>
      </c>
      <c r="L127" s="256">
        <f>IF($C$5&lt;3000,(Bron!H116*$C$5/$C$6)+Bron!I116,(Bron!M116*$C$5/$C$6)+Bron!N116)</f>
        <v>276621.83999999997</v>
      </c>
      <c r="M127" s="256"/>
      <c r="N127" s="496">
        <f t="shared" si="90"/>
        <v>4825.884</v>
      </c>
      <c r="O127" s="497">
        <f t="shared" si="91"/>
        <v>57.320449476199585</v>
      </c>
      <c r="P127" s="257">
        <f>IF($C$5&lt;3000,$AN$32*Bron!J116,$AN$32*Bron!O116)/$C$6</f>
        <v>3447.06</v>
      </c>
      <c r="Q127" s="257"/>
      <c r="R127" s="257">
        <f>IF($C$5&lt;3000,$AN$33*Bron!J116,$AN$33*Bron!O116)/$C$6</f>
        <v>0</v>
      </c>
      <c r="S127" s="344"/>
      <c r="T127" s="258">
        <f t="shared" si="93"/>
        <v>0</v>
      </c>
      <c r="U127" s="259">
        <f t="shared" si="94"/>
        <v>0</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c r="BA127" s="676">
        <f t="shared" si="105"/>
        <v>0</v>
      </c>
      <c r="BB127" s="677">
        <f t="shared" si="106"/>
        <v>0</v>
      </c>
      <c r="BC127" s="677">
        <f t="shared" si="142"/>
        <v>0</v>
      </c>
      <c r="BD127" s="678">
        <f t="shared" si="143"/>
        <v>0</v>
      </c>
      <c r="BE127" s="679">
        <f t="shared" si="144"/>
        <v>0</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c r="B128" s="488">
        <v>84</v>
      </c>
      <c r="C128" s="489" t="s">
        <v>400</v>
      </c>
      <c r="D128" s="490" t="s">
        <v>493</v>
      </c>
      <c r="E128" s="491" t="s">
        <v>612</v>
      </c>
      <c r="F128" s="492"/>
      <c r="G128" s="493"/>
      <c r="H128" s="146" t="s">
        <v>97</v>
      </c>
      <c r="I128" s="494" t="str">
        <f t="shared" si="92"/>
        <v>n.v.t.</v>
      </c>
      <c r="J128" s="495"/>
      <c r="K128" s="151">
        <v>0</v>
      </c>
      <c r="L128" s="256"/>
      <c r="M128" s="256">
        <f>IF($C$5&lt;3000,(Bron!H117*$C$5)+Bron!I117,(Bron!M117*$C$5)+Bron!N117)</f>
        <v>0</v>
      </c>
      <c r="N128" s="496">
        <f t="shared" si="90"/>
        <v>30563.932000000001</v>
      </c>
      <c r="O128" s="497">
        <f t="shared" si="91"/>
        <v>0</v>
      </c>
      <c r="P128" s="257">
        <f>IF($C$5&lt;3000,$AN$32*Bron!J117,$AN$32*Bron!O117)</f>
        <v>21831.38</v>
      </c>
      <c r="Q128" s="257">
        <f>IF($C$5&lt;3000,$AN$31*Bron!K117,$AN$31*Bron!P117)</f>
        <v>0</v>
      </c>
      <c r="R128" s="257">
        <f>IF($C$5&lt;3000,$AN$33*Bron!J117,$AN$33*Bron!O117)</f>
        <v>0</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c r="B129" s="488">
        <v>85</v>
      </c>
      <c r="C129" s="489" t="s">
        <v>400</v>
      </c>
      <c r="D129" s="490" t="s">
        <v>493</v>
      </c>
      <c r="E129" s="491" t="s">
        <v>600</v>
      </c>
      <c r="F129" s="492"/>
      <c r="G129" s="493"/>
      <c r="H129" s="146" t="s">
        <v>97</v>
      </c>
      <c r="I129" s="494" t="str">
        <f t="shared" si="92"/>
        <v>n.v.t.</v>
      </c>
      <c r="J129" s="495"/>
      <c r="K129" s="151">
        <v>0</v>
      </c>
      <c r="L129" s="256"/>
      <c r="M129" s="256">
        <f>IF($C$5&lt;3000,(Bron!H118*$C$5)+Bron!I118,(Bron!M118*$C$5)+Bron!N118)</f>
        <v>386226.72</v>
      </c>
      <c r="N129" s="496">
        <f t="shared" si="90"/>
        <v>48258.84</v>
      </c>
      <c r="O129" s="497">
        <f t="shared" si="91"/>
        <v>8.0032325683750383</v>
      </c>
      <c r="P129" s="257">
        <f>IF($C$5&lt;3000,$AN$32*Bron!J118,$AN$32*Bron!O118)</f>
        <v>34470.6</v>
      </c>
      <c r="Q129" s="257"/>
      <c r="R129" s="257">
        <f>IF($C$5&lt;3000,$AN$33*Bron!J118,$AN$33*Bron!O118)</f>
        <v>0</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c r="B130" s="488">
        <v>86</v>
      </c>
      <c r="C130" s="489" t="s">
        <v>400</v>
      </c>
      <c r="D130" s="490" t="s">
        <v>493</v>
      </c>
      <c r="E130" s="491" t="s">
        <v>446</v>
      </c>
      <c r="F130" s="492"/>
      <c r="G130" s="493"/>
      <c r="H130" s="146" t="s">
        <v>97</v>
      </c>
      <c r="I130" s="494" t="str">
        <f t="shared" si="92"/>
        <v>n.v.t.</v>
      </c>
      <c r="J130" s="495" t="s">
        <v>487</v>
      </c>
      <c r="K130" s="151">
        <v>0</v>
      </c>
      <c r="L130" s="256">
        <f>IF($C$5&lt;3000,(Bron!H119*$C$5)+Bron!I119,(Bron!M119*$C$5)+Bron!N119)</f>
        <v>219209.75999999998</v>
      </c>
      <c r="M130" s="256"/>
      <c r="N130" s="496">
        <f t="shared" si="90"/>
        <v>25738.047999999999</v>
      </c>
      <c r="O130" s="497">
        <f t="shared" si="91"/>
        <v>8.5169535778315435</v>
      </c>
      <c r="P130" s="257">
        <f>IF($C$5&lt;3000,$AN$32*Bron!J119,$AN$32*Bron!O119)</f>
        <v>18384.32</v>
      </c>
      <c r="Q130" s="257"/>
      <c r="R130" s="257">
        <f>IF($C$5&lt;3000,$AN$33*Bron!J119,$AN$33*Bron!O119)</f>
        <v>0</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852</v>
      </c>
      <c r="I131" s="494" t="str">
        <f t="shared" si="92"/>
        <v>verhuurder</v>
      </c>
      <c r="J131" s="495" t="s">
        <v>487</v>
      </c>
      <c r="K131" s="151">
        <v>0</v>
      </c>
      <c r="L131" s="256">
        <f>IF($C$5&lt;3000,(Bron!H120*$C$5)+Bron!I120,(Bron!M120*$C$5)+Bron!N120)</f>
        <v>10438.56</v>
      </c>
      <c r="M131" s="256"/>
      <c r="N131" s="496">
        <f t="shared" si="90"/>
        <v>6514.9433999999992</v>
      </c>
      <c r="O131" s="497">
        <f t="shared" si="91"/>
        <v>1.6022487624374451</v>
      </c>
      <c r="P131" s="257">
        <f>IF($C$5&lt;3000,$AN$32*Bron!J120,$AN$32*Bron!O120)</f>
        <v>4653.5309999999999</v>
      </c>
      <c r="Q131" s="257"/>
      <c r="R131" s="257">
        <f>IF($C$5&lt;3000,$AN$33*Bron!J120,$AN$33*Bron!O120)</f>
        <v>0</v>
      </c>
      <c r="S131" s="344"/>
      <c r="T131" s="258">
        <f t="shared" si="93"/>
        <v>1</v>
      </c>
      <c r="U131" s="259">
        <f t="shared" si="94"/>
        <v>10438.56</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v>1</v>
      </c>
      <c r="AU131" s="676">
        <f t="shared" si="103"/>
        <v>10438.56</v>
      </c>
      <c r="AV131" s="677">
        <f t="shared" si="104"/>
        <v>4653.5309999999999</v>
      </c>
      <c r="AW131" s="677">
        <f t="shared" si="139"/>
        <v>0</v>
      </c>
      <c r="AX131" s="678">
        <f t="shared" si="140"/>
        <v>0</v>
      </c>
      <c r="AY131" s="679">
        <f t="shared" si="141"/>
        <v>6514.9433999999992</v>
      </c>
      <c r="AZ131" s="675"/>
      <c r="BA131" s="676">
        <f t="shared" si="105"/>
        <v>0</v>
      </c>
      <c r="BB131" s="677">
        <f t="shared" si="106"/>
        <v>0</v>
      </c>
      <c r="BC131" s="677">
        <f t="shared" si="142"/>
        <v>0</v>
      </c>
      <c r="BD131" s="678">
        <f t="shared" si="143"/>
        <v>0</v>
      </c>
      <c r="BE131" s="679">
        <f t="shared" si="144"/>
        <v>0</v>
      </c>
      <c r="BF131" s="675"/>
      <c r="BG131" s="676">
        <f t="shared" si="107"/>
        <v>0</v>
      </c>
      <c r="BH131" s="677">
        <f t="shared" si="108"/>
        <v>0</v>
      </c>
      <c r="BI131" s="677">
        <f t="shared" si="145"/>
        <v>0</v>
      </c>
      <c r="BJ131" s="678">
        <f t="shared" si="146"/>
        <v>0</v>
      </c>
      <c r="BK131" s="679">
        <f t="shared" si="147"/>
        <v>0</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c r="B132" s="488">
        <v>88</v>
      </c>
      <c r="C132" s="489" t="s">
        <v>224</v>
      </c>
      <c r="D132" s="490" t="s">
        <v>493</v>
      </c>
      <c r="E132" s="491" t="s">
        <v>492</v>
      </c>
      <c r="F132" s="492"/>
      <c r="G132" s="493"/>
      <c r="H132" s="146" t="s">
        <v>852</v>
      </c>
      <c r="I132" s="494" t="str">
        <f t="shared" si="92"/>
        <v>verhuurder</v>
      </c>
      <c r="J132" s="495" t="s">
        <v>487</v>
      </c>
      <c r="K132" s="151">
        <v>0</v>
      </c>
      <c r="L132" s="256">
        <f>IF($C$5&lt;3000,(Bron!H121*$C$5)+Bron!I121,(Bron!M121*$C$5)+Bron!N121)</f>
        <v>335656.8</v>
      </c>
      <c r="M132" s="256"/>
      <c r="N132" s="496">
        <f t="shared" si="90"/>
        <v>47579.304374052379</v>
      </c>
      <c r="O132" s="497">
        <f t="shared" si="91"/>
        <v>7.0546806939668532</v>
      </c>
      <c r="P132" s="257">
        <f>IF($C$5&lt;3000,$AN$32*Bron!J121,$AN$32*Bron!O121)</f>
        <v>65494.139999999992</v>
      </c>
      <c r="Q132" s="257">
        <f>(-P132*(35.17/3.6*0.95)/3.5)</f>
        <v>-173671.22687380947</v>
      </c>
      <c r="R132" s="257">
        <f>IF($C$5&lt;3000,$AN$33*Bron!J121,$AN$33*Bron!O121)</f>
        <v>0</v>
      </c>
      <c r="S132" s="344"/>
      <c r="T132" s="258">
        <f t="shared" si="93"/>
        <v>1</v>
      </c>
      <c r="U132" s="259">
        <f t="shared" si="94"/>
        <v>335656.8</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v>1</v>
      </c>
      <c r="AU132" s="676">
        <f t="shared" si="103"/>
        <v>335656.8</v>
      </c>
      <c r="AV132" s="677">
        <f t="shared" si="104"/>
        <v>65494.139999999992</v>
      </c>
      <c r="AW132" s="677">
        <f t="shared" si="139"/>
        <v>-173671.22687380947</v>
      </c>
      <c r="AX132" s="678">
        <f t="shared" si="140"/>
        <v>0</v>
      </c>
      <c r="AY132" s="679">
        <f t="shared" si="141"/>
        <v>47579.304374052379</v>
      </c>
      <c r="AZ132" s="675"/>
      <c r="BA132" s="676">
        <f t="shared" si="105"/>
        <v>0</v>
      </c>
      <c r="BB132" s="677">
        <f t="shared" si="106"/>
        <v>0</v>
      </c>
      <c r="BC132" s="677">
        <f t="shared" si="142"/>
        <v>0</v>
      </c>
      <c r="BD132" s="678">
        <f t="shared" si="143"/>
        <v>0</v>
      </c>
      <c r="BE132" s="679">
        <f t="shared" si="144"/>
        <v>0</v>
      </c>
      <c r="BF132" s="675"/>
      <c r="BG132" s="676">
        <f t="shared" si="107"/>
        <v>0</v>
      </c>
      <c r="BH132" s="677">
        <f t="shared" si="108"/>
        <v>0</v>
      </c>
      <c r="BI132" s="677">
        <f t="shared" si="145"/>
        <v>0</v>
      </c>
      <c r="BJ132" s="678">
        <f t="shared" si="146"/>
        <v>0</v>
      </c>
      <c r="BK132" s="679">
        <f t="shared" si="147"/>
        <v>0</v>
      </c>
      <c r="BL132" s="675"/>
      <c r="BM132" s="676">
        <f t="shared" si="109"/>
        <v>0</v>
      </c>
      <c r="BN132" s="677">
        <f t="shared" si="110"/>
        <v>0</v>
      </c>
      <c r="BO132" s="677">
        <f t="shared" si="148"/>
        <v>0</v>
      </c>
      <c r="BP132" s="678">
        <f t="shared" si="149"/>
        <v>0</v>
      </c>
      <c r="BQ132" s="679">
        <f t="shared" si="150"/>
        <v>0</v>
      </c>
      <c r="BR132" s="675"/>
      <c r="BS132" s="676">
        <f t="shared" si="111"/>
        <v>0</v>
      </c>
      <c r="BT132" s="677">
        <f t="shared" si="112"/>
        <v>0</v>
      </c>
      <c r="BU132" s="677">
        <f t="shared" si="151"/>
        <v>0</v>
      </c>
      <c r="BV132" s="678">
        <f t="shared" si="152"/>
        <v>0</v>
      </c>
      <c r="BW132" s="679">
        <f t="shared" si="153"/>
        <v>0</v>
      </c>
      <c r="BX132" s="675"/>
      <c r="BY132" s="676">
        <f t="shared" si="113"/>
        <v>0</v>
      </c>
      <c r="BZ132" s="677">
        <f t="shared" si="114"/>
        <v>0</v>
      </c>
      <c r="CA132" s="677">
        <f t="shared" si="154"/>
        <v>0</v>
      </c>
      <c r="CB132" s="678">
        <f t="shared" si="155"/>
        <v>0</v>
      </c>
      <c r="CC132" s="679">
        <f t="shared" si="156"/>
        <v>0</v>
      </c>
      <c r="CD132" s="675"/>
      <c r="CE132" s="676">
        <f t="shared" si="115"/>
        <v>0</v>
      </c>
      <c r="CF132" s="677">
        <f t="shared" si="116"/>
        <v>0</v>
      </c>
      <c r="CG132" s="677">
        <f t="shared" si="157"/>
        <v>0</v>
      </c>
      <c r="CH132" s="678">
        <f t="shared" si="158"/>
        <v>0</v>
      </c>
      <c r="CI132" s="679">
        <f t="shared" si="159"/>
        <v>0</v>
      </c>
      <c r="CJ132" s="675"/>
      <c r="CK132" s="676">
        <f t="shared" si="117"/>
        <v>0</v>
      </c>
      <c r="CL132" s="677">
        <f t="shared" si="118"/>
        <v>0</v>
      </c>
      <c r="CM132" s="677">
        <f t="shared" si="160"/>
        <v>0</v>
      </c>
      <c r="CN132" s="678">
        <f t="shared" si="161"/>
        <v>0</v>
      </c>
      <c r="CO132" s="679">
        <f t="shared" si="162"/>
        <v>0</v>
      </c>
      <c r="CP132" s="675"/>
      <c r="CQ132" s="676">
        <f t="shared" si="119"/>
        <v>0</v>
      </c>
      <c r="CR132" s="677">
        <f t="shared" si="120"/>
        <v>0</v>
      </c>
      <c r="CS132" s="677">
        <f t="shared" si="163"/>
        <v>0</v>
      </c>
      <c r="CT132" s="678">
        <f t="shared" si="164"/>
        <v>0</v>
      </c>
      <c r="CU132" s="679">
        <f t="shared" si="165"/>
        <v>0</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c r="DU132" s="676">
        <f t="shared" si="121"/>
        <v>0</v>
      </c>
      <c r="DV132" s="677">
        <f t="shared" si="122"/>
        <v>0</v>
      </c>
      <c r="DW132" s="677">
        <f t="shared" si="166"/>
        <v>0</v>
      </c>
      <c r="DX132" s="678">
        <f t="shared" si="167"/>
        <v>0</v>
      </c>
      <c r="DY132" s="679">
        <f t="shared" si="168"/>
        <v>0</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852</v>
      </c>
      <c r="I133" s="494" t="str">
        <f t="shared" si="92"/>
        <v>verhuurder</v>
      </c>
      <c r="J133" s="495" t="s">
        <v>487</v>
      </c>
      <c r="K133" s="151">
        <v>0</v>
      </c>
      <c r="L133" s="256">
        <f>IF($C$5&lt;3000,(Bron!H122*$C$5)+Bron!I122,(Bron!M122*$C$5)+Bron!N122)</f>
        <v>12526.271999999999</v>
      </c>
      <c r="M133" s="256"/>
      <c r="N133" s="496">
        <f t="shared" si="90"/>
        <v>6434.5119999999997</v>
      </c>
      <c r="O133" s="497">
        <f t="shared" si="91"/>
        <v>1.9467322463614956</v>
      </c>
      <c r="P133" s="257">
        <f>IF($C$5&lt;3000,$AN$32*Bron!J122,$AN$32*Bron!O122)</f>
        <v>4596.08</v>
      </c>
      <c r="Q133" s="257"/>
      <c r="R133" s="257">
        <f>IF($C$5&lt;3000,$AN$33*Bron!J122,$AN$33*Bron!O122)</f>
        <v>0</v>
      </c>
      <c r="S133" s="344"/>
      <c r="T133" s="258">
        <f t="shared" si="93"/>
        <v>0</v>
      </c>
      <c r="U133" s="259">
        <f t="shared" si="94"/>
        <v>0</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c r="BA133" s="676">
        <f t="shared" si="105"/>
        <v>0</v>
      </c>
      <c r="BB133" s="677">
        <f t="shared" si="106"/>
        <v>0</v>
      </c>
      <c r="BC133" s="677">
        <f t="shared" si="142"/>
        <v>0</v>
      </c>
      <c r="BD133" s="678">
        <f t="shared" si="143"/>
        <v>0</v>
      </c>
      <c r="BE133" s="679">
        <f t="shared" si="144"/>
        <v>0</v>
      </c>
      <c r="BF133" s="675"/>
      <c r="BG133" s="676">
        <f t="shared" si="107"/>
        <v>0</v>
      </c>
      <c r="BH133" s="677">
        <f t="shared" si="108"/>
        <v>0</v>
      </c>
      <c r="BI133" s="677">
        <f t="shared" si="145"/>
        <v>0</v>
      </c>
      <c r="BJ133" s="678">
        <f t="shared" si="146"/>
        <v>0</v>
      </c>
      <c r="BK133" s="679">
        <f t="shared" si="147"/>
        <v>0</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852</v>
      </c>
      <c r="I134" s="494" t="str">
        <f t="shared" si="92"/>
        <v>verhuurder</v>
      </c>
      <c r="J134" s="495" t="s">
        <v>487</v>
      </c>
      <c r="K134" s="151">
        <v>0</v>
      </c>
      <c r="L134" s="256">
        <f>IF($C$5&lt;3000,(Bron!H123*$C$5)+Bron!I123,(Bron!M123*$C$5)+Bron!N123)</f>
        <v>12526.271999999999</v>
      </c>
      <c r="M134" s="256"/>
      <c r="N134" s="496">
        <f t="shared" si="90"/>
        <v>1608.6279999999999</v>
      </c>
      <c r="O134" s="497">
        <f t="shared" si="91"/>
        <v>7.7869289854459822</v>
      </c>
      <c r="P134" s="257">
        <f>IF($C$5&lt;3000,$AN$32*Bron!J123,$AN$32*Bron!O123)</f>
        <v>1149.02</v>
      </c>
      <c r="Q134" s="257"/>
      <c r="R134" s="257">
        <f>IF($C$5&lt;3000,$AN$33*Bron!J123,$AN$33*Bron!O123)</f>
        <v>0</v>
      </c>
      <c r="S134" s="344"/>
      <c r="T134" s="258">
        <f t="shared" si="93"/>
        <v>1</v>
      </c>
      <c r="U134" s="259">
        <f t="shared" si="94"/>
        <v>12526.271999999999</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v>1</v>
      </c>
      <c r="AU134" s="676">
        <f t="shared" si="103"/>
        <v>12526.271999999999</v>
      </c>
      <c r="AV134" s="677">
        <f t="shared" si="104"/>
        <v>1149.02</v>
      </c>
      <c r="AW134" s="677">
        <f t="shared" si="139"/>
        <v>0</v>
      </c>
      <c r="AX134" s="678">
        <f t="shared" si="140"/>
        <v>0</v>
      </c>
      <c r="AY134" s="679">
        <f t="shared" si="141"/>
        <v>1608.6279999999999</v>
      </c>
      <c r="AZ134" s="675"/>
      <c r="BA134" s="676">
        <f t="shared" si="105"/>
        <v>0</v>
      </c>
      <c r="BB134" s="677">
        <f t="shared" si="106"/>
        <v>0</v>
      </c>
      <c r="BC134" s="677">
        <f t="shared" si="142"/>
        <v>0</v>
      </c>
      <c r="BD134" s="678">
        <f t="shared" si="143"/>
        <v>0</v>
      </c>
      <c r="BE134" s="679">
        <f t="shared" si="144"/>
        <v>0</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c r="B135" s="488">
        <v>91</v>
      </c>
      <c r="C135" s="489" t="s">
        <v>224</v>
      </c>
      <c r="D135" s="490" t="s">
        <v>228</v>
      </c>
      <c r="E135" s="491" t="s">
        <v>229</v>
      </c>
      <c r="F135" s="492"/>
      <c r="G135" s="493"/>
      <c r="H135" s="146" t="s">
        <v>852</v>
      </c>
      <c r="I135" s="494" t="str">
        <f t="shared" si="92"/>
        <v>verhuurder</v>
      </c>
      <c r="J135" s="495" t="s">
        <v>487</v>
      </c>
      <c r="K135" s="151">
        <v>0</v>
      </c>
      <c r="L135" s="256">
        <f>IF($C$5&lt;3000,(Bron!H124*$C$5)+Bron!I124,(Bron!M124*$C$5)+Bron!N124)</f>
        <v>6263.1359999999995</v>
      </c>
      <c r="M135" s="256"/>
      <c r="N135" s="496">
        <f t="shared" si="90"/>
        <v>4021.57</v>
      </c>
      <c r="O135" s="497">
        <f t="shared" si="91"/>
        <v>1.5573857970891962</v>
      </c>
      <c r="P135" s="257">
        <f>IF($C$5&lt;3000,$AN$32*Bron!J124,$AN$32*Bron!O124)</f>
        <v>2872.55</v>
      </c>
      <c r="Q135" s="257"/>
      <c r="R135" s="257">
        <f>IF($C$5&lt;3000,$AN$33*Bron!J124,$AN$33*Bron!O124)</f>
        <v>0</v>
      </c>
      <c r="S135" s="344"/>
      <c r="T135" s="258">
        <f t="shared" si="93"/>
        <v>1</v>
      </c>
      <c r="U135" s="259">
        <f t="shared" si="94"/>
        <v>6263.1359999999995</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v>1</v>
      </c>
      <c r="AU135" s="676">
        <f t="shared" si="103"/>
        <v>6263.1359999999995</v>
      </c>
      <c r="AV135" s="677">
        <f t="shared" si="104"/>
        <v>2872.55</v>
      </c>
      <c r="AW135" s="677">
        <f t="shared" si="139"/>
        <v>0</v>
      </c>
      <c r="AX135" s="678">
        <f t="shared" si="140"/>
        <v>0</v>
      </c>
      <c r="AY135" s="679">
        <f t="shared" si="141"/>
        <v>4021.57</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852</v>
      </c>
      <c r="I136" s="494" t="str">
        <f t="shared" si="92"/>
        <v>verhuurder</v>
      </c>
      <c r="J136" s="495"/>
      <c r="K136" s="151">
        <v>0</v>
      </c>
      <c r="L136" s="256"/>
      <c r="M136" s="256">
        <f>IF($C$5&lt;3000,(Bron!H125*$C$5)+Bron!I125,(Bron!M125*$C$5)+Bron!N125)</f>
        <v>34447.248</v>
      </c>
      <c r="N136" s="496">
        <f t="shared" si="90"/>
        <v>5630.1980000000003</v>
      </c>
      <c r="O136" s="497">
        <f t="shared" si="91"/>
        <v>6.1183013457075575</v>
      </c>
      <c r="P136" s="257">
        <f>IF($C$5&lt;3000,$AN$32*Bron!J125,$AN$32*Bron!O125)</f>
        <v>4021.57</v>
      </c>
      <c r="Q136" s="257"/>
      <c r="R136" s="257">
        <f>IF($C$5&lt;3000,$AN$33*Bron!J125,$AN$33*Bron!O125)</f>
        <v>0</v>
      </c>
      <c r="S136" s="344"/>
      <c r="T136" s="258">
        <f t="shared" si="93"/>
        <v>0</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852</v>
      </c>
      <c r="I137" s="494" t="str">
        <f t="shared" si="92"/>
        <v>verhuurder</v>
      </c>
      <c r="J137" s="495"/>
      <c r="K137" s="151">
        <v>0</v>
      </c>
      <c r="L137" s="256"/>
      <c r="M137" s="256">
        <f>IF($C$5&lt;3000,(Bron!H126*$C$5)+Bron!I126,(Bron!M126*$C$5)+Bron!N126)</f>
        <v>0</v>
      </c>
      <c r="N137" s="496">
        <f t="shared" si="90"/>
        <v>766.23621200000002</v>
      </c>
      <c r="O137" s="497">
        <f t="shared" si="91"/>
        <v>0</v>
      </c>
      <c r="P137" s="257">
        <f>IF($C$5&lt;3000,$AN$32*Bron!J126,$AN$32*Bron!O126)</f>
        <v>0</v>
      </c>
      <c r="Q137" s="257">
        <f>IF($C$5&lt;3000,$AN$31*Bron!K126,$AN$31*Bron!P126)</f>
        <v>3016.6779999999999</v>
      </c>
      <c r="R137" s="257">
        <f>IF($C$5&lt;3000,$AN$33*Bron!J126,$AN$33*Bron!O126)</f>
        <v>0</v>
      </c>
      <c r="S137" s="344"/>
      <c r="T137" s="258">
        <f t="shared" si="93"/>
        <v>0</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c r="AU137" s="676">
        <f t="shared" si="103"/>
        <v>0</v>
      </c>
      <c r="AV137" s="677">
        <f t="shared" si="104"/>
        <v>0</v>
      </c>
      <c r="AW137" s="677">
        <f t="shared" si="139"/>
        <v>0</v>
      </c>
      <c r="AX137" s="678">
        <f t="shared" si="140"/>
        <v>0</v>
      </c>
      <c r="AY137" s="679">
        <f t="shared" si="141"/>
        <v>0</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c r="B138" s="488">
        <v>94</v>
      </c>
      <c r="C138" s="489" t="s">
        <v>224</v>
      </c>
      <c r="D138" s="490" t="s">
        <v>21</v>
      </c>
      <c r="E138" s="491" t="s">
        <v>424</v>
      </c>
      <c r="F138" s="492"/>
      <c r="G138" s="493"/>
      <c r="H138" s="146" t="s">
        <v>97</v>
      </c>
      <c r="I138" s="494" t="str">
        <f t="shared" si="92"/>
        <v>n.v.t.</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c r="B139" s="488">
        <v>95</v>
      </c>
      <c r="C139" s="489" t="s">
        <v>224</v>
      </c>
      <c r="D139" s="490" t="s">
        <v>493</v>
      </c>
      <c r="E139" s="491" t="s">
        <v>601</v>
      </c>
      <c r="F139" s="492"/>
      <c r="G139" s="493"/>
      <c r="H139" s="146" t="s">
        <v>852</v>
      </c>
      <c r="I139" s="494" t="str">
        <f t="shared" si="92"/>
        <v>verhuurder</v>
      </c>
      <c r="J139" s="495" t="s">
        <v>487</v>
      </c>
      <c r="K139" s="151">
        <v>0</v>
      </c>
      <c r="L139" s="256">
        <f>IF($C$5&lt;3000,(Bron!H128*$C$5)+Bron!I128,(Bron!M128*$C$5)+Bron!N128)</f>
        <v>104385.59999999999</v>
      </c>
      <c r="M139" s="256"/>
      <c r="N139" s="496">
        <f t="shared" si="90"/>
        <v>25738.047999999999</v>
      </c>
      <c r="O139" s="497">
        <f t="shared" si="91"/>
        <v>4.0556921799197827</v>
      </c>
      <c r="P139" s="257">
        <f>IF($C$5&lt;3000,$AN$32*Bron!J128,$AN$32*Bron!O128)</f>
        <v>18384.32</v>
      </c>
      <c r="Q139" s="257"/>
      <c r="R139" s="257">
        <f>IF($C$5&lt;3000,$AN$33*Bron!J128,$AN$33*Bron!O128)</f>
        <v>0</v>
      </c>
      <c r="S139" s="344"/>
      <c r="T139" s="258">
        <f t="shared" si="93"/>
        <v>0</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852</v>
      </c>
      <c r="I140" s="494" t="str">
        <f t="shared" si="92"/>
        <v>verhuurder</v>
      </c>
      <c r="J140" s="495" t="s">
        <v>487</v>
      </c>
      <c r="K140" s="151">
        <v>0</v>
      </c>
      <c r="L140" s="256">
        <f>IF($C$5&lt;3000,(Bron!H129*$C$5)+Bron!I129,(Bron!M129*$C$5)+Bron!N129)</f>
        <v>4175.424</v>
      </c>
      <c r="M140" s="256"/>
      <c r="N140" s="496">
        <f t="shared" si="90"/>
        <v>1608.6279999999999</v>
      </c>
      <c r="O140" s="497">
        <f t="shared" si="91"/>
        <v>2.595642995148661</v>
      </c>
      <c r="P140" s="257">
        <f>IF($C$5&lt;3000,$AN$32*Bron!J129,$AN$32*Bron!O129)</f>
        <v>1149.02</v>
      </c>
      <c r="Q140" s="257"/>
      <c r="R140" s="257">
        <f>IF($C$5&lt;3000,$AN$33*Bron!J129,$AN$33*Bron!O129)</f>
        <v>0</v>
      </c>
      <c r="S140" s="344"/>
      <c r="T140" s="258">
        <f t="shared" si="93"/>
        <v>0</v>
      </c>
      <c r="U140" s="259">
        <f t="shared" si="94"/>
        <v>0</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c r="BA140" s="676">
        <f t="shared" si="105"/>
        <v>0</v>
      </c>
      <c r="BB140" s="677">
        <f t="shared" si="106"/>
        <v>0</v>
      </c>
      <c r="BC140" s="677">
        <f t="shared" si="142"/>
        <v>0</v>
      </c>
      <c r="BD140" s="678">
        <f t="shared" si="143"/>
        <v>0</v>
      </c>
      <c r="BE140" s="679">
        <f t="shared" si="144"/>
        <v>0</v>
      </c>
      <c r="BF140" s="675"/>
      <c r="BG140" s="676">
        <f t="shared" si="107"/>
        <v>0</v>
      </c>
      <c r="BH140" s="677">
        <f t="shared" si="108"/>
        <v>0</v>
      </c>
      <c r="BI140" s="677">
        <f t="shared" si="145"/>
        <v>0</v>
      </c>
      <c r="BJ140" s="678">
        <f t="shared" si="146"/>
        <v>0</v>
      </c>
      <c r="BK140" s="679">
        <f t="shared" si="147"/>
        <v>0</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c r="B141" s="488">
        <v>97</v>
      </c>
      <c r="C141" s="489" t="s">
        <v>224</v>
      </c>
      <c r="D141" s="490" t="s">
        <v>493</v>
      </c>
      <c r="E141" s="491" t="s">
        <v>442</v>
      </c>
      <c r="F141" s="492"/>
      <c r="G141" s="493"/>
      <c r="H141" s="146" t="s">
        <v>852</v>
      </c>
      <c r="I141" s="494" t="str">
        <f t="shared" si="92"/>
        <v>verhuurder</v>
      </c>
      <c r="J141" s="495" t="s">
        <v>487</v>
      </c>
      <c r="K141" s="151">
        <v>0</v>
      </c>
      <c r="L141" s="256">
        <f>IF($C$5&lt;3000,(Bron!H130*$C$5)+Bron!I130,(Bron!M130*$C$5)+Bron!N130)</f>
        <v>636752.15999999992</v>
      </c>
      <c r="M141" s="256"/>
      <c r="N141" s="496">
        <f t="shared" si="90"/>
        <v>3217.2559999999999</v>
      </c>
      <c r="O141" s="497">
        <f t="shared" si="91"/>
        <v>197.91777838008537</v>
      </c>
      <c r="P141" s="257">
        <f>IF($C$5&lt;3000,$AN$32*Bron!J130,$AN$32*Bron!O130)</f>
        <v>2298.04</v>
      </c>
      <c r="Q141" s="257"/>
      <c r="R141" s="257">
        <f>IF($C$5&lt;3000,$AN$33*Bron!J130,$AN$33*Bron!O130)</f>
        <v>0</v>
      </c>
      <c r="S141" s="344"/>
      <c r="T141" s="258">
        <f t="shared" si="93"/>
        <v>0</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c r="B142" s="488">
        <v>98</v>
      </c>
      <c r="C142" s="489" t="s">
        <v>224</v>
      </c>
      <c r="D142" s="490" t="s">
        <v>493</v>
      </c>
      <c r="E142" s="491" t="s">
        <v>443</v>
      </c>
      <c r="F142" s="492"/>
      <c r="G142" s="493"/>
      <c r="H142" s="146" t="s">
        <v>97</v>
      </c>
      <c r="I142" s="494" t="str">
        <f t="shared" si="92"/>
        <v>n.v.t.</v>
      </c>
      <c r="J142" s="495"/>
      <c r="K142" s="151">
        <v>0</v>
      </c>
      <c r="L142" s="256"/>
      <c r="M142" s="256">
        <f>IF($C$5&lt;3000,(Bron!H131*$C$5)+Bron!I131,(Bron!M131*$C$5)+Bron!N131)</f>
        <v>375000</v>
      </c>
      <c r="N142" s="496">
        <f t="shared" si="90"/>
        <v>93146.25583736111</v>
      </c>
      <c r="O142" s="497">
        <f t="shared" si="91"/>
        <v>4.0259267173848858</v>
      </c>
      <c r="P142" s="257">
        <f>IF($C$5&lt;3000,$AN$32*Bron!J131,$AN$32*Bron!O131)</f>
        <v>114902</v>
      </c>
      <c r="Q142" s="257">
        <f>(-P142*(35.17/3.6*0.95)/4)</f>
        <v>-266600.56756944442</v>
      </c>
      <c r="R142" s="257">
        <f>IF($C$5&lt;3000,$AN$33*Bron!J131,$AN$33*Bron!O131)</f>
        <v>0</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c r="B143" s="488">
        <v>99</v>
      </c>
      <c r="C143" s="489" t="s">
        <v>234</v>
      </c>
      <c r="D143" s="490" t="s">
        <v>4</v>
      </c>
      <c r="E143" s="491" t="s">
        <v>235</v>
      </c>
      <c r="F143" s="492"/>
      <c r="G143" s="493"/>
      <c r="H143" s="146" t="s">
        <v>852</v>
      </c>
      <c r="I143" s="494" t="str">
        <f t="shared" si="92"/>
        <v>verhuurder</v>
      </c>
      <c r="J143" s="495" t="s">
        <v>489</v>
      </c>
      <c r="K143" s="151">
        <v>0</v>
      </c>
      <c r="L143" s="256">
        <f>IF($C$5&lt;3000,(Bron!H132*$C$5)+Bron!I132,(Bron!M132*$C$5)+Bron!N132)</f>
        <v>37578.815999999999</v>
      </c>
      <c r="M143" s="256"/>
      <c r="N143" s="496">
        <f t="shared" si="90"/>
        <v>9137.7631600000004</v>
      </c>
      <c r="O143" s="497">
        <f t="shared" si="91"/>
        <v>4.1124742830388694</v>
      </c>
      <c r="P143" s="257">
        <f>IF($C$5&lt;3000,$AN$32*Bron!J132,$AN$32*Bron!O132)</f>
        <v>5745.1</v>
      </c>
      <c r="Q143" s="257">
        <f>IF($C$5&lt;3000,$AN$31*Bron!K132,$AN$31*Bron!P132)</f>
        <v>4309.54</v>
      </c>
      <c r="R143" s="257">
        <f>IF($C$5&lt;3000,$AN$33*Bron!J132,$AN$33*Bron!O132)</f>
        <v>0</v>
      </c>
      <c r="S143" s="344"/>
      <c r="T143" s="258">
        <f t="shared" si="93"/>
        <v>0</v>
      </c>
      <c r="U143" s="259">
        <f t="shared" si="94"/>
        <v>0</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c r="BA143" s="676">
        <f t="shared" si="105"/>
        <v>0</v>
      </c>
      <c r="BB143" s="677">
        <f t="shared" si="106"/>
        <v>0</v>
      </c>
      <c r="BC143" s="677">
        <f t="shared" si="142"/>
        <v>0</v>
      </c>
      <c r="BD143" s="678">
        <f t="shared" si="143"/>
        <v>0</v>
      </c>
      <c r="BE143" s="679">
        <f t="shared" si="144"/>
        <v>0</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c r="B144" s="488">
        <v>100</v>
      </c>
      <c r="C144" s="489" t="s">
        <v>234</v>
      </c>
      <c r="D144" s="490" t="s">
        <v>236</v>
      </c>
      <c r="E144" s="491" t="s">
        <v>237</v>
      </c>
      <c r="F144" s="492"/>
      <c r="G144" s="493"/>
      <c r="H144" s="146" t="s">
        <v>852</v>
      </c>
      <c r="I144" s="494" t="str">
        <f t="shared" si="92"/>
        <v>verhuurder</v>
      </c>
      <c r="J144" s="495" t="s">
        <v>487</v>
      </c>
      <c r="K144" s="151">
        <v>0</v>
      </c>
      <c r="L144" s="256">
        <f>IF($C$5&lt;3000,(Bron!H133*$C$5)+Bron!I133,(Bron!M133*$C$5)+Bron!N133)</f>
        <v>135701.28</v>
      </c>
      <c r="M144" s="256"/>
      <c r="N144" s="496">
        <f t="shared" si="90"/>
        <v>45041.584000000003</v>
      </c>
      <c r="O144" s="497">
        <f t="shared" si="91"/>
        <v>3.0127999050832668</v>
      </c>
      <c r="P144" s="257">
        <f>IF($C$5&lt;3000,$AN$32*Bron!J133,$AN$32*Bron!O133)</f>
        <v>32172.560000000001</v>
      </c>
      <c r="Q144" s="257"/>
      <c r="R144" s="257">
        <f>IF($C$5&lt;3000,$AN$33*Bron!J133,$AN$33*Bron!O133)</f>
        <v>0</v>
      </c>
      <c r="S144" s="344"/>
      <c r="T144" s="258">
        <f t="shared" si="93"/>
        <v>0</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c r="B145" s="488">
        <v>101</v>
      </c>
      <c r="C145" s="489" t="s">
        <v>234</v>
      </c>
      <c r="D145" s="490" t="s">
        <v>22</v>
      </c>
      <c r="E145" s="491" t="s">
        <v>238</v>
      </c>
      <c r="F145" s="492"/>
      <c r="G145" s="493"/>
      <c r="H145" s="146" t="s">
        <v>852</v>
      </c>
      <c r="I145" s="494" t="str">
        <f t="shared" si="92"/>
        <v>verhuurder</v>
      </c>
      <c r="J145" s="495" t="s">
        <v>487</v>
      </c>
      <c r="K145" s="151">
        <v>0</v>
      </c>
      <c r="L145" s="256">
        <f>IF($C$5&lt;3000,(Bron!H134*$C$5)+Bron!I134,(Bron!M134*$C$5)+Bron!N134)</f>
        <v>70982.207999999999</v>
      </c>
      <c r="M145" s="256"/>
      <c r="N145" s="496">
        <f t="shared" si="90"/>
        <v>3831.1810600000003</v>
      </c>
      <c r="O145" s="497">
        <f t="shared" si="91"/>
        <v>18.527500237746526</v>
      </c>
      <c r="P145" s="257">
        <f>IF($C$5&lt;3000,$AN$32*Bron!J134,$AN$32*Bron!O134)</f>
        <v>0</v>
      </c>
      <c r="Q145" s="257">
        <f>IF($C$5&lt;3000,$AN$31*Bron!K134,$AN$31*Bron!P134)</f>
        <v>15083.390000000001</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c r="B146" s="488">
        <v>102</v>
      </c>
      <c r="C146" s="489" t="s">
        <v>234</v>
      </c>
      <c r="D146" s="490" t="s">
        <v>239</v>
      </c>
      <c r="E146" s="491" t="s">
        <v>240</v>
      </c>
      <c r="F146" s="492"/>
      <c r="G146" s="493"/>
      <c r="H146" s="146" t="s">
        <v>852</v>
      </c>
      <c r="I146" s="494" t="str">
        <f t="shared" si="92"/>
        <v>verhuurder</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c r="B147" s="488">
        <v>103</v>
      </c>
      <c r="C147" s="489" t="s">
        <v>234</v>
      </c>
      <c r="D147" s="490" t="s">
        <v>241</v>
      </c>
      <c r="E147" s="491" t="s">
        <v>242</v>
      </c>
      <c r="F147" s="492"/>
      <c r="G147" s="493"/>
      <c r="H147" s="146" t="s">
        <v>852</v>
      </c>
      <c r="I147" s="494" t="str">
        <f t="shared" si="92"/>
        <v>verhuurder</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c r="B148" s="488">
        <v>104</v>
      </c>
      <c r="C148" s="489" t="s">
        <v>234</v>
      </c>
      <c r="D148" s="490" t="s">
        <v>243</v>
      </c>
      <c r="E148" s="491" t="s">
        <v>244</v>
      </c>
      <c r="F148" s="492"/>
      <c r="G148" s="493"/>
      <c r="H148" s="146" t="s">
        <v>852</v>
      </c>
      <c r="I148" s="494" t="str">
        <f t="shared" si="92"/>
        <v>verhuurder</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c r="B149" s="488">
        <v>105</v>
      </c>
      <c r="C149" s="489" t="s">
        <v>234</v>
      </c>
      <c r="D149" s="490" t="s">
        <v>245</v>
      </c>
      <c r="E149" s="491" t="s">
        <v>246</v>
      </c>
      <c r="F149" s="492"/>
      <c r="G149" s="493"/>
      <c r="H149" s="146" t="s">
        <v>852</v>
      </c>
      <c r="I149" s="494" t="str">
        <f t="shared" si="92"/>
        <v>verhuurder</v>
      </c>
      <c r="J149" s="495"/>
      <c r="K149" s="151">
        <v>0</v>
      </c>
      <c r="L149" s="256"/>
      <c r="M149" s="256">
        <f>IF($C$5&lt;3000,(Bron!H138*$C$5)+Bron!I138,(Bron!M138*$C$5)+Bron!N138)</f>
        <v>6263.1359999999995</v>
      </c>
      <c r="N149" s="496">
        <f t="shared" si="90"/>
        <v>2736.5579000000002</v>
      </c>
      <c r="O149" s="497">
        <f t="shared" si="91"/>
        <v>2.2886912058392768</v>
      </c>
      <c r="P149" s="257">
        <f>IF($C$5&lt;3000,$AN$32*Bron!J138,$AN$32*Bron!O138)</f>
        <v>0</v>
      </c>
      <c r="Q149" s="257">
        <f>IF($C$5&lt;3000,$AN$31*Bron!K138,$AN$31*Bron!P138)</f>
        <v>10773.85</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c r="B150" s="488">
        <v>106</v>
      </c>
      <c r="C150" s="489" t="s">
        <v>234</v>
      </c>
      <c r="D150" s="490" t="s">
        <v>493</v>
      </c>
      <c r="E150" s="491" t="s">
        <v>579</v>
      </c>
      <c r="F150" s="492"/>
      <c r="G150" s="493"/>
      <c r="H150" s="146" t="s">
        <v>858</v>
      </c>
      <c r="I150" s="494" t="str">
        <f t="shared" si="92"/>
        <v/>
      </c>
      <c r="J150" s="495" t="s">
        <v>487</v>
      </c>
      <c r="K150" s="151">
        <v>0</v>
      </c>
      <c r="L150" s="256">
        <f>IF($C$5&lt;3000,(Bron!H139*$C$5)+Bron!I139,(Bron!M139*$C$5)+Bron!N139)</f>
        <v>64719.072</v>
      </c>
      <c r="M150" s="256"/>
      <c r="N150" s="496">
        <f t="shared" si="90"/>
        <v>3831.1810600000003</v>
      </c>
      <c r="O150" s="497">
        <f t="shared" si="91"/>
        <v>16.892720805004188</v>
      </c>
      <c r="P150" s="257">
        <f>IF($C$5&lt;3000,$AN$32*Bron!J139,$AN$32*Bron!O139)</f>
        <v>0</v>
      </c>
      <c r="Q150" s="257">
        <f>IF($C$5&lt;3000,$AN$31*Bron!K139,$AN$31*Bron!P139)</f>
        <v>15083.390000000001</v>
      </c>
      <c r="R150" s="257">
        <f>IF($C$5&lt;3000,$AN$33*Bron!J139,$AN$33*Bron!O139)</f>
        <v>0</v>
      </c>
      <c r="S150" s="344"/>
      <c r="T150" s="258">
        <f t="shared" si="93"/>
        <v>0</v>
      </c>
      <c r="U150" s="259">
        <f t="shared" si="94"/>
        <v>0</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c r="BA150" s="676">
        <f t="shared" si="105"/>
        <v>0</v>
      </c>
      <c r="BB150" s="677">
        <f t="shared" si="106"/>
        <v>0</v>
      </c>
      <c r="BC150" s="677">
        <f t="shared" si="142"/>
        <v>0</v>
      </c>
      <c r="BD150" s="678">
        <f t="shared" si="143"/>
        <v>0</v>
      </c>
      <c r="BE150" s="679">
        <f t="shared" si="144"/>
        <v>0</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c r="B151" s="488">
        <v>107</v>
      </c>
      <c r="C151" s="489" t="s">
        <v>234</v>
      </c>
      <c r="D151" s="490" t="s">
        <v>493</v>
      </c>
      <c r="E151" s="491" t="s">
        <v>584</v>
      </c>
      <c r="F151" s="492"/>
      <c r="G151" s="493"/>
      <c r="H151" s="146" t="s">
        <v>852</v>
      </c>
      <c r="I151" s="494" t="str">
        <f t="shared" si="92"/>
        <v>verhuurder</v>
      </c>
      <c r="J151" s="495" t="s">
        <v>487</v>
      </c>
      <c r="K151" s="151">
        <v>0</v>
      </c>
      <c r="L151" s="256">
        <f>IF($C$5&lt;3000,(Bron!H140*$C$5)+Bron!I140,(Bron!M140*$C$5)+Bron!N140)</f>
        <v>34447.248</v>
      </c>
      <c r="M151" s="256"/>
      <c r="N151" s="496">
        <f t="shared" si="90"/>
        <v>9137.7631600000004</v>
      </c>
      <c r="O151" s="497">
        <f t="shared" si="91"/>
        <v>3.7697680927856307</v>
      </c>
      <c r="P151" s="257">
        <f>IF($C$5&lt;3000,$AN$32*Bron!J140,$AN$32*Bron!O140)</f>
        <v>5745.1</v>
      </c>
      <c r="Q151" s="257">
        <f>IF($C$5&lt;3000,$AN$31*Bron!K140,$AN$31*Bron!P140)</f>
        <v>4309.54</v>
      </c>
      <c r="R151" s="257">
        <f>IF($C$5&lt;3000,$AN$33*Bron!J140,$AN$33*Bron!O140)</f>
        <v>0</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c r="B152" s="488">
        <v>108</v>
      </c>
      <c r="C152" s="489" t="s">
        <v>234</v>
      </c>
      <c r="D152" s="490" t="s">
        <v>493</v>
      </c>
      <c r="E152" s="491" t="s">
        <v>605</v>
      </c>
      <c r="F152" s="492"/>
      <c r="G152" s="493"/>
      <c r="H152" s="146" t="s">
        <v>852</v>
      </c>
      <c r="I152" s="494" t="str">
        <f t="shared" si="92"/>
        <v>verhuurder</v>
      </c>
      <c r="J152" s="495"/>
      <c r="K152" s="151">
        <v>0</v>
      </c>
      <c r="L152" s="256"/>
      <c r="M152" s="256">
        <f>IF($C$5&lt;3000,(Bron!H141*$C$5)+Bron!I141,(Bron!M141*$C$5)+Bron!N141)</f>
        <v>375788.16</v>
      </c>
      <c r="N152" s="496">
        <f t="shared" si="90"/>
        <v>57910.608</v>
      </c>
      <c r="O152" s="497">
        <f t="shared" si="91"/>
        <v>6.4891074878716513</v>
      </c>
      <c r="P152" s="257">
        <f>IF($C$5&lt;3000,$AN$32*Bron!J141,$AN$32*Bron!O141)</f>
        <v>41364.720000000001</v>
      </c>
      <c r="Q152" s="257">
        <f>IF($C$5&lt;3000,$AN$31*Bron!K141,$AN$31*Bron!P141)</f>
        <v>0</v>
      </c>
      <c r="R152" s="257">
        <f>IF($C$5&lt;3000,$AN$33*Bron!J141,$AN$33*Bron!O141)</f>
        <v>0</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c r="B153" s="488">
        <v>109</v>
      </c>
      <c r="C153" s="489" t="s">
        <v>234</v>
      </c>
      <c r="D153" s="490" t="s">
        <v>493</v>
      </c>
      <c r="E153" s="491" t="s">
        <v>608</v>
      </c>
      <c r="F153" s="492"/>
      <c r="G153" s="493"/>
      <c r="H153" s="146" t="s">
        <v>852</v>
      </c>
      <c r="I153" s="494" t="str">
        <f t="shared" si="92"/>
        <v>verhuurder</v>
      </c>
      <c r="J153" s="495"/>
      <c r="K153" s="151">
        <v>0</v>
      </c>
      <c r="L153" s="256"/>
      <c r="M153" s="256">
        <f>IF($C$5&lt;3000,(Bron!H142*$C$5)+Bron!I142,(Bron!M142*$C$5)+Bron!N142)</f>
        <v>229648.31999999998</v>
      </c>
      <c r="N153" s="496">
        <f t="shared" si="90"/>
        <v>38607.072</v>
      </c>
      <c r="O153" s="497">
        <f t="shared" si="91"/>
        <v>5.9483485305490138</v>
      </c>
      <c r="P153" s="257">
        <f>IF($C$5&lt;3000,$AN$32*Bron!J142,$AN$32*Bron!O142)</f>
        <v>27576.48</v>
      </c>
      <c r="Q153" s="257">
        <f>IF($C$5&lt;3000,$AN$31*Bron!K142,$AN$31*Bron!P142)</f>
        <v>0</v>
      </c>
      <c r="R153" s="257">
        <f>IF($C$5&lt;3000,$AN$33*Bron!J142,$AN$33*Bron!O142)</f>
        <v>0</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852</v>
      </c>
      <c r="I154" s="494" t="str">
        <f t="shared" si="92"/>
        <v>verhuurder</v>
      </c>
      <c r="J154" s="495" t="s">
        <v>487</v>
      </c>
      <c r="K154" s="151">
        <v>0</v>
      </c>
      <c r="L154" s="256">
        <f>IF($C$5&lt;3000,(Bron!H143*$C$5)+Bron!I143,(Bron!M143*$C$5)+Bron!N143)</f>
        <v>12630.657599999999</v>
      </c>
      <c r="M154" s="256"/>
      <c r="N154" s="496">
        <f t="shared" si="90"/>
        <v>1608.6279999999999</v>
      </c>
      <c r="O154" s="497">
        <f t="shared" si="91"/>
        <v>7.8518200603246981</v>
      </c>
      <c r="P154" s="257">
        <f>IF($C$5&lt;3000,$AN$32*Bron!J143,$AN$32*Bron!O143)</f>
        <v>1149.02</v>
      </c>
      <c r="Q154" s="257"/>
      <c r="R154" s="257">
        <f>IF($C$5&lt;3000,$AN$33*Bron!J143,$AN$33*Bron!O143)</f>
        <v>0</v>
      </c>
      <c r="S154" s="344"/>
      <c r="T154" s="258">
        <f t="shared" si="93"/>
        <v>1</v>
      </c>
      <c r="U154" s="259">
        <f t="shared" si="94"/>
        <v>12630.657599999999</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v>1</v>
      </c>
      <c r="AU154" s="676">
        <f t="shared" si="103"/>
        <v>12630.657599999999</v>
      </c>
      <c r="AV154" s="677">
        <f t="shared" si="104"/>
        <v>1149.02</v>
      </c>
      <c r="AW154" s="677">
        <f t="shared" si="139"/>
        <v>0</v>
      </c>
      <c r="AX154" s="678">
        <f t="shared" si="140"/>
        <v>0</v>
      </c>
      <c r="AY154" s="679">
        <f t="shared" si="141"/>
        <v>1608.6279999999999</v>
      </c>
      <c r="AZ154" s="675"/>
      <c r="BA154" s="676">
        <f t="shared" si="105"/>
        <v>0</v>
      </c>
      <c r="BB154" s="677">
        <f t="shared" si="106"/>
        <v>0</v>
      </c>
      <c r="BC154" s="677">
        <f t="shared" si="142"/>
        <v>0</v>
      </c>
      <c r="BD154" s="678">
        <f t="shared" si="143"/>
        <v>0</v>
      </c>
      <c r="BE154" s="679">
        <f t="shared" si="144"/>
        <v>0</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0</v>
      </c>
      <c r="L155" s="256">
        <f>IF($C$5&lt;3000,(Bron!H144*$C$5)+Bron!I144,(Bron!M144*$C$5)+Bron!N144)</f>
        <v>9394.7039999999997</v>
      </c>
      <c r="M155" s="256"/>
      <c r="N155" s="496">
        <f t="shared" ref="N155:N181" si="175">($C$19*P155)+($C$18*Q155)+($C$20*R155)</f>
        <v>2252.0791999999997</v>
      </c>
      <c r="O155" s="497">
        <f t="shared" ref="O155:O181" si="176">IF(N155=0,"",(L155+M155)/N155)</f>
        <v>4.1715690993460628</v>
      </c>
      <c r="P155" s="257">
        <f>IF($C$5&lt;3000,$AN$32*Bron!J144,$AN$32*Bron!O144)</f>
        <v>1608.6279999999999</v>
      </c>
      <c r="Q155" s="257">
        <f>IF($C$5&lt;3000,$AN$31*Bron!K144,$AN$31*Bron!P144)</f>
        <v>0</v>
      </c>
      <c r="R155" s="257">
        <f>IF($C$5&lt;3000,$AN$33*Bron!J144,$AN$33*Bron!O144)</f>
        <v>0</v>
      </c>
      <c r="S155" s="344"/>
      <c r="T155" s="258">
        <f t="shared" si="93"/>
        <v>0</v>
      </c>
      <c r="U155" s="259">
        <f t="shared" si="94"/>
        <v>0</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c r="AU155" s="676">
        <f t="shared" si="103"/>
        <v>0</v>
      </c>
      <c r="AV155" s="677">
        <f t="shared" si="104"/>
        <v>0</v>
      </c>
      <c r="AW155" s="677">
        <f t="shared" si="139"/>
        <v>0</v>
      </c>
      <c r="AX155" s="678">
        <f t="shared" si="140"/>
        <v>0</v>
      </c>
      <c r="AY155" s="679">
        <f t="shared" si="141"/>
        <v>0</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c r="B156" s="488">
        <v>112</v>
      </c>
      <c r="C156" s="489" t="s">
        <v>248</v>
      </c>
      <c r="D156" s="490" t="s">
        <v>252</v>
      </c>
      <c r="E156" s="491" t="s">
        <v>253</v>
      </c>
      <c r="F156" s="492"/>
      <c r="G156" s="493"/>
      <c r="H156" s="146" t="s">
        <v>852</v>
      </c>
      <c r="I156" s="494" t="str">
        <f t="shared" si="92"/>
        <v>verhuurder</v>
      </c>
      <c r="J156" s="495"/>
      <c r="K156" s="151">
        <v>0</v>
      </c>
      <c r="L156" s="256"/>
      <c r="M156" s="256">
        <f>IF($C$5&lt;3000,(Bron!H145*$C$5)+Bron!I145,(Bron!M145*$C$5)+Bron!N145)</f>
        <v>0</v>
      </c>
      <c r="N156" s="496">
        <f t="shared" si="175"/>
        <v>6434.5119999999997</v>
      </c>
      <c r="O156" s="497">
        <f t="shared" si="176"/>
        <v>0</v>
      </c>
      <c r="P156" s="257">
        <f>IF($C$5&lt;3000,$AN$32*Bron!J145,$AN$32*Bron!O145)</f>
        <v>4596.08</v>
      </c>
      <c r="Q156" s="257"/>
      <c r="R156" s="257">
        <f>IF($C$5&lt;3000,$AN$33*Bron!J145,$AN$33*Bron!O145)</f>
        <v>0</v>
      </c>
      <c r="S156" s="344"/>
      <c r="T156" s="258">
        <f t="shared" si="93"/>
        <v>0</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c r="B157" s="488">
        <v>113</v>
      </c>
      <c r="C157" s="489" t="s">
        <v>248</v>
      </c>
      <c r="D157" s="490" t="s">
        <v>493</v>
      </c>
      <c r="E157" s="491" t="s">
        <v>447</v>
      </c>
      <c r="F157" s="492"/>
      <c r="G157" s="493"/>
      <c r="H157" s="146" t="s">
        <v>852</v>
      </c>
      <c r="I157" s="494" t="str">
        <f t="shared" si="92"/>
        <v>verhuurder</v>
      </c>
      <c r="J157" s="495"/>
      <c r="K157" s="151">
        <v>0</v>
      </c>
      <c r="L157" s="256"/>
      <c r="M157" s="256">
        <f>IF($C$5&lt;3000,(Bron!H146*$C$5)+Bron!I146,(Bron!M146*$C$5)+Bron!N146)</f>
        <v>93947.04</v>
      </c>
      <c r="N157" s="496">
        <f t="shared" si="175"/>
        <v>4182.4327999999996</v>
      </c>
      <c r="O157" s="497">
        <f t="shared" si="176"/>
        <v>22.462295150324952</v>
      </c>
      <c r="P157" s="257">
        <f>IF($C$5&lt;3000,$AN$32*Bron!J146,$AN$32*Bron!O146)</f>
        <v>2987.4519999999998</v>
      </c>
      <c r="Q157" s="257"/>
      <c r="R157" s="257">
        <f>IF($C$5&lt;3000,$AN$33*Bron!J146,$AN$33*Bron!O146)</f>
        <v>0</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c r="B158" s="488">
        <v>114</v>
      </c>
      <c r="C158" s="489" t="s">
        <v>248</v>
      </c>
      <c r="D158" s="490" t="s">
        <v>493</v>
      </c>
      <c r="E158" s="491" t="s">
        <v>448</v>
      </c>
      <c r="F158" s="492"/>
      <c r="G158" s="493"/>
      <c r="H158" s="146" t="s">
        <v>852</v>
      </c>
      <c r="I158" s="494" t="str">
        <f t="shared" si="92"/>
        <v>verhuurder</v>
      </c>
      <c r="J158" s="495"/>
      <c r="K158" s="151">
        <v>0</v>
      </c>
      <c r="L158" s="256"/>
      <c r="M158" s="256">
        <f>IF($C$5&lt;3000,(Bron!H147*$C$5)+Bron!I147,(Bron!M147*$C$5)+Bron!N147)</f>
        <v>50105.087999999996</v>
      </c>
      <c r="N158" s="496">
        <f t="shared" si="175"/>
        <v>15088.153245897141</v>
      </c>
      <c r="O158" s="497">
        <f t="shared" si="176"/>
        <v>3.3208231109148407</v>
      </c>
      <c r="P158" s="257">
        <f>IF($C$5&lt;3000,$AN$32*Bron!J147,$AN$32*Bron!O147)</f>
        <v>21831.38</v>
      </c>
      <c r="Q158" s="257">
        <f>(-P158*9.768/3.5)</f>
        <v>-60928.262811428576</v>
      </c>
      <c r="R158" s="257">
        <f>IF($C$5&lt;3000,$AN$33*Bron!J147,$AN$33*Bron!O147)</f>
        <v>0</v>
      </c>
      <c r="S158" s="344"/>
      <c r="T158" s="258">
        <f t="shared" si="93"/>
        <v>1</v>
      </c>
      <c r="U158" s="259">
        <f t="shared" si="94"/>
        <v>50105.087999999996</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v>1</v>
      </c>
      <c r="AU158" s="676">
        <f t="shared" si="103"/>
        <v>50105.087999999996</v>
      </c>
      <c r="AV158" s="677">
        <f t="shared" si="104"/>
        <v>21831.38</v>
      </c>
      <c r="AW158" s="677">
        <f t="shared" si="139"/>
        <v>-60928.262811428576</v>
      </c>
      <c r="AX158" s="678">
        <f t="shared" si="140"/>
        <v>0</v>
      </c>
      <c r="AY158" s="679">
        <f t="shared" si="141"/>
        <v>15088.153245897141</v>
      </c>
      <c r="AZ158" s="675"/>
      <c r="BA158" s="676">
        <f t="shared" si="105"/>
        <v>0</v>
      </c>
      <c r="BB158" s="677">
        <f t="shared" si="106"/>
        <v>0</v>
      </c>
      <c r="BC158" s="677">
        <f t="shared" si="142"/>
        <v>0</v>
      </c>
      <c r="BD158" s="678">
        <f t="shared" si="143"/>
        <v>0</v>
      </c>
      <c r="BE158" s="679">
        <f t="shared" si="144"/>
        <v>0</v>
      </c>
      <c r="BF158" s="675"/>
      <c r="BG158" s="676">
        <f t="shared" si="107"/>
        <v>0</v>
      </c>
      <c r="BH158" s="677">
        <f t="shared" si="108"/>
        <v>0</v>
      </c>
      <c r="BI158" s="677">
        <f t="shared" si="145"/>
        <v>0</v>
      </c>
      <c r="BJ158" s="678">
        <f t="shared" si="146"/>
        <v>0</v>
      </c>
      <c r="BK158" s="679">
        <f t="shared" si="147"/>
        <v>0</v>
      </c>
      <c r="BL158" s="675"/>
      <c r="BM158" s="676">
        <f t="shared" si="109"/>
        <v>0</v>
      </c>
      <c r="BN158" s="677">
        <f t="shared" si="110"/>
        <v>0</v>
      </c>
      <c r="BO158" s="677">
        <f t="shared" si="148"/>
        <v>0</v>
      </c>
      <c r="BP158" s="678">
        <f t="shared" si="149"/>
        <v>0</v>
      </c>
      <c r="BQ158" s="679">
        <f t="shared" si="150"/>
        <v>0</v>
      </c>
      <c r="BR158" s="675"/>
      <c r="BS158" s="676">
        <f t="shared" si="111"/>
        <v>0</v>
      </c>
      <c r="BT158" s="677">
        <f t="shared" si="112"/>
        <v>0</v>
      </c>
      <c r="BU158" s="677">
        <f t="shared" si="151"/>
        <v>0</v>
      </c>
      <c r="BV158" s="678">
        <f t="shared" si="152"/>
        <v>0</v>
      </c>
      <c r="BW158" s="679">
        <f t="shared" si="153"/>
        <v>0</v>
      </c>
      <c r="BX158" s="675"/>
      <c r="BY158" s="676">
        <f t="shared" si="113"/>
        <v>0</v>
      </c>
      <c r="BZ158" s="677">
        <f t="shared" si="114"/>
        <v>0</v>
      </c>
      <c r="CA158" s="677">
        <f t="shared" si="154"/>
        <v>0</v>
      </c>
      <c r="CB158" s="678">
        <f t="shared" si="155"/>
        <v>0</v>
      </c>
      <c r="CC158" s="679">
        <f t="shared" si="156"/>
        <v>0</v>
      </c>
      <c r="CD158" s="675"/>
      <c r="CE158" s="676">
        <f t="shared" si="115"/>
        <v>0</v>
      </c>
      <c r="CF158" s="677">
        <f t="shared" si="116"/>
        <v>0</v>
      </c>
      <c r="CG158" s="677">
        <f t="shared" si="157"/>
        <v>0</v>
      </c>
      <c r="CH158" s="678">
        <f t="shared" si="158"/>
        <v>0</v>
      </c>
      <c r="CI158" s="679">
        <f t="shared" si="159"/>
        <v>0</v>
      </c>
      <c r="CJ158" s="675"/>
      <c r="CK158" s="676">
        <f t="shared" si="117"/>
        <v>0</v>
      </c>
      <c r="CL158" s="677">
        <f t="shared" si="118"/>
        <v>0</v>
      </c>
      <c r="CM158" s="677">
        <f t="shared" si="160"/>
        <v>0</v>
      </c>
      <c r="CN158" s="678">
        <f t="shared" si="161"/>
        <v>0</v>
      </c>
      <c r="CO158" s="679">
        <f t="shared" si="162"/>
        <v>0</v>
      </c>
      <c r="CP158" s="675"/>
      <c r="CQ158" s="676">
        <f t="shared" si="119"/>
        <v>0</v>
      </c>
      <c r="CR158" s="677">
        <f t="shared" si="120"/>
        <v>0</v>
      </c>
      <c r="CS158" s="677">
        <f t="shared" si="163"/>
        <v>0</v>
      </c>
      <c r="CT158" s="678">
        <f t="shared" si="164"/>
        <v>0</v>
      </c>
      <c r="CU158" s="679">
        <f t="shared" si="165"/>
        <v>0</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c r="DU158" s="676">
        <f t="shared" si="121"/>
        <v>0</v>
      </c>
      <c r="DV158" s="677">
        <f t="shared" si="122"/>
        <v>0</v>
      </c>
      <c r="DW158" s="677">
        <f t="shared" si="166"/>
        <v>0</v>
      </c>
      <c r="DX158" s="678">
        <f t="shared" si="167"/>
        <v>0</v>
      </c>
      <c r="DY158" s="679">
        <f t="shared" si="168"/>
        <v>0</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c r="B159" s="488">
        <v>115</v>
      </c>
      <c r="C159" s="489" t="s">
        <v>248</v>
      </c>
      <c r="D159" s="490" t="s">
        <v>493</v>
      </c>
      <c r="E159" s="491" t="s">
        <v>449</v>
      </c>
      <c r="F159" s="492"/>
      <c r="G159" s="493"/>
      <c r="H159" s="146" t="s">
        <v>97</v>
      </c>
      <c r="I159" s="494" t="str">
        <f t="shared" si="92"/>
        <v>n.v.t.</v>
      </c>
      <c r="J159" s="495"/>
      <c r="K159" s="151">
        <v>0</v>
      </c>
      <c r="L159" s="256"/>
      <c r="M159" s="256">
        <f>IF($C$5&lt;3000,(Bron!H148*$C$5)+Bron!I148,(Bron!M148*$C$5)+Bron!N148)</f>
        <v>104385.59999999999</v>
      </c>
      <c r="N159" s="496">
        <f t="shared" si="175"/>
        <v>9651.768</v>
      </c>
      <c r="O159" s="497">
        <f t="shared" si="176"/>
        <v>10.815179146452753</v>
      </c>
      <c r="P159" s="257">
        <f>IF($C$5&lt;3000,$AN$32*Bron!J148,$AN$32*Bron!O148)</f>
        <v>6894.12</v>
      </c>
      <c r="Q159" s="257"/>
      <c r="R159" s="257">
        <f>IF($C$5&lt;3000,$AN$33*Bron!J148,$AN$33*Bron!O148)</f>
        <v>0</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852</v>
      </c>
      <c r="I160" s="494" t="str">
        <f t="shared" si="92"/>
        <v>verhuurder</v>
      </c>
      <c r="J160" s="495" t="s">
        <v>487</v>
      </c>
      <c r="K160" s="151">
        <v>0</v>
      </c>
      <c r="L160" s="256">
        <f>IF($C$5&lt;3000,(Bron!H149*$C$5)+Bron!I149,(Bron!M149*$C$5)+Bron!N149)</f>
        <v>17000</v>
      </c>
      <c r="M160" s="256"/>
      <c r="N160" s="496">
        <f t="shared" si="175"/>
        <v>6595.3747999999996</v>
      </c>
      <c r="O160" s="497">
        <f t="shared" si="176"/>
        <v>2.5775639012964056</v>
      </c>
      <c r="P160" s="257">
        <f>IF($C$5&lt;3000,$AN$32*Bron!J149,$AN$32*Bron!O149)</f>
        <v>4710.982</v>
      </c>
      <c r="Q160" s="257">
        <f>IF($C$5&lt;3000,$AN$31*Bron!K149,$AN$31*Bron!P149)</f>
        <v>0</v>
      </c>
      <c r="R160" s="257">
        <f>IF($C$5&lt;3000,$AN$33*Bron!J149,$AN$33*Bron!O149)</f>
        <v>0</v>
      </c>
      <c r="S160" s="344"/>
      <c r="T160" s="258">
        <f t="shared" si="93"/>
        <v>0</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486</v>
      </c>
      <c r="I161" s="494" t="str">
        <f t="shared" si="92"/>
        <v>ons</v>
      </c>
      <c r="J161" s="495" t="s">
        <v>487</v>
      </c>
      <c r="K161" s="151">
        <v>0</v>
      </c>
      <c r="L161" s="256">
        <f>IF($C$5&lt;3000,(Bron!H150*$C$5)+Bron!I150,(Bron!M150*$C$5)+Bron!N150)</f>
        <v>8350.848</v>
      </c>
      <c r="M161" s="256"/>
      <c r="N161" s="496">
        <f t="shared" si="175"/>
        <v>1423.0101079999999</v>
      </c>
      <c r="O161" s="497">
        <f t="shared" si="176"/>
        <v>5.8684389893314801</v>
      </c>
      <c r="P161" s="257">
        <f>IF($C$5&lt;3000,$AN$32*Bron!J150,$AN$32*Bron!O150)</f>
        <v>0</v>
      </c>
      <c r="Q161" s="257">
        <f>IF($C$5&lt;3000,$AN$31*Bron!K150,$AN$31*Bron!P150)</f>
        <v>5602.402</v>
      </c>
      <c r="R161" s="257">
        <f>IF($C$5&lt;3000,$AN$33*Bron!J150,$AN$33*Bron!O150)</f>
        <v>0</v>
      </c>
      <c r="S161" s="344"/>
      <c r="T161" s="258">
        <f t="shared" si="93"/>
        <v>0</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0.5</v>
      </c>
      <c r="L162" s="256">
        <f>IF($C$5&lt;3000,(Bron!H151*$C$5)+Bron!I151,(Bron!M151*$C$5)+Bron!N151)</f>
        <v>114824.15999999999</v>
      </c>
      <c r="M162" s="256"/>
      <c r="N162" s="496">
        <f t="shared" si="175"/>
        <v>8756.9852800000008</v>
      </c>
      <c r="O162" s="497">
        <f t="shared" si="176"/>
        <v>13.112293366787522</v>
      </c>
      <c r="P162" s="257"/>
      <c r="Q162" s="257">
        <f>IF($C$5&lt;3000,$AN$31*Bron!K151,$AN$31*Bron!P151)</f>
        <v>34476.32</v>
      </c>
      <c r="R162" s="257">
        <f>IF($C$5&lt;3000,$AN$33*Bron!J151,$AN$33*Bron!O151)</f>
        <v>0</v>
      </c>
      <c r="S162" s="344"/>
      <c r="T162" s="258">
        <f t="shared" si="93"/>
        <v>1</v>
      </c>
      <c r="U162" s="259">
        <f t="shared" si="94"/>
        <v>57412.079999999994</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v>0.5</v>
      </c>
      <c r="AU162" s="676">
        <f t="shared" si="103"/>
        <v>57412.079999999994</v>
      </c>
      <c r="AV162" s="677">
        <f t="shared" si="104"/>
        <v>0</v>
      </c>
      <c r="AW162" s="677">
        <f t="shared" si="139"/>
        <v>17238.16</v>
      </c>
      <c r="AX162" s="678">
        <f t="shared" si="140"/>
        <v>0</v>
      </c>
      <c r="AY162" s="679">
        <f t="shared" si="141"/>
        <v>4378.4926400000004</v>
      </c>
      <c r="AZ162" s="675"/>
      <c r="BA162" s="676">
        <f t="shared" si="105"/>
        <v>0</v>
      </c>
      <c r="BB162" s="677">
        <f t="shared" si="106"/>
        <v>0</v>
      </c>
      <c r="BC162" s="677">
        <f t="shared" si="142"/>
        <v>0</v>
      </c>
      <c r="BD162" s="678">
        <f t="shared" si="143"/>
        <v>0</v>
      </c>
      <c r="BE162" s="679">
        <f t="shared" si="144"/>
        <v>0</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c r="B163" s="488">
        <v>119</v>
      </c>
      <c r="C163" s="489" t="s">
        <v>255</v>
      </c>
      <c r="D163" s="490" t="s">
        <v>258</v>
      </c>
      <c r="E163" s="491" t="s">
        <v>259</v>
      </c>
      <c r="F163" s="492"/>
      <c r="G163" s="493"/>
      <c r="H163" s="146" t="s">
        <v>97</v>
      </c>
      <c r="I163" s="494" t="str">
        <f t="shared" si="92"/>
        <v>n.v.t.</v>
      </c>
      <c r="J163" s="495" t="s">
        <v>487</v>
      </c>
      <c r="K163" s="151">
        <v>0.5</v>
      </c>
      <c r="L163" s="256">
        <f>IF($C$5&lt;3000,(Bron!H152*$C$5)+Bron!I152,(Bron!M152*$C$5)+Bron!N152)</f>
        <v>146139.84</v>
      </c>
      <c r="M163" s="256"/>
      <c r="N163" s="496">
        <f t="shared" si="175"/>
        <v>9851.60844</v>
      </c>
      <c r="O163" s="497">
        <f t="shared" si="176"/>
        <v>14.834109667476795</v>
      </c>
      <c r="P163" s="257">
        <f>IF($C$5&lt;3000,$AN$32*Bron!J152,$AN$32*Bron!O152)</f>
        <v>0</v>
      </c>
      <c r="Q163" s="257">
        <f>IF($C$5&lt;3000,$AN$31*Bron!K152,$AN$31*Bron!P152)</f>
        <v>38785.86</v>
      </c>
      <c r="R163" s="257">
        <f>IF($C$5&lt;3000,$AN$33*Bron!J152,$AN$33*Bron!O152)</f>
        <v>0</v>
      </c>
      <c r="S163" s="344"/>
      <c r="T163" s="258">
        <f t="shared" si="93"/>
        <v>0.5</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c r="B164" s="488">
        <v>120</v>
      </c>
      <c r="C164" s="489" t="s">
        <v>255</v>
      </c>
      <c r="D164" s="490" t="s">
        <v>260</v>
      </c>
      <c r="E164" s="491" t="s">
        <v>261</v>
      </c>
      <c r="F164" s="492"/>
      <c r="G164" s="493"/>
      <c r="H164" s="146" t="s">
        <v>97</v>
      </c>
      <c r="I164" s="494" t="str">
        <f t="shared" si="92"/>
        <v>n.v.t.</v>
      </c>
      <c r="J164" s="495" t="s">
        <v>487</v>
      </c>
      <c r="K164" s="151">
        <v>0</v>
      </c>
      <c r="L164" s="256">
        <f>IF($C$5&lt;3000,(Bron!H153*$C$5)+Bron!I153,(Bron!M153*$C$5)+Bron!N153)</f>
        <v>114824.15999999999</v>
      </c>
      <c r="M164" s="256"/>
      <c r="N164" s="496">
        <f t="shared" si="175"/>
        <v>8756.9852800000008</v>
      </c>
      <c r="O164" s="497">
        <f t="shared" si="176"/>
        <v>13.112293366787522</v>
      </c>
      <c r="P164" s="257"/>
      <c r="Q164" s="257">
        <f>IF($C$5&lt;3000,$AN$31*Bron!K153,$AN$31*Bron!P153)</f>
        <v>34476.32</v>
      </c>
      <c r="R164" s="257">
        <f>IF($C$5&lt;3000,$AN$33*Bron!J153,$AN$33*Bron!O153)</f>
        <v>0</v>
      </c>
      <c r="S164" s="344"/>
      <c r="T164" s="258">
        <f t="shared" si="93"/>
        <v>0</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v>0</v>
      </c>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c r="B165" s="488">
        <v>121</v>
      </c>
      <c r="C165" s="489" t="s">
        <v>255</v>
      </c>
      <c r="D165" s="490" t="s">
        <v>262</v>
      </c>
      <c r="E165" s="491" t="s">
        <v>263</v>
      </c>
      <c r="F165" s="492"/>
      <c r="G165" s="493"/>
      <c r="H165" s="146" t="s">
        <v>97</v>
      </c>
      <c r="I165" s="494" t="str">
        <f t="shared" si="92"/>
        <v>n.v.t.</v>
      </c>
      <c r="J165" s="495" t="s">
        <v>487</v>
      </c>
      <c r="K165" s="151">
        <v>0</v>
      </c>
      <c r="L165" s="256">
        <f>IF($C$5&lt;3000,(Bron!H154*$C$5)+Bron!I154,(Bron!M154*$C$5)+Bron!N154)</f>
        <v>2087.712</v>
      </c>
      <c r="M165" s="256"/>
      <c r="N165" s="496">
        <f t="shared" si="175"/>
        <v>711.50505399999997</v>
      </c>
      <c r="O165" s="497">
        <f t="shared" si="176"/>
        <v>2.9342194946657401</v>
      </c>
      <c r="P165" s="257">
        <f>IF($C$5&lt;3000,$AN$32*Bron!J154,$AN$32*Bron!O154)</f>
        <v>0</v>
      </c>
      <c r="Q165" s="257">
        <f>IF($C$5&lt;3000,$AN$31*Bron!K154,$AN$31*Bron!P154)</f>
        <v>2801.201</v>
      </c>
      <c r="R165" s="257">
        <f>IF($C$5&lt;3000,$AN$33*Bron!J154,$AN$33*Bron!O154)</f>
        <v>0</v>
      </c>
      <c r="S165" s="344"/>
      <c r="T165" s="258">
        <f t="shared" si="93"/>
        <v>0</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v>0</v>
      </c>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c r="B166" s="488">
        <v>122</v>
      </c>
      <c r="C166" s="489" t="s">
        <v>255</v>
      </c>
      <c r="D166" s="490" t="s">
        <v>264</v>
      </c>
      <c r="E166" s="491" t="s">
        <v>265</v>
      </c>
      <c r="F166" s="492"/>
      <c r="G166" s="493"/>
      <c r="H166" s="146" t="s">
        <v>97</v>
      </c>
      <c r="I166" s="494" t="str">
        <f t="shared" si="92"/>
        <v>n.v.t.</v>
      </c>
      <c r="J166" s="495" t="s">
        <v>487</v>
      </c>
      <c r="K166" s="151">
        <v>0</v>
      </c>
      <c r="L166" s="256">
        <f>IF($C$5&lt;3000,(Bron!H155*$C$5)+Bron!I155,(Bron!M155*$C$5)+Bron!N155)</f>
        <v>208771.19999999998</v>
      </c>
      <c r="M166" s="256"/>
      <c r="N166" s="496">
        <f t="shared" si="175"/>
        <v>14230.10108</v>
      </c>
      <c r="O166" s="497">
        <f t="shared" si="176"/>
        <v>14.671097473328699</v>
      </c>
      <c r="P166" s="257"/>
      <c r="Q166" s="257">
        <f>IF($C$5&lt;3000,$AN$31*Bron!K155,$AN$31*Bron!P155)</f>
        <v>56024.020000000004</v>
      </c>
      <c r="R166" s="257">
        <f>IF($C$5&lt;3000,$AN$33*Bron!J155,$AN$33*Bron!O155)</f>
        <v>0</v>
      </c>
      <c r="S166" s="344"/>
      <c r="T166" s="258">
        <f t="shared" si="93"/>
        <v>0</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v>0</v>
      </c>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c r="B167" s="488">
        <v>123</v>
      </c>
      <c r="C167" s="489" t="s">
        <v>255</v>
      </c>
      <c r="D167" s="490" t="s">
        <v>266</v>
      </c>
      <c r="E167" s="491" t="s">
        <v>267</v>
      </c>
      <c r="F167" s="492"/>
      <c r="G167" s="493"/>
      <c r="H167" s="146" t="s">
        <v>97</v>
      </c>
      <c r="I167" s="494" t="str">
        <f t="shared" si="92"/>
        <v>n.v.t.</v>
      </c>
      <c r="J167" s="495" t="s">
        <v>487</v>
      </c>
      <c r="K167" s="151">
        <v>0</v>
      </c>
      <c r="L167" s="256">
        <f>IF($C$5&lt;3000,(Bron!H156*$C$5)+Bron!I156,(Bron!M156*$C$5)+Bron!N156)</f>
        <v>167016.95999999999</v>
      </c>
      <c r="M167" s="256"/>
      <c r="N167" s="496">
        <f t="shared" si="175"/>
        <v>10946.231600000001</v>
      </c>
      <c r="O167" s="497">
        <f t="shared" si="176"/>
        <v>15.257941372261845</v>
      </c>
      <c r="P167" s="257">
        <f>IF($C$5&lt;3000,$AN$32*Bron!J156,$AN$32*Bron!O156)</f>
        <v>0</v>
      </c>
      <c r="Q167" s="257">
        <f>IF($C$5&lt;3000,$AN$31*Bron!K156,$AN$31*Bron!P156)</f>
        <v>43095.4</v>
      </c>
      <c r="R167" s="257">
        <f>IF($C$5&lt;3000,$AN$33*Bron!J156,$AN$33*Bron!O156)</f>
        <v>0</v>
      </c>
      <c r="S167" s="344"/>
      <c r="T167" s="258">
        <f t="shared" si="93"/>
        <v>0</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v>0</v>
      </c>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c r="B168" s="488">
        <v>124</v>
      </c>
      <c r="C168" s="489" t="s">
        <v>255</v>
      </c>
      <c r="D168" s="490" t="s">
        <v>268</v>
      </c>
      <c r="E168" s="491" t="s">
        <v>269</v>
      </c>
      <c r="F168" s="492"/>
      <c r="G168" s="493"/>
      <c r="H168" s="146" t="s">
        <v>97</v>
      </c>
      <c r="I168" s="494" t="str">
        <f t="shared" si="92"/>
        <v>n.v.t.</v>
      </c>
      <c r="J168" s="495" t="s">
        <v>487</v>
      </c>
      <c r="K168" s="151"/>
      <c r="L168" s="256">
        <f>IF($C$5&lt;3000,(Bron!H157*$C$5)+Bron!I157,(Bron!M157*$C$5)+Bron!N157)</f>
        <v>24008.687999999998</v>
      </c>
      <c r="M168" s="256"/>
      <c r="N168" s="496">
        <f t="shared" si="175"/>
        <v>1696.6658980000002</v>
      </c>
      <c r="O168" s="497">
        <f t="shared" si="176"/>
        <v>14.150510143629937</v>
      </c>
      <c r="P168" s="257">
        <f>IF($C$5&lt;3000,$AN$32*Bron!J157,$AN$32*Bron!O157)</f>
        <v>0</v>
      </c>
      <c r="Q168" s="257">
        <f>IF($C$5&lt;3000,$AN$31*Bron!K157,$AN$31*Bron!P157)</f>
        <v>6679.7870000000003</v>
      </c>
      <c r="R168" s="257">
        <f>IF($C$5&lt;3000,$AN$33*Bron!J157,$AN$33*Bron!O157)</f>
        <v>0</v>
      </c>
      <c r="S168" s="344"/>
      <c r="T168" s="258">
        <f t="shared" si="93"/>
        <v>0</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c r="B169" s="488">
        <v>125</v>
      </c>
      <c r="C169" s="489" t="s">
        <v>255</v>
      </c>
      <c r="D169" s="490" t="s">
        <v>270</v>
      </c>
      <c r="E169" s="491" t="s">
        <v>271</v>
      </c>
      <c r="F169" s="492"/>
      <c r="G169" s="493"/>
      <c r="H169" s="146" t="s">
        <v>97</v>
      </c>
      <c r="I169" s="494" t="str">
        <f t="shared" si="92"/>
        <v>n.v.t.</v>
      </c>
      <c r="J169" s="495" t="s">
        <v>487</v>
      </c>
      <c r="K169" s="151">
        <v>0</v>
      </c>
      <c r="L169" s="256">
        <f>IF($C$5&lt;3000,(Bron!H158*$C$5)+Bron!I158,(Bron!M158*$C$5)+Bron!N158)</f>
        <v>625</v>
      </c>
      <c r="M169" s="256"/>
      <c r="N169" s="496">
        <f t="shared" si="175"/>
        <v>109.462316</v>
      </c>
      <c r="O169" s="497">
        <f t="shared" si="176"/>
        <v>5.7097275376486643</v>
      </c>
      <c r="P169" s="257">
        <f>IF($C$5&lt;3000,$AN$32*Bron!J158,$AN$32*Bron!O158)</f>
        <v>0</v>
      </c>
      <c r="Q169" s="257">
        <f>IF($C$5&lt;3000,$AN$31*Bron!K158,$AN$31*Bron!P158)</f>
        <v>430.95400000000001</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v>0</v>
      </c>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c r="B170" s="488">
        <v>126</v>
      </c>
      <c r="C170" s="489" t="s">
        <v>255</v>
      </c>
      <c r="D170" s="490" t="s">
        <v>272</v>
      </c>
      <c r="E170" s="491" t="s">
        <v>273</v>
      </c>
      <c r="F170" s="492"/>
      <c r="G170" s="493"/>
      <c r="H170" s="146" t="s">
        <v>97</v>
      </c>
      <c r="I170" s="494" t="str">
        <f t="shared" si="92"/>
        <v>n.v.t.</v>
      </c>
      <c r="J170" s="495" t="s">
        <v>487</v>
      </c>
      <c r="K170" s="151">
        <v>0</v>
      </c>
      <c r="L170" s="256">
        <f>IF($C$5&lt;3000,(Bron!H159*$C$5)+Bron!I159,(Bron!M159*$C$5)+Bron!N159)</f>
        <v>650</v>
      </c>
      <c r="M170" s="256"/>
      <c r="N170" s="496">
        <f t="shared" si="175"/>
        <v>109.462316</v>
      </c>
      <c r="O170" s="497">
        <f t="shared" si="176"/>
        <v>5.938116639154611</v>
      </c>
      <c r="P170" s="257">
        <f>IF($C$5&lt;3000,$AN$32*Bron!J159,$AN$32*Bron!O159)</f>
        <v>0</v>
      </c>
      <c r="Q170" s="257">
        <f>IF($C$5&lt;3000,$AN$31*Bron!K159,$AN$31*Bron!P159)</f>
        <v>430.95400000000001</v>
      </c>
      <c r="R170" s="257">
        <f>IF($C$5&lt;3000,$AN$33*Bron!J159,$AN$33*Bron!O159)</f>
        <v>0</v>
      </c>
      <c r="S170" s="344"/>
      <c r="T170" s="258">
        <f t="shared" si="93"/>
        <v>0</v>
      </c>
      <c r="U170" s="259">
        <f t="shared" si="94"/>
        <v>0</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v>0</v>
      </c>
      <c r="AU170" s="676">
        <f t="shared" si="103"/>
        <v>0</v>
      </c>
      <c r="AV170" s="677">
        <f t="shared" si="104"/>
        <v>0</v>
      </c>
      <c r="AW170" s="677">
        <f t="shared" si="139"/>
        <v>0</v>
      </c>
      <c r="AX170" s="678">
        <f t="shared" si="140"/>
        <v>0</v>
      </c>
      <c r="AY170" s="679">
        <f t="shared" si="141"/>
        <v>0</v>
      </c>
      <c r="AZ170" s="675"/>
      <c r="BA170" s="676">
        <f t="shared" si="105"/>
        <v>0</v>
      </c>
      <c r="BB170" s="677">
        <f t="shared" si="106"/>
        <v>0</v>
      </c>
      <c r="BC170" s="677">
        <f t="shared" si="142"/>
        <v>0</v>
      </c>
      <c r="BD170" s="678">
        <f t="shared" si="143"/>
        <v>0</v>
      </c>
      <c r="BE170" s="679">
        <f t="shared" si="144"/>
        <v>0</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c r="B171" s="488">
        <v>127</v>
      </c>
      <c r="C171" s="489" t="s">
        <v>255</v>
      </c>
      <c r="D171" s="490" t="s">
        <v>274</v>
      </c>
      <c r="E171" s="491" t="s">
        <v>275</v>
      </c>
      <c r="F171" s="492"/>
      <c r="G171" s="493"/>
      <c r="H171" s="146" t="s">
        <v>97</v>
      </c>
      <c r="I171" s="494" t="str">
        <f t="shared" si="92"/>
        <v>n.v.t.</v>
      </c>
      <c r="J171" s="495" t="s">
        <v>487</v>
      </c>
      <c r="K171" s="151">
        <v>0</v>
      </c>
      <c r="L171" s="256">
        <f>IF($C$5&lt;3000,(Bron!H160*$C$5)+Bron!I160,(Bron!M160*$C$5)+Bron!N160)</f>
        <v>1000</v>
      </c>
      <c r="M171" s="256"/>
      <c r="N171" s="496">
        <f t="shared" si="175"/>
        <v>164.19347400000001</v>
      </c>
      <c r="O171" s="497">
        <f t="shared" si="176"/>
        <v>6.0903760401585751</v>
      </c>
      <c r="P171" s="257">
        <f>IF($C$5&lt;3000,$AN$32*Bron!J160,$AN$32*Bron!O160)</f>
        <v>0</v>
      </c>
      <c r="Q171" s="257">
        <f>IF($C$5&lt;3000,$AN$31*Bron!K160,$AN$31*Bron!P160)</f>
        <v>646.43100000000004</v>
      </c>
      <c r="R171" s="257">
        <f>IF($C$5&lt;3000,$AN$33*Bron!J160,$AN$33*Bron!O160)</f>
        <v>0</v>
      </c>
      <c r="S171" s="344"/>
      <c r="T171" s="258">
        <f t="shared" si="93"/>
        <v>0</v>
      </c>
      <c r="U171" s="259">
        <f t="shared" si="94"/>
        <v>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v>0</v>
      </c>
      <c r="AU171" s="676">
        <f t="shared" si="103"/>
        <v>0</v>
      </c>
      <c r="AV171" s="677">
        <f t="shared" si="104"/>
        <v>0</v>
      </c>
      <c r="AW171" s="677">
        <f t="shared" si="139"/>
        <v>0</v>
      </c>
      <c r="AX171" s="678">
        <f t="shared" si="140"/>
        <v>0</v>
      </c>
      <c r="AY171" s="679">
        <f t="shared" si="141"/>
        <v>0</v>
      </c>
      <c r="AZ171" s="675"/>
      <c r="BA171" s="676">
        <f t="shared" si="105"/>
        <v>0</v>
      </c>
      <c r="BB171" s="677">
        <f t="shared" si="106"/>
        <v>0</v>
      </c>
      <c r="BC171" s="677">
        <f t="shared" si="142"/>
        <v>0</v>
      </c>
      <c r="BD171" s="678">
        <f t="shared" si="143"/>
        <v>0</v>
      </c>
      <c r="BE171" s="679">
        <f t="shared" si="144"/>
        <v>0</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c r="B172" s="488">
        <v>128</v>
      </c>
      <c r="C172" s="489" t="s">
        <v>255</v>
      </c>
      <c r="D172" s="490" t="s">
        <v>276</v>
      </c>
      <c r="E172" s="491" t="s">
        <v>277</v>
      </c>
      <c r="F172" s="492"/>
      <c r="G172" s="493"/>
      <c r="H172" s="146" t="s">
        <v>97</v>
      </c>
      <c r="I172" s="494" t="str">
        <f t="shared" ref="I172:I215" si="177">IF(H172="X","n.v.t.",IF(H172="I","ons",IF(H172="V","verhuurder",IF(H172="H","huurder",""))))</f>
        <v>n.v.t.</v>
      </c>
      <c r="J172" s="495" t="s">
        <v>487</v>
      </c>
      <c r="K172" s="151">
        <v>0</v>
      </c>
      <c r="L172" s="256">
        <f>IF($C$5&lt;3000,(Bron!H161*$C$5)+Bron!I161,(Bron!M161*$C$5)+Bron!N161)</f>
        <v>1500</v>
      </c>
      <c r="M172" s="256"/>
      <c r="N172" s="496">
        <f t="shared" si="175"/>
        <v>656.77389600000004</v>
      </c>
      <c r="O172" s="497">
        <f t="shared" si="176"/>
        <v>2.2838910150594658</v>
      </c>
      <c r="P172" s="257">
        <f>IF($C$5&lt;3000,$AN$32*Bron!J161,$AN$32*Bron!O161)</f>
        <v>0</v>
      </c>
      <c r="Q172" s="257">
        <f>IF($C$5&lt;3000,$AN$31*Bron!K161,$AN$31*Bron!P161)</f>
        <v>2585.7240000000002</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v>0</v>
      </c>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c r="B173" s="488">
        <v>129</v>
      </c>
      <c r="C173" s="489" t="s">
        <v>255</v>
      </c>
      <c r="D173" s="490" t="s">
        <v>278</v>
      </c>
      <c r="E173" s="491" t="s">
        <v>426</v>
      </c>
      <c r="F173" s="492"/>
      <c r="G173" s="493"/>
      <c r="H173" s="146" t="s">
        <v>97</v>
      </c>
      <c r="I173" s="494" t="str">
        <f t="shared" si="177"/>
        <v>n.v.t.</v>
      </c>
      <c r="J173" s="495"/>
      <c r="K173" s="151">
        <v>0</v>
      </c>
      <c r="L173" s="256"/>
      <c r="M173" s="256">
        <f>IF($C$5&lt;3000,(Bron!H162*$C$5)+Bron!I162,(Bron!M162*$C$5)+Bron!N162)</f>
        <v>0</v>
      </c>
      <c r="N173" s="496">
        <f t="shared" si="175"/>
        <v>711.50505399999997</v>
      </c>
      <c r="O173" s="497">
        <f t="shared" si="176"/>
        <v>0</v>
      </c>
      <c r="P173" s="257">
        <f>IF($C$5&lt;3000,$AN$32*Bron!J162,$AN$32*Bron!O162)</f>
        <v>0</v>
      </c>
      <c r="Q173" s="257">
        <f>IF($C$5&lt;3000,$AN$31*Bron!K162,$AN$31*Bron!P162)</f>
        <v>2801.201</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v>0</v>
      </c>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852</v>
      </c>
      <c r="I174" s="494" t="str">
        <f t="shared" si="177"/>
        <v>verhuurder</v>
      </c>
      <c r="J174" s="495" t="s">
        <v>487</v>
      </c>
      <c r="K174" s="151">
        <v>0.5</v>
      </c>
      <c r="L174" s="256">
        <f>IF($C$5&lt;3000,(Bron!H163*$C$5)+Bron!I163,(Bron!M163*$C$5)+Bron!N163)</f>
        <v>135701.28</v>
      </c>
      <c r="M174" s="256"/>
      <c r="N174" s="496">
        <f t="shared" si="175"/>
        <v>8756.9852800000008</v>
      </c>
      <c r="O174" s="497">
        <f t="shared" si="176"/>
        <v>15.496346706203438</v>
      </c>
      <c r="P174" s="257"/>
      <c r="Q174" s="257">
        <f>IF($C$5&lt;3000,$AN$31*Bron!K163,$AN$31*Bron!P163)</f>
        <v>34476.32</v>
      </c>
      <c r="R174" s="257">
        <f>IF($C$5&lt;3000,$AN$33*Bron!J163,$AN$33*Bron!O163)</f>
        <v>0</v>
      </c>
      <c r="S174" s="344"/>
      <c r="T174" s="258">
        <f t="shared" si="178"/>
        <v>1</v>
      </c>
      <c r="U174" s="259">
        <f t="shared" si="179"/>
        <v>67850.64</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v>0.5</v>
      </c>
      <c r="AU174" s="676">
        <f t="shared" si="188"/>
        <v>67850.64</v>
      </c>
      <c r="AV174" s="677">
        <f t="shared" si="189"/>
        <v>0</v>
      </c>
      <c r="AW174" s="677">
        <f t="shared" si="224"/>
        <v>17238.16</v>
      </c>
      <c r="AX174" s="678">
        <f t="shared" si="225"/>
        <v>0</v>
      </c>
      <c r="AY174" s="679">
        <f t="shared" si="226"/>
        <v>4378.4926400000004</v>
      </c>
      <c r="AZ174" s="675"/>
      <c r="BA174" s="676">
        <f t="shared" si="190"/>
        <v>0</v>
      </c>
      <c r="BB174" s="677">
        <f t="shared" si="191"/>
        <v>0</v>
      </c>
      <c r="BC174" s="677">
        <f t="shared" si="227"/>
        <v>0</v>
      </c>
      <c r="BD174" s="678">
        <f t="shared" si="228"/>
        <v>0</v>
      </c>
      <c r="BE174" s="679">
        <f t="shared" si="229"/>
        <v>0</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852</v>
      </c>
      <c r="I175" s="494" t="str">
        <f t="shared" si="177"/>
        <v>verhuurder</v>
      </c>
      <c r="J175" s="495"/>
      <c r="K175" s="151">
        <v>0</v>
      </c>
      <c r="L175" s="256"/>
      <c r="M175" s="256">
        <f>IF($C$5&lt;3000,(Bron!H164*$C$5)+Bron!I164,(Bron!M164*$C$5)+Bron!N164)</f>
        <v>0</v>
      </c>
      <c r="N175" s="496">
        <f t="shared" si="175"/>
        <v>656.77389600000004</v>
      </c>
      <c r="O175" s="497">
        <f t="shared" si="176"/>
        <v>0</v>
      </c>
      <c r="P175" s="257"/>
      <c r="Q175" s="257">
        <f>IF($C$5&lt;3000,$AN$31*Bron!K164,$AN$31*Bron!P164)</f>
        <v>2585.7240000000002</v>
      </c>
      <c r="R175" s="257">
        <f>IF($C$5&lt;3000,$AN$33*Bron!J164,$AN$33*Bron!O164)</f>
        <v>0</v>
      </c>
      <c r="S175" s="344"/>
      <c r="T175" s="258">
        <f t="shared" si="178"/>
        <v>1</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v>1</v>
      </c>
      <c r="AU175" s="676">
        <f t="shared" si="188"/>
        <v>0</v>
      </c>
      <c r="AV175" s="677">
        <f t="shared" si="189"/>
        <v>0</v>
      </c>
      <c r="AW175" s="677">
        <f t="shared" si="224"/>
        <v>2585.7240000000002</v>
      </c>
      <c r="AX175" s="678">
        <f t="shared" si="225"/>
        <v>0</v>
      </c>
      <c r="AY175" s="679">
        <f t="shared" si="226"/>
        <v>656.77389600000004</v>
      </c>
      <c r="AZ175" s="675"/>
      <c r="BA175" s="676">
        <f t="shared" si="190"/>
        <v>0</v>
      </c>
      <c r="BB175" s="677">
        <f t="shared" si="191"/>
        <v>0</v>
      </c>
      <c r="BC175" s="677">
        <f t="shared" si="227"/>
        <v>0</v>
      </c>
      <c r="BD175" s="678">
        <f t="shared" si="228"/>
        <v>0</v>
      </c>
      <c r="BE175" s="679">
        <f t="shared" si="229"/>
        <v>0</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852</v>
      </c>
      <c r="I176" s="494" t="str">
        <f t="shared" si="177"/>
        <v>verhuurder</v>
      </c>
      <c r="J176" s="495"/>
      <c r="K176" s="151">
        <v>0</v>
      </c>
      <c r="L176" s="256"/>
      <c r="M176" s="256">
        <f>IF($C$5&lt;3000,(Bron!H165*$C$5)+Bron!I165,(Bron!M165*$C$5)+Bron!N165)</f>
        <v>0</v>
      </c>
      <c r="N176" s="496">
        <f t="shared" si="175"/>
        <v>696.90747228771431</v>
      </c>
      <c r="O176" s="497">
        <f t="shared" si="176"/>
        <v>0</v>
      </c>
      <c r="P176" s="257">
        <f>IF($C$5&lt;3000,$AN$32*Bron!J165,$AN$32*Bron!O165)</f>
        <v>0</v>
      </c>
      <c r="Q176" s="257">
        <f>IF($C$5&lt;3000,$AN$31*Bron!K165,$AN$31*Bron!P165)</f>
        <v>2743.7302058571431</v>
      </c>
      <c r="R176" s="257">
        <f>IF($C$5&lt;3000,$AN$33*Bron!J165,$AN$33*Bron!O165)</f>
        <v>0</v>
      </c>
      <c r="S176" s="344"/>
      <c r="T176" s="258">
        <f t="shared" si="178"/>
        <v>1</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v>1</v>
      </c>
      <c r="AU176" s="676">
        <f t="shared" si="188"/>
        <v>0</v>
      </c>
      <c r="AV176" s="677">
        <f t="shared" si="189"/>
        <v>0</v>
      </c>
      <c r="AW176" s="677">
        <f t="shared" si="224"/>
        <v>2743.7302058571431</v>
      </c>
      <c r="AX176" s="678">
        <f t="shared" si="225"/>
        <v>0</v>
      </c>
      <c r="AY176" s="679">
        <f t="shared" si="226"/>
        <v>696.90747228771431</v>
      </c>
      <c r="AZ176" s="675"/>
      <c r="BA176" s="676">
        <f t="shared" si="190"/>
        <v>0</v>
      </c>
      <c r="BB176" s="677">
        <f t="shared" si="191"/>
        <v>0</v>
      </c>
      <c r="BC176" s="677">
        <f t="shared" si="227"/>
        <v>0</v>
      </c>
      <c r="BD176" s="678">
        <f t="shared" si="228"/>
        <v>0</v>
      </c>
      <c r="BE176" s="679">
        <f t="shared" si="229"/>
        <v>0</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c r="B177" s="488">
        <v>133</v>
      </c>
      <c r="C177" s="489" t="s">
        <v>283</v>
      </c>
      <c r="D177" s="490" t="s">
        <v>285</v>
      </c>
      <c r="E177" s="491" t="s">
        <v>286</v>
      </c>
      <c r="F177" s="492"/>
      <c r="G177" s="493"/>
      <c r="H177" s="146" t="s">
        <v>97</v>
      </c>
      <c r="I177" s="494" t="str">
        <f t="shared" si="177"/>
        <v>n.v.t.</v>
      </c>
      <c r="J177" s="495"/>
      <c r="K177" s="151">
        <v>0</v>
      </c>
      <c r="L177" s="256"/>
      <c r="M177" s="256">
        <f>IF($C$5&lt;3000,(Bron!H166*$C$5)+Bron!I166,(Bron!M166*$C$5)+Bron!N166)</f>
        <v>0</v>
      </c>
      <c r="N177" s="496">
        <f t="shared" si="175"/>
        <v>711.50505399999997</v>
      </c>
      <c r="O177" s="497">
        <f t="shared" si="176"/>
        <v>0</v>
      </c>
      <c r="P177" s="257">
        <f>IF($C$5&lt;3000,$AN$32*Bron!J166,$AN$32*Bron!O166)</f>
        <v>0</v>
      </c>
      <c r="Q177" s="257">
        <f>IF($C$5&lt;3000,$AN$31*Bron!K166,$AN$31*Bron!P166)</f>
        <v>2801.201</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852</v>
      </c>
      <c r="I178" s="494" t="str">
        <f t="shared" si="177"/>
        <v>verhuurder</v>
      </c>
      <c r="J178" s="495"/>
      <c r="K178" s="151">
        <v>0</v>
      </c>
      <c r="L178" s="256"/>
      <c r="M178" s="256">
        <f>IF($C$5&lt;3000,(Bron!H167*$C$5)+Bron!I167,(Bron!M167*$C$5)+Bron!N167)</f>
        <v>0</v>
      </c>
      <c r="N178" s="496">
        <f t="shared" si="175"/>
        <v>711.50505399999997</v>
      </c>
      <c r="O178" s="497">
        <f t="shared" si="176"/>
        <v>0</v>
      </c>
      <c r="P178" s="257">
        <f>IF($C$5&lt;3000,$AN$32*Bron!J167,$AN$32*Bron!O167)</f>
        <v>0</v>
      </c>
      <c r="Q178" s="257">
        <f>IF($C$5&lt;3000,$AN$31*Bron!K167,$AN$31*Bron!P167)</f>
        <v>2801.201</v>
      </c>
      <c r="R178" s="257">
        <f>IF($C$5&lt;3000,$AN$33*Bron!J167,$AN$33*Bron!O167)</f>
        <v>0</v>
      </c>
      <c r="S178" s="344"/>
      <c r="T178" s="258">
        <f t="shared" si="178"/>
        <v>1</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v>1</v>
      </c>
      <c r="AU178" s="676">
        <f t="shared" si="188"/>
        <v>0</v>
      </c>
      <c r="AV178" s="677">
        <f t="shared" si="189"/>
        <v>0</v>
      </c>
      <c r="AW178" s="677">
        <f t="shared" si="224"/>
        <v>2801.201</v>
      </c>
      <c r="AX178" s="678">
        <f t="shared" si="225"/>
        <v>0</v>
      </c>
      <c r="AY178" s="679">
        <f t="shared" si="226"/>
        <v>711.50505399999997</v>
      </c>
      <c r="AZ178" s="675"/>
      <c r="BA178" s="676">
        <f t="shared" si="190"/>
        <v>0</v>
      </c>
      <c r="BB178" s="677">
        <f t="shared" si="191"/>
        <v>0</v>
      </c>
      <c r="BC178" s="677">
        <f t="shared" si="227"/>
        <v>0</v>
      </c>
      <c r="BD178" s="678">
        <f t="shared" si="228"/>
        <v>0</v>
      </c>
      <c r="BE178" s="679">
        <f t="shared" si="229"/>
        <v>0</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c r="B179" s="488">
        <v>135</v>
      </c>
      <c r="C179" s="489" t="s">
        <v>283</v>
      </c>
      <c r="D179" s="490" t="s">
        <v>289</v>
      </c>
      <c r="E179" s="491" t="s">
        <v>290</v>
      </c>
      <c r="F179" s="492"/>
      <c r="G179" s="493"/>
      <c r="H179" s="146" t="s">
        <v>97</v>
      </c>
      <c r="I179" s="494" t="str">
        <f t="shared" si="177"/>
        <v>n.v.t.</v>
      </c>
      <c r="J179" s="495"/>
      <c r="K179" s="151">
        <v>0</v>
      </c>
      <c r="L179" s="256"/>
      <c r="M179" s="256">
        <f>IF($C$5&lt;3000,(Bron!H168*$C$5)+Bron!I168,(Bron!M168*$C$5)+Bron!N168)</f>
        <v>0</v>
      </c>
      <c r="N179" s="496">
        <f t="shared" si="175"/>
        <v>711.50505399999997</v>
      </c>
      <c r="O179" s="497">
        <f t="shared" si="176"/>
        <v>0</v>
      </c>
      <c r="P179" s="257">
        <f>IF($C$5&lt;3000,$AN$32*Bron!J168,$AN$32*Bron!O168)</f>
        <v>0</v>
      </c>
      <c r="Q179" s="257">
        <f>IF($C$5&lt;3000,$AN$31*Bron!K168,$AN$31*Bron!P168)</f>
        <v>2801.201</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493</v>
      </c>
      <c r="E180" s="491" t="s">
        <v>691</v>
      </c>
      <c r="F180" s="492"/>
      <c r="G180" s="493"/>
      <c r="H180" s="146" t="s">
        <v>852</v>
      </c>
      <c r="I180" s="494" t="str">
        <f t="shared" si="177"/>
        <v>verhuurder</v>
      </c>
      <c r="J180" s="495" t="s">
        <v>487</v>
      </c>
      <c r="K180" s="151">
        <v>0</v>
      </c>
      <c r="L180" s="256">
        <f>IF($C$5&lt;3000,(Bron!H169*$C$5/$C$6*0.5)+Bron!I169,(Bron!M169*$C$5/$C$6*0.5)+Bron!N169)</f>
        <v>579340.07999999996</v>
      </c>
      <c r="M180" s="260"/>
      <c r="N180" s="496">
        <f t="shared" si="175"/>
        <v>127929.77208</v>
      </c>
      <c r="O180" s="497">
        <f t="shared" si="176"/>
        <v>4.5285790053445387</v>
      </c>
      <c r="P180" s="257"/>
      <c r="Q180" s="257">
        <f>IF($C$5&lt;3000,(+$C$5/$C$6*0.5*Bron!K169),(+$C$5/$C$6*0.5*Bron!P169))</f>
        <v>503660.51999999996</v>
      </c>
      <c r="R180" s="257">
        <f>IF($C$5&lt;3000,$AN$33*Bron!J169,$AN$33*Bron!O169)</f>
        <v>0</v>
      </c>
      <c r="S180" s="344" t="s">
        <v>460</v>
      </c>
      <c r="T180" s="258">
        <f t="shared" si="178"/>
        <v>0.5</v>
      </c>
      <c r="U180" s="259">
        <f t="shared" si="179"/>
        <v>289670.03999999998</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v>0.5</v>
      </c>
      <c r="AU180" s="676">
        <f t="shared" si="188"/>
        <v>289670.03999999998</v>
      </c>
      <c r="AV180" s="677">
        <f t="shared" si="189"/>
        <v>0</v>
      </c>
      <c r="AW180" s="677">
        <f t="shared" si="224"/>
        <v>251830.25999999998</v>
      </c>
      <c r="AX180" s="678">
        <f t="shared" si="225"/>
        <v>0</v>
      </c>
      <c r="AY180" s="679">
        <f t="shared" si="226"/>
        <v>63964.886039999998</v>
      </c>
      <c r="AZ180" s="675"/>
      <c r="BA180" s="676">
        <f t="shared" si="190"/>
        <v>0</v>
      </c>
      <c r="BB180" s="677">
        <f t="shared" si="191"/>
        <v>0</v>
      </c>
      <c r="BC180" s="677">
        <f t="shared" si="227"/>
        <v>0</v>
      </c>
      <c r="BD180" s="678">
        <f t="shared" si="228"/>
        <v>0</v>
      </c>
      <c r="BE180" s="679">
        <f t="shared" si="229"/>
        <v>0</v>
      </c>
      <c r="BF180" s="675"/>
      <c r="BG180" s="676">
        <f t="shared" si="192"/>
        <v>0</v>
      </c>
      <c r="BH180" s="677">
        <f t="shared" si="193"/>
        <v>0</v>
      </c>
      <c r="BI180" s="677">
        <f t="shared" si="230"/>
        <v>0</v>
      </c>
      <c r="BJ180" s="678">
        <f t="shared" si="231"/>
        <v>0</v>
      </c>
      <c r="BK180" s="679">
        <f t="shared" si="232"/>
        <v>0</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c r="B181" s="488">
        <v>137</v>
      </c>
      <c r="C181" s="489" t="s">
        <v>211</v>
      </c>
      <c r="D181" s="490" t="s">
        <v>493</v>
      </c>
      <c r="E181" s="491" t="s">
        <v>491</v>
      </c>
      <c r="F181" s="492"/>
      <c r="G181" s="493"/>
      <c r="H181" s="146" t="s">
        <v>97</v>
      </c>
      <c r="I181" s="494" t="str">
        <f t="shared" si="177"/>
        <v>n.v.t.</v>
      </c>
      <c r="J181" s="495" t="s">
        <v>487</v>
      </c>
      <c r="K181" s="151">
        <v>0</v>
      </c>
      <c r="L181" s="256">
        <f>IF($C$5&lt;3000,(Bron!H170*$C$5)+Bron!I170,(Bron!M170*$C$5)+Bron!N170)</f>
        <v>156578.4</v>
      </c>
      <c r="M181" s="260"/>
      <c r="N181" s="496">
        <f t="shared" si="175"/>
        <v>6567.7389599999997</v>
      </c>
      <c r="O181" s="497">
        <f t="shared" si="176"/>
        <v>23.840533394159138</v>
      </c>
      <c r="P181" s="257"/>
      <c r="Q181" s="257">
        <f>IF($C$5&lt;3000,$AN$31*Bron!K170,$AN$31*Bron!P170)</f>
        <v>25857.239999999998</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c r="B185" s="488">
        <v>141</v>
      </c>
      <c r="C185" s="489" t="s">
        <v>336</v>
      </c>
      <c r="D185" s="490" t="s">
        <v>335</v>
      </c>
      <c r="E185" s="491" t="s">
        <v>337</v>
      </c>
      <c r="F185" s="492"/>
      <c r="G185" s="493"/>
      <c r="H185" s="146" t="s">
        <v>97</v>
      </c>
      <c r="I185" s="494" t="str">
        <f t="shared" si="177"/>
        <v>n.v.t.</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c r="B186" s="488">
        <v>142</v>
      </c>
      <c r="C186" s="489" t="s">
        <v>336</v>
      </c>
      <c r="D186" s="490" t="s">
        <v>338</v>
      </c>
      <c r="E186" s="491" t="s">
        <v>428</v>
      </c>
      <c r="F186" s="492"/>
      <c r="G186" s="493"/>
      <c r="H186" s="146" t="s">
        <v>97</v>
      </c>
      <c r="I186" s="494" t="str">
        <f t="shared" si="177"/>
        <v>n.v.t.</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c r="B187" s="488">
        <v>143</v>
      </c>
      <c r="C187" s="489" t="s">
        <v>336</v>
      </c>
      <c r="D187" s="490" t="s">
        <v>339</v>
      </c>
      <c r="E187" s="491" t="s">
        <v>340</v>
      </c>
      <c r="F187" s="492"/>
      <c r="G187" s="493"/>
      <c r="H187" s="146" t="s">
        <v>97</v>
      </c>
      <c r="I187" s="494" t="str">
        <f t="shared" si="177"/>
        <v>n.v.t.</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c r="B188" s="488">
        <v>144</v>
      </c>
      <c r="C188" s="489" t="s">
        <v>336</v>
      </c>
      <c r="D188" s="490" t="s">
        <v>341</v>
      </c>
      <c r="E188" s="491" t="s">
        <v>342</v>
      </c>
      <c r="F188" s="492"/>
      <c r="G188" s="493"/>
      <c r="H188" s="146" t="s">
        <v>97</v>
      </c>
      <c r="I188" s="494" t="str">
        <f t="shared" si="177"/>
        <v>n.v.t.</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c r="B189" s="488">
        <v>145</v>
      </c>
      <c r="C189" s="489" t="s">
        <v>336</v>
      </c>
      <c r="D189" s="490" t="s">
        <v>343</v>
      </c>
      <c r="E189" s="491" t="s">
        <v>429</v>
      </c>
      <c r="F189" s="492"/>
      <c r="G189" s="493"/>
      <c r="H189" s="146" t="s">
        <v>97</v>
      </c>
      <c r="I189" s="494" t="str">
        <f t="shared" si="177"/>
        <v>n.v.t.</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c r="B190" s="488">
        <v>146</v>
      </c>
      <c r="C190" s="489" t="s">
        <v>336</v>
      </c>
      <c r="D190" s="490" t="s">
        <v>344</v>
      </c>
      <c r="E190" s="491" t="s">
        <v>345</v>
      </c>
      <c r="F190" s="492"/>
      <c r="G190" s="493"/>
      <c r="H190" s="146" t="s">
        <v>97</v>
      </c>
      <c r="I190" s="494" t="str">
        <f t="shared" si="177"/>
        <v>n.v.t.</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c r="B191" s="488">
        <v>147</v>
      </c>
      <c r="C191" s="489" t="s">
        <v>336</v>
      </c>
      <c r="D191" s="490" t="s">
        <v>346</v>
      </c>
      <c r="E191" s="491" t="s">
        <v>430</v>
      </c>
      <c r="F191" s="492"/>
      <c r="G191" s="493"/>
      <c r="H191" s="146" t="s">
        <v>97</v>
      </c>
      <c r="I191" s="494" t="str">
        <f t="shared" si="177"/>
        <v>n.v.t.</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c r="B192" s="488">
        <v>148</v>
      </c>
      <c r="C192" s="489" t="s">
        <v>336</v>
      </c>
      <c r="D192" s="490" t="s">
        <v>347</v>
      </c>
      <c r="E192" s="491" t="s">
        <v>431</v>
      </c>
      <c r="F192" s="492"/>
      <c r="G192" s="493"/>
      <c r="H192" s="146" t="s">
        <v>97</v>
      </c>
      <c r="I192" s="494" t="str">
        <f t="shared" si="177"/>
        <v>n.v.t.</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c r="B193" s="488">
        <v>149</v>
      </c>
      <c r="C193" s="489" t="s">
        <v>336</v>
      </c>
      <c r="D193" s="490" t="s">
        <v>348</v>
      </c>
      <c r="E193" s="491" t="s">
        <v>349</v>
      </c>
      <c r="F193" s="492"/>
      <c r="G193" s="493"/>
      <c r="H193" s="146" t="s">
        <v>97</v>
      </c>
      <c r="I193" s="494" t="str">
        <f t="shared" si="177"/>
        <v>n.v.t.</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c r="B194" s="488">
        <v>150</v>
      </c>
      <c r="C194" s="489" t="s">
        <v>351</v>
      </c>
      <c r="D194" s="490" t="s">
        <v>350</v>
      </c>
      <c r="E194" s="491" t="s">
        <v>432</v>
      </c>
      <c r="F194" s="492"/>
      <c r="G194" s="493"/>
      <c r="H194" s="146" t="s">
        <v>97</v>
      </c>
      <c r="I194" s="494" t="str">
        <f t="shared" si="177"/>
        <v>n.v.t.</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c r="B195" s="488">
        <v>151</v>
      </c>
      <c r="C195" s="489" t="s">
        <v>351</v>
      </c>
      <c r="D195" s="490" t="s">
        <v>352</v>
      </c>
      <c r="E195" s="491" t="s">
        <v>353</v>
      </c>
      <c r="F195" s="492"/>
      <c r="G195" s="493"/>
      <c r="H195" s="146" t="s">
        <v>97</v>
      </c>
      <c r="I195" s="494" t="str">
        <f t="shared" si="177"/>
        <v>n.v.t.</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c r="B196" s="488">
        <v>152</v>
      </c>
      <c r="C196" s="489" t="s">
        <v>351</v>
      </c>
      <c r="D196" s="490" t="s">
        <v>354</v>
      </c>
      <c r="E196" s="491" t="s">
        <v>355</v>
      </c>
      <c r="F196" s="492"/>
      <c r="G196" s="493"/>
      <c r="H196" s="146" t="s">
        <v>97</v>
      </c>
      <c r="I196" s="494" t="str">
        <f t="shared" si="177"/>
        <v>n.v.t.</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c r="B197" s="488">
        <v>153</v>
      </c>
      <c r="C197" s="489" t="s">
        <v>351</v>
      </c>
      <c r="D197" s="490" t="s">
        <v>356</v>
      </c>
      <c r="E197" s="491" t="s">
        <v>357</v>
      </c>
      <c r="F197" s="492"/>
      <c r="G197" s="493"/>
      <c r="H197" s="146" t="s">
        <v>97</v>
      </c>
      <c r="I197" s="494" t="str">
        <f t="shared" si="177"/>
        <v>n.v.t.</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c r="B198" s="488">
        <v>154</v>
      </c>
      <c r="C198" s="489" t="s">
        <v>351</v>
      </c>
      <c r="D198" s="490" t="s">
        <v>358</v>
      </c>
      <c r="E198" s="491" t="s">
        <v>359</v>
      </c>
      <c r="F198" s="492"/>
      <c r="G198" s="493"/>
      <c r="H198" s="146" t="s">
        <v>97</v>
      </c>
      <c r="I198" s="494" t="str">
        <f t="shared" si="177"/>
        <v>n.v.t.</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c r="B199" s="488">
        <v>155</v>
      </c>
      <c r="C199" s="489" t="s">
        <v>351</v>
      </c>
      <c r="D199" s="490" t="s">
        <v>360</v>
      </c>
      <c r="E199" s="491" t="s">
        <v>450</v>
      </c>
      <c r="F199" s="492"/>
      <c r="G199" s="493"/>
      <c r="H199" s="146" t="s">
        <v>97</v>
      </c>
      <c r="I199" s="494" t="str">
        <f t="shared" si="177"/>
        <v>n.v.t.</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c r="B200" s="488">
        <v>156</v>
      </c>
      <c r="C200" s="489" t="s">
        <v>351</v>
      </c>
      <c r="D200" s="490" t="s">
        <v>361</v>
      </c>
      <c r="E200" s="491" t="s">
        <v>433</v>
      </c>
      <c r="F200" s="492"/>
      <c r="G200" s="493"/>
      <c r="H200" s="146" t="s">
        <v>97</v>
      </c>
      <c r="I200" s="494" t="str">
        <f t="shared" si="177"/>
        <v>n.v.t.</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c r="B201" s="488">
        <v>157</v>
      </c>
      <c r="C201" s="489" t="s">
        <v>351</v>
      </c>
      <c r="D201" s="490" t="s">
        <v>362</v>
      </c>
      <c r="E201" s="491" t="s">
        <v>434</v>
      </c>
      <c r="F201" s="492"/>
      <c r="G201" s="493"/>
      <c r="H201" s="146" t="s">
        <v>97</v>
      </c>
      <c r="I201" s="494" t="str">
        <f t="shared" si="177"/>
        <v>n.v.t.</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c r="B204" s="488">
        <v>160</v>
      </c>
      <c r="C204" s="489" t="s">
        <v>368</v>
      </c>
      <c r="D204" s="490" t="s">
        <v>367</v>
      </c>
      <c r="E204" s="491" t="s">
        <v>369</v>
      </c>
      <c r="F204" s="492"/>
      <c r="G204" s="493"/>
      <c r="H204" s="146" t="s">
        <v>97</v>
      </c>
      <c r="I204" s="494" t="str">
        <f t="shared" si="177"/>
        <v>n.v.t.</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c r="B205" s="488">
        <v>161</v>
      </c>
      <c r="C205" s="489" t="s">
        <v>368</v>
      </c>
      <c r="D205" s="490" t="s">
        <v>370</v>
      </c>
      <c r="E205" s="491" t="s">
        <v>371</v>
      </c>
      <c r="F205" s="492"/>
      <c r="G205" s="493"/>
      <c r="H205" s="146" t="s">
        <v>97</v>
      </c>
      <c r="I205" s="494" t="str">
        <f t="shared" si="177"/>
        <v>n.v.t.</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c r="B206" s="488">
        <v>162</v>
      </c>
      <c r="C206" s="489" t="s">
        <v>368</v>
      </c>
      <c r="D206" s="490" t="s">
        <v>372</v>
      </c>
      <c r="E206" s="491" t="s">
        <v>435</v>
      </c>
      <c r="F206" s="492"/>
      <c r="G206" s="493"/>
      <c r="H206" s="146" t="s">
        <v>97</v>
      </c>
      <c r="I206" s="494" t="str">
        <f t="shared" si="177"/>
        <v>n.v.t.</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c r="B207" s="488">
        <v>163</v>
      </c>
      <c r="C207" s="489" t="s">
        <v>439</v>
      </c>
      <c r="D207" s="490" t="s">
        <v>493</v>
      </c>
      <c r="E207" s="491" t="s">
        <v>451</v>
      </c>
      <c r="F207" s="492"/>
      <c r="G207" s="493"/>
      <c r="H207" s="146" t="s">
        <v>97</v>
      </c>
      <c r="I207" s="494" t="str">
        <f t="shared" si="177"/>
        <v>n.v.t.</v>
      </c>
      <c r="J207" s="495"/>
      <c r="K207" s="151">
        <v>0</v>
      </c>
      <c r="L207" s="256"/>
      <c r="M207" s="256">
        <f>IF($C$5&lt;3000,(Bron!H196*$C$5)+Bron!I196,(Bron!M196*$C$5)+Bron!N196)</f>
        <v>0</v>
      </c>
      <c r="N207" s="496">
        <f t="shared" si="260"/>
        <v>383.11810600000001</v>
      </c>
      <c r="O207" s="497">
        <f t="shared" si="261"/>
        <v>0</v>
      </c>
      <c r="P207" s="257"/>
      <c r="Q207" s="257">
        <f>IF($C$5&lt;3000,$AN$31*Bron!K196,$AN$31*Bron!P196)</f>
        <v>1508.3389999999999</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c r="B208" s="488">
        <v>164</v>
      </c>
      <c r="C208" s="489" t="s">
        <v>439</v>
      </c>
      <c r="D208" s="490" t="s">
        <v>493</v>
      </c>
      <c r="E208" s="491" t="s">
        <v>452</v>
      </c>
      <c r="F208" s="492"/>
      <c r="G208" s="493"/>
      <c r="H208" s="146" t="s">
        <v>97</v>
      </c>
      <c r="I208" s="494" t="str">
        <f t="shared" si="177"/>
        <v>n.v.t.</v>
      </c>
      <c r="J208" s="495"/>
      <c r="K208" s="151">
        <v>0</v>
      </c>
      <c r="L208" s="256"/>
      <c r="M208" s="256">
        <f>IF($C$5&lt;3000,(Bron!H197*$C$5)+Bron!I197,(Bron!M197*$C$5)+Bron!N197)</f>
        <v>5219.28</v>
      </c>
      <c r="N208" s="496">
        <f t="shared" si="260"/>
        <v>602.04273799999999</v>
      </c>
      <c r="O208" s="497">
        <f t="shared" si="261"/>
        <v>8.6692848706033221</v>
      </c>
      <c r="P208" s="257"/>
      <c r="Q208" s="257">
        <f>IF($C$5&lt;3000,$AN$31*Bron!K197,$AN$31*Bron!P197)</f>
        <v>2370.2469999999998</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c r="B209" s="488">
        <v>165</v>
      </c>
      <c r="C209" s="489" t="s">
        <v>439</v>
      </c>
      <c r="D209" s="490" t="s">
        <v>493</v>
      </c>
      <c r="E209" s="491" t="s">
        <v>453</v>
      </c>
      <c r="F209" s="492"/>
      <c r="G209" s="493"/>
      <c r="H209" s="146" t="s">
        <v>97</v>
      </c>
      <c r="I209" s="494" t="str">
        <f t="shared" si="177"/>
        <v>n.v.t.</v>
      </c>
      <c r="J209" s="495"/>
      <c r="K209" s="151">
        <v>0</v>
      </c>
      <c r="L209" s="256"/>
      <c r="M209" s="256">
        <f>IF($C$5&lt;3000,(Bron!H198*$C$5)+Bron!I198,(Bron!M198*$C$5)+Bron!N198)</f>
        <v>8350.848</v>
      </c>
      <c r="N209" s="496">
        <f t="shared" si="260"/>
        <v>1806.1282140000001</v>
      </c>
      <c r="O209" s="497">
        <f t="shared" si="261"/>
        <v>4.6236185976551054</v>
      </c>
      <c r="P209" s="257"/>
      <c r="Q209" s="257">
        <f>IF($C$5&lt;3000,$AN$31*Bron!K198,$AN$31*Bron!P198)</f>
        <v>7110.741</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c r="B210" s="488">
        <v>166</v>
      </c>
      <c r="C210" s="489" t="s">
        <v>439</v>
      </c>
      <c r="D210" s="490" t="s">
        <v>493</v>
      </c>
      <c r="E210" s="491" t="s">
        <v>454</v>
      </c>
      <c r="F210" s="492"/>
      <c r="G210" s="493"/>
      <c r="H210" s="146" t="s">
        <v>97</v>
      </c>
      <c r="I210" s="494" t="str">
        <f t="shared" si="177"/>
        <v>n.v.t.</v>
      </c>
      <c r="J210" s="495"/>
      <c r="K210" s="151">
        <v>0</v>
      </c>
      <c r="L210" s="256"/>
      <c r="M210" s="256">
        <f>IF($C$5&lt;3000,(Bron!H199*$C$5)+Bron!I199,(Bron!M199*$C$5)+Bron!N199)</f>
        <v>0</v>
      </c>
      <c r="N210" s="496">
        <f t="shared" si="260"/>
        <v>2462.90211</v>
      </c>
      <c r="O210" s="497">
        <f t="shared" si="261"/>
        <v>0</v>
      </c>
      <c r="P210" s="257"/>
      <c r="Q210" s="257">
        <f>IF($C$5&lt;3000,$AN$31*Bron!K199,$AN$31*Bron!P199)</f>
        <v>9696.4650000000001</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486</v>
      </c>
      <c r="I211" s="494" t="str">
        <f t="shared" si="177"/>
        <v>ons</v>
      </c>
      <c r="J211" s="495" t="s">
        <v>487</v>
      </c>
      <c r="K211" s="151">
        <v>0</v>
      </c>
      <c r="L211" s="256">
        <f>IF($C$5&lt;3000,(Bron!H200*$C$5)+Bron!I200,(Bron!M200*$C$5)+Bron!N200)</f>
        <v>135701.28</v>
      </c>
      <c r="M211" s="256"/>
      <c r="N211" s="496">
        <f t="shared" si="260"/>
        <v>1641.9347399999999</v>
      </c>
      <c r="O211" s="497">
        <f t="shared" si="261"/>
        <v>82.647182433085007</v>
      </c>
      <c r="P211" s="257"/>
      <c r="Q211" s="257">
        <f>IF($C$5&lt;3000,$AN$31*Bron!K200,$AN$31*Bron!P200)</f>
        <v>6464.3099999999995</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486</v>
      </c>
      <c r="I212" s="494" t="str">
        <f t="shared" si="177"/>
        <v>ons</v>
      </c>
      <c r="J212" s="495" t="s">
        <v>487</v>
      </c>
      <c r="K212" s="151">
        <v>0</v>
      </c>
      <c r="L212" s="256">
        <f>IF($C$5&lt;3000,(Bron!H201*$C$5)+Bron!I201,(Bron!M201*$C$5)+Bron!N201)</f>
        <v>501050.88</v>
      </c>
      <c r="M212" s="256"/>
      <c r="N212" s="496">
        <f t="shared" si="260"/>
        <v>3831.1810600000003</v>
      </c>
      <c r="O212" s="497">
        <f t="shared" si="261"/>
        <v>130.78235461938726</v>
      </c>
      <c r="P212" s="257"/>
      <c r="Q212" s="257">
        <f>IF($C$5&lt;3000,$AN$31*Bron!K201,$AN$31*Bron!P201)</f>
        <v>15083.390000000001</v>
      </c>
      <c r="R212" s="257">
        <f>IF($C$5&lt;3000,$AN$33*Bron!J201,$AN$33*Bron!O201)</f>
        <v>0</v>
      </c>
      <c r="S212" s="344"/>
      <c r="T212" s="258">
        <f t="shared" si="178"/>
        <v>0</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customHeight="1">
      <c r="B213" s="488">
        <v>169</v>
      </c>
      <c r="C213" s="489" t="s">
        <v>581</v>
      </c>
      <c r="D213" s="490" t="s">
        <v>493</v>
      </c>
      <c r="E213" s="491" t="s">
        <v>582</v>
      </c>
      <c r="F213" s="492"/>
      <c r="G213" s="493"/>
      <c r="H213" s="146" t="s">
        <v>486</v>
      </c>
      <c r="I213" s="494" t="str">
        <f t="shared" si="177"/>
        <v>ons</v>
      </c>
      <c r="J213" s="495" t="s">
        <v>487</v>
      </c>
      <c r="K213" s="151">
        <v>0</v>
      </c>
      <c r="L213" s="256">
        <f>IF($C$5&lt;3000,(Bron!H202*$C$5)+Bron!I202,(Bron!M202*$C$5)+Bron!N202)</f>
        <v>1000</v>
      </c>
      <c r="M213" s="256"/>
      <c r="N213" s="496">
        <f t="shared" si="260"/>
        <v>1641.9347399999999</v>
      </c>
      <c r="O213" s="497">
        <f t="shared" si="261"/>
        <v>0.6090376040158576</v>
      </c>
      <c r="P213" s="257">
        <f>IF($C$5&lt;3000,$AN$32*Bron!J202,$AN$32*Bron!O202)</f>
        <v>0</v>
      </c>
      <c r="Q213" s="257">
        <f>IF($C$5&lt;3000,$AN$31*Bron!K202,$AN$31*Bron!P202)</f>
        <v>6464.3099999999995</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customHeight="1">
      <c r="B214" s="488">
        <v>170</v>
      </c>
      <c r="C214" s="489" t="s">
        <v>591</v>
      </c>
      <c r="D214" s="490" t="s">
        <v>493</v>
      </c>
      <c r="E214" s="491" t="s">
        <v>592</v>
      </c>
      <c r="F214" s="492"/>
      <c r="G214" s="493"/>
      <c r="H214" s="146" t="s">
        <v>97</v>
      </c>
      <c r="I214" s="494" t="str">
        <f t="shared" si="177"/>
        <v>n.v.t.</v>
      </c>
      <c r="J214" s="495" t="s">
        <v>487</v>
      </c>
      <c r="K214" s="151">
        <v>0</v>
      </c>
      <c r="L214" s="256">
        <f>IF($C$5&lt;3000,(Bron!H203*$C$5)+Bron!I203,(Bron!M203*$C$5)+Bron!N203)</f>
        <v>1110</v>
      </c>
      <c r="M214" s="256"/>
      <c r="N214" s="496">
        <f t="shared" si="260"/>
        <v>328.38694800000002</v>
      </c>
      <c r="O214" s="497">
        <f t="shared" si="261"/>
        <v>3.3801587022880093</v>
      </c>
      <c r="P214" s="257"/>
      <c r="Q214" s="257">
        <f>IF($C$5&lt;3000,$AN$31*Bron!K203,$AN$31*Bron!P203)</f>
        <v>1292.8620000000001</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customHeight="1">
      <c r="B215" s="488">
        <v>171</v>
      </c>
      <c r="C215" s="701" t="s">
        <v>591</v>
      </c>
      <c r="D215" s="702" t="s">
        <v>493</v>
      </c>
      <c r="E215" s="703" t="s">
        <v>593</v>
      </c>
      <c r="F215" s="704"/>
      <c r="G215" s="705"/>
      <c r="H215" s="706" t="s">
        <v>97</v>
      </c>
      <c r="I215" s="707" t="str">
        <f t="shared" si="177"/>
        <v>n.v.t.</v>
      </c>
      <c r="J215" s="708"/>
      <c r="K215" s="151">
        <v>0</v>
      </c>
      <c r="L215" s="709"/>
      <c r="M215" s="709">
        <f>IF($C$5&lt;3000,(Bron!H204*$C$5)+Bron!I204,(Bron!M204*$C$5)+Bron!N204)</f>
        <v>78</v>
      </c>
      <c r="N215" s="710">
        <f t="shared" si="260"/>
        <v>328.38694800000002</v>
      </c>
      <c r="O215" s="711">
        <f t="shared" si="261"/>
        <v>0.23752466556618443</v>
      </c>
      <c r="P215" s="712"/>
      <c r="Q215" s="712">
        <f>IF($C$5&lt;3000,$AN$31*Bron!K204,$AN$31*Bron!P204)</f>
        <v>1292.8620000000001</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11862</v>
      </c>
      <c r="V221" s="541">
        <f>IF($C$12&lt;V219,0,IF(V219&lt;$C$11,0,$C$4))</f>
        <v>11862</v>
      </c>
      <c r="W221" s="542"/>
      <c r="X221" s="543"/>
      <c r="Y221" s="543"/>
      <c r="Z221" s="542"/>
      <c r="AA221" s="542"/>
      <c r="AB221" s="541">
        <f>IF($C$12&lt;AB219,0,IF(AB219&lt;$C$11,0,$C$4))</f>
        <v>11862</v>
      </c>
      <c r="AC221" s="542"/>
      <c r="AD221" s="543"/>
      <c r="AE221" s="543"/>
      <c r="AF221" s="542"/>
      <c r="AG221" s="542"/>
      <c r="AH221" s="541">
        <f>IF($C$12&lt;AH219,0,IF(AH219&lt;$C$11,0,$C$4))</f>
        <v>11862</v>
      </c>
      <c r="AI221" s="542"/>
      <c r="AJ221" s="543"/>
      <c r="AK221" s="543"/>
      <c r="AL221" s="542"/>
      <c r="AM221" s="542"/>
      <c r="AN221" s="541">
        <f>IF($C$12&lt;AN219,0,IF(AN219&lt;$C$11,0,$C$4))</f>
        <v>11862</v>
      </c>
      <c r="AO221" s="542"/>
      <c r="AP221" s="543"/>
      <c r="AQ221" s="543"/>
      <c r="AR221" s="542"/>
      <c r="AS221" s="542"/>
      <c r="AT221" s="541">
        <f>IF($C$12&lt;AT219,0,IF(AT219&lt;$C$11,0,$C$4))</f>
        <v>11862</v>
      </c>
      <c r="AU221" s="542"/>
      <c r="AV221" s="543"/>
      <c r="AW221" s="543"/>
      <c r="AX221" s="542"/>
      <c r="AY221" s="542"/>
      <c r="AZ221" s="541">
        <f>IF($C$12&lt;AZ219,0,IF(AZ219&lt;$C$11,0,$C$4))</f>
        <v>11862</v>
      </c>
      <c r="BA221" s="311"/>
      <c r="BB221" s="312"/>
      <c r="BC221" s="312"/>
      <c r="BD221" s="311"/>
      <c r="BE221" s="311"/>
      <c r="BF221" s="541">
        <f>IF($C$12&lt;BF219,0,IF(BF219&lt;$C$11,0,$C$4))</f>
        <v>11862</v>
      </c>
      <c r="BG221" s="311"/>
      <c r="BH221" s="312"/>
      <c r="BI221" s="312"/>
      <c r="BJ221" s="311"/>
      <c r="BK221" s="311"/>
      <c r="BL221" s="541">
        <f>IF($C$12&lt;BL219,0,IF(BL219&lt;$C$11,0,$C$4))</f>
        <v>11862</v>
      </c>
      <c r="BM221" s="311"/>
      <c r="BN221" s="312"/>
      <c r="BO221" s="312"/>
      <c r="BP221" s="311"/>
      <c r="BQ221" s="311"/>
      <c r="BR221" s="541">
        <f>IF($C$12&lt;BR219,0,IF(BR219&lt;$C$11,0,$C$4))</f>
        <v>0</v>
      </c>
      <c r="BS221" s="542"/>
      <c r="BT221" s="543"/>
      <c r="BU221" s="543"/>
      <c r="BV221" s="542"/>
      <c r="BW221" s="542"/>
      <c r="BX221" s="541">
        <f>IF($C$12&lt;BX219,0,IF(BX219&lt;$C$11,0,$C$4))</f>
        <v>0</v>
      </c>
      <c r="BY221" s="311"/>
      <c r="BZ221" s="312"/>
      <c r="CA221" s="312"/>
      <c r="CB221" s="311"/>
      <c r="CC221" s="311"/>
      <c r="CD221" s="541">
        <f>IF($C$12&lt;CD219,0,IF(CD219&lt;$C$11,0,$C$4))</f>
        <v>0</v>
      </c>
      <c r="CE221" s="311"/>
      <c r="CF221" s="312"/>
      <c r="CG221" s="312"/>
      <c r="CH221" s="311"/>
      <c r="CI221" s="311"/>
      <c r="CJ221" s="541">
        <f>IF($C$12&lt;CJ219,0,IF(CJ219&lt;$C$11,0,$C$4))</f>
        <v>0</v>
      </c>
      <c r="CK221" s="311"/>
      <c r="CL221" s="312"/>
      <c r="CM221" s="312"/>
      <c r="CN221" s="311"/>
      <c r="CO221" s="311"/>
      <c r="CP221" s="541">
        <f>IF($C$12&lt;CP219,0,IF(CP219&lt;$C$11,0,$C$4))</f>
        <v>0</v>
      </c>
      <c r="CQ221" s="544"/>
      <c r="CR221" s="543"/>
      <c r="CS221" s="543"/>
      <c r="CT221" s="544"/>
      <c r="CU221" s="544"/>
      <c r="CV221" s="541">
        <f>IF($C$12&lt;CV219,0,IF(CV219&lt;$C$11,0,$C$4))</f>
        <v>0</v>
      </c>
      <c r="CW221" s="544"/>
      <c r="CX221" s="543"/>
      <c r="CY221" s="543"/>
      <c r="CZ221" s="544"/>
      <c r="DA221" s="544"/>
      <c r="DB221" s="541">
        <f>IF($C$12&lt;DB219,0,IF(DB219&lt;$C$11,0,$C$4))</f>
        <v>0</v>
      </c>
      <c r="DC221" s="311"/>
      <c r="DD221" s="312"/>
      <c r="DE221" s="312"/>
      <c r="DF221" s="311"/>
      <c r="DG221" s="311"/>
      <c r="DH221" s="541">
        <f>IF($C$12&lt;DH219,0,IF(DH219&lt;$C$11,0,$C$4))</f>
        <v>0</v>
      </c>
      <c r="DI221" s="311"/>
      <c r="DJ221" s="312"/>
      <c r="DK221" s="312"/>
      <c r="DL221" s="311"/>
      <c r="DM221" s="311"/>
      <c r="DN221" s="541">
        <f>IF($C$12&lt;DN219,0,IF(DN219&lt;$C$11,0,$C$4))</f>
        <v>0</v>
      </c>
      <c r="DO221" s="311"/>
      <c r="DP221" s="312"/>
      <c r="DQ221" s="312"/>
      <c r="DR221" s="311"/>
      <c r="DS221" s="311"/>
      <c r="DT221" s="541">
        <f>IF($C$12&lt;DT219,0,IF(DT219&lt;$C$11,0,$C$4))</f>
        <v>0</v>
      </c>
      <c r="DU221" s="311"/>
      <c r="DV221" s="312"/>
      <c r="DW221" s="312"/>
      <c r="DX221" s="311"/>
      <c r="DY221" s="311"/>
      <c r="DZ221" s="541">
        <f>IF($C$12&lt;DZ219,0,IF(DZ219&lt;$C$11,0,$C$4))</f>
        <v>0</v>
      </c>
      <c r="EA221" s="311"/>
      <c r="EB221" s="312"/>
      <c r="EC221" s="312"/>
      <c r="ED221" s="311"/>
      <c r="EE221" s="311"/>
      <c r="EF221" s="541">
        <f>IF($C$12&lt;EF219,0,IF(EF219&lt;$C$11,0,$C$4))</f>
        <v>0</v>
      </c>
      <c r="EG221" s="311"/>
      <c r="EH221" s="312"/>
      <c r="EI221" s="312"/>
      <c r="EJ221" s="311"/>
      <c r="EK221" s="311"/>
      <c r="EL221" s="541">
        <f>IF($C$12&lt;EL219,0,IF(EL219&lt;$C$11,0,$C$4))</f>
        <v>0</v>
      </c>
      <c r="EM221" s="311"/>
      <c r="EN221" s="312"/>
      <c r="EO221" s="312"/>
      <c r="EP221" s="311"/>
      <c r="EQ221" s="311"/>
      <c r="ER221" s="541">
        <f>IF($C$12&lt;ER219,0,IF(ER219&lt;$C$11,0,$C$4))</f>
        <v>0</v>
      </c>
      <c r="ES221" s="311"/>
      <c r="ET221" s="312"/>
      <c r="EU221" s="312"/>
      <c r="EV221" s="311"/>
      <c r="EW221" s="311"/>
      <c r="EX221" s="541">
        <f>IF($C$12&lt;EX219,0,IF(EX219&lt;$C$11,0,$C$4))</f>
        <v>0</v>
      </c>
      <c r="EY221" s="311"/>
      <c r="EZ221" s="312"/>
      <c r="FA221" s="312"/>
      <c r="FB221" s="311"/>
      <c r="FC221" s="311"/>
      <c r="FD221" s="541">
        <f>IF($C$12&lt;FD219,0,IF(FD219&lt;$C$11,0,$C$4))</f>
        <v>0</v>
      </c>
      <c r="FE221" s="311"/>
      <c r="FF221" s="312"/>
      <c r="FG221" s="312"/>
      <c r="FH221" s="311"/>
      <c r="FI221" s="311"/>
      <c r="FJ221" s="541">
        <f>IF($C$12&lt;FJ219,0,IF(FJ219&lt;$C$11,0,$C$4))</f>
        <v>0</v>
      </c>
      <c r="FK221" s="311"/>
      <c r="FL221" s="312"/>
      <c r="FM221" s="312"/>
      <c r="FN221" s="311"/>
      <c r="FO221" s="311"/>
      <c r="FP221" s="541">
        <f>IF($C$12&lt;FP219,0,IF(FP219&lt;$C$11,0,$C$4))</f>
        <v>0</v>
      </c>
      <c r="FQ221" s="311"/>
      <c r="FR221" s="312"/>
      <c r="FS221" s="312"/>
      <c r="FT221" s="311"/>
      <c r="FU221" s="311"/>
      <c r="FV221" s="541">
        <f>IF($C$12&lt;FV219,0,IF(FV219&lt;$C$11,0,$C$4))</f>
        <v>0</v>
      </c>
      <c r="FW221" s="311"/>
      <c r="FX221" s="312"/>
      <c r="FY221" s="312"/>
      <c r="FZ221" s="311"/>
      <c r="GA221" s="311"/>
      <c r="GB221" s="541">
        <f>IF($C$12&lt;GB219,0,IF(GB219&lt;$C$11,0,$C$4))</f>
        <v>0</v>
      </c>
      <c r="GC221" s="311"/>
      <c r="GD221" s="312"/>
      <c r="GE221" s="312"/>
      <c r="GF221" s="311"/>
      <c r="GG221" s="311"/>
      <c r="GH221" s="541">
        <f>IF($C$12&lt;GH219,0,IF(GH219&lt;$C$11,0,$C$4))</f>
        <v>0</v>
      </c>
      <c r="GI221" s="311"/>
      <c r="GJ221" s="312"/>
      <c r="GK221" s="312"/>
      <c r="GL221" s="311"/>
      <c r="GM221" s="311"/>
      <c r="GN221" s="541">
        <f>IF($C$12&lt;GN219,0,IF(GN219&lt;$C$11,0,$C$4))</f>
        <v>0</v>
      </c>
      <c r="GO221" s="311"/>
      <c r="GP221" s="312"/>
      <c r="GQ221" s="312"/>
      <c r="GR221" s="311"/>
      <c r="GS221" s="311"/>
      <c r="GT221" s="541">
        <f>IF($C$12&lt;GT219,0,IF(GT219&lt;$C$11,0,$C$4))</f>
        <v>0</v>
      </c>
      <c r="GU221" s="311"/>
      <c r="GV221" s="312"/>
      <c r="GW221" s="312"/>
      <c r="GX221" s="311"/>
      <c r="GY221" s="311"/>
      <c r="GZ221" s="545">
        <f>IF($C$12&lt;GZ219,0,IF(GZ219&lt;$C$11,0,$C$4))</f>
        <v>0</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10438.56</v>
      </c>
      <c r="V222" s="551">
        <f>IF($C$12&lt;V219,0,IF(V219&lt;$C$11,0,$C$5))</f>
        <v>10438.56</v>
      </c>
      <c r="W222" s="552"/>
      <c r="X222" s="553"/>
      <c r="Y222" s="553"/>
      <c r="Z222" s="552"/>
      <c r="AA222" s="552"/>
      <c r="AB222" s="551">
        <f>IF($C$12&lt;AB219,0,IF(AB219&lt;$C$11,0,$C$5))</f>
        <v>10438.56</v>
      </c>
      <c r="AC222" s="313"/>
      <c r="AD222" s="314"/>
      <c r="AE222" s="314"/>
      <c r="AF222" s="313"/>
      <c r="AG222" s="313"/>
      <c r="AH222" s="551">
        <f>IF($C$12&lt;AH219,0,IF(AH219&lt;$C$11,0,$C$5))</f>
        <v>10438.56</v>
      </c>
      <c r="AI222" s="552"/>
      <c r="AJ222" s="553"/>
      <c r="AK222" s="553"/>
      <c r="AL222" s="552"/>
      <c r="AM222" s="552"/>
      <c r="AN222" s="551">
        <f>IF($C$12&lt;AN219,0,IF(AN219&lt;$C$11,0,$C$5))</f>
        <v>10438.56</v>
      </c>
      <c r="AO222" s="552"/>
      <c r="AP222" s="553"/>
      <c r="AQ222" s="553"/>
      <c r="AR222" s="552"/>
      <c r="AS222" s="552"/>
      <c r="AT222" s="551">
        <f>IF($C$12&lt;AT219,0,IF(AT219&lt;$C$11,0,$C$5))</f>
        <v>10438.56</v>
      </c>
      <c r="AU222" s="313"/>
      <c r="AV222" s="314"/>
      <c r="AW222" s="314"/>
      <c r="AX222" s="313"/>
      <c r="AY222" s="313"/>
      <c r="AZ222" s="551">
        <f>IF($C$12&lt;AZ219,0,IF(AZ219&lt;$C$11,0,$C$5))</f>
        <v>10438.56</v>
      </c>
      <c r="BA222" s="313"/>
      <c r="BB222" s="314"/>
      <c r="BC222" s="314"/>
      <c r="BD222" s="313"/>
      <c r="BE222" s="313"/>
      <c r="BF222" s="551">
        <f>IF($C$12&lt;BF219,0,IF(BF219&lt;$C$11,0,$C$5))</f>
        <v>10438.56</v>
      </c>
      <c r="BG222" s="313"/>
      <c r="BH222" s="314"/>
      <c r="BI222" s="314"/>
      <c r="BJ222" s="313"/>
      <c r="BK222" s="313"/>
      <c r="BL222" s="551">
        <f>IF($C$12&lt;BL219,0,IF(BL219&lt;$C$11,0,$C$5))</f>
        <v>10438.56</v>
      </c>
      <c r="BM222" s="313"/>
      <c r="BN222" s="314"/>
      <c r="BO222" s="314"/>
      <c r="BP222" s="313"/>
      <c r="BQ222" s="313"/>
      <c r="BR222" s="551">
        <f>IF($C$12&lt;BR219,0,IF(BR219&lt;$C$11,0,$C$5))</f>
        <v>0</v>
      </c>
      <c r="BS222" s="313"/>
      <c r="BT222" s="314"/>
      <c r="BU222" s="314"/>
      <c r="BV222" s="313"/>
      <c r="BW222" s="313"/>
      <c r="BX222" s="551">
        <f>IF($C$12&lt;BX219,0,IF(BX219&lt;$C$11,0,$C$5))</f>
        <v>0</v>
      </c>
      <c r="BY222" s="313"/>
      <c r="BZ222" s="314"/>
      <c r="CA222" s="314"/>
      <c r="CB222" s="313"/>
      <c r="CC222" s="313"/>
      <c r="CD222" s="551">
        <f>IF($C$12&lt;CD219,0,IF(CD219&lt;$C$11,0,$C$5))</f>
        <v>0</v>
      </c>
      <c r="CE222" s="313"/>
      <c r="CF222" s="314"/>
      <c r="CG222" s="314"/>
      <c r="CH222" s="313"/>
      <c r="CI222" s="313"/>
      <c r="CJ222" s="551">
        <f>IF($C$12&lt;CJ219,0,IF(CJ219&lt;$C$11,0,$C$5))</f>
        <v>0</v>
      </c>
      <c r="CK222" s="313"/>
      <c r="CL222" s="314"/>
      <c r="CM222" s="314"/>
      <c r="CN222" s="313"/>
      <c r="CO222" s="313"/>
      <c r="CP222" s="551">
        <f>IF($C$12&lt;CP219,0,IF(CP219&lt;$C$11,0,$C$5))</f>
        <v>0</v>
      </c>
      <c r="CQ222" s="313"/>
      <c r="CR222" s="314"/>
      <c r="CS222" s="314"/>
      <c r="CT222" s="313"/>
      <c r="CU222" s="313"/>
      <c r="CV222" s="551">
        <f>IF($C$12&lt;CV219,0,IF(CV219&lt;$C$11,0,$C$5))</f>
        <v>0</v>
      </c>
      <c r="CW222" s="554"/>
      <c r="CX222" s="553"/>
      <c r="CY222" s="553"/>
      <c r="CZ222" s="554"/>
      <c r="DA222" s="554"/>
      <c r="DB222" s="551">
        <f>IF($C$12&lt;DB219,0,IF(DB219&lt;$C$11,0,$C$5))</f>
        <v>0</v>
      </c>
      <c r="DC222" s="313"/>
      <c r="DD222" s="314"/>
      <c r="DE222" s="314"/>
      <c r="DF222" s="313"/>
      <c r="DG222" s="313"/>
      <c r="DH222" s="551">
        <f>IF($C$12&lt;DH219,0,IF(DH219&lt;$C$11,0,$C$5))</f>
        <v>0</v>
      </c>
      <c r="DI222" s="313"/>
      <c r="DJ222" s="314"/>
      <c r="DK222" s="314"/>
      <c r="DL222" s="313"/>
      <c r="DM222" s="313"/>
      <c r="DN222" s="551">
        <f>IF($C$12&lt;DN219,0,IF(DN219&lt;$C$11,0,$C$5))</f>
        <v>0</v>
      </c>
      <c r="DO222" s="313"/>
      <c r="DP222" s="314"/>
      <c r="DQ222" s="314"/>
      <c r="DR222" s="313"/>
      <c r="DS222" s="313"/>
      <c r="DT222" s="551">
        <f>IF($C$12&lt;DT219,0,IF(DT219&lt;$C$11,0,$C$5))</f>
        <v>0</v>
      </c>
      <c r="DU222" s="313"/>
      <c r="DV222" s="314"/>
      <c r="DW222" s="314"/>
      <c r="DX222" s="313"/>
      <c r="DY222" s="313"/>
      <c r="DZ222" s="551">
        <f>IF($C$12&lt;DZ219,0,IF(DZ219&lt;$C$11,0,$C$5))</f>
        <v>0</v>
      </c>
      <c r="EA222" s="313"/>
      <c r="EB222" s="314"/>
      <c r="EC222" s="314"/>
      <c r="ED222" s="313"/>
      <c r="EE222" s="313"/>
      <c r="EF222" s="551">
        <f>IF($C$12&lt;EF219,0,IF(EF219&lt;$C$11,0,$C$5))</f>
        <v>0</v>
      </c>
      <c r="EG222" s="313"/>
      <c r="EH222" s="314"/>
      <c r="EI222" s="314"/>
      <c r="EJ222" s="313"/>
      <c r="EK222" s="313"/>
      <c r="EL222" s="551">
        <f>IF($C$12&lt;EL219,0,IF(EL219&lt;$C$11,0,$C$5))</f>
        <v>0</v>
      </c>
      <c r="EM222" s="313"/>
      <c r="EN222" s="314"/>
      <c r="EO222" s="314"/>
      <c r="EP222" s="313"/>
      <c r="EQ222" s="313"/>
      <c r="ER222" s="551">
        <f>IF($C$12&lt;ER219,0,IF(ER219&lt;$C$11,0,$C$5))</f>
        <v>0</v>
      </c>
      <c r="ES222" s="313"/>
      <c r="ET222" s="314"/>
      <c r="EU222" s="314"/>
      <c r="EV222" s="313"/>
      <c r="EW222" s="313"/>
      <c r="EX222" s="551">
        <f>IF($C$12&lt;EX219,0,IF(EX219&lt;$C$11,0,$C$5))</f>
        <v>0</v>
      </c>
      <c r="EY222" s="313"/>
      <c r="EZ222" s="314"/>
      <c r="FA222" s="314"/>
      <c r="FB222" s="313"/>
      <c r="FC222" s="313"/>
      <c r="FD222" s="551">
        <f>IF($C$12&lt;FD219,0,IF(FD219&lt;$C$11,0,$C$5))</f>
        <v>0</v>
      </c>
      <c r="FE222" s="313"/>
      <c r="FF222" s="314"/>
      <c r="FG222" s="314"/>
      <c r="FH222" s="313"/>
      <c r="FI222" s="313"/>
      <c r="FJ222" s="551">
        <f>IF($C$12&lt;FJ219,0,IF(FJ219&lt;$C$11,0,$C$5))</f>
        <v>0</v>
      </c>
      <c r="FK222" s="313"/>
      <c r="FL222" s="314"/>
      <c r="FM222" s="314"/>
      <c r="FN222" s="313"/>
      <c r="FO222" s="313"/>
      <c r="FP222" s="551">
        <f>IF($C$12&lt;FP219,0,IF(FP219&lt;$C$11,0,$C$5))</f>
        <v>0</v>
      </c>
      <c r="FQ222" s="313"/>
      <c r="FR222" s="314"/>
      <c r="FS222" s="314"/>
      <c r="FT222" s="313"/>
      <c r="FU222" s="313"/>
      <c r="FV222" s="551">
        <f>IF($C$12&lt;FV219,0,IF(FV219&lt;$C$11,0,$C$5))</f>
        <v>0</v>
      </c>
      <c r="FW222" s="313"/>
      <c r="FX222" s="314"/>
      <c r="FY222" s="314"/>
      <c r="FZ222" s="313"/>
      <c r="GA222" s="313"/>
      <c r="GB222" s="551">
        <f>IF($C$12&lt;GB219,0,IF(GB219&lt;$C$11,0,$C$5))</f>
        <v>0</v>
      </c>
      <c r="GC222" s="313"/>
      <c r="GD222" s="314"/>
      <c r="GE222" s="314"/>
      <c r="GF222" s="313"/>
      <c r="GG222" s="313"/>
      <c r="GH222" s="551">
        <f>IF($C$12&lt;GH219,0,IF(GH219&lt;$C$11,0,$C$5))</f>
        <v>0</v>
      </c>
      <c r="GI222" s="313"/>
      <c r="GJ222" s="314"/>
      <c r="GK222" s="314"/>
      <c r="GL222" s="313"/>
      <c r="GM222" s="313"/>
      <c r="GN222" s="551">
        <f>IF($C$12&lt;GN219,0,IF(GN219&lt;$C$11,0,$C$5))</f>
        <v>0</v>
      </c>
      <c r="GO222" s="313"/>
      <c r="GP222" s="314"/>
      <c r="GQ222" s="314"/>
      <c r="GR222" s="313"/>
      <c r="GS222" s="313"/>
      <c r="GT222" s="551">
        <f>IF($C$12&lt;GT219,0,IF(GT219&lt;$C$11,0,$C$5))</f>
        <v>0</v>
      </c>
      <c r="GU222" s="313"/>
      <c r="GV222" s="314"/>
      <c r="GW222" s="314"/>
      <c r="GX222" s="313"/>
      <c r="GY222" s="313"/>
      <c r="GZ222" s="555">
        <f>IF($C$12&lt;GZ219,0,IF(GZ219&lt;$C$11,0,$C$5))</f>
        <v>0</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938150.31359999999</v>
      </c>
      <c r="AU223" s="311"/>
      <c r="AV223" s="312"/>
      <c r="AW223" s="312"/>
      <c r="AX223" s="311"/>
      <c r="AY223" s="311"/>
      <c r="AZ223" s="563">
        <f>SUM(BA44:BA216)</f>
        <v>0</v>
      </c>
      <c r="BA223" s="311"/>
      <c r="BB223" s="312"/>
      <c r="BC223" s="312"/>
      <c r="BD223" s="311"/>
      <c r="BE223" s="311"/>
      <c r="BF223" s="563">
        <f>SUM(BG44:BG216)</f>
        <v>0</v>
      </c>
      <c r="BG223" s="311"/>
      <c r="BH223" s="312"/>
      <c r="BI223" s="312"/>
      <c r="BJ223" s="311"/>
      <c r="BK223" s="311"/>
      <c r="BL223" s="563">
        <f>SUM(BM44:BM216)</f>
        <v>0</v>
      </c>
      <c r="BM223" s="311"/>
      <c r="BN223" s="312"/>
      <c r="BO223" s="312"/>
      <c r="BP223" s="311"/>
      <c r="BQ223" s="311"/>
      <c r="BR223" s="563">
        <f>SUM(BS44:BS216)</f>
        <v>0</v>
      </c>
      <c r="BS223" s="311"/>
      <c r="BT223" s="312"/>
      <c r="BU223" s="312"/>
      <c r="BV223" s="311"/>
      <c r="BW223" s="311"/>
      <c r="BX223" s="563">
        <f>SUM(BY44:BY216)</f>
        <v>0</v>
      </c>
      <c r="BY223" s="311"/>
      <c r="BZ223" s="312"/>
      <c r="CA223" s="312"/>
      <c r="CB223" s="311"/>
      <c r="CC223" s="311"/>
      <c r="CD223" s="563">
        <f>SUM(CE44:CE216)</f>
        <v>0</v>
      </c>
      <c r="CE223" s="311"/>
      <c r="CF223" s="312"/>
      <c r="CG223" s="312"/>
      <c r="CH223" s="311"/>
      <c r="CI223" s="311"/>
      <c r="CJ223" s="563">
        <f>SUM(CK44:CK216)</f>
        <v>0</v>
      </c>
      <c r="CK223" s="311"/>
      <c r="CL223" s="312"/>
      <c r="CM223" s="312"/>
      <c r="CN223" s="311"/>
      <c r="CO223" s="311"/>
      <c r="CP223" s="563">
        <f>SUM(CQ44:CQ216)</f>
        <v>0</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0</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938150.31359999999</v>
      </c>
      <c r="AU224" s="574"/>
      <c r="AV224" s="575"/>
      <c r="AW224" s="575"/>
      <c r="AX224" s="574"/>
      <c r="AY224" s="574"/>
      <c r="AZ224" s="576">
        <f>AT224+AZ223</f>
        <v>938150.31359999999</v>
      </c>
      <c r="BA224" s="315"/>
      <c r="BB224" s="316"/>
      <c r="BC224" s="316"/>
      <c r="BD224" s="315"/>
      <c r="BE224" s="315"/>
      <c r="BF224" s="576">
        <f>AZ224+BF223</f>
        <v>938150.31359999999</v>
      </c>
      <c r="BG224" s="315"/>
      <c r="BH224" s="316"/>
      <c r="BI224" s="316"/>
      <c r="BJ224" s="315"/>
      <c r="BK224" s="315"/>
      <c r="BL224" s="576">
        <f>BF224+BL223</f>
        <v>938150.31359999999</v>
      </c>
      <c r="BM224" s="315"/>
      <c r="BN224" s="316"/>
      <c r="BO224" s="316"/>
      <c r="BP224" s="315"/>
      <c r="BQ224" s="315"/>
      <c r="BR224" s="576">
        <f>BL224+BR223</f>
        <v>938150.31359999999</v>
      </c>
      <c r="BS224" s="574"/>
      <c r="BT224" s="575"/>
      <c r="BU224" s="575"/>
      <c r="BV224" s="574"/>
      <c r="BW224" s="574"/>
      <c r="BX224" s="576">
        <f>BR224+BX223</f>
        <v>938150.31359999999</v>
      </c>
      <c r="BY224" s="315"/>
      <c r="BZ224" s="316"/>
      <c r="CA224" s="316"/>
      <c r="CB224" s="315"/>
      <c r="CC224" s="315"/>
      <c r="CD224" s="576">
        <f>BX224+CD223</f>
        <v>938150.31359999999</v>
      </c>
      <c r="CE224" s="315"/>
      <c r="CF224" s="316"/>
      <c r="CG224" s="316"/>
      <c r="CH224" s="315"/>
      <c r="CI224" s="315"/>
      <c r="CJ224" s="576">
        <f>CD224+CJ223</f>
        <v>938150.31359999999</v>
      </c>
      <c r="CK224" s="315"/>
      <c r="CL224" s="316"/>
      <c r="CM224" s="316"/>
      <c r="CN224" s="315"/>
      <c r="CO224" s="315"/>
      <c r="CP224" s="576">
        <f>CJ224+CP223</f>
        <v>938150.31359999999</v>
      </c>
      <c r="CQ224" s="577"/>
      <c r="CR224" s="575"/>
      <c r="CS224" s="575"/>
      <c r="CT224" s="577"/>
      <c r="CU224" s="577"/>
      <c r="CV224" s="576">
        <f>CP224+CV223</f>
        <v>938150.31359999999</v>
      </c>
      <c r="CW224" s="577"/>
      <c r="CX224" s="575"/>
      <c r="CY224" s="575"/>
      <c r="CZ224" s="577"/>
      <c r="DA224" s="577"/>
      <c r="DB224" s="576">
        <f>CV224+DB223</f>
        <v>938150.31359999999</v>
      </c>
      <c r="DC224" s="315"/>
      <c r="DD224" s="316"/>
      <c r="DE224" s="316"/>
      <c r="DF224" s="315"/>
      <c r="DG224" s="315"/>
      <c r="DH224" s="576">
        <f>DB224+DH223</f>
        <v>938150.31359999999</v>
      </c>
      <c r="DI224" s="315"/>
      <c r="DJ224" s="316"/>
      <c r="DK224" s="316"/>
      <c r="DL224" s="315"/>
      <c r="DM224" s="315"/>
      <c r="DN224" s="576">
        <f>DH224+DN223</f>
        <v>938150.31359999999</v>
      </c>
      <c r="DO224" s="315"/>
      <c r="DP224" s="316"/>
      <c r="DQ224" s="316"/>
      <c r="DR224" s="315"/>
      <c r="DS224" s="315"/>
      <c r="DT224" s="576">
        <f>DN224+DT223</f>
        <v>938150.31359999999</v>
      </c>
      <c r="DU224" s="315"/>
      <c r="DV224" s="316"/>
      <c r="DW224" s="316"/>
      <c r="DX224" s="315"/>
      <c r="DY224" s="315"/>
      <c r="DZ224" s="576">
        <f>DT224+DZ223</f>
        <v>938150.31359999999</v>
      </c>
      <c r="EA224" s="315"/>
      <c r="EB224" s="316"/>
      <c r="EC224" s="316"/>
      <c r="ED224" s="315"/>
      <c r="EE224" s="315"/>
      <c r="EF224" s="576">
        <f>DZ224+EF223</f>
        <v>938150.31359999999</v>
      </c>
      <c r="EG224" s="315"/>
      <c r="EH224" s="316"/>
      <c r="EI224" s="316"/>
      <c r="EJ224" s="315"/>
      <c r="EK224" s="315"/>
      <c r="EL224" s="576">
        <f>EF224+EL223</f>
        <v>938150.31359999999</v>
      </c>
      <c r="EM224" s="315"/>
      <c r="EN224" s="316"/>
      <c r="EO224" s="316"/>
      <c r="EP224" s="315"/>
      <c r="EQ224" s="315"/>
      <c r="ER224" s="576">
        <f>EL224+ER223</f>
        <v>938150.31359999999</v>
      </c>
      <c r="ES224" s="315"/>
      <c r="ET224" s="316"/>
      <c r="EU224" s="316"/>
      <c r="EV224" s="315"/>
      <c r="EW224" s="315"/>
      <c r="EX224" s="576">
        <f>ER224+EX223</f>
        <v>938150.31359999999</v>
      </c>
      <c r="EY224" s="315"/>
      <c r="EZ224" s="316"/>
      <c r="FA224" s="316"/>
      <c r="FB224" s="315"/>
      <c r="FC224" s="315"/>
      <c r="FD224" s="576">
        <f>EX224+FD223</f>
        <v>938150.31359999999</v>
      </c>
      <c r="FE224" s="315"/>
      <c r="FF224" s="316"/>
      <c r="FG224" s="316"/>
      <c r="FH224" s="315"/>
      <c r="FI224" s="315"/>
      <c r="FJ224" s="576">
        <f>FD224+FJ223</f>
        <v>938150.31359999999</v>
      </c>
      <c r="FK224" s="315"/>
      <c r="FL224" s="316"/>
      <c r="FM224" s="316"/>
      <c r="FN224" s="315"/>
      <c r="FO224" s="315"/>
      <c r="FP224" s="576">
        <f>FJ224+FP223</f>
        <v>938150.31359999999</v>
      </c>
      <c r="FQ224" s="315"/>
      <c r="FR224" s="316"/>
      <c r="FS224" s="316"/>
      <c r="FT224" s="315"/>
      <c r="FU224" s="315"/>
      <c r="FV224" s="576">
        <f>FP224+FV223</f>
        <v>938150.31359999999</v>
      </c>
      <c r="FW224" s="315"/>
      <c r="FX224" s="316"/>
      <c r="FY224" s="316"/>
      <c r="FZ224" s="315"/>
      <c r="GA224" s="315"/>
      <c r="GB224" s="576">
        <f>FV224+GB223</f>
        <v>938150.31359999999</v>
      </c>
      <c r="GC224" s="315"/>
      <c r="GD224" s="316"/>
      <c r="GE224" s="316"/>
      <c r="GF224" s="315"/>
      <c r="GG224" s="315"/>
      <c r="GH224" s="576">
        <f>GB224+GH223</f>
        <v>938150.31359999999</v>
      </c>
      <c r="GI224" s="315"/>
      <c r="GJ224" s="316"/>
      <c r="GK224" s="316"/>
      <c r="GL224" s="315"/>
      <c r="GM224" s="315"/>
      <c r="GN224" s="576">
        <f>GH224+GN223</f>
        <v>938150.31359999999</v>
      </c>
      <c r="GO224" s="315"/>
      <c r="GP224" s="316"/>
      <c r="GQ224" s="316"/>
      <c r="GR224" s="315"/>
      <c r="GS224" s="315"/>
      <c r="GT224" s="576">
        <f>GN224+GT223</f>
        <v>938150.31359999999</v>
      </c>
      <c r="GU224" s="315"/>
      <c r="GV224" s="316"/>
      <c r="GW224" s="316"/>
      <c r="GX224" s="315"/>
      <c r="GY224" s="315"/>
      <c r="GZ224" s="578">
        <f>GT224+GZ223</f>
        <v>938150.31359999999</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168734.22824023722</v>
      </c>
      <c r="AU225" s="574"/>
      <c r="AV225" s="575"/>
      <c r="AW225" s="575"/>
      <c r="AX225" s="574"/>
      <c r="AY225" s="574"/>
      <c r="AZ225" s="576">
        <f>SUM(BE44:BE216)</f>
        <v>0</v>
      </c>
      <c r="BA225" s="315"/>
      <c r="BB225" s="316"/>
      <c r="BC225" s="316"/>
      <c r="BD225" s="315"/>
      <c r="BE225" s="315"/>
      <c r="BF225" s="576">
        <f>SUM(BK44:BK216)</f>
        <v>0</v>
      </c>
      <c r="BG225" s="315"/>
      <c r="BH225" s="316"/>
      <c r="BI225" s="316"/>
      <c r="BJ225" s="315"/>
      <c r="BK225" s="315"/>
      <c r="BL225" s="576">
        <f>SUM(BQ44:BQ216)</f>
        <v>0</v>
      </c>
      <c r="BM225" s="315"/>
      <c r="BN225" s="316"/>
      <c r="BO225" s="316"/>
      <c r="BP225" s="315"/>
      <c r="BQ225" s="315"/>
      <c r="BR225" s="576">
        <f>SUM(BW44:BW216)</f>
        <v>0</v>
      </c>
      <c r="BS225" s="574"/>
      <c r="BT225" s="575"/>
      <c r="BU225" s="575"/>
      <c r="BV225" s="574"/>
      <c r="BW225" s="574"/>
      <c r="BX225" s="576">
        <f>SUM(CC44:CC216)</f>
        <v>0</v>
      </c>
      <c r="BY225" s="315"/>
      <c r="BZ225" s="316"/>
      <c r="CA225" s="316"/>
      <c r="CB225" s="315"/>
      <c r="CC225" s="315"/>
      <c r="CD225" s="576">
        <f>SUM(CI44:CI216)</f>
        <v>0</v>
      </c>
      <c r="CE225" s="315"/>
      <c r="CF225" s="316"/>
      <c r="CG225" s="316"/>
      <c r="CH225" s="315"/>
      <c r="CI225" s="315"/>
      <c r="CJ225" s="576">
        <f>SUM(CO44:CO216)</f>
        <v>0</v>
      </c>
      <c r="CK225" s="315"/>
      <c r="CL225" s="316"/>
      <c r="CM225" s="316"/>
      <c r="CN225" s="315"/>
      <c r="CO225" s="315"/>
      <c r="CP225" s="576">
        <f>SUM(CU44:CU216)</f>
        <v>0</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0</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168734.22824023722</v>
      </c>
      <c r="AU226" s="552"/>
      <c r="AV226" s="553"/>
      <c r="AW226" s="553"/>
      <c r="AX226" s="552"/>
      <c r="AY226" s="552"/>
      <c r="AZ226" s="589">
        <f>AT226+AZ251</f>
        <v>337468.45648047444</v>
      </c>
      <c r="BA226" s="313"/>
      <c r="BB226" s="314"/>
      <c r="BC226" s="314"/>
      <c r="BD226" s="313"/>
      <c r="BE226" s="313"/>
      <c r="BF226" s="589">
        <f>AZ226+BF251</f>
        <v>506202.68472071167</v>
      </c>
      <c r="BG226" s="313"/>
      <c r="BH226" s="314"/>
      <c r="BI226" s="314"/>
      <c r="BJ226" s="313"/>
      <c r="BK226" s="313"/>
      <c r="BL226" s="589">
        <f>BF226+BL251</f>
        <v>674936.91296094889</v>
      </c>
      <c r="BM226" s="313"/>
      <c r="BN226" s="314"/>
      <c r="BO226" s="314"/>
      <c r="BP226" s="313"/>
      <c r="BQ226" s="313"/>
      <c r="BR226" s="589">
        <f>BL226+BR251</f>
        <v>674936.91296094889</v>
      </c>
      <c r="BS226" s="552"/>
      <c r="BT226" s="553"/>
      <c r="BU226" s="553"/>
      <c r="BV226" s="552"/>
      <c r="BW226" s="552"/>
      <c r="BX226" s="589">
        <f>BR226+BX251</f>
        <v>674936.91296094889</v>
      </c>
      <c r="BY226" s="313"/>
      <c r="BZ226" s="314"/>
      <c r="CA226" s="314"/>
      <c r="CB226" s="313"/>
      <c r="CC226" s="313"/>
      <c r="CD226" s="589">
        <f>BX226+CD251</f>
        <v>674936.91296094889</v>
      </c>
      <c r="CE226" s="313"/>
      <c r="CF226" s="314"/>
      <c r="CG226" s="314"/>
      <c r="CH226" s="313"/>
      <c r="CI226" s="313"/>
      <c r="CJ226" s="589">
        <f>CD226+CJ251</f>
        <v>674936.91296094889</v>
      </c>
      <c r="CK226" s="313"/>
      <c r="CL226" s="314"/>
      <c r="CM226" s="314"/>
      <c r="CN226" s="313"/>
      <c r="CO226" s="313"/>
      <c r="CP226" s="589">
        <f>CJ226+CP251</f>
        <v>674936.91296094889</v>
      </c>
      <c r="CQ226" s="554"/>
      <c r="CR226" s="553"/>
      <c r="CS226" s="553"/>
      <c r="CT226" s="554"/>
      <c r="CU226" s="554"/>
      <c r="CV226" s="589">
        <f>CP226+CV251</f>
        <v>674936.91296094889</v>
      </c>
      <c r="CW226" s="554"/>
      <c r="CX226" s="553"/>
      <c r="CY226" s="553"/>
      <c r="CZ226" s="554"/>
      <c r="DA226" s="554"/>
      <c r="DB226" s="589">
        <f>CV226+DB251</f>
        <v>674936.91296094889</v>
      </c>
      <c r="DC226" s="313"/>
      <c r="DD226" s="314"/>
      <c r="DE226" s="314"/>
      <c r="DF226" s="313"/>
      <c r="DG226" s="313"/>
      <c r="DH226" s="589">
        <f>DB226+DH251</f>
        <v>674936.91296094889</v>
      </c>
      <c r="DI226" s="313"/>
      <c r="DJ226" s="314"/>
      <c r="DK226" s="314"/>
      <c r="DL226" s="313"/>
      <c r="DM226" s="313"/>
      <c r="DN226" s="589">
        <f>DH226+DN251</f>
        <v>674936.91296094889</v>
      </c>
      <c r="DO226" s="313"/>
      <c r="DP226" s="314"/>
      <c r="DQ226" s="314"/>
      <c r="DR226" s="313"/>
      <c r="DS226" s="313"/>
      <c r="DT226" s="590">
        <f>DN226+DT251</f>
        <v>674936.91296094889</v>
      </c>
      <c r="DU226" s="313"/>
      <c r="DV226" s="314"/>
      <c r="DW226" s="314"/>
      <c r="DX226" s="313"/>
      <c r="DY226" s="313"/>
      <c r="DZ226" s="589">
        <f>DT226+DZ251</f>
        <v>674936.91296094889</v>
      </c>
      <c r="EA226" s="313"/>
      <c r="EB226" s="314"/>
      <c r="EC226" s="314"/>
      <c r="ED226" s="313"/>
      <c r="EE226" s="313"/>
      <c r="EF226" s="589">
        <f>DZ226+EF251</f>
        <v>674936.91296094889</v>
      </c>
      <c r="EG226" s="313"/>
      <c r="EH226" s="314"/>
      <c r="EI226" s="314"/>
      <c r="EJ226" s="313"/>
      <c r="EK226" s="313"/>
      <c r="EL226" s="589">
        <f>EF226+EL251</f>
        <v>674936.91296094889</v>
      </c>
      <c r="EM226" s="313"/>
      <c r="EN226" s="314"/>
      <c r="EO226" s="314"/>
      <c r="EP226" s="313"/>
      <c r="EQ226" s="313"/>
      <c r="ER226" s="589">
        <f>EL226+ER251</f>
        <v>674936.91296094889</v>
      </c>
      <c r="ES226" s="313"/>
      <c r="ET226" s="314"/>
      <c r="EU226" s="314"/>
      <c r="EV226" s="313"/>
      <c r="EW226" s="313"/>
      <c r="EX226" s="590">
        <f>ER226+EX251</f>
        <v>674936.91296094889</v>
      </c>
      <c r="EY226" s="313"/>
      <c r="EZ226" s="314"/>
      <c r="FA226" s="314"/>
      <c r="FB226" s="313"/>
      <c r="FC226" s="313"/>
      <c r="FD226" s="589">
        <f>EX226+FD251</f>
        <v>674936.91296094889</v>
      </c>
      <c r="FE226" s="313"/>
      <c r="FF226" s="314"/>
      <c r="FG226" s="314"/>
      <c r="FH226" s="313"/>
      <c r="FI226" s="313"/>
      <c r="FJ226" s="589">
        <f>FD226+FJ251</f>
        <v>674936.91296094889</v>
      </c>
      <c r="FK226" s="313"/>
      <c r="FL226" s="314"/>
      <c r="FM226" s="314"/>
      <c r="FN226" s="313"/>
      <c r="FO226" s="313"/>
      <c r="FP226" s="589">
        <f>FJ226+FP251</f>
        <v>674936.91296094889</v>
      </c>
      <c r="FQ226" s="313"/>
      <c r="FR226" s="314"/>
      <c r="FS226" s="314"/>
      <c r="FT226" s="313"/>
      <c r="FU226" s="313"/>
      <c r="FV226" s="589">
        <f>FP226+FV251</f>
        <v>674936.91296094889</v>
      </c>
      <c r="FW226" s="313"/>
      <c r="FX226" s="314"/>
      <c r="FY226" s="314"/>
      <c r="FZ226" s="313"/>
      <c r="GA226" s="313"/>
      <c r="GB226" s="590">
        <f>FV226+GB251</f>
        <v>674936.91296094889</v>
      </c>
      <c r="GC226" s="313"/>
      <c r="GD226" s="314"/>
      <c r="GE226" s="314"/>
      <c r="GF226" s="313"/>
      <c r="GG226" s="313"/>
      <c r="GH226" s="589">
        <f>GB226+GH251</f>
        <v>674936.91296094889</v>
      </c>
      <c r="GI226" s="313"/>
      <c r="GJ226" s="314"/>
      <c r="GK226" s="314"/>
      <c r="GL226" s="313"/>
      <c r="GM226" s="313"/>
      <c r="GN226" s="589">
        <f>GH226+GN251</f>
        <v>674936.91296094889</v>
      </c>
      <c r="GO226" s="313"/>
      <c r="GP226" s="314"/>
      <c r="GQ226" s="314"/>
      <c r="GR226" s="313"/>
      <c r="GS226" s="313"/>
      <c r="GT226" s="589">
        <f>GN226+GT251</f>
        <v>674936.91296094889</v>
      </c>
      <c r="GU226" s="313"/>
      <c r="GV226" s="314"/>
      <c r="GW226" s="314"/>
      <c r="GX226" s="313"/>
      <c r="GY226" s="313"/>
      <c r="GZ226" s="591">
        <f>GT226+GZ251</f>
        <v>674936.91296094889</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68672.302520619065</v>
      </c>
      <c r="AU228" s="542"/>
      <c r="AV228" s="543"/>
      <c r="AW228" s="543"/>
      <c r="AX228" s="542"/>
      <c r="AY228" s="542"/>
      <c r="AZ228" s="541">
        <f>SUM(BC44:BC216)</f>
        <v>0</v>
      </c>
      <c r="BA228" s="311"/>
      <c r="BB228" s="312"/>
      <c r="BC228" s="312"/>
      <c r="BD228" s="311"/>
      <c r="BE228" s="311"/>
      <c r="BF228" s="541">
        <f>SUM(BI44:BI216)</f>
        <v>0</v>
      </c>
      <c r="BG228" s="311"/>
      <c r="BH228" s="312"/>
      <c r="BI228" s="312"/>
      <c r="BJ228" s="311"/>
      <c r="BK228" s="311"/>
      <c r="BL228" s="541">
        <f>SUM(BO44:BO216)</f>
        <v>0</v>
      </c>
      <c r="BM228" s="311"/>
      <c r="BN228" s="312"/>
      <c r="BO228" s="312"/>
      <c r="BP228" s="311"/>
      <c r="BQ228" s="311"/>
      <c r="BR228" s="541">
        <f>SUM(BU44:BU216)</f>
        <v>0</v>
      </c>
      <c r="BS228" s="542"/>
      <c r="BT228" s="543"/>
      <c r="BU228" s="543"/>
      <c r="BV228" s="542"/>
      <c r="BW228" s="542"/>
      <c r="BX228" s="541">
        <f>SUM(CA44:CA216)</f>
        <v>0</v>
      </c>
      <c r="BY228" s="311"/>
      <c r="BZ228" s="312"/>
      <c r="CA228" s="312"/>
      <c r="CB228" s="311"/>
      <c r="CC228" s="311"/>
      <c r="CD228" s="541">
        <f>SUM(CG44:CG216)</f>
        <v>0</v>
      </c>
      <c r="CE228" s="311"/>
      <c r="CF228" s="312"/>
      <c r="CG228" s="312"/>
      <c r="CH228" s="311"/>
      <c r="CI228" s="311"/>
      <c r="CJ228" s="541">
        <f>SUM(CM44:CM216)</f>
        <v>0</v>
      </c>
      <c r="CK228" s="311"/>
      <c r="CL228" s="312"/>
      <c r="CM228" s="312"/>
      <c r="CN228" s="311"/>
      <c r="CO228" s="311"/>
      <c r="CP228" s="541">
        <f>SUM(CS44:CS216)</f>
        <v>0</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0</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215477</v>
      </c>
      <c r="V229" s="604">
        <f>V$31</f>
        <v>215477</v>
      </c>
      <c r="W229" s="605"/>
      <c r="X229" s="606"/>
      <c r="Y229" s="606"/>
      <c r="Z229" s="605"/>
      <c r="AA229" s="605"/>
      <c r="AB229" s="604">
        <f>AB$31</f>
        <v>215477</v>
      </c>
      <c r="AC229" s="607"/>
      <c r="AD229" s="608"/>
      <c r="AE229" s="608"/>
      <c r="AF229" s="607"/>
      <c r="AG229" s="607"/>
      <c r="AH229" s="604">
        <f>AH$31</f>
        <v>215477</v>
      </c>
      <c r="AI229" s="605"/>
      <c r="AJ229" s="606"/>
      <c r="AK229" s="606"/>
      <c r="AL229" s="605"/>
      <c r="AM229" s="605"/>
      <c r="AN229" s="604">
        <f>AN$31</f>
        <v>215477</v>
      </c>
      <c r="AO229" s="439"/>
      <c r="AP229" s="530"/>
      <c r="AQ229" s="530"/>
      <c r="AR229" s="439"/>
      <c r="AS229" s="439"/>
      <c r="AT229" s="609">
        <f t="shared" ref="AT229:DE229" si="262">IF(AT222=0,0,IF(AT31&gt;0,AT31,AN229-AT228))</f>
        <v>146804.69747938093</v>
      </c>
      <c r="AU229" s="609">
        <f t="shared" si="262"/>
        <v>0</v>
      </c>
      <c r="AV229" s="609">
        <f t="shared" si="262"/>
        <v>0</v>
      </c>
      <c r="AW229" s="609">
        <f t="shared" si="262"/>
        <v>0</v>
      </c>
      <c r="AX229" s="609">
        <f t="shared" si="262"/>
        <v>0</v>
      </c>
      <c r="AY229" s="609">
        <f t="shared" si="262"/>
        <v>0</v>
      </c>
      <c r="AZ229" s="609">
        <f t="shared" si="262"/>
        <v>146804.69747938093</v>
      </c>
      <c r="BA229" s="609">
        <f t="shared" si="262"/>
        <v>0</v>
      </c>
      <c r="BB229" s="609">
        <f t="shared" si="262"/>
        <v>0</v>
      </c>
      <c r="BC229" s="609">
        <f t="shared" si="262"/>
        <v>0</v>
      </c>
      <c r="BD229" s="609">
        <f t="shared" si="262"/>
        <v>0</v>
      </c>
      <c r="BE229" s="609">
        <f t="shared" si="262"/>
        <v>0</v>
      </c>
      <c r="BF229" s="609">
        <f t="shared" si="262"/>
        <v>146804.69747938093</v>
      </c>
      <c r="BG229" s="609">
        <f t="shared" si="262"/>
        <v>0</v>
      </c>
      <c r="BH229" s="609">
        <f t="shared" si="262"/>
        <v>0</v>
      </c>
      <c r="BI229" s="609">
        <f t="shared" si="262"/>
        <v>0</v>
      </c>
      <c r="BJ229" s="609">
        <f t="shared" si="262"/>
        <v>0</v>
      </c>
      <c r="BK229" s="609">
        <f t="shared" si="262"/>
        <v>0</v>
      </c>
      <c r="BL229" s="609">
        <f t="shared" si="262"/>
        <v>146804.69747938093</v>
      </c>
      <c r="BM229" s="609">
        <f t="shared" si="262"/>
        <v>0</v>
      </c>
      <c r="BN229" s="609">
        <f t="shared" si="262"/>
        <v>0</v>
      </c>
      <c r="BO229" s="609">
        <f t="shared" si="262"/>
        <v>0</v>
      </c>
      <c r="BP229" s="609">
        <f t="shared" si="262"/>
        <v>0</v>
      </c>
      <c r="BQ229" s="609">
        <f t="shared" si="262"/>
        <v>0</v>
      </c>
      <c r="BR229" s="609">
        <f t="shared" si="262"/>
        <v>0</v>
      </c>
      <c r="BS229" s="609">
        <f t="shared" si="262"/>
        <v>0</v>
      </c>
      <c r="BT229" s="609">
        <f t="shared" si="262"/>
        <v>0</v>
      </c>
      <c r="BU229" s="609">
        <f t="shared" si="262"/>
        <v>0</v>
      </c>
      <c r="BV229" s="609">
        <f t="shared" si="262"/>
        <v>0</v>
      </c>
      <c r="BW229" s="609">
        <f t="shared" si="262"/>
        <v>0</v>
      </c>
      <c r="BX229" s="609">
        <f t="shared" si="262"/>
        <v>0</v>
      </c>
      <c r="BY229" s="609">
        <f t="shared" si="262"/>
        <v>0</v>
      </c>
      <c r="BZ229" s="609">
        <f t="shared" si="262"/>
        <v>0</v>
      </c>
      <c r="CA229" s="609">
        <f t="shared" si="262"/>
        <v>0</v>
      </c>
      <c r="CB229" s="609">
        <f t="shared" si="262"/>
        <v>0</v>
      </c>
      <c r="CC229" s="609">
        <f t="shared" si="262"/>
        <v>0</v>
      </c>
      <c r="CD229" s="609">
        <f t="shared" si="262"/>
        <v>0</v>
      </c>
      <c r="CE229" s="609">
        <f t="shared" si="262"/>
        <v>0</v>
      </c>
      <c r="CF229" s="609">
        <f t="shared" si="262"/>
        <v>0</v>
      </c>
      <c r="CG229" s="609">
        <f t="shared" si="262"/>
        <v>0</v>
      </c>
      <c r="CH229" s="609">
        <f t="shared" si="262"/>
        <v>0</v>
      </c>
      <c r="CI229" s="609">
        <f t="shared" si="262"/>
        <v>0</v>
      </c>
      <c r="CJ229" s="609">
        <f t="shared" si="262"/>
        <v>0</v>
      </c>
      <c r="CK229" s="609">
        <f t="shared" si="262"/>
        <v>0</v>
      </c>
      <c r="CL229" s="609">
        <f t="shared" si="262"/>
        <v>0</v>
      </c>
      <c r="CM229" s="609">
        <f t="shared" si="262"/>
        <v>0</v>
      </c>
      <c r="CN229" s="609">
        <f t="shared" si="262"/>
        <v>0</v>
      </c>
      <c r="CO229" s="609">
        <f t="shared" si="262"/>
        <v>0</v>
      </c>
      <c r="CP229" s="609">
        <f t="shared" si="262"/>
        <v>0</v>
      </c>
      <c r="CQ229" s="609">
        <f t="shared" si="262"/>
        <v>0</v>
      </c>
      <c r="CR229" s="609">
        <f t="shared" si="262"/>
        <v>0</v>
      </c>
      <c r="CS229" s="609">
        <f t="shared" si="262"/>
        <v>0</v>
      </c>
      <c r="CT229" s="609">
        <f t="shared" si="262"/>
        <v>0</v>
      </c>
      <c r="CU229" s="609">
        <f t="shared" si="262"/>
        <v>0</v>
      </c>
      <c r="CV229" s="609">
        <f t="shared" si="262"/>
        <v>0</v>
      </c>
      <c r="CW229" s="609">
        <f t="shared" si="262"/>
        <v>0</v>
      </c>
      <c r="CX229" s="609">
        <f t="shared" si="262"/>
        <v>0</v>
      </c>
      <c r="CY229" s="609">
        <f t="shared" si="262"/>
        <v>0</v>
      </c>
      <c r="CZ229" s="609">
        <f t="shared" si="262"/>
        <v>0</v>
      </c>
      <c r="DA229" s="609">
        <f t="shared" si="262"/>
        <v>0</v>
      </c>
      <c r="DB229" s="609">
        <f t="shared" si="262"/>
        <v>0</v>
      </c>
      <c r="DC229" s="609">
        <f t="shared" si="262"/>
        <v>0</v>
      </c>
      <c r="DD229" s="609">
        <f t="shared" si="262"/>
        <v>0</v>
      </c>
      <c r="DE229" s="609">
        <f t="shared" si="262"/>
        <v>0</v>
      </c>
      <c r="DF229" s="609">
        <f t="shared" ref="DF229:FQ229" si="263">IF(DF222=0,0,IF(DF31&gt;0,DF31,CZ229-DF228))</f>
        <v>0</v>
      </c>
      <c r="DG229" s="609">
        <f t="shared" si="263"/>
        <v>0</v>
      </c>
      <c r="DH229" s="609">
        <f t="shared" si="263"/>
        <v>0</v>
      </c>
      <c r="DI229" s="609">
        <f t="shared" si="263"/>
        <v>0</v>
      </c>
      <c r="DJ229" s="609">
        <f t="shared" si="263"/>
        <v>0</v>
      </c>
      <c r="DK229" s="609">
        <f t="shared" si="263"/>
        <v>0</v>
      </c>
      <c r="DL229" s="609">
        <f t="shared" si="263"/>
        <v>0</v>
      </c>
      <c r="DM229" s="609">
        <f t="shared" si="263"/>
        <v>0</v>
      </c>
      <c r="DN229" s="609">
        <f t="shared" si="263"/>
        <v>0</v>
      </c>
      <c r="DO229" s="609">
        <f t="shared" si="263"/>
        <v>0</v>
      </c>
      <c r="DP229" s="609">
        <f t="shared" si="263"/>
        <v>0</v>
      </c>
      <c r="DQ229" s="609">
        <f t="shared" si="263"/>
        <v>0</v>
      </c>
      <c r="DR229" s="609">
        <f t="shared" si="263"/>
        <v>0</v>
      </c>
      <c r="DS229" s="609">
        <f t="shared" si="263"/>
        <v>0</v>
      </c>
      <c r="DT229" s="609">
        <f t="shared" si="263"/>
        <v>0</v>
      </c>
      <c r="DU229" s="609">
        <f t="shared" si="263"/>
        <v>0</v>
      </c>
      <c r="DV229" s="609">
        <f t="shared" si="263"/>
        <v>0</v>
      </c>
      <c r="DW229" s="609">
        <f t="shared" si="263"/>
        <v>0</v>
      </c>
      <c r="DX229" s="609">
        <f t="shared" si="263"/>
        <v>0</v>
      </c>
      <c r="DY229" s="609">
        <f t="shared" si="263"/>
        <v>0</v>
      </c>
      <c r="DZ229" s="609">
        <f t="shared" si="263"/>
        <v>0</v>
      </c>
      <c r="EA229" s="609">
        <f t="shared" si="263"/>
        <v>0</v>
      </c>
      <c r="EB229" s="609">
        <f t="shared" si="263"/>
        <v>0</v>
      </c>
      <c r="EC229" s="609">
        <f t="shared" si="263"/>
        <v>0</v>
      </c>
      <c r="ED229" s="609">
        <f t="shared" si="263"/>
        <v>0</v>
      </c>
      <c r="EE229" s="609">
        <f t="shared" si="263"/>
        <v>0</v>
      </c>
      <c r="EF229" s="609">
        <f t="shared" si="263"/>
        <v>0</v>
      </c>
      <c r="EG229" s="609">
        <f t="shared" si="263"/>
        <v>0</v>
      </c>
      <c r="EH229" s="609">
        <f t="shared" si="263"/>
        <v>0</v>
      </c>
      <c r="EI229" s="609">
        <f t="shared" si="263"/>
        <v>0</v>
      </c>
      <c r="EJ229" s="609">
        <f t="shared" si="263"/>
        <v>0</v>
      </c>
      <c r="EK229" s="609">
        <f t="shared" si="263"/>
        <v>0</v>
      </c>
      <c r="EL229" s="609">
        <f t="shared" si="263"/>
        <v>0</v>
      </c>
      <c r="EM229" s="609">
        <f t="shared" si="263"/>
        <v>0</v>
      </c>
      <c r="EN229" s="609">
        <f t="shared" si="263"/>
        <v>0</v>
      </c>
      <c r="EO229" s="609">
        <f t="shared" si="263"/>
        <v>0</v>
      </c>
      <c r="EP229" s="609">
        <f t="shared" si="263"/>
        <v>0</v>
      </c>
      <c r="EQ229" s="609">
        <f t="shared" si="263"/>
        <v>0</v>
      </c>
      <c r="ER229" s="609">
        <f t="shared" si="263"/>
        <v>0</v>
      </c>
      <c r="ES229" s="609">
        <f t="shared" si="263"/>
        <v>0</v>
      </c>
      <c r="ET229" s="609">
        <f t="shared" si="263"/>
        <v>0</v>
      </c>
      <c r="EU229" s="609">
        <f t="shared" si="263"/>
        <v>0</v>
      </c>
      <c r="EV229" s="609">
        <f t="shared" si="263"/>
        <v>0</v>
      </c>
      <c r="EW229" s="609">
        <f t="shared" si="263"/>
        <v>0</v>
      </c>
      <c r="EX229" s="609">
        <f t="shared" si="263"/>
        <v>0</v>
      </c>
      <c r="EY229" s="609">
        <f t="shared" si="263"/>
        <v>0</v>
      </c>
      <c r="EZ229" s="609">
        <f t="shared" si="263"/>
        <v>0</v>
      </c>
      <c r="FA229" s="609">
        <f t="shared" si="263"/>
        <v>0</v>
      </c>
      <c r="FB229" s="609">
        <f t="shared" si="263"/>
        <v>0</v>
      </c>
      <c r="FC229" s="609">
        <f t="shared" si="263"/>
        <v>0</v>
      </c>
      <c r="FD229" s="609">
        <f t="shared" si="263"/>
        <v>0</v>
      </c>
      <c r="FE229" s="609">
        <f t="shared" si="263"/>
        <v>0</v>
      </c>
      <c r="FF229" s="609">
        <f t="shared" si="263"/>
        <v>0</v>
      </c>
      <c r="FG229" s="609">
        <f t="shared" si="263"/>
        <v>0</v>
      </c>
      <c r="FH229" s="609">
        <f t="shared" si="263"/>
        <v>0</v>
      </c>
      <c r="FI229" s="609">
        <f t="shared" si="263"/>
        <v>0</v>
      </c>
      <c r="FJ229" s="609">
        <f t="shared" si="263"/>
        <v>0</v>
      </c>
      <c r="FK229" s="609">
        <f t="shared" si="263"/>
        <v>0</v>
      </c>
      <c r="FL229" s="609">
        <f t="shared" si="263"/>
        <v>0</v>
      </c>
      <c r="FM229" s="609">
        <f t="shared" si="263"/>
        <v>0</v>
      </c>
      <c r="FN229" s="609">
        <f t="shared" si="263"/>
        <v>0</v>
      </c>
      <c r="FO229" s="609">
        <f t="shared" si="263"/>
        <v>0</v>
      </c>
      <c r="FP229" s="609">
        <f t="shared" si="263"/>
        <v>0</v>
      </c>
      <c r="FQ229" s="609">
        <f t="shared" si="263"/>
        <v>0</v>
      </c>
      <c r="FR229" s="609">
        <f t="shared" ref="FR229:GZ229" si="264">IF(FR222=0,0,IF(FR31&gt;0,FR31,FL229-FR228))</f>
        <v>0</v>
      </c>
      <c r="FS229" s="609">
        <f t="shared" si="264"/>
        <v>0</v>
      </c>
      <c r="FT229" s="609">
        <f t="shared" si="264"/>
        <v>0</v>
      </c>
      <c r="FU229" s="609">
        <f t="shared" si="264"/>
        <v>0</v>
      </c>
      <c r="FV229" s="609">
        <f t="shared" si="264"/>
        <v>0</v>
      </c>
      <c r="FW229" s="609">
        <f t="shared" si="264"/>
        <v>0</v>
      </c>
      <c r="FX229" s="609">
        <f t="shared" si="264"/>
        <v>0</v>
      </c>
      <c r="FY229" s="609">
        <f t="shared" si="264"/>
        <v>0</v>
      </c>
      <c r="FZ229" s="609">
        <f t="shared" si="264"/>
        <v>0</v>
      </c>
      <c r="GA229" s="609">
        <f t="shared" si="264"/>
        <v>0</v>
      </c>
      <c r="GB229" s="609">
        <f t="shared" si="264"/>
        <v>0</v>
      </c>
      <c r="GC229" s="609">
        <f t="shared" si="264"/>
        <v>0</v>
      </c>
      <c r="GD229" s="609">
        <f t="shared" si="264"/>
        <v>0</v>
      </c>
      <c r="GE229" s="609">
        <f t="shared" si="264"/>
        <v>0</v>
      </c>
      <c r="GF229" s="609">
        <f t="shared" si="264"/>
        <v>0</v>
      </c>
      <c r="GG229" s="609">
        <f t="shared" si="264"/>
        <v>0</v>
      </c>
      <c r="GH229" s="609">
        <f t="shared" si="264"/>
        <v>0</v>
      </c>
      <c r="GI229" s="609">
        <f t="shared" si="264"/>
        <v>0</v>
      </c>
      <c r="GJ229" s="609">
        <f t="shared" si="264"/>
        <v>0</v>
      </c>
      <c r="GK229" s="609">
        <f t="shared" si="264"/>
        <v>0</v>
      </c>
      <c r="GL229" s="609">
        <f t="shared" si="264"/>
        <v>0</v>
      </c>
      <c r="GM229" s="609">
        <f t="shared" si="264"/>
        <v>0</v>
      </c>
      <c r="GN229" s="609">
        <f t="shared" si="264"/>
        <v>0</v>
      </c>
      <c r="GO229" s="609">
        <f t="shared" si="264"/>
        <v>0</v>
      </c>
      <c r="GP229" s="609">
        <f t="shared" si="264"/>
        <v>0</v>
      </c>
      <c r="GQ229" s="609">
        <f t="shared" si="264"/>
        <v>0</v>
      </c>
      <c r="GR229" s="609">
        <f t="shared" si="264"/>
        <v>0</v>
      </c>
      <c r="GS229" s="609">
        <f t="shared" si="264"/>
        <v>0</v>
      </c>
      <c r="GT229" s="609">
        <f t="shared" si="264"/>
        <v>0</v>
      </c>
      <c r="GU229" s="609">
        <f t="shared" si="264"/>
        <v>0</v>
      </c>
      <c r="GV229" s="609">
        <f t="shared" si="264"/>
        <v>0</v>
      </c>
      <c r="GW229" s="609">
        <f t="shared" si="264"/>
        <v>0</v>
      </c>
      <c r="GX229" s="609">
        <f t="shared" si="264"/>
        <v>0</v>
      </c>
      <c r="GY229" s="609">
        <f t="shared" si="264"/>
        <v>0</v>
      </c>
      <c r="GZ229" s="609">
        <f t="shared" si="264"/>
        <v>0</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20.642406615471867</v>
      </c>
      <c r="V230" s="604">
        <f>(IF(V222=0,0,V229/V222))</f>
        <v>20.642406615471867</v>
      </c>
      <c r="W230" s="611"/>
      <c r="X230" s="612"/>
      <c r="Y230" s="612"/>
      <c r="Z230" s="611"/>
      <c r="AA230" s="611"/>
      <c r="AB230" s="604">
        <f>(IF(AB222=0,0,AB229/AB222))</f>
        <v>20.642406615471867</v>
      </c>
      <c r="AC230" s="611"/>
      <c r="AD230" s="612"/>
      <c r="AE230" s="612"/>
      <c r="AF230" s="611"/>
      <c r="AG230" s="611"/>
      <c r="AH230" s="604">
        <f>(IF(AH222=0,0,AH229/AH222))</f>
        <v>20.642406615471867</v>
      </c>
      <c r="AI230" s="611"/>
      <c r="AJ230" s="612"/>
      <c r="AK230" s="612"/>
      <c r="AL230" s="611"/>
      <c r="AM230" s="611"/>
      <c r="AN230" s="604">
        <f>(IF(AN222=0,0,AN229/AN222))</f>
        <v>20.642406615471867</v>
      </c>
      <c r="AO230" s="439"/>
      <c r="AP230" s="530"/>
      <c r="AQ230" s="530"/>
      <c r="AR230" s="439"/>
      <c r="AS230" s="439"/>
      <c r="AT230" s="609">
        <f>(IF(AT222=0,0,AT229/AT222))</f>
        <v>14.063692451773132</v>
      </c>
      <c r="AU230" s="574"/>
      <c r="AV230" s="575"/>
      <c r="AW230" s="575"/>
      <c r="AX230" s="574"/>
      <c r="AY230" s="574"/>
      <c r="AZ230" s="604">
        <f>(IF(AZ222=0,0,AZ229/AZ222))</f>
        <v>14.063692451773132</v>
      </c>
      <c r="BA230" s="315"/>
      <c r="BB230" s="316"/>
      <c r="BC230" s="316"/>
      <c r="BD230" s="315"/>
      <c r="BE230" s="315"/>
      <c r="BF230" s="604">
        <f>(IF(BF222=0,0,BF229/BF222))</f>
        <v>14.063692451773132</v>
      </c>
      <c r="BG230" s="315"/>
      <c r="BH230" s="316"/>
      <c r="BI230" s="316"/>
      <c r="BJ230" s="315"/>
      <c r="BK230" s="315"/>
      <c r="BL230" s="604">
        <f>(IF(BL222=0,0,BL229/BL222))</f>
        <v>14.063692451773132</v>
      </c>
      <c r="BM230" s="315"/>
      <c r="BN230" s="316"/>
      <c r="BO230" s="316"/>
      <c r="BP230" s="315"/>
      <c r="BQ230" s="315"/>
      <c r="BR230" s="604">
        <f>(IF(BR222=0,0,BR229/BR222))</f>
        <v>0</v>
      </c>
      <c r="BS230" s="574"/>
      <c r="BT230" s="575"/>
      <c r="BU230" s="575"/>
      <c r="BV230" s="574"/>
      <c r="BW230" s="574"/>
      <c r="BX230" s="604">
        <f>(IF(BX222=0,0,BX229/BX222))</f>
        <v>0</v>
      </c>
      <c r="BY230" s="315"/>
      <c r="BZ230" s="316"/>
      <c r="CA230" s="316"/>
      <c r="CB230" s="315"/>
      <c r="CC230" s="315"/>
      <c r="CD230" s="604">
        <f>(IF(CD222=0,0,CD229/CD222))</f>
        <v>0</v>
      </c>
      <c r="CE230" s="315"/>
      <c r="CF230" s="316"/>
      <c r="CG230" s="316"/>
      <c r="CH230" s="315"/>
      <c r="CI230" s="315"/>
      <c r="CJ230" s="604">
        <f>(IF(CJ222=0,0,CJ229/CJ222))</f>
        <v>0</v>
      </c>
      <c r="CK230" s="315"/>
      <c r="CL230" s="316"/>
      <c r="CM230" s="316"/>
      <c r="CN230" s="315"/>
      <c r="CO230" s="315"/>
      <c r="CP230" s="604">
        <f>(IF(CP222=0,0,CP229/CP222))</f>
        <v>0</v>
      </c>
      <c r="CQ230" s="577"/>
      <c r="CR230" s="575"/>
      <c r="CS230" s="575"/>
      <c r="CT230" s="577"/>
      <c r="CU230" s="577"/>
      <c r="CV230" s="604">
        <f>(IF(CV222=0,0,CV229/CV222))</f>
        <v>0</v>
      </c>
      <c r="CW230" s="577"/>
      <c r="CX230" s="575"/>
      <c r="CY230" s="575"/>
      <c r="CZ230" s="577"/>
      <c r="DA230" s="577"/>
      <c r="DB230" s="604">
        <f>(IF(DB222=0,0,DB229/DB222))</f>
        <v>0</v>
      </c>
      <c r="DC230" s="315"/>
      <c r="DD230" s="316"/>
      <c r="DE230" s="316"/>
      <c r="DF230" s="315"/>
      <c r="DG230" s="315"/>
      <c r="DH230" s="604">
        <f>(IF(DH222=0,0,DH229/DH222))</f>
        <v>0</v>
      </c>
      <c r="DI230" s="315"/>
      <c r="DJ230" s="316"/>
      <c r="DK230" s="316"/>
      <c r="DL230" s="315"/>
      <c r="DM230" s="315"/>
      <c r="DN230" s="604">
        <f>(IF(DN222=0,0,DN229/DN222))</f>
        <v>0</v>
      </c>
      <c r="DO230" s="315"/>
      <c r="DP230" s="316"/>
      <c r="DQ230" s="316"/>
      <c r="DR230" s="315"/>
      <c r="DS230" s="315"/>
      <c r="DT230" s="604">
        <f>(IF(DT222=0,0,DT229/DT222))</f>
        <v>0</v>
      </c>
      <c r="DU230" s="315"/>
      <c r="DV230" s="316"/>
      <c r="DW230" s="316"/>
      <c r="DX230" s="315"/>
      <c r="DY230" s="315"/>
      <c r="DZ230" s="604">
        <f>(IF(DZ222=0,0,DZ229/DZ222))</f>
        <v>0</v>
      </c>
      <c r="EA230" s="315"/>
      <c r="EB230" s="316"/>
      <c r="EC230" s="316"/>
      <c r="ED230" s="315"/>
      <c r="EE230" s="315"/>
      <c r="EF230" s="604">
        <f>(IF(EF222=0,0,EF229/EF222))</f>
        <v>0</v>
      </c>
      <c r="EG230" s="315"/>
      <c r="EH230" s="316"/>
      <c r="EI230" s="316"/>
      <c r="EJ230" s="315"/>
      <c r="EK230" s="315"/>
      <c r="EL230" s="604">
        <f>(IF(EL222=0,0,EL229/EL222))</f>
        <v>0</v>
      </c>
      <c r="EM230" s="315"/>
      <c r="EN230" s="316"/>
      <c r="EO230" s="316"/>
      <c r="EP230" s="315"/>
      <c r="EQ230" s="315"/>
      <c r="ER230" s="604">
        <f>(IF(ER222=0,0,ER229/ER222))</f>
        <v>0</v>
      </c>
      <c r="ES230" s="315"/>
      <c r="ET230" s="316"/>
      <c r="EU230" s="316"/>
      <c r="EV230" s="315"/>
      <c r="EW230" s="315"/>
      <c r="EX230" s="604">
        <f>(IF(EX222=0,0,EX229/EX222))</f>
        <v>0</v>
      </c>
      <c r="EY230" s="315"/>
      <c r="EZ230" s="316"/>
      <c r="FA230" s="316"/>
      <c r="FB230" s="315"/>
      <c r="FC230" s="315"/>
      <c r="FD230" s="604">
        <f>(IF(FD222=0,0,FD229/FD222))</f>
        <v>0</v>
      </c>
      <c r="FE230" s="315"/>
      <c r="FF230" s="316"/>
      <c r="FG230" s="316"/>
      <c r="FH230" s="315"/>
      <c r="FI230" s="315"/>
      <c r="FJ230" s="604">
        <f>(IF(FJ222=0,0,FJ229/FJ222))</f>
        <v>0</v>
      </c>
      <c r="FK230" s="315"/>
      <c r="FL230" s="316"/>
      <c r="FM230" s="316"/>
      <c r="FN230" s="315"/>
      <c r="FO230" s="315"/>
      <c r="FP230" s="604">
        <f>(IF(FP222=0,0,FP229/FP222))</f>
        <v>0</v>
      </c>
      <c r="FQ230" s="315"/>
      <c r="FR230" s="316"/>
      <c r="FS230" s="316"/>
      <c r="FT230" s="315"/>
      <c r="FU230" s="315"/>
      <c r="FV230" s="604">
        <f>(IF(FV222=0,0,FV229/FV222))</f>
        <v>0</v>
      </c>
      <c r="FW230" s="315"/>
      <c r="FX230" s="316"/>
      <c r="FY230" s="316"/>
      <c r="FZ230" s="315"/>
      <c r="GA230" s="315"/>
      <c r="GB230" s="604">
        <f>(IF(GB222=0,0,GB229/GB222))</f>
        <v>0</v>
      </c>
      <c r="GC230" s="315"/>
      <c r="GD230" s="316"/>
      <c r="GE230" s="316"/>
      <c r="GF230" s="315"/>
      <c r="GG230" s="315"/>
      <c r="GH230" s="604">
        <f>(IF(GH222=0,0,GH229/GH222))</f>
        <v>0</v>
      </c>
      <c r="GI230" s="315"/>
      <c r="GJ230" s="316"/>
      <c r="GK230" s="316"/>
      <c r="GL230" s="315"/>
      <c r="GM230" s="315"/>
      <c r="GN230" s="604">
        <f>(IF(GN222=0,0,GN229/GN222))</f>
        <v>0</v>
      </c>
      <c r="GO230" s="315"/>
      <c r="GP230" s="316"/>
      <c r="GQ230" s="316"/>
      <c r="GR230" s="315"/>
      <c r="GS230" s="315"/>
      <c r="GT230" s="604">
        <f>(IF(GT222=0,0,GT229/GT222))</f>
        <v>0</v>
      </c>
      <c r="GU230" s="315"/>
      <c r="GV230" s="316"/>
      <c r="GW230" s="316"/>
      <c r="GX230" s="315"/>
      <c r="GY230" s="315"/>
      <c r="GZ230" s="610">
        <f>(IF(GZ222=0,0,GZ229/GZ222))</f>
        <v>0</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108065.33100000001</v>
      </c>
      <c r="AU231" s="315"/>
      <c r="AV231" s="316"/>
      <c r="AW231" s="316"/>
      <c r="AX231" s="315"/>
      <c r="AY231" s="315"/>
      <c r="AZ231" s="604">
        <f>SUM(BB44:BB216)</f>
        <v>0</v>
      </c>
      <c r="BA231" s="315"/>
      <c r="BB231" s="316"/>
      <c r="BC231" s="316"/>
      <c r="BD231" s="315"/>
      <c r="BE231" s="315"/>
      <c r="BF231" s="604">
        <f>SUM(BH44:BH216)</f>
        <v>0</v>
      </c>
      <c r="BG231" s="315"/>
      <c r="BH231" s="316"/>
      <c r="BI231" s="316"/>
      <c r="BJ231" s="315"/>
      <c r="BK231" s="315"/>
      <c r="BL231" s="604">
        <f>SUM(BN44:BN216)</f>
        <v>0</v>
      </c>
      <c r="BM231" s="315"/>
      <c r="BN231" s="316"/>
      <c r="BO231" s="316"/>
      <c r="BP231" s="315"/>
      <c r="BQ231" s="315"/>
      <c r="BR231" s="604">
        <f>SUM(BT44:BT216)</f>
        <v>0</v>
      </c>
      <c r="BS231" s="315"/>
      <c r="BT231" s="316"/>
      <c r="BU231" s="316"/>
      <c r="BV231" s="315"/>
      <c r="BW231" s="315"/>
      <c r="BX231" s="604">
        <f>SUM(BZ44:BZ216)</f>
        <v>0</v>
      </c>
      <c r="BY231" s="315"/>
      <c r="BZ231" s="316"/>
      <c r="CA231" s="316"/>
      <c r="CB231" s="315"/>
      <c r="CC231" s="315"/>
      <c r="CD231" s="604">
        <f>SUM(CF44:CF216)</f>
        <v>0</v>
      </c>
      <c r="CE231" s="315"/>
      <c r="CF231" s="316"/>
      <c r="CG231" s="316"/>
      <c r="CH231" s="315"/>
      <c r="CI231" s="315"/>
      <c r="CJ231" s="604">
        <f>SUM(CL44:CL216)</f>
        <v>0</v>
      </c>
      <c r="CK231" s="315"/>
      <c r="CL231" s="316"/>
      <c r="CM231" s="316"/>
      <c r="CN231" s="315"/>
      <c r="CO231" s="315"/>
      <c r="CP231" s="604">
        <f>SUM(CR44:CR216)</f>
        <v>0</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0</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114902</v>
      </c>
      <c r="V232" s="604">
        <f>V$32</f>
        <v>114902</v>
      </c>
      <c r="W232" s="605"/>
      <c r="X232" s="606"/>
      <c r="Y232" s="606"/>
      <c r="Z232" s="605"/>
      <c r="AA232" s="605"/>
      <c r="AB232" s="604">
        <f>AB$32</f>
        <v>114902</v>
      </c>
      <c r="AC232" s="605"/>
      <c r="AD232" s="606"/>
      <c r="AE232" s="606"/>
      <c r="AF232" s="605"/>
      <c r="AG232" s="605"/>
      <c r="AH232" s="604">
        <f>AH$32</f>
        <v>114902</v>
      </c>
      <c r="AI232" s="605"/>
      <c r="AJ232" s="606"/>
      <c r="AK232" s="606"/>
      <c r="AL232" s="605"/>
      <c r="AM232" s="605"/>
      <c r="AN232" s="604">
        <f>AN$32</f>
        <v>114902</v>
      </c>
      <c r="AO232" s="439"/>
      <c r="AP232" s="530"/>
      <c r="AQ232" s="530"/>
      <c r="AR232" s="439"/>
      <c r="AS232" s="439"/>
      <c r="AT232" s="609">
        <f t="shared" ref="AT232:DE232" si="265">IF(AT222=0,0,IF(AT32&gt;0,AT32,AN232-AT231))</f>
        <v>6836.6689999999944</v>
      </c>
      <c r="AU232" s="609">
        <f t="shared" si="265"/>
        <v>0</v>
      </c>
      <c r="AV232" s="609">
        <f t="shared" si="265"/>
        <v>0</v>
      </c>
      <c r="AW232" s="609">
        <f t="shared" si="265"/>
        <v>0</v>
      </c>
      <c r="AX232" s="609">
        <f t="shared" si="265"/>
        <v>0</v>
      </c>
      <c r="AY232" s="609">
        <f t="shared" si="265"/>
        <v>0</v>
      </c>
      <c r="AZ232" s="609">
        <f t="shared" si="265"/>
        <v>6836.6689999999944</v>
      </c>
      <c r="BA232" s="609">
        <f t="shared" si="265"/>
        <v>0</v>
      </c>
      <c r="BB232" s="609">
        <f t="shared" si="265"/>
        <v>0</v>
      </c>
      <c r="BC232" s="609">
        <f t="shared" si="265"/>
        <v>0</v>
      </c>
      <c r="BD232" s="609">
        <f t="shared" si="265"/>
        <v>0</v>
      </c>
      <c r="BE232" s="609">
        <f t="shared" si="265"/>
        <v>0</v>
      </c>
      <c r="BF232" s="609">
        <f t="shared" si="265"/>
        <v>6836.6689999999944</v>
      </c>
      <c r="BG232" s="609">
        <f t="shared" si="265"/>
        <v>0</v>
      </c>
      <c r="BH232" s="609">
        <f t="shared" si="265"/>
        <v>0</v>
      </c>
      <c r="BI232" s="609">
        <f t="shared" si="265"/>
        <v>0</v>
      </c>
      <c r="BJ232" s="609">
        <f t="shared" si="265"/>
        <v>0</v>
      </c>
      <c r="BK232" s="609">
        <f t="shared" si="265"/>
        <v>0</v>
      </c>
      <c r="BL232" s="609">
        <f t="shared" si="265"/>
        <v>6836.6689999999944</v>
      </c>
      <c r="BM232" s="609">
        <f t="shared" si="265"/>
        <v>0</v>
      </c>
      <c r="BN232" s="609">
        <f t="shared" si="265"/>
        <v>0</v>
      </c>
      <c r="BO232" s="609">
        <f t="shared" si="265"/>
        <v>0</v>
      </c>
      <c r="BP232" s="609">
        <f t="shared" si="265"/>
        <v>0</v>
      </c>
      <c r="BQ232" s="609">
        <f t="shared" si="265"/>
        <v>0</v>
      </c>
      <c r="BR232" s="609">
        <f t="shared" si="265"/>
        <v>0</v>
      </c>
      <c r="BS232" s="609">
        <f t="shared" si="265"/>
        <v>0</v>
      </c>
      <c r="BT232" s="609">
        <f t="shared" si="265"/>
        <v>0</v>
      </c>
      <c r="BU232" s="609">
        <f t="shared" si="265"/>
        <v>0</v>
      </c>
      <c r="BV232" s="609">
        <f t="shared" si="265"/>
        <v>0</v>
      </c>
      <c r="BW232" s="609">
        <f t="shared" si="265"/>
        <v>0</v>
      </c>
      <c r="BX232" s="609">
        <f t="shared" si="265"/>
        <v>0</v>
      </c>
      <c r="BY232" s="609">
        <f t="shared" si="265"/>
        <v>0</v>
      </c>
      <c r="BZ232" s="609">
        <f t="shared" si="265"/>
        <v>0</v>
      </c>
      <c r="CA232" s="609">
        <f t="shared" si="265"/>
        <v>0</v>
      </c>
      <c r="CB232" s="609">
        <f t="shared" si="265"/>
        <v>0</v>
      </c>
      <c r="CC232" s="609">
        <f t="shared" si="265"/>
        <v>0</v>
      </c>
      <c r="CD232" s="609">
        <f t="shared" si="265"/>
        <v>0</v>
      </c>
      <c r="CE232" s="609">
        <f t="shared" si="265"/>
        <v>0</v>
      </c>
      <c r="CF232" s="609">
        <f t="shared" si="265"/>
        <v>0</v>
      </c>
      <c r="CG232" s="609">
        <f t="shared" si="265"/>
        <v>0</v>
      </c>
      <c r="CH232" s="609">
        <f t="shared" si="265"/>
        <v>0</v>
      </c>
      <c r="CI232" s="609">
        <f t="shared" si="265"/>
        <v>0</v>
      </c>
      <c r="CJ232" s="609">
        <f t="shared" si="265"/>
        <v>0</v>
      </c>
      <c r="CK232" s="609">
        <f t="shared" si="265"/>
        <v>0</v>
      </c>
      <c r="CL232" s="609">
        <f t="shared" si="265"/>
        <v>0</v>
      </c>
      <c r="CM232" s="609">
        <f t="shared" si="265"/>
        <v>0</v>
      </c>
      <c r="CN232" s="609">
        <f t="shared" si="265"/>
        <v>0</v>
      </c>
      <c r="CO232" s="609">
        <f t="shared" si="265"/>
        <v>0</v>
      </c>
      <c r="CP232" s="609">
        <f t="shared" si="265"/>
        <v>0</v>
      </c>
      <c r="CQ232" s="609">
        <f t="shared" si="265"/>
        <v>0</v>
      </c>
      <c r="CR232" s="609">
        <f t="shared" si="265"/>
        <v>0</v>
      </c>
      <c r="CS232" s="609">
        <f t="shared" si="265"/>
        <v>0</v>
      </c>
      <c r="CT232" s="609">
        <f t="shared" si="265"/>
        <v>0</v>
      </c>
      <c r="CU232" s="609">
        <f t="shared" si="265"/>
        <v>0</v>
      </c>
      <c r="CV232" s="609">
        <f t="shared" si="265"/>
        <v>0</v>
      </c>
      <c r="CW232" s="609">
        <f t="shared" si="265"/>
        <v>0</v>
      </c>
      <c r="CX232" s="609">
        <f t="shared" si="265"/>
        <v>0</v>
      </c>
      <c r="CY232" s="609">
        <f t="shared" si="265"/>
        <v>0</v>
      </c>
      <c r="CZ232" s="609">
        <f t="shared" si="265"/>
        <v>0</v>
      </c>
      <c r="DA232" s="609">
        <f t="shared" si="265"/>
        <v>0</v>
      </c>
      <c r="DB232" s="609">
        <f t="shared" si="265"/>
        <v>0</v>
      </c>
      <c r="DC232" s="609">
        <f t="shared" si="265"/>
        <v>0</v>
      </c>
      <c r="DD232" s="609">
        <f t="shared" si="265"/>
        <v>0</v>
      </c>
      <c r="DE232" s="609">
        <f t="shared" si="265"/>
        <v>0</v>
      </c>
      <c r="DF232" s="609">
        <f t="shared" ref="DF232:FQ232" si="266">IF(DF222=0,0,IF(DF32&gt;0,DF32,CZ232-DF231))</f>
        <v>0</v>
      </c>
      <c r="DG232" s="609">
        <f t="shared" si="266"/>
        <v>0</v>
      </c>
      <c r="DH232" s="609">
        <f t="shared" si="266"/>
        <v>0</v>
      </c>
      <c r="DI232" s="609">
        <f t="shared" si="266"/>
        <v>0</v>
      </c>
      <c r="DJ232" s="609">
        <f t="shared" si="266"/>
        <v>0</v>
      </c>
      <c r="DK232" s="609">
        <f t="shared" si="266"/>
        <v>0</v>
      </c>
      <c r="DL232" s="609">
        <f t="shared" si="266"/>
        <v>0</v>
      </c>
      <c r="DM232" s="609">
        <f t="shared" si="266"/>
        <v>0</v>
      </c>
      <c r="DN232" s="609">
        <f t="shared" si="266"/>
        <v>0</v>
      </c>
      <c r="DO232" s="609">
        <f t="shared" si="266"/>
        <v>0</v>
      </c>
      <c r="DP232" s="609">
        <f t="shared" si="266"/>
        <v>0</v>
      </c>
      <c r="DQ232" s="609">
        <f t="shared" si="266"/>
        <v>0</v>
      </c>
      <c r="DR232" s="609">
        <f t="shared" si="266"/>
        <v>0</v>
      </c>
      <c r="DS232" s="609">
        <f t="shared" si="266"/>
        <v>0</v>
      </c>
      <c r="DT232" s="609">
        <f t="shared" si="266"/>
        <v>0</v>
      </c>
      <c r="DU232" s="609">
        <f t="shared" si="266"/>
        <v>0</v>
      </c>
      <c r="DV232" s="609">
        <f t="shared" si="266"/>
        <v>0</v>
      </c>
      <c r="DW232" s="609">
        <f t="shared" si="266"/>
        <v>0</v>
      </c>
      <c r="DX232" s="609">
        <f t="shared" si="266"/>
        <v>0</v>
      </c>
      <c r="DY232" s="609">
        <f t="shared" si="266"/>
        <v>0</v>
      </c>
      <c r="DZ232" s="609">
        <f t="shared" si="266"/>
        <v>0</v>
      </c>
      <c r="EA232" s="609">
        <f t="shared" si="266"/>
        <v>0</v>
      </c>
      <c r="EB232" s="609">
        <f t="shared" si="266"/>
        <v>0</v>
      </c>
      <c r="EC232" s="609">
        <f t="shared" si="266"/>
        <v>0</v>
      </c>
      <c r="ED232" s="609">
        <f t="shared" si="266"/>
        <v>0</v>
      </c>
      <c r="EE232" s="609">
        <f t="shared" si="266"/>
        <v>0</v>
      </c>
      <c r="EF232" s="609">
        <f t="shared" si="266"/>
        <v>0</v>
      </c>
      <c r="EG232" s="609">
        <f t="shared" si="266"/>
        <v>0</v>
      </c>
      <c r="EH232" s="609">
        <f t="shared" si="266"/>
        <v>0</v>
      </c>
      <c r="EI232" s="609">
        <f t="shared" si="266"/>
        <v>0</v>
      </c>
      <c r="EJ232" s="609">
        <f t="shared" si="266"/>
        <v>0</v>
      </c>
      <c r="EK232" s="609">
        <f t="shared" si="266"/>
        <v>0</v>
      </c>
      <c r="EL232" s="609">
        <f t="shared" si="266"/>
        <v>0</v>
      </c>
      <c r="EM232" s="609">
        <f t="shared" si="266"/>
        <v>0</v>
      </c>
      <c r="EN232" s="609">
        <f t="shared" si="266"/>
        <v>0</v>
      </c>
      <c r="EO232" s="609">
        <f t="shared" si="266"/>
        <v>0</v>
      </c>
      <c r="EP232" s="609">
        <f t="shared" si="266"/>
        <v>0</v>
      </c>
      <c r="EQ232" s="609">
        <f t="shared" si="266"/>
        <v>0</v>
      </c>
      <c r="ER232" s="609">
        <f t="shared" si="266"/>
        <v>0</v>
      </c>
      <c r="ES232" s="609">
        <f t="shared" si="266"/>
        <v>0</v>
      </c>
      <c r="ET232" s="609">
        <f t="shared" si="266"/>
        <v>0</v>
      </c>
      <c r="EU232" s="609">
        <f t="shared" si="266"/>
        <v>0</v>
      </c>
      <c r="EV232" s="609">
        <f t="shared" si="266"/>
        <v>0</v>
      </c>
      <c r="EW232" s="609">
        <f t="shared" si="266"/>
        <v>0</v>
      </c>
      <c r="EX232" s="609">
        <f t="shared" si="266"/>
        <v>0</v>
      </c>
      <c r="EY232" s="609">
        <f t="shared" si="266"/>
        <v>0</v>
      </c>
      <c r="EZ232" s="609">
        <f t="shared" si="266"/>
        <v>0</v>
      </c>
      <c r="FA232" s="609">
        <f t="shared" si="266"/>
        <v>0</v>
      </c>
      <c r="FB232" s="609">
        <f t="shared" si="266"/>
        <v>0</v>
      </c>
      <c r="FC232" s="609">
        <f t="shared" si="266"/>
        <v>0</v>
      </c>
      <c r="FD232" s="609">
        <f t="shared" si="266"/>
        <v>0</v>
      </c>
      <c r="FE232" s="609">
        <f t="shared" si="266"/>
        <v>0</v>
      </c>
      <c r="FF232" s="609">
        <f t="shared" si="266"/>
        <v>0</v>
      </c>
      <c r="FG232" s="609">
        <f t="shared" si="266"/>
        <v>0</v>
      </c>
      <c r="FH232" s="609">
        <f t="shared" si="266"/>
        <v>0</v>
      </c>
      <c r="FI232" s="609">
        <f t="shared" si="266"/>
        <v>0</v>
      </c>
      <c r="FJ232" s="609">
        <f t="shared" si="266"/>
        <v>0</v>
      </c>
      <c r="FK232" s="609">
        <f t="shared" si="266"/>
        <v>0</v>
      </c>
      <c r="FL232" s="609">
        <f t="shared" si="266"/>
        <v>0</v>
      </c>
      <c r="FM232" s="609">
        <f t="shared" si="266"/>
        <v>0</v>
      </c>
      <c r="FN232" s="609">
        <f t="shared" si="266"/>
        <v>0</v>
      </c>
      <c r="FO232" s="609">
        <f t="shared" si="266"/>
        <v>0</v>
      </c>
      <c r="FP232" s="609">
        <f t="shared" si="266"/>
        <v>0</v>
      </c>
      <c r="FQ232" s="609">
        <f t="shared" si="266"/>
        <v>0</v>
      </c>
      <c r="FR232" s="609">
        <f t="shared" ref="FR232:GZ232" si="267">IF(FR222=0,0,IF(FR32&gt;0,FR32,FL232-FR231))</f>
        <v>0</v>
      </c>
      <c r="FS232" s="609">
        <f t="shared" si="267"/>
        <v>0</v>
      </c>
      <c r="FT232" s="609">
        <f t="shared" si="267"/>
        <v>0</v>
      </c>
      <c r="FU232" s="609">
        <f t="shared" si="267"/>
        <v>0</v>
      </c>
      <c r="FV232" s="609">
        <f t="shared" si="267"/>
        <v>0</v>
      </c>
      <c r="FW232" s="609">
        <f t="shared" si="267"/>
        <v>0</v>
      </c>
      <c r="FX232" s="609">
        <f t="shared" si="267"/>
        <v>0</v>
      </c>
      <c r="FY232" s="609">
        <f t="shared" si="267"/>
        <v>0</v>
      </c>
      <c r="FZ232" s="609">
        <f t="shared" si="267"/>
        <v>0</v>
      </c>
      <c r="GA232" s="609">
        <f t="shared" si="267"/>
        <v>0</v>
      </c>
      <c r="GB232" s="609">
        <f t="shared" si="267"/>
        <v>0</v>
      </c>
      <c r="GC232" s="609">
        <f t="shared" si="267"/>
        <v>0</v>
      </c>
      <c r="GD232" s="609">
        <f t="shared" si="267"/>
        <v>0</v>
      </c>
      <c r="GE232" s="609">
        <f t="shared" si="267"/>
        <v>0</v>
      </c>
      <c r="GF232" s="609">
        <f t="shared" si="267"/>
        <v>0</v>
      </c>
      <c r="GG232" s="609">
        <f t="shared" si="267"/>
        <v>0</v>
      </c>
      <c r="GH232" s="609">
        <f t="shared" si="267"/>
        <v>0</v>
      </c>
      <c r="GI232" s="609">
        <f t="shared" si="267"/>
        <v>0</v>
      </c>
      <c r="GJ232" s="609">
        <f t="shared" si="267"/>
        <v>0</v>
      </c>
      <c r="GK232" s="609">
        <f t="shared" si="267"/>
        <v>0</v>
      </c>
      <c r="GL232" s="609">
        <f t="shared" si="267"/>
        <v>0</v>
      </c>
      <c r="GM232" s="609">
        <f t="shared" si="267"/>
        <v>0</v>
      </c>
      <c r="GN232" s="609">
        <f t="shared" si="267"/>
        <v>0</v>
      </c>
      <c r="GO232" s="609">
        <f t="shared" si="267"/>
        <v>0</v>
      </c>
      <c r="GP232" s="609">
        <f t="shared" si="267"/>
        <v>0</v>
      </c>
      <c r="GQ232" s="609">
        <f t="shared" si="267"/>
        <v>0</v>
      </c>
      <c r="GR232" s="609">
        <f t="shared" si="267"/>
        <v>0</v>
      </c>
      <c r="GS232" s="609">
        <f t="shared" si="267"/>
        <v>0</v>
      </c>
      <c r="GT232" s="609">
        <f t="shared" si="267"/>
        <v>0</v>
      </c>
      <c r="GU232" s="609">
        <f t="shared" si="267"/>
        <v>0</v>
      </c>
      <c r="GV232" s="609">
        <f t="shared" si="267"/>
        <v>0</v>
      </c>
      <c r="GW232" s="609">
        <f t="shared" si="267"/>
        <v>0</v>
      </c>
      <c r="GX232" s="609">
        <f t="shared" si="267"/>
        <v>0</v>
      </c>
      <c r="GY232" s="609">
        <f t="shared" si="267"/>
        <v>0</v>
      </c>
      <c r="GZ232" s="609">
        <f t="shared" si="267"/>
        <v>0</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11.007456967244524</v>
      </c>
      <c r="V233" s="623">
        <f>(IF(V222=0,0,V232/V222))</f>
        <v>11.007456967244524</v>
      </c>
      <c r="W233" s="624"/>
      <c r="X233" s="624"/>
      <c r="Y233" s="624"/>
      <c r="Z233" s="624"/>
      <c r="AA233" s="624"/>
      <c r="AB233" s="623">
        <f>(IF(AB222=0,0,AB232/AB222))</f>
        <v>11.007456967244524</v>
      </c>
      <c r="AC233" s="625"/>
      <c r="AD233" s="625"/>
      <c r="AE233" s="625"/>
      <c r="AF233" s="625"/>
      <c r="AG233" s="625"/>
      <c r="AH233" s="623">
        <f>(IF(AH222=0,0,AH232/AH222))</f>
        <v>11.007456967244524</v>
      </c>
      <c r="AI233" s="624"/>
      <c r="AJ233" s="624"/>
      <c r="AK233" s="624"/>
      <c r="AL233" s="624"/>
      <c r="AM233" s="624"/>
      <c r="AN233" s="623">
        <f>(IF(AN222=0,0,AN232/AN222))</f>
        <v>11.007456967244524</v>
      </c>
      <c r="AO233" s="626"/>
      <c r="AP233" s="626"/>
      <c r="AQ233" s="626"/>
      <c r="AR233" s="626"/>
      <c r="AS233" s="626"/>
      <c r="AT233" s="627">
        <f>(IF(AT222=0,0,AT232/AT222))</f>
        <v>0.65494368955104865</v>
      </c>
      <c r="AU233" s="317"/>
      <c r="AV233" s="317"/>
      <c r="AW233" s="317"/>
      <c r="AX233" s="317"/>
      <c r="AY233" s="317"/>
      <c r="AZ233" s="623">
        <f>(IF(AZ222=0,0,AZ232/AZ222))</f>
        <v>0.65494368955104865</v>
      </c>
      <c r="BA233" s="317"/>
      <c r="BB233" s="317"/>
      <c r="BC233" s="317"/>
      <c r="BD233" s="317"/>
      <c r="BE233" s="317"/>
      <c r="BF233" s="623">
        <f>(IF(BF222=0,0,BF232/BF222))</f>
        <v>0.65494368955104865</v>
      </c>
      <c r="BG233" s="317"/>
      <c r="BH233" s="317"/>
      <c r="BI233" s="317"/>
      <c r="BJ233" s="317"/>
      <c r="BK233" s="317"/>
      <c r="BL233" s="623">
        <f>(IF(BL222=0,0,BL232/BL222))</f>
        <v>0.65494368955104865</v>
      </c>
      <c r="BM233" s="317"/>
      <c r="BN233" s="317"/>
      <c r="BO233" s="317"/>
      <c r="BP233" s="317"/>
      <c r="BQ233" s="317"/>
      <c r="BR233" s="623">
        <f>(IF(BR222=0,0,BR232/BR222))</f>
        <v>0</v>
      </c>
      <c r="BS233" s="317"/>
      <c r="BT233" s="317"/>
      <c r="BU233" s="317"/>
      <c r="BV233" s="317"/>
      <c r="BW233" s="317"/>
      <c r="BX233" s="623">
        <f>(IF(BX222=0,0,BX232/BX222))</f>
        <v>0</v>
      </c>
      <c r="BY233" s="317"/>
      <c r="BZ233" s="317"/>
      <c r="CA233" s="317"/>
      <c r="CB233" s="317"/>
      <c r="CC233" s="317"/>
      <c r="CD233" s="623">
        <f>(IF(CD222=0,0,CD232/CD222))</f>
        <v>0</v>
      </c>
      <c r="CE233" s="317"/>
      <c r="CF233" s="317"/>
      <c r="CG233" s="317"/>
      <c r="CH233" s="317"/>
      <c r="CI233" s="317"/>
      <c r="CJ233" s="623">
        <f>(IF(CJ222=0,0,CJ232/CJ222))</f>
        <v>0</v>
      </c>
      <c r="CK233" s="317"/>
      <c r="CL233" s="317"/>
      <c r="CM233" s="317"/>
      <c r="CN233" s="317"/>
      <c r="CO233" s="317"/>
      <c r="CP233" s="623">
        <f>(IF(CP222=0,0,CP232/CP222))</f>
        <v>0</v>
      </c>
      <c r="CQ233" s="317"/>
      <c r="CR233" s="317"/>
      <c r="CS233" s="317"/>
      <c r="CT233" s="317"/>
      <c r="CU233" s="317"/>
      <c r="CV233" s="623">
        <f>(IF(CV222=0,0,CV232/CV222))</f>
        <v>0</v>
      </c>
      <c r="CW233" s="628"/>
      <c r="CX233" s="629"/>
      <c r="CY233" s="629"/>
      <c r="CZ233" s="628"/>
      <c r="DA233" s="628"/>
      <c r="DB233" s="623">
        <f>(IF(DB222=0,0,DB232/DB222))</f>
        <v>0</v>
      </c>
      <c r="DC233" s="317"/>
      <c r="DD233" s="317"/>
      <c r="DE233" s="317"/>
      <c r="DF233" s="317"/>
      <c r="DG233" s="317"/>
      <c r="DH233" s="623">
        <f>(IF(DH222=0,0,DH232/DH222))</f>
        <v>0</v>
      </c>
      <c r="DI233" s="317"/>
      <c r="DJ233" s="317"/>
      <c r="DK233" s="317"/>
      <c r="DL233" s="317"/>
      <c r="DM233" s="317"/>
      <c r="DN233" s="623">
        <f>(IF(DN222=0,0,DN232/DN222))</f>
        <v>0</v>
      </c>
      <c r="DO233" s="317"/>
      <c r="DP233" s="317"/>
      <c r="DQ233" s="317"/>
      <c r="DR233" s="317"/>
      <c r="DS233" s="317"/>
      <c r="DT233" s="623">
        <f>(IF(DT222=0,0,DT232/DT222))</f>
        <v>0</v>
      </c>
      <c r="DU233" s="317"/>
      <c r="DV233" s="317"/>
      <c r="DW233" s="317"/>
      <c r="DX233" s="317"/>
      <c r="DY233" s="317"/>
      <c r="DZ233" s="623">
        <f>(IF(DZ222=0,0,DZ232/DZ222))</f>
        <v>0</v>
      </c>
      <c r="EA233" s="317"/>
      <c r="EB233" s="317"/>
      <c r="EC233" s="317"/>
      <c r="ED233" s="317"/>
      <c r="EE233" s="317"/>
      <c r="EF233" s="623">
        <f>(IF(EF222=0,0,EF232/EF222))</f>
        <v>0</v>
      </c>
      <c r="EG233" s="317"/>
      <c r="EH233" s="317"/>
      <c r="EI233" s="317"/>
      <c r="EJ233" s="317"/>
      <c r="EK233" s="317"/>
      <c r="EL233" s="623">
        <f>(IF(EL222=0,0,EL232/EL222))</f>
        <v>0</v>
      </c>
      <c r="EM233" s="317"/>
      <c r="EN233" s="317"/>
      <c r="EO233" s="317"/>
      <c r="EP233" s="317"/>
      <c r="EQ233" s="317"/>
      <c r="ER233" s="623">
        <f>(IF(ER222=0,0,ER232/ER222))</f>
        <v>0</v>
      </c>
      <c r="ES233" s="317"/>
      <c r="ET233" s="317"/>
      <c r="EU233" s="317"/>
      <c r="EV233" s="317"/>
      <c r="EW233" s="317"/>
      <c r="EX233" s="623">
        <f>(IF(EX222=0,0,EX232/EX222))</f>
        <v>0</v>
      </c>
      <c r="EY233" s="317"/>
      <c r="EZ233" s="317"/>
      <c r="FA233" s="317"/>
      <c r="FB233" s="317"/>
      <c r="FC233" s="317"/>
      <c r="FD233" s="623">
        <f>(IF(FD222=0,0,FD232/FD222))</f>
        <v>0</v>
      </c>
      <c r="FE233" s="317"/>
      <c r="FF233" s="317"/>
      <c r="FG233" s="317"/>
      <c r="FH233" s="317"/>
      <c r="FI233" s="317"/>
      <c r="FJ233" s="623">
        <f>(IF(FJ222=0,0,FJ232/FJ222))</f>
        <v>0</v>
      </c>
      <c r="FK233" s="317"/>
      <c r="FL233" s="317"/>
      <c r="FM233" s="317"/>
      <c r="FN233" s="317"/>
      <c r="FO233" s="317"/>
      <c r="FP233" s="623">
        <f>(IF(FP222=0,0,FP232/FP222))</f>
        <v>0</v>
      </c>
      <c r="FQ233" s="317"/>
      <c r="FR233" s="317"/>
      <c r="FS233" s="317"/>
      <c r="FT233" s="317"/>
      <c r="FU233" s="317"/>
      <c r="FV233" s="623">
        <f>(IF(FV222=0,0,FV232/FV222))</f>
        <v>0</v>
      </c>
      <c r="FW233" s="317"/>
      <c r="FX233" s="317"/>
      <c r="FY233" s="317"/>
      <c r="FZ233" s="317"/>
      <c r="GA233" s="317"/>
      <c r="GB233" s="623">
        <f>(IF(GB222=0,0,GB232/GB222))</f>
        <v>0</v>
      </c>
      <c r="GC233" s="317"/>
      <c r="GD233" s="317"/>
      <c r="GE233" s="317"/>
      <c r="GF233" s="317"/>
      <c r="GG233" s="317"/>
      <c r="GH233" s="623">
        <f>(IF(GH222=0,0,GH232/GH222))</f>
        <v>0</v>
      </c>
      <c r="GI233" s="317"/>
      <c r="GJ233" s="317"/>
      <c r="GK233" s="317"/>
      <c r="GL233" s="317"/>
      <c r="GM233" s="317"/>
      <c r="GN233" s="623">
        <f>(IF(GN222=0,0,GN232/GN222))</f>
        <v>0</v>
      </c>
      <c r="GO233" s="317"/>
      <c r="GP233" s="317"/>
      <c r="GQ233" s="317"/>
      <c r="GR233" s="317"/>
      <c r="GS233" s="317"/>
      <c r="GT233" s="623">
        <f>(IF(GT222=0,0,GT232/GT222))</f>
        <v>0</v>
      </c>
      <c r="GU233" s="317"/>
      <c r="GV233" s="317"/>
      <c r="GW233" s="317"/>
      <c r="GX233" s="317"/>
      <c r="GY233" s="317"/>
      <c r="GZ233" s="630">
        <f>(IF(GZ222=0,0,GZ232/GZ222))</f>
        <v>0</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0</v>
      </c>
      <c r="AU234" s="604">
        <f t="shared" si="268"/>
        <v>168734.22824023722</v>
      </c>
      <c r="AV234" s="604">
        <f t="shared" si="268"/>
        <v>0</v>
      </c>
      <c r="AW234" s="604">
        <f t="shared" si="268"/>
        <v>0</v>
      </c>
      <c r="AX234" s="604">
        <f t="shared" si="268"/>
        <v>0</v>
      </c>
      <c r="AY234" s="604">
        <f t="shared" si="268"/>
        <v>0</v>
      </c>
      <c r="AZ234" s="604">
        <f t="shared" si="268"/>
        <v>0</v>
      </c>
      <c r="BA234" s="604">
        <f t="shared" si="268"/>
        <v>0</v>
      </c>
      <c r="BB234" s="604">
        <f t="shared" si="268"/>
        <v>0</v>
      </c>
      <c r="BC234" s="604">
        <f t="shared" si="268"/>
        <v>0</v>
      </c>
      <c r="BD234" s="604">
        <f t="shared" si="268"/>
        <v>0</v>
      </c>
      <c r="BE234" s="604">
        <f t="shared" si="268"/>
        <v>0</v>
      </c>
      <c r="BF234" s="604">
        <f t="shared" si="268"/>
        <v>0</v>
      </c>
      <c r="BG234" s="604">
        <f t="shared" si="268"/>
        <v>0</v>
      </c>
      <c r="BH234" s="604">
        <f t="shared" si="268"/>
        <v>0</v>
      </c>
      <c r="BI234" s="604">
        <f t="shared" si="268"/>
        <v>0</v>
      </c>
      <c r="BJ234" s="604">
        <f t="shared" si="268"/>
        <v>0</v>
      </c>
      <c r="BK234" s="604">
        <f t="shared" si="268"/>
        <v>0</v>
      </c>
      <c r="BL234" s="604">
        <f t="shared" si="268"/>
        <v>0</v>
      </c>
      <c r="BM234" s="604">
        <f t="shared" si="268"/>
        <v>0</v>
      </c>
      <c r="BN234" s="604">
        <f t="shared" si="268"/>
        <v>0</v>
      </c>
      <c r="BO234" s="604">
        <f t="shared" si="268"/>
        <v>0</v>
      </c>
      <c r="BP234" s="604">
        <f t="shared" si="268"/>
        <v>0</v>
      </c>
      <c r="BQ234" s="604">
        <f t="shared" si="268"/>
        <v>0</v>
      </c>
      <c r="BR234" s="604">
        <f t="shared" si="268"/>
        <v>0</v>
      </c>
      <c r="BS234" s="604">
        <f t="shared" si="268"/>
        <v>0</v>
      </c>
      <c r="BT234" s="604">
        <f t="shared" si="268"/>
        <v>0</v>
      </c>
      <c r="BU234" s="604">
        <f t="shared" si="268"/>
        <v>0</v>
      </c>
      <c r="BV234" s="604">
        <f t="shared" si="268"/>
        <v>0</v>
      </c>
      <c r="BW234" s="604">
        <f t="shared" si="268"/>
        <v>0</v>
      </c>
      <c r="BX234" s="604">
        <f t="shared" si="268"/>
        <v>0</v>
      </c>
      <c r="BY234" s="604">
        <f t="shared" si="268"/>
        <v>0</v>
      </c>
      <c r="BZ234" s="604">
        <f t="shared" si="268"/>
        <v>0</v>
      </c>
      <c r="CA234" s="604">
        <f t="shared" si="268"/>
        <v>0</v>
      </c>
      <c r="CB234" s="604">
        <f t="shared" si="268"/>
        <v>0</v>
      </c>
      <c r="CC234" s="604">
        <f t="shared" si="268"/>
        <v>0</v>
      </c>
      <c r="CD234" s="604">
        <f t="shared" si="268"/>
        <v>0</v>
      </c>
      <c r="CE234" s="604">
        <f t="shared" si="268"/>
        <v>0</v>
      </c>
      <c r="CF234" s="604">
        <f t="shared" si="268"/>
        <v>0</v>
      </c>
      <c r="CG234" s="604">
        <f t="shared" si="268"/>
        <v>0</v>
      </c>
      <c r="CH234" s="604">
        <f t="shared" si="268"/>
        <v>0</v>
      </c>
      <c r="CI234" s="604">
        <f t="shared" si="268"/>
        <v>0</v>
      </c>
      <c r="CJ234" s="604">
        <f t="shared" si="268"/>
        <v>0</v>
      </c>
      <c r="CK234" s="604">
        <f t="shared" si="268"/>
        <v>0</v>
      </c>
      <c r="CL234" s="604">
        <f t="shared" si="268"/>
        <v>0</v>
      </c>
      <c r="CM234" s="604">
        <f t="shared" si="268"/>
        <v>0</v>
      </c>
      <c r="CN234" s="604">
        <f t="shared" si="268"/>
        <v>0</v>
      </c>
      <c r="CO234" s="604">
        <f t="shared" si="268"/>
        <v>0</v>
      </c>
      <c r="CP234" s="604">
        <f t="shared" si="268"/>
        <v>0</v>
      </c>
      <c r="CQ234" s="604">
        <f t="shared" si="268"/>
        <v>0</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v>
      </c>
      <c r="DQ234" s="604">
        <f t="shared" si="269"/>
        <v>0</v>
      </c>
      <c r="DR234" s="604">
        <f t="shared" si="269"/>
        <v>0</v>
      </c>
      <c r="DS234" s="604">
        <f t="shared" si="269"/>
        <v>0</v>
      </c>
      <c r="DT234" s="604">
        <f t="shared" si="269"/>
        <v>0</v>
      </c>
      <c r="DU234" s="604">
        <f t="shared" si="269"/>
        <v>0</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0</v>
      </c>
      <c r="V235" s="634">
        <f>V$33</f>
        <v>0</v>
      </c>
      <c r="W235" s="605"/>
      <c r="X235" s="606"/>
      <c r="Y235" s="606"/>
      <c r="Z235" s="605"/>
      <c r="AA235" s="605"/>
      <c r="AB235" s="634">
        <f>AB$33</f>
        <v>0</v>
      </c>
      <c r="AC235" s="607"/>
      <c r="AD235" s="608"/>
      <c r="AE235" s="608"/>
      <c r="AF235" s="607"/>
      <c r="AG235" s="607"/>
      <c r="AH235" s="634">
        <f>AH$33</f>
        <v>0</v>
      </c>
      <c r="AI235" s="605"/>
      <c r="AJ235" s="606"/>
      <c r="AK235" s="606"/>
      <c r="AL235" s="605"/>
      <c r="AM235" s="605"/>
      <c r="AN235" s="634">
        <f>AN$33</f>
        <v>0</v>
      </c>
      <c r="AO235" s="439"/>
      <c r="AP235" s="530"/>
      <c r="AQ235" s="530"/>
      <c r="AR235" s="439"/>
      <c r="AS235" s="439"/>
      <c r="AT235" s="634">
        <f t="shared" ref="AT235:DE235" si="271">IF(AT222=0,0,IF(AT33&gt;0,AT33,IF(AN235=0,0,IF(AN235&lt;AT242,0,AN235-AT234+AX44))))</f>
        <v>0</v>
      </c>
      <c r="AU235" s="634">
        <f t="shared" si="271"/>
        <v>0</v>
      </c>
      <c r="AV235" s="634">
        <f t="shared" si="271"/>
        <v>0</v>
      </c>
      <c r="AW235" s="634">
        <f t="shared" si="271"/>
        <v>0</v>
      </c>
      <c r="AX235" s="634">
        <f t="shared" si="271"/>
        <v>0</v>
      </c>
      <c r="AY235" s="634">
        <f t="shared" si="271"/>
        <v>0</v>
      </c>
      <c r="AZ235" s="634">
        <f t="shared" si="271"/>
        <v>0</v>
      </c>
      <c r="BA235" s="634">
        <f t="shared" si="271"/>
        <v>0</v>
      </c>
      <c r="BB235" s="634">
        <f t="shared" si="271"/>
        <v>0</v>
      </c>
      <c r="BC235" s="634">
        <f t="shared" si="271"/>
        <v>0</v>
      </c>
      <c r="BD235" s="634">
        <f t="shared" si="271"/>
        <v>0</v>
      </c>
      <c r="BE235" s="634">
        <f t="shared" si="271"/>
        <v>0</v>
      </c>
      <c r="BF235" s="634">
        <f t="shared" si="271"/>
        <v>0</v>
      </c>
      <c r="BG235" s="634">
        <f t="shared" si="271"/>
        <v>0</v>
      </c>
      <c r="BH235" s="634">
        <f t="shared" si="271"/>
        <v>0</v>
      </c>
      <c r="BI235" s="634">
        <f t="shared" si="271"/>
        <v>0</v>
      </c>
      <c r="BJ235" s="634">
        <f t="shared" si="271"/>
        <v>0</v>
      </c>
      <c r="BK235" s="634">
        <f t="shared" si="271"/>
        <v>0</v>
      </c>
      <c r="BL235" s="634">
        <f t="shared" si="271"/>
        <v>0</v>
      </c>
      <c r="BM235" s="634">
        <f t="shared" si="271"/>
        <v>0</v>
      </c>
      <c r="BN235" s="634">
        <f t="shared" si="271"/>
        <v>0</v>
      </c>
      <c r="BO235" s="634">
        <f t="shared" si="271"/>
        <v>0</v>
      </c>
      <c r="BP235" s="634">
        <f t="shared" si="271"/>
        <v>0</v>
      </c>
      <c r="BQ235" s="634">
        <f t="shared" si="271"/>
        <v>0</v>
      </c>
      <c r="BR235" s="634">
        <f t="shared" si="271"/>
        <v>0</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v>
      </c>
      <c r="V236" s="604">
        <f>(IF(V222=0,0,V235/V222))</f>
        <v>0</v>
      </c>
      <c r="W236" s="574"/>
      <c r="X236" s="575"/>
      <c r="Y236" s="575"/>
      <c r="Z236" s="574"/>
      <c r="AA236" s="574"/>
      <c r="AB236" s="604">
        <f>(IF(AB222=0,0,AB235/AB222))</f>
        <v>0</v>
      </c>
      <c r="AC236" s="574"/>
      <c r="AD236" s="575"/>
      <c r="AE236" s="575"/>
      <c r="AF236" s="574"/>
      <c r="AG236" s="574"/>
      <c r="AH236" s="604">
        <f>(IF(AH222=0,0,AH235/AH222))</f>
        <v>0</v>
      </c>
      <c r="AI236" s="574"/>
      <c r="AJ236" s="575"/>
      <c r="AK236" s="575"/>
      <c r="AL236" s="574"/>
      <c r="AM236" s="574"/>
      <c r="AN236" s="604">
        <f>(IF(AN222=0,0,AN235/AN222))</f>
        <v>0</v>
      </c>
      <c r="AO236" s="439"/>
      <c r="AP236" s="530"/>
      <c r="AQ236" s="530"/>
      <c r="AR236" s="439"/>
      <c r="AS236" s="439"/>
      <c r="AT236" s="609">
        <f>(IF(AT222=0,0,AT235/AT222))</f>
        <v>0</v>
      </c>
      <c r="AU236" s="574"/>
      <c r="AV236" s="575"/>
      <c r="AW236" s="575"/>
      <c r="AX236" s="574"/>
      <c r="AY236" s="574"/>
      <c r="AZ236" s="604">
        <f>(IF(AZ222=0,0,AZ235/AZ222))</f>
        <v>0</v>
      </c>
      <c r="BA236" s="315"/>
      <c r="BB236" s="316"/>
      <c r="BC236" s="316"/>
      <c r="BD236" s="315"/>
      <c r="BE236" s="315"/>
      <c r="BF236" s="604">
        <f>(IF(BF222=0,0,BF235/BF222))</f>
        <v>0</v>
      </c>
      <c r="BG236" s="315"/>
      <c r="BH236" s="316"/>
      <c r="BI236" s="316"/>
      <c r="BJ236" s="315"/>
      <c r="BK236" s="315"/>
      <c r="BL236" s="604">
        <f>(IF(BL222=0,0,BL235/BL222))</f>
        <v>0</v>
      </c>
      <c r="BM236" s="315"/>
      <c r="BN236" s="316"/>
      <c r="BO236" s="316"/>
      <c r="BP236" s="315"/>
      <c r="BQ236" s="315"/>
      <c r="BR236" s="604">
        <f>(IF(BR222=0,0,BR235/BR222))</f>
        <v>0</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1339907.9720000001</v>
      </c>
      <c r="V237" s="604">
        <f>V34</f>
        <v>1339907.9720000001</v>
      </c>
      <c r="W237" s="574"/>
      <c r="X237" s="575"/>
      <c r="Y237" s="575"/>
      <c r="Z237" s="574"/>
      <c r="AA237" s="574"/>
      <c r="AB237" s="604">
        <f>AB34</f>
        <v>1339907.9720000001</v>
      </c>
      <c r="AC237" s="315"/>
      <c r="AD237" s="316"/>
      <c r="AE237" s="316"/>
      <c r="AF237" s="315"/>
      <c r="AG237" s="315"/>
      <c r="AH237" s="604">
        <f>AH34</f>
        <v>1339907.9720000001</v>
      </c>
      <c r="AI237" s="574"/>
      <c r="AJ237" s="575"/>
      <c r="AK237" s="575"/>
      <c r="AL237" s="574"/>
      <c r="AM237" s="574"/>
      <c r="AN237" s="604">
        <f>AN34</f>
        <v>1339907.9720000001</v>
      </c>
      <c r="AO237" s="439"/>
      <c r="AP237" s="530"/>
      <c r="AQ237" s="530"/>
      <c r="AR237" s="439"/>
      <c r="AS237" s="439"/>
      <c r="AT237" s="604">
        <f t="shared" ref="AT237:BK237" si="274">AT229+(AT232*9.786)+(AT235*278)+(AT242*278)</f>
        <v>213708.34031338088</v>
      </c>
      <c r="AU237" s="604">
        <f t="shared" si="274"/>
        <v>0</v>
      </c>
      <c r="AV237" s="604">
        <f t="shared" si="274"/>
        <v>0</v>
      </c>
      <c r="AW237" s="604">
        <f t="shared" si="274"/>
        <v>0</v>
      </c>
      <c r="AX237" s="604">
        <f t="shared" si="274"/>
        <v>0</v>
      </c>
      <c r="AY237" s="604">
        <f t="shared" si="274"/>
        <v>0</v>
      </c>
      <c r="AZ237" s="604">
        <f t="shared" si="274"/>
        <v>213708.34031338088</v>
      </c>
      <c r="BA237" s="604">
        <f t="shared" si="274"/>
        <v>0</v>
      </c>
      <c r="BB237" s="604">
        <f t="shared" si="274"/>
        <v>0</v>
      </c>
      <c r="BC237" s="604">
        <f t="shared" si="274"/>
        <v>0</v>
      </c>
      <c r="BD237" s="604">
        <f t="shared" si="274"/>
        <v>0</v>
      </c>
      <c r="BE237" s="604">
        <f t="shared" si="274"/>
        <v>0</v>
      </c>
      <c r="BF237" s="604">
        <f t="shared" si="274"/>
        <v>213708.34031338088</v>
      </c>
      <c r="BG237" s="604">
        <f t="shared" si="274"/>
        <v>0</v>
      </c>
      <c r="BH237" s="604">
        <f t="shared" si="274"/>
        <v>0</v>
      </c>
      <c r="BI237" s="604">
        <f t="shared" si="274"/>
        <v>0</v>
      </c>
      <c r="BJ237" s="604">
        <f t="shared" si="274"/>
        <v>0</v>
      </c>
      <c r="BK237" s="604">
        <f t="shared" si="274"/>
        <v>0</v>
      </c>
      <c r="BL237" s="604">
        <f>BL229+(BL232*9.786)+(BL235*278)+(BL242*278)</f>
        <v>213708.34031338088</v>
      </c>
      <c r="BM237" s="604">
        <f t="shared" ref="BM237:DX237" si="275">BM229+(BM232*9.786)+(BM235*278)+(BM242*278)</f>
        <v>0</v>
      </c>
      <c r="BN237" s="604">
        <f t="shared" si="275"/>
        <v>0</v>
      </c>
      <c r="BO237" s="604">
        <f t="shared" si="275"/>
        <v>0</v>
      </c>
      <c r="BP237" s="604">
        <f t="shared" si="275"/>
        <v>0</v>
      </c>
      <c r="BQ237" s="604">
        <f t="shared" si="275"/>
        <v>0</v>
      </c>
      <c r="BR237" s="604">
        <f t="shared" si="275"/>
        <v>0</v>
      </c>
      <c r="BS237" s="604">
        <f t="shared" si="275"/>
        <v>0</v>
      </c>
      <c r="BT237" s="604">
        <f t="shared" si="275"/>
        <v>0</v>
      </c>
      <c r="BU237" s="604">
        <f t="shared" si="275"/>
        <v>0</v>
      </c>
      <c r="BV237" s="604">
        <f t="shared" si="275"/>
        <v>0</v>
      </c>
      <c r="BW237" s="604">
        <f t="shared" si="275"/>
        <v>0</v>
      </c>
      <c r="BX237" s="604">
        <f t="shared" si="275"/>
        <v>0</v>
      </c>
      <c r="BY237" s="604">
        <f t="shared" si="275"/>
        <v>0</v>
      </c>
      <c r="BZ237" s="604">
        <f t="shared" si="275"/>
        <v>0</v>
      </c>
      <c r="CA237" s="604">
        <f t="shared" si="275"/>
        <v>0</v>
      </c>
      <c r="CB237" s="604">
        <f t="shared" si="275"/>
        <v>0</v>
      </c>
      <c r="CC237" s="604">
        <f t="shared" si="275"/>
        <v>0</v>
      </c>
      <c r="CD237" s="604">
        <f t="shared" si="275"/>
        <v>0</v>
      </c>
      <c r="CE237" s="604">
        <f t="shared" si="275"/>
        <v>0</v>
      </c>
      <c r="CF237" s="604">
        <f t="shared" si="275"/>
        <v>0</v>
      </c>
      <c r="CG237" s="604">
        <f t="shared" si="275"/>
        <v>0</v>
      </c>
      <c r="CH237" s="604">
        <f t="shared" si="275"/>
        <v>0</v>
      </c>
      <c r="CI237" s="604">
        <f t="shared" si="275"/>
        <v>0</v>
      </c>
      <c r="CJ237" s="604">
        <f t="shared" si="275"/>
        <v>0</v>
      </c>
      <c r="CK237" s="604">
        <f t="shared" si="275"/>
        <v>0</v>
      </c>
      <c r="CL237" s="604">
        <f t="shared" si="275"/>
        <v>0</v>
      </c>
      <c r="CM237" s="604">
        <f t="shared" si="275"/>
        <v>0</v>
      </c>
      <c r="CN237" s="604">
        <f t="shared" si="275"/>
        <v>0</v>
      </c>
      <c r="CO237" s="604">
        <f t="shared" si="275"/>
        <v>0</v>
      </c>
      <c r="CP237" s="604">
        <f t="shared" si="275"/>
        <v>0</v>
      </c>
      <c r="CQ237" s="604">
        <f t="shared" si="275"/>
        <v>0</v>
      </c>
      <c r="CR237" s="604">
        <f t="shared" si="275"/>
        <v>0</v>
      </c>
      <c r="CS237" s="604">
        <f t="shared" si="275"/>
        <v>0</v>
      </c>
      <c r="CT237" s="604">
        <f t="shared" si="275"/>
        <v>0</v>
      </c>
      <c r="CU237" s="604">
        <f t="shared" si="275"/>
        <v>0</v>
      </c>
      <c r="CV237" s="604">
        <f t="shared" si="275"/>
        <v>0</v>
      </c>
      <c r="CW237" s="604">
        <f t="shared" si="275"/>
        <v>0</v>
      </c>
      <c r="CX237" s="604">
        <f t="shared" si="275"/>
        <v>0</v>
      </c>
      <c r="CY237" s="604">
        <f t="shared" si="275"/>
        <v>0</v>
      </c>
      <c r="CZ237" s="604">
        <f t="shared" si="275"/>
        <v>0</v>
      </c>
      <c r="DA237" s="604">
        <f t="shared" si="275"/>
        <v>0</v>
      </c>
      <c r="DB237" s="604">
        <f t="shared" si="275"/>
        <v>0</v>
      </c>
      <c r="DC237" s="604">
        <f t="shared" si="275"/>
        <v>0</v>
      </c>
      <c r="DD237" s="604">
        <f t="shared" si="275"/>
        <v>0</v>
      </c>
      <c r="DE237" s="604">
        <f t="shared" si="275"/>
        <v>0</v>
      </c>
      <c r="DF237" s="604">
        <f t="shared" si="275"/>
        <v>0</v>
      </c>
      <c r="DG237" s="604">
        <f t="shared" si="275"/>
        <v>0</v>
      </c>
      <c r="DH237" s="604">
        <f t="shared" si="275"/>
        <v>0</v>
      </c>
      <c r="DI237" s="604">
        <f t="shared" si="275"/>
        <v>0</v>
      </c>
      <c r="DJ237" s="604">
        <f t="shared" si="275"/>
        <v>0</v>
      </c>
      <c r="DK237" s="604">
        <f t="shared" si="275"/>
        <v>0</v>
      </c>
      <c r="DL237" s="604">
        <f t="shared" si="275"/>
        <v>0</v>
      </c>
      <c r="DM237" s="604">
        <f t="shared" si="275"/>
        <v>0</v>
      </c>
      <c r="DN237" s="604">
        <f t="shared" si="275"/>
        <v>0</v>
      </c>
      <c r="DO237" s="604">
        <f t="shared" si="275"/>
        <v>0</v>
      </c>
      <c r="DP237" s="604">
        <f t="shared" si="275"/>
        <v>0</v>
      </c>
      <c r="DQ237" s="604">
        <f t="shared" si="275"/>
        <v>0</v>
      </c>
      <c r="DR237" s="604">
        <f t="shared" si="275"/>
        <v>0</v>
      </c>
      <c r="DS237" s="604">
        <f t="shared" si="275"/>
        <v>0</v>
      </c>
      <c r="DT237" s="604">
        <f t="shared" si="275"/>
        <v>0</v>
      </c>
      <c r="DU237" s="604">
        <f t="shared" si="275"/>
        <v>0</v>
      </c>
      <c r="DV237" s="604">
        <f t="shared" si="275"/>
        <v>0</v>
      </c>
      <c r="DW237" s="604">
        <f t="shared" si="275"/>
        <v>0</v>
      </c>
      <c r="DX237" s="604">
        <f t="shared" si="275"/>
        <v>0</v>
      </c>
      <c r="DY237" s="604">
        <f t="shared" ref="DY237:GJ237" si="276">DY229+(DY232*9.786)+(DY235*278)+(DY242*278)</f>
        <v>0</v>
      </c>
      <c r="DZ237" s="604">
        <f t="shared" si="276"/>
        <v>0</v>
      </c>
      <c r="EA237" s="604">
        <f t="shared" si="276"/>
        <v>0</v>
      </c>
      <c r="EB237" s="604">
        <f t="shared" si="276"/>
        <v>0</v>
      </c>
      <c r="EC237" s="604">
        <f t="shared" si="276"/>
        <v>0</v>
      </c>
      <c r="ED237" s="604">
        <f t="shared" si="276"/>
        <v>0</v>
      </c>
      <c r="EE237" s="604">
        <f t="shared" si="276"/>
        <v>0</v>
      </c>
      <c r="EF237" s="604">
        <f t="shared" si="276"/>
        <v>0</v>
      </c>
      <c r="EG237" s="604">
        <f t="shared" si="276"/>
        <v>0</v>
      </c>
      <c r="EH237" s="604">
        <f t="shared" si="276"/>
        <v>0</v>
      </c>
      <c r="EI237" s="604">
        <f t="shared" si="276"/>
        <v>0</v>
      </c>
      <c r="EJ237" s="604">
        <f t="shared" si="276"/>
        <v>0</v>
      </c>
      <c r="EK237" s="604">
        <f t="shared" si="276"/>
        <v>0</v>
      </c>
      <c r="EL237" s="604">
        <f t="shared" si="276"/>
        <v>0</v>
      </c>
      <c r="EM237" s="604">
        <f t="shared" si="276"/>
        <v>0</v>
      </c>
      <c r="EN237" s="604">
        <f t="shared" si="276"/>
        <v>0</v>
      </c>
      <c r="EO237" s="604">
        <f t="shared" si="276"/>
        <v>0</v>
      </c>
      <c r="EP237" s="604">
        <f t="shared" si="276"/>
        <v>0</v>
      </c>
      <c r="EQ237" s="604">
        <f t="shared" si="276"/>
        <v>0</v>
      </c>
      <c r="ER237" s="604">
        <f t="shared" si="276"/>
        <v>0</v>
      </c>
      <c r="ES237" s="604">
        <f t="shared" si="276"/>
        <v>0</v>
      </c>
      <c r="ET237" s="604">
        <f t="shared" si="276"/>
        <v>0</v>
      </c>
      <c r="EU237" s="604">
        <f t="shared" si="276"/>
        <v>0</v>
      </c>
      <c r="EV237" s="604">
        <f t="shared" si="276"/>
        <v>0</v>
      </c>
      <c r="EW237" s="604">
        <f t="shared" si="276"/>
        <v>0</v>
      </c>
      <c r="EX237" s="604">
        <f t="shared" si="276"/>
        <v>0</v>
      </c>
      <c r="EY237" s="604">
        <f t="shared" si="276"/>
        <v>0</v>
      </c>
      <c r="EZ237" s="604">
        <f t="shared" si="276"/>
        <v>0</v>
      </c>
      <c r="FA237" s="604">
        <f t="shared" si="276"/>
        <v>0</v>
      </c>
      <c r="FB237" s="604">
        <f t="shared" si="276"/>
        <v>0</v>
      </c>
      <c r="FC237" s="604">
        <f t="shared" si="276"/>
        <v>0</v>
      </c>
      <c r="FD237" s="604">
        <f t="shared" si="276"/>
        <v>0</v>
      </c>
      <c r="FE237" s="604">
        <f t="shared" si="276"/>
        <v>0</v>
      </c>
      <c r="FF237" s="604">
        <f t="shared" si="276"/>
        <v>0</v>
      </c>
      <c r="FG237" s="604">
        <f t="shared" si="276"/>
        <v>0</v>
      </c>
      <c r="FH237" s="604">
        <f t="shared" si="276"/>
        <v>0</v>
      </c>
      <c r="FI237" s="604">
        <f t="shared" si="276"/>
        <v>0</v>
      </c>
      <c r="FJ237" s="604">
        <f t="shared" si="276"/>
        <v>0</v>
      </c>
      <c r="FK237" s="604">
        <f t="shared" si="276"/>
        <v>0</v>
      </c>
      <c r="FL237" s="604">
        <f t="shared" si="276"/>
        <v>0</v>
      </c>
      <c r="FM237" s="604">
        <f t="shared" si="276"/>
        <v>0</v>
      </c>
      <c r="FN237" s="604">
        <f t="shared" si="276"/>
        <v>0</v>
      </c>
      <c r="FO237" s="604">
        <f t="shared" si="276"/>
        <v>0</v>
      </c>
      <c r="FP237" s="604">
        <f t="shared" si="276"/>
        <v>0</v>
      </c>
      <c r="FQ237" s="604">
        <f t="shared" si="276"/>
        <v>0</v>
      </c>
      <c r="FR237" s="604">
        <f t="shared" si="276"/>
        <v>0</v>
      </c>
      <c r="FS237" s="604">
        <f t="shared" si="276"/>
        <v>0</v>
      </c>
      <c r="FT237" s="604">
        <f t="shared" si="276"/>
        <v>0</v>
      </c>
      <c r="FU237" s="604">
        <f t="shared" si="276"/>
        <v>0</v>
      </c>
      <c r="FV237" s="604">
        <f t="shared" si="276"/>
        <v>0</v>
      </c>
      <c r="FW237" s="604">
        <f t="shared" si="276"/>
        <v>0</v>
      </c>
      <c r="FX237" s="604">
        <f t="shared" si="276"/>
        <v>0</v>
      </c>
      <c r="FY237" s="604">
        <f t="shared" si="276"/>
        <v>0</v>
      </c>
      <c r="FZ237" s="604">
        <f t="shared" si="276"/>
        <v>0</v>
      </c>
      <c r="GA237" s="604">
        <f t="shared" si="276"/>
        <v>0</v>
      </c>
      <c r="GB237" s="604">
        <f t="shared" si="276"/>
        <v>0</v>
      </c>
      <c r="GC237" s="604">
        <f t="shared" si="276"/>
        <v>0</v>
      </c>
      <c r="GD237" s="604">
        <f t="shared" si="276"/>
        <v>0</v>
      </c>
      <c r="GE237" s="604">
        <f t="shared" si="276"/>
        <v>0</v>
      </c>
      <c r="GF237" s="604">
        <f t="shared" si="276"/>
        <v>0</v>
      </c>
      <c r="GG237" s="604">
        <f t="shared" si="276"/>
        <v>0</v>
      </c>
      <c r="GH237" s="604">
        <f t="shared" si="276"/>
        <v>0</v>
      </c>
      <c r="GI237" s="604">
        <f t="shared" si="276"/>
        <v>0</v>
      </c>
      <c r="GJ237" s="604">
        <f t="shared" si="276"/>
        <v>0</v>
      </c>
      <c r="GK237" s="604">
        <f t="shared" ref="GK237:GZ237" si="277">GK229+(GK232*9.786)+(GK235*278)+(GK242*278)</f>
        <v>0</v>
      </c>
      <c r="GL237" s="604">
        <f t="shared" si="277"/>
        <v>0</v>
      </c>
      <c r="GM237" s="604">
        <f t="shared" si="277"/>
        <v>0</v>
      </c>
      <c r="GN237" s="604">
        <f t="shared" si="277"/>
        <v>0</v>
      </c>
      <c r="GO237" s="604">
        <f t="shared" si="277"/>
        <v>0</v>
      </c>
      <c r="GP237" s="604">
        <f t="shared" si="277"/>
        <v>0</v>
      </c>
      <c r="GQ237" s="604">
        <f t="shared" si="277"/>
        <v>0</v>
      </c>
      <c r="GR237" s="604">
        <f t="shared" si="277"/>
        <v>0</v>
      </c>
      <c r="GS237" s="604">
        <f t="shared" si="277"/>
        <v>0</v>
      </c>
      <c r="GT237" s="604">
        <f t="shared" si="277"/>
        <v>0</v>
      </c>
      <c r="GU237" s="604">
        <f t="shared" si="277"/>
        <v>0</v>
      </c>
      <c r="GV237" s="604">
        <f t="shared" si="277"/>
        <v>0</v>
      </c>
      <c r="GW237" s="604">
        <f t="shared" si="277"/>
        <v>0</v>
      </c>
      <c r="GX237" s="604">
        <f t="shared" si="277"/>
        <v>0</v>
      </c>
      <c r="GY237" s="604">
        <f t="shared" si="277"/>
        <v>0</v>
      </c>
      <c r="GZ237" s="604">
        <f t="shared" si="277"/>
        <v>0</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128.36138049692678</v>
      </c>
      <c r="V238" s="551">
        <f>IF(V222=0,0,V237/V222)</f>
        <v>128.36138049692678</v>
      </c>
      <c r="W238" s="552"/>
      <c r="X238" s="553"/>
      <c r="Y238" s="553"/>
      <c r="Z238" s="552"/>
      <c r="AA238" s="552"/>
      <c r="AB238" s="551">
        <f>IF(AB222=0,0,AB237/AB222)</f>
        <v>128.36138049692678</v>
      </c>
      <c r="AC238" s="552"/>
      <c r="AD238" s="553"/>
      <c r="AE238" s="553"/>
      <c r="AF238" s="552"/>
      <c r="AG238" s="552"/>
      <c r="AH238" s="551">
        <f>IF(AH222=0,0,AH237/AH222)</f>
        <v>128.36138049692678</v>
      </c>
      <c r="AI238" s="552"/>
      <c r="AJ238" s="553"/>
      <c r="AK238" s="553"/>
      <c r="AL238" s="552"/>
      <c r="AM238" s="552"/>
      <c r="AN238" s="551">
        <f>IF(AN222=0,0,AN237/AN222)</f>
        <v>128.36138049692678</v>
      </c>
      <c r="AO238" s="586"/>
      <c r="AP238" s="587"/>
      <c r="AQ238" s="587"/>
      <c r="AR238" s="586"/>
      <c r="AS238" s="586"/>
      <c r="AT238" s="550">
        <f>IF(AT222=0,0,AT237/AT222)</f>
        <v>20.472971397719693</v>
      </c>
      <c r="AU238" s="313"/>
      <c r="AV238" s="314"/>
      <c r="AW238" s="314"/>
      <c r="AX238" s="313"/>
      <c r="AY238" s="313"/>
      <c r="AZ238" s="551">
        <f>IF(AZ222=0,0,AZ237/AZ222)</f>
        <v>20.472971397719693</v>
      </c>
      <c r="BA238" s="313"/>
      <c r="BB238" s="314"/>
      <c r="BC238" s="314"/>
      <c r="BD238" s="313"/>
      <c r="BE238" s="313"/>
      <c r="BF238" s="551">
        <f>IF(BF222=0,0,BF237/BF222)</f>
        <v>20.472971397719693</v>
      </c>
      <c r="BG238" s="313"/>
      <c r="BH238" s="314"/>
      <c r="BI238" s="314"/>
      <c r="BJ238" s="313"/>
      <c r="BK238" s="313"/>
      <c r="BL238" s="551">
        <f>IF(BL222=0,0,BL237/BL222)</f>
        <v>20.472971397719693</v>
      </c>
      <c r="BM238" s="313"/>
      <c r="BN238" s="314"/>
      <c r="BO238" s="314"/>
      <c r="BP238" s="313"/>
      <c r="BQ238" s="313"/>
      <c r="BR238" s="551">
        <f>IF(BR222=0,0,BR237/BR222)</f>
        <v>0</v>
      </c>
      <c r="BS238" s="552"/>
      <c r="BT238" s="553"/>
      <c r="BU238" s="553"/>
      <c r="BV238" s="552"/>
      <c r="BW238" s="552"/>
      <c r="BX238" s="551">
        <f>IF(BX222=0,0,BX237/BX222)</f>
        <v>0</v>
      </c>
      <c r="BY238" s="313"/>
      <c r="BZ238" s="314"/>
      <c r="CA238" s="314"/>
      <c r="CB238" s="313"/>
      <c r="CC238" s="313"/>
      <c r="CD238" s="551">
        <f>IF(CD222=0,0,CD237/CD222)</f>
        <v>0</v>
      </c>
      <c r="CE238" s="313"/>
      <c r="CF238" s="314"/>
      <c r="CG238" s="314"/>
      <c r="CH238" s="313"/>
      <c r="CI238" s="313"/>
      <c r="CJ238" s="551">
        <f>IF(CJ222=0,0,CJ237/CJ222)</f>
        <v>0</v>
      </c>
      <c r="CK238" s="313"/>
      <c r="CL238" s="314"/>
      <c r="CM238" s="314"/>
      <c r="CN238" s="313"/>
      <c r="CO238" s="313"/>
      <c r="CP238" s="551">
        <f>IF(CP222=0,0,CP237/CP222)</f>
        <v>0</v>
      </c>
      <c r="CQ238" s="554"/>
      <c r="CR238" s="553"/>
      <c r="CS238" s="553"/>
      <c r="CT238" s="554"/>
      <c r="CU238" s="554"/>
      <c r="CV238" s="551">
        <f>IF(CV222=0,0,CV237/CV222)</f>
        <v>0</v>
      </c>
      <c r="CW238" s="554"/>
      <c r="CX238" s="553"/>
      <c r="CY238" s="553"/>
      <c r="CZ238" s="554"/>
      <c r="DA238" s="554"/>
      <c r="DB238" s="551">
        <f>IF(DB222=0,0,DB237/DB222)</f>
        <v>0</v>
      </c>
      <c r="DC238" s="313"/>
      <c r="DD238" s="314"/>
      <c r="DE238" s="314"/>
      <c r="DF238" s="313"/>
      <c r="DG238" s="313"/>
      <c r="DH238" s="551">
        <f>IF(DH222=0,0,DH237/DH222)</f>
        <v>0</v>
      </c>
      <c r="DI238" s="313"/>
      <c r="DJ238" s="314"/>
      <c r="DK238" s="314"/>
      <c r="DL238" s="313"/>
      <c r="DM238" s="313"/>
      <c r="DN238" s="551">
        <f>IF(DN222=0,0,DN237/DN222)</f>
        <v>0</v>
      </c>
      <c r="DO238" s="313"/>
      <c r="DP238" s="314"/>
      <c r="DQ238" s="314"/>
      <c r="DR238" s="313"/>
      <c r="DS238" s="313"/>
      <c r="DT238" s="551">
        <f>IF(DT222=0,0,DT237/DT222)</f>
        <v>0</v>
      </c>
      <c r="DU238" s="313"/>
      <c r="DV238" s="314"/>
      <c r="DW238" s="314"/>
      <c r="DX238" s="313"/>
      <c r="DY238" s="313"/>
      <c r="DZ238" s="551">
        <f>IF(DZ222=0,0,DZ237/DZ222)</f>
        <v>0</v>
      </c>
      <c r="EA238" s="313"/>
      <c r="EB238" s="314"/>
      <c r="EC238" s="314"/>
      <c r="ED238" s="313"/>
      <c r="EE238" s="313"/>
      <c r="EF238" s="551">
        <f>IF(EF222=0,0,EF237/EF222)</f>
        <v>0</v>
      </c>
      <c r="EG238" s="313"/>
      <c r="EH238" s="314"/>
      <c r="EI238" s="314"/>
      <c r="EJ238" s="313"/>
      <c r="EK238" s="313"/>
      <c r="EL238" s="551">
        <f>IF(EL222=0,0,EL237/EL222)</f>
        <v>0</v>
      </c>
      <c r="EM238" s="313"/>
      <c r="EN238" s="314"/>
      <c r="EO238" s="314"/>
      <c r="EP238" s="313"/>
      <c r="EQ238" s="313"/>
      <c r="ER238" s="551">
        <f>IF(ER222=0,0,ER237/ER222)</f>
        <v>0</v>
      </c>
      <c r="ES238" s="313"/>
      <c r="ET238" s="314"/>
      <c r="EU238" s="314"/>
      <c r="EV238" s="313"/>
      <c r="EW238" s="313"/>
      <c r="EX238" s="551">
        <f>IF(EX222=0,0,EX237/EX222)</f>
        <v>0</v>
      </c>
      <c r="EY238" s="313"/>
      <c r="EZ238" s="314"/>
      <c r="FA238" s="314"/>
      <c r="FB238" s="313"/>
      <c r="FC238" s="313"/>
      <c r="FD238" s="551">
        <f>IF(FD222=0,0,FD237/FD222)</f>
        <v>0</v>
      </c>
      <c r="FE238" s="313"/>
      <c r="FF238" s="314"/>
      <c r="FG238" s="314"/>
      <c r="FH238" s="313"/>
      <c r="FI238" s="313"/>
      <c r="FJ238" s="551">
        <f>IF(FJ222=0,0,FJ237/FJ222)</f>
        <v>0</v>
      </c>
      <c r="FK238" s="313"/>
      <c r="FL238" s="314"/>
      <c r="FM238" s="314"/>
      <c r="FN238" s="313"/>
      <c r="FO238" s="313"/>
      <c r="FP238" s="551">
        <f>IF(FP222=0,0,FP237/FP222)</f>
        <v>0</v>
      </c>
      <c r="FQ238" s="313"/>
      <c r="FR238" s="314"/>
      <c r="FS238" s="314"/>
      <c r="FT238" s="313"/>
      <c r="FU238" s="313"/>
      <c r="FV238" s="551">
        <f>IF(FV222=0,0,FV237/FV222)</f>
        <v>0</v>
      </c>
      <c r="FW238" s="313"/>
      <c r="FX238" s="314"/>
      <c r="FY238" s="314"/>
      <c r="FZ238" s="313"/>
      <c r="GA238" s="313"/>
      <c r="GB238" s="551">
        <f>IF(GB222=0,0,GB237/GB222)</f>
        <v>0</v>
      </c>
      <c r="GC238" s="313"/>
      <c r="GD238" s="314"/>
      <c r="GE238" s="314"/>
      <c r="GF238" s="313"/>
      <c r="GG238" s="313"/>
      <c r="GH238" s="551">
        <f>IF(GH222=0,0,GH237/GH222)</f>
        <v>0</v>
      </c>
      <c r="GI238" s="313"/>
      <c r="GJ238" s="314"/>
      <c r="GK238" s="314"/>
      <c r="GL238" s="313"/>
      <c r="GM238" s="313"/>
      <c r="GN238" s="551">
        <f>IF(GN222=0,0,GN237/GN222)</f>
        <v>0</v>
      </c>
      <c r="GO238" s="313"/>
      <c r="GP238" s="314"/>
      <c r="GQ238" s="314"/>
      <c r="GR238" s="313"/>
      <c r="GS238" s="313"/>
      <c r="GT238" s="551">
        <f>IF(GT222=0,0,GT237/GT222)</f>
        <v>0</v>
      </c>
      <c r="GU238" s="313"/>
      <c r="GV238" s="314"/>
      <c r="GW238" s="314"/>
      <c r="GX238" s="313"/>
      <c r="GY238" s="313"/>
      <c r="GZ238" s="555">
        <f>IF(GZ222=0,0,GZ237/GZ222)</f>
        <v>0</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251830.25999999998</v>
      </c>
      <c r="AU240" s="542"/>
      <c r="AV240" s="543"/>
      <c r="AW240" s="543"/>
      <c r="AX240" s="542"/>
      <c r="AY240" s="542"/>
      <c r="AZ240" s="541">
        <f>IF(AZ222=0,0,AT240+SUMIF($S44:$S216,"ja",BC44:BC216))</f>
        <v>251830.25999999998</v>
      </c>
      <c r="BA240" s="311"/>
      <c r="BB240" s="312"/>
      <c r="BC240" s="312"/>
      <c r="BD240" s="311"/>
      <c r="BE240" s="311"/>
      <c r="BF240" s="541">
        <f>IF(BF222=0,0,AZ240+SUMIF($S44:$S216,"ja",BI44:BI216))</f>
        <v>251830.25999999998</v>
      </c>
      <c r="BG240" s="311"/>
      <c r="BH240" s="312"/>
      <c r="BI240" s="312"/>
      <c r="BJ240" s="311"/>
      <c r="BK240" s="311"/>
      <c r="BL240" s="541">
        <f>IF(BL222=0,0,BF240+SUMIF($S44:$S216,"ja",BO44:BO216))</f>
        <v>251830.25999999998</v>
      </c>
      <c r="BM240" s="311"/>
      <c r="BN240" s="312"/>
      <c r="BO240" s="312"/>
      <c r="BP240" s="311"/>
      <c r="BQ240" s="311"/>
      <c r="BR240" s="541">
        <f>IF(BR222=0,0,BL240+SUMIF($S44:$S216,"ja",BU44:BU216))</f>
        <v>0</v>
      </c>
      <c r="BS240" s="542"/>
      <c r="BT240" s="543"/>
      <c r="BU240" s="543"/>
      <c r="BV240" s="542"/>
      <c r="BW240" s="542"/>
      <c r="BX240" s="541">
        <f>IF(BX222=0,0,BR240+SUMIF($S44:$S216,"ja",CA44:CA216))</f>
        <v>0</v>
      </c>
      <c r="BY240" s="311"/>
      <c r="BZ240" s="312"/>
      <c r="CA240" s="312"/>
      <c r="CB240" s="311"/>
      <c r="CC240" s="311"/>
      <c r="CD240" s="541">
        <f>IF(CD222=0,0,BX240+SUMIF($S44:$S216,"ja",CG44:CG216))</f>
        <v>0</v>
      </c>
      <c r="CE240" s="311"/>
      <c r="CF240" s="312"/>
      <c r="CG240" s="312"/>
      <c r="CH240" s="311"/>
      <c r="CI240" s="311"/>
      <c r="CJ240" s="541">
        <f>IF(CJ222=0,0,CD240+SUMIF($S44:$S216,"ja",CM44:CM216))</f>
        <v>0</v>
      </c>
      <c r="CK240" s="311"/>
      <c r="CL240" s="312"/>
      <c r="CM240" s="312"/>
      <c r="CN240" s="311"/>
      <c r="CO240" s="311"/>
      <c r="CP240" s="541">
        <f>IF(CP222=0,0,CJ240+SUMIF($S44:$S216,"ja",CS44:CS216))</f>
        <v>0</v>
      </c>
      <c r="CQ240" s="544"/>
      <c r="CR240" s="543"/>
      <c r="CS240" s="543"/>
      <c r="CT240" s="544"/>
      <c r="CU240" s="544"/>
      <c r="CV240" s="541">
        <f>IF(CV222=0,0,CP240+SUMIF($S44:$S216,"ja",CY44:CY216))</f>
        <v>0</v>
      </c>
      <c r="CW240" s="544"/>
      <c r="CX240" s="543"/>
      <c r="CY240" s="543"/>
      <c r="CZ240" s="544"/>
      <c r="DA240" s="544"/>
      <c r="DB240" s="541">
        <f>IF(DB222=0,0,CV240+SUMIF($S44:$S216,"ja",DE44:DE216))</f>
        <v>0</v>
      </c>
      <c r="DC240" s="311"/>
      <c r="DD240" s="312"/>
      <c r="DE240" s="312"/>
      <c r="DF240" s="311"/>
      <c r="DG240" s="311"/>
      <c r="DH240" s="541">
        <f>IF(DH222=0,0,DB240+SUMIF($S44:$S216,"ja",DK44:DK216))</f>
        <v>0</v>
      </c>
      <c r="DI240" s="311"/>
      <c r="DJ240" s="312"/>
      <c r="DK240" s="312"/>
      <c r="DL240" s="311"/>
      <c r="DM240" s="311"/>
      <c r="DN240" s="541">
        <f>IF(DN222=0,0,DH240+SUMIF($S44:$S216,"ja",DQ44:DQ216))</f>
        <v>0</v>
      </c>
      <c r="DO240" s="311"/>
      <c r="DP240" s="312"/>
      <c r="DQ240" s="312"/>
      <c r="DR240" s="311"/>
      <c r="DS240" s="311"/>
      <c r="DT240" s="541">
        <f>IF(DT222=0,0,DN240+SUMIF($S44:$S216,"ja",DW44:DW216))</f>
        <v>0</v>
      </c>
      <c r="DU240" s="311"/>
      <c r="DV240" s="312"/>
      <c r="DW240" s="312"/>
      <c r="DX240" s="311"/>
      <c r="DY240" s="311"/>
      <c r="DZ240" s="541">
        <f>IF(DZ222=0,0,DT240+SUMIF($S44:$S216,"ja",EC44:EC216))</f>
        <v>0</v>
      </c>
      <c r="EA240" s="311"/>
      <c r="EB240" s="312"/>
      <c r="EC240" s="312"/>
      <c r="ED240" s="311"/>
      <c r="EE240" s="311"/>
      <c r="EF240" s="541">
        <f>IF(EF222=0,0,DZ240+SUMIF($S44:$S216,"ja",EI44:EI216))</f>
        <v>0</v>
      </c>
      <c r="EG240" s="311"/>
      <c r="EH240" s="312"/>
      <c r="EI240" s="312"/>
      <c r="EJ240" s="311"/>
      <c r="EK240" s="311"/>
      <c r="EL240" s="541">
        <f>IF(EL222=0,0,EF240+SUMIF($S44:$S216,"ja",EO44:EO216))</f>
        <v>0</v>
      </c>
      <c r="EM240" s="311"/>
      <c r="EN240" s="312"/>
      <c r="EO240" s="312"/>
      <c r="EP240" s="311"/>
      <c r="EQ240" s="311"/>
      <c r="ER240" s="541">
        <f>IF(ER222=0,0,EL240+SUMIF($S44:$S216,"ja",EU44:EU216))</f>
        <v>0</v>
      </c>
      <c r="ES240" s="311"/>
      <c r="ET240" s="312"/>
      <c r="EU240" s="312"/>
      <c r="EV240" s="311"/>
      <c r="EW240" s="311"/>
      <c r="EX240" s="541">
        <f>IF(EX222=0,0,ER240+SUMIF($S44:$S216,"ja",FA44:FA216))</f>
        <v>0</v>
      </c>
      <c r="EY240" s="311"/>
      <c r="EZ240" s="312"/>
      <c r="FA240" s="312"/>
      <c r="FB240" s="311"/>
      <c r="FC240" s="311"/>
      <c r="FD240" s="541">
        <f>IF(FD222=0,0,EX240+SUMIF($S44:$S216,"ja",FG44:FG216))</f>
        <v>0</v>
      </c>
      <c r="FE240" s="311"/>
      <c r="FF240" s="312"/>
      <c r="FG240" s="312"/>
      <c r="FH240" s="311"/>
      <c r="FI240" s="311"/>
      <c r="FJ240" s="541">
        <f>IF(FJ222=0,0,FD240+SUMIF($S44:$S216,"ja",FM44:FM216))</f>
        <v>0</v>
      </c>
      <c r="FK240" s="311"/>
      <c r="FL240" s="312"/>
      <c r="FM240" s="312"/>
      <c r="FN240" s="311"/>
      <c r="FO240" s="311"/>
      <c r="FP240" s="541">
        <f>IF(FP222=0,0,FJ240+SUMIF($S44:$S216,"ja",FS44:FS216))</f>
        <v>0</v>
      </c>
      <c r="FQ240" s="311"/>
      <c r="FR240" s="312"/>
      <c r="FS240" s="312"/>
      <c r="FT240" s="311"/>
      <c r="FU240" s="311"/>
      <c r="FV240" s="541">
        <f>IF(FV222=0,0,FP240+SUMIF($S44:$S216,"ja",FY44:FY216))</f>
        <v>0</v>
      </c>
      <c r="FW240" s="311"/>
      <c r="FX240" s="312"/>
      <c r="FY240" s="312"/>
      <c r="FZ240" s="311"/>
      <c r="GA240" s="311"/>
      <c r="GB240" s="541">
        <f>IF(GB222=0,0,FV240+SUMIF($S44:$S216,"ja",GE44:GE216))</f>
        <v>0</v>
      </c>
      <c r="GC240" s="311"/>
      <c r="GD240" s="312"/>
      <c r="GE240" s="312"/>
      <c r="GF240" s="311"/>
      <c r="GG240" s="311"/>
      <c r="GH240" s="541">
        <f>IF(GH222=0,0,GB240+SUMIF($S44:$S216,"ja",GK44:GK216))</f>
        <v>0</v>
      </c>
      <c r="GI240" s="311"/>
      <c r="GJ240" s="312"/>
      <c r="GK240" s="312"/>
      <c r="GL240" s="311"/>
      <c r="GM240" s="311"/>
      <c r="GN240" s="541">
        <f>IF(GN222=0,0,GH240+SUMIF($S44:$S216,"ja",GQ44:GQ216))</f>
        <v>0</v>
      </c>
      <c r="GO240" s="311"/>
      <c r="GP240" s="312"/>
      <c r="GQ240" s="312"/>
      <c r="GR240" s="311"/>
      <c r="GS240" s="311"/>
      <c r="GT240" s="541">
        <f>IF(GT222=0,0,GN240+SUMIF($S44:$S216,"ja",GW44:GW216))</f>
        <v>0</v>
      </c>
      <c r="GU240" s="311"/>
      <c r="GV240" s="312"/>
      <c r="GW240" s="312"/>
      <c r="GX240" s="311"/>
      <c r="GY240" s="311"/>
      <c r="GZ240" s="545">
        <f>IF(GZ222=0,0,GT240+SUMIF($S44:$S216,"ja",HC44:HC216))</f>
        <v>0</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24.125</v>
      </c>
      <c r="AU241" s="317"/>
      <c r="AV241" s="317"/>
      <c r="AW241" s="317"/>
      <c r="AX241" s="317"/>
      <c r="AY241" s="317"/>
      <c r="AZ241" s="623">
        <f>(IF(AZ222=0,0,AZ240/AZ222))</f>
        <v>24.125</v>
      </c>
      <c r="BA241" s="317"/>
      <c r="BB241" s="317"/>
      <c r="BC241" s="317"/>
      <c r="BD241" s="317"/>
      <c r="BE241" s="317"/>
      <c r="BF241" s="623">
        <f>(IF(BF222=0,0,BF240/BF222))</f>
        <v>24.125</v>
      </c>
      <c r="BG241" s="317"/>
      <c r="BH241" s="317"/>
      <c r="BI241" s="317"/>
      <c r="BJ241" s="317"/>
      <c r="BK241" s="317"/>
      <c r="BL241" s="623">
        <f>(IF(BL222=0,0,BL240/BL222))</f>
        <v>24.125</v>
      </c>
      <c r="BM241" s="317"/>
      <c r="BN241" s="317"/>
      <c r="BO241" s="317"/>
      <c r="BP241" s="317"/>
      <c r="BQ241" s="317"/>
      <c r="BR241" s="623">
        <f>(IF(BR222=0,0,BR240/BR222))</f>
        <v>0</v>
      </c>
      <c r="BS241" s="317"/>
      <c r="BT241" s="317"/>
      <c r="BU241" s="317"/>
      <c r="BV241" s="317"/>
      <c r="BW241" s="317"/>
      <c r="BX241" s="623">
        <f>(IF(BX222=0,0,BX240/BX222))</f>
        <v>0</v>
      </c>
      <c r="BY241" s="317"/>
      <c r="BZ241" s="317"/>
      <c r="CA241" s="317"/>
      <c r="CB241" s="317"/>
      <c r="CC241" s="317"/>
      <c r="CD241" s="623">
        <f>(IF(CD222=0,0,CD240/CD222))</f>
        <v>0</v>
      </c>
      <c r="CE241" s="317"/>
      <c r="CF241" s="317"/>
      <c r="CG241" s="317"/>
      <c r="CH241" s="317"/>
      <c r="CI241" s="317"/>
      <c r="CJ241" s="623">
        <f>(IF(CJ222=0,0,CJ240/CJ222))</f>
        <v>0</v>
      </c>
      <c r="CK241" s="317"/>
      <c r="CL241" s="317"/>
      <c r="CM241" s="317"/>
      <c r="CN241" s="317"/>
      <c r="CO241" s="317"/>
      <c r="CP241" s="623">
        <f>(IF(CP222=0,0,CP240/CP222))</f>
        <v>0</v>
      </c>
      <c r="CQ241" s="317"/>
      <c r="CR241" s="317"/>
      <c r="CS241" s="317"/>
      <c r="CT241" s="317"/>
      <c r="CU241" s="317"/>
      <c r="CV241" s="623">
        <f>(IF(CV222=0,0,CV240/CV222))</f>
        <v>0</v>
      </c>
      <c r="CW241" s="628"/>
      <c r="CX241" s="629"/>
      <c r="CY241" s="629"/>
      <c r="CZ241" s="628"/>
      <c r="DA241" s="628"/>
      <c r="DB241" s="623">
        <f>(IF(DB222=0,0,DB240/DB222))</f>
        <v>0</v>
      </c>
      <c r="DC241" s="317"/>
      <c r="DD241" s="317"/>
      <c r="DE241" s="317"/>
      <c r="DF241" s="317"/>
      <c r="DG241" s="317"/>
      <c r="DH241" s="623">
        <f>(IF(DH222=0,0,DH240/DH222))</f>
        <v>0</v>
      </c>
      <c r="DI241" s="317"/>
      <c r="DJ241" s="317"/>
      <c r="DK241" s="317"/>
      <c r="DL241" s="317"/>
      <c r="DM241" s="317"/>
      <c r="DN241" s="623">
        <f>(IF(DN222=0,0,DN240/DN222))</f>
        <v>0</v>
      </c>
      <c r="DO241" s="317"/>
      <c r="DP241" s="317"/>
      <c r="DQ241" s="317"/>
      <c r="DR241" s="317"/>
      <c r="DS241" s="317"/>
      <c r="DT241" s="623">
        <f>(IF(DT222=0,0,DT240/DT222))</f>
        <v>0</v>
      </c>
      <c r="DU241" s="317"/>
      <c r="DV241" s="317"/>
      <c r="DW241" s="317"/>
      <c r="DX241" s="317"/>
      <c r="DY241" s="317"/>
      <c r="DZ241" s="623">
        <f>(IF(DZ222=0,0,DZ240/DZ222))</f>
        <v>0</v>
      </c>
      <c r="EA241" s="317"/>
      <c r="EB241" s="317"/>
      <c r="EC241" s="317"/>
      <c r="ED241" s="317"/>
      <c r="EE241" s="317"/>
      <c r="EF241" s="623">
        <f>(IF(EF222=0,0,EF240/EF222))</f>
        <v>0</v>
      </c>
      <c r="EG241" s="317"/>
      <c r="EH241" s="317"/>
      <c r="EI241" s="317"/>
      <c r="EJ241" s="317"/>
      <c r="EK241" s="317"/>
      <c r="EL241" s="623">
        <f>(IF(EL222=0,0,EL240/EL222))</f>
        <v>0</v>
      </c>
      <c r="EM241" s="317"/>
      <c r="EN241" s="317"/>
      <c r="EO241" s="317"/>
      <c r="EP241" s="317"/>
      <c r="EQ241" s="317"/>
      <c r="ER241" s="623">
        <f>(IF(ER222=0,0,ER240/ER222))</f>
        <v>0</v>
      </c>
      <c r="ES241" s="317"/>
      <c r="ET241" s="317"/>
      <c r="EU241" s="317"/>
      <c r="EV241" s="317"/>
      <c r="EW241" s="317"/>
      <c r="EX241" s="623">
        <f>(IF(EX222=0,0,EX240/EX222))</f>
        <v>0</v>
      </c>
      <c r="EY241" s="317"/>
      <c r="EZ241" s="317"/>
      <c r="FA241" s="317"/>
      <c r="FB241" s="317"/>
      <c r="FC241" s="317"/>
      <c r="FD241" s="623">
        <f>(IF(FD222=0,0,FD240/FD222))</f>
        <v>0</v>
      </c>
      <c r="FE241" s="317"/>
      <c r="FF241" s="317"/>
      <c r="FG241" s="317"/>
      <c r="FH241" s="317"/>
      <c r="FI241" s="317"/>
      <c r="FJ241" s="623">
        <f>(IF(FJ222=0,0,FJ240/FJ222))</f>
        <v>0</v>
      </c>
      <c r="FK241" s="317"/>
      <c r="FL241" s="317"/>
      <c r="FM241" s="317"/>
      <c r="FN241" s="317"/>
      <c r="FO241" s="317"/>
      <c r="FP241" s="623">
        <f>(IF(FP222=0,0,FP240/FP222))</f>
        <v>0</v>
      </c>
      <c r="FQ241" s="317"/>
      <c r="FR241" s="317"/>
      <c r="FS241" s="317"/>
      <c r="FT241" s="317"/>
      <c r="FU241" s="317"/>
      <c r="FV241" s="623">
        <f>(IF(FV222=0,0,FV240/FV222))</f>
        <v>0</v>
      </c>
      <c r="FW241" s="317"/>
      <c r="FX241" s="317"/>
      <c r="FY241" s="317"/>
      <c r="FZ241" s="317"/>
      <c r="GA241" s="317"/>
      <c r="GB241" s="623">
        <f>(IF(GB222=0,0,GB240/GB222))</f>
        <v>0</v>
      </c>
      <c r="GC241" s="317"/>
      <c r="GD241" s="317"/>
      <c r="GE241" s="317"/>
      <c r="GF241" s="317"/>
      <c r="GG241" s="317"/>
      <c r="GH241" s="623">
        <f>(IF(GH222=0,0,GH240/GH222))</f>
        <v>0</v>
      </c>
      <c r="GI241" s="317"/>
      <c r="GJ241" s="317"/>
      <c r="GK241" s="317"/>
      <c r="GL241" s="317"/>
      <c r="GM241" s="317"/>
      <c r="GN241" s="623">
        <f>(IF(GN222=0,0,GN240/GN222))</f>
        <v>0</v>
      </c>
      <c r="GO241" s="317"/>
      <c r="GP241" s="317"/>
      <c r="GQ241" s="317"/>
      <c r="GR241" s="317"/>
      <c r="GS241" s="317"/>
      <c r="GT241" s="623">
        <f>(IF(GT222=0,0,GT240/GT222))</f>
        <v>0</v>
      </c>
      <c r="GU241" s="317"/>
      <c r="GV241" s="317"/>
      <c r="GW241" s="317"/>
      <c r="GX241" s="317"/>
      <c r="GY241" s="317"/>
      <c r="GZ241" s="630">
        <f>(IF(GZ222=0,0,GZ240/GZ222))</f>
        <v>0</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0</v>
      </c>
      <c r="BY242" s="609">
        <f t="shared" si="278"/>
        <v>0</v>
      </c>
      <c r="BZ242" s="609">
        <f t="shared" si="278"/>
        <v>0</v>
      </c>
      <c r="CA242" s="609">
        <f t="shared" si="278"/>
        <v>0</v>
      </c>
      <c r="CB242" s="609">
        <f t="shared" si="278"/>
        <v>0</v>
      </c>
      <c r="CC242" s="609">
        <f t="shared" si="278"/>
        <v>0</v>
      </c>
      <c r="CD242" s="609">
        <f t="shared" si="278"/>
        <v>0</v>
      </c>
      <c r="CE242" s="609">
        <f t="shared" si="278"/>
        <v>0</v>
      </c>
      <c r="CF242" s="609">
        <f t="shared" si="278"/>
        <v>0</v>
      </c>
      <c r="CG242" s="609">
        <f t="shared" si="278"/>
        <v>0</v>
      </c>
      <c r="CH242" s="609">
        <f t="shared" si="278"/>
        <v>0</v>
      </c>
      <c r="CI242" s="609">
        <f t="shared" si="278"/>
        <v>0</v>
      </c>
      <c r="CJ242" s="609">
        <f t="shared" si="278"/>
        <v>0</v>
      </c>
      <c r="CK242" s="609">
        <f t="shared" si="278"/>
        <v>0</v>
      </c>
      <c r="CL242" s="609">
        <f t="shared" si="278"/>
        <v>0</v>
      </c>
      <c r="CM242" s="609">
        <f t="shared" si="278"/>
        <v>0</v>
      </c>
      <c r="CN242" s="609">
        <f t="shared" si="278"/>
        <v>0</v>
      </c>
      <c r="CO242" s="609">
        <f t="shared" si="278"/>
        <v>0</v>
      </c>
      <c r="CP242" s="609">
        <f t="shared" si="278"/>
        <v>0</v>
      </c>
      <c r="CQ242" s="609">
        <f t="shared" si="278"/>
        <v>0</v>
      </c>
      <c r="CR242" s="609">
        <f t="shared" si="278"/>
        <v>0</v>
      </c>
      <c r="CS242" s="609">
        <f t="shared" si="278"/>
        <v>0</v>
      </c>
      <c r="CT242" s="609">
        <f t="shared" si="278"/>
        <v>0</v>
      </c>
      <c r="CU242" s="609">
        <f t="shared" si="278"/>
        <v>0</v>
      </c>
      <c r="CV242" s="609">
        <f t="shared" si="278"/>
        <v>0</v>
      </c>
      <c r="CW242" s="609">
        <f t="shared" si="278"/>
        <v>0</v>
      </c>
      <c r="CX242" s="609">
        <f t="shared" si="278"/>
        <v>0</v>
      </c>
      <c r="CY242" s="609">
        <f t="shared" si="278"/>
        <v>0</v>
      </c>
      <c r="CZ242" s="609">
        <f t="shared" si="278"/>
        <v>0</v>
      </c>
      <c r="DA242" s="609">
        <f t="shared" si="278"/>
        <v>0</v>
      </c>
      <c r="DB242" s="609">
        <f t="shared" si="278"/>
        <v>0</v>
      </c>
      <c r="DC242" s="609">
        <f t="shared" si="278"/>
        <v>0</v>
      </c>
      <c r="DD242" s="609">
        <f t="shared" si="278"/>
        <v>0</v>
      </c>
      <c r="DE242" s="609">
        <f t="shared" si="278"/>
        <v>0</v>
      </c>
      <c r="DF242" s="609">
        <f t="shared" ref="DF242:FQ242" si="279">IF(DF222=0,0,IF(DF44&gt;0,-DJ44,IF(CZ242&gt;0,CZ242,0)))</f>
        <v>0</v>
      </c>
      <c r="DG242" s="609">
        <f t="shared" si="279"/>
        <v>0</v>
      </c>
      <c r="DH242" s="609">
        <f t="shared" si="279"/>
        <v>0</v>
      </c>
      <c r="DI242" s="609">
        <f t="shared" si="279"/>
        <v>0</v>
      </c>
      <c r="DJ242" s="609">
        <f t="shared" si="279"/>
        <v>0</v>
      </c>
      <c r="DK242" s="609">
        <f t="shared" si="279"/>
        <v>0</v>
      </c>
      <c r="DL242" s="609">
        <f t="shared" si="279"/>
        <v>0</v>
      </c>
      <c r="DM242" s="609">
        <f t="shared" si="279"/>
        <v>0</v>
      </c>
      <c r="DN242" s="609">
        <f t="shared" si="279"/>
        <v>0</v>
      </c>
      <c r="DO242" s="609">
        <f t="shared" si="279"/>
        <v>0</v>
      </c>
      <c r="DP242" s="609">
        <f t="shared" si="279"/>
        <v>0</v>
      </c>
      <c r="DQ242" s="609">
        <f t="shared" si="279"/>
        <v>0</v>
      </c>
      <c r="DR242" s="609">
        <f t="shared" si="279"/>
        <v>0</v>
      </c>
      <c r="DS242" s="609">
        <f t="shared" si="279"/>
        <v>0</v>
      </c>
      <c r="DT242" s="609">
        <f t="shared" si="279"/>
        <v>0</v>
      </c>
      <c r="DU242" s="609">
        <f t="shared" si="279"/>
        <v>0</v>
      </c>
      <c r="DV242" s="609">
        <f t="shared" si="279"/>
        <v>0</v>
      </c>
      <c r="DW242" s="609">
        <f t="shared" si="279"/>
        <v>0</v>
      </c>
      <c r="DX242" s="609">
        <f t="shared" si="279"/>
        <v>0</v>
      </c>
      <c r="DY242" s="609">
        <f t="shared" si="279"/>
        <v>0</v>
      </c>
      <c r="DZ242" s="609">
        <f t="shared" si="279"/>
        <v>0</v>
      </c>
      <c r="EA242" s="609">
        <f t="shared" si="279"/>
        <v>0</v>
      </c>
      <c r="EB242" s="609">
        <f t="shared" si="279"/>
        <v>0</v>
      </c>
      <c r="EC242" s="609">
        <f t="shared" si="279"/>
        <v>0</v>
      </c>
      <c r="ED242" s="609">
        <f t="shared" si="279"/>
        <v>0</v>
      </c>
      <c r="EE242" s="609">
        <f t="shared" si="279"/>
        <v>0</v>
      </c>
      <c r="EF242" s="609">
        <f t="shared" si="279"/>
        <v>0</v>
      </c>
      <c r="EG242" s="609">
        <f t="shared" si="279"/>
        <v>0</v>
      </c>
      <c r="EH242" s="609">
        <f t="shared" si="279"/>
        <v>0</v>
      </c>
      <c r="EI242" s="609">
        <f t="shared" si="279"/>
        <v>0</v>
      </c>
      <c r="EJ242" s="609">
        <f t="shared" si="279"/>
        <v>0</v>
      </c>
      <c r="EK242" s="609">
        <f t="shared" si="279"/>
        <v>0</v>
      </c>
      <c r="EL242" s="609">
        <f t="shared" si="279"/>
        <v>0</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v>
      </c>
      <c r="BY243" s="651">
        <f t="shared" si="281"/>
        <v>0</v>
      </c>
      <c r="BZ243" s="651">
        <f t="shared" si="281"/>
        <v>0</v>
      </c>
      <c r="CA243" s="651">
        <f t="shared" si="281"/>
        <v>0</v>
      </c>
      <c r="CB243" s="651">
        <f t="shared" si="281"/>
        <v>0</v>
      </c>
      <c r="CC243" s="651">
        <f t="shared" si="281"/>
        <v>0</v>
      </c>
      <c r="CD243" s="651">
        <f t="shared" si="281"/>
        <v>0</v>
      </c>
      <c r="CE243" s="651">
        <f t="shared" si="281"/>
        <v>0</v>
      </c>
      <c r="CF243" s="651">
        <f t="shared" si="281"/>
        <v>0</v>
      </c>
      <c r="CG243" s="651">
        <f t="shared" si="281"/>
        <v>0</v>
      </c>
      <c r="CH243" s="651">
        <f t="shared" si="281"/>
        <v>0</v>
      </c>
      <c r="CI243" s="651">
        <f t="shared" si="281"/>
        <v>0</v>
      </c>
      <c r="CJ243" s="651">
        <f t="shared" si="281"/>
        <v>0</v>
      </c>
      <c r="CK243" s="651">
        <f t="shared" si="281"/>
        <v>0</v>
      </c>
      <c r="CL243" s="651">
        <f t="shared" si="281"/>
        <v>0</v>
      </c>
      <c r="CM243" s="651">
        <f t="shared" si="281"/>
        <v>0</v>
      </c>
      <c r="CN243" s="651">
        <f t="shared" si="281"/>
        <v>0</v>
      </c>
      <c r="CO243" s="651">
        <f t="shared" si="281"/>
        <v>0</v>
      </c>
      <c r="CP243" s="651">
        <f t="shared" si="281"/>
        <v>0</v>
      </c>
      <c r="CQ243" s="651">
        <f t="shared" si="281"/>
        <v>0</v>
      </c>
      <c r="CR243" s="651">
        <f t="shared" si="281"/>
        <v>0</v>
      </c>
      <c r="CS243" s="651">
        <f t="shared" si="281"/>
        <v>0</v>
      </c>
      <c r="CT243" s="651">
        <f t="shared" si="281"/>
        <v>0</v>
      </c>
      <c r="CU243" s="651">
        <f t="shared" si="281"/>
        <v>0</v>
      </c>
      <c r="CV243" s="651">
        <f t="shared" si="281"/>
        <v>0</v>
      </c>
      <c r="CW243" s="651">
        <f t="shared" si="281"/>
        <v>0</v>
      </c>
      <c r="CX243" s="651">
        <f t="shared" si="281"/>
        <v>0</v>
      </c>
      <c r="CY243" s="651">
        <f t="shared" si="281"/>
        <v>0</v>
      </c>
      <c r="CZ243" s="651">
        <f t="shared" si="281"/>
        <v>0</v>
      </c>
      <c r="DA243" s="651">
        <f t="shared" si="281"/>
        <v>0</v>
      </c>
      <c r="DB243" s="651">
        <f t="shared" si="281"/>
        <v>0</v>
      </c>
      <c r="DC243" s="651">
        <f t="shared" si="281"/>
        <v>0</v>
      </c>
      <c r="DD243" s="651">
        <f t="shared" si="281"/>
        <v>0</v>
      </c>
      <c r="DE243" s="651">
        <f t="shared" si="281"/>
        <v>0</v>
      </c>
      <c r="DF243" s="651">
        <f t="shared" si="281"/>
        <v>0</v>
      </c>
      <c r="DG243" s="651">
        <f t="shared" ref="DG243:FR243" si="282">IF(DG222=0,0,DG242/DG222)</f>
        <v>0</v>
      </c>
      <c r="DH243" s="651">
        <f t="shared" si="282"/>
        <v>0</v>
      </c>
      <c r="DI243" s="651">
        <f t="shared" si="282"/>
        <v>0</v>
      </c>
      <c r="DJ243" s="651">
        <f t="shared" si="282"/>
        <v>0</v>
      </c>
      <c r="DK243" s="651">
        <f t="shared" si="282"/>
        <v>0</v>
      </c>
      <c r="DL243" s="651">
        <f t="shared" si="282"/>
        <v>0</v>
      </c>
      <c r="DM243" s="651">
        <f t="shared" si="282"/>
        <v>0</v>
      </c>
      <c r="DN243" s="651">
        <f t="shared" si="282"/>
        <v>0</v>
      </c>
      <c r="DO243" s="651">
        <f t="shared" si="282"/>
        <v>0</v>
      </c>
      <c r="DP243" s="651">
        <f t="shared" si="282"/>
        <v>0</v>
      </c>
      <c r="DQ243" s="651">
        <f t="shared" si="282"/>
        <v>0</v>
      </c>
      <c r="DR243" s="651">
        <f t="shared" si="282"/>
        <v>0</v>
      </c>
      <c r="DS243" s="651">
        <f t="shared" si="282"/>
        <v>0</v>
      </c>
      <c r="DT243" s="651">
        <f t="shared" si="282"/>
        <v>0</v>
      </c>
      <c r="DU243" s="651">
        <f t="shared" si="282"/>
        <v>0</v>
      </c>
      <c r="DV243" s="651">
        <f t="shared" si="282"/>
        <v>0</v>
      </c>
      <c r="DW243" s="651">
        <f t="shared" si="282"/>
        <v>0</v>
      </c>
      <c r="DX243" s="651">
        <f t="shared" si="282"/>
        <v>0</v>
      </c>
      <c r="DY243" s="651">
        <f t="shared" si="282"/>
        <v>0</v>
      </c>
      <c r="DZ243" s="651">
        <f t="shared" si="282"/>
        <v>0</v>
      </c>
      <c r="EA243" s="651">
        <f t="shared" si="282"/>
        <v>0</v>
      </c>
      <c r="EB243" s="651">
        <f t="shared" si="282"/>
        <v>0</v>
      </c>
      <c r="EC243" s="651">
        <f t="shared" si="282"/>
        <v>0</v>
      </c>
      <c r="ED243" s="651">
        <f t="shared" si="282"/>
        <v>0</v>
      </c>
      <c r="EE243" s="651">
        <f t="shared" si="282"/>
        <v>0</v>
      </c>
      <c r="EF243" s="651">
        <f t="shared" si="282"/>
        <v>0</v>
      </c>
      <c r="EG243" s="651">
        <f t="shared" si="282"/>
        <v>0</v>
      </c>
      <c r="EH243" s="651">
        <f t="shared" si="282"/>
        <v>0</v>
      </c>
      <c r="EI243" s="651">
        <f t="shared" si="282"/>
        <v>0</v>
      </c>
      <c r="EJ243" s="651">
        <f t="shared" si="282"/>
        <v>0</v>
      </c>
      <c r="EK243" s="651">
        <f t="shared" si="282"/>
        <v>0</v>
      </c>
      <c r="EL243" s="651">
        <f t="shared" si="282"/>
        <v>0</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1339907.9720000001</v>
      </c>
      <c r="V244" s="654">
        <f>V38</f>
        <v>1339907.9720000001</v>
      </c>
      <c r="W244" s="605"/>
      <c r="X244" s="606"/>
      <c r="Y244" s="606"/>
      <c r="Z244" s="605"/>
      <c r="AA244" s="605"/>
      <c r="AB244" s="654">
        <f>AB38</f>
        <v>1339907.9720000001</v>
      </c>
      <c r="AC244" s="607"/>
      <c r="AD244" s="608"/>
      <c r="AE244" s="608"/>
      <c r="AF244" s="607"/>
      <c r="AG244" s="607"/>
      <c r="AH244" s="654">
        <f>AH38</f>
        <v>1339907.9720000001</v>
      </c>
      <c r="AI244" s="605"/>
      <c r="AJ244" s="606"/>
      <c r="AK244" s="606"/>
      <c r="AL244" s="605"/>
      <c r="AM244" s="605"/>
      <c r="AN244" s="654">
        <f>AN38</f>
        <v>1339907.9720000001</v>
      </c>
      <c r="AO244" s="439"/>
      <c r="AP244" s="530"/>
      <c r="AQ244" s="530"/>
      <c r="AR244" s="439"/>
      <c r="AS244" s="439"/>
      <c r="AT244" s="609">
        <f>AT229+(AT232*9.786)+(AT235*278)+(AT242*278)+AT240</f>
        <v>465538.60031338083</v>
      </c>
      <c r="AU244" s="609">
        <f t="shared" ref="AU244:DF244" si="284">AU229+(AU232*9.786)+(AU235*278)+(AU242*278)+AU240</f>
        <v>0</v>
      </c>
      <c r="AV244" s="609">
        <f t="shared" si="284"/>
        <v>0</v>
      </c>
      <c r="AW244" s="609">
        <f t="shared" si="284"/>
        <v>0</v>
      </c>
      <c r="AX244" s="609">
        <f t="shared" si="284"/>
        <v>0</v>
      </c>
      <c r="AY244" s="609">
        <f t="shared" si="284"/>
        <v>0</v>
      </c>
      <c r="AZ244" s="609">
        <f t="shared" si="284"/>
        <v>465538.60031338083</v>
      </c>
      <c r="BA244" s="609">
        <f t="shared" si="284"/>
        <v>0</v>
      </c>
      <c r="BB244" s="609">
        <f t="shared" si="284"/>
        <v>0</v>
      </c>
      <c r="BC244" s="609">
        <f t="shared" si="284"/>
        <v>0</v>
      </c>
      <c r="BD244" s="609">
        <f t="shared" si="284"/>
        <v>0</v>
      </c>
      <c r="BE244" s="609">
        <f t="shared" si="284"/>
        <v>0</v>
      </c>
      <c r="BF244" s="609">
        <f t="shared" si="284"/>
        <v>465538.60031338083</v>
      </c>
      <c r="BG244" s="609">
        <f t="shared" si="284"/>
        <v>0</v>
      </c>
      <c r="BH244" s="609">
        <f t="shared" si="284"/>
        <v>0</v>
      </c>
      <c r="BI244" s="609">
        <f t="shared" si="284"/>
        <v>0</v>
      </c>
      <c r="BJ244" s="609">
        <f t="shared" si="284"/>
        <v>0</v>
      </c>
      <c r="BK244" s="609">
        <f t="shared" si="284"/>
        <v>0</v>
      </c>
      <c r="BL244" s="609">
        <f t="shared" si="284"/>
        <v>465538.60031338083</v>
      </c>
      <c r="BM244" s="609">
        <f t="shared" si="284"/>
        <v>0</v>
      </c>
      <c r="BN244" s="609">
        <f t="shared" si="284"/>
        <v>0</v>
      </c>
      <c r="BO244" s="609">
        <f t="shared" si="284"/>
        <v>0</v>
      </c>
      <c r="BP244" s="609">
        <f t="shared" si="284"/>
        <v>0</v>
      </c>
      <c r="BQ244" s="609">
        <f t="shared" si="284"/>
        <v>0</v>
      </c>
      <c r="BR244" s="609">
        <f t="shared" si="284"/>
        <v>0</v>
      </c>
      <c r="BS244" s="609">
        <f t="shared" si="284"/>
        <v>0</v>
      </c>
      <c r="BT244" s="609">
        <f t="shared" si="284"/>
        <v>0</v>
      </c>
      <c r="BU244" s="609">
        <f t="shared" si="284"/>
        <v>0</v>
      </c>
      <c r="BV244" s="609">
        <f t="shared" si="284"/>
        <v>0</v>
      </c>
      <c r="BW244" s="609">
        <f t="shared" si="284"/>
        <v>0</v>
      </c>
      <c r="BX244" s="609">
        <f t="shared" si="284"/>
        <v>0</v>
      </c>
      <c r="BY244" s="609">
        <f t="shared" si="284"/>
        <v>0</v>
      </c>
      <c r="BZ244" s="609">
        <f t="shared" si="284"/>
        <v>0</v>
      </c>
      <c r="CA244" s="609">
        <f t="shared" si="284"/>
        <v>0</v>
      </c>
      <c r="CB244" s="609">
        <f t="shared" si="284"/>
        <v>0</v>
      </c>
      <c r="CC244" s="609">
        <f t="shared" si="284"/>
        <v>0</v>
      </c>
      <c r="CD244" s="609">
        <f t="shared" si="284"/>
        <v>0</v>
      </c>
      <c r="CE244" s="609">
        <f t="shared" si="284"/>
        <v>0</v>
      </c>
      <c r="CF244" s="609">
        <f t="shared" si="284"/>
        <v>0</v>
      </c>
      <c r="CG244" s="609">
        <f t="shared" si="284"/>
        <v>0</v>
      </c>
      <c r="CH244" s="609">
        <f t="shared" si="284"/>
        <v>0</v>
      </c>
      <c r="CI244" s="609">
        <f t="shared" si="284"/>
        <v>0</v>
      </c>
      <c r="CJ244" s="609">
        <f t="shared" si="284"/>
        <v>0</v>
      </c>
      <c r="CK244" s="609">
        <f t="shared" si="284"/>
        <v>0</v>
      </c>
      <c r="CL244" s="609">
        <f t="shared" si="284"/>
        <v>0</v>
      </c>
      <c r="CM244" s="609">
        <f t="shared" si="284"/>
        <v>0</v>
      </c>
      <c r="CN244" s="609">
        <f t="shared" si="284"/>
        <v>0</v>
      </c>
      <c r="CO244" s="609">
        <f t="shared" si="284"/>
        <v>0</v>
      </c>
      <c r="CP244" s="609">
        <f t="shared" si="284"/>
        <v>0</v>
      </c>
      <c r="CQ244" s="609">
        <f t="shared" si="284"/>
        <v>0</v>
      </c>
      <c r="CR244" s="609">
        <f t="shared" si="284"/>
        <v>0</v>
      </c>
      <c r="CS244" s="609">
        <f t="shared" si="284"/>
        <v>0</v>
      </c>
      <c r="CT244" s="609">
        <f t="shared" si="284"/>
        <v>0</v>
      </c>
      <c r="CU244" s="609">
        <f t="shared" si="284"/>
        <v>0</v>
      </c>
      <c r="CV244" s="609">
        <f t="shared" si="284"/>
        <v>0</v>
      </c>
      <c r="CW244" s="609">
        <f t="shared" si="284"/>
        <v>0</v>
      </c>
      <c r="CX244" s="609">
        <f t="shared" si="284"/>
        <v>0</v>
      </c>
      <c r="CY244" s="609">
        <f t="shared" si="284"/>
        <v>0</v>
      </c>
      <c r="CZ244" s="609">
        <f t="shared" si="284"/>
        <v>0</v>
      </c>
      <c r="DA244" s="609">
        <f t="shared" si="284"/>
        <v>0</v>
      </c>
      <c r="DB244" s="609">
        <f t="shared" si="284"/>
        <v>0</v>
      </c>
      <c r="DC244" s="609">
        <f t="shared" si="284"/>
        <v>0</v>
      </c>
      <c r="DD244" s="609">
        <f t="shared" si="284"/>
        <v>0</v>
      </c>
      <c r="DE244" s="609">
        <f t="shared" si="284"/>
        <v>0</v>
      </c>
      <c r="DF244" s="609">
        <f t="shared" si="284"/>
        <v>0</v>
      </c>
      <c r="DG244" s="609">
        <f t="shared" ref="DG244:FR244" si="285">DG229+(DG232*9.786)+(DG235*278)+(DG242*278)+DG240</f>
        <v>0</v>
      </c>
      <c r="DH244" s="609">
        <f t="shared" si="285"/>
        <v>0</v>
      </c>
      <c r="DI244" s="609">
        <f t="shared" si="285"/>
        <v>0</v>
      </c>
      <c r="DJ244" s="609">
        <f t="shared" si="285"/>
        <v>0</v>
      </c>
      <c r="DK244" s="609">
        <f t="shared" si="285"/>
        <v>0</v>
      </c>
      <c r="DL244" s="609">
        <f t="shared" si="285"/>
        <v>0</v>
      </c>
      <c r="DM244" s="609">
        <f t="shared" si="285"/>
        <v>0</v>
      </c>
      <c r="DN244" s="609">
        <f t="shared" si="285"/>
        <v>0</v>
      </c>
      <c r="DO244" s="609">
        <f t="shared" si="285"/>
        <v>0</v>
      </c>
      <c r="DP244" s="609">
        <f t="shared" si="285"/>
        <v>0</v>
      </c>
      <c r="DQ244" s="609">
        <f t="shared" si="285"/>
        <v>0</v>
      </c>
      <c r="DR244" s="609">
        <f t="shared" si="285"/>
        <v>0</v>
      </c>
      <c r="DS244" s="609">
        <f t="shared" si="285"/>
        <v>0</v>
      </c>
      <c r="DT244" s="609">
        <f t="shared" si="285"/>
        <v>0</v>
      </c>
      <c r="DU244" s="609">
        <f t="shared" si="285"/>
        <v>0</v>
      </c>
      <c r="DV244" s="609">
        <f t="shared" si="285"/>
        <v>0</v>
      </c>
      <c r="DW244" s="609">
        <f t="shared" si="285"/>
        <v>0</v>
      </c>
      <c r="DX244" s="609">
        <f t="shared" si="285"/>
        <v>0</v>
      </c>
      <c r="DY244" s="609">
        <f t="shared" si="285"/>
        <v>0</v>
      </c>
      <c r="DZ244" s="609">
        <f t="shared" si="285"/>
        <v>0</v>
      </c>
      <c r="EA244" s="609">
        <f t="shared" si="285"/>
        <v>0</v>
      </c>
      <c r="EB244" s="609">
        <f t="shared" si="285"/>
        <v>0</v>
      </c>
      <c r="EC244" s="609">
        <f t="shared" si="285"/>
        <v>0</v>
      </c>
      <c r="ED244" s="609">
        <f t="shared" si="285"/>
        <v>0</v>
      </c>
      <c r="EE244" s="609">
        <f t="shared" si="285"/>
        <v>0</v>
      </c>
      <c r="EF244" s="609">
        <f t="shared" si="285"/>
        <v>0</v>
      </c>
      <c r="EG244" s="609">
        <f t="shared" si="285"/>
        <v>0</v>
      </c>
      <c r="EH244" s="609">
        <f t="shared" si="285"/>
        <v>0</v>
      </c>
      <c r="EI244" s="609">
        <f t="shared" si="285"/>
        <v>0</v>
      </c>
      <c r="EJ244" s="609">
        <f t="shared" si="285"/>
        <v>0</v>
      </c>
      <c r="EK244" s="609">
        <f t="shared" si="285"/>
        <v>0</v>
      </c>
      <c r="EL244" s="609">
        <f t="shared" si="285"/>
        <v>0</v>
      </c>
      <c r="EM244" s="609">
        <f t="shared" si="285"/>
        <v>0</v>
      </c>
      <c r="EN244" s="609">
        <f t="shared" si="285"/>
        <v>0</v>
      </c>
      <c r="EO244" s="609">
        <f t="shared" si="285"/>
        <v>0</v>
      </c>
      <c r="EP244" s="609">
        <f t="shared" si="285"/>
        <v>0</v>
      </c>
      <c r="EQ244" s="609">
        <f t="shared" si="285"/>
        <v>0</v>
      </c>
      <c r="ER244" s="609">
        <f t="shared" si="285"/>
        <v>0</v>
      </c>
      <c r="ES244" s="609">
        <f t="shared" si="285"/>
        <v>0</v>
      </c>
      <c r="ET244" s="609">
        <f t="shared" si="285"/>
        <v>0</v>
      </c>
      <c r="EU244" s="609">
        <f t="shared" si="285"/>
        <v>0</v>
      </c>
      <c r="EV244" s="609">
        <f t="shared" si="285"/>
        <v>0</v>
      </c>
      <c r="EW244" s="609">
        <f t="shared" si="285"/>
        <v>0</v>
      </c>
      <c r="EX244" s="609">
        <f t="shared" si="285"/>
        <v>0</v>
      </c>
      <c r="EY244" s="609">
        <f t="shared" si="285"/>
        <v>0</v>
      </c>
      <c r="EZ244" s="609">
        <f t="shared" si="285"/>
        <v>0</v>
      </c>
      <c r="FA244" s="609">
        <f t="shared" si="285"/>
        <v>0</v>
      </c>
      <c r="FB244" s="609">
        <f t="shared" si="285"/>
        <v>0</v>
      </c>
      <c r="FC244" s="609">
        <f t="shared" si="285"/>
        <v>0</v>
      </c>
      <c r="FD244" s="609">
        <f t="shared" si="285"/>
        <v>0</v>
      </c>
      <c r="FE244" s="609">
        <f t="shared" si="285"/>
        <v>0</v>
      </c>
      <c r="FF244" s="609">
        <f t="shared" si="285"/>
        <v>0</v>
      </c>
      <c r="FG244" s="609">
        <f t="shared" si="285"/>
        <v>0</v>
      </c>
      <c r="FH244" s="609">
        <f t="shared" si="285"/>
        <v>0</v>
      </c>
      <c r="FI244" s="609">
        <f t="shared" si="285"/>
        <v>0</v>
      </c>
      <c r="FJ244" s="609">
        <f t="shared" si="285"/>
        <v>0</v>
      </c>
      <c r="FK244" s="609">
        <f t="shared" si="285"/>
        <v>0</v>
      </c>
      <c r="FL244" s="609">
        <f t="shared" si="285"/>
        <v>0</v>
      </c>
      <c r="FM244" s="609">
        <f t="shared" si="285"/>
        <v>0</v>
      </c>
      <c r="FN244" s="609">
        <f t="shared" si="285"/>
        <v>0</v>
      </c>
      <c r="FO244" s="609">
        <f t="shared" si="285"/>
        <v>0</v>
      </c>
      <c r="FP244" s="609">
        <f t="shared" si="285"/>
        <v>0</v>
      </c>
      <c r="FQ244" s="609">
        <f t="shared" si="285"/>
        <v>0</v>
      </c>
      <c r="FR244" s="609">
        <f t="shared" si="285"/>
        <v>0</v>
      </c>
      <c r="FS244" s="609">
        <f t="shared" ref="FS244:GZ244" si="286">FS229+(FS232*9.786)+(FS235*278)+(FS242*278)+FS240</f>
        <v>0</v>
      </c>
      <c r="FT244" s="609">
        <f t="shared" si="286"/>
        <v>0</v>
      </c>
      <c r="FU244" s="609">
        <f t="shared" si="286"/>
        <v>0</v>
      </c>
      <c r="FV244" s="609">
        <f t="shared" si="286"/>
        <v>0</v>
      </c>
      <c r="FW244" s="609">
        <f t="shared" si="286"/>
        <v>0</v>
      </c>
      <c r="FX244" s="609">
        <f t="shared" si="286"/>
        <v>0</v>
      </c>
      <c r="FY244" s="609">
        <f t="shared" si="286"/>
        <v>0</v>
      </c>
      <c r="FZ244" s="609">
        <f t="shared" si="286"/>
        <v>0</v>
      </c>
      <c r="GA244" s="609">
        <f t="shared" si="286"/>
        <v>0</v>
      </c>
      <c r="GB244" s="609">
        <f t="shared" si="286"/>
        <v>0</v>
      </c>
      <c r="GC244" s="609">
        <f t="shared" si="286"/>
        <v>0</v>
      </c>
      <c r="GD244" s="609">
        <f t="shared" si="286"/>
        <v>0</v>
      </c>
      <c r="GE244" s="609">
        <f t="shared" si="286"/>
        <v>0</v>
      </c>
      <c r="GF244" s="609">
        <f t="shared" si="286"/>
        <v>0</v>
      </c>
      <c r="GG244" s="609">
        <f t="shared" si="286"/>
        <v>0</v>
      </c>
      <c r="GH244" s="609">
        <f t="shared" si="286"/>
        <v>0</v>
      </c>
      <c r="GI244" s="609">
        <f t="shared" si="286"/>
        <v>0</v>
      </c>
      <c r="GJ244" s="609">
        <f t="shared" si="286"/>
        <v>0</v>
      </c>
      <c r="GK244" s="609">
        <f t="shared" si="286"/>
        <v>0</v>
      </c>
      <c r="GL244" s="609">
        <f t="shared" si="286"/>
        <v>0</v>
      </c>
      <c r="GM244" s="609">
        <f t="shared" si="286"/>
        <v>0</v>
      </c>
      <c r="GN244" s="609">
        <f t="shared" si="286"/>
        <v>0</v>
      </c>
      <c r="GO244" s="609">
        <f t="shared" si="286"/>
        <v>0</v>
      </c>
      <c r="GP244" s="609">
        <f t="shared" si="286"/>
        <v>0</v>
      </c>
      <c r="GQ244" s="609">
        <f t="shared" si="286"/>
        <v>0</v>
      </c>
      <c r="GR244" s="609">
        <f t="shared" si="286"/>
        <v>0</v>
      </c>
      <c r="GS244" s="609">
        <f t="shared" si="286"/>
        <v>0</v>
      </c>
      <c r="GT244" s="609">
        <f t="shared" si="286"/>
        <v>0</v>
      </c>
      <c r="GU244" s="609">
        <f t="shared" si="286"/>
        <v>0</v>
      </c>
      <c r="GV244" s="609">
        <f t="shared" si="286"/>
        <v>0</v>
      </c>
      <c r="GW244" s="609">
        <f t="shared" si="286"/>
        <v>0</v>
      </c>
      <c r="GX244" s="609">
        <f t="shared" si="286"/>
        <v>0</v>
      </c>
      <c r="GY244" s="609">
        <f t="shared" si="286"/>
        <v>0</v>
      </c>
      <c r="GZ244" s="609">
        <f t="shared" si="286"/>
        <v>0</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128.36138049692678</v>
      </c>
      <c r="V245" s="551">
        <f>IF(V222=0,0,V244/V222)</f>
        <v>128.36138049692678</v>
      </c>
      <c r="W245" s="552"/>
      <c r="X245" s="553"/>
      <c r="Y245" s="553"/>
      <c r="Z245" s="552"/>
      <c r="AA245" s="552"/>
      <c r="AB245" s="551">
        <f>IF(AB222=0,0,AB244/AB222)</f>
        <v>128.36138049692678</v>
      </c>
      <c r="AC245" s="552"/>
      <c r="AD245" s="553"/>
      <c r="AE245" s="553"/>
      <c r="AF245" s="552"/>
      <c r="AG245" s="552"/>
      <c r="AH245" s="551">
        <f>IF(AH222=0,0,AH244/AH222)</f>
        <v>128.36138049692678</v>
      </c>
      <c r="AI245" s="552"/>
      <c r="AJ245" s="553"/>
      <c r="AK245" s="553"/>
      <c r="AL245" s="552"/>
      <c r="AM245" s="552"/>
      <c r="AN245" s="551">
        <f>IF(AN222=0,0,AN244/AN222)</f>
        <v>128.36138049692678</v>
      </c>
      <c r="AO245" s="586"/>
      <c r="AP245" s="587"/>
      <c r="AQ245" s="587"/>
      <c r="AR245" s="586"/>
      <c r="AS245" s="586"/>
      <c r="AT245" s="637">
        <f>IF(AT222=0,0,AT244/AT222)</f>
        <v>44.597971397719689</v>
      </c>
      <c r="AU245" s="313"/>
      <c r="AV245" s="314"/>
      <c r="AW245" s="314"/>
      <c r="AX245" s="313"/>
      <c r="AY245" s="313"/>
      <c r="AZ245" s="551">
        <f>IF(AZ222=0,0,AZ244/AZ222)</f>
        <v>44.597971397719689</v>
      </c>
      <c r="BA245" s="313"/>
      <c r="BB245" s="314"/>
      <c r="BC245" s="314"/>
      <c r="BD245" s="313"/>
      <c r="BE245" s="313"/>
      <c r="BF245" s="551">
        <f>IF(BF222=0,0,BF244/BF222)</f>
        <v>44.597971397719689</v>
      </c>
      <c r="BG245" s="313"/>
      <c r="BH245" s="314"/>
      <c r="BI245" s="314"/>
      <c r="BJ245" s="313"/>
      <c r="BK245" s="313"/>
      <c r="BL245" s="551">
        <f>IF(BL222=0,0,BL244/BL222)</f>
        <v>44.597971397719689</v>
      </c>
      <c r="BM245" s="313"/>
      <c r="BN245" s="314"/>
      <c r="BO245" s="314"/>
      <c r="BP245" s="313"/>
      <c r="BQ245" s="313"/>
      <c r="BR245" s="551">
        <f>IF(BR222=0,0,BR244/BR222)</f>
        <v>0</v>
      </c>
      <c r="BS245" s="552"/>
      <c r="BT245" s="553"/>
      <c r="BU245" s="553"/>
      <c r="BV245" s="552"/>
      <c r="BW245" s="552"/>
      <c r="BX245" s="551">
        <f>IF(BX222=0,0,BX244/BX222)</f>
        <v>0</v>
      </c>
      <c r="BY245" s="313"/>
      <c r="BZ245" s="314"/>
      <c r="CA245" s="314"/>
      <c r="CB245" s="313"/>
      <c r="CC245" s="313"/>
      <c r="CD245" s="551">
        <f>IF(CD222=0,0,CD244/CD222)</f>
        <v>0</v>
      </c>
      <c r="CE245" s="313"/>
      <c r="CF245" s="314"/>
      <c r="CG245" s="314"/>
      <c r="CH245" s="313"/>
      <c r="CI245" s="313"/>
      <c r="CJ245" s="551">
        <f>IF(CJ222=0,0,CJ244/CJ222)</f>
        <v>0</v>
      </c>
      <c r="CK245" s="313"/>
      <c r="CL245" s="314"/>
      <c r="CM245" s="314"/>
      <c r="CN245" s="313"/>
      <c r="CO245" s="313"/>
      <c r="CP245" s="551">
        <f>IF(CP222=0,0,CP244/CP222)</f>
        <v>0</v>
      </c>
      <c r="CQ245" s="554"/>
      <c r="CR245" s="553"/>
      <c r="CS245" s="553"/>
      <c r="CT245" s="554"/>
      <c r="CU245" s="554"/>
      <c r="CV245" s="551">
        <f>IF(CV222=0,0,CV244/CV222)</f>
        <v>0</v>
      </c>
      <c r="CW245" s="554"/>
      <c r="CX245" s="553"/>
      <c r="CY245" s="553"/>
      <c r="CZ245" s="554"/>
      <c r="DA245" s="554"/>
      <c r="DB245" s="551">
        <f>IF(DB222=0,0,DB244/DB222)</f>
        <v>0</v>
      </c>
      <c r="DC245" s="313"/>
      <c r="DD245" s="314"/>
      <c r="DE245" s="314"/>
      <c r="DF245" s="313"/>
      <c r="DG245" s="313"/>
      <c r="DH245" s="551">
        <f>IF(DH222=0,0,DH244/DH222)</f>
        <v>0</v>
      </c>
      <c r="DI245" s="313"/>
      <c r="DJ245" s="314"/>
      <c r="DK245" s="314"/>
      <c r="DL245" s="313"/>
      <c r="DM245" s="313"/>
      <c r="DN245" s="551">
        <f>IF(DN222=0,0,DN244/DN222)</f>
        <v>0</v>
      </c>
      <c r="DO245" s="313"/>
      <c r="DP245" s="314"/>
      <c r="DQ245" s="314"/>
      <c r="DR245" s="313"/>
      <c r="DS245" s="313"/>
      <c r="DT245" s="551">
        <f>IF(DT222=0,0,DT244/DT222)</f>
        <v>0</v>
      </c>
      <c r="DU245" s="313"/>
      <c r="DV245" s="314"/>
      <c r="DW245" s="314"/>
      <c r="DX245" s="313"/>
      <c r="DY245" s="313"/>
      <c r="DZ245" s="551">
        <f>IF(DZ222=0,0,DZ244/DZ222)</f>
        <v>0</v>
      </c>
      <c r="EA245" s="313"/>
      <c r="EB245" s="314"/>
      <c r="EC245" s="314"/>
      <c r="ED245" s="313"/>
      <c r="EE245" s="313"/>
      <c r="EF245" s="551">
        <f>IF(EF222=0,0,EF244/EF222)</f>
        <v>0</v>
      </c>
      <c r="EG245" s="313"/>
      <c r="EH245" s="314"/>
      <c r="EI245" s="314"/>
      <c r="EJ245" s="313"/>
      <c r="EK245" s="313"/>
      <c r="EL245" s="551">
        <f>IF(EL222=0,0,EL244/EL222)</f>
        <v>0</v>
      </c>
      <c r="EM245" s="313"/>
      <c r="EN245" s="314"/>
      <c r="EO245" s="314"/>
      <c r="EP245" s="313"/>
      <c r="EQ245" s="313"/>
      <c r="ER245" s="551">
        <f>IF(ER222=0,0,ER244/ER222)</f>
        <v>0</v>
      </c>
      <c r="ES245" s="313"/>
      <c r="ET245" s="314"/>
      <c r="EU245" s="314"/>
      <c r="EV245" s="313"/>
      <c r="EW245" s="313"/>
      <c r="EX245" s="551">
        <f>IF(EX222=0,0,EX244/EX222)</f>
        <v>0</v>
      </c>
      <c r="EY245" s="313"/>
      <c r="EZ245" s="314"/>
      <c r="FA245" s="314"/>
      <c r="FB245" s="313"/>
      <c r="FC245" s="313"/>
      <c r="FD245" s="551">
        <f>IF(FD222=0,0,FD244/FD222)</f>
        <v>0</v>
      </c>
      <c r="FE245" s="313"/>
      <c r="FF245" s="314"/>
      <c r="FG245" s="314"/>
      <c r="FH245" s="313"/>
      <c r="FI245" s="313"/>
      <c r="FJ245" s="551">
        <f>IF(FJ222=0,0,FJ244/FJ222)</f>
        <v>0</v>
      </c>
      <c r="FK245" s="313"/>
      <c r="FL245" s="314"/>
      <c r="FM245" s="314"/>
      <c r="FN245" s="313"/>
      <c r="FO245" s="313"/>
      <c r="FP245" s="551">
        <f>IF(FP222=0,0,FP244/FP222)</f>
        <v>0</v>
      </c>
      <c r="FQ245" s="313"/>
      <c r="FR245" s="314"/>
      <c r="FS245" s="314"/>
      <c r="FT245" s="313"/>
      <c r="FU245" s="313"/>
      <c r="FV245" s="551">
        <f>IF(FV222=0,0,FV244/FV222)</f>
        <v>0</v>
      </c>
      <c r="FW245" s="313"/>
      <c r="FX245" s="314"/>
      <c r="FY245" s="314"/>
      <c r="FZ245" s="313"/>
      <c r="GA245" s="313"/>
      <c r="GB245" s="551">
        <f>IF(GB222=0,0,GB244/GB222)</f>
        <v>0</v>
      </c>
      <c r="GC245" s="313"/>
      <c r="GD245" s="314"/>
      <c r="GE245" s="314"/>
      <c r="GF245" s="313"/>
      <c r="GG245" s="313"/>
      <c r="GH245" s="551">
        <f>IF(GH222=0,0,GH244/GH222)</f>
        <v>0</v>
      </c>
      <c r="GI245" s="313"/>
      <c r="GJ245" s="314"/>
      <c r="GK245" s="314"/>
      <c r="GL245" s="313"/>
      <c r="GM245" s="313"/>
      <c r="GN245" s="551">
        <f>IF(GN222=0,0,GN244/GN222)</f>
        <v>0</v>
      </c>
      <c r="GO245" s="313"/>
      <c r="GP245" s="314"/>
      <c r="GQ245" s="314"/>
      <c r="GR245" s="313"/>
      <c r="GS245" s="313"/>
      <c r="GT245" s="551">
        <f>IF(GT222=0,0,GT244/GT222)</f>
        <v>0</v>
      </c>
      <c r="GU245" s="313"/>
      <c r="GV245" s="314"/>
      <c r="GW245" s="314"/>
      <c r="GX245" s="313"/>
      <c r="GY245" s="313"/>
      <c r="GZ245" s="555">
        <f>IF(GZ222=0,0,GZ244/GZ222)</f>
        <v>0</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54731.158000000003</v>
      </c>
      <c r="V247" s="541">
        <f>V229*$C18</f>
        <v>54731.158000000003</v>
      </c>
      <c r="W247" s="542"/>
      <c r="X247" s="543"/>
      <c r="Y247" s="543"/>
      <c r="Z247" s="542"/>
      <c r="AA247" s="542"/>
      <c r="AB247" s="541">
        <f>AB229*$C18</f>
        <v>54731.158000000003</v>
      </c>
      <c r="AC247" s="542"/>
      <c r="AD247" s="543"/>
      <c r="AE247" s="543"/>
      <c r="AF247" s="542"/>
      <c r="AG247" s="542"/>
      <c r="AH247" s="541">
        <f>AH229*$C18</f>
        <v>54731.158000000003</v>
      </c>
      <c r="AI247" s="542"/>
      <c r="AJ247" s="543"/>
      <c r="AK247" s="543"/>
      <c r="AL247" s="542"/>
      <c r="AM247" s="542"/>
      <c r="AN247" s="541">
        <f>AN229*$C18</f>
        <v>54731.158000000003</v>
      </c>
      <c r="AO247" s="560"/>
      <c r="AP247" s="561"/>
      <c r="AQ247" s="561"/>
      <c r="AR247" s="560"/>
      <c r="AS247" s="560"/>
      <c r="AT247" s="540">
        <f>AT229*$C18</f>
        <v>37288.39315976276</v>
      </c>
      <c r="AU247" s="311"/>
      <c r="AV247" s="312"/>
      <c r="AW247" s="312"/>
      <c r="AX247" s="311"/>
      <c r="AY247" s="311"/>
      <c r="AZ247" s="541">
        <f>AZ229*$C18</f>
        <v>37288.39315976276</v>
      </c>
      <c r="BA247" s="311"/>
      <c r="BB247" s="312"/>
      <c r="BC247" s="312"/>
      <c r="BD247" s="311"/>
      <c r="BE247" s="311"/>
      <c r="BF247" s="541">
        <f>BF229*$C18</f>
        <v>37288.39315976276</v>
      </c>
      <c r="BG247" s="311"/>
      <c r="BH247" s="312"/>
      <c r="BI247" s="312"/>
      <c r="BJ247" s="311"/>
      <c r="BK247" s="311"/>
      <c r="BL247" s="541">
        <f>BL229*$C18</f>
        <v>37288.39315976276</v>
      </c>
      <c r="BM247" s="311"/>
      <c r="BN247" s="312"/>
      <c r="BO247" s="312"/>
      <c r="BP247" s="311"/>
      <c r="BQ247" s="311"/>
      <c r="BR247" s="541">
        <f>BR229*$C18</f>
        <v>0</v>
      </c>
      <c r="BS247" s="542"/>
      <c r="BT247" s="543"/>
      <c r="BU247" s="543"/>
      <c r="BV247" s="542"/>
      <c r="BW247" s="542"/>
      <c r="BX247" s="541">
        <f>BX229*$C18</f>
        <v>0</v>
      </c>
      <c r="BY247" s="311"/>
      <c r="BZ247" s="312"/>
      <c r="CA247" s="312"/>
      <c r="CB247" s="311"/>
      <c r="CC247" s="311"/>
      <c r="CD247" s="541">
        <f>CD229*$C18</f>
        <v>0</v>
      </c>
      <c r="CE247" s="311"/>
      <c r="CF247" s="312"/>
      <c r="CG247" s="312"/>
      <c r="CH247" s="311"/>
      <c r="CI247" s="311"/>
      <c r="CJ247" s="541">
        <f>CJ229*$C18</f>
        <v>0</v>
      </c>
      <c r="CK247" s="311"/>
      <c r="CL247" s="312"/>
      <c r="CM247" s="312"/>
      <c r="CN247" s="311"/>
      <c r="CO247" s="311"/>
      <c r="CP247" s="541">
        <f>CP229*$C18</f>
        <v>0</v>
      </c>
      <c r="CQ247" s="544"/>
      <c r="CR247" s="543"/>
      <c r="CS247" s="543"/>
      <c r="CT247" s="544"/>
      <c r="CU247" s="544"/>
      <c r="CV247" s="541">
        <f>CV229*$C18</f>
        <v>0</v>
      </c>
      <c r="CW247" s="544"/>
      <c r="CX247" s="543"/>
      <c r="CY247" s="543"/>
      <c r="CZ247" s="544"/>
      <c r="DA247" s="544"/>
      <c r="DB247" s="541">
        <f>DB229*$C18</f>
        <v>0</v>
      </c>
      <c r="DC247" s="311"/>
      <c r="DD247" s="312"/>
      <c r="DE247" s="312"/>
      <c r="DF247" s="311"/>
      <c r="DG247" s="311"/>
      <c r="DH247" s="541">
        <f>DH229*$C18</f>
        <v>0</v>
      </c>
      <c r="DI247" s="311"/>
      <c r="DJ247" s="312"/>
      <c r="DK247" s="312"/>
      <c r="DL247" s="311"/>
      <c r="DM247" s="311"/>
      <c r="DN247" s="541">
        <f>DN229*$C18</f>
        <v>0</v>
      </c>
      <c r="DO247" s="311"/>
      <c r="DP247" s="312"/>
      <c r="DQ247" s="312"/>
      <c r="DR247" s="311"/>
      <c r="DS247" s="311"/>
      <c r="DT247" s="541">
        <f>DT229*$C18</f>
        <v>0</v>
      </c>
      <c r="DU247" s="311"/>
      <c r="DV247" s="312"/>
      <c r="DW247" s="312"/>
      <c r="DX247" s="311"/>
      <c r="DY247" s="311"/>
      <c r="DZ247" s="541">
        <f>DZ229*$C18</f>
        <v>0</v>
      </c>
      <c r="EA247" s="311"/>
      <c r="EB247" s="312"/>
      <c r="EC247" s="312"/>
      <c r="ED247" s="311"/>
      <c r="EE247" s="311"/>
      <c r="EF247" s="541">
        <f>EF229*$C18</f>
        <v>0</v>
      </c>
      <c r="EG247" s="311"/>
      <c r="EH247" s="312"/>
      <c r="EI247" s="312"/>
      <c r="EJ247" s="311"/>
      <c r="EK247" s="311"/>
      <c r="EL247" s="541">
        <f>EL229*$C18</f>
        <v>0</v>
      </c>
      <c r="EM247" s="311"/>
      <c r="EN247" s="312"/>
      <c r="EO247" s="312"/>
      <c r="EP247" s="311"/>
      <c r="EQ247" s="311"/>
      <c r="ER247" s="541">
        <f>ER229*$C18</f>
        <v>0</v>
      </c>
      <c r="ES247" s="311"/>
      <c r="ET247" s="312"/>
      <c r="EU247" s="312"/>
      <c r="EV247" s="311"/>
      <c r="EW247" s="311"/>
      <c r="EX247" s="541">
        <f>EX229*$C18</f>
        <v>0</v>
      </c>
      <c r="EY247" s="311"/>
      <c r="EZ247" s="312"/>
      <c r="FA247" s="312"/>
      <c r="FB247" s="311"/>
      <c r="FC247" s="311"/>
      <c r="FD247" s="541">
        <f>FD229*$C18</f>
        <v>0</v>
      </c>
      <c r="FE247" s="311"/>
      <c r="FF247" s="312"/>
      <c r="FG247" s="312"/>
      <c r="FH247" s="311"/>
      <c r="FI247" s="311"/>
      <c r="FJ247" s="541">
        <f>FJ229*$C18</f>
        <v>0</v>
      </c>
      <c r="FK247" s="311"/>
      <c r="FL247" s="312"/>
      <c r="FM247" s="312"/>
      <c r="FN247" s="311"/>
      <c r="FO247" s="311"/>
      <c r="FP247" s="541">
        <f>FP229*$C18</f>
        <v>0</v>
      </c>
      <c r="FQ247" s="311"/>
      <c r="FR247" s="312"/>
      <c r="FS247" s="312"/>
      <c r="FT247" s="311"/>
      <c r="FU247" s="311"/>
      <c r="FV247" s="541">
        <f>FV229*$C18</f>
        <v>0</v>
      </c>
      <c r="FW247" s="311"/>
      <c r="FX247" s="312"/>
      <c r="FY247" s="312"/>
      <c r="FZ247" s="311"/>
      <c r="GA247" s="311"/>
      <c r="GB247" s="541">
        <f>GB229*$C18</f>
        <v>0</v>
      </c>
      <c r="GC247" s="311"/>
      <c r="GD247" s="312"/>
      <c r="GE247" s="312"/>
      <c r="GF247" s="311"/>
      <c r="GG247" s="311"/>
      <c r="GH247" s="541">
        <f>GH229*$C18</f>
        <v>0</v>
      </c>
      <c r="GI247" s="311"/>
      <c r="GJ247" s="312"/>
      <c r="GK247" s="312"/>
      <c r="GL247" s="311"/>
      <c r="GM247" s="311"/>
      <c r="GN247" s="541">
        <f>GN229*$C18</f>
        <v>0</v>
      </c>
      <c r="GO247" s="311"/>
      <c r="GP247" s="312"/>
      <c r="GQ247" s="312"/>
      <c r="GR247" s="311"/>
      <c r="GS247" s="311"/>
      <c r="GT247" s="541">
        <f>GT229*$C18</f>
        <v>0</v>
      </c>
      <c r="GU247" s="311"/>
      <c r="GV247" s="312"/>
      <c r="GW247" s="312"/>
      <c r="GX247" s="311"/>
      <c r="GY247" s="311"/>
      <c r="GZ247" s="545">
        <f>GZ229*$C18</f>
        <v>0</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160862.79999999999</v>
      </c>
      <c r="V248" s="604">
        <f>V232*$C19</f>
        <v>160862.79999999999</v>
      </c>
      <c r="W248" s="574"/>
      <c r="X248" s="575"/>
      <c r="Y248" s="575"/>
      <c r="Z248" s="574"/>
      <c r="AA248" s="574"/>
      <c r="AB248" s="604">
        <f>AB232*$C19</f>
        <v>160862.79999999999</v>
      </c>
      <c r="AC248" s="315"/>
      <c r="AD248" s="316"/>
      <c r="AE248" s="316"/>
      <c r="AF248" s="315"/>
      <c r="AG248" s="315"/>
      <c r="AH248" s="604">
        <f>AH232*$C19</f>
        <v>160862.79999999999</v>
      </c>
      <c r="AI248" s="574"/>
      <c r="AJ248" s="575"/>
      <c r="AK248" s="575"/>
      <c r="AL248" s="574"/>
      <c r="AM248" s="574"/>
      <c r="AN248" s="604">
        <f>AN232*$C19</f>
        <v>160862.79999999999</v>
      </c>
      <c r="AO248" s="439"/>
      <c r="AP248" s="530"/>
      <c r="AQ248" s="530"/>
      <c r="AR248" s="439"/>
      <c r="AS248" s="439"/>
      <c r="AT248" s="609">
        <f>AT232*$C19</f>
        <v>9571.3365999999914</v>
      </c>
      <c r="AU248" s="315"/>
      <c r="AV248" s="316"/>
      <c r="AW248" s="316"/>
      <c r="AX248" s="315"/>
      <c r="AY248" s="315"/>
      <c r="AZ248" s="604">
        <f>AZ232*$C19</f>
        <v>9571.3365999999914</v>
      </c>
      <c r="BA248" s="315"/>
      <c r="BB248" s="316"/>
      <c r="BC248" s="316"/>
      <c r="BD248" s="315"/>
      <c r="BE248" s="315"/>
      <c r="BF248" s="604">
        <f>BF232*$C19</f>
        <v>9571.3365999999914</v>
      </c>
      <c r="BG248" s="315"/>
      <c r="BH248" s="316"/>
      <c r="BI248" s="316"/>
      <c r="BJ248" s="315"/>
      <c r="BK248" s="315"/>
      <c r="BL248" s="604">
        <f>BL232*$C19</f>
        <v>9571.3365999999914</v>
      </c>
      <c r="BM248" s="315"/>
      <c r="BN248" s="316"/>
      <c r="BO248" s="316"/>
      <c r="BP248" s="315"/>
      <c r="BQ248" s="315"/>
      <c r="BR248" s="604">
        <f>BR232*$C19</f>
        <v>0</v>
      </c>
      <c r="BS248" s="315"/>
      <c r="BT248" s="316"/>
      <c r="BU248" s="316"/>
      <c r="BV248" s="315"/>
      <c r="BW248" s="315"/>
      <c r="BX248" s="604">
        <f>BX232*$C19</f>
        <v>0</v>
      </c>
      <c r="BY248" s="315"/>
      <c r="BZ248" s="316"/>
      <c r="CA248" s="316"/>
      <c r="CB248" s="315"/>
      <c r="CC248" s="315"/>
      <c r="CD248" s="604">
        <f>CD232*$C19</f>
        <v>0</v>
      </c>
      <c r="CE248" s="315"/>
      <c r="CF248" s="316"/>
      <c r="CG248" s="316"/>
      <c r="CH248" s="315"/>
      <c r="CI248" s="315"/>
      <c r="CJ248" s="604">
        <f>CJ232*$C19</f>
        <v>0</v>
      </c>
      <c r="CK248" s="315"/>
      <c r="CL248" s="316"/>
      <c r="CM248" s="316"/>
      <c r="CN248" s="315"/>
      <c r="CO248" s="315"/>
      <c r="CP248" s="604">
        <f>CP232*$C19</f>
        <v>0</v>
      </c>
      <c r="CQ248" s="315"/>
      <c r="CR248" s="316"/>
      <c r="CS248" s="316"/>
      <c r="CT248" s="315"/>
      <c r="CU248" s="315"/>
      <c r="CV248" s="604">
        <f>CV232*$C19</f>
        <v>0</v>
      </c>
      <c r="CW248" s="577"/>
      <c r="CX248" s="575"/>
      <c r="CY248" s="575"/>
      <c r="CZ248" s="577"/>
      <c r="DA248" s="577"/>
      <c r="DB248" s="604">
        <f>DB232*$C19</f>
        <v>0</v>
      </c>
      <c r="DC248" s="315"/>
      <c r="DD248" s="316"/>
      <c r="DE248" s="316"/>
      <c r="DF248" s="315"/>
      <c r="DG248" s="315"/>
      <c r="DH248" s="604">
        <f>DH232*$C19</f>
        <v>0</v>
      </c>
      <c r="DI248" s="315"/>
      <c r="DJ248" s="316"/>
      <c r="DK248" s="316"/>
      <c r="DL248" s="315"/>
      <c r="DM248" s="315"/>
      <c r="DN248" s="604">
        <f>DN232*$C19</f>
        <v>0</v>
      </c>
      <c r="DO248" s="315"/>
      <c r="DP248" s="316"/>
      <c r="DQ248" s="316"/>
      <c r="DR248" s="315"/>
      <c r="DS248" s="315"/>
      <c r="DT248" s="604">
        <f>DT232*$C19</f>
        <v>0</v>
      </c>
      <c r="DU248" s="315"/>
      <c r="DV248" s="316"/>
      <c r="DW248" s="316"/>
      <c r="DX248" s="315"/>
      <c r="DY248" s="315"/>
      <c r="DZ248" s="604">
        <f>DZ232*$C19</f>
        <v>0</v>
      </c>
      <c r="EA248" s="315"/>
      <c r="EB248" s="316"/>
      <c r="EC248" s="316"/>
      <c r="ED248" s="315"/>
      <c r="EE248" s="315"/>
      <c r="EF248" s="604">
        <f>EF232*$C19</f>
        <v>0</v>
      </c>
      <c r="EG248" s="315"/>
      <c r="EH248" s="316"/>
      <c r="EI248" s="316"/>
      <c r="EJ248" s="315"/>
      <c r="EK248" s="315"/>
      <c r="EL248" s="604">
        <f>EL232*$C19</f>
        <v>0</v>
      </c>
      <c r="EM248" s="315"/>
      <c r="EN248" s="316"/>
      <c r="EO248" s="316"/>
      <c r="EP248" s="315"/>
      <c r="EQ248" s="315"/>
      <c r="ER248" s="604">
        <f>ER232*$C19</f>
        <v>0</v>
      </c>
      <c r="ES248" s="315"/>
      <c r="ET248" s="316"/>
      <c r="EU248" s="316"/>
      <c r="EV248" s="315"/>
      <c r="EW248" s="315"/>
      <c r="EX248" s="604">
        <f>EX232*$C19</f>
        <v>0</v>
      </c>
      <c r="EY248" s="315"/>
      <c r="EZ248" s="316"/>
      <c r="FA248" s="316"/>
      <c r="FB248" s="315"/>
      <c r="FC248" s="315"/>
      <c r="FD248" s="604">
        <f>FD232*$C19</f>
        <v>0</v>
      </c>
      <c r="FE248" s="315"/>
      <c r="FF248" s="316"/>
      <c r="FG248" s="316"/>
      <c r="FH248" s="315"/>
      <c r="FI248" s="315"/>
      <c r="FJ248" s="604">
        <f>FJ232*$C19</f>
        <v>0</v>
      </c>
      <c r="FK248" s="315"/>
      <c r="FL248" s="316"/>
      <c r="FM248" s="316"/>
      <c r="FN248" s="315"/>
      <c r="FO248" s="315"/>
      <c r="FP248" s="604">
        <f>FP232*$C19</f>
        <v>0</v>
      </c>
      <c r="FQ248" s="315"/>
      <c r="FR248" s="316"/>
      <c r="FS248" s="316"/>
      <c r="FT248" s="315"/>
      <c r="FU248" s="315"/>
      <c r="FV248" s="604">
        <f>FV232*$C19</f>
        <v>0</v>
      </c>
      <c r="FW248" s="315"/>
      <c r="FX248" s="316"/>
      <c r="FY248" s="316"/>
      <c r="FZ248" s="315"/>
      <c r="GA248" s="315"/>
      <c r="GB248" s="604">
        <f>GB232*$C19</f>
        <v>0</v>
      </c>
      <c r="GC248" s="315"/>
      <c r="GD248" s="316"/>
      <c r="GE248" s="316"/>
      <c r="GF248" s="315"/>
      <c r="GG248" s="315"/>
      <c r="GH248" s="604">
        <f>GH232*$C19</f>
        <v>0</v>
      </c>
      <c r="GI248" s="315"/>
      <c r="GJ248" s="316"/>
      <c r="GK248" s="316"/>
      <c r="GL248" s="315"/>
      <c r="GM248" s="315"/>
      <c r="GN248" s="604">
        <f>GN232*$C19</f>
        <v>0</v>
      </c>
      <c r="GO248" s="315"/>
      <c r="GP248" s="316"/>
      <c r="GQ248" s="316"/>
      <c r="GR248" s="315"/>
      <c r="GS248" s="315"/>
      <c r="GT248" s="604">
        <f>GT232*$C19</f>
        <v>0</v>
      </c>
      <c r="GU248" s="315"/>
      <c r="GV248" s="316"/>
      <c r="GW248" s="316"/>
      <c r="GX248" s="315"/>
      <c r="GY248" s="315"/>
      <c r="GZ248" s="610">
        <f>GZ232*$C19</f>
        <v>0</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0</v>
      </c>
      <c r="V249" s="604">
        <f>V235*$C20</f>
        <v>0</v>
      </c>
      <c r="W249" s="574"/>
      <c r="X249" s="575"/>
      <c r="Y249" s="575"/>
      <c r="Z249" s="574"/>
      <c r="AA249" s="574"/>
      <c r="AB249" s="604">
        <f>AB235*$C20</f>
        <v>0</v>
      </c>
      <c r="AC249" s="574"/>
      <c r="AD249" s="575"/>
      <c r="AE249" s="575"/>
      <c r="AF249" s="574"/>
      <c r="AG249" s="574"/>
      <c r="AH249" s="604">
        <f>AH235*$C20</f>
        <v>0</v>
      </c>
      <c r="AI249" s="574"/>
      <c r="AJ249" s="575"/>
      <c r="AK249" s="575"/>
      <c r="AL249" s="574"/>
      <c r="AM249" s="574"/>
      <c r="AN249" s="604">
        <f>AN235*$C20</f>
        <v>0</v>
      </c>
      <c r="AO249" s="439"/>
      <c r="AP249" s="530"/>
      <c r="AQ249" s="530"/>
      <c r="AR249" s="439"/>
      <c r="AS249" s="439"/>
      <c r="AT249" s="609">
        <f t="shared" ref="AT249:DE249" si="287">(AT235+AT242)*$C20</f>
        <v>0</v>
      </c>
      <c r="AU249" s="609">
        <f t="shared" si="287"/>
        <v>0</v>
      </c>
      <c r="AV249" s="609">
        <f t="shared" si="287"/>
        <v>0</v>
      </c>
      <c r="AW249" s="609">
        <f t="shared" si="287"/>
        <v>0</v>
      </c>
      <c r="AX249" s="609">
        <f t="shared" si="287"/>
        <v>0</v>
      </c>
      <c r="AY249" s="609">
        <f t="shared" si="287"/>
        <v>0</v>
      </c>
      <c r="AZ249" s="609">
        <f t="shared" si="287"/>
        <v>0</v>
      </c>
      <c r="BA249" s="609">
        <f t="shared" si="287"/>
        <v>0</v>
      </c>
      <c r="BB249" s="609">
        <f t="shared" si="287"/>
        <v>0</v>
      </c>
      <c r="BC249" s="609">
        <f t="shared" si="287"/>
        <v>0</v>
      </c>
      <c r="BD249" s="609">
        <f t="shared" si="287"/>
        <v>0</v>
      </c>
      <c r="BE249" s="609">
        <f t="shared" si="287"/>
        <v>0</v>
      </c>
      <c r="BF249" s="609">
        <f t="shared" si="287"/>
        <v>0</v>
      </c>
      <c r="BG249" s="609">
        <f t="shared" si="287"/>
        <v>0</v>
      </c>
      <c r="BH249" s="609">
        <f t="shared" si="287"/>
        <v>0</v>
      </c>
      <c r="BI249" s="609">
        <f t="shared" si="287"/>
        <v>0</v>
      </c>
      <c r="BJ249" s="609">
        <f t="shared" si="287"/>
        <v>0</v>
      </c>
      <c r="BK249" s="609">
        <f t="shared" si="287"/>
        <v>0</v>
      </c>
      <c r="BL249" s="609">
        <f t="shared" si="287"/>
        <v>0</v>
      </c>
      <c r="BM249" s="609">
        <f t="shared" si="287"/>
        <v>0</v>
      </c>
      <c r="BN249" s="609">
        <f t="shared" si="287"/>
        <v>0</v>
      </c>
      <c r="BO249" s="609">
        <f t="shared" si="287"/>
        <v>0</v>
      </c>
      <c r="BP249" s="609">
        <f t="shared" si="287"/>
        <v>0</v>
      </c>
      <c r="BQ249" s="609">
        <f t="shared" si="287"/>
        <v>0</v>
      </c>
      <c r="BR249" s="609">
        <f t="shared" si="287"/>
        <v>0</v>
      </c>
      <c r="BS249" s="609">
        <f t="shared" si="287"/>
        <v>0</v>
      </c>
      <c r="BT249" s="609">
        <f t="shared" si="287"/>
        <v>0</v>
      </c>
      <c r="BU249" s="609">
        <f t="shared" si="287"/>
        <v>0</v>
      </c>
      <c r="BV249" s="609">
        <f t="shared" si="287"/>
        <v>0</v>
      </c>
      <c r="BW249" s="609">
        <f t="shared" si="287"/>
        <v>0</v>
      </c>
      <c r="BX249" s="609">
        <f t="shared" si="287"/>
        <v>0</v>
      </c>
      <c r="BY249" s="609">
        <f t="shared" si="287"/>
        <v>0</v>
      </c>
      <c r="BZ249" s="609">
        <f t="shared" si="287"/>
        <v>0</v>
      </c>
      <c r="CA249" s="609">
        <f t="shared" si="287"/>
        <v>0</v>
      </c>
      <c r="CB249" s="609">
        <f t="shared" si="287"/>
        <v>0</v>
      </c>
      <c r="CC249" s="609">
        <f t="shared" si="287"/>
        <v>0</v>
      </c>
      <c r="CD249" s="609">
        <f t="shared" si="287"/>
        <v>0</v>
      </c>
      <c r="CE249" s="609">
        <f t="shared" si="287"/>
        <v>0</v>
      </c>
      <c r="CF249" s="609">
        <f t="shared" si="287"/>
        <v>0</v>
      </c>
      <c r="CG249" s="609">
        <f t="shared" si="287"/>
        <v>0</v>
      </c>
      <c r="CH249" s="609">
        <f t="shared" si="287"/>
        <v>0</v>
      </c>
      <c r="CI249" s="609">
        <f t="shared" si="287"/>
        <v>0</v>
      </c>
      <c r="CJ249" s="609">
        <f t="shared" si="287"/>
        <v>0</v>
      </c>
      <c r="CK249" s="609">
        <f t="shared" si="287"/>
        <v>0</v>
      </c>
      <c r="CL249" s="609">
        <f t="shared" si="287"/>
        <v>0</v>
      </c>
      <c r="CM249" s="609">
        <f t="shared" si="287"/>
        <v>0</v>
      </c>
      <c r="CN249" s="609">
        <f t="shared" si="287"/>
        <v>0</v>
      </c>
      <c r="CO249" s="609">
        <f t="shared" si="287"/>
        <v>0</v>
      </c>
      <c r="CP249" s="609">
        <f t="shared" si="287"/>
        <v>0</v>
      </c>
      <c r="CQ249" s="609">
        <f t="shared" si="287"/>
        <v>0</v>
      </c>
      <c r="CR249" s="609">
        <f t="shared" si="287"/>
        <v>0</v>
      </c>
      <c r="CS249" s="609">
        <f t="shared" si="287"/>
        <v>0</v>
      </c>
      <c r="CT249" s="609">
        <f t="shared" si="287"/>
        <v>0</v>
      </c>
      <c r="CU249" s="609">
        <f t="shared" si="287"/>
        <v>0</v>
      </c>
      <c r="CV249" s="609">
        <f t="shared" si="287"/>
        <v>0</v>
      </c>
      <c r="CW249" s="609">
        <f t="shared" si="287"/>
        <v>0</v>
      </c>
      <c r="CX249" s="609">
        <f t="shared" si="287"/>
        <v>0</v>
      </c>
      <c r="CY249" s="609">
        <f t="shared" si="287"/>
        <v>0</v>
      </c>
      <c r="CZ249" s="609">
        <f t="shared" si="287"/>
        <v>0</v>
      </c>
      <c r="DA249" s="609">
        <f t="shared" si="287"/>
        <v>0</v>
      </c>
      <c r="DB249" s="609">
        <f t="shared" si="287"/>
        <v>0</v>
      </c>
      <c r="DC249" s="609">
        <f t="shared" si="287"/>
        <v>0</v>
      </c>
      <c r="DD249" s="609">
        <f t="shared" si="287"/>
        <v>0</v>
      </c>
      <c r="DE249" s="609">
        <f t="shared" si="287"/>
        <v>0</v>
      </c>
      <c r="DF249" s="609">
        <f t="shared" ref="DF249:FQ249" si="288">(DF235+DF242)*$C20</f>
        <v>0</v>
      </c>
      <c r="DG249" s="609">
        <f t="shared" si="288"/>
        <v>0</v>
      </c>
      <c r="DH249" s="609">
        <f t="shared" si="288"/>
        <v>0</v>
      </c>
      <c r="DI249" s="609">
        <f t="shared" si="288"/>
        <v>0</v>
      </c>
      <c r="DJ249" s="609">
        <f t="shared" si="288"/>
        <v>0</v>
      </c>
      <c r="DK249" s="609">
        <f t="shared" si="288"/>
        <v>0</v>
      </c>
      <c r="DL249" s="609">
        <f t="shared" si="288"/>
        <v>0</v>
      </c>
      <c r="DM249" s="609">
        <f t="shared" si="288"/>
        <v>0</v>
      </c>
      <c r="DN249" s="609">
        <f t="shared" si="288"/>
        <v>0</v>
      </c>
      <c r="DO249" s="609">
        <f t="shared" si="288"/>
        <v>0</v>
      </c>
      <c r="DP249" s="609">
        <f t="shared" si="288"/>
        <v>0</v>
      </c>
      <c r="DQ249" s="609">
        <f t="shared" si="288"/>
        <v>0</v>
      </c>
      <c r="DR249" s="609">
        <f t="shared" si="288"/>
        <v>0</v>
      </c>
      <c r="DS249" s="609">
        <f t="shared" si="288"/>
        <v>0</v>
      </c>
      <c r="DT249" s="609">
        <f t="shared" si="288"/>
        <v>0</v>
      </c>
      <c r="DU249" s="609">
        <f t="shared" si="288"/>
        <v>0</v>
      </c>
      <c r="DV249" s="609">
        <f t="shared" si="288"/>
        <v>0</v>
      </c>
      <c r="DW249" s="609">
        <f t="shared" si="288"/>
        <v>0</v>
      </c>
      <c r="DX249" s="609">
        <f t="shared" si="288"/>
        <v>0</v>
      </c>
      <c r="DY249" s="609">
        <f t="shared" si="288"/>
        <v>0</v>
      </c>
      <c r="DZ249" s="609">
        <f t="shared" si="288"/>
        <v>0</v>
      </c>
      <c r="EA249" s="609">
        <f t="shared" si="288"/>
        <v>0</v>
      </c>
      <c r="EB249" s="609">
        <f t="shared" si="288"/>
        <v>0</v>
      </c>
      <c r="EC249" s="609">
        <f t="shared" si="288"/>
        <v>0</v>
      </c>
      <c r="ED249" s="609">
        <f t="shared" si="288"/>
        <v>0</v>
      </c>
      <c r="EE249" s="609">
        <f t="shared" si="288"/>
        <v>0</v>
      </c>
      <c r="EF249" s="609">
        <f t="shared" si="288"/>
        <v>0</v>
      </c>
      <c r="EG249" s="609">
        <f t="shared" si="288"/>
        <v>0</v>
      </c>
      <c r="EH249" s="609">
        <f t="shared" si="288"/>
        <v>0</v>
      </c>
      <c r="EI249" s="609">
        <f t="shared" si="288"/>
        <v>0</v>
      </c>
      <c r="EJ249" s="609">
        <f t="shared" si="288"/>
        <v>0</v>
      </c>
      <c r="EK249" s="609">
        <f t="shared" si="288"/>
        <v>0</v>
      </c>
      <c r="EL249" s="609">
        <f t="shared" si="288"/>
        <v>0</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215593.95799999998</v>
      </c>
      <c r="V250" s="604">
        <f>SUM(V247:V249)</f>
        <v>215593.95799999998</v>
      </c>
      <c r="W250" s="611"/>
      <c r="X250" s="612"/>
      <c r="Y250" s="612"/>
      <c r="Z250" s="611"/>
      <c r="AA250" s="611"/>
      <c r="AB250" s="604">
        <f>SUM(AB247:AB249)</f>
        <v>215593.95799999998</v>
      </c>
      <c r="AC250" s="659"/>
      <c r="AD250" s="660"/>
      <c r="AE250" s="660"/>
      <c r="AF250" s="659"/>
      <c r="AG250" s="659"/>
      <c r="AH250" s="604">
        <f>SUM(AH247:AH249)</f>
        <v>215593.95799999998</v>
      </c>
      <c r="AI250" s="611"/>
      <c r="AJ250" s="612"/>
      <c r="AK250" s="612"/>
      <c r="AL250" s="611"/>
      <c r="AM250" s="611"/>
      <c r="AN250" s="604">
        <f>SUM(AN247:AN249)</f>
        <v>215593.95799999998</v>
      </c>
      <c r="AO250" s="439"/>
      <c r="AP250" s="530"/>
      <c r="AQ250" s="530"/>
      <c r="AR250" s="439"/>
      <c r="AS250" s="439"/>
      <c r="AT250" s="609">
        <f>SUM(AT247:AT249)</f>
        <v>46859.729759762748</v>
      </c>
      <c r="AU250" s="315"/>
      <c r="AV250" s="316"/>
      <c r="AW250" s="316"/>
      <c r="AX250" s="315"/>
      <c r="AY250" s="315"/>
      <c r="AZ250" s="604">
        <f>SUM(AZ247:AZ249)</f>
        <v>46859.729759762748</v>
      </c>
      <c r="BA250" s="315"/>
      <c r="BB250" s="316"/>
      <c r="BC250" s="316"/>
      <c r="BD250" s="315"/>
      <c r="BE250" s="315"/>
      <c r="BF250" s="604">
        <f>SUM(BF247:BF249)</f>
        <v>46859.729759762748</v>
      </c>
      <c r="BG250" s="315"/>
      <c r="BH250" s="316"/>
      <c r="BI250" s="316"/>
      <c r="BJ250" s="315"/>
      <c r="BK250" s="315"/>
      <c r="BL250" s="604">
        <f>SUM(BL247:BL249)</f>
        <v>46859.729759762748</v>
      </c>
      <c r="BM250" s="315"/>
      <c r="BN250" s="316"/>
      <c r="BO250" s="316"/>
      <c r="BP250" s="315"/>
      <c r="BQ250" s="315"/>
      <c r="BR250" s="604">
        <f>SUM(BR247:BR249)</f>
        <v>0</v>
      </c>
      <c r="BS250" s="315"/>
      <c r="BT250" s="316"/>
      <c r="BU250" s="316"/>
      <c r="BV250" s="315"/>
      <c r="BW250" s="315"/>
      <c r="BX250" s="604">
        <f>SUM(BX247:BX249)</f>
        <v>0</v>
      </c>
      <c r="BY250" s="315"/>
      <c r="BZ250" s="316"/>
      <c r="CA250" s="316"/>
      <c r="CB250" s="315"/>
      <c r="CC250" s="315"/>
      <c r="CD250" s="604">
        <f>SUM(CD247:CD249)</f>
        <v>0</v>
      </c>
      <c r="CE250" s="315"/>
      <c r="CF250" s="316"/>
      <c r="CG250" s="316"/>
      <c r="CH250" s="315"/>
      <c r="CI250" s="315"/>
      <c r="CJ250" s="604">
        <f>SUM(CJ247:CJ249)</f>
        <v>0</v>
      </c>
      <c r="CK250" s="315"/>
      <c r="CL250" s="316"/>
      <c r="CM250" s="316"/>
      <c r="CN250" s="315"/>
      <c r="CO250" s="315"/>
      <c r="CP250" s="604">
        <f>SUM(CP247:CP249)</f>
        <v>0</v>
      </c>
      <c r="CQ250" s="315"/>
      <c r="CR250" s="316"/>
      <c r="CS250" s="316"/>
      <c r="CT250" s="315"/>
      <c r="CU250" s="315"/>
      <c r="CV250" s="604">
        <f>SUM(CV247:CV249)</f>
        <v>0</v>
      </c>
      <c r="CW250" s="577"/>
      <c r="CX250" s="575"/>
      <c r="CY250" s="575"/>
      <c r="CZ250" s="577"/>
      <c r="DA250" s="577"/>
      <c r="DB250" s="604">
        <f>SUM(DB247:DB249)</f>
        <v>0</v>
      </c>
      <c r="DC250" s="315"/>
      <c r="DD250" s="316"/>
      <c r="DE250" s="316"/>
      <c r="DF250" s="315"/>
      <c r="DG250" s="315"/>
      <c r="DH250" s="604">
        <f>SUM(DH247:DH249)</f>
        <v>0</v>
      </c>
      <c r="DI250" s="315"/>
      <c r="DJ250" s="316"/>
      <c r="DK250" s="316"/>
      <c r="DL250" s="315"/>
      <c r="DM250" s="315"/>
      <c r="DN250" s="604">
        <f>SUM(DN247:DN249)</f>
        <v>0</v>
      </c>
      <c r="DO250" s="315"/>
      <c r="DP250" s="316"/>
      <c r="DQ250" s="316"/>
      <c r="DR250" s="315"/>
      <c r="DS250" s="315"/>
      <c r="DT250" s="604">
        <f>SUM(DT247:DT249)</f>
        <v>0</v>
      </c>
      <c r="DU250" s="315"/>
      <c r="DV250" s="316"/>
      <c r="DW250" s="316"/>
      <c r="DX250" s="315"/>
      <c r="DY250" s="315"/>
      <c r="DZ250" s="604">
        <f>SUM(DZ247:DZ249)</f>
        <v>0</v>
      </c>
      <c r="EA250" s="315"/>
      <c r="EB250" s="316"/>
      <c r="EC250" s="316"/>
      <c r="ED250" s="315"/>
      <c r="EE250" s="315"/>
      <c r="EF250" s="604">
        <f>SUM(EF247:EF249)</f>
        <v>0</v>
      </c>
      <c r="EG250" s="315"/>
      <c r="EH250" s="316"/>
      <c r="EI250" s="316"/>
      <c r="EJ250" s="315"/>
      <c r="EK250" s="315"/>
      <c r="EL250" s="604">
        <f>SUM(EL247:EL249)</f>
        <v>0</v>
      </c>
      <c r="EM250" s="315"/>
      <c r="EN250" s="316"/>
      <c r="EO250" s="316"/>
      <c r="EP250" s="315"/>
      <c r="EQ250" s="315"/>
      <c r="ER250" s="604">
        <f>SUM(ER247:ER249)</f>
        <v>0</v>
      </c>
      <c r="ES250" s="315"/>
      <c r="ET250" s="316"/>
      <c r="EU250" s="316"/>
      <c r="EV250" s="315"/>
      <c r="EW250" s="315"/>
      <c r="EX250" s="604">
        <f>SUM(EX247:EX249)</f>
        <v>0</v>
      </c>
      <c r="EY250" s="315"/>
      <c r="EZ250" s="316"/>
      <c r="FA250" s="316"/>
      <c r="FB250" s="315"/>
      <c r="FC250" s="315"/>
      <c r="FD250" s="604">
        <f>SUM(FD247:FD249)</f>
        <v>0</v>
      </c>
      <c r="FE250" s="315"/>
      <c r="FF250" s="316"/>
      <c r="FG250" s="316"/>
      <c r="FH250" s="315"/>
      <c r="FI250" s="315"/>
      <c r="FJ250" s="604">
        <f>SUM(FJ247:FJ249)</f>
        <v>0</v>
      </c>
      <c r="FK250" s="315"/>
      <c r="FL250" s="316"/>
      <c r="FM250" s="316"/>
      <c r="FN250" s="315"/>
      <c r="FO250" s="315"/>
      <c r="FP250" s="604">
        <f>SUM(FP247:FP249)</f>
        <v>0</v>
      </c>
      <c r="FQ250" s="315"/>
      <c r="FR250" s="316"/>
      <c r="FS250" s="316"/>
      <c r="FT250" s="315"/>
      <c r="FU250" s="315"/>
      <c r="FV250" s="604">
        <f>SUM(FV247:FV249)</f>
        <v>0</v>
      </c>
      <c r="FW250" s="315"/>
      <c r="FX250" s="316"/>
      <c r="FY250" s="316"/>
      <c r="FZ250" s="315"/>
      <c r="GA250" s="315"/>
      <c r="GB250" s="604">
        <f>SUM(GB247:GB249)</f>
        <v>0</v>
      </c>
      <c r="GC250" s="315"/>
      <c r="GD250" s="316"/>
      <c r="GE250" s="316"/>
      <c r="GF250" s="315"/>
      <c r="GG250" s="315"/>
      <c r="GH250" s="604">
        <f>SUM(GH247:GH249)</f>
        <v>0</v>
      </c>
      <c r="GI250" s="315"/>
      <c r="GJ250" s="316"/>
      <c r="GK250" s="316"/>
      <c r="GL250" s="315"/>
      <c r="GM250" s="315"/>
      <c r="GN250" s="604">
        <f>SUM(GN247:GN249)</f>
        <v>0</v>
      </c>
      <c r="GO250" s="315"/>
      <c r="GP250" s="316"/>
      <c r="GQ250" s="316"/>
      <c r="GR250" s="315"/>
      <c r="GS250" s="315"/>
      <c r="GT250" s="604">
        <f>SUM(GT247:GT249)</f>
        <v>0</v>
      </c>
      <c r="GU250" s="315"/>
      <c r="GV250" s="316"/>
      <c r="GW250" s="316"/>
      <c r="GX250" s="315"/>
      <c r="GY250" s="315"/>
      <c r="GZ250" s="610">
        <f>SUM(GZ247:GZ249)</f>
        <v>0</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168734.22824023722</v>
      </c>
      <c r="AU251" s="552"/>
      <c r="AV251" s="553"/>
      <c r="AW251" s="553"/>
      <c r="AX251" s="552"/>
      <c r="AY251" s="552"/>
      <c r="AZ251" s="551">
        <f>IF(AZ222=0,0,$AN$250-AZ250)</f>
        <v>168734.22824023722</v>
      </c>
      <c r="BA251" s="313"/>
      <c r="BB251" s="314"/>
      <c r="BC251" s="314"/>
      <c r="BD251" s="313"/>
      <c r="BE251" s="313"/>
      <c r="BF251" s="551">
        <f>IF(BF222=0,0,$AN$250-BF250)</f>
        <v>168734.22824023722</v>
      </c>
      <c r="BG251" s="313"/>
      <c r="BH251" s="314"/>
      <c r="BI251" s="314"/>
      <c r="BJ251" s="313"/>
      <c r="BK251" s="313"/>
      <c r="BL251" s="551">
        <f>IF(BL222=0,0,$AN$250-BL250)</f>
        <v>168734.22824023722</v>
      </c>
      <c r="BM251" s="313"/>
      <c r="BN251" s="314"/>
      <c r="BO251" s="314"/>
      <c r="BP251" s="313"/>
      <c r="BQ251" s="313"/>
      <c r="BR251" s="551">
        <f>IF(BR222=0,0,$AN$250-BR250)</f>
        <v>0</v>
      </c>
      <c r="BS251" s="552"/>
      <c r="BT251" s="553"/>
      <c r="BU251" s="553"/>
      <c r="BV251" s="552"/>
      <c r="BW251" s="552"/>
      <c r="BX251" s="551">
        <f>IF(BX222=0,0,$AN$250-BX250)</f>
        <v>0</v>
      </c>
      <c r="BY251" s="313"/>
      <c r="BZ251" s="314"/>
      <c r="CA251" s="314"/>
      <c r="CB251" s="313"/>
      <c r="CC251" s="313"/>
      <c r="CD251" s="551">
        <f>IF(CD222=0,0,$AN$250-CD250)</f>
        <v>0</v>
      </c>
      <c r="CE251" s="313"/>
      <c r="CF251" s="314"/>
      <c r="CG251" s="314"/>
      <c r="CH251" s="313"/>
      <c r="CI251" s="313"/>
      <c r="CJ251" s="551">
        <f>IF(CJ222=0,0,$AN$250-CJ250)</f>
        <v>0</v>
      </c>
      <c r="CK251" s="313"/>
      <c r="CL251" s="314"/>
      <c r="CM251" s="314"/>
      <c r="CN251" s="313"/>
      <c r="CO251" s="313"/>
      <c r="CP251" s="551">
        <f>IF(CP222=0,0,$AN$250-CP250)</f>
        <v>0</v>
      </c>
      <c r="CQ251" s="554"/>
      <c r="CR251" s="553"/>
      <c r="CS251" s="553"/>
      <c r="CT251" s="554"/>
      <c r="CU251" s="554"/>
      <c r="CV251" s="551">
        <f>IF(CV222=0,0,$AN$250-CV250)</f>
        <v>0</v>
      </c>
      <c r="CW251" s="554"/>
      <c r="CX251" s="553"/>
      <c r="CY251" s="553"/>
      <c r="CZ251" s="554"/>
      <c r="DA251" s="554"/>
      <c r="DB251" s="551">
        <f>IF(DB222=0,0,$AN$250-DB250)</f>
        <v>0</v>
      </c>
      <c r="DC251" s="313"/>
      <c r="DD251" s="314"/>
      <c r="DE251" s="314"/>
      <c r="DF251" s="313"/>
      <c r="DG251" s="313"/>
      <c r="DH251" s="551">
        <f>IF(DH222=0,0,$AN$250-DH250)</f>
        <v>0</v>
      </c>
      <c r="DI251" s="313"/>
      <c r="DJ251" s="314"/>
      <c r="DK251" s="314"/>
      <c r="DL251" s="313"/>
      <c r="DM251" s="313"/>
      <c r="DN251" s="551">
        <f>IF(DN222=0,0,$AN$250-DN250)</f>
        <v>0</v>
      </c>
      <c r="DO251" s="313"/>
      <c r="DP251" s="314"/>
      <c r="DQ251" s="314"/>
      <c r="DR251" s="313"/>
      <c r="DS251" s="313"/>
      <c r="DT251" s="551">
        <f>IF(DT222=0,0,$AN$250-DT250)</f>
        <v>0</v>
      </c>
      <c r="DU251" s="313"/>
      <c r="DV251" s="314"/>
      <c r="DW251" s="314"/>
      <c r="DX251" s="313"/>
      <c r="DY251" s="313"/>
      <c r="DZ251" s="551">
        <f>IF(DZ222=0,0,$AN$250-DZ250)</f>
        <v>0</v>
      </c>
      <c r="EA251" s="313"/>
      <c r="EB251" s="314"/>
      <c r="EC251" s="314"/>
      <c r="ED251" s="313"/>
      <c r="EE251" s="313"/>
      <c r="EF251" s="551">
        <f>IF(EF222=0,0,$AN$250-EF250)</f>
        <v>0</v>
      </c>
      <c r="EG251" s="313"/>
      <c r="EH251" s="314"/>
      <c r="EI251" s="314"/>
      <c r="EJ251" s="313"/>
      <c r="EK251" s="313"/>
      <c r="EL251" s="551">
        <f>IF(EL222=0,0,$AN$250-EL250)</f>
        <v>0</v>
      </c>
      <c r="EM251" s="313"/>
      <c r="EN251" s="314"/>
      <c r="EO251" s="314"/>
      <c r="EP251" s="313"/>
      <c r="EQ251" s="313"/>
      <c r="ER251" s="551">
        <f>IF(ER222=0,0,$AN$250-ER250)</f>
        <v>0</v>
      </c>
      <c r="ES251" s="313"/>
      <c r="ET251" s="314"/>
      <c r="EU251" s="314"/>
      <c r="EV251" s="313"/>
      <c r="EW251" s="313"/>
      <c r="EX251" s="551">
        <f>IF(EX222=0,0,$AN$250-EX250)</f>
        <v>0</v>
      </c>
      <c r="EY251" s="313"/>
      <c r="EZ251" s="314"/>
      <c r="FA251" s="314"/>
      <c r="FB251" s="313"/>
      <c r="FC251" s="313"/>
      <c r="FD251" s="551">
        <f>IF(FD222=0,0,$AN$250-FD250)</f>
        <v>0</v>
      </c>
      <c r="FE251" s="313"/>
      <c r="FF251" s="314"/>
      <c r="FG251" s="314"/>
      <c r="FH251" s="313"/>
      <c r="FI251" s="313"/>
      <c r="FJ251" s="551">
        <f>IF(FJ222=0,0,$AN$250-FJ250)</f>
        <v>0</v>
      </c>
      <c r="FK251" s="313"/>
      <c r="FL251" s="314"/>
      <c r="FM251" s="314"/>
      <c r="FN251" s="313"/>
      <c r="FO251" s="313"/>
      <c r="FP251" s="551">
        <f>IF(FP222=0,0,$AN$250-FP250)</f>
        <v>0</v>
      </c>
      <c r="FQ251" s="313"/>
      <c r="FR251" s="314"/>
      <c r="FS251" s="314"/>
      <c r="FT251" s="313"/>
      <c r="FU251" s="313"/>
      <c r="FV251" s="551">
        <f>IF(FV222=0,0,$AN$250-FV250)</f>
        <v>0</v>
      </c>
      <c r="FW251" s="313"/>
      <c r="FX251" s="314"/>
      <c r="FY251" s="314"/>
      <c r="FZ251" s="313"/>
      <c r="GA251" s="313"/>
      <c r="GB251" s="551">
        <f>IF(GB222=0,0,$AN$250-GB250)</f>
        <v>0</v>
      </c>
      <c r="GC251" s="313"/>
      <c r="GD251" s="314"/>
      <c r="GE251" s="314"/>
      <c r="GF251" s="313"/>
      <c r="GG251" s="313"/>
      <c r="GH251" s="551">
        <f>IF(GH222=0,0,$AN$250-GH250)</f>
        <v>0</v>
      </c>
      <c r="GI251" s="313"/>
      <c r="GJ251" s="314"/>
      <c r="GK251" s="314"/>
      <c r="GL251" s="313"/>
      <c r="GM251" s="313"/>
      <c r="GN251" s="551">
        <f>IF(GN222=0,0,$AN$250-GN250)</f>
        <v>0</v>
      </c>
      <c r="GO251" s="313"/>
      <c r="GP251" s="314"/>
      <c r="GQ251" s="314"/>
      <c r="GR251" s="313"/>
      <c r="GS251" s="313"/>
      <c r="GT251" s="551">
        <f>IF(GT222=0,0,$AN$250-GT250)</f>
        <v>0</v>
      </c>
      <c r="GU251" s="313"/>
      <c r="GV251" s="314"/>
      <c r="GW251" s="314"/>
      <c r="GX251" s="313"/>
      <c r="GY251" s="313"/>
      <c r="GZ251" s="555">
        <f>IF(GZ222=0,0,$AN$250-GZ250)</f>
        <v>0</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352.839651</v>
      </c>
      <c r="V253" s="541">
        <f>(V229*CO2factorElektriciteit+V232*CO2factorAardgas+(V235-V242)*CO2factorWarmte)/1000</f>
        <v>352.839651</v>
      </c>
      <c r="W253" s="542"/>
      <c r="X253" s="543"/>
      <c r="Y253" s="543"/>
      <c r="Z253" s="542"/>
      <c r="AA253" s="542"/>
      <c r="AB253" s="541">
        <f>(AB229*CO2factorElektriciteit+AB232*CO2factorAardgas+(AB235-AB242)*CO2factorWarmte)/1000</f>
        <v>352.839651</v>
      </c>
      <c r="AC253" s="542"/>
      <c r="AD253" s="543"/>
      <c r="AE253" s="543"/>
      <c r="AF253" s="542"/>
      <c r="AG253" s="542"/>
      <c r="AH253" s="541">
        <f>(AH229*CO2factorElektriciteit+AH232*CO2factorAardgas+(AH235-AH242)*CO2factorWarmte)/1000</f>
        <v>352.839651</v>
      </c>
      <c r="AI253" s="542"/>
      <c r="AJ253" s="543"/>
      <c r="AK253" s="543"/>
      <c r="AL253" s="542"/>
      <c r="AM253" s="542"/>
      <c r="AN253" s="541">
        <f>(AN229*CO2factorElektriciteit+AN232*CO2factorAardgas+(AN235-AN242)*CO2factorWarmte)/1000</f>
        <v>352.839651</v>
      </c>
      <c r="AO253" s="560"/>
      <c r="AP253" s="561"/>
      <c r="AQ253" s="561"/>
      <c r="AR253" s="560"/>
      <c r="AS253" s="560"/>
      <c r="AT253" s="642">
        <f>(AT229*CO2factorElektriciteit+AT232*CO2factorAardgas+(AT235-AT242)*CO2factorWarmte)/1000</f>
        <v>91.067494991716217</v>
      </c>
      <c r="AU253" s="542"/>
      <c r="AV253" s="543"/>
      <c r="AW253" s="543"/>
      <c r="AX253" s="542"/>
      <c r="AY253" s="542"/>
      <c r="AZ253" s="541">
        <f>(AZ229*CO2factorElektriciteit+AZ232*CO2factorAardgas+(AZ235-AZ242)*CO2factorWarmte)/1000</f>
        <v>91.067494991716217</v>
      </c>
      <c r="BA253" s="311"/>
      <c r="BB253" s="312"/>
      <c r="BC253" s="312"/>
      <c r="BD253" s="311"/>
      <c r="BE253" s="311"/>
      <c r="BF253" s="541">
        <f>(BF229*CO2factorElektriciteit+BF232*CO2factorAardgas+(BF235-BF242)*CO2factorWarmte)/1000</f>
        <v>91.067494991716217</v>
      </c>
      <c r="BG253" s="311"/>
      <c r="BH253" s="312"/>
      <c r="BI253" s="312"/>
      <c r="BJ253" s="311"/>
      <c r="BK253" s="311"/>
      <c r="BL253" s="541">
        <f>(BL229*CO2factorElektriciteit+BL232*CO2factorAardgas+(BL235-BL242)*CO2factorWarmte)/1000</f>
        <v>91.067494991716217</v>
      </c>
      <c r="BM253" s="311"/>
      <c r="BN253" s="312"/>
      <c r="BO253" s="312"/>
      <c r="BP253" s="311"/>
      <c r="BQ253" s="311"/>
      <c r="BR253" s="541">
        <f>(BR229*CO2factorElektriciteit+BR232*CO2factorAardgas+(BR235-BR242)*CO2factorWarmte)/1000</f>
        <v>0</v>
      </c>
      <c r="BS253" s="542"/>
      <c r="BT253" s="543"/>
      <c r="BU253" s="543"/>
      <c r="BV253" s="542"/>
      <c r="BW253" s="542"/>
      <c r="BX253" s="541">
        <f>(BX229*CO2factorElektriciteit+BX232*CO2factorAardgas+(BX235-BX242)*CO2factorWarmte)/1000</f>
        <v>0</v>
      </c>
      <c r="BY253" s="311"/>
      <c r="BZ253" s="312"/>
      <c r="CA253" s="312"/>
      <c r="CB253" s="311"/>
      <c r="CC253" s="311"/>
      <c r="CD253" s="541">
        <f>(CD229*CO2factorElektriciteit+CD232*CO2factorAardgas+(CD235-CD242)*CO2factorWarmte)/1000</f>
        <v>0</v>
      </c>
      <c r="CE253" s="311"/>
      <c r="CF253" s="312"/>
      <c r="CG253" s="312"/>
      <c r="CH253" s="311"/>
      <c r="CI253" s="311"/>
      <c r="CJ253" s="541">
        <f>(CJ229*CO2factorElektriciteit+CJ232*CO2factorAardgas+(CJ235-CJ242)*CO2factorWarmte)/1000</f>
        <v>0</v>
      </c>
      <c r="CK253" s="311"/>
      <c r="CL253" s="312"/>
      <c r="CM253" s="312"/>
      <c r="CN253" s="311"/>
      <c r="CO253" s="311"/>
      <c r="CP253" s="541">
        <f>(CP229*CO2factorElektriciteit+CP232*CO2factorAardgas+(CP235-CP242)*CO2factorWarmte)/1000</f>
        <v>0</v>
      </c>
      <c r="CQ253" s="544"/>
      <c r="CR253" s="543"/>
      <c r="CS253" s="543"/>
      <c r="CT253" s="544"/>
      <c r="CU253" s="544"/>
      <c r="CV253" s="541">
        <f>(CV229*CO2factorElektriciteit+CV232*CO2factorAardgas+(CV235-CV242)*CO2factorWarmte)/1000</f>
        <v>0</v>
      </c>
      <c r="CW253" s="544"/>
      <c r="CX253" s="543"/>
      <c r="CY253" s="543"/>
      <c r="CZ253" s="544"/>
      <c r="DA253" s="544"/>
      <c r="DB253" s="541">
        <f>(DB229*CO2factorElektriciteit+DB232*CO2factorAardgas+(DB235-DB242)*CO2factorWarmte)/1000</f>
        <v>0</v>
      </c>
      <c r="DC253" s="311"/>
      <c r="DD253" s="312"/>
      <c r="DE253" s="312"/>
      <c r="DF253" s="311"/>
      <c r="DG253" s="311"/>
      <c r="DH253" s="541">
        <f>(DH229*CO2factorElektriciteit+DH232*CO2factorAardgas+(DH235-DH242)*CO2factorWarmte)/1000</f>
        <v>0</v>
      </c>
      <c r="DI253" s="311"/>
      <c r="DJ253" s="312"/>
      <c r="DK253" s="312"/>
      <c r="DL253" s="311"/>
      <c r="DM253" s="311"/>
      <c r="DN253" s="541">
        <f>(DN229*CO2factorElektriciteit+DN232*CO2factorAardgas+(DN235-DN242)*CO2factorWarmte)/1000</f>
        <v>0</v>
      </c>
      <c r="DO253" s="311"/>
      <c r="DP253" s="312"/>
      <c r="DQ253" s="312"/>
      <c r="DR253" s="311"/>
      <c r="DS253" s="311"/>
      <c r="DT253" s="541">
        <f>(DT229*CO2factorElektriciteit+DT232*CO2factorAardgas+(DT235-DT242)*CO2factorWarmte)/1000</f>
        <v>0</v>
      </c>
      <c r="DU253" s="311"/>
      <c r="DV253" s="312"/>
      <c r="DW253" s="312"/>
      <c r="DX253" s="311"/>
      <c r="DY253" s="311"/>
      <c r="DZ253" s="541">
        <f>(DZ229*CO2factorElektriciteit+DZ232*CO2factorAardgas+(DZ235-DZ242)*CO2factorWarmte)/1000</f>
        <v>0</v>
      </c>
      <c r="EA253" s="311"/>
      <c r="EB253" s="312"/>
      <c r="EC253" s="312"/>
      <c r="ED253" s="311"/>
      <c r="EE253" s="311"/>
      <c r="EF253" s="541">
        <f>(EF229*CO2factorElektriciteit+EF232*CO2factorAardgas+(EF235-EF242)*CO2factorWarmte)/1000</f>
        <v>0</v>
      </c>
      <c r="EG253" s="311"/>
      <c r="EH253" s="312"/>
      <c r="EI253" s="312"/>
      <c r="EJ253" s="311"/>
      <c r="EK253" s="311"/>
      <c r="EL253" s="541">
        <f>(EL229*CO2factorElektriciteit+EL232*CO2factorAardgas+(EL235-EL242)*CO2factorWarmte)/1000</f>
        <v>0</v>
      </c>
      <c r="EM253" s="311"/>
      <c r="EN253" s="312"/>
      <c r="EO253" s="312"/>
      <c r="EP253" s="311"/>
      <c r="EQ253" s="311"/>
      <c r="ER253" s="541">
        <f>(ER229*CO2factorElektriciteit+ER232*CO2factorAardgas+(ER235-ER242)*CO2factorWarmte)/1000</f>
        <v>0</v>
      </c>
      <c r="ES253" s="311"/>
      <c r="ET253" s="312"/>
      <c r="EU253" s="312"/>
      <c r="EV253" s="311"/>
      <c r="EW253" s="311"/>
      <c r="EX253" s="541">
        <f>(EX229*CO2factorElektriciteit+EX232*CO2factorAardgas+(EX235-EX242)*CO2factorWarmte)/1000</f>
        <v>0</v>
      </c>
      <c r="EY253" s="311"/>
      <c r="EZ253" s="312"/>
      <c r="FA253" s="312"/>
      <c r="FB253" s="311"/>
      <c r="FC253" s="311"/>
      <c r="FD253" s="541">
        <f>(FD229*CO2factorElektriciteit+FD232*CO2factorAardgas+(FD235-FD242)*CO2factorWarmte)/1000</f>
        <v>0</v>
      </c>
      <c r="FE253" s="311"/>
      <c r="FF253" s="312"/>
      <c r="FG253" s="312"/>
      <c r="FH253" s="311"/>
      <c r="FI253" s="311"/>
      <c r="FJ253" s="541">
        <f>(FJ229*CO2factorElektriciteit+FJ232*CO2factorAardgas+(FJ235-FJ242)*CO2factorWarmte)/1000</f>
        <v>0</v>
      </c>
      <c r="FK253" s="311"/>
      <c r="FL253" s="312"/>
      <c r="FM253" s="312"/>
      <c r="FN253" s="311"/>
      <c r="FO253" s="311"/>
      <c r="FP253" s="541">
        <f>(FP229*CO2factorElektriciteit+FP232*CO2factorAardgas+(FP235-FP242)*CO2factorWarmte)/1000</f>
        <v>0</v>
      </c>
      <c r="FQ253" s="311"/>
      <c r="FR253" s="312"/>
      <c r="FS253" s="312"/>
      <c r="FT253" s="311"/>
      <c r="FU253" s="311"/>
      <c r="FV253" s="541">
        <f>(FV229*CO2factorElektriciteit+FV232*CO2factorAardgas+(FV235-FV242)*CO2factorWarmte)/1000</f>
        <v>0</v>
      </c>
      <c r="FW253" s="311"/>
      <c r="FX253" s="312"/>
      <c r="FY253" s="312"/>
      <c r="FZ253" s="311"/>
      <c r="GA253" s="311"/>
      <c r="GB253" s="541">
        <f>(GB229*CO2factorElektriciteit+GB232*CO2factorAardgas+(GB235-GB242)*CO2factorWarmte)/1000</f>
        <v>0</v>
      </c>
      <c r="GC253" s="311"/>
      <c r="GD253" s="312"/>
      <c r="GE253" s="312"/>
      <c r="GF253" s="311"/>
      <c r="GG253" s="311"/>
      <c r="GH253" s="541">
        <f>(GH229*CO2factorElektriciteit+GH232*CO2factorAardgas+(GH235-GH242)*CO2factorWarmte)/1000</f>
        <v>0</v>
      </c>
      <c r="GI253" s="311"/>
      <c r="GJ253" s="312"/>
      <c r="GK253" s="312"/>
      <c r="GL253" s="311"/>
      <c r="GM253" s="311"/>
      <c r="GN253" s="541">
        <f>(GN229*CO2factorElektriciteit+GN232*CO2factorAardgas+(GN235-GN242)*CO2factorWarmte)/1000</f>
        <v>0</v>
      </c>
      <c r="GO253" s="311"/>
      <c r="GP253" s="312"/>
      <c r="GQ253" s="312"/>
      <c r="GR253" s="311"/>
      <c r="GS253" s="311"/>
      <c r="GT253" s="541">
        <f>(GT229*CO2factorElektriciteit+GT232*CO2factorAardgas+(GT235-GT242)*CO2factorWarmte)/1000</f>
        <v>0</v>
      </c>
      <c r="GU253" s="311"/>
      <c r="GV253" s="312"/>
      <c r="GW253" s="312"/>
      <c r="GX253" s="311"/>
      <c r="GY253" s="311"/>
      <c r="GZ253" s="545">
        <f>(GZ229*CO2factorElektriciteit+GZ232*CO2factorAardgas+(GZ235-GZ242)*CO2factorWarmte)/1000</f>
        <v>0</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33.801563721432842</v>
      </c>
      <c r="V254" s="634">
        <f>IF(V222=0,0,(V253*1000)/V222)</f>
        <v>33.801563721432842</v>
      </c>
      <c r="W254" s="574"/>
      <c r="X254" s="575"/>
      <c r="Y254" s="575"/>
      <c r="Z254" s="574"/>
      <c r="AA254" s="574"/>
      <c r="AB254" s="634">
        <f>IF(AB222=0,0,(AB253*1000)/AB222)</f>
        <v>33.801563721432842</v>
      </c>
      <c r="AC254" s="315"/>
      <c r="AD254" s="316"/>
      <c r="AE254" s="316"/>
      <c r="AF254" s="315"/>
      <c r="AG254" s="315"/>
      <c r="AH254" s="634">
        <f>IF(AH222=0,0,(AH253*1000)/AH222)</f>
        <v>33.801563721432842</v>
      </c>
      <c r="AI254" s="574"/>
      <c r="AJ254" s="575"/>
      <c r="AK254" s="575"/>
      <c r="AL254" s="574"/>
      <c r="AM254" s="574"/>
      <c r="AN254" s="634">
        <f>IF(AN222=0,0,(AN253*1000)/AN222)</f>
        <v>33.801563721432842</v>
      </c>
      <c r="AO254" s="439"/>
      <c r="AP254" s="530"/>
      <c r="AQ254" s="530"/>
      <c r="AR254" s="439"/>
      <c r="AS254" s="439"/>
      <c r="AT254" s="633">
        <f>IF(AT222=0,0,(AT253*1000)/AT222)</f>
        <v>8.7241434634390398</v>
      </c>
      <c r="AU254" s="315"/>
      <c r="AV254" s="316"/>
      <c r="AW254" s="316"/>
      <c r="AX254" s="315"/>
      <c r="AY254" s="315"/>
      <c r="AZ254" s="634">
        <f>IF(AZ222=0,0,(AZ253*1000)/AZ222)</f>
        <v>8.7241434634390398</v>
      </c>
      <c r="BA254" s="315"/>
      <c r="BB254" s="316"/>
      <c r="BC254" s="316"/>
      <c r="BD254" s="315"/>
      <c r="BE254" s="315"/>
      <c r="BF254" s="634">
        <f>IF(BF222=0,0,(BF253*1000)/BF222)</f>
        <v>8.7241434634390398</v>
      </c>
      <c r="BG254" s="315"/>
      <c r="BH254" s="316"/>
      <c r="BI254" s="316"/>
      <c r="BJ254" s="315"/>
      <c r="BK254" s="315"/>
      <c r="BL254" s="634">
        <f>IF(BL222=0,0,(BL253*1000)/BL222)</f>
        <v>8.7241434634390398</v>
      </c>
      <c r="BM254" s="315"/>
      <c r="BN254" s="316"/>
      <c r="BO254" s="316"/>
      <c r="BP254" s="315"/>
      <c r="BQ254" s="315"/>
      <c r="BR254" s="634">
        <f>IF(BR222=0,0,(BR253*1000)/BR222)</f>
        <v>0</v>
      </c>
      <c r="BS254" s="315"/>
      <c r="BT254" s="316"/>
      <c r="BU254" s="316"/>
      <c r="BV254" s="315"/>
      <c r="BW254" s="315"/>
      <c r="BX254" s="634">
        <f>IF(BX222=0,0,(BX253*1000)/BX222)</f>
        <v>0</v>
      </c>
      <c r="BY254" s="315"/>
      <c r="BZ254" s="316"/>
      <c r="CA254" s="316"/>
      <c r="CB254" s="315"/>
      <c r="CC254" s="315"/>
      <c r="CD254" s="634">
        <f>IF(CD222=0,0,(CD253*1000)/CD222)</f>
        <v>0</v>
      </c>
      <c r="CE254" s="315"/>
      <c r="CF254" s="316"/>
      <c r="CG254" s="316"/>
      <c r="CH254" s="315"/>
      <c r="CI254" s="315"/>
      <c r="CJ254" s="634">
        <f>IF(CJ222=0,0,(CJ253*1000)/CJ222)</f>
        <v>0</v>
      </c>
      <c r="CK254" s="315"/>
      <c r="CL254" s="316"/>
      <c r="CM254" s="316"/>
      <c r="CN254" s="315"/>
      <c r="CO254" s="315"/>
      <c r="CP254" s="634">
        <f>IF(CP222=0,0,(CP253*1000)/CP222)</f>
        <v>0</v>
      </c>
      <c r="CQ254" s="315"/>
      <c r="CR254" s="316"/>
      <c r="CS254" s="316"/>
      <c r="CT254" s="315"/>
      <c r="CU254" s="315"/>
      <c r="CV254" s="634">
        <f>IF(CV222=0,0,(CV253*1000)/CV222)</f>
        <v>0</v>
      </c>
      <c r="CW254" s="577"/>
      <c r="CX254" s="575"/>
      <c r="CY254" s="575"/>
      <c r="CZ254" s="577"/>
      <c r="DA254" s="577"/>
      <c r="DB254" s="634">
        <f>IF(DB222=0,0,(DB253*1000)/DB222)</f>
        <v>0</v>
      </c>
      <c r="DC254" s="315"/>
      <c r="DD254" s="316"/>
      <c r="DE254" s="316"/>
      <c r="DF254" s="315"/>
      <c r="DG254" s="315"/>
      <c r="DH254" s="634">
        <f>IF(DH222=0,0,(DH253*1000)/DH222)</f>
        <v>0</v>
      </c>
      <c r="DI254" s="315"/>
      <c r="DJ254" s="316"/>
      <c r="DK254" s="316"/>
      <c r="DL254" s="315"/>
      <c r="DM254" s="315"/>
      <c r="DN254" s="634">
        <f>IF(DN222=0,0,(DN253*1000)/DN222)</f>
        <v>0</v>
      </c>
      <c r="DO254" s="315"/>
      <c r="DP254" s="316"/>
      <c r="DQ254" s="316"/>
      <c r="DR254" s="315"/>
      <c r="DS254" s="315"/>
      <c r="DT254" s="634">
        <f>IF(DT222=0,0,(DT253*1000)/DT222)</f>
        <v>0</v>
      </c>
      <c r="DU254" s="315"/>
      <c r="DV254" s="316"/>
      <c r="DW254" s="316"/>
      <c r="DX254" s="315"/>
      <c r="DY254" s="315"/>
      <c r="DZ254" s="634">
        <f>IF(DZ222=0,0,(DZ253*1000)/DZ222)</f>
        <v>0</v>
      </c>
      <c r="EA254" s="315"/>
      <c r="EB254" s="316"/>
      <c r="EC254" s="316"/>
      <c r="ED254" s="315"/>
      <c r="EE254" s="315"/>
      <c r="EF254" s="634">
        <f>IF(EF222=0,0,(EF253*1000)/EF222)</f>
        <v>0</v>
      </c>
      <c r="EG254" s="315"/>
      <c r="EH254" s="316"/>
      <c r="EI254" s="316"/>
      <c r="EJ254" s="315"/>
      <c r="EK254" s="315"/>
      <c r="EL254" s="634">
        <f>IF(EL222=0,0,(EL253*1000)/EL222)</f>
        <v>0</v>
      </c>
      <c r="EM254" s="315"/>
      <c r="EN254" s="316"/>
      <c r="EO254" s="316"/>
      <c r="EP254" s="315"/>
      <c r="EQ254" s="315"/>
      <c r="ER254" s="634">
        <f>IF(ER222=0,0,(ER253*1000)/ER222)</f>
        <v>0</v>
      </c>
      <c r="ES254" s="315"/>
      <c r="ET254" s="316"/>
      <c r="EU254" s="316"/>
      <c r="EV254" s="315"/>
      <c r="EW254" s="315"/>
      <c r="EX254" s="634">
        <f>IF(EX222=0,0,(EX253*1000)/EX222)</f>
        <v>0</v>
      </c>
      <c r="EY254" s="315"/>
      <c r="EZ254" s="316"/>
      <c r="FA254" s="316"/>
      <c r="FB254" s="315"/>
      <c r="FC254" s="315"/>
      <c r="FD254" s="634">
        <f>IF(FD222=0,0,(FD253*1000)/FD222)</f>
        <v>0</v>
      </c>
      <c r="FE254" s="315"/>
      <c r="FF254" s="316"/>
      <c r="FG254" s="316"/>
      <c r="FH254" s="315"/>
      <c r="FI254" s="315"/>
      <c r="FJ254" s="634">
        <f>IF(FJ222=0,0,(FJ253*1000)/FJ222)</f>
        <v>0</v>
      </c>
      <c r="FK254" s="315"/>
      <c r="FL254" s="316"/>
      <c r="FM254" s="316"/>
      <c r="FN254" s="315"/>
      <c r="FO254" s="315"/>
      <c r="FP254" s="634">
        <f>IF(FP222=0,0,(FP253*1000)/FP222)</f>
        <v>0</v>
      </c>
      <c r="FQ254" s="315"/>
      <c r="FR254" s="316"/>
      <c r="FS254" s="316"/>
      <c r="FT254" s="315"/>
      <c r="FU254" s="315"/>
      <c r="FV254" s="634">
        <f>IF(FV222=0,0,(FV253*1000)/FV222)</f>
        <v>0</v>
      </c>
      <c r="FW254" s="315"/>
      <c r="FX254" s="316"/>
      <c r="FY254" s="316"/>
      <c r="FZ254" s="315"/>
      <c r="GA254" s="315"/>
      <c r="GB254" s="634">
        <f>IF(GB222=0,0,(GB253*1000)/GB222)</f>
        <v>0</v>
      </c>
      <c r="GC254" s="315"/>
      <c r="GD254" s="316"/>
      <c r="GE254" s="316"/>
      <c r="GF254" s="315"/>
      <c r="GG254" s="315"/>
      <c r="GH254" s="634">
        <f>IF(GH222=0,0,(GH253*1000)/GH222)</f>
        <v>0</v>
      </c>
      <c r="GI254" s="315"/>
      <c r="GJ254" s="316"/>
      <c r="GK254" s="316"/>
      <c r="GL254" s="315"/>
      <c r="GM254" s="315"/>
      <c r="GN254" s="634">
        <f>IF(GN222=0,0,(GN253*1000)/GN222)</f>
        <v>0</v>
      </c>
      <c r="GO254" s="315"/>
      <c r="GP254" s="316"/>
      <c r="GQ254" s="316"/>
      <c r="GR254" s="315"/>
      <c r="GS254" s="315"/>
      <c r="GT254" s="634">
        <f>IF(GT222=0,0,(GT253*1000)/GT222)</f>
        <v>0</v>
      </c>
      <c r="GU254" s="315"/>
      <c r="GV254" s="316"/>
      <c r="GW254" s="316"/>
      <c r="GX254" s="315"/>
      <c r="GY254" s="315"/>
      <c r="GZ254" s="666">
        <f>IF(GZ222=0,0,(GZ253*1000)/GZ222)</f>
        <v>0</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0</v>
      </c>
      <c r="W255" s="668">
        <f t="shared" si="290"/>
        <v>0</v>
      </c>
      <c r="X255" s="668">
        <f t="shared" si="290"/>
        <v>0</v>
      </c>
      <c r="Y255" s="668">
        <f t="shared" si="290"/>
        <v>0</v>
      </c>
      <c r="Z255" s="668">
        <f t="shared" si="290"/>
        <v>0</v>
      </c>
      <c r="AA255" s="668">
        <f t="shared" si="290"/>
        <v>0</v>
      </c>
      <c r="AB255" s="668">
        <f t="shared" si="290"/>
        <v>0</v>
      </c>
      <c r="AC255" s="668">
        <f t="shared" si="290"/>
        <v>0</v>
      </c>
      <c r="AD255" s="668">
        <f t="shared" si="290"/>
        <v>0</v>
      </c>
      <c r="AE255" s="668">
        <f t="shared" si="290"/>
        <v>0</v>
      </c>
      <c r="AF255" s="668">
        <f t="shared" si="290"/>
        <v>0</v>
      </c>
      <c r="AG255" s="668">
        <f t="shared" si="290"/>
        <v>0</v>
      </c>
      <c r="AH255" s="668">
        <f t="shared" si="290"/>
        <v>0</v>
      </c>
      <c r="AI255" s="668">
        <f t="shared" si="290"/>
        <v>0</v>
      </c>
      <c r="AJ255" s="668">
        <f t="shared" si="290"/>
        <v>0</v>
      </c>
      <c r="AK255" s="668">
        <f t="shared" si="290"/>
        <v>0</v>
      </c>
      <c r="AL255" s="668">
        <f t="shared" si="290"/>
        <v>0</v>
      </c>
      <c r="AM255" s="668">
        <f t="shared" si="290"/>
        <v>0</v>
      </c>
      <c r="AN255" s="668">
        <f t="shared" si="290"/>
        <v>0</v>
      </c>
      <c r="AO255" s="668">
        <f t="shared" si="290"/>
        <v>0</v>
      </c>
      <c r="AP255" s="668">
        <f t="shared" si="290"/>
        <v>0</v>
      </c>
      <c r="AQ255" s="668">
        <f t="shared" si="290"/>
        <v>0</v>
      </c>
      <c r="AR255" s="668">
        <f t="shared" si="290"/>
        <v>0</v>
      </c>
      <c r="AS255" s="668">
        <f t="shared" si="290"/>
        <v>0</v>
      </c>
      <c r="AT255" s="668">
        <f t="shared" si="290"/>
        <v>-0.7419011873137914</v>
      </c>
      <c r="AU255" s="668">
        <f t="shared" si="290"/>
        <v>0</v>
      </c>
      <c r="AV255" s="668">
        <f t="shared" si="290"/>
        <v>0</v>
      </c>
      <c r="AW255" s="668">
        <f t="shared" si="290"/>
        <v>0</v>
      </c>
      <c r="AX255" s="668">
        <f t="shared" si="290"/>
        <v>0</v>
      </c>
      <c r="AY255" s="668">
        <f t="shared" si="290"/>
        <v>0</v>
      </c>
      <c r="AZ255" s="668">
        <f t="shared" si="290"/>
        <v>-0.7419011873137914</v>
      </c>
      <c r="BA255" s="668">
        <f t="shared" ref="BA255:CF255" si="291">IF(BA222=0,0,IF(CO2_2018=0,0,(BA253/$U$253)-1))</f>
        <v>0</v>
      </c>
      <c r="BB255" s="668">
        <f t="shared" si="291"/>
        <v>0</v>
      </c>
      <c r="BC255" s="668">
        <f t="shared" si="291"/>
        <v>0</v>
      </c>
      <c r="BD255" s="668">
        <f t="shared" si="291"/>
        <v>0</v>
      </c>
      <c r="BE255" s="668">
        <f t="shared" si="291"/>
        <v>0</v>
      </c>
      <c r="BF255" s="668">
        <f t="shared" si="291"/>
        <v>-0.7419011873137914</v>
      </c>
      <c r="BG255" s="668">
        <f t="shared" si="291"/>
        <v>0</v>
      </c>
      <c r="BH255" s="668">
        <f t="shared" si="291"/>
        <v>0</v>
      </c>
      <c r="BI255" s="668">
        <f t="shared" si="291"/>
        <v>0</v>
      </c>
      <c r="BJ255" s="668">
        <f t="shared" si="291"/>
        <v>0</v>
      </c>
      <c r="BK255" s="668">
        <f t="shared" si="291"/>
        <v>0</v>
      </c>
      <c r="BL255" s="668">
        <f t="shared" si="291"/>
        <v>-0.7419011873137914</v>
      </c>
      <c r="BM255" s="668">
        <f t="shared" si="291"/>
        <v>0</v>
      </c>
      <c r="BN255" s="668">
        <f t="shared" si="291"/>
        <v>0</v>
      </c>
      <c r="BO255" s="668">
        <f t="shared" si="291"/>
        <v>0</v>
      </c>
      <c r="BP255" s="668">
        <f t="shared" si="291"/>
        <v>0</v>
      </c>
      <c r="BQ255" s="668">
        <f t="shared" si="291"/>
        <v>0</v>
      </c>
      <c r="BR255" s="668">
        <f t="shared" si="291"/>
        <v>0</v>
      </c>
      <c r="BS255" s="668">
        <f t="shared" si="291"/>
        <v>0</v>
      </c>
      <c r="BT255" s="668">
        <f t="shared" si="291"/>
        <v>0</v>
      </c>
      <c r="BU255" s="668">
        <f t="shared" si="291"/>
        <v>0</v>
      </c>
      <c r="BV255" s="668">
        <f t="shared" si="291"/>
        <v>0</v>
      </c>
      <c r="BW255" s="668">
        <f t="shared" si="291"/>
        <v>0</v>
      </c>
      <c r="BX255" s="668">
        <f t="shared" si="291"/>
        <v>0</v>
      </c>
      <c r="BY255" s="668">
        <f t="shared" si="291"/>
        <v>0</v>
      </c>
      <c r="BZ255" s="668">
        <f t="shared" si="291"/>
        <v>0</v>
      </c>
      <c r="CA255" s="668">
        <f t="shared" si="291"/>
        <v>0</v>
      </c>
      <c r="CB255" s="668">
        <f t="shared" si="291"/>
        <v>0</v>
      </c>
      <c r="CC255" s="668">
        <f t="shared" si="291"/>
        <v>0</v>
      </c>
      <c r="CD255" s="668">
        <f t="shared" si="291"/>
        <v>0</v>
      </c>
      <c r="CE255" s="668">
        <f t="shared" si="291"/>
        <v>0</v>
      </c>
      <c r="CF255" s="668">
        <f t="shared" si="291"/>
        <v>0</v>
      </c>
      <c r="CG255" s="668">
        <f t="shared" ref="CG255:DL255" si="292">IF(CG222=0,0,IF(CO2_2018=0,0,(CG253/$U$253)-1))</f>
        <v>0</v>
      </c>
      <c r="CH255" s="668">
        <f t="shared" si="292"/>
        <v>0</v>
      </c>
      <c r="CI255" s="668">
        <f t="shared" si="292"/>
        <v>0</v>
      </c>
      <c r="CJ255" s="668">
        <f t="shared" si="292"/>
        <v>0</v>
      </c>
      <c r="CK255" s="668">
        <f t="shared" si="292"/>
        <v>0</v>
      </c>
      <c r="CL255" s="668">
        <f t="shared" si="292"/>
        <v>0</v>
      </c>
      <c r="CM255" s="668">
        <f t="shared" si="292"/>
        <v>0</v>
      </c>
      <c r="CN255" s="668">
        <f t="shared" si="292"/>
        <v>0</v>
      </c>
      <c r="CO255" s="668">
        <f t="shared" si="292"/>
        <v>0</v>
      </c>
      <c r="CP255" s="668">
        <f t="shared" si="292"/>
        <v>0</v>
      </c>
      <c r="CQ255" s="668">
        <f t="shared" si="292"/>
        <v>0</v>
      </c>
      <c r="CR255" s="668">
        <f t="shared" si="292"/>
        <v>0</v>
      </c>
      <c r="CS255" s="668">
        <f t="shared" si="292"/>
        <v>0</v>
      </c>
      <c r="CT255" s="668">
        <f t="shared" si="292"/>
        <v>0</v>
      </c>
      <c r="CU255" s="668">
        <f t="shared" si="292"/>
        <v>0</v>
      </c>
      <c r="CV255" s="668">
        <f t="shared" si="292"/>
        <v>0</v>
      </c>
      <c r="CW255" s="668">
        <f t="shared" si="292"/>
        <v>0</v>
      </c>
      <c r="CX255" s="668">
        <f t="shared" si="292"/>
        <v>0</v>
      </c>
      <c r="CY255" s="668">
        <f t="shared" si="292"/>
        <v>0</v>
      </c>
      <c r="CZ255" s="668">
        <f t="shared" si="292"/>
        <v>0</v>
      </c>
      <c r="DA255" s="668">
        <f t="shared" si="292"/>
        <v>0</v>
      </c>
      <c r="DB255" s="668">
        <f t="shared" si="292"/>
        <v>0</v>
      </c>
      <c r="DC255" s="668">
        <f t="shared" si="292"/>
        <v>0</v>
      </c>
      <c r="DD255" s="668">
        <f t="shared" si="292"/>
        <v>0</v>
      </c>
      <c r="DE255" s="668">
        <f t="shared" si="292"/>
        <v>0</v>
      </c>
      <c r="DF255" s="668">
        <f t="shared" si="292"/>
        <v>0</v>
      </c>
      <c r="DG255" s="668">
        <f t="shared" si="292"/>
        <v>0</v>
      </c>
      <c r="DH255" s="668">
        <f t="shared" si="292"/>
        <v>0</v>
      </c>
      <c r="DI255" s="668">
        <f t="shared" si="292"/>
        <v>0</v>
      </c>
      <c r="DJ255" s="668">
        <f t="shared" si="292"/>
        <v>0</v>
      </c>
      <c r="DK255" s="668">
        <f t="shared" si="292"/>
        <v>0</v>
      </c>
      <c r="DL255" s="668">
        <f t="shared" si="292"/>
        <v>0</v>
      </c>
      <c r="DM255" s="668">
        <f t="shared" ref="DM255:ER255" si="293">IF(DM222=0,0,IF(CO2_2018=0,0,(DM253/$U$253)-1))</f>
        <v>0</v>
      </c>
      <c r="DN255" s="668">
        <f t="shared" si="293"/>
        <v>0</v>
      </c>
      <c r="DO255" s="668">
        <f t="shared" si="293"/>
        <v>0</v>
      </c>
      <c r="DP255" s="668">
        <f t="shared" si="293"/>
        <v>0</v>
      </c>
      <c r="DQ255" s="668">
        <f t="shared" si="293"/>
        <v>0</v>
      </c>
      <c r="DR255" s="668">
        <f t="shared" si="293"/>
        <v>0</v>
      </c>
      <c r="DS255" s="668">
        <f t="shared" si="293"/>
        <v>0</v>
      </c>
      <c r="DT255" s="668">
        <f t="shared" si="293"/>
        <v>0</v>
      </c>
      <c r="DU255" s="668">
        <f t="shared" si="293"/>
        <v>0</v>
      </c>
      <c r="DV255" s="668">
        <f t="shared" si="293"/>
        <v>0</v>
      </c>
      <c r="DW255" s="668">
        <f t="shared" si="293"/>
        <v>0</v>
      </c>
      <c r="DX255" s="668">
        <f t="shared" si="293"/>
        <v>0</v>
      </c>
      <c r="DY255" s="668">
        <f t="shared" si="293"/>
        <v>0</v>
      </c>
      <c r="DZ255" s="668">
        <f t="shared" si="293"/>
        <v>0</v>
      </c>
      <c r="EA255" s="668">
        <f t="shared" si="293"/>
        <v>0</v>
      </c>
      <c r="EB255" s="668">
        <f t="shared" si="293"/>
        <v>0</v>
      </c>
      <c r="EC255" s="668">
        <f t="shared" si="293"/>
        <v>0</v>
      </c>
      <c r="ED255" s="668">
        <f t="shared" si="293"/>
        <v>0</v>
      </c>
      <c r="EE255" s="668">
        <f t="shared" si="293"/>
        <v>0</v>
      </c>
      <c r="EF255" s="668">
        <f t="shared" si="293"/>
        <v>0</v>
      </c>
      <c r="EG255" s="668">
        <f t="shared" si="293"/>
        <v>0</v>
      </c>
      <c r="EH255" s="668">
        <f t="shared" si="293"/>
        <v>0</v>
      </c>
      <c r="EI255" s="668">
        <f t="shared" si="293"/>
        <v>0</v>
      </c>
      <c r="EJ255" s="668">
        <f t="shared" si="293"/>
        <v>0</v>
      </c>
      <c r="EK255" s="668">
        <f t="shared" si="293"/>
        <v>0</v>
      </c>
      <c r="EL255" s="668">
        <f t="shared" si="293"/>
        <v>0</v>
      </c>
      <c r="EM255" s="668">
        <f t="shared" si="293"/>
        <v>0</v>
      </c>
      <c r="EN255" s="668">
        <f t="shared" si="293"/>
        <v>0</v>
      </c>
      <c r="EO255" s="668">
        <f t="shared" si="293"/>
        <v>0</v>
      </c>
      <c r="EP255" s="668">
        <f t="shared" si="293"/>
        <v>0</v>
      </c>
      <c r="EQ255" s="668">
        <f t="shared" si="293"/>
        <v>0</v>
      </c>
      <c r="ER255" s="668">
        <f t="shared" si="293"/>
        <v>0</v>
      </c>
      <c r="ES255" s="668">
        <f t="shared" ref="ES255:FX255" si="294">IF(ES222=0,0,IF(CO2_2018=0,0,(ES253/$U$253)-1))</f>
        <v>0</v>
      </c>
      <c r="ET255" s="668">
        <f t="shared" si="294"/>
        <v>0</v>
      </c>
      <c r="EU255" s="668">
        <f t="shared" si="294"/>
        <v>0</v>
      </c>
      <c r="EV255" s="668">
        <f t="shared" si="294"/>
        <v>0</v>
      </c>
      <c r="EW255" s="668">
        <f t="shared" si="294"/>
        <v>0</v>
      </c>
      <c r="EX255" s="668">
        <f t="shared" si="294"/>
        <v>0</v>
      </c>
      <c r="EY255" s="668">
        <f t="shared" si="294"/>
        <v>0</v>
      </c>
      <c r="EZ255" s="668">
        <f t="shared" si="294"/>
        <v>0</v>
      </c>
      <c r="FA255" s="668">
        <f t="shared" si="294"/>
        <v>0</v>
      </c>
      <c r="FB255" s="668">
        <f t="shared" si="294"/>
        <v>0</v>
      </c>
      <c r="FC255" s="668">
        <f t="shared" si="294"/>
        <v>0</v>
      </c>
      <c r="FD255" s="668">
        <f t="shared" si="294"/>
        <v>0</v>
      </c>
      <c r="FE255" s="668">
        <f t="shared" si="294"/>
        <v>0</v>
      </c>
      <c r="FF255" s="668">
        <f t="shared" si="294"/>
        <v>0</v>
      </c>
      <c r="FG255" s="668">
        <f t="shared" si="294"/>
        <v>0</v>
      </c>
      <c r="FH255" s="668">
        <f t="shared" si="294"/>
        <v>0</v>
      </c>
      <c r="FI255" s="668">
        <f t="shared" si="294"/>
        <v>0</v>
      </c>
      <c r="FJ255" s="668">
        <f t="shared" si="294"/>
        <v>0</v>
      </c>
      <c r="FK255" s="668">
        <f t="shared" si="294"/>
        <v>0</v>
      </c>
      <c r="FL255" s="668">
        <f t="shared" si="294"/>
        <v>0</v>
      </c>
      <c r="FM255" s="668">
        <f t="shared" si="294"/>
        <v>0</v>
      </c>
      <c r="FN255" s="668">
        <f t="shared" si="294"/>
        <v>0</v>
      </c>
      <c r="FO255" s="668">
        <f t="shared" si="294"/>
        <v>0</v>
      </c>
      <c r="FP255" s="668">
        <f t="shared" si="294"/>
        <v>0</v>
      </c>
      <c r="FQ255" s="668">
        <f t="shared" si="294"/>
        <v>0</v>
      </c>
      <c r="FR255" s="668">
        <f t="shared" si="294"/>
        <v>0</v>
      </c>
      <c r="FS255" s="668">
        <f t="shared" si="294"/>
        <v>0</v>
      </c>
      <c r="FT255" s="668">
        <f t="shared" si="294"/>
        <v>0</v>
      </c>
      <c r="FU255" s="668">
        <f t="shared" si="294"/>
        <v>0</v>
      </c>
      <c r="FV255" s="668">
        <f t="shared" si="294"/>
        <v>0</v>
      </c>
      <c r="FW255" s="668">
        <f t="shared" si="294"/>
        <v>0</v>
      </c>
      <c r="FX255" s="668">
        <f t="shared" si="294"/>
        <v>0</v>
      </c>
      <c r="FY255" s="668">
        <f t="shared" ref="FY255:GZ255" si="295">IF(FY222=0,0,IF(CO2_2018=0,0,(FY253/$U$253)-1))</f>
        <v>0</v>
      </c>
      <c r="FZ255" s="668">
        <f t="shared" si="295"/>
        <v>0</v>
      </c>
      <c r="GA255" s="668">
        <f t="shared" si="295"/>
        <v>0</v>
      </c>
      <c r="GB255" s="668">
        <f t="shared" si="295"/>
        <v>0</v>
      </c>
      <c r="GC255" s="668">
        <f t="shared" si="295"/>
        <v>0</v>
      </c>
      <c r="GD255" s="668">
        <f t="shared" si="295"/>
        <v>0</v>
      </c>
      <c r="GE255" s="668">
        <f t="shared" si="295"/>
        <v>0</v>
      </c>
      <c r="GF255" s="668">
        <f t="shared" si="295"/>
        <v>0</v>
      </c>
      <c r="GG255" s="668">
        <f t="shared" si="295"/>
        <v>0</v>
      </c>
      <c r="GH255" s="668">
        <f t="shared" si="295"/>
        <v>0</v>
      </c>
      <c r="GI255" s="668">
        <f t="shared" si="295"/>
        <v>0</v>
      </c>
      <c r="GJ255" s="668">
        <f t="shared" si="295"/>
        <v>0</v>
      </c>
      <c r="GK255" s="668">
        <f t="shared" si="295"/>
        <v>0</v>
      </c>
      <c r="GL255" s="668">
        <f t="shared" si="295"/>
        <v>0</v>
      </c>
      <c r="GM255" s="668">
        <f t="shared" si="295"/>
        <v>0</v>
      </c>
      <c r="GN255" s="668">
        <f t="shared" si="295"/>
        <v>0</v>
      </c>
      <c r="GO255" s="668">
        <f t="shared" si="295"/>
        <v>0</v>
      </c>
      <c r="GP255" s="668">
        <f t="shared" si="295"/>
        <v>0</v>
      </c>
      <c r="GQ255" s="668">
        <f t="shared" si="295"/>
        <v>0</v>
      </c>
      <c r="GR255" s="668">
        <f t="shared" si="295"/>
        <v>0</v>
      </c>
      <c r="GS255" s="668">
        <f t="shared" si="295"/>
        <v>0</v>
      </c>
      <c r="GT255" s="668">
        <f t="shared" si="295"/>
        <v>0</v>
      </c>
      <c r="GU255" s="668">
        <f t="shared" si="295"/>
        <v>0</v>
      </c>
      <c r="GV255" s="668">
        <f t="shared" si="295"/>
        <v>0</v>
      </c>
      <c r="GW255" s="668">
        <f t="shared" si="295"/>
        <v>0</v>
      </c>
      <c r="GX255" s="668">
        <f t="shared" si="295"/>
        <v>0</v>
      </c>
      <c r="GY255" s="668">
        <f t="shared" si="295"/>
        <v>0</v>
      </c>
      <c r="GZ255" s="668">
        <f t="shared" si="295"/>
        <v>0</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33" priority="7">
      <formula>LEN(TRIM(C12))=0</formula>
    </cfRule>
  </conditionalFormatting>
  <conditionalFormatting sqref="C15">
    <cfRule type="containsBlanks" dxfId="32" priority="6">
      <formula>LEN(TRIM(C15))=0</formula>
    </cfRule>
  </conditionalFormatting>
  <conditionalFormatting sqref="C29">
    <cfRule type="expression" dxfId="31" priority="5">
      <formula>$C$28="Ja"</formula>
    </cfRule>
  </conditionalFormatting>
  <conditionalFormatting sqref="C44:G215">
    <cfRule type="expression" dxfId="30" priority="51">
      <formula>$H44="x"</formula>
    </cfRule>
  </conditionalFormatting>
  <conditionalFormatting sqref="D29">
    <cfRule type="expression" dxfId="29" priority="14">
      <formula>$C$28="Ja"</formula>
    </cfRule>
  </conditionalFormatting>
  <conditionalFormatting sqref="D43:E43">
    <cfRule type="expression" dxfId="28" priority="72">
      <formula>$C$12&lt;K$219</formula>
    </cfRule>
  </conditionalFormatting>
  <conditionalFormatting sqref="E1">
    <cfRule type="containsText" dxfId="27" priority="52" operator="containsText" text="Let">
      <formula>NOT(ISERROR(SEARCH("Let",E1)))</formula>
    </cfRule>
  </conditionalFormatting>
  <conditionalFormatting sqref="E218:I218">
    <cfRule type="expression" dxfId="26" priority="66">
      <formula>#REF!=0</formula>
    </cfRule>
  </conditionalFormatting>
  <conditionalFormatting sqref="H42">
    <cfRule type="expression" dxfId="25" priority="71">
      <formula>$C$12&lt;L$219</formula>
    </cfRule>
  </conditionalFormatting>
  <conditionalFormatting sqref="H44:H215">
    <cfRule type="containsText" dxfId="22" priority="58" operator="containsText" text="x">
      <formula>NOT(ISERROR(SEARCH("x",H44)))</formula>
    </cfRule>
  </conditionalFormatting>
  <conditionalFormatting sqref="I42:I43">
    <cfRule type="expression" dxfId="21" priority="68">
      <formula>$C$12&lt;N$219</formula>
    </cfRule>
  </conditionalFormatting>
  <conditionalFormatting sqref="I45:GZ215">
    <cfRule type="expression" dxfId="20" priority="74">
      <formula>$H45="x"</formula>
    </cfRule>
  </conditionalFormatting>
  <conditionalFormatting sqref="I44:HE44">
    <cfRule type="expression" dxfId="19" priority="60">
      <formula>$H44="x"</formula>
    </cfRule>
  </conditionalFormatting>
  <conditionalFormatting sqref="J218">
    <cfRule type="expression" dxfId="18" priority="63">
      <formula>#REF!=0</formula>
    </cfRule>
  </conditionalFormatting>
  <conditionalFormatting sqref="K42:K43 N42:N43 P42:S43">
    <cfRule type="expression" dxfId="17" priority="67">
      <formula>$C$12&lt;#REF!</formula>
    </cfRule>
  </conditionalFormatting>
  <conditionalFormatting sqref="M42:M43 C43">
    <cfRule type="expression" dxfId="16" priority="69">
      <formula>$C$12&lt;K$219</formula>
    </cfRule>
  </conditionalFormatting>
  <conditionalFormatting sqref="O42:O43">
    <cfRule type="expression" dxfId="15" priority="70">
      <formula>$C$12&lt;Q$219</formula>
    </cfRule>
  </conditionalFormatting>
  <conditionalFormatting sqref="T44:T215">
    <cfRule type="cellIs" dxfId="14" priority="62" operator="equal">
      <formula>1</formula>
    </cfRule>
    <cfRule type="cellIs" dxfId="13" priority="73" operator="greaterThan">
      <formula>1</formula>
    </cfRule>
  </conditionalFormatting>
  <conditionalFormatting sqref="U229:V229 AB229 AH229 AN229 AT229:GZ229 U232:V232 AB232 AH232 AN232 AT232:GZ232 U235:V235 AB235 AH235 AN235 AT235:GZ235">
    <cfRule type="cellIs" dxfId="12" priority="53" operator="lessThan">
      <formula>0</formula>
    </cfRule>
  </conditionalFormatting>
  <conditionalFormatting sqref="U31:CJ33">
    <cfRule type="expression" dxfId="11" priority="3">
      <formula>YEAR(TODAY())=U$30+1</formula>
    </cfRule>
    <cfRule type="expression" dxfId="10" priority="4">
      <formula>YEAR(TODAY())&gt;U$30</formula>
    </cfRule>
  </conditionalFormatting>
  <conditionalFormatting sqref="U37:CJ37">
    <cfRule type="expression" dxfId="9" priority="1">
      <formula>YEAR(TODAY())=U$30+1</formula>
    </cfRule>
    <cfRule type="expression" dxfId="8" priority="2">
      <formula>YEAR(TODAY())&gt;U$30</formula>
    </cfRule>
  </conditionalFormatting>
  <conditionalFormatting sqref="V44:GZ215">
    <cfRule type="expression" dxfId="7" priority="11">
      <formula>V$219&lt;$C$11</formula>
    </cfRule>
    <cfRule type="expression" dxfId="6" priority="9">
      <formula>V$219&gt;$C$12</formula>
    </cfRule>
  </conditionalFormatting>
  <conditionalFormatting sqref="V44:HE44 V45:GZ215">
    <cfRule type="expression" dxfId="5" priority="8">
      <formula>YEAR(TODAY())&gt;V$42</formula>
    </cfRule>
    <cfRule type="notContainsBlanks" dxfId="4" priority="12">
      <formula>LEN(TRIM(V44))&gt;0</formula>
    </cfRule>
  </conditionalFormatting>
  <conditionalFormatting sqref="CQ36:CU37">
    <cfRule type="expression" dxfId="3" priority="54">
      <formula>YEAR(TODAY())=CQ$42</formula>
    </cfRule>
    <cfRule type="expression" dxfId="2" priority="55">
      <formula>YEAR(TODAY())&lt;CQ$42</formula>
    </cfRule>
  </conditionalFormatting>
  <conditionalFormatting sqref="HA45:HE215">
    <cfRule type="notContainsBlanks" dxfId="1" priority="16">
      <formula>LEN(TRIM(HA45))&gt;0</formula>
    </cfRule>
    <cfRule type="expression" dxfId="0" priority="17">
      <formula>$H45="x"</formula>
    </cfRule>
  </conditionalFormatting>
  <dataValidations count="27">
    <dataValidation type="whole" errorStyle="warning" operator="lessThan" showInputMessage="1" showErrorMessage="1" errorTitle="Let op!" error="U heeft deze maatregel al elders ingepland. Weet u zeker dat u deze maatregel nógmaals wilt uitvoeren? " sqref="HF46:HF66 HF218" xr:uid="{9BE4A816-519E-4EE2-852F-C9BB8D499C28}">
      <formula1>1</formula1>
    </dataValidation>
    <dataValidation type="whole" operator="notEqual" showErrorMessage="1" errorTitle="Let op!" error="U heeft deze maatregel al elders ingepland. Weet u zeker dat u deze maatregel nógmaals wilt uitvoeren? " sqref="HF43:HF45" xr:uid="{19EF0027-F654-49B9-AA47-FCACDF4B5AB1}">
      <formula1>1</formula1>
    </dataValidation>
    <dataValidation allowBlank="1" showInputMessage="1" showErrorMessage="1" prompt="Alleen wijzigen als dit afwijkt van de rest van de organisatie! Voor de gehele organisatie kunt u de energieprijs wijzigen in het Dashboard. " sqref="C18:C20" xr:uid="{385B8125-8CC6-4908-B03A-3BD8C677C268}"/>
    <dataValidation allowBlank="1" sqref="U218:GY218 HA218:HE218" xr:uid="{621FC01B-5813-45B6-881D-70A2273547A4}"/>
    <dataValidation type="list" showInputMessage="1" showErrorMessage="1" error="Kies een jaar tussen 2018 en 2050. " prompt="Kies een jaar tussen '2018' en '2050 of later'. " sqref="C12" xr:uid="{BA3A5CEC-7B5A-46B7-97AB-56633624B986}">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5EA6586C-4D2C-4280-A813-11BCF2CA1ED1}">
      <formula1>0</formula1>
    </dataValidation>
    <dataValidation type="list" showInputMessage="1" showErrorMessage="1" error="Kies een jaar tussen 2018 en 2050 of laat leeg. " sqref="C11" xr:uid="{FCA25B96-33B0-43AE-AF83-CCED0C934D84}">
      <formula1>$HL$2:$HL$34</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8216F390-CA0E-4CC6-AAD9-67593E31B28A}">
      <formula1>$GZ$233&gt;0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71BA3CBA-0A10-4400-8B66-DE2CE4B3DAB6}">
      <formula1>$HL$1</formula1>
    </dataValidation>
    <dataValidation type="decimal" operator="greaterThan" allowBlank="1" showInputMessage="1" showErrorMessage="1" errorTitle="Ongeldige invoer" error="Je probeert iets anders dan een (komma)getal in te voeren. Dat kan niet. " sqref="HA45:HE215 V45:AS215" xr:uid="{3DC72982-D3BA-4B90-8B23-4C3AA2277A15}">
      <formula1>0</formula1>
    </dataValidation>
    <dataValidation type="list" showDropDown="1" showInputMessage="1" showErrorMessage="1" error="Maak een keuze tussen 'Eigendom' of 'Huur'." prompt="Maak een keuze tussen 'Eigendom' of 'Huur'." sqref="C15" xr:uid="{00B54C4E-5126-42BD-A8FA-1BB4130216BB}">
      <formula1>$HK$8:$HK$9</formula1>
    </dataValidation>
    <dataValidation allowBlank="1" showInputMessage="1" showErrorMessage="1" prompt="Hier komt automatisch de beheerder die op het starttabblad genoteerd staat. Je kunt dit overschrijven. " sqref="C37" xr:uid="{F8EB3BB8-8183-43C1-AE74-0B97F52C93DA}"/>
    <dataValidation allowBlank="1" showInputMessage="1" showErrorMessage="1" prompt="1234AA zonder spatie" sqref="C31" xr:uid="{319C73EC-233F-4AA2-BEE9-A16E620DA9E4}"/>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59BDB261-0C6E-46A3-A712-E10809215983}">
      <formula1>$HL$1:$HM$1</formula1>
    </dataValidation>
    <dataValidation type="textLength" operator="lessThanOrEqual" showInputMessage="1" showErrorMessage="1" error="Typ alleen het energielabel (G t/m A++++)" sqref="C16" xr:uid="{2F88478F-87FC-4141-8CF2-7A339C4102B4}">
      <formula1>6</formula1>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E8BC9A5B-FC42-4A91-9115-78C53684ED5C}">
      <formula1>0</formula1>
      <formula2>2030</formula2>
    </dataValidation>
    <dataValidation type="whole" allowBlank="1" showInputMessage="1" showErrorMessage="1" error="Vul een geheel getal in." sqref="C4:C5" xr:uid="{273E7AE6-54BF-4FE6-BFD3-5586D4FFBA5E}">
      <formula1>0</formula1>
      <formula2>10000000</formula2>
    </dataValidation>
    <dataValidation type="list" operator="greaterThan" showDropDown="1" showInputMessage="1" showErrorMessage="1" error="Typ &quot;Ja&quot; of &quot;Nee&quot;." prompt="Kies 'Ja' of 'Nee'." sqref="C10 C28" xr:uid="{987D2B06-3759-4DD1-9FA9-9BD5B79073F3}">
      <formula1>$HL$1:$HM$1</formula1>
    </dataValidation>
    <dataValidation type="list" operator="greaterThan" showDropDown="1" showInputMessage="1" showErrorMessage="1" error=" Typ 'brons', 'zilver' of 'goud'." prompt="Maak een keuze tussen brons, zilver of goud." sqref="C29" xr:uid="{BE43F339-83C3-474A-9884-1DC7C848E978}">
      <formula1>$HK$10:$HK$12</formula1>
    </dataValidation>
    <dataValidation allowBlank="1" showInputMessage="1" showErrorMessage="1" prompt="Dit is nodig als je de tool wilt gebruiken voor de informatieplicht. Met het e-mailadres en telefoonnummer wordt verder niets gedaan." sqref="C38:D39" xr:uid="{67EC0135-1A8C-4DFF-BDF9-5265216E349B}"/>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6AA3ACAD-1162-463D-9D20-103E2284991F}">
      <formula1>AND($GZ$229&gt;-1,$GZ$232&gt;-1,$GZ$235&gt;-1)</formula1>
    </dataValidation>
    <dataValidation allowBlank="1" showInputMessage="1" showErrorMessage="1" prompt="Vul de reductie aardgas in als je overstapt van een aardgasbron naar een duurzaam warmtenet. Laat de reductie warmte (cel R44) leeg." sqref="P44" xr:uid="{40B6BC48-BDEE-452A-966E-B472331C1840}"/>
    <dataValidation allowBlank="1" showInputMessage="1" showErrorMessage="1" prompt="Vul de reductie warmte in als het warmtenet waarop je aangesloten zit volledig duurzaam wordt. Laat de reductie aardgas (cel P44) leeg. " sqref="R44" xr:uid="{3E5A34DC-645D-4361-80AD-7E67F88F42ED}"/>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AFCCAA53-545A-4228-AB7A-70A692BDB7AC}">
      <formula1>AND($GZ$229&gt;-1,$GZ$232&gt;-1,$GZ$235&gt;-1)</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01F9C39A-DEF2-46FB-BC76-555752927CC1}">
      <formula1>$HK$3:$HK$6</formula1>
    </dataValidation>
    <dataValidation type="list" operator="equal" allowBlank="1" showDropDown="1" showInputMessage="1" showErrorMessage="1" errorTitle="Ongeldige invoer" error="Kies voor &quot;ja&quot; (direct uitvoeren) of laat de cel leeg." sqref="J44:J217" xr:uid="{25813B9C-175D-460C-80FF-759697BDA74F}">
      <formula1>$HK$7</formula1>
    </dataValidation>
    <dataValidation type="decimal" allowBlank="1" showInputMessage="1" showErrorMessage="1" sqref="C6" xr:uid="{E925BFEF-BBDC-44AD-8B4A-B597F1934B5F}">
      <formula1>0</formula1>
      <formula2>9999</formula2>
    </dataValidation>
  </dataValidations>
  <pageMargins left="0.7" right="0.7" top="0.75" bottom="0.75" header="0.3" footer="0.3"/>
  <pageSetup paperSize="8" scale="12"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D78C4215-57A5-48D6-AC4A-77E98B1872D0}">
            <xm:f>NOT(ISERROR(SEARCH("h",H44)))</xm:f>
            <xm:f>"h"</xm:f>
            <x14:dxf>
              <font>
                <color rgb="FFFDFDFF"/>
              </font>
              <fill>
                <patternFill>
                  <bgColor rgb="FF546A7B"/>
                </patternFill>
              </fill>
            </x14:dxf>
          </x14:cfRule>
          <x14:cfRule type="containsText" priority="59" operator="containsText" id="{0E2C43BC-0CC5-4400-BB87-AB457BDD6024}">
            <xm:f>NOT(ISERROR(SEARCH("v",H44)))</xm:f>
            <xm:f>"v"</xm:f>
            <x14:dxf>
              <font>
                <color rgb="FFFDFDFF"/>
              </font>
              <fill>
                <patternFill>
                  <bgColor rgb="FF393D3F"/>
                </patternFill>
              </fill>
            </x14:dxf>
          </x14:cfRule>
          <xm:sqref>H44:H215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tabColor rgb="FFC6C6B9"/>
  </sheetPr>
  <dimension ref="A1:AE43"/>
  <sheetViews>
    <sheetView zoomScale="85" zoomScaleNormal="85" workbookViewId="0"/>
  </sheetViews>
  <sheetFormatPr defaultColWidth="9.140625" defaultRowHeight="15"/>
  <cols>
    <col min="1" max="1" width="3.28515625" style="25" customWidth="1"/>
    <col min="2" max="2" width="1.7109375" style="25" customWidth="1"/>
    <col min="3" max="3" width="15.42578125" style="25" customWidth="1"/>
    <col min="4" max="4" width="12.140625" style="25" customWidth="1"/>
    <col min="5" max="5" width="8.85546875" style="25" customWidth="1"/>
    <col min="6" max="6" width="12.7109375" style="25" customWidth="1"/>
    <col min="7" max="7" width="9.140625" style="25"/>
    <col min="8" max="8" width="9.140625" style="25" customWidth="1"/>
    <col min="9" max="11" width="9.140625" style="25"/>
    <col min="12" max="12" width="7.85546875" style="25" customWidth="1"/>
    <col min="13" max="13" width="12.7109375" style="25" customWidth="1"/>
    <col min="14" max="14" width="10.7109375" style="25" customWidth="1"/>
    <col min="15" max="15" width="11" style="25" customWidth="1"/>
    <col min="16" max="16" width="19.5703125" style="25" customWidth="1"/>
    <col min="17" max="17" width="1.5703125" style="25" customWidth="1"/>
    <col min="18" max="16384" width="9.140625" style="25"/>
  </cols>
  <sheetData>
    <row r="1" spans="1:30" ht="18.75" customHeight="1">
      <c r="A1" s="244" t="s">
        <v>863</v>
      </c>
    </row>
    <row r="2" spans="1:30" ht="18" customHeight="1">
      <c r="B2" s="779" t="s">
        <v>640</v>
      </c>
      <c r="C2" s="779"/>
      <c r="D2" s="779"/>
      <c r="E2" s="779"/>
      <c r="F2" s="779"/>
      <c r="G2" s="779"/>
      <c r="H2" s="779"/>
      <c r="I2" s="779"/>
      <c r="J2" s="779"/>
      <c r="K2" s="779"/>
      <c r="L2" s="779"/>
      <c r="M2" s="779"/>
      <c r="N2" s="779"/>
      <c r="O2" s="779"/>
      <c r="P2" s="779"/>
      <c r="Q2" s="779"/>
    </row>
    <row r="3" spans="1:30" ht="69.75" customHeight="1">
      <c r="B3" s="779"/>
      <c r="C3" s="779"/>
      <c r="D3" s="779"/>
      <c r="E3" s="779"/>
      <c r="F3" s="779"/>
      <c r="G3" s="779"/>
      <c r="H3" s="779"/>
      <c r="I3" s="779"/>
      <c r="J3" s="779"/>
      <c r="K3" s="779"/>
      <c r="L3" s="779"/>
      <c r="M3" s="779"/>
      <c r="N3" s="779"/>
      <c r="O3" s="779"/>
      <c r="P3" s="779"/>
      <c r="Q3" s="779"/>
    </row>
    <row r="4" spans="1:30" ht="26.25" customHeight="1">
      <c r="B4" s="35"/>
      <c r="C4" s="9"/>
      <c r="D4" s="9"/>
      <c r="E4" s="35"/>
      <c r="F4" s="783" t="s">
        <v>635</v>
      </c>
      <c r="G4" s="783"/>
      <c r="H4" s="783"/>
      <c r="I4" s="783"/>
      <c r="J4" s="783"/>
      <c r="K4" s="783"/>
      <c r="L4" s="783"/>
      <c r="M4" s="783"/>
      <c r="N4" s="783"/>
      <c r="O4" s="783"/>
      <c r="P4" s="36"/>
      <c r="Q4" s="36"/>
      <c r="R4" s="46"/>
    </row>
    <row r="5" spans="1:30" ht="15" customHeight="1">
      <c r="B5" s="35"/>
      <c r="C5" s="49"/>
      <c r="D5" s="49"/>
      <c r="E5" s="49"/>
      <c r="F5" s="783"/>
      <c r="G5" s="783"/>
      <c r="H5" s="783"/>
      <c r="I5" s="783"/>
      <c r="J5" s="783"/>
      <c r="K5" s="783"/>
      <c r="L5" s="783"/>
      <c r="M5" s="783"/>
      <c r="N5" s="783"/>
      <c r="O5" s="783"/>
      <c r="P5" s="37"/>
      <c r="Q5" s="37"/>
      <c r="R5" s="46"/>
      <c r="S5" s="47"/>
    </row>
    <row r="6" spans="1:30">
      <c r="B6" s="35"/>
      <c r="C6" s="1"/>
      <c r="D6" s="1"/>
      <c r="E6" s="1"/>
      <c r="F6" s="1"/>
      <c r="G6" s="1"/>
      <c r="H6" s="1"/>
      <c r="I6" s="1"/>
      <c r="J6" s="1"/>
      <c r="K6" s="1"/>
      <c r="L6" s="1"/>
      <c r="M6" s="1"/>
      <c r="N6" s="1"/>
      <c r="O6" s="1"/>
      <c r="P6" s="1"/>
      <c r="Q6" s="36"/>
      <c r="R6" s="46"/>
      <c r="S6" s="47"/>
    </row>
    <row r="7" spans="1:30" ht="30" customHeight="1">
      <c r="B7" s="35"/>
      <c r="C7" s="785" t="s">
        <v>18</v>
      </c>
      <c r="D7" s="785"/>
      <c r="E7" s="785"/>
      <c r="F7" s="785"/>
      <c r="G7" s="785"/>
      <c r="H7" s="785"/>
      <c r="I7" s="785"/>
      <c r="J7" s="785"/>
      <c r="K7" s="785"/>
      <c r="L7" s="785"/>
      <c r="M7" s="785"/>
      <c r="N7" s="785"/>
      <c r="O7" s="785"/>
      <c r="P7" s="52"/>
      <c r="Q7" s="36"/>
      <c r="R7" s="46"/>
      <c r="S7" s="48"/>
    </row>
    <row r="8" spans="1:30" ht="71.099999999999994" customHeight="1">
      <c r="B8" s="35"/>
      <c r="C8" s="786" t="s">
        <v>722</v>
      </c>
      <c r="D8" s="786"/>
      <c r="E8" s="786"/>
      <c r="F8" s="786"/>
      <c r="G8" s="786"/>
      <c r="H8" s="786"/>
      <c r="I8" s="786"/>
      <c r="J8" s="786"/>
      <c r="K8" s="786"/>
      <c r="L8" s="786"/>
      <c r="M8" s="786"/>
      <c r="N8" s="786"/>
      <c r="O8" s="786"/>
      <c r="P8" s="53"/>
      <c r="Q8" s="36"/>
      <c r="R8" s="42"/>
      <c r="S8" s="44"/>
      <c r="T8" s="44"/>
      <c r="U8" s="44"/>
      <c r="V8" s="44"/>
      <c r="W8" s="44"/>
      <c r="X8" s="44"/>
      <c r="Y8" s="44"/>
      <c r="Z8" s="44"/>
      <c r="AA8" s="44"/>
      <c r="AB8" s="44"/>
      <c r="AC8" s="44"/>
      <c r="AD8" s="44"/>
    </row>
    <row r="9" spans="1:30" ht="79.5" customHeight="1">
      <c r="B9" s="35"/>
      <c r="C9" s="786" t="s">
        <v>725</v>
      </c>
      <c r="D9" s="786"/>
      <c r="E9" s="786"/>
      <c r="F9" s="786"/>
      <c r="G9" s="786"/>
      <c r="H9" s="786"/>
      <c r="I9" s="786"/>
      <c r="J9" s="786"/>
      <c r="K9" s="786"/>
      <c r="L9" s="786"/>
      <c r="M9" s="786"/>
      <c r="N9" s="786"/>
      <c r="O9" s="786"/>
      <c r="P9" s="53"/>
      <c r="Q9" s="36"/>
      <c r="R9" s="42"/>
      <c r="S9" s="44"/>
      <c r="T9" s="44"/>
      <c r="U9" s="44"/>
      <c r="V9" s="44"/>
      <c r="W9" s="44"/>
      <c r="X9" s="44"/>
      <c r="Y9" s="44"/>
      <c r="Z9" s="44"/>
      <c r="AA9" s="44"/>
      <c r="AB9" s="44"/>
      <c r="AC9" s="44"/>
      <c r="AD9" s="44"/>
    </row>
    <row r="10" spans="1:30" ht="43.5" customHeight="1">
      <c r="B10" s="35"/>
      <c r="C10" s="786" t="s">
        <v>723</v>
      </c>
      <c r="D10" s="786"/>
      <c r="E10" s="786"/>
      <c r="F10" s="786"/>
      <c r="G10" s="786"/>
      <c r="H10" s="786"/>
      <c r="I10" s="786"/>
      <c r="J10" s="786"/>
      <c r="K10" s="786"/>
      <c r="L10" s="786"/>
      <c r="M10" s="786"/>
      <c r="N10" s="786"/>
      <c r="O10" s="786"/>
      <c r="P10" s="688"/>
      <c r="Q10" s="36"/>
      <c r="R10" s="42"/>
      <c r="S10" s="44"/>
      <c r="T10" s="44"/>
      <c r="U10" s="44"/>
      <c r="V10" s="44"/>
      <c r="W10" s="44"/>
      <c r="X10" s="44"/>
      <c r="Y10" s="44"/>
      <c r="Z10" s="44"/>
      <c r="AA10" s="44"/>
      <c r="AB10" s="44"/>
      <c r="AC10" s="44"/>
      <c r="AD10" s="44"/>
    </row>
    <row r="11" spans="1:30" ht="26.25" customHeight="1">
      <c r="B11" s="54"/>
      <c r="C11" s="787" t="s">
        <v>693</v>
      </c>
      <c r="D11" s="787"/>
      <c r="E11" s="787"/>
      <c r="F11" s="787"/>
      <c r="G11" s="787"/>
      <c r="H11" s="787"/>
      <c r="I11" s="787"/>
      <c r="J11" s="787"/>
      <c r="K11" s="787"/>
      <c r="L11" s="787"/>
      <c r="M11" s="787"/>
      <c r="N11" s="787"/>
      <c r="O11" s="787"/>
      <c r="P11" s="53"/>
      <c r="Q11" s="36"/>
      <c r="S11" s="45"/>
      <c r="U11" s="25" t="s">
        <v>17</v>
      </c>
    </row>
    <row r="12" spans="1:30" ht="81" customHeight="1">
      <c r="B12" s="35"/>
      <c r="C12" s="777" t="s">
        <v>694</v>
      </c>
      <c r="D12" s="778"/>
      <c r="E12" s="778"/>
      <c r="F12" s="778"/>
      <c r="G12" s="778"/>
      <c r="H12" s="778"/>
      <c r="I12" s="778"/>
      <c r="J12" s="778"/>
      <c r="K12" s="778"/>
      <c r="L12" s="778"/>
      <c r="M12" s="778"/>
      <c r="N12" s="778"/>
      <c r="O12" s="778"/>
      <c r="P12" s="24"/>
      <c r="Q12" s="36"/>
      <c r="S12" s="41"/>
    </row>
    <row r="13" spans="1:30" ht="57" customHeight="1">
      <c r="B13" s="35"/>
      <c r="C13" s="777" t="s">
        <v>711</v>
      </c>
      <c r="D13" s="778"/>
      <c r="E13" s="778"/>
      <c r="F13" s="778"/>
      <c r="G13" s="778"/>
      <c r="H13" s="778"/>
      <c r="I13" s="778"/>
      <c r="J13" s="778"/>
      <c r="K13" s="778"/>
      <c r="L13" s="778"/>
      <c r="M13" s="778"/>
      <c r="N13" s="778"/>
      <c r="O13" s="778"/>
      <c r="P13" s="24"/>
      <c r="Q13" s="36"/>
      <c r="S13" s="41"/>
    </row>
    <row r="14" spans="1:30" ht="57" customHeight="1">
      <c r="B14" s="35"/>
      <c r="C14" s="777" t="s">
        <v>712</v>
      </c>
      <c r="D14" s="778"/>
      <c r="E14" s="778"/>
      <c r="F14" s="778"/>
      <c r="G14" s="778"/>
      <c r="H14" s="778"/>
      <c r="I14" s="778"/>
      <c r="J14" s="778"/>
      <c r="K14" s="778"/>
      <c r="L14" s="778"/>
      <c r="M14" s="778"/>
      <c r="N14" s="778"/>
      <c r="O14" s="778"/>
      <c r="P14" s="24"/>
      <c r="Q14" s="36"/>
      <c r="S14" s="41"/>
    </row>
    <row r="15" spans="1:30" ht="38.25" customHeight="1">
      <c r="B15" s="35"/>
      <c r="C15" s="777" t="s">
        <v>714</v>
      </c>
      <c r="D15" s="777"/>
      <c r="E15" s="777"/>
      <c r="F15" s="777"/>
      <c r="G15" s="777"/>
      <c r="H15" s="777"/>
      <c r="I15" s="777"/>
      <c r="J15" s="777"/>
      <c r="K15" s="777"/>
      <c r="L15" s="777"/>
      <c r="M15" s="777"/>
      <c r="N15" s="777"/>
      <c r="O15" s="777"/>
      <c r="P15" s="687"/>
      <c r="Q15" s="36"/>
      <c r="S15" s="41"/>
    </row>
    <row r="16" spans="1:30" ht="66" customHeight="1">
      <c r="B16" s="35"/>
      <c r="C16" s="784" t="s">
        <v>726</v>
      </c>
      <c r="D16" s="778"/>
      <c r="E16" s="778"/>
      <c r="F16" s="778"/>
      <c r="G16" s="778"/>
      <c r="H16" s="778"/>
      <c r="I16" s="778"/>
      <c r="J16" s="778"/>
      <c r="K16" s="778"/>
      <c r="L16" s="778"/>
      <c r="M16" s="778"/>
      <c r="N16" s="778"/>
      <c r="O16" s="778"/>
      <c r="P16" s="24"/>
      <c r="Q16" s="36"/>
      <c r="S16" s="41"/>
    </row>
    <row r="17" spans="2:31" ht="61.5" customHeight="1">
      <c r="B17" s="35"/>
      <c r="C17" s="777" t="s">
        <v>709</v>
      </c>
      <c r="D17" s="777"/>
      <c r="E17" s="777"/>
      <c r="F17" s="777"/>
      <c r="G17" s="777"/>
      <c r="H17" s="777"/>
      <c r="I17" s="777"/>
      <c r="J17" s="777"/>
      <c r="K17" s="777"/>
      <c r="L17" s="777"/>
      <c r="M17" s="777"/>
      <c r="N17" s="777"/>
      <c r="O17" s="777"/>
      <c r="P17" s="687"/>
      <c r="Q17" s="36"/>
      <c r="S17" s="41"/>
    </row>
    <row r="18" spans="2:31" ht="57" customHeight="1">
      <c r="B18" s="35"/>
      <c r="C18" s="777" t="s">
        <v>695</v>
      </c>
      <c r="D18" s="777"/>
      <c r="E18" s="777"/>
      <c r="F18" s="777"/>
      <c r="G18" s="777"/>
      <c r="H18" s="777"/>
      <c r="I18" s="777"/>
      <c r="J18" s="777"/>
      <c r="K18" s="777"/>
      <c r="L18" s="777"/>
      <c r="M18" s="777"/>
      <c r="N18" s="777"/>
      <c r="O18" s="777"/>
      <c r="P18" s="23"/>
      <c r="Q18" s="36"/>
      <c r="S18" s="41"/>
    </row>
    <row r="19" spans="2:31" ht="48" customHeight="1">
      <c r="B19" s="35"/>
      <c r="C19" s="777" t="s">
        <v>696</v>
      </c>
      <c r="D19" s="777"/>
      <c r="E19" s="777"/>
      <c r="F19" s="777"/>
      <c r="G19" s="777"/>
      <c r="H19" s="777"/>
      <c r="I19" s="777"/>
      <c r="J19" s="777"/>
      <c r="K19" s="777"/>
      <c r="L19" s="777"/>
      <c r="M19" s="777"/>
      <c r="N19" s="777"/>
      <c r="O19" s="777"/>
      <c r="P19" s="23"/>
      <c r="Q19" s="36"/>
      <c r="S19" s="41"/>
    </row>
    <row r="20" spans="2:31" ht="54.75" customHeight="1">
      <c r="B20" s="35"/>
      <c r="C20" s="777" t="s">
        <v>717</v>
      </c>
      <c r="D20" s="777"/>
      <c r="E20" s="777"/>
      <c r="F20" s="777"/>
      <c r="G20" s="777"/>
      <c r="H20" s="777"/>
      <c r="I20" s="777"/>
      <c r="J20" s="777"/>
      <c r="K20" s="777"/>
      <c r="L20" s="777"/>
      <c r="M20" s="777"/>
      <c r="N20" s="777"/>
      <c r="O20" s="777"/>
      <c r="P20" s="23"/>
      <c r="Q20" s="36"/>
      <c r="S20" s="41"/>
    </row>
    <row r="21" spans="2:31" ht="75.95" customHeight="1">
      <c r="B21" s="35"/>
      <c r="C21" s="784" t="s">
        <v>727</v>
      </c>
      <c r="D21" s="778"/>
      <c r="E21" s="778"/>
      <c r="F21" s="778"/>
      <c r="G21" s="778"/>
      <c r="H21" s="778"/>
      <c r="I21" s="778"/>
      <c r="J21" s="778"/>
      <c r="K21" s="778"/>
      <c r="L21" s="778"/>
      <c r="M21" s="778"/>
      <c r="N21" s="778"/>
      <c r="O21" s="778"/>
      <c r="P21" s="24"/>
      <c r="Q21" s="36"/>
      <c r="S21" s="41"/>
    </row>
    <row r="22" spans="2:31" ht="65.25" customHeight="1">
      <c r="B22" s="35"/>
      <c r="C22" s="784" t="s">
        <v>728</v>
      </c>
      <c r="D22" s="778"/>
      <c r="E22" s="778"/>
      <c r="F22" s="778"/>
      <c r="G22" s="778"/>
      <c r="H22" s="778"/>
      <c r="I22" s="778"/>
      <c r="J22" s="778"/>
      <c r="K22" s="778"/>
      <c r="L22" s="778"/>
      <c r="M22" s="778"/>
      <c r="N22" s="778"/>
      <c r="O22" s="778"/>
      <c r="P22" s="24"/>
      <c r="Q22" s="36"/>
      <c r="S22" s="41"/>
    </row>
    <row r="23" spans="2:31" ht="29.1" customHeight="1">
      <c r="B23" s="54"/>
      <c r="C23" s="781" t="s">
        <v>697</v>
      </c>
      <c r="D23" s="782"/>
      <c r="E23" s="782"/>
      <c r="F23" s="782"/>
      <c r="G23" s="782"/>
      <c r="H23" s="782"/>
      <c r="I23" s="782"/>
      <c r="J23" s="782"/>
      <c r="K23" s="782"/>
      <c r="L23" s="782"/>
      <c r="M23" s="782"/>
      <c r="N23" s="782"/>
      <c r="O23" s="782"/>
      <c r="P23" s="24"/>
      <c r="Q23" s="36"/>
      <c r="S23" s="41"/>
    </row>
    <row r="24" spans="2:31" ht="78.75" customHeight="1">
      <c r="B24" s="35"/>
      <c r="C24" s="784" t="s">
        <v>698</v>
      </c>
      <c r="D24" s="778"/>
      <c r="E24" s="778"/>
      <c r="F24" s="778"/>
      <c r="G24" s="778"/>
      <c r="H24" s="778"/>
      <c r="I24" s="778"/>
      <c r="J24" s="778"/>
      <c r="K24" s="778"/>
      <c r="L24" s="778"/>
      <c r="M24" s="778"/>
      <c r="N24" s="778"/>
      <c r="O24" s="778"/>
      <c r="P24" s="24"/>
      <c r="Q24" s="36"/>
      <c r="S24" s="42"/>
      <c r="T24" s="42"/>
      <c r="U24" s="42"/>
      <c r="V24" s="42"/>
      <c r="W24" s="42"/>
      <c r="X24" s="42"/>
      <c r="Y24" s="42"/>
      <c r="Z24" s="42"/>
      <c r="AA24" s="42"/>
      <c r="AB24" s="42"/>
      <c r="AC24" s="42"/>
      <c r="AD24" s="42"/>
      <c r="AE24" s="42"/>
    </row>
    <row r="25" spans="2:31" ht="74.099999999999994" customHeight="1">
      <c r="B25" s="35"/>
      <c r="C25" s="777" t="s">
        <v>699</v>
      </c>
      <c r="D25" s="777"/>
      <c r="E25" s="777"/>
      <c r="F25" s="777"/>
      <c r="G25" s="777"/>
      <c r="H25" s="777"/>
      <c r="I25" s="777"/>
      <c r="J25" s="777"/>
      <c r="K25" s="777"/>
      <c r="L25" s="777"/>
      <c r="M25" s="777"/>
      <c r="N25" s="777"/>
      <c r="O25" s="777"/>
      <c r="P25" s="24"/>
      <c r="Q25" s="36"/>
      <c r="S25" s="42"/>
      <c r="T25" s="42"/>
      <c r="U25" s="42"/>
      <c r="V25" s="42"/>
      <c r="W25" s="42"/>
      <c r="X25" s="42"/>
      <c r="Y25" s="42"/>
      <c r="Z25" s="42"/>
      <c r="AA25" s="42"/>
      <c r="AB25" s="42"/>
      <c r="AC25" s="42"/>
      <c r="AD25" s="42"/>
      <c r="AE25" s="42"/>
    </row>
    <row r="26" spans="2:31" ht="30" customHeight="1">
      <c r="B26" s="35"/>
      <c r="C26" s="777" t="s">
        <v>730</v>
      </c>
      <c r="D26" s="777"/>
      <c r="E26" s="777"/>
      <c r="F26" s="777"/>
      <c r="G26" s="777"/>
      <c r="H26" s="777"/>
      <c r="I26" s="777"/>
      <c r="J26" s="777"/>
      <c r="K26" s="777"/>
      <c r="L26" s="777"/>
      <c r="M26" s="777"/>
      <c r="N26" s="777"/>
      <c r="O26" s="777"/>
      <c r="P26" s="24"/>
      <c r="Q26" s="36"/>
      <c r="S26" s="42"/>
      <c r="T26" s="42"/>
      <c r="U26" s="42"/>
      <c r="V26" s="42"/>
      <c r="W26" s="42"/>
      <c r="X26" s="42"/>
      <c r="Y26" s="42"/>
      <c r="Z26" s="42"/>
      <c r="AA26" s="42"/>
      <c r="AB26" s="42"/>
      <c r="AC26" s="42"/>
      <c r="AD26" s="42"/>
      <c r="AE26" s="42"/>
    </row>
    <row r="27" spans="2:31" ht="85.5" customHeight="1">
      <c r="B27" s="35"/>
      <c r="C27" s="777" t="s">
        <v>729</v>
      </c>
      <c r="D27" s="777"/>
      <c r="E27" s="777"/>
      <c r="F27" s="777"/>
      <c r="G27" s="777"/>
      <c r="H27" s="777"/>
      <c r="I27" s="777"/>
      <c r="J27" s="777"/>
      <c r="K27" s="777"/>
      <c r="L27" s="777"/>
      <c r="M27" s="777"/>
      <c r="N27" s="777"/>
      <c r="O27" s="777"/>
      <c r="P27" s="24"/>
      <c r="Q27" s="36"/>
      <c r="S27" s="42"/>
      <c r="T27" s="42"/>
      <c r="U27" s="42"/>
      <c r="V27" s="42"/>
      <c r="W27" s="42"/>
      <c r="X27" s="42"/>
      <c r="Y27" s="42"/>
      <c r="Z27" s="42"/>
      <c r="AA27" s="42"/>
      <c r="AB27" s="42"/>
      <c r="AC27" s="42"/>
      <c r="AD27" s="42"/>
      <c r="AE27" s="42"/>
    </row>
    <row r="28" spans="2:31" ht="69.599999999999994" customHeight="1">
      <c r="B28" s="35"/>
      <c r="C28" s="777" t="s">
        <v>724</v>
      </c>
      <c r="D28" s="778"/>
      <c r="E28" s="778"/>
      <c r="F28" s="778"/>
      <c r="G28" s="778"/>
      <c r="H28" s="778"/>
      <c r="I28" s="778"/>
      <c r="J28" s="778"/>
      <c r="K28" s="778"/>
      <c r="L28" s="778"/>
      <c r="M28" s="778"/>
      <c r="N28" s="778"/>
      <c r="O28" s="778"/>
      <c r="P28" s="24"/>
      <c r="Q28" s="36"/>
      <c r="S28" s="42"/>
      <c r="T28" s="42"/>
      <c r="U28" s="42"/>
      <c r="V28" s="42"/>
      <c r="W28" s="42"/>
      <c r="X28" s="42"/>
      <c r="Y28" s="42"/>
      <c r="Z28" s="42"/>
      <c r="AA28" s="42"/>
      <c r="AB28" s="42"/>
      <c r="AC28" s="42"/>
      <c r="AD28" s="42"/>
      <c r="AE28" s="42"/>
    </row>
    <row r="29" spans="2:31" ht="30" customHeight="1">
      <c r="B29" s="54"/>
      <c r="C29" s="781" t="s">
        <v>700</v>
      </c>
      <c r="D29" s="788"/>
      <c r="E29" s="788"/>
      <c r="F29" s="788"/>
      <c r="G29" s="788"/>
      <c r="H29" s="788"/>
      <c r="I29" s="788"/>
      <c r="J29" s="788"/>
      <c r="K29" s="788"/>
      <c r="L29" s="788"/>
      <c r="M29" s="788"/>
      <c r="N29" s="788"/>
      <c r="O29" s="788"/>
      <c r="P29" s="24"/>
      <c r="Q29" s="36"/>
      <c r="S29" s="43"/>
    </row>
    <row r="30" spans="2:31" ht="90" customHeight="1">
      <c r="B30" s="35"/>
      <c r="C30" s="784" t="s">
        <v>701</v>
      </c>
      <c r="D30" s="777"/>
      <c r="E30" s="777"/>
      <c r="F30" s="777"/>
      <c r="G30" s="777"/>
      <c r="H30" s="777"/>
      <c r="I30" s="777"/>
      <c r="J30" s="777"/>
      <c r="K30" s="777"/>
      <c r="L30" s="777"/>
      <c r="M30" s="777"/>
      <c r="N30" s="777"/>
      <c r="O30" s="777"/>
      <c r="P30" s="23"/>
      <c r="Q30" s="36"/>
      <c r="R30" s="39"/>
      <c r="S30" s="40"/>
    </row>
    <row r="31" spans="2:31" ht="28.5" customHeight="1">
      <c r="B31" s="54"/>
      <c r="C31" s="781" t="s">
        <v>713</v>
      </c>
      <c r="D31" s="782"/>
      <c r="E31" s="782"/>
      <c r="F31" s="782"/>
      <c r="G31" s="782"/>
      <c r="H31" s="782"/>
      <c r="I31" s="782"/>
      <c r="J31" s="782"/>
      <c r="K31" s="782"/>
      <c r="L31" s="782"/>
      <c r="M31" s="782"/>
      <c r="N31" s="782"/>
      <c r="O31" s="782"/>
      <c r="P31" s="24"/>
      <c r="Q31" s="36"/>
    </row>
    <row r="32" spans="2:31" ht="23.25" customHeight="1">
      <c r="B32" s="35"/>
      <c r="C32" s="780" t="s">
        <v>702</v>
      </c>
      <c r="D32" s="780"/>
      <c r="E32" s="780"/>
      <c r="F32" s="780"/>
      <c r="G32" s="780"/>
      <c r="H32" s="780"/>
      <c r="I32" s="780"/>
      <c r="J32" s="780"/>
      <c r="K32" s="780"/>
      <c r="L32" s="780"/>
      <c r="M32" s="780"/>
      <c r="N32" s="780"/>
      <c r="O32" s="780"/>
      <c r="P32" s="24"/>
      <c r="Q32" s="36"/>
    </row>
    <row r="33" spans="2:17" ht="32.1" customHeight="1">
      <c r="B33" s="35"/>
      <c r="C33" s="780"/>
      <c r="D33" s="780"/>
      <c r="E33" s="780"/>
      <c r="F33" s="780"/>
      <c r="G33" s="780"/>
      <c r="H33" s="780"/>
      <c r="I33" s="780"/>
      <c r="J33" s="780"/>
      <c r="K33" s="780"/>
      <c r="L33" s="780"/>
      <c r="M33" s="780"/>
      <c r="N33" s="780"/>
      <c r="O33" s="780"/>
      <c r="P33" s="24"/>
      <c r="Q33" s="36"/>
    </row>
    <row r="34" spans="2:17" ht="53.25" customHeight="1">
      <c r="B34" s="35"/>
      <c r="C34" s="780"/>
      <c r="D34" s="780"/>
      <c r="E34" s="780"/>
      <c r="F34" s="780"/>
      <c r="G34" s="780"/>
      <c r="H34" s="780"/>
      <c r="I34" s="780"/>
      <c r="J34" s="780"/>
      <c r="K34" s="780"/>
      <c r="L34" s="780"/>
      <c r="M34" s="780"/>
      <c r="N34" s="780"/>
      <c r="O34" s="780"/>
      <c r="P34" s="24"/>
      <c r="Q34" s="36"/>
    </row>
    <row r="35" spans="2:17" ht="8.25" customHeight="1">
      <c r="B35" s="35"/>
      <c r="C35" s="107"/>
      <c r="D35" s="107"/>
      <c r="E35" s="107"/>
      <c r="F35" s="107"/>
      <c r="G35" s="107"/>
      <c r="H35" s="107"/>
      <c r="I35" s="107"/>
      <c r="J35" s="107"/>
      <c r="K35" s="107"/>
      <c r="L35" s="107"/>
      <c r="M35" s="107"/>
      <c r="N35" s="107"/>
      <c r="O35" s="108"/>
      <c r="P35" s="24"/>
      <c r="Q35" s="36"/>
    </row>
    <row r="36" spans="2:17" ht="31.5" customHeight="1">
      <c r="B36" s="35"/>
      <c r="C36" s="106"/>
      <c r="D36" s="106"/>
      <c r="E36" s="106"/>
      <c r="F36" s="106"/>
      <c r="G36" s="106"/>
      <c r="H36" s="106"/>
      <c r="I36" s="106"/>
      <c r="J36" s="106"/>
      <c r="K36" s="106"/>
      <c r="L36" s="106"/>
      <c r="M36" s="106"/>
      <c r="N36" s="106"/>
      <c r="O36" s="106"/>
      <c r="P36" s="106"/>
      <c r="Q36" s="36"/>
    </row>
    <row r="37" spans="2:17" ht="27.75" customHeight="1">
      <c r="B37" s="35"/>
      <c r="C37" s="106"/>
      <c r="D37" s="105"/>
      <c r="E37" s="105"/>
      <c r="F37" s="105"/>
      <c r="G37" s="105"/>
      <c r="H37" s="105"/>
      <c r="I37" s="105"/>
      <c r="J37" s="105"/>
      <c r="K37" s="105"/>
      <c r="L37" s="105"/>
      <c r="M37" s="105"/>
      <c r="N37" s="105"/>
      <c r="O37" s="105"/>
      <c r="P37" s="105"/>
      <c r="Q37" s="36"/>
    </row>
    <row r="38" spans="2:17" ht="9" customHeight="1">
      <c r="B38" s="35"/>
      <c r="C38" s="9"/>
      <c r="D38" s="9"/>
      <c r="E38" s="9"/>
      <c r="F38" s="9"/>
      <c r="G38" s="9"/>
      <c r="H38" s="9"/>
      <c r="I38" s="9"/>
      <c r="J38" s="9"/>
      <c r="K38" s="9"/>
      <c r="L38" s="50"/>
      <c r="M38" s="50"/>
      <c r="N38" s="50"/>
      <c r="O38" s="51"/>
      <c r="P38" s="51"/>
      <c r="Q38" s="36"/>
    </row>
    <row r="39" spans="2:17" ht="15" customHeight="1"/>
    <row r="40" spans="2:17" ht="15.75" customHeight="1"/>
    <row r="41" spans="2:17" ht="24.75" customHeight="1"/>
    <row r="42" spans="2:17" ht="15.75" customHeight="1"/>
    <row r="43" spans="2:17" ht="21">
      <c r="I43" s="38"/>
    </row>
  </sheetData>
  <sheetProtection algorithmName="SHA-512" hashValue="h5TV56dIeEwleBYe3fjEtVuNYQc0ty3cMr+QonIwCEJp4FGjk1aO4rF2t0Q/W3Gt0ueiTx+lUNVIbsb6blw3tA==" saltValue="99yZ1PgQXVILldKEJ5P/mg==" spinCount="100000" sheet="1" objects="1" scenarios="1" selectLockedCells="1" autoFilter="0"/>
  <mergeCells count="28">
    <mergeCell ref="C27:O27"/>
    <mergeCell ref="C24:O24"/>
    <mergeCell ref="C9:O9"/>
    <mergeCell ref="C21:O21"/>
    <mergeCell ref="C18:O18"/>
    <mergeCell ref="C22:O22"/>
    <mergeCell ref="C19:O19"/>
    <mergeCell ref="C14:O14"/>
    <mergeCell ref="C17:O17"/>
    <mergeCell ref="C15:O15"/>
    <mergeCell ref="C10:O10"/>
    <mergeCell ref="C26:O26"/>
    <mergeCell ref="C28:O28"/>
    <mergeCell ref="B2:Q3"/>
    <mergeCell ref="C32:O34"/>
    <mergeCell ref="C31:O31"/>
    <mergeCell ref="F4:O5"/>
    <mergeCell ref="C30:O30"/>
    <mergeCell ref="C13:O13"/>
    <mergeCell ref="C20:O20"/>
    <mergeCell ref="C23:O23"/>
    <mergeCell ref="C25:O25"/>
    <mergeCell ref="C7:O7"/>
    <mergeCell ref="C8:O8"/>
    <mergeCell ref="C11:O11"/>
    <mergeCell ref="C12:O12"/>
    <mergeCell ref="C29:O29"/>
    <mergeCell ref="C16:O16"/>
  </mergeCells>
  <conditionalFormatting sqref="O38:P38">
    <cfRule type="expression" dxfId="231" priority="8">
      <formula>Actieve.ecel=#REF!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A9C65-46E7-49B6-A090-0AA94B32CE2C}">
  <sheetPr codeName="Blad26">
    <tabColor rgb="FFC6C6B9"/>
    <pageSetUpPr fitToPage="1"/>
  </sheetPr>
  <dimension ref="A1:Y407"/>
  <sheetViews>
    <sheetView zoomScale="55" zoomScaleNormal="55" workbookViewId="0"/>
  </sheetViews>
  <sheetFormatPr defaultColWidth="9.140625" defaultRowHeight="15.75"/>
  <cols>
    <col min="1" max="1" width="3.28515625" style="177" customWidth="1"/>
    <col min="2" max="2" width="4.85546875" style="228" customWidth="1"/>
    <col min="3" max="3" width="29.140625" style="207" customWidth="1"/>
    <col min="4" max="4" width="7.42578125" style="207" customWidth="1"/>
    <col min="5" max="5" width="52.7109375" style="207" customWidth="1"/>
    <col min="6" max="6" width="14.7109375" style="207" customWidth="1"/>
    <col min="7" max="7" width="9.42578125" style="207" customWidth="1"/>
    <col min="8" max="8" width="12.28515625" style="179" customWidth="1"/>
    <col min="9" max="9" width="14.5703125" style="180" customWidth="1"/>
    <col min="10" max="10" width="17.5703125" style="181" customWidth="1"/>
    <col min="11" max="11" width="13.42578125" style="181" customWidth="1"/>
    <col min="12" max="12" width="1.7109375" style="182" customWidth="1"/>
    <col min="13" max="13" width="11.5703125" style="179" customWidth="1"/>
    <col min="14" max="14" width="15.5703125" style="180" customWidth="1"/>
    <col min="15" max="15" width="18.42578125" style="181" customWidth="1"/>
    <col min="16" max="16" width="14.140625" style="183" customWidth="1"/>
    <col min="17" max="17" width="1.5703125" style="184" customWidth="1"/>
    <col min="18" max="18" width="19.28515625" style="184" customWidth="1"/>
    <col min="19" max="19" width="18.28515625" style="184" customWidth="1"/>
    <col min="20" max="20" width="50.85546875" style="184" customWidth="1"/>
    <col min="21" max="21" width="17.5703125" style="184" customWidth="1"/>
    <col min="22" max="22" width="14.42578125" style="184" customWidth="1"/>
    <col min="23" max="23" width="22.28515625" style="184" customWidth="1"/>
    <col min="24" max="24" width="28.7109375" style="184" customWidth="1"/>
    <col min="25" max="25" width="2.85546875" style="177" customWidth="1"/>
    <col min="26" max="16384" width="9.140625" style="177"/>
  </cols>
  <sheetData>
    <row r="1" spans="1:25">
      <c r="A1" s="240"/>
      <c r="C1" s="177"/>
      <c r="D1" s="177"/>
      <c r="I1" s="220"/>
    </row>
    <row r="2" spans="1:25" ht="52.5" customHeight="1">
      <c r="B2" s="229"/>
      <c r="C2" s="190" t="s">
        <v>521</v>
      </c>
      <c r="D2" s="199" t="s">
        <v>522</v>
      </c>
      <c r="E2" s="210"/>
      <c r="F2" s="210"/>
      <c r="G2" s="210"/>
      <c r="H2" s="5"/>
      <c r="I2" s="6"/>
      <c r="J2" s="4"/>
      <c r="K2" s="4"/>
      <c r="L2" s="2"/>
      <c r="M2" s="3"/>
      <c r="N2" s="3"/>
      <c r="O2" s="3"/>
      <c r="P2" s="3"/>
      <c r="Q2" s="3"/>
      <c r="R2" s="3"/>
      <c r="S2" s="3"/>
      <c r="T2" s="70" t="s">
        <v>138</v>
      </c>
      <c r="U2" s="225"/>
      <c r="V2" s="225"/>
      <c r="W2" s="3"/>
      <c r="X2" s="3"/>
      <c r="Y2" s="3"/>
    </row>
    <row r="3" spans="1:25" ht="15.75" customHeight="1">
      <c r="B3" s="230"/>
      <c r="C3" s="9"/>
      <c r="D3" s="9"/>
      <c r="E3" s="211"/>
      <c r="F3" s="211"/>
      <c r="G3" s="211"/>
      <c r="H3" s="185"/>
      <c r="I3" s="186"/>
      <c r="J3" s="187"/>
      <c r="K3" s="187"/>
      <c r="L3" s="188"/>
      <c r="M3" s="189"/>
      <c r="N3" s="189"/>
      <c r="O3" s="189"/>
      <c r="P3" s="189"/>
      <c r="Q3" s="189"/>
      <c r="R3" s="353"/>
      <c r="S3" s="353"/>
      <c r="T3" s="353"/>
      <c r="U3" s="354"/>
      <c r="V3" s="354"/>
      <c r="W3" s="353"/>
      <c r="X3" s="189"/>
      <c r="Y3" s="189"/>
    </row>
    <row r="4" spans="1:25" ht="24" customHeight="1">
      <c r="B4" s="231"/>
      <c r="C4" s="8"/>
      <c r="D4" s="8"/>
      <c r="E4" s="87"/>
      <c r="F4" s="87"/>
      <c r="G4" s="87"/>
      <c r="H4" s="191"/>
      <c r="I4" s="192"/>
      <c r="J4" s="193"/>
      <c r="K4" s="193"/>
      <c r="L4" s="194"/>
      <c r="M4" s="200"/>
      <c r="N4" s="200"/>
      <c r="O4" s="200"/>
      <c r="P4" s="200"/>
      <c r="Q4" s="200"/>
      <c r="R4" s="355" t="s">
        <v>543</v>
      </c>
      <c r="S4" s="356" t="s">
        <v>147</v>
      </c>
      <c r="T4" s="356" t="s">
        <v>523</v>
      </c>
      <c r="U4" s="357" t="s">
        <v>524</v>
      </c>
      <c r="V4" s="357" t="s">
        <v>549</v>
      </c>
      <c r="W4" s="358" t="s">
        <v>525</v>
      </c>
      <c r="X4" s="212"/>
      <c r="Y4" s="200"/>
    </row>
    <row r="5" spans="1:25" ht="15.75" customHeight="1">
      <c r="B5" s="231"/>
      <c r="C5" s="789" t="s">
        <v>544</v>
      </c>
      <c r="D5" s="789"/>
      <c r="E5" s="789"/>
      <c r="F5" s="789"/>
      <c r="G5" s="789"/>
      <c r="H5" s="790"/>
      <c r="I5" s="790"/>
      <c r="J5" s="789"/>
      <c r="K5" s="789"/>
      <c r="L5" s="789"/>
      <c r="M5" s="790"/>
      <c r="N5" s="790"/>
      <c r="O5" s="789"/>
      <c r="P5" s="200"/>
      <c r="Q5" s="200"/>
      <c r="R5" s="359" t="s">
        <v>526</v>
      </c>
      <c r="S5" s="360" t="s">
        <v>527</v>
      </c>
      <c r="T5" s="361" t="s">
        <v>142</v>
      </c>
      <c r="U5" s="362"/>
      <c r="V5" s="363" t="s">
        <v>97</v>
      </c>
      <c r="W5" s="364"/>
      <c r="X5" s="213"/>
      <c r="Y5" s="200"/>
    </row>
    <row r="6" spans="1:25" ht="15.75" customHeight="1">
      <c r="B6" s="231"/>
      <c r="C6" s="789"/>
      <c r="D6" s="789"/>
      <c r="E6" s="789"/>
      <c r="F6" s="789"/>
      <c r="G6" s="789"/>
      <c r="H6" s="790"/>
      <c r="I6" s="790"/>
      <c r="J6" s="789"/>
      <c r="K6" s="789"/>
      <c r="L6" s="789"/>
      <c r="M6" s="790"/>
      <c r="N6" s="790"/>
      <c r="O6" s="789"/>
      <c r="P6" s="200"/>
      <c r="Q6" s="200"/>
      <c r="R6" s="359" t="s">
        <v>526</v>
      </c>
      <c r="S6" s="360" t="s">
        <v>528</v>
      </c>
      <c r="T6" s="361" t="s">
        <v>298</v>
      </c>
      <c r="U6" s="362"/>
      <c r="V6" s="363" t="s">
        <v>97</v>
      </c>
      <c r="W6" s="364"/>
      <c r="X6" s="213"/>
      <c r="Y6" s="200"/>
    </row>
    <row r="7" spans="1:25" ht="15.75" customHeight="1">
      <c r="B7" s="231"/>
      <c r="C7" s="789"/>
      <c r="D7" s="789"/>
      <c r="E7" s="789"/>
      <c r="F7" s="789"/>
      <c r="G7" s="789"/>
      <c r="H7" s="790"/>
      <c r="I7" s="790"/>
      <c r="J7" s="789"/>
      <c r="K7" s="789"/>
      <c r="L7" s="789"/>
      <c r="M7" s="790"/>
      <c r="N7" s="790"/>
      <c r="O7" s="789"/>
      <c r="P7" s="200"/>
      <c r="Q7" s="200"/>
      <c r="R7" s="359" t="s">
        <v>526</v>
      </c>
      <c r="S7" s="360" t="s">
        <v>529</v>
      </c>
      <c r="T7" s="361" t="s">
        <v>149</v>
      </c>
      <c r="U7" s="363" t="s">
        <v>97</v>
      </c>
      <c r="V7" s="362"/>
      <c r="W7" s="364"/>
      <c r="X7" s="213"/>
      <c r="Y7" s="200"/>
    </row>
    <row r="8" spans="1:25" ht="15.75" customHeight="1">
      <c r="B8" s="231"/>
      <c r="C8" s="789"/>
      <c r="D8" s="789"/>
      <c r="E8" s="789"/>
      <c r="F8" s="789"/>
      <c r="G8" s="789"/>
      <c r="H8" s="790"/>
      <c r="I8" s="790"/>
      <c r="J8" s="789"/>
      <c r="K8" s="789"/>
      <c r="L8" s="789"/>
      <c r="M8" s="790"/>
      <c r="N8" s="790"/>
      <c r="O8" s="789"/>
      <c r="P8" s="200"/>
      <c r="Q8" s="200"/>
      <c r="R8" s="359" t="s">
        <v>526</v>
      </c>
      <c r="S8" s="360" t="s">
        <v>530</v>
      </c>
      <c r="T8" s="361" t="s">
        <v>156</v>
      </c>
      <c r="U8" s="363" t="s">
        <v>97</v>
      </c>
      <c r="V8" s="362"/>
      <c r="W8" s="365"/>
      <c r="X8" s="214"/>
      <c r="Y8" s="200"/>
    </row>
    <row r="9" spans="1:25" ht="15.75" customHeight="1">
      <c r="B9" s="231"/>
      <c r="C9" s="789"/>
      <c r="D9" s="789"/>
      <c r="E9" s="789"/>
      <c r="F9" s="789"/>
      <c r="G9" s="789"/>
      <c r="H9" s="790"/>
      <c r="I9" s="790"/>
      <c r="J9" s="789"/>
      <c r="K9" s="789"/>
      <c r="L9" s="789"/>
      <c r="M9" s="790"/>
      <c r="N9" s="790"/>
      <c r="O9" s="789"/>
      <c r="P9" s="200"/>
      <c r="Q9" s="200"/>
      <c r="R9" s="359" t="s">
        <v>526</v>
      </c>
      <c r="S9" s="360" t="s">
        <v>531</v>
      </c>
      <c r="T9" s="361" t="s">
        <v>532</v>
      </c>
      <c r="U9" s="363" t="s">
        <v>97</v>
      </c>
      <c r="V9" s="362"/>
      <c r="W9" s="364"/>
      <c r="X9" s="213"/>
      <c r="Y9" s="200"/>
    </row>
    <row r="10" spans="1:25" ht="15.75" customHeight="1">
      <c r="B10" s="231"/>
      <c r="C10" s="789"/>
      <c r="D10" s="789"/>
      <c r="E10" s="789"/>
      <c r="F10" s="789"/>
      <c r="G10" s="789"/>
      <c r="H10" s="790"/>
      <c r="I10" s="790"/>
      <c r="J10" s="789"/>
      <c r="K10" s="789"/>
      <c r="L10" s="789"/>
      <c r="M10" s="790"/>
      <c r="N10" s="790"/>
      <c r="O10" s="789"/>
      <c r="P10" s="200"/>
      <c r="Q10" s="200"/>
      <c r="R10" s="359" t="s">
        <v>526</v>
      </c>
      <c r="S10" s="360" t="s">
        <v>526</v>
      </c>
      <c r="T10" s="361" t="s">
        <v>312</v>
      </c>
      <c r="U10" s="362"/>
      <c r="V10" s="362"/>
      <c r="W10" s="366" t="s">
        <v>97</v>
      </c>
      <c r="X10" s="215"/>
      <c r="Y10" s="200"/>
    </row>
    <row r="11" spans="1:25" ht="15.75" customHeight="1">
      <c r="B11" s="231"/>
      <c r="C11" s="789"/>
      <c r="D11" s="789"/>
      <c r="E11" s="789"/>
      <c r="F11" s="789"/>
      <c r="G11" s="789"/>
      <c r="H11" s="790"/>
      <c r="I11" s="790"/>
      <c r="J11" s="789"/>
      <c r="K11" s="789"/>
      <c r="L11" s="789"/>
      <c r="M11" s="790"/>
      <c r="N11" s="790"/>
      <c r="O11" s="789"/>
      <c r="P11" s="200"/>
      <c r="Q11" s="200"/>
      <c r="R11" s="359" t="s">
        <v>526</v>
      </c>
      <c r="S11" s="360" t="s">
        <v>533</v>
      </c>
      <c r="T11" s="361" t="s">
        <v>193</v>
      </c>
      <c r="U11" s="363" t="s">
        <v>97</v>
      </c>
      <c r="V11" s="362"/>
      <c r="W11" s="364"/>
      <c r="X11" s="213"/>
      <c r="Y11" s="200"/>
    </row>
    <row r="12" spans="1:25" ht="15.75" customHeight="1">
      <c r="B12" s="231"/>
      <c r="C12" s="789"/>
      <c r="D12" s="789"/>
      <c r="E12" s="789"/>
      <c r="F12" s="789"/>
      <c r="G12" s="789"/>
      <c r="H12" s="790"/>
      <c r="I12" s="790"/>
      <c r="J12" s="789"/>
      <c r="K12" s="789"/>
      <c r="L12" s="789"/>
      <c r="M12" s="790"/>
      <c r="N12" s="790"/>
      <c r="O12" s="789"/>
      <c r="P12" s="200"/>
      <c r="Q12" s="200"/>
      <c r="R12" s="359" t="s">
        <v>526</v>
      </c>
      <c r="S12" s="360" t="s">
        <v>534</v>
      </c>
      <c r="T12" s="361" t="s">
        <v>314</v>
      </c>
      <c r="U12" s="362"/>
      <c r="V12" s="363" t="s">
        <v>97</v>
      </c>
      <c r="W12" s="364"/>
      <c r="X12" s="213"/>
      <c r="Y12" s="200"/>
    </row>
    <row r="13" spans="1:25" ht="15.75" customHeight="1">
      <c r="B13" s="231"/>
      <c r="C13" s="789"/>
      <c r="D13" s="789"/>
      <c r="E13" s="789"/>
      <c r="F13" s="789"/>
      <c r="G13" s="789"/>
      <c r="H13" s="790"/>
      <c r="I13" s="790"/>
      <c r="J13" s="789"/>
      <c r="K13" s="789"/>
      <c r="L13" s="789"/>
      <c r="M13" s="790"/>
      <c r="N13" s="790"/>
      <c r="O13" s="789"/>
      <c r="P13" s="200"/>
      <c r="Q13" s="200"/>
      <c r="R13" s="359" t="s">
        <v>526</v>
      </c>
      <c r="S13" s="360" t="s">
        <v>535</v>
      </c>
      <c r="T13" s="361" t="s">
        <v>199</v>
      </c>
      <c r="U13" s="363" t="s">
        <v>97</v>
      </c>
      <c r="V13" s="362"/>
      <c r="W13" s="364"/>
      <c r="X13" s="213"/>
      <c r="Y13" s="200"/>
    </row>
    <row r="14" spans="1:25" ht="15.75" customHeight="1">
      <c r="B14" s="231"/>
      <c r="C14" s="789"/>
      <c r="D14" s="789"/>
      <c r="E14" s="789"/>
      <c r="F14" s="789"/>
      <c r="G14" s="789"/>
      <c r="H14" s="790"/>
      <c r="I14" s="790"/>
      <c r="J14" s="789"/>
      <c r="K14" s="789"/>
      <c r="L14" s="789"/>
      <c r="M14" s="790"/>
      <c r="N14" s="790"/>
      <c r="O14" s="789"/>
      <c r="P14" s="200"/>
      <c r="Q14" s="200"/>
      <c r="R14" s="359" t="s">
        <v>526</v>
      </c>
      <c r="S14" s="360" t="s">
        <v>536</v>
      </c>
      <c r="T14" s="361" t="s">
        <v>210</v>
      </c>
      <c r="U14" s="363" t="s">
        <v>97</v>
      </c>
      <c r="V14" s="362"/>
      <c r="W14" s="364"/>
      <c r="X14" s="213"/>
      <c r="Y14" s="200"/>
    </row>
    <row r="15" spans="1:25" ht="15.75" customHeight="1">
      <c r="B15" s="231"/>
      <c r="C15" s="789"/>
      <c r="D15" s="789"/>
      <c r="E15" s="789"/>
      <c r="F15" s="789"/>
      <c r="G15" s="789"/>
      <c r="H15" s="790"/>
      <c r="I15" s="790"/>
      <c r="J15" s="789"/>
      <c r="K15" s="789"/>
      <c r="L15" s="789"/>
      <c r="M15" s="790"/>
      <c r="N15" s="790"/>
      <c r="O15" s="789"/>
      <c r="P15" s="200"/>
      <c r="Q15" s="200"/>
      <c r="R15" s="359" t="s">
        <v>526</v>
      </c>
      <c r="S15" s="360" t="s">
        <v>537</v>
      </c>
      <c r="T15" s="361" t="s">
        <v>211</v>
      </c>
      <c r="U15" s="363" t="s">
        <v>97</v>
      </c>
      <c r="V15" s="362"/>
      <c r="W15" s="364"/>
      <c r="X15" s="213"/>
      <c r="Y15" s="200"/>
    </row>
    <row r="16" spans="1:25" ht="15.75" customHeight="1">
      <c r="B16" s="231"/>
      <c r="C16" s="789"/>
      <c r="D16" s="789"/>
      <c r="E16" s="789"/>
      <c r="F16" s="789"/>
      <c r="G16" s="789"/>
      <c r="H16" s="790"/>
      <c r="I16" s="790"/>
      <c r="J16" s="789"/>
      <c r="K16" s="789"/>
      <c r="L16" s="789"/>
      <c r="M16" s="790"/>
      <c r="N16" s="790"/>
      <c r="O16" s="789"/>
      <c r="P16" s="200"/>
      <c r="Q16" s="200"/>
      <c r="R16" s="359" t="s">
        <v>538</v>
      </c>
      <c r="S16" s="360" t="s">
        <v>527</v>
      </c>
      <c r="T16" s="361" t="s">
        <v>539</v>
      </c>
      <c r="U16" s="362"/>
      <c r="V16" s="362"/>
      <c r="W16" s="366" t="s">
        <v>97</v>
      </c>
      <c r="X16" s="215"/>
      <c r="Y16" s="200"/>
    </row>
    <row r="17" spans="2:25" ht="15.75" customHeight="1">
      <c r="B17" s="231"/>
      <c r="C17" s="789"/>
      <c r="D17" s="789"/>
      <c r="E17" s="789"/>
      <c r="F17" s="789"/>
      <c r="G17" s="789"/>
      <c r="H17" s="790"/>
      <c r="I17" s="790"/>
      <c r="J17" s="789"/>
      <c r="K17" s="789"/>
      <c r="L17" s="789"/>
      <c r="M17" s="790"/>
      <c r="N17" s="790"/>
      <c r="O17" s="789"/>
      <c r="P17" s="200"/>
      <c r="Q17" s="200"/>
      <c r="R17" s="359" t="s">
        <v>538</v>
      </c>
      <c r="S17" s="360" t="s">
        <v>528</v>
      </c>
      <c r="T17" s="361" t="s">
        <v>332</v>
      </c>
      <c r="U17" s="362"/>
      <c r="V17" s="362"/>
      <c r="W17" s="366" t="s">
        <v>97</v>
      </c>
      <c r="X17" s="215"/>
      <c r="Y17" s="200"/>
    </row>
    <row r="18" spans="2:25" ht="15.75" customHeight="1">
      <c r="B18" s="231"/>
      <c r="C18" s="789"/>
      <c r="D18" s="789"/>
      <c r="E18" s="789"/>
      <c r="F18" s="789"/>
      <c r="G18" s="789"/>
      <c r="H18" s="790"/>
      <c r="I18" s="790"/>
      <c r="J18" s="789"/>
      <c r="K18" s="789"/>
      <c r="L18" s="789"/>
      <c r="M18" s="790"/>
      <c r="N18" s="790"/>
      <c r="O18" s="789"/>
      <c r="P18" s="200"/>
      <c r="Q18" s="200"/>
      <c r="R18" s="359" t="s">
        <v>538</v>
      </c>
      <c r="S18" s="360" t="s">
        <v>529</v>
      </c>
      <c r="T18" s="361" t="s">
        <v>334</v>
      </c>
      <c r="U18" s="362"/>
      <c r="V18" s="362"/>
      <c r="W18" s="366" t="s">
        <v>97</v>
      </c>
      <c r="X18" s="215"/>
      <c r="Y18" s="200"/>
    </row>
    <row r="19" spans="2:25" ht="15.75" customHeight="1">
      <c r="B19" s="231"/>
      <c r="C19" s="789"/>
      <c r="D19" s="789"/>
      <c r="E19" s="789"/>
      <c r="F19" s="789"/>
      <c r="G19" s="789"/>
      <c r="H19" s="790"/>
      <c r="I19" s="790"/>
      <c r="J19" s="789"/>
      <c r="K19" s="789"/>
      <c r="L19" s="789"/>
      <c r="M19" s="790"/>
      <c r="N19" s="790"/>
      <c r="O19" s="789"/>
      <c r="P19" s="200"/>
      <c r="Q19" s="200"/>
      <c r="R19" s="363" t="s">
        <v>538</v>
      </c>
      <c r="S19" s="367" t="s">
        <v>530</v>
      </c>
      <c r="T19" s="368" t="s">
        <v>336</v>
      </c>
      <c r="U19" s="362"/>
      <c r="V19" s="363" t="s">
        <v>97</v>
      </c>
      <c r="W19" s="364"/>
      <c r="X19" s="213"/>
      <c r="Y19" s="200"/>
    </row>
    <row r="20" spans="2:25" ht="15.75" customHeight="1">
      <c r="B20" s="231"/>
      <c r="C20" s="789"/>
      <c r="D20" s="789"/>
      <c r="E20" s="789"/>
      <c r="F20" s="789"/>
      <c r="G20" s="789"/>
      <c r="H20" s="790"/>
      <c r="I20" s="790"/>
      <c r="J20" s="789"/>
      <c r="K20" s="789"/>
      <c r="L20" s="789"/>
      <c r="M20" s="790"/>
      <c r="N20" s="790"/>
      <c r="O20" s="789"/>
      <c r="P20" s="200"/>
      <c r="Q20" s="200"/>
      <c r="R20" s="359" t="s">
        <v>538</v>
      </c>
      <c r="S20" s="360" t="s">
        <v>531</v>
      </c>
      <c r="T20" s="361" t="s">
        <v>351</v>
      </c>
      <c r="U20" s="362"/>
      <c r="V20" s="363" t="s">
        <v>97</v>
      </c>
      <c r="W20" s="364"/>
      <c r="X20" s="213"/>
      <c r="Y20" s="200"/>
    </row>
    <row r="21" spans="2:25" ht="15.75" customHeight="1">
      <c r="B21" s="231"/>
      <c r="C21" s="789"/>
      <c r="D21" s="789"/>
      <c r="E21" s="789"/>
      <c r="F21" s="789"/>
      <c r="G21" s="789"/>
      <c r="H21" s="790"/>
      <c r="I21" s="790"/>
      <c r="J21" s="789"/>
      <c r="K21" s="789"/>
      <c r="L21" s="789"/>
      <c r="M21" s="790"/>
      <c r="N21" s="790"/>
      <c r="O21" s="789"/>
      <c r="P21" s="200"/>
      <c r="Q21" s="200"/>
      <c r="R21" s="359" t="s">
        <v>538</v>
      </c>
      <c r="S21" s="360" t="s">
        <v>526</v>
      </c>
      <c r="T21" s="361" t="s">
        <v>364</v>
      </c>
      <c r="U21" s="362"/>
      <c r="V21" s="362"/>
      <c r="W21" s="366" t="s">
        <v>97</v>
      </c>
      <c r="X21" s="215"/>
      <c r="Y21" s="200"/>
    </row>
    <row r="22" spans="2:25" ht="15.75" customHeight="1">
      <c r="B22" s="231"/>
      <c r="C22" s="789"/>
      <c r="D22" s="789"/>
      <c r="E22" s="789"/>
      <c r="F22" s="789"/>
      <c r="G22" s="789"/>
      <c r="H22" s="790"/>
      <c r="I22" s="790"/>
      <c r="J22" s="789"/>
      <c r="K22" s="789"/>
      <c r="L22" s="789"/>
      <c r="M22" s="790"/>
      <c r="N22" s="790"/>
      <c r="O22" s="789"/>
      <c r="P22" s="200"/>
      <c r="Q22" s="200"/>
      <c r="R22" s="359" t="s">
        <v>538</v>
      </c>
      <c r="S22" s="360" t="s">
        <v>533</v>
      </c>
      <c r="T22" s="361" t="s">
        <v>366</v>
      </c>
      <c r="U22" s="362"/>
      <c r="V22" s="362"/>
      <c r="W22" s="366" t="s">
        <v>97</v>
      </c>
      <c r="X22" s="215"/>
      <c r="Y22" s="200"/>
    </row>
    <row r="23" spans="2:25" ht="15.75" customHeight="1">
      <c r="B23" s="231"/>
      <c r="C23" s="8"/>
      <c r="D23" s="8"/>
      <c r="E23" s="87"/>
      <c r="F23" s="87"/>
      <c r="G23" s="87"/>
      <c r="H23" s="191"/>
      <c r="I23" s="192"/>
      <c r="J23" s="193"/>
      <c r="K23" s="193"/>
      <c r="L23" s="194"/>
      <c r="M23" s="200"/>
      <c r="N23" s="200"/>
      <c r="O23" s="200"/>
      <c r="P23" s="200"/>
      <c r="Q23" s="200"/>
      <c r="R23" s="359" t="s">
        <v>538</v>
      </c>
      <c r="S23" s="360" t="s">
        <v>534</v>
      </c>
      <c r="T23" s="361" t="s">
        <v>368</v>
      </c>
      <c r="U23" s="362"/>
      <c r="V23" s="363" t="s">
        <v>97</v>
      </c>
      <c r="W23" s="364"/>
      <c r="X23" s="213"/>
      <c r="Y23" s="200"/>
    </row>
    <row r="24" spans="2:25" ht="15.75" customHeight="1">
      <c r="B24" s="230"/>
      <c r="C24" s="9"/>
      <c r="D24" s="9"/>
      <c r="E24" s="211"/>
      <c r="F24" s="211"/>
      <c r="G24" s="211"/>
      <c r="H24" s="185"/>
      <c r="I24" s="186"/>
      <c r="J24" s="187"/>
      <c r="K24" s="187"/>
      <c r="L24" s="188"/>
      <c r="M24" s="189"/>
      <c r="N24" s="189"/>
      <c r="O24" s="189"/>
      <c r="P24" s="189"/>
      <c r="Q24" s="189"/>
      <c r="R24" s="359" t="s">
        <v>533</v>
      </c>
      <c r="S24" s="360" t="s">
        <v>527</v>
      </c>
      <c r="T24" s="361" t="s">
        <v>540</v>
      </c>
      <c r="U24" s="363" t="s">
        <v>97</v>
      </c>
      <c r="V24" s="362"/>
      <c r="W24" s="364"/>
      <c r="X24" s="213"/>
      <c r="Y24" s="189"/>
    </row>
    <row r="25" spans="2:25" ht="15.75" customHeight="1">
      <c r="B25" s="230"/>
      <c r="C25" s="9"/>
      <c r="D25" s="9"/>
      <c r="E25" s="211"/>
      <c r="F25" s="211"/>
      <c r="G25" s="211"/>
      <c r="H25" s="185"/>
      <c r="I25" s="186"/>
      <c r="J25" s="187"/>
      <c r="K25" s="187"/>
      <c r="L25" s="188"/>
      <c r="M25" s="189"/>
      <c r="N25" s="189"/>
      <c r="O25" s="189"/>
      <c r="P25" s="189"/>
      <c r="Q25" s="189"/>
      <c r="R25" s="359" t="s">
        <v>533</v>
      </c>
      <c r="S25" s="360" t="s">
        <v>528</v>
      </c>
      <c r="T25" s="361" t="s">
        <v>541</v>
      </c>
      <c r="U25" s="363" t="s">
        <v>97</v>
      </c>
      <c r="V25" s="362"/>
      <c r="W25" s="364"/>
      <c r="X25" s="213"/>
      <c r="Y25" s="189"/>
    </row>
    <row r="26" spans="2:25" ht="15.75" customHeight="1">
      <c r="B26" s="230"/>
      <c r="C26" s="9"/>
      <c r="D26" s="9"/>
      <c r="E26" s="211"/>
      <c r="F26" s="211"/>
      <c r="G26" s="211"/>
      <c r="H26" s="185"/>
      <c r="I26" s="186"/>
      <c r="J26" s="187"/>
      <c r="K26" s="187"/>
      <c r="L26" s="188"/>
      <c r="M26" s="189"/>
      <c r="N26" s="189"/>
      <c r="O26" s="189"/>
      <c r="P26" s="189"/>
      <c r="Q26" s="189"/>
      <c r="R26" s="359" t="s">
        <v>533</v>
      </c>
      <c r="S26" s="360" t="s">
        <v>529</v>
      </c>
      <c r="T26" s="361" t="s">
        <v>224</v>
      </c>
      <c r="U26" s="363" t="s">
        <v>97</v>
      </c>
      <c r="V26" s="362"/>
      <c r="W26" s="364"/>
      <c r="X26" s="213"/>
      <c r="Y26" s="189"/>
    </row>
    <row r="27" spans="2:25" ht="15.75" customHeight="1">
      <c r="B27" s="230"/>
      <c r="C27" s="9"/>
      <c r="D27" s="187"/>
      <c r="E27" s="211"/>
      <c r="F27" s="211"/>
      <c r="G27" s="211"/>
      <c r="H27" s="187"/>
      <c r="I27" s="187"/>
      <c r="J27" s="187"/>
      <c r="K27" s="187"/>
      <c r="L27" s="188"/>
      <c r="M27" s="189"/>
      <c r="N27" s="189"/>
      <c r="O27" s="189"/>
      <c r="P27" s="189"/>
      <c r="Q27" s="189"/>
      <c r="R27" s="359" t="s">
        <v>533</v>
      </c>
      <c r="S27" s="360" t="s">
        <v>530</v>
      </c>
      <c r="T27" s="361" t="s">
        <v>234</v>
      </c>
      <c r="U27" s="363" t="s">
        <v>97</v>
      </c>
      <c r="V27" s="362"/>
      <c r="W27" s="364"/>
      <c r="X27" s="213"/>
      <c r="Y27" s="189"/>
    </row>
    <row r="28" spans="2:25" ht="15.75" customHeight="1">
      <c r="B28" s="230"/>
      <c r="C28" s="9"/>
      <c r="D28" s="9"/>
      <c r="E28" s="211"/>
      <c r="F28" s="211"/>
      <c r="G28" s="211"/>
      <c r="H28" s="185"/>
      <c r="I28" s="186"/>
      <c r="J28" s="187"/>
      <c r="K28" s="187"/>
      <c r="L28" s="188"/>
      <c r="M28" s="189"/>
      <c r="N28" s="189"/>
      <c r="O28" s="189"/>
      <c r="P28" s="189"/>
      <c r="Q28" s="189"/>
      <c r="R28" s="359" t="s">
        <v>533</v>
      </c>
      <c r="S28" s="360" t="s">
        <v>531</v>
      </c>
      <c r="T28" s="361" t="s">
        <v>248</v>
      </c>
      <c r="U28" s="363" t="s">
        <v>97</v>
      </c>
      <c r="V28" s="362"/>
      <c r="W28" s="364"/>
      <c r="X28" s="213"/>
      <c r="Y28" s="189"/>
    </row>
    <row r="29" spans="2:25" ht="15.75" customHeight="1">
      <c r="B29" s="230"/>
      <c r="C29" s="9"/>
      <c r="D29" s="9"/>
      <c r="E29" s="211"/>
      <c r="F29" s="211"/>
      <c r="G29" s="211"/>
      <c r="H29" s="185"/>
      <c r="I29" s="186"/>
      <c r="J29" s="187"/>
      <c r="K29" s="187"/>
      <c r="L29" s="188"/>
      <c r="M29" s="189"/>
      <c r="N29" s="189"/>
      <c r="O29" s="189"/>
      <c r="P29" s="189"/>
      <c r="Q29" s="189"/>
      <c r="R29" s="359" t="s">
        <v>533</v>
      </c>
      <c r="S29" s="360" t="s">
        <v>526</v>
      </c>
      <c r="T29" s="361" t="s">
        <v>255</v>
      </c>
      <c r="U29" s="363" t="s">
        <v>97</v>
      </c>
      <c r="V29" s="362"/>
      <c r="W29" s="364"/>
      <c r="X29" s="213"/>
      <c r="Y29" s="189"/>
    </row>
    <row r="30" spans="2:25" ht="15.75" customHeight="1">
      <c r="B30" s="230"/>
      <c r="C30" s="9"/>
      <c r="D30" s="9"/>
      <c r="E30" s="211"/>
      <c r="F30" s="211"/>
      <c r="G30" s="211"/>
      <c r="H30" s="185"/>
      <c r="I30" s="186"/>
      <c r="J30" s="187"/>
      <c r="K30" s="187"/>
      <c r="L30" s="188"/>
      <c r="M30" s="189"/>
      <c r="N30" s="189"/>
      <c r="O30" s="189"/>
      <c r="P30" s="189"/>
      <c r="Q30" s="189"/>
      <c r="R30" s="366" t="s">
        <v>542</v>
      </c>
      <c r="S30" s="360" t="s">
        <v>533</v>
      </c>
      <c r="T30" s="361" t="s">
        <v>283</v>
      </c>
      <c r="U30" s="363" t="s">
        <v>97</v>
      </c>
      <c r="V30" s="362"/>
      <c r="W30" s="364"/>
      <c r="X30" s="213"/>
      <c r="Y30" s="189"/>
    </row>
    <row r="31" spans="2:25" ht="19.5" customHeight="1">
      <c r="B31" s="230"/>
      <c r="C31" s="9"/>
      <c r="D31" s="9"/>
      <c r="E31" s="211"/>
      <c r="F31" s="211"/>
      <c r="G31" s="211"/>
      <c r="H31" s="185"/>
      <c r="I31" s="186"/>
      <c r="J31" s="187"/>
      <c r="K31" s="187"/>
      <c r="L31" s="188"/>
      <c r="M31" s="189"/>
      <c r="N31" s="189"/>
      <c r="O31" s="189"/>
      <c r="P31" s="189"/>
      <c r="Q31" s="189"/>
      <c r="R31" s="359" t="s">
        <v>533</v>
      </c>
      <c r="S31" s="360" t="s">
        <v>534</v>
      </c>
      <c r="T31" s="361" t="s">
        <v>211</v>
      </c>
      <c r="U31" s="362"/>
      <c r="V31" s="362"/>
      <c r="W31" s="364"/>
      <c r="X31" s="213"/>
      <c r="Y31" s="189"/>
    </row>
    <row r="32" spans="2:25" ht="68.25" customHeight="1">
      <c r="B32" s="238" t="s">
        <v>134</v>
      </c>
      <c r="C32" s="19" t="s">
        <v>147</v>
      </c>
      <c r="D32" s="17" t="s">
        <v>133</v>
      </c>
      <c r="E32" s="158" t="s">
        <v>148</v>
      </c>
      <c r="F32" s="158" t="s">
        <v>546</v>
      </c>
      <c r="G32" s="158" t="s">
        <v>547</v>
      </c>
      <c r="H32" s="380" t="s">
        <v>518</v>
      </c>
      <c r="I32" s="381" t="s">
        <v>519</v>
      </c>
      <c r="J32" s="382" t="s">
        <v>548</v>
      </c>
      <c r="K32" s="380" t="s">
        <v>520</v>
      </c>
      <c r="L32" s="197"/>
      <c r="M32" s="380" t="s">
        <v>518</v>
      </c>
      <c r="N32" s="381" t="s">
        <v>519</v>
      </c>
      <c r="O32" s="382" t="s">
        <v>548</v>
      </c>
      <c r="P32" s="383" t="s">
        <v>520</v>
      </c>
      <c r="Q32" s="18"/>
      <c r="R32" s="198" t="s">
        <v>517</v>
      </c>
      <c r="S32" s="198"/>
      <c r="T32" s="198"/>
      <c r="U32" s="369"/>
      <c r="V32" s="369"/>
      <c r="W32" s="369" t="s">
        <v>104</v>
      </c>
      <c r="X32" s="198"/>
      <c r="Y32" s="198"/>
    </row>
    <row r="33" spans="2:25" ht="126.75" customHeight="1">
      <c r="B33" s="232">
        <v>0</v>
      </c>
      <c r="C33" s="201" t="s">
        <v>440</v>
      </c>
      <c r="D33" s="202" t="s">
        <v>493</v>
      </c>
      <c r="E33" s="208" t="s">
        <v>457</v>
      </c>
      <c r="F33" s="373" t="s">
        <v>684</v>
      </c>
      <c r="G33" s="377"/>
      <c r="H33" s="374"/>
      <c r="I33" s="241"/>
      <c r="J33" s="218"/>
      <c r="K33" s="218"/>
      <c r="L33" s="216">
        <v>650</v>
      </c>
      <c r="M33" s="221"/>
      <c r="N33" s="241"/>
      <c r="O33" s="218"/>
      <c r="P33" s="218"/>
      <c r="Q33" s="156">
        <v>12.5</v>
      </c>
      <c r="R33" s="791" t="s">
        <v>621</v>
      </c>
      <c r="S33" s="792"/>
      <c r="T33" s="792"/>
      <c r="U33" s="792"/>
      <c r="V33" s="793"/>
      <c r="W33" s="791" t="s">
        <v>692</v>
      </c>
      <c r="X33" s="793"/>
      <c r="Y33" s="8"/>
    </row>
    <row r="34" spans="2:25" ht="37.5" customHeight="1">
      <c r="B34" s="232">
        <v>1</v>
      </c>
      <c r="C34" s="201" t="s">
        <v>142</v>
      </c>
      <c r="D34" s="202" t="s">
        <v>141</v>
      </c>
      <c r="E34" s="208" t="s">
        <v>143</v>
      </c>
      <c r="F34" s="373" t="s">
        <v>684</v>
      </c>
      <c r="G34" s="377"/>
      <c r="H34" s="374"/>
      <c r="I34" s="241"/>
      <c r="J34" s="218"/>
      <c r="K34" s="218"/>
      <c r="L34" s="216">
        <v>650</v>
      </c>
      <c r="M34" s="221"/>
      <c r="N34" s="241"/>
      <c r="O34" s="218"/>
      <c r="P34" s="218"/>
      <c r="Q34" s="156">
        <v>12.5</v>
      </c>
      <c r="R34" s="791" t="s">
        <v>616</v>
      </c>
      <c r="S34" s="792"/>
      <c r="T34" s="792"/>
      <c r="U34" s="792"/>
      <c r="V34" s="793"/>
      <c r="W34" s="791"/>
      <c r="X34" s="793"/>
      <c r="Y34" s="8"/>
    </row>
    <row r="35" spans="2:25" ht="37.5" customHeight="1">
      <c r="B35" s="232">
        <v>2</v>
      </c>
      <c r="C35" s="201" t="s">
        <v>142</v>
      </c>
      <c r="D35" s="202" t="s">
        <v>144</v>
      </c>
      <c r="E35" s="208" t="s">
        <v>403</v>
      </c>
      <c r="F35" s="373" t="s">
        <v>684</v>
      </c>
      <c r="G35" s="377"/>
      <c r="H35" s="374"/>
      <c r="I35" s="241"/>
      <c r="J35" s="218"/>
      <c r="K35" s="218"/>
      <c r="L35" s="216"/>
      <c r="M35" s="221"/>
      <c r="N35" s="241"/>
      <c r="O35" s="218"/>
      <c r="P35" s="218"/>
      <c r="Q35" s="156"/>
      <c r="R35" s="791" t="s">
        <v>616</v>
      </c>
      <c r="S35" s="792"/>
      <c r="T35" s="792"/>
      <c r="U35" s="792"/>
      <c r="V35" s="793"/>
      <c r="W35" s="791"/>
      <c r="X35" s="793"/>
      <c r="Y35" s="8"/>
    </row>
    <row r="36" spans="2:25" ht="37.5" customHeight="1">
      <c r="B36" s="232">
        <v>3</v>
      </c>
      <c r="C36" s="201" t="s">
        <v>142</v>
      </c>
      <c r="D36" s="202" t="s">
        <v>5</v>
      </c>
      <c r="E36" s="208" t="s">
        <v>145</v>
      </c>
      <c r="F36" s="373" t="s">
        <v>684</v>
      </c>
      <c r="G36" s="377"/>
      <c r="H36" s="374"/>
      <c r="I36" s="241"/>
      <c r="J36" s="218"/>
      <c r="K36" s="218"/>
      <c r="L36" s="216"/>
      <c r="M36" s="221"/>
      <c r="N36" s="241"/>
      <c r="O36" s="218"/>
      <c r="P36" s="218"/>
      <c r="Q36" s="156"/>
      <c r="R36" s="791" t="s">
        <v>616</v>
      </c>
      <c r="S36" s="792"/>
      <c r="T36" s="792"/>
      <c r="U36" s="792"/>
      <c r="V36" s="793"/>
      <c r="W36" s="791"/>
      <c r="X36" s="793"/>
      <c r="Y36" s="8"/>
    </row>
    <row r="37" spans="2:25" ht="59.25" customHeight="1">
      <c r="B37" s="232">
        <v>4</v>
      </c>
      <c r="C37" s="201" t="s">
        <v>142</v>
      </c>
      <c r="D37" s="202" t="s">
        <v>6</v>
      </c>
      <c r="E37" s="208" t="s">
        <v>146</v>
      </c>
      <c r="F37" s="373" t="s">
        <v>684</v>
      </c>
      <c r="G37" s="377"/>
      <c r="H37" s="374"/>
      <c r="I37" s="241"/>
      <c r="J37" s="218"/>
      <c r="K37" s="218"/>
      <c r="L37" s="216"/>
      <c r="M37" s="221"/>
      <c r="N37" s="241"/>
      <c r="O37" s="218"/>
      <c r="P37" s="218"/>
      <c r="Q37" s="156"/>
      <c r="R37" s="791" t="s">
        <v>616</v>
      </c>
      <c r="S37" s="792"/>
      <c r="T37" s="792"/>
      <c r="U37" s="792"/>
      <c r="V37" s="793"/>
      <c r="W37" s="791"/>
      <c r="X37" s="793"/>
      <c r="Y37" s="8"/>
    </row>
    <row r="38" spans="2:25" ht="44.25" customHeight="1">
      <c r="B38" s="232">
        <v>5</v>
      </c>
      <c r="C38" s="201" t="s">
        <v>142</v>
      </c>
      <c r="D38" s="202" t="s">
        <v>292</v>
      </c>
      <c r="E38" s="208" t="s">
        <v>293</v>
      </c>
      <c r="F38" s="373" t="s">
        <v>684</v>
      </c>
      <c r="G38" s="377"/>
      <c r="H38" s="374"/>
      <c r="I38" s="241"/>
      <c r="J38" s="218"/>
      <c r="K38" s="218"/>
      <c r="L38" s="216"/>
      <c r="M38" s="221"/>
      <c r="N38" s="241"/>
      <c r="O38" s="218"/>
      <c r="P38" s="218"/>
      <c r="Q38" s="156"/>
      <c r="R38" s="791" t="s">
        <v>616</v>
      </c>
      <c r="S38" s="792"/>
      <c r="T38" s="792"/>
      <c r="U38" s="792"/>
      <c r="V38" s="793"/>
      <c r="W38" s="791"/>
      <c r="X38" s="793"/>
      <c r="Y38" s="8"/>
    </row>
    <row r="39" spans="2:25" ht="37.5" customHeight="1">
      <c r="B39" s="232">
        <v>6</v>
      </c>
      <c r="C39" s="201" t="s">
        <v>142</v>
      </c>
      <c r="D39" s="202" t="s">
        <v>294</v>
      </c>
      <c r="E39" s="208" t="s">
        <v>404</v>
      </c>
      <c r="F39" s="373" t="s">
        <v>684</v>
      </c>
      <c r="G39" s="377"/>
      <c r="H39" s="374"/>
      <c r="I39" s="241"/>
      <c r="J39" s="218"/>
      <c r="K39" s="218"/>
      <c r="L39" s="216"/>
      <c r="M39" s="221"/>
      <c r="N39" s="241"/>
      <c r="O39" s="218"/>
      <c r="P39" s="218"/>
      <c r="Q39" s="156"/>
      <c r="R39" s="791" t="s">
        <v>616</v>
      </c>
      <c r="S39" s="792"/>
      <c r="T39" s="792"/>
      <c r="U39" s="792"/>
      <c r="V39" s="793"/>
      <c r="W39" s="791"/>
      <c r="X39" s="793"/>
      <c r="Y39" s="8"/>
    </row>
    <row r="40" spans="2:25" ht="37.5" customHeight="1">
      <c r="B40" s="232">
        <v>7</v>
      </c>
      <c r="C40" s="201" t="s">
        <v>142</v>
      </c>
      <c r="D40" s="202" t="s">
        <v>295</v>
      </c>
      <c r="E40" s="208" t="s">
        <v>296</v>
      </c>
      <c r="F40" s="373" t="s">
        <v>684</v>
      </c>
      <c r="G40" s="377"/>
      <c r="H40" s="374"/>
      <c r="I40" s="241"/>
      <c r="J40" s="218"/>
      <c r="K40" s="218"/>
      <c r="L40" s="216"/>
      <c r="M40" s="221"/>
      <c r="N40" s="241"/>
      <c r="O40" s="218"/>
      <c r="P40" s="218"/>
      <c r="Q40" s="156"/>
      <c r="R40" s="791" t="s">
        <v>616</v>
      </c>
      <c r="S40" s="792"/>
      <c r="T40" s="792"/>
      <c r="U40" s="792"/>
      <c r="V40" s="793"/>
      <c r="W40" s="791"/>
      <c r="X40" s="793"/>
      <c r="Y40" s="8"/>
    </row>
    <row r="41" spans="2:25" ht="37.5" customHeight="1">
      <c r="B41" s="232">
        <v>8</v>
      </c>
      <c r="C41" s="201" t="s">
        <v>142</v>
      </c>
      <c r="D41" s="202" t="s">
        <v>297</v>
      </c>
      <c r="E41" s="208" t="s">
        <v>405</v>
      </c>
      <c r="F41" s="373" t="s">
        <v>684</v>
      </c>
      <c r="G41" s="377"/>
      <c r="H41" s="374"/>
      <c r="I41" s="241"/>
      <c r="J41" s="218"/>
      <c r="K41" s="218"/>
      <c r="L41" s="216"/>
      <c r="M41" s="221"/>
      <c r="N41" s="241"/>
      <c r="O41" s="218"/>
      <c r="P41" s="218"/>
      <c r="Q41" s="156"/>
      <c r="R41" s="791" t="s">
        <v>616</v>
      </c>
      <c r="S41" s="792"/>
      <c r="T41" s="792"/>
      <c r="U41" s="792"/>
      <c r="V41" s="793"/>
      <c r="W41" s="791"/>
      <c r="X41" s="793"/>
      <c r="Y41" s="8"/>
    </row>
    <row r="42" spans="2:25" ht="37.5">
      <c r="B42" s="232">
        <v>9</v>
      </c>
      <c r="C42" s="201" t="s">
        <v>298</v>
      </c>
      <c r="D42" s="202" t="s">
        <v>23</v>
      </c>
      <c r="E42" s="208" t="s">
        <v>299</v>
      </c>
      <c r="F42" s="373" t="s">
        <v>684</v>
      </c>
      <c r="G42" s="377"/>
      <c r="H42" s="374"/>
      <c r="I42" s="241"/>
      <c r="J42" s="218"/>
      <c r="K42" s="218"/>
      <c r="L42" s="216"/>
      <c r="M42" s="221"/>
      <c r="N42" s="241"/>
      <c r="O42" s="218"/>
      <c r="P42" s="218"/>
      <c r="Q42" s="156"/>
      <c r="R42" s="791" t="s">
        <v>616</v>
      </c>
      <c r="S42" s="792"/>
      <c r="T42" s="792"/>
      <c r="U42" s="792"/>
      <c r="V42" s="793"/>
      <c r="W42" s="791"/>
      <c r="X42" s="793"/>
      <c r="Y42" s="8"/>
    </row>
    <row r="43" spans="2:25" ht="37.5">
      <c r="B43" s="232">
        <v>10</v>
      </c>
      <c r="C43" s="201" t="s">
        <v>298</v>
      </c>
      <c r="D43" s="202" t="s">
        <v>300</v>
      </c>
      <c r="E43" s="208" t="s">
        <v>406</v>
      </c>
      <c r="F43" s="373" t="s">
        <v>684</v>
      </c>
      <c r="G43" s="377"/>
      <c r="H43" s="374"/>
      <c r="I43" s="241"/>
      <c r="J43" s="218"/>
      <c r="K43" s="218"/>
      <c r="L43" s="216"/>
      <c r="M43" s="221"/>
      <c r="N43" s="241"/>
      <c r="O43" s="218"/>
      <c r="P43" s="218"/>
      <c r="Q43" s="156"/>
      <c r="R43" s="791" t="s">
        <v>616</v>
      </c>
      <c r="S43" s="792"/>
      <c r="T43" s="792"/>
      <c r="U43" s="792"/>
      <c r="V43" s="793"/>
      <c r="W43" s="791"/>
      <c r="X43" s="793"/>
      <c r="Y43" s="8"/>
    </row>
    <row r="44" spans="2:25" ht="37.5">
      <c r="B44" s="232">
        <v>11</v>
      </c>
      <c r="C44" s="201" t="s">
        <v>298</v>
      </c>
      <c r="D44" s="202" t="s">
        <v>301</v>
      </c>
      <c r="E44" s="208" t="s">
        <v>407</v>
      </c>
      <c r="F44" s="373" t="s">
        <v>684</v>
      </c>
      <c r="G44" s="377"/>
      <c r="H44" s="374"/>
      <c r="I44" s="241"/>
      <c r="J44" s="218"/>
      <c r="K44" s="218"/>
      <c r="L44" s="216"/>
      <c r="M44" s="221"/>
      <c r="N44" s="241"/>
      <c r="O44" s="218"/>
      <c r="P44" s="218"/>
      <c r="Q44" s="156"/>
      <c r="R44" s="791" t="s">
        <v>616</v>
      </c>
      <c r="S44" s="792"/>
      <c r="T44" s="792"/>
      <c r="U44" s="792"/>
      <c r="V44" s="793"/>
      <c r="W44" s="791"/>
      <c r="X44" s="793"/>
      <c r="Y44" s="8"/>
    </row>
    <row r="45" spans="2:25" ht="37.5">
      <c r="B45" s="232">
        <v>12</v>
      </c>
      <c r="C45" s="201" t="s">
        <v>298</v>
      </c>
      <c r="D45" s="202" t="s">
        <v>302</v>
      </c>
      <c r="E45" s="208" t="s">
        <v>303</v>
      </c>
      <c r="F45" s="373" t="s">
        <v>684</v>
      </c>
      <c r="G45" s="377"/>
      <c r="H45" s="374"/>
      <c r="I45" s="241"/>
      <c r="J45" s="218"/>
      <c r="K45" s="218"/>
      <c r="L45" s="216"/>
      <c r="M45" s="221"/>
      <c r="N45" s="241"/>
      <c r="O45" s="218"/>
      <c r="P45" s="218"/>
      <c r="Q45" s="156"/>
      <c r="R45" s="791" t="s">
        <v>616</v>
      </c>
      <c r="S45" s="792"/>
      <c r="T45" s="792"/>
      <c r="U45" s="792"/>
      <c r="V45" s="793"/>
      <c r="W45" s="791"/>
      <c r="X45" s="793"/>
      <c r="Y45" s="8"/>
    </row>
    <row r="46" spans="2:25" ht="37.5">
      <c r="B46" s="232">
        <v>13</v>
      </c>
      <c r="C46" s="201" t="s">
        <v>298</v>
      </c>
      <c r="D46" s="202" t="s">
        <v>304</v>
      </c>
      <c r="E46" s="208" t="s">
        <v>305</v>
      </c>
      <c r="F46" s="373" t="s">
        <v>684</v>
      </c>
      <c r="G46" s="377"/>
      <c r="H46" s="374"/>
      <c r="I46" s="241"/>
      <c r="J46" s="218"/>
      <c r="K46" s="218"/>
      <c r="L46" s="216"/>
      <c r="M46" s="221"/>
      <c r="N46" s="241"/>
      <c r="O46" s="218"/>
      <c r="P46" s="218"/>
      <c r="Q46" s="156"/>
      <c r="R46" s="791" t="s">
        <v>616</v>
      </c>
      <c r="S46" s="792"/>
      <c r="T46" s="792"/>
      <c r="U46" s="792"/>
      <c r="V46" s="793"/>
      <c r="W46" s="791"/>
      <c r="X46" s="793"/>
      <c r="Y46" s="8"/>
    </row>
    <row r="47" spans="2:25" ht="45.75" customHeight="1">
      <c r="B47" s="232">
        <v>14</v>
      </c>
      <c r="C47" s="201" t="s">
        <v>298</v>
      </c>
      <c r="D47" s="202" t="s">
        <v>306</v>
      </c>
      <c r="E47" s="208" t="s">
        <v>307</v>
      </c>
      <c r="F47" s="373" t="s">
        <v>684</v>
      </c>
      <c r="G47" s="377"/>
      <c r="H47" s="374"/>
      <c r="I47" s="241"/>
      <c r="J47" s="218"/>
      <c r="K47" s="218"/>
      <c r="L47" s="216"/>
      <c r="M47" s="221"/>
      <c r="N47" s="241"/>
      <c r="O47" s="218"/>
      <c r="P47" s="218"/>
      <c r="Q47" s="156"/>
      <c r="R47" s="791" t="s">
        <v>616</v>
      </c>
      <c r="S47" s="792"/>
      <c r="T47" s="792"/>
      <c r="U47" s="792"/>
      <c r="V47" s="793"/>
      <c r="W47" s="791"/>
      <c r="X47" s="793"/>
      <c r="Y47" s="8"/>
    </row>
    <row r="48" spans="2:25" ht="37.5">
      <c r="B48" s="232">
        <v>15</v>
      </c>
      <c r="C48" s="201" t="s">
        <v>298</v>
      </c>
      <c r="D48" s="202" t="s">
        <v>308</v>
      </c>
      <c r="E48" s="208" t="s">
        <v>309</v>
      </c>
      <c r="F48" s="373" t="s">
        <v>684</v>
      </c>
      <c r="G48" s="377"/>
      <c r="H48" s="374"/>
      <c r="I48" s="241"/>
      <c r="J48" s="218"/>
      <c r="K48" s="218"/>
      <c r="L48" s="216"/>
      <c r="M48" s="221"/>
      <c r="N48" s="241"/>
      <c r="O48" s="218"/>
      <c r="P48" s="218"/>
      <c r="Q48" s="156"/>
      <c r="R48" s="791" t="s">
        <v>616</v>
      </c>
      <c r="S48" s="792"/>
      <c r="T48" s="792"/>
      <c r="U48" s="792"/>
      <c r="V48" s="793"/>
      <c r="W48" s="791"/>
      <c r="X48" s="793"/>
      <c r="Y48" s="8"/>
    </row>
    <row r="49" spans="2:25" ht="37.5">
      <c r="B49" s="232">
        <v>16</v>
      </c>
      <c r="C49" s="201" t="s">
        <v>298</v>
      </c>
      <c r="D49" s="202" t="s">
        <v>310</v>
      </c>
      <c r="E49" s="208" t="s">
        <v>408</v>
      </c>
      <c r="F49" s="373" t="s">
        <v>684</v>
      </c>
      <c r="G49" s="377"/>
      <c r="H49" s="374"/>
      <c r="I49" s="241"/>
      <c r="J49" s="218"/>
      <c r="K49" s="218"/>
      <c r="L49" s="216"/>
      <c r="M49" s="221"/>
      <c r="N49" s="241"/>
      <c r="O49" s="218"/>
      <c r="P49" s="218"/>
      <c r="Q49" s="156"/>
      <c r="R49" s="791" t="s">
        <v>616</v>
      </c>
      <c r="S49" s="792"/>
      <c r="T49" s="792"/>
      <c r="U49" s="792"/>
      <c r="V49" s="793"/>
      <c r="W49" s="791"/>
      <c r="X49" s="793"/>
      <c r="Y49" s="8"/>
    </row>
    <row r="50" spans="2:25" ht="39" customHeight="1">
      <c r="B50" s="232">
        <v>17</v>
      </c>
      <c r="C50" s="201" t="s">
        <v>149</v>
      </c>
      <c r="D50" s="202" t="s">
        <v>24</v>
      </c>
      <c r="E50" s="208" t="s">
        <v>150</v>
      </c>
      <c r="F50" s="370" t="s">
        <v>545</v>
      </c>
      <c r="G50" s="377" t="s">
        <v>98</v>
      </c>
      <c r="H50" s="374"/>
      <c r="I50" s="241"/>
      <c r="J50" s="218"/>
      <c r="K50" s="218"/>
      <c r="L50" s="216"/>
      <c r="M50" s="221"/>
      <c r="N50" s="241"/>
      <c r="O50" s="218"/>
      <c r="P50" s="218"/>
      <c r="Q50" s="156"/>
      <c r="R50" s="791" t="s">
        <v>616</v>
      </c>
      <c r="S50" s="792"/>
      <c r="T50" s="792"/>
      <c r="U50" s="792"/>
      <c r="V50" s="793"/>
      <c r="W50" s="791"/>
      <c r="X50" s="793"/>
      <c r="Y50" s="8"/>
    </row>
    <row r="51" spans="2:25" ht="39" customHeight="1">
      <c r="B51" s="232">
        <v>18</v>
      </c>
      <c r="C51" s="201" t="s">
        <v>149</v>
      </c>
      <c r="D51" s="202" t="s">
        <v>26</v>
      </c>
      <c r="E51" s="208" t="s">
        <v>151</v>
      </c>
      <c r="F51" s="370" t="s">
        <v>545</v>
      </c>
      <c r="G51" s="377"/>
      <c r="H51" s="374"/>
      <c r="I51" s="241"/>
      <c r="J51" s="218"/>
      <c r="K51" s="218"/>
      <c r="L51" s="216"/>
      <c r="M51" s="221"/>
      <c r="N51" s="241"/>
      <c r="O51" s="218"/>
      <c r="P51" s="218"/>
      <c r="Q51" s="156"/>
      <c r="R51" s="791" t="s">
        <v>616</v>
      </c>
      <c r="S51" s="792"/>
      <c r="T51" s="792"/>
      <c r="U51" s="792"/>
      <c r="V51" s="793"/>
      <c r="W51" s="791"/>
      <c r="X51" s="793"/>
      <c r="Y51" s="8"/>
    </row>
    <row r="52" spans="2:25" ht="37.5">
      <c r="B52" s="232">
        <v>19</v>
      </c>
      <c r="C52" s="201" t="s">
        <v>149</v>
      </c>
      <c r="D52" s="202" t="s">
        <v>27</v>
      </c>
      <c r="E52" s="208" t="s">
        <v>409</v>
      </c>
      <c r="F52" s="370" t="s">
        <v>545</v>
      </c>
      <c r="G52" s="377"/>
      <c r="H52" s="374"/>
      <c r="I52" s="241"/>
      <c r="J52" s="218"/>
      <c r="K52" s="218"/>
      <c r="L52" s="216"/>
      <c r="M52" s="221"/>
      <c r="N52" s="241"/>
      <c r="O52" s="218"/>
      <c r="P52" s="218"/>
      <c r="Q52" s="156"/>
      <c r="R52" s="791" t="s">
        <v>616</v>
      </c>
      <c r="S52" s="792"/>
      <c r="T52" s="792"/>
      <c r="U52" s="792"/>
      <c r="V52" s="793"/>
      <c r="W52" s="791"/>
      <c r="X52" s="793"/>
      <c r="Y52" s="8"/>
    </row>
    <row r="53" spans="2:25" ht="63" customHeight="1">
      <c r="B53" s="232">
        <v>20</v>
      </c>
      <c r="C53" s="201" t="s">
        <v>149</v>
      </c>
      <c r="D53" s="202" t="s">
        <v>152</v>
      </c>
      <c r="E53" s="208" t="s">
        <v>410</v>
      </c>
      <c r="F53" s="370" t="s">
        <v>545</v>
      </c>
      <c r="G53" s="377" t="s">
        <v>98</v>
      </c>
      <c r="H53" s="374"/>
      <c r="I53" s="241"/>
      <c r="J53" s="218"/>
      <c r="K53" s="218"/>
      <c r="L53" s="216"/>
      <c r="M53" s="221"/>
      <c r="N53" s="241"/>
      <c r="O53" s="218"/>
      <c r="P53" s="218"/>
      <c r="Q53" s="156"/>
      <c r="R53" s="791" t="s">
        <v>616</v>
      </c>
      <c r="S53" s="792"/>
      <c r="T53" s="792"/>
      <c r="U53" s="792"/>
      <c r="V53" s="793"/>
      <c r="W53" s="791"/>
      <c r="X53" s="793"/>
      <c r="Y53" s="8"/>
    </row>
    <row r="54" spans="2:25" ht="37.5">
      <c r="B54" s="232">
        <v>21</v>
      </c>
      <c r="C54" s="201" t="s">
        <v>149</v>
      </c>
      <c r="D54" s="202" t="s">
        <v>153</v>
      </c>
      <c r="E54" s="208" t="s">
        <v>154</v>
      </c>
      <c r="F54" s="370" t="s">
        <v>545</v>
      </c>
      <c r="G54" s="377" t="s">
        <v>98</v>
      </c>
      <c r="H54" s="374"/>
      <c r="I54" s="241"/>
      <c r="J54" s="218"/>
      <c r="K54" s="218"/>
      <c r="L54" s="216"/>
      <c r="M54" s="221"/>
      <c r="N54" s="241"/>
      <c r="O54" s="218"/>
      <c r="P54" s="218"/>
      <c r="Q54" s="156"/>
      <c r="R54" s="791" t="s">
        <v>616</v>
      </c>
      <c r="S54" s="792"/>
      <c r="T54" s="792"/>
      <c r="U54" s="792"/>
      <c r="V54" s="793"/>
      <c r="W54" s="791"/>
      <c r="X54" s="793"/>
      <c r="Y54" s="8"/>
    </row>
    <row r="55" spans="2:25" ht="39" customHeight="1">
      <c r="B55" s="232">
        <v>22</v>
      </c>
      <c r="C55" s="201" t="s">
        <v>156</v>
      </c>
      <c r="D55" s="202" t="s">
        <v>155</v>
      </c>
      <c r="E55" s="208" t="s">
        <v>411</v>
      </c>
      <c r="F55" s="370" t="s">
        <v>545</v>
      </c>
      <c r="G55" s="377" t="s">
        <v>98</v>
      </c>
      <c r="H55" s="374"/>
      <c r="I55" s="241"/>
      <c r="J55" s="218"/>
      <c r="K55" s="218"/>
      <c r="L55" s="216"/>
      <c r="M55" s="221"/>
      <c r="N55" s="241"/>
      <c r="O55" s="218"/>
      <c r="P55" s="218"/>
      <c r="Q55" s="156"/>
      <c r="R55" s="791" t="s">
        <v>616</v>
      </c>
      <c r="S55" s="792"/>
      <c r="T55" s="792"/>
      <c r="U55" s="792"/>
      <c r="V55" s="793"/>
      <c r="W55" s="791"/>
      <c r="X55" s="793"/>
      <c r="Y55" s="8"/>
    </row>
    <row r="56" spans="2:25" ht="75" customHeight="1">
      <c r="B56" s="232">
        <v>23</v>
      </c>
      <c r="C56" s="201" t="s">
        <v>156</v>
      </c>
      <c r="D56" s="202" t="s">
        <v>157</v>
      </c>
      <c r="E56" s="208" t="s">
        <v>158</v>
      </c>
      <c r="F56" s="370" t="s">
        <v>545</v>
      </c>
      <c r="G56" s="377"/>
      <c r="H56" s="374"/>
      <c r="I56" s="241">
        <v>1000</v>
      </c>
      <c r="J56" s="218"/>
      <c r="K56" s="223">
        <v>0.01</v>
      </c>
      <c r="L56" s="216"/>
      <c r="M56" s="221"/>
      <c r="N56" s="241">
        <v>3000</v>
      </c>
      <c r="O56" s="218"/>
      <c r="P56" s="223">
        <v>0.01</v>
      </c>
      <c r="Q56" s="156"/>
      <c r="R56" s="791" t="s">
        <v>828</v>
      </c>
      <c r="S56" s="792"/>
      <c r="T56" s="792"/>
      <c r="U56" s="792"/>
      <c r="V56" s="793"/>
      <c r="W56" s="791" t="s">
        <v>112</v>
      </c>
      <c r="X56" s="793"/>
      <c r="Y56" s="8"/>
    </row>
    <row r="57" spans="2:25" ht="37.5">
      <c r="B57" s="232">
        <v>24</v>
      </c>
      <c r="C57" s="201" t="s">
        <v>156</v>
      </c>
      <c r="D57" s="202" t="s">
        <v>159</v>
      </c>
      <c r="E57" s="208" t="s">
        <v>160</v>
      </c>
      <c r="F57" s="370" t="s">
        <v>545</v>
      </c>
      <c r="G57" s="377" t="s">
        <v>98</v>
      </c>
      <c r="H57" s="374"/>
      <c r="I57" s="241"/>
      <c r="J57" s="218"/>
      <c r="K57" s="218"/>
      <c r="L57" s="216"/>
      <c r="M57" s="221"/>
      <c r="N57" s="241"/>
      <c r="O57" s="218"/>
      <c r="P57" s="218"/>
      <c r="Q57" s="156"/>
      <c r="R57" s="791" t="s">
        <v>616</v>
      </c>
      <c r="S57" s="792"/>
      <c r="T57" s="792"/>
      <c r="U57" s="792"/>
      <c r="V57" s="793"/>
      <c r="W57" s="791"/>
      <c r="X57" s="793"/>
      <c r="Y57" s="8"/>
    </row>
    <row r="58" spans="2:25" ht="37.5">
      <c r="B58" s="232">
        <v>25</v>
      </c>
      <c r="C58" s="201" t="s">
        <v>156</v>
      </c>
      <c r="D58" s="202" t="s">
        <v>161</v>
      </c>
      <c r="E58" s="208" t="s">
        <v>162</v>
      </c>
      <c r="F58" s="370" t="s">
        <v>545</v>
      </c>
      <c r="G58" s="377" t="s">
        <v>98</v>
      </c>
      <c r="H58" s="374"/>
      <c r="I58" s="241"/>
      <c r="J58" s="218"/>
      <c r="K58" s="218"/>
      <c r="L58" s="216"/>
      <c r="M58" s="221"/>
      <c r="N58" s="241"/>
      <c r="O58" s="218"/>
      <c r="P58" s="218"/>
      <c r="Q58" s="156"/>
      <c r="R58" s="791" t="s">
        <v>616</v>
      </c>
      <c r="S58" s="792"/>
      <c r="T58" s="792"/>
      <c r="U58" s="792"/>
      <c r="V58" s="793"/>
      <c r="W58" s="791"/>
      <c r="X58" s="793"/>
      <c r="Y58" s="8"/>
    </row>
    <row r="59" spans="2:25" ht="101.25" customHeight="1">
      <c r="B59" s="232">
        <v>26</v>
      </c>
      <c r="C59" s="201" t="s">
        <v>156</v>
      </c>
      <c r="D59" s="202" t="s">
        <v>163</v>
      </c>
      <c r="E59" s="208" t="s">
        <v>164</v>
      </c>
      <c r="F59" s="370" t="s">
        <v>545</v>
      </c>
      <c r="G59" s="377"/>
      <c r="H59" s="374"/>
      <c r="I59" s="241">
        <v>300</v>
      </c>
      <c r="J59" s="218"/>
      <c r="K59" s="218">
        <v>3.0000000000000001E-3</v>
      </c>
      <c r="L59" s="216"/>
      <c r="M59" s="221"/>
      <c r="N59" s="241">
        <v>600</v>
      </c>
      <c r="O59" s="218"/>
      <c r="P59" s="218">
        <v>2E-3</v>
      </c>
      <c r="Q59" s="156"/>
      <c r="R59" s="791" t="s">
        <v>765</v>
      </c>
      <c r="S59" s="792"/>
      <c r="T59" s="792"/>
      <c r="U59" s="792"/>
      <c r="V59" s="793"/>
      <c r="W59" s="791" t="s">
        <v>112</v>
      </c>
      <c r="X59" s="793"/>
      <c r="Y59" s="8"/>
    </row>
    <row r="60" spans="2:25" ht="57.75" customHeight="1">
      <c r="B60" s="232">
        <v>27</v>
      </c>
      <c r="C60" s="201" t="s">
        <v>156</v>
      </c>
      <c r="D60" s="202" t="s">
        <v>165</v>
      </c>
      <c r="E60" s="208" t="s">
        <v>166</v>
      </c>
      <c r="F60" s="371" t="s">
        <v>551</v>
      </c>
      <c r="G60" s="377"/>
      <c r="H60" s="374"/>
      <c r="I60" s="241">
        <v>60</v>
      </c>
      <c r="J60" s="218"/>
      <c r="K60" s="224">
        <v>5.0000000000000001E-4</v>
      </c>
      <c r="L60" s="216"/>
      <c r="M60" s="221"/>
      <c r="N60" s="241">
        <v>120</v>
      </c>
      <c r="O60" s="218"/>
      <c r="P60" s="224">
        <v>2.9999999999999997E-4</v>
      </c>
      <c r="Q60" s="156"/>
      <c r="R60" s="791" t="s">
        <v>111</v>
      </c>
      <c r="S60" s="792"/>
      <c r="T60" s="792"/>
      <c r="U60" s="792"/>
      <c r="V60" s="793"/>
      <c r="W60" s="791" t="s">
        <v>112</v>
      </c>
      <c r="X60" s="793"/>
      <c r="Y60" s="8"/>
    </row>
    <row r="61" spans="2:25" ht="87" customHeight="1">
      <c r="B61" s="232">
        <v>28</v>
      </c>
      <c r="C61" s="201" t="s">
        <v>156</v>
      </c>
      <c r="D61" s="202" t="s">
        <v>167</v>
      </c>
      <c r="E61" s="208" t="s">
        <v>168</v>
      </c>
      <c r="F61" s="370" t="s">
        <v>545</v>
      </c>
      <c r="G61" s="377"/>
      <c r="H61" s="374"/>
      <c r="I61" s="241">
        <v>2400</v>
      </c>
      <c r="J61" s="218"/>
      <c r="K61" s="218">
        <v>5.1999999999999998E-2</v>
      </c>
      <c r="L61" s="216"/>
      <c r="M61" s="221"/>
      <c r="N61" s="241">
        <v>4800</v>
      </c>
      <c r="O61" s="218"/>
      <c r="P61" s="218">
        <v>3.5999999999999997E-2</v>
      </c>
      <c r="Q61" s="156"/>
      <c r="R61" s="791" t="s">
        <v>766</v>
      </c>
      <c r="S61" s="792"/>
      <c r="T61" s="792"/>
      <c r="U61" s="792"/>
      <c r="V61" s="793"/>
      <c r="W61" s="791" t="s">
        <v>112</v>
      </c>
      <c r="X61" s="793"/>
      <c r="Y61" s="8"/>
    </row>
    <row r="62" spans="2:25" ht="63" customHeight="1">
      <c r="B62" s="232">
        <v>29</v>
      </c>
      <c r="C62" s="201" t="s">
        <v>156</v>
      </c>
      <c r="D62" s="202" t="s">
        <v>169</v>
      </c>
      <c r="E62" s="208" t="s">
        <v>412</v>
      </c>
      <c r="F62" s="370" t="s">
        <v>545</v>
      </c>
      <c r="G62" s="377" t="s">
        <v>98</v>
      </c>
      <c r="H62" s="374"/>
      <c r="I62" s="241"/>
      <c r="J62" s="218"/>
      <c r="K62" s="218"/>
      <c r="L62" s="216"/>
      <c r="M62" s="221"/>
      <c r="N62" s="241"/>
      <c r="O62" s="218"/>
      <c r="P62" s="218"/>
      <c r="Q62" s="156"/>
      <c r="R62" s="791" t="s">
        <v>616</v>
      </c>
      <c r="S62" s="792"/>
      <c r="T62" s="792"/>
      <c r="U62" s="792"/>
      <c r="V62" s="793"/>
      <c r="W62" s="791"/>
      <c r="X62" s="793"/>
      <c r="Y62" s="8"/>
    </row>
    <row r="63" spans="2:25" ht="52.5" customHeight="1">
      <c r="B63" s="232">
        <v>30</v>
      </c>
      <c r="C63" s="201" t="s">
        <v>156</v>
      </c>
      <c r="D63" s="202" t="s">
        <v>170</v>
      </c>
      <c r="E63" s="208" t="s">
        <v>413</v>
      </c>
      <c r="F63" s="370" t="s">
        <v>545</v>
      </c>
      <c r="G63" s="377" t="s">
        <v>98</v>
      </c>
      <c r="H63" s="374"/>
      <c r="I63" s="241"/>
      <c r="J63" s="218"/>
      <c r="K63" s="218"/>
      <c r="L63" s="216"/>
      <c r="M63" s="221"/>
      <c r="N63" s="241"/>
      <c r="O63" s="218"/>
      <c r="P63" s="218"/>
      <c r="Q63" s="156"/>
      <c r="R63" s="791" t="s">
        <v>616</v>
      </c>
      <c r="S63" s="792"/>
      <c r="T63" s="792"/>
      <c r="U63" s="792"/>
      <c r="V63" s="793"/>
      <c r="W63" s="791"/>
      <c r="X63" s="793"/>
      <c r="Y63" s="8"/>
    </row>
    <row r="64" spans="2:25" ht="66" customHeight="1">
      <c r="B64" s="232">
        <v>31</v>
      </c>
      <c r="C64" s="201" t="s">
        <v>156</v>
      </c>
      <c r="D64" s="202" t="s">
        <v>171</v>
      </c>
      <c r="E64" s="208" t="s">
        <v>414</v>
      </c>
      <c r="F64" s="370" t="s">
        <v>545</v>
      </c>
      <c r="G64" s="377"/>
      <c r="H64" s="374"/>
      <c r="I64" s="241"/>
      <c r="J64" s="218"/>
      <c r="K64" s="218"/>
      <c r="L64" s="216"/>
      <c r="M64" s="221"/>
      <c r="N64" s="241"/>
      <c r="O64" s="218"/>
      <c r="P64" s="218"/>
      <c r="Q64" s="156"/>
      <c r="R64" s="791" t="s">
        <v>616</v>
      </c>
      <c r="S64" s="792"/>
      <c r="T64" s="792"/>
      <c r="U64" s="792"/>
      <c r="V64" s="793"/>
      <c r="W64" s="791"/>
      <c r="X64" s="793"/>
      <c r="Y64" s="8"/>
    </row>
    <row r="65" spans="2:25" ht="106.5" customHeight="1">
      <c r="B65" s="232">
        <v>32</v>
      </c>
      <c r="C65" s="201" t="s">
        <v>156</v>
      </c>
      <c r="D65" s="202" t="s">
        <v>172</v>
      </c>
      <c r="E65" s="208" t="s">
        <v>173</v>
      </c>
      <c r="F65" s="370" t="s">
        <v>545</v>
      </c>
      <c r="G65" s="377"/>
      <c r="H65" s="374"/>
      <c r="I65" s="241">
        <v>600</v>
      </c>
      <c r="J65" s="218"/>
      <c r="K65" s="218">
        <v>5.2410901467505244E-3</v>
      </c>
      <c r="L65" s="216"/>
      <c r="M65" s="221"/>
      <c r="N65" s="241">
        <v>1200</v>
      </c>
      <c r="O65" s="218"/>
      <c r="P65" s="218">
        <v>3.5714285714285713E-3</v>
      </c>
      <c r="Q65" s="156"/>
      <c r="R65" s="791" t="s">
        <v>767</v>
      </c>
      <c r="S65" s="792"/>
      <c r="T65" s="792"/>
      <c r="U65" s="792"/>
      <c r="V65" s="793"/>
      <c r="W65" s="791" t="s">
        <v>112</v>
      </c>
      <c r="X65" s="793"/>
      <c r="Y65" s="8"/>
    </row>
    <row r="66" spans="2:25" ht="37.5">
      <c r="B66" s="232">
        <v>33</v>
      </c>
      <c r="C66" s="201" t="s">
        <v>156</v>
      </c>
      <c r="D66" s="202" t="s">
        <v>174</v>
      </c>
      <c r="E66" s="208" t="s">
        <v>175</v>
      </c>
      <c r="F66" s="370" t="s">
        <v>545</v>
      </c>
      <c r="G66" s="377" t="s">
        <v>98</v>
      </c>
      <c r="H66" s="374"/>
      <c r="I66" s="241"/>
      <c r="J66" s="218"/>
      <c r="K66" s="218"/>
      <c r="L66" s="216"/>
      <c r="M66" s="221"/>
      <c r="N66" s="241"/>
      <c r="O66" s="218"/>
      <c r="P66" s="218"/>
      <c r="Q66" s="156"/>
      <c r="R66" s="791" t="s">
        <v>616</v>
      </c>
      <c r="S66" s="792"/>
      <c r="T66" s="792"/>
      <c r="U66" s="792"/>
      <c r="V66" s="793"/>
      <c r="W66" s="791"/>
      <c r="X66" s="793"/>
      <c r="Y66" s="8"/>
    </row>
    <row r="67" spans="2:25" ht="37.5">
      <c r="B67" s="232">
        <v>34</v>
      </c>
      <c r="C67" s="201" t="s">
        <v>156</v>
      </c>
      <c r="D67" s="202" t="s">
        <v>176</v>
      </c>
      <c r="E67" s="208" t="s">
        <v>177</v>
      </c>
      <c r="F67" s="370" t="s">
        <v>545</v>
      </c>
      <c r="G67" s="377" t="s">
        <v>98</v>
      </c>
      <c r="H67" s="374"/>
      <c r="I67" s="241"/>
      <c r="J67" s="218"/>
      <c r="K67" s="218"/>
      <c r="L67" s="216"/>
      <c r="M67" s="221"/>
      <c r="N67" s="241"/>
      <c r="O67" s="218"/>
      <c r="P67" s="218"/>
      <c r="Q67" s="156"/>
      <c r="R67" s="791" t="s">
        <v>616</v>
      </c>
      <c r="S67" s="792"/>
      <c r="T67" s="792"/>
      <c r="U67" s="792"/>
      <c r="V67" s="793"/>
      <c r="W67" s="791"/>
      <c r="X67" s="793"/>
      <c r="Y67" s="8"/>
    </row>
    <row r="68" spans="2:25" ht="150" customHeight="1">
      <c r="B68" s="232">
        <v>35</v>
      </c>
      <c r="C68" s="201" t="s">
        <v>156</v>
      </c>
      <c r="D68" s="202" t="s">
        <v>178</v>
      </c>
      <c r="E68" s="208" t="s">
        <v>179</v>
      </c>
      <c r="F68" s="370" t="s">
        <v>545</v>
      </c>
      <c r="G68" s="377"/>
      <c r="H68" s="374"/>
      <c r="I68" s="241">
        <v>40</v>
      </c>
      <c r="J68" s="218"/>
      <c r="K68" s="224">
        <v>2.9999999999999997E-4</v>
      </c>
      <c r="L68" s="216"/>
      <c r="M68" s="221"/>
      <c r="N68" s="241">
        <v>80</v>
      </c>
      <c r="O68" s="218"/>
      <c r="P68" s="224">
        <v>2.0000000000000001E-4</v>
      </c>
      <c r="Q68" s="156"/>
      <c r="R68" s="791" t="s">
        <v>783</v>
      </c>
      <c r="S68" s="792"/>
      <c r="T68" s="792"/>
      <c r="U68" s="792"/>
      <c r="V68" s="793"/>
      <c r="W68" s="791" t="s">
        <v>550</v>
      </c>
      <c r="X68" s="793"/>
      <c r="Y68" s="8"/>
    </row>
    <row r="69" spans="2:25" ht="105.75" customHeight="1">
      <c r="B69" s="232">
        <v>36</v>
      </c>
      <c r="C69" s="201" t="s">
        <v>156</v>
      </c>
      <c r="D69" s="202" t="s">
        <v>180</v>
      </c>
      <c r="E69" s="208" t="s">
        <v>181</v>
      </c>
      <c r="F69" s="373" t="s">
        <v>684</v>
      </c>
      <c r="G69" s="377"/>
      <c r="H69" s="374"/>
      <c r="I69" s="241">
        <v>600</v>
      </c>
      <c r="J69" s="218"/>
      <c r="K69" s="218">
        <v>5.0000000000000001E-3</v>
      </c>
      <c r="L69" s="216"/>
      <c r="M69" s="221"/>
      <c r="N69" s="241">
        <v>1200</v>
      </c>
      <c r="O69" s="218"/>
      <c r="P69" s="218">
        <v>4.0000000000000001E-3</v>
      </c>
      <c r="Q69" s="156"/>
      <c r="R69" s="791" t="s">
        <v>768</v>
      </c>
      <c r="S69" s="792"/>
      <c r="T69" s="792"/>
      <c r="U69" s="792"/>
      <c r="V69" s="793"/>
      <c r="W69" s="791" t="s">
        <v>112</v>
      </c>
      <c r="X69" s="793"/>
      <c r="Y69" s="8"/>
    </row>
    <row r="70" spans="2:25" ht="105.75" customHeight="1">
      <c r="B70" s="232">
        <v>37</v>
      </c>
      <c r="C70" s="201" t="s">
        <v>156</v>
      </c>
      <c r="D70" s="202" t="s">
        <v>493</v>
      </c>
      <c r="E70" s="208" t="s">
        <v>590</v>
      </c>
      <c r="F70" s="371" t="s">
        <v>551</v>
      </c>
      <c r="G70" s="377"/>
      <c r="H70" s="374"/>
      <c r="I70" s="241">
        <v>60</v>
      </c>
      <c r="J70" s="218"/>
      <c r="K70" s="218">
        <v>7.0000000000000001E-3</v>
      </c>
      <c r="L70" s="216"/>
      <c r="M70" s="221"/>
      <c r="N70" s="241">
        <v>120</v>
      </c>
      <c r="O70" s="218"/>
      <c r="P70" s="218">
        <v>8.0000000000000002E-3</v>
      </c>
      <c r="Q70" s="156"/>
      <c r="R70" s="791" t="s">
        <v>784</v>
      </c>
      <c r="S70" s="792"/>
      <c r="T70" s="792"/>
      <c r="U70" s="792"/>
      <c r="V70" s="793"/>
      <c r="W70" s="791" t="s">
        <v>112</v>
      </c>
      <c r="X70" s="793"/>
      <c r="Y70" s="8"/>
    </row>
    <row r="71" spans="2:25" ht="124.5" customHeight="1">
      <c r="B71" s="232">
        <v>38</v>
      </c>
      <c r="C71" s="201" t="s">
        <v>156</v>
      </c>
      <c r="D71" s="202" t="s">
        <v>493</v>
      </c>
      <c r="E71" s="208" t="s">
        <v>594</v>
      </c>
      <c r="F71" s="371" t="s">
        <v>551</v>
      </c>
      <c r="G71" s="377"/>
      <c r="H71" s="374"/>
      <c r="I71" s="241">
        <v>20</v>
      </c>
      <c r="J71" s="218"/>
      <c r="K71" s="218">
        <v>2E-3</v>
      </c>
      <c r="L71" s="216"/>
      <c r="M71" s="221"/>
      <c r="N71" s="241">
        <v>40</v>
      </c>
      <c r="O71" s="218"/>
      <c r="P71" s="218">
        <v>1E-3</v>
      </c>
      <c r="Q71" s="156"/>
      <c r="R71" s="791" t="s">
        <v>785</v>
      </c>
      <c r="S71" s="792"/>
      <c r="T71" s="792"/>
      <c r="U71" s="792"/>
      <c r="V71" s="793"/>
      <c r="W71" s="791" t="s">
        <v>109</v>
      </c>
      <c r="X71" s="793"/>
      <c r="Y71" s="8"/>
    </row>
    <row r="72" spans="2:25" ht="120.75" customHeight="1">
      <c r="B72" s="232">
        <v>39</v>
      </c>
      <c r="C72" s="201" t="s">
        <v>399</v>
      </c>
      <c r="D72" s="202" t="s">
        <v>182</v>
      </c>
      <c r="E72" s="208" t="s">
        <v>415</v>
      </c>
      <c r="F72" s="371" t="s">
        <v>551</v>
      </c>
      <c r="G72" s="377"/>
      <c r="H72" s="374"/>
      <c r="I72" s="241">
        <v>3500</v>
      </c>
      <c r="J72" s="218"/>
      <c r="K72" s="218">
        <v>2.9000000000000001E-2</v>
      </c>
      <c r="L72" s="216"/>
      <c r="M72" s="221"/>
      <c r="N72" s="241">
        <v>7000</v>
      </c>
      <c r="O72" s="218"/>
      <c r="P72" s="218">
        <v>0.02</v>
      </c>
      <c r="Q72" s="156"/>
      <c r="R72" s="791" t="s">
        <v>797</v>
      </c>
      <c r="S72" s="792"/>
      <c r="T72" s="792"/>
      <c r="U72" s="792"/>
      <c r="V72" s="793"/>
      <c r="W72" s="791" t="s">
        <v>116</v>
      </c>
      <c r="X72" s="793"/>
      <c r="Y72" s="8"/>
    </row>
    <row r="73" spans="2:25" ht="121.5" customHeight="1">
      <c r="B73" s="232">
        <v>40</v>
      </c>
      <c r="C73" s="201" t="s">
        <v>399</v>
      </c>
      <c r="D73" s="202" t="s">
        <v>183</v>
      </c>
      <c r="E73" s="208" t="s">
        <v>184</v>
      </c>
      <c r="F73" s="370" t="s">
        <v>545</v>
      </c>
      <c r="G73" s="377"/>
      <c r="H73" s="374"/>
      <c r="I73" s="241">
        <v>1300</v>
      </c>
      <c r="J73" s="218"/>
      <c r="K73" s="218">
        <v>4.0000000000000001E-3</v>
      </c>
      <c r="L73" s="216"/>
      <c r="M73" s="221"/>
      <c r="N73" s="241">
        <v>1300</v>
      </c>
      <c r="O73" s="218"/>
      <c r="P73" s="218">
        <v>4.0000000000000001E-3</v>
      </c>
      <c r="Q73" s="156"/>
      <c r="R73" s="791" t="s">
        <v>769</v>
      </c>
      <c r="S73" s="792"/>
      <c r="T73" s="792"/>
      <c r="U73" s="792"/>
      <c r="V73" s="793"/>
      <c r="W73" s="797" t="s">
        <v>114</v>
      </c>
      <c r="X73" s="793"/>
      <c r="Y73" s="8"/>
    </row>
    <row r="74" spans="2:25" ht="37.5">
      <c r="B74" s="232">
        <v>41</v>
      </c>
      <c r="C74" s="201" t="s">
        <v>399</v>
      </c>
      <c r="D74" s="202" t="s">
        <v>185</v>
      </c>
      <c r="E74" s="208" t="s">
        <v>186</v>
      </c>
      <c r="F74" s="370" t="s">
        <v>545</v>
      </c>
      <c r="G74" s="377"/>
      <c r="H74" s="374"/>
      <c r="I74" s="241"/>
      <c r="J74" s="218"/>
      <c r="K74" s="218"/>
      <c r="L74" s="216"/>
      <c r="M74" s="221"/>
      <c r="N74" s="241"/>
      <c r="O74" s="218"/>
      <c r="P74" s="218"/>
      <c r="Q74" s="156"/>
      <c r="R74" s="791"/>
      <c r="S74" s="792"/>
      <c r="T74" s="792"/>
      <c r="U74" s="792"/>
      <c r="V74" s="793"/>
      <c r="W74" s="791"/>
      <c r="X74" s="793"/>
      <c r="Y74" s="8"/>
    </row>
    <row r="75" spans="2:25" ht="37.5">
      <c r="B75" s="232">
        <v>42</v>
      </c>
      <c r="C75" s="201" t="s">
        <v>399</v>
      </c>
      <c r="D75" s="202" t="s">
        <v>187</v>
      </c>
      <c r="E75" s="208" t="s">
        <v>188</v>
      </c>
      <c r="F75" s="370" t="s">
        <v>545</v>
      </c>
      <c r="G75" s="377"/>
      <c r="H75" s="374"/>
      <c r="I75" s="241"/>
      <c r="J75" s="218"/>
      <c r="K75" s="218"/>
      <c r="L75" s="216"/>
      <c r="M75" s="221"/>
      <c r="N75" s="241"/>
      <c r="O75" s="218"/>
      <c r="P75" s="218"/>
      <c r="Q75" s="156"/>
      <c r="R75" s="791"/>
      <c r="S75" s="792"/>
      <c r="T75" s="792"/>
      <c r="U75" s="792"/>
      <c r="V75" s="793"/>
      <c r="W75" s="791"/>
      <c r="X75" s="793"/>
      <c r="Y75" s="8"/>
    </row>
    <row r="76" spans="2:25" ht="37.5">
      <c r="B76" s="232">
        <v>43</v>
      </c>
      <c r="C76" s="201" t="s">
        <v>399</v>
      </c>
      <c r="D76" s="202" t="s">
        <v>189</v>
      </c>
      <c r="E76" s="208" t="s">
        <v>190</v>
      </c>
      <c r="F76" s="370" t="s">
        <v>545</v>
      </c>
      <c r="G76" s="377"/>
      <c r="H76" s="374"/>
      <c r="I76" s="241"/>
      <c r="J76" s="218"/>
      <c r="K76" s="218"/>
      <c r="L76" s="216"/>
      <c r="M76" s="221"/>
      <c r="N76" s="241"/>
      <c r="O76" s="218"/>
      <c r="P76" s="218"/>
      <c r="Q76" s="156"/>
      <c r="R76" s="791"/>
      <c r="S76" s="792"/>
      <c r="T76" s="792"/>
      <c r="U76" s="792"/>
      <c r="V76" s="793"/>
      <c r="W76" s="791"/>
      <c r="X76" s="793"/>
      <c r="Y76" s="8"/>
    </row>
    <row r="77" spans="2:25" ht="37.5">
      <c r="B77" s="232">
        <v>44</v>
      </c>
      <c r="C77" s="201" t="s">
        <v>399</v>
      </c>
      <c r="D77" s="202" t="s">
        <v>191</v>
      </c>
      <c r="E77" s="208" t="s">
        <v>192</v>
      </c>
      <c r="F77" s="370" t="s">
        <v>545</v>
      </c>
      <c r="G77" s="377"/>
      <c r="H77" s="374"/>
      <c r="I77" s="241"/>
      <c r="J77" s="218"/>
      <c r="K77" s="218"/>
      <c r="L77" s="216"/>
      <c r="M77" s="221"/>
      <c r="N77" s="241"/>
      <c r="O77" s="218"/>
      <c r="P77" s="218"/>
      <c r="Q77" s="156"/>
      <c r="R77" s="791"/>
      <c r="S77" s="792"/>
      <c r="T77" s="792"/>
      <c r="U77" s="792"/>
      <c r="V77" s="793"/>
      <c r="W77" s="791"/>
      <c r="X77" s="793"/>
      <c r="Y77" s="8"/>
    </row>
    <row r="78" spans="2:25" ht="107.25" customHeight="1">
      <c r="B78" s="232">
        <v>45</v>
      </c>
      <c r="C78" s="201" t="s">
        <v>399</v>
      </c>
      <c r="D78" s="202" t="s">
        <v>493</v>
      </c>
      <c r="E78" s="208" t="s">
        <v>585</v>
      </c>
      <c r="F78" s="371" t="s">
        <v>551</v>
      </c>
      <c r="G78" s="377"/>
      <c r="H78" s="374"/>
      <c r="I78" s="241">
        <v>1000</v>
      </c>
      <c r="J78" s="218"/>
      <c r="K78" s="218">
        <v>1.7999999999999999E-2</v>
      </c>
      <c r="L78" s="216"/>
      <c r="M78" s="221"/>
      <c r="N78" s="241">
        <v>2000</v>
      </c>
      <c r="O78" s="218"/>
      <c r="P78" s="218">
        <v>1.9E-2</v>
      </c>
      <c r="Q78" s="156"/>
      <c r="R78" s="791" t="s">
        <v>770</v>
      </c>
      <c r="S78" s="792"/>
      <c r="T78" s="792"/>
      <c r="U78" s="792"/>
      <c r="V78" s="793"/>
      <c r="W78" s="791" t="s">
        <v>586</v>
      </c>
      <c r="X78" s="793"/>
      <c r="Y78" s="8"/>
    </row>
    <row r="79" spans="2:25" ht="37.5">
      <c r="B79" s="232">
        <v>46</v>
      </c>
      <c r="C79" s="203" t="s">
        <v>312</v>
      </c>
      <c r="D79" s="204" t="s">
        <v>311</v>
      </c>
      <c r="E79" s="209" t="s">
        <v>313</v>
      </c>
      <c r="F79" s="372"/>
      <c r="G79" s="378" t="s">
        <v>98</v>
      </c>
      <c r="H79" s="375"/>
      <c r="I79" s="242"/>
      <c r="J79" s="219"/>
      <c r="K79" s="219"/>
      <c r="L79" s="216"/>
      <c r="M79" s="222"/>
      <c r="N79" s="242"/>
      <c r="O79" s="219"/>
      <c r="P79" s="219"/>
      <c r="Q79" s="156"/>
      <c r="R79" s="794"/>
      <c r="S79" s="795"/>
      <c r="T79" s="795"/>
      <c r="U79" s="795"/>
      <c r="V79" s="796"/>
      <c r="W79" s="794"/>
      <c r="X79" s="796"/>
      <c r="Y79" s="8"/>
    </row>
    <row r="80" spans="2:25" ht="120.75" customHeight="1">
      <c r="B80" s="232">
        <v>47</v>
      </c>
      <c r="C80" s="201" t="s">
        <v>193</v>
      </c>
      <c r="D80" s="202" t="s">
        <v>25</v>
      </c>
      <c r="E80" s="208" t="s">
        <v>416</v>
      </c>
      <c r="F80" s="371" t="s">
        <v>551</v>
      </c>
      <c r="G80" s="377"/>
      <c r="H80" s="374"/>
      <c r="I80" s="241">
        <v>1000</v>
      </c>
      <c r="J80" s="218"/>
      <c r="K80" s="218">
        <v>6.0000000000000001E-3</v>
      </c>
      <c r="L80" s="216"/>
      <c r="M80" s="221"/>
      <c r="N80" s="241">
        <v>1000</v>
      </c>
      <c r="O80" s="218"/>
      <c r="P80" s="218">
        <v>6.0000000000000001E-3</v>
      </c>
      <c r="Q80" s="156"/>
      <c r="R80" s="791" t="s">
        <v>786</v>
      </c>
      <c r="S80" s="792"/>
      <c r="T80" s="792"/>
      <c r="U80" s="792"/>
      <c r="V80" s="793"/>
      <c r="W80" s="791" t="s">
        <v>109</v>
      </c>
      <c r="X80" s="793"/>
      <c r="Y80" s="8"/>
    </row>
    <row r="81" spans="2:25" ht="85.5" customHeight="1">
      <c r="B81" s="232">
        <v>48</v>
      </c>
      <c r="C81" s="201" t="s">
        <v>193</v>
      </c>
      <c r="D81" s="202" t="s">
        <v>28</v>
      </c>
      <c r="E81" s="208" t="s">
        <v>194</v>
      </c>
      <c r="F81" s="371" t="s">
        <v>551</v>
      </c>
      <c r="G81" s="377"/>
      <c r="H81" s="374"/>
      <c r="I81" s="241">
        <v>1000</v>
      </c>
      <c r="J81" s="218"/>
      <c r="K81" s="224"/>
      <c r="L81" s="216"/>
      <c r="M81" s="221"/>
      <c r="N81" s="241">
        <v>1000</v>
      </c>
      <c r="O81" s="218"/>
      <c r="P81" s="224"/>
      <c r="Q81" s="156"/>
      <c r="R81" s="791" t="s">
        <v>552</v>
      </c>
      <c r="S81" s="792"/>
      <c r="T81" s="792"/>
      <c r="U81" s="792"/>
      <c r="V81" s="793"/>
      <c r="W81" s="791" t="s">
        <v>553</v>
      </c>
      <c r="X81" s="793"/>
      <c r="Y81" s="8"/>
    </row>
    <row r="82" spans="2:25" ht="37.5">
      <c r="B82" s="232">
        <v>49</v>
      </c>
      <c r="C82" s="201" t="s">
        <v>193</v>
      </c>
      <c r="D82" s="202" t="s">
        <v>195</v>
      </c>
      <c r="E82" s="208" t="s">
        <v>196</v>
      </c>
      <c r="F82" s="370" t="s">
        <v>545</v>
      </c>
      <c r="G82" s="377" t="s">
        <v>98</v>
      </c>
      <c r="H82" s="374"/>
      <c r="I82" s="241"/>
      <c r="J82" s="218"/>
      <c r="K82" s="218"/>
      <c r="L82" s="216"/>
      <c r="M82" s="221"/>
      <c r="N82" s="241"/>
      <c r="O82" s="218"/>
      <c r="P82" s="218"/>
      <c r="Q82" s="156"/>
      <c r="R82" s="791" t="s">
        <v>616</v>
      </c>
      <c r="S82" s="792"/>
      <c r="T82" s="792"/>
      <c r="U82" s="792"/>
      <c r="V82" s="793"/>
      <c r="W82" s="791"/>
      <c r="X82" s="793"/>
      <c r="Y82" s="8"/>
    </row>
    <row r="83" spans="2:25" ht="84.75" customHeight="1">
      <c r="B83" s="232">
        <v>50</v>
      </c>
      <c r="C83" s="201" t="s">
        <v>193</v>
      </c>
      <c r="D83" s="202" t="s">
        <v>197</v>
      </c>
      <c r="E83" s="208" t="s">
        <v>417</v>
      </c>
      <c r="F83" s="370" t="s">
        <v>545</v>
      </c>
      <c r="G83" s="377"/>
      <c r="H83" s="374"/>
      <c r="I83" s="241"/>
      <c r="J83" s="218"/>
      <c r="K83" s="218">
        <v>1.2999999999999999E-2</v>
      </c>
      <c r="L83" s="216"/>
      <c r="M83" s="221"/>
      <c r="N83" s="241"/>
      <c r="O83" s="218"/>
      <c r="P83" s="218">
        <v>1.2999999999999999E-2</v>
      </c>
      <c r="Q83" s="156"/>
      <c r="R83" s="791" t="s">
        <v>771</v>
      </c>
      <c r="S83" s="792"/>
      <c r="T83" s="792"/>
      <c r="U83" s="792"/>
      <c r="V83" s="793"/>
      <c r="W83" s="791" t="s">
        <v>554</v>
      </c>
      <c r="X83" s="793"/>
      <c r="Y83" s="8"/>
    </row>
    <row r="84" spans="2:25" ht="87" customHeight="1">
      <c r="B84" s="232">
        <v>51</v>
      </c>
      <c r="C84" s="201" t="s">
        <v>193</v>
      </c>
      <c r="D84" s="202" t="s">
        <v>198</v>
      </c>
      <c r="E84" s="208" t="s">
        <v>418</v>
      </c>
      <c r="F84" s="370" t="s">
        <v>545</v>
      </c>
      <c r="G84" s="377"/>
      <c r="H84" s="374"/>
      <c r="I84" s="241"/>
      <c r="J84" s="218"/>
      <c r="K84" s="218">
        <v>1.2999999999999999E-2</v>
      </c>
      <c r="L84" s="216"/>
      <c r="M84" s="221"/>
      <c r="N84" s="241"/>
      <c r="O84" s="218"/>
      <c r="P84" s="218">
        <v>1.2999999999999999E-2</v>
      </c>
      <c r="Q84" s="156"/>
      <c r="R84" s="791" t="s">
        <v>771</v>
      </c>
      <c r="S84" s="792"/>
      <c r="T84" s="792"/>
      <c r="U84" s="792"/>
      <c r="V84" s="793"/>
      <c r="W84" s="791" t="s">
        <v>554</v>
      </c>
      <c r="X84" s="793"/>
      <c r="Y84" s="8"/>
    </row>
    <row r="85" spans="2:25" ht="37.5">
      <c r="B85" s="232">
        <v>52</v>
      </c>
      <c r="C85" s="201" t="s">
        <v>314</v>
      </c>
      <c r="D85" s="202" t="s">
        <v>29</v>
      </c>
      <c r="E85" s="208" t="s">
        <v>419</v>
      </c>
      <c r="F85" s="373" t="s">
        <v>684</v>
      </c>
      <c r="G85" s="377"/>
      <c r="H85" s="374"/>
      <c r="I85" s="241"/>
      <c r="J85" s="218"/>
      <c r="K85" s="218"/>
      <c r="L85" s="216"/>
      <c r="M85" s="221"/>
      <c r="N85" s="241"/>
      <c r="O85" s="218"/>
      <c r="P85" s="218"/>
      <c r="Q85" s="156"/>
      <c r="R85" s="791" t="s">
        <v>616</v>
      </c>
      <c r="S85" s="792"/>
      <c r="T85" s="792"/>
      <c r="U85" s="792"/>
      <c r="V85" s="793"/>
      <c r="W85" s="791"/>
      <c r="X85" s="793"/>
      <c r="Y85" s="8"/>
    </row>
    <row r="86" spans="2:25" ht="37.5">
      <c r="B86" s="232">
        <v>53</v>
      </c>
      <c r="C86" s="201" t="s">
        <v>314</v>
      </c>
      <c r="D86" s="202" t="s">
        <v>315</v>
      </c>
      <c r="E86" s="208" t="s">
        <v>316</v>
      </c>
      <c r="F86" s="373" t="s">
        <v>684</v>
      </c>
      <c r="G86" s="377"/>
      <c r="H86" s="374"/>
      <c r="I86" s="241"/>
      <c r="J86" s="218"/>
      <c r="K86" s="218"/>
      <c r="L86" s="216"/>
      <c r="M86" s="221"/>
      <c r="N86" s="241"/>
      <c r="O86" s="218"/>
      <c r="P86" s="218"/>
      <c r="Q86" s="156"/>
      <c r="R86" s="791" t="s">
        <v>616</v>
      </c>
      <c r="S86" s="792"/>
      <c r="T86" s="792"/>
      <c r="U86" s="792"/>
      <c r="V86" s="793"/>
      <c r="W86" s="791"/>
      <c r="X86" s="793"/>
      <c r="Y86" s="8"/>
    </row>
    <row r="87" spans="2:25" ht="37.5">
      <c r="B87" s="232">
        <v>54</v>
      </c>
      <c r="C87" s="201" t="s">
        <v>314</v>
      </c>
      <c r="D87" s="202" t="s">
        <v>317</v>
      </c>
      <c r="E87" s="208" t="s">
        <v>318</v>
      </c>
      <c r="F87" s="373" t="s">
        <v>684</v>
      </c>
      <c r="G87" s="377"/>
      <c r="H87" s="374"/>
      <c r="I87" s="241"/>
      <c r="J87" s="218"/>
      <c r="K87" s="218"/>
      <c r="L87" s="216"/>
      <c r="M87" s="221"/>
      <c r="N87" s="241"/>
      <c r="O87" s="218"/>
      <c r="P87" s="218"/>
      <c r="Q87" s="156"/>
      <c r="R87" s="791" t="s">
        <v>616</v>
      </c>
      <c r="S87" s="792"/>
      <c r="T87" s="792"/>
      <c r="U87" s="792"/>
      <c r="V87" s="793"/>
      <c r="W87" s="791"/>
      <c r="X87" s="793"/>
      <c r="Y87" s="8"/>
    </row>
    <row r="88" spans="2:25" ht="37.5">
      <c r="B88" s="232">
        <v>55</v>
      </c>
      <c r="C88" s="201" t="s">
        <v>314</v>
      </c>
      <c r="D88" s="202" t="s">
        <v>319</v>
      </c>
      <c r="E88" s="208" t="s">
        <v>420</v>
      </c>
      <c r="F88" s="373" t="s">
        <v>684</v>
      </c>
      <c r="G88" s="377"/>
      <c r="H88" s="374"/>
      <c r="I88" s="241"/>
      <c r="J88" s="218"/>
      <c r="K88" s="218"/>
      <c r="L88" s="216"/>
      <c r="M88" s="221"/>
      <c r="N88" s="241"/>
      <c r="O88" s="218"/>
      <c r="P88" s="218"/>
      <c r="Q88" s="156"/>
      <c r="R88" s="791" t="s">
        <v>616</v>
      </c>
      <c r="S88" s="792"/>
      <c r="T88" s="792"/>
      <c r="U88" s="792"/>
      <c r="V88" s="793"/>
      <c r="W88" s="791"/>
      <c r="X88" s="793"/>
      <c r="Y88" s="8"/>
    </row>
    <row r="89" spans="2:25" ht="39" customHeight="1">
      <c r="B89" s="232">
        <v>56</v>
      </c>
      <c r="C89" s="201" t="s">
        <v>314</v>
      </c>
      <c r="D89" s="202" t="s">
        <v>320</v>
      </c>
      <c r="E89" s="208" t="s">
        <v>321</v>
      </c>
      <c r="F89" s="373" t="s">
        <v>684</v>
      </c>
      <c r="G89" s="377"/>
      <c r="H89" s="374"/>
      <c r="I89" s="241"/>
      <c r="J89" s="218"/>
      <c r="K89" s="218"/>
      <c r="L89" s="216"/>
      <c r="M89" s="221"/>
      <c r="N89" s="241"/>
      <c r="O89" s="218"/>
      <c r="P89" s="218"/>
      <c r="Q89" s="156"/>
      <c r="R89" s="791" t="s">
        <v>616</v>
      </c>
      <c r="S89" s="792"/>
      <c r="T89" s="792"/>
      <c r="U89" s="792"/>
      <c r="V89" s="793"/>
      <c r="W89" s="791"/>
      <c r="X89" s="793"/>
      <c r="Y89" s="8"/>
    </row>
    <row r="90" spans="2:25" ht="37.5">
      <c r="B90" s="232">
        <v>57</v>
      </c>
      <c r="C90" s="201" t="s">
        <v>314</v>
      </c>
      <c r="D90" s="202" t="s">
        <v>322</v>
      </c>
      <c r="E90" s="208" t="s">
        <v>323</v>
      </c>
      <c r="F90" s="373" t="s">
        <v>684</v>
      </c>
      <c r="G90" s="377"/>
      <c r="H90" s="374"/>
      <c r="I90" s="241"/>
      <c r="J90" s="218"/>
      <c r="K90" s="218"/>
      <c r="L90" s="216"/>
      <c r="M90" s="221"/>
      <c r="N90" s="241"/>
      <c r="O90" s="218"/>
      <c r="P90" s="218"/>
      <c r="Q90" s="156"/>
      <c r="R90" s="791" t="s">
        <v>616</v>
      </c>
      <c r="S90" s="792"/>
      <c r="T90" s="792"/>
      <c r="U90" s="792"/>
      <c r="V90" s="793"/>
      <c r="W90" s="791"/>
      <c r="X90" s="793"/>
      <c r="Y90" s="8"/>
    </row>
    <row r="91" spans="2:25" ht="37.5">
      <c r="B91" s="232">
        <v>58</v>
      </c>
      <c r="C91" s="201" t="s">
        <v>314</v>
      </c>
      <c r="D91" s="202" t="s">
        <v>324</v>
      </c>
      <c r="E91" s="208" t="s">
        <v>325</v>
      </c>
      <c r="F91" s="373" t="s">
        <v>684</v>
      </c>
      <c r="G91" s="377"/>
      <c r="H91" s="374"/>
      <c r="I91" s="241"/>
      <c r="J91" s="218"/>
      <c r="K91" s="218"/>
      <c r="L91" s="216"/>
      <c r="M91" s="221"/>
      <c r="N91" s="241"/>
      <c r="O91" s="218"/>
      <c r="P91" s="218"/>
      <c r="Q91" s="156"/>
      <c r="R91" s="791" t="s">
        <v>616</v>
      </c>
      <c r="S91" s="792"/>
      <c r="T91" s="792"/>
      <c r="U91" s="792"/>
      <c r="V91" s="793"/>
      <c r="W91" s="791"/>
      <c r="X91" s="793"/>
      <c r="Y91" s="8"/>
    </row>
    <row r="92" spans="2:25" ht="37.5">
      <c r="B92" s="232">
        <v>59</v>
      </c>
      <c r="C92" s="201" t="s">
        <v>314</v>
      </c>
      <c r="D92" s="202" t="s">
        <v>326</v>
      </c>
      <c r="E92" s="208" t="s">
        <v>327</v>
      </c>
      <c r="F92" s="373" t="s">
        <v>684</v>
      </c>
      <c r="G92" s="377"/>
      <c r="H92" s="374"/>
      <c r="I92" s="241"/>
      <c r="J92" s="218"/>
      <c r="K92" s="218"/>
      <c r="L92" s="216"/>
      <c r="M92" s="221"/>
      <c r="N92" s="241"/>
      <c r="O92" s="218"/>
      <c r="P92" s="218"/>
      <c r="Q92" s="156"/>
      <c r="R92" s="791" t="s">
        <v>616</v>
      </c>
      <c r="S92" s="792"/>
      <c r="T92" s="792"/>
      <c r="U92" s="792"/>
      <c r="V92" s="793"/>
      <c r="W92" s="791"/>
      <c r="X92" s="793"/>
      <c r="Y92" s="8"/>
    </row>
    <row r="93" spans="2:25" ht="37.5">
      <c r="B93" s="232">
        <v>60</v>
      </c>
      <c r="C93" s="201" t="s">
        <v>314</v>
      </c>
      <c r="D93" s="202" t="s">
        <v>328</v>
      </c>
      <c r="E93" s="208" t="s">
        <v>329</v>
      </c>
      <c r="F93" s="373" t="s">
        <v>684</v>
      </c>
      <c r="G93" s="377"/>
      <c r="H93" s="374"/>
      <c r="I93" s="241"/>
      <c r="J93" s="218"/>
      <c r="K93" s="218"/>
      <c r="L93" s="216"/>
      <c r="M93" s="221"/>
      <c r="N93" s="241"/>
      <c r="O93" s="218"/>
      <c r="P93" s="218"/>
      <c r="Q93" s="156"/>
      <c r="R93" s="791" t="s">
        <v>616</v>
      </c>
      <c r="S93" s="792"/>
      <c r="T93" s="792"/>
      <c r="U93" s="792"/>
      <c r="V93" s="793"/>
      <c r="W93" s="791"/>
      <c r="X93" s="793"/>
      <c r="Y93" s="8"/>
    </row>
    <row r="94" spans="2:25" ht="155.25" customHeight="1">
      <c r="B94" s="232">
        <v>61</v>
      </c>
      <c r="C94" s="201" t="s">
        <v>199</v>
      </c>
      <c r="D94" s="202" t="s">
        <v>30</v>
      </c>
      <c r="E94" s="208" t="s">
        <v>200</v>
      </c>
      <c r="F94" s="371" t="s">
        <v>551</v>
      </c>
      <c r="G94" s="377"/>
      <c r="H94" s="374"/>
      <c r="I94" s="241">
        <v>1500</v>
      </c>
      <c r="J94" s="218"/>
      <c r="K94" s="218">
        <v>0.04</v>
      </c>
      <c r="L94" s="216"/>
      <c r="M94" s="221"/>
      <c r="N94" s="241">
        <v>1500</v>
      </c>
      <c r="O94" s="218"/>
      <c r="P94" s="218">
        <v>0.02</v>
      </c>
      <c r="Q94" s="156"/>
      <c r="R94" s="791" t="s">
        <v>772</v>
      </c>
      <c r="S94" s="792"/>
      <c r="T94" s="792"/>
      <c r="U94" s="792"/>
      <c r="V94" s="793"/>
      <c r="W94" s="791" t="s">
        <v>112</v>
      </c>
      <c r="X94" s="793"/>
      <c r="Y94" s="8"/>
    </row>
    <row r="95" spans="2:25" ht="154.5" customHeight="1">
      <c r="B95" s="232">
        <v>62</v>
      </c>
      <c r="C95" s="201" t="s">
        <v>199</v>
      </c>
      <c r="D95" s="202" t="s">
        <v>201</v>
      </c>
      <c r="E95" s="208" t="s">
        <v>202</v>
      </c>
      <c r="F95" s="373" t="s">
        <v>684</v>
      </c>
      <c r="G95" s="377"/>
      <c r="H95" s="374"/>
      <c r="I95" s="241">
        <v>600</v>
      </c>
      <c r="J95" s="218"/>
      <c r="K95" s="218">
        <v>0.02</v>
      </c>
      <c r="L95" s="216"/>
      <c r="M95" s="221"/>
      <c r="N95" s="241">
        <v>600</v>
      </c>
      <c r="O95" s="218"/>
      <c r="P95" s="218">
        <v>0.01</v>
      </c>
      <c r="Q95" s="156"/>
      <c r="R95" s="791" t="s">
        <v>773</v>
      </c>
      <c r="S95" s="792"/>
      <c r="T95" s="792"/>
      <c r="U95" s="792"/>
      <c r="V95" s="793"/>
      <c r="W95" s="791" t="s">
        <v>112</v>
      </c>
      <c r="X95" s="793"/>
      <c r="Y95" s="8"/>
    </row>
    <row r="96" spans="2:25" ht="37.5">
      <c r="B96" s="232">
        <v>63</v>
      </c>
      <c r="C96" s="201" t="s">
        <v>199</v>
      </c>
      <c r="D96" s="202" t="s">
        <v>203</v>
      </c>
      <c r="E96" s="208" t="s">
        <v>204</v>
      </c>
      <c r="F96" s="370" t="s">
        <v>545</v>
      </c>
      <c r="G96" s="377"/>
      <c r="H96" s="374"/>
      <c r="I96" s="241"/>
      <c r="J96" s="218"/>
      <c r="K96" s="218"/>
      <c r="L96" s="216"/>
      <c r="M96" s="221"/>
      <c r="N96" s="241"/>
      <c r="O96" s="218"/>
      <c r="P96" s="218"/>
      <c r="Q96" s="156"/>
      <c r="R96" s="791"/>
      <c r="S96" s="792"/>
      <c r="T96" s="792"/>
      <c r="U96" s="792"/>
      <c r="V96" s="793"/>
      <c r="W96" s="791"/>
      <c r="X96" s="793"/>
      <c r="Y96" s="8"/>
    </row>
    <row r="97" spans="2:25" ht="201" customHeight="1">
      <c r="B97" s="232">
        <v>64</v>
      </c>
      <c r="C97" s="201" t="s">
        <v>199</v>
      </c>
      <c r="D97" s="202" t="s">
        <v>205</v>
      </c>
      <c r="E97" s="208" t="s">
        <v>206</v>
      </c>
      <c r="F97" s="371" t="s">
        <v>551</v>
      </c>
      <c r="G97" s="377"/>
      <c r="H97" s="374"/>
      <c r="I97" s="241">
        <v>2500</v>
      </c>
      <c r="J97" s="218"/>
      <c r="K97" s="218">
        <v>6.4000000000000001E-2</v>
      </c>
      <c r="L97" s="216"/>
      <c r="M97" s="221"/>
      <c r="N97" s="241">
        <v>2500</v>
      </c>
      <c r="O97" s="218"/>
      <c r="P97" s="218">
        <v>0.03</v>
      </c>
      <c r="Q97" s="156"/>
      <c r="R97" s="791" t="s">
        <v>787</v>
      </c>
      <c r="S97" s="792"/>
      <c r="T97" s="792"/>
      <c r="U97" s="792"/>
      <c r="V97" s="793"/>
      <c r="W97" s="791" t="s">
        <v>113</v>
      </c>
      <c r="X97" s="793"/>
      <c r="Y97" s="8"/>
    </row>
    <row r="98" spans="2:25" ht="172.5" customHeight="1">
      <c r="B98" s="232">
        <v>65</v>
      </c>
      <c r="C98" s="201" t="s">
        <v>199</v>
      </c>
      <c r="D98" s="202" t="s">
        <v>207</v>
      </c>
      <c r="E98" s="208" t="s">
        <v>208</v>
      </c>
      <c r="F98" s="371" t="s">
        <v>551</v>
      </c>
      <c r="G98" s="377"/>
      <c r="H98" s="374"/>
      <c r="I98" s="241">
        <v>7000</v>
      </c>
      <c r="J98" s="218"/>
      <c r="K98" s="218">
        <v>0.04</v>
      </c>
      <c r="L98" s="216"/>
      <c r="M98" s="221"/>
      <c r="N98" s="241">
        <v>7000</v>
      </c>
      <c r="O98" s="218"/>
      <c r="P98" s="218">
        <v>1.9E-2</v>
      </c>
      <c r="Q98" s="156"/>
      <c r="R98" s="791" t="s">
        <v>788</v>
      </c>
      <c r="S98" s="792"/>
      <c r="T98" s="792"/>
      <c r="U98" s="792"/>
      <c r="V98" s="793"/>
      <c r="W98" s="791" t="s">
        <v>118</v>
      </c>
      <c r="X98" s="793"/>
      <c r="Y98" s="8"/>
    </row>
    <row r="99" spans="2:25" ht="155.25" customHeight="1">
      <c r="B99" s="232">
        <v>66</v>
      </c>
      <c r="C99" s="201" t="s">
        <v>199</v>
      </c>
      <c r="D99" s="202" t="s">
        <v>209</v>
      </c>
      <c r="E99" s="208" t="s">
        <v>421</v>
      </c>
      <c r="F99" s="371" t="s">
        <v>551</v>
      </c>
      <c r="G99" s="377"/>
      <c r="H99" s="374"/>
      <c r="I99" s="241">
        <v>750</v>
      </c>
      <c r="J99" s="218"/>
      <c r="K99" s="218">
        <v>0.02</v>
      </c>
      <c r="L99" s="216"/>
      <c r="M99" s="221"/>
      <c r="N99" s="241">
        <v>750</v>
      </c>
      <c r="O99" s="218"/>
      <c r="P99" s="218">
        <v>8.9999999999999993E-3</v>
      </c>
      <c r="Q99" s="156"/>
      <c r="R99" s="791" t="s">
        <v>789</v>
      </c>
      <c r="S99" s="792"/>
      <c r="T99" s="792"/>
      <c r="U99" s="792"/>
      <c r="V99" s="793"/>
      <c r="W99" s="791" t="s">
        <v>113</v>
      </c>
      <c r="X99" s="793"/>
      <c r="Y99" s="8"/>
    </row>
    <row r="100" spans="2:25" ht="185.25" customHeight="1">
      <c r="B100" s="232">
        <v>67</v>
      </c>
      <c r="C100" s="201" t="s">
        <v>199</v>
      </c>
      <c r="D100" s="202" t="s">
        <v>493</v>
      </c>
      <c r="E100" s="208" t="s">
        <v>580</v>
      </c>
      <c r="F100" s="371" t="s">
        <v>551</v>
      </c>
      <c r="G100" s="377"/>
      <c r="H100" s="374"/>
      <c r="I100" s="241">
        <v>1000</v>
      </c>
      <c r="J100" s="218"/>
      <c r="K100" s="218">
        <v>0.03</v>
      </c>
      <c r="L100" s="216"/>
      <c r="M100" s="221"/>
      <c r="N100" s="241">
        <v>1000</v>
      </c>
      <c r="O100" s="218"/>
      <c r="P100" s="218">
        <v>0.02</v>
      </c>
      <c r="Q100" s="156"/>
      <c r="R100" s="791" t="s">
        <v>790</v>
      </c>
      <c r="S100" s="792"/>
      <c r="T100" s="792"/>
      <c r="U100" s="792"/>
      <c r="V100" s="793"/>
      <c r="W100" s="791" t="s">
        <v>119</v>
      </c>
      <c r="X100" s="793"/>
      <c r="Y100" s="8"/>
    </row>
    <row r="101" spans="2:25" ht="168.75" customHeight="1">
      <c r="B101" s="232">
        <v>68</v>
      </c>
      <c r="C101" s="201" t="s">
        <v>199</v>
      </c>
      <c r="D101" s="202" t="s">
        <v>493</v>
      </c>
      <c r="E101" s="208" t="s">
        <v>589</v>
      </c>
      <c r="F101" s="371" t="s">
        <v>551</v>
      </c>
      <c r="G101" s="377"/>
      <c r="H101" s="374"/>
      <c r="I101" s="241">
        <v>200</v>
      </c>
      <c r="J101" s="218"/>
      <c r="K101" s="218">
        <v>8.0000000000000002E-3</v>
      </c>
      <c r="L101" s="216"/>
      <c r="M101" s="221"/>
      <c r="N101" s="241">
        <v>200</v>
      </c>
      <c r="O101" s="218"/>
      <c r="P101" s="218">
        <v>4.0000000000000001E-3</v>
      </c>
      <c r="Q101" s="156"/>
      <c r="R101" s="791" t="s">
        <v>791</v>
      </c>
      <c r="S101" s="792"/>
      <c r="T101" s="792"/>
      <c r="U101" s="792"/>
      <c r="V101" s="793"/>
      <c r="W101" s="791" t="s">
        <v>113</v>
      </c>
      <c r="X101" s="793"/>
      <c r="Y101" s="8"/>
    </row>
    <row r="102" spans="2:25" ht="78.75" customHeight="1">
      <c r="B102" s="232">
        <v>69</v>
      </c>
      <c r="C102" s="201" t="s">
        <v>210</v>
      </c>
      <c r="D102" s="202" t="s">
        <v>31</v>
      </c>
      <c r="E102" s="208" t="s">
        <v>422</v>
      </c>
      <c r="F102" s="371" t="s">
        <v>551</v>
      </c>
      <c r="G102" s="377"/>
      <c r="H102" s="374"/>
      <c r="I102" s="241">
        <v>5000</v>
      </c>
      <c r="J102" s="218"/>
      <c r="K102" s="218">
        <v>4.2000000000000003E-2</v>
      </c>
      <c r="L102" s="216"/>
      <c r="M102" s="221"/>
      <c r="N102" s="241">
        <v>5000</v>
      </c>
      <c r="O102" s="218"/>
      <c r="P102" s="218">
        <v>1.4E-2</v>
      </c>
      <c r="Q102" s="156"/>
      <c r="R102" s="791" t="s">
        <v>774</v>
      </c>
      <c r="S102" s="792"/>
      <c r="T102" s="792"/>
      <c r="U102" s="792"/>
      <c r="V102" s="793"/>
      <c r="W102" s="791" t="s">
        <v>112</v>
      </c>
      <c r="X102" s="793"/>
      <c r="Y102" s="8"/>
    </row>
    <row r="103" spans="2:25" ht="128.44999999999999" customHeight="1">
      <c r="B103" s="232">
        <v>70</v>
      </c>
      <c r="C103" s="201" t="s">
        <v>402</v>
      </c>
      <c r="D103" s="202" t="s">
        <v>0</v>
      </c>
      <c r="E103" s="208" t="s">
        <v>423</v>
      </c>
      <c r="F103" s="373" t="s">
        <v>684</v>
      </c>
      <c r="G103" s="377"/>
      <c r="H103" s="374"/>
      <c r="I103" s="241">
        <v>650</v>
      </c>
      <c r="J103" s="218">
        <v>2.5000000000000001E-2</v>
      </c>
      <c r="K103" s="218">
        <v>2.5000000000000001E-2</v>
      </c>
      <c r="L103" s="216"/>
      <c r="M103" s="227">
        <v>1.8</v>
      </c>
      <c r="N103" s="241">
        <v>650</v>
      </c>
      <c r="O103" s="218">
        <v>2.5000000000000001E-2</v>
      </c>
      <c r="P103" s="218">
        <v>2.5000000000000001E-2</v>
      </c>
      <c r="Q103" s="156"/>
      <c r="R103" s="791" t="s">
        <v>792</v>
      </c>
      <c r="S103" s="792"/>
      <c r="T103" s="792"/>
      <c r="U103" s="792"/>
      <c r="V103" s="793"/>
      <c r="W103" s="791" t="s">
        <v>105</v>
      </c>
      <c r="X103" s="793"/>
      <c r="Y103" s="8"/>
    </row>
    <row r="104" spans="2:25" ht="123" customHeight="1">
      <c r="B104" s="232">
        <v>71</v>
      </c>
      <c r="C104" s="201" t="s">
        <v>400</v>
      </c>
      <c r="D104" s="202" t="s">
        <v>7</v>
      </c>
      <c r="E104" s="237" t="s">
        <v>604</v>
      </c>
      <c r="F104" s="371" t="s">
        <v>551</v>
      </c>
      <c r="G104" s="377"/>
      <c r="H104" s="374">
        <v>34</v>
      </c>
      <c r="I104" s="241"/>
      <c r="J104" s="223">
        <v>0.35</v>
      </c>
      <c r="K104" s="218"/>
      <c r="L104" s="216"/>
      <c r="M104" s="221">
        <v>36</v>
      </c>
      <c r="N104" s="241"/>
      <c r="O104" s="223">
        <v>0.35</v>
      </c>
      <c r="P104" s="218"/>
      <c r="Q104" s="156"/>
      <c r="R104" s="791" t="s">
        <v>832</v>
      </c>
      <c r="S104" s="792"/>
      <c r="T104" s="792"/>
      <c r="U104" s="792"/>
      <c r="V104" s="793"/>
      <c r="W104" s="791" t="s">
        <v>558</v>
      </c>
      <c r="X104" s="793"/>
      <c r="Y104" s="8"/>
    </row>
    <row r="105" spans="2:25" ht="127.5" customHeight="1">
      <c r="B105" s="232">
        <v>72</v>
      </c>
      <c r="C105" s="201" t="s">
        <v>400</v>
      </c>
      <c r="D105" s="202" t="s">
        <v>212</v>
      </c>
      <c r="E105" s="208" t="s">
        <v>705</v>
      </c>
      <c r="F105" s="370" t="s">
        <v>545</v>
      </c>
      <c r="G105" s="377"/>
      <c r="H105" s="374">
        <v>121</v>
      </c>
      <c r="I105" s="241"/>
      <c r="J105" s="223">
        <v>0.35</v>
      </c>
      <c r="K105" s="218"/>
      <c r="L105" s="216"/>
      <c r="M105" s="221">
        <v>121</v>
      </c>
      <c r="N105" s="241"/>
      <c r="O105" s="223">
        <v>0.35</v>
      </c>
      <c r="P105" s="218"/>
      <c r="Q105" s="156"/>
      <c r="R105" s="791" t="s">
        <v>559</v>
      </c>
      <c r="S105" s="792"/>
      <c r="T105" s="792"/>
      <c r="U105" s="792"/>
      <c r="V105" s="793"/>
      <c r="W105" s="797" t="s">
        <v>558</v>
      </c>
      <c r="X105" s="793"/>
      <c r="Y105" s="8"/>
    </row>
    <row r="106" spans="2:25" ht="37.5">
      <c r="B106" s="232">
        <v>73</v>
      </c>
      <c r="C106" s="201" t="s">
        <v>400</v>
      </c>
      <c r="D106" s="202" t="s">
        <v>213</v>
      </c>
      <c r="E106" s="208" t="s">
        <v>214</v>
      </c>
      <c r="F106" s="370" t="s">
        <v>545</v>
      </c>
      <c r="G106" s="377" t="s">
        <v>98</v>
      </c>
      <c r="H106" s="374"/>
      <c r="I106" s="241"/>
      <c r="J106" s="218"/>
      <c r="K106" s="218"/>
      <c r="L106" s="216"/>
      <c r="M106" s="221"/>
      <c r="N106" s="241"/>
      <c r="O106" s="218"/>
      <c r="P106" s="218"/>
      <c r="Q106" s="156"/>
      <c r="R106" s="791" t="s">
        <v>616</v>
      </c>
      <c r="S106" s="792"/>
      <c r="T106" s="792"/>
      <c r="U106" s="792"/>
      <c r="V106" s="793"/>
      <c r="W106" s="791"/>
      <c r="X106" s="793"/>
      <c r="Y106" s="8"/>
    </row>
    <row r="107" spans="2:25" ht="137.25" customHeight="1">
      <c r="B107" s="232">
        <v>74</v>
      </c>
      <c r="C107" s="201" t="s">
        <v>400</v>
      </c>
      <c r="D107" s="202" t="s">
        <v>215</v>
      </c>
      <c r="E107" s="208" t="s">
        <v>707</v>
      </c>
      <c r="F107" s="370" t="s">
        <v>545</v>
      </c>
      <c r="G107" s="377"/>
      <c r="H107" s="374">
        <v>46</v>
      </c>
      <c r="I107" s="241"/>
      <c r="J107" s="223">
        <v>0.35</v>
      </c>
      <c r="K107" s="218"/>
      <c r="L107" s="216"/>
      <c r="M107" s="221">
        <v>46</v>
      </c>
      <c r="N107" s="241"/>
      <c r="O107" s="223">
        <v>0.35</v>
      </c>
      <c r="P107" s="218"/>
      <c r="Q107" s="156"/>
      <c r="R107" s="791" t="s">
        <v>560</v>
      </c>
      <c r="S107" s="792"/>
      <c r="T107" s="792"/>
      <c r="U107" s="792"/>
      <c r="V107" s="793"/>
      <c r="W107" s="797" t="s">
        <v>558</v>
      </c>
      <c r="X107" s="793"/>
      <c r="Y107" s="8"/>
    </row>
    <row r="108" spans="2:25" ht="129" customHeight="1">
      <c r="B108" s="232">
        <v>75</v>
      </c>
      <c r="C108" s="201" t="s">
        <v>400</v>
      </c>
      <c r="D108" s="202" t="s">
        <v>216</v>
      </c>
      <c r="E108" s="208" t="s">
        <v>217</v>
      </c>
      <c r="F108" s="370" t="s">
        <v>545</v>
      </c>
      <c r="G108" s="377"/>
      <c r="H108" s="374">
        <v>20</v>
      </c>
      <c r="I108" s="241"/>
      <c r="J108" s="223">
        <v>0.18</v>
      </c>
      <c r="K108" s="218"/>
      <c r="L108" s="216"/>
      <c r="M108" s="221">
        <v>26</v>
      </c>
      <c r="N108" s="241"/>
      <c r="O108" s="223">
        <v>0.28000000000000003</v>
      </c>
      <c r="P108" s="218"/>
      <c r="Q108" s="156"/>
      <c r="R108" s="791" t="s">
        <v>820</v>
      </c>
      <c r="S108" s="792"/>
      <c r="T108" s="792"/>
      <c r="U108" s="792"/>
      <c r="V108" s="793"/>
      <c r="W108" s="791" t="s">
        <v>558</v>
      </c>
      <c r="X108" s="793"/>
      <c r="Y108" s="8"/>
    </row>
    <row r="109" spans="2:25" ht="142.5" customHeight="1">
      <c r="B109" s="232">
        <v>76</v>
      </c>
      <c r="C109" s="201" t="s">
        <v>400</v>
      </c>
      <c r="D109" s="202" t="s">
        <v>218</v>
      </c>
      <c r="E109" s="208" t="s">
        <v>219</v>
      </c>
      <c r="F109" s="370" t="s">
        <v>545</v>
      </c>
      <c r="G109" s="377"/>
      <c r="H109" s="374">
        <v>20</v>
      </c>
      <c r="I109" s="241"/>
      <c r="J109" s="223">
        <v>0.11</v>
      </c>
      <c r="K109" s="218"/>
      <c r="L109" s="216"/>
      <c r="M109" s="221">
        <v>26</v>
      </c>
      <c r="N109" s="241"/>
      <c r="O109" s="223">
        <v>0.18</v>
      </c>
      <c r="P109" s="218"/>
      <c r="Q109" s="156"/>
      <c r="R109" s="791" t="s">
        <v>821</v>
      </c>
      <c r="S109" s="792"/>
      <c r="T109" s="792"/>
      <c r="U109" s="792"/>
      <c r="V109" s="793"/>
      <c r="W109" s="791" t="s">
        <v>558</v>
      </c>
      <c r="X109" s="793"/>
      <c r="Y109" s="8"/>
    </row>
    <row r="110" spans="2:25" ht="37.5">
      <c r="B110" s="232">
        <v>77</v>
      </c>
      <c r="C110" s="201" t="s">
        <v>400</v>
      </c>
      <c r="D110" s="202" t="s">
        <v>220</v>
      </c>
      <c r="E110" s="208" t="s">
        <v>221</v>
      </c>
      <c r="F110" s="370" t="s">
        <v>545</v>
      </c>
      <c r="G110" s="377" t="s">
        <v>98</v>
      </c>
      <c r="H110" s="374"/>
      <c r="I110" s="241"/>
      <c r="J110" s="218"/>
      <c r="K110" s="218"/>
      <c r="L110" s="216"/>
      <c r="M110" s="221"/>
      <c r="N110" s="241"/>
      <c r="O110" s="218"/>
      <c r="P110" s="218"/>
      <c r="Q110" s="156"/>
      <c r="R110" s="791" t="s">
        <v>616</v>
      </c>
      <c r="S110" s="792"/>
      <c r="T110" s="792"/>
      <c r="U110" s="792"/>
      <c r="V110" s="793"/>
      <c r="W110" s="791"/>
      <c r="X110" s="793"/>
      <c r="Y110" s="8"/>
    </row>
    <row r="111" spans="2:25" ht="52.5" customHeight="1">
      <c r="B111" s="232">
        <v>78</v>
      </c>
      <c r="C111" s="201" t="s">
        <v>400</v>
      </c>
      <c r="D111" s="202" t="s">
        <v>222</v>
      </c>
      <c r="E111" s="208" t="s">
        <v>223</v>
      </c>
      <c r="F111" s="370" t="s">
        <v>545</v>
      </c>
      <c r="G111" s="377" t="s">
        <v>98</v>
      </c>
      <c r="H111" s="374"/>
      <c r="I111" s="241"/>
      <c r="J111" s="218"/>
      <c r="K111" s="218"/>
      <c r="L111" s="216"/>
      <c r="M111" s="221"/>
      <c r="N111" s="241"/>
      <c r="O111" s="218"/>
      <c r="P111" s="218"/>
      <c r="Q111" s="156"/>
      <c r="R111" s="791" t="s">
        <v>616</v>
      </c>
      <c r="S111" s="792"/>
      <c r="T111" s="792"/>
      <c r="U111" s="792"/>
      <c r="V111" s="793"/>
      <c r="W111" s="791"/>
      <c r="X111" s="793"/>
      <c r="Y111" s="8"/>
    </row>
    <row r="112" spans="2:25" ht="109.5" customHeight="1">
      <c r="B112" s="232">
        <v>79</v>
      </c>
      <c r="C112" s="201" t="s">
        <v>400</v>
      </c>
      <c r="D112" s="202" t="s">
        <v>493</v>
      </c>
      <c r="E112" s="208" t="s">
        <v>602</v>
      </c>
      <c r="F112" s="371" t="s">
        <v>551</v>
      </c>
      <c r="G112" s="377"/>
      <c r="H112" s="374">
        <v>16</v>
      </c>
      <c r="I112" s="241"/>
      <c r="J112" s="223">
        <v>0.35</v>
      </c>
      <c r="K112" s="218"/>
      <c r="L112" s="216"/>
      <c r="M112" s="221">
        <v>17</v>
      </c>
      <c r="N112" s="241"/>
      <c r="O112" s="223">
        <v>0.35</v>
      </c>
      <c r="P112" s="218"/>
      <c r="Q112" s="156"/>
      <c r="R112" s="791" t="s">
        <v>763</v>
      </c>
      <c r="S112" s="792"/>
      <c r="T112" s="792"/>
      <c r="U112" s="792"/>
      <c r="V112" s="793"/>
      <c r="W112" s="791" t="s">
        <v>558</v>
      </c>
      <c r="X112" s="793"/>
      <c r="Y112" s="8"/>
    </row>
    <row r="113" spans="2:25" ht="89.25" customHeight="1">
      <c r="B113" s="232">
        <v>80</v>
      </c>
      <c r="C113" s="201" t="s">
        <v>400</v>
      </c>
      <c r="D113" s="202" t="s">
        <v>493</v>
      </c>
      <c r="E113" s="208" t="s">
        <v>444</v>
      </c>
      <c r="F113" s="371" t="s">
        <v>551</v>
      </c>
      <c r="G113" s="377"/>
      <c r="H113" s="374">
        <v>121</v>
      </c>
      <c r="I113" s="241"/>
      <c r="J113" s="223">
        <v>0.15</v>
      </c>
      <c r="K113" s="218"/>
      <c r="L113" s="216"/>
      <c r="M113" s="221">
        <v>129</v>
      </c>
      <c r="N113" s="241"/>
      <c r="O113" s="223">
        <v>0.2</v>
      </c>
      <c r="P113" s="218"/>
      <c r="Q113" s="156"/>
      <c r="R113" s="791" t="s">
        <v>779</v>
      </c>
      <c r="S113" s="792"/>
      <c r="T113" s="792"/>
      <c r="U113" s="792"/>
      <c r="V113" s="793"/>
      <c r="W113" s="791" t="s">
        <v>596</v>
      </c>
      <c r="X113" s="793"/>
      <c r="Y113" s="8"/>
    </row>
    <row r="114" spans="2:25" ht="156" customHeight="1">
      <c r="B114" s="232">
        <v>81</v>
      </c>
      <c r="C114" s="201" t="s">
        <v>400</v>
      </c>
      <c r="D114" s="202" t="s">
        <v>493</v>
      </c>
      <c r="E114" s="208" t="s">
        <v>595</v>
      </c>
      <c r="F114" s="371" t="s">
        <v>551</v>
      </c>
      <c r="G114" s="377"/>
      <c r="H114" s="374">
        <v>149</v>
      </c>
      <c r="I114" s="241"/>
      <c r="J114" s="223">
        <v>0.1</v>
      </c>
      <c r="K114" s="218"/>
      <c r="L114" s="216"/>
      <c r="M114" s="221">
        <v>149</v>
      </c>
      <c r="N114" s="241"/>
      <c r="O114" s="223">
        <v>0.1</v>
      </c>
      <c r="P114" s="218"/>
      <c r="Q114" s="156"/>
      <c r="R114" s="791" t="s">
        <v>793</v>
      </c>
      <c r="S114" s="792"/>
      <c r="T114" s="792"/>
      <c r="U114" s="792"/>
      <c r="V114" s="793"/>
      <c r="W114" s="797" t="s">
        <v>558</v>
      </c>
      <c r="X114" s="793"/>
      <c r="Y114" s="8"/>
    </row>
    <row r="115" spans="2:25" ht="123.75" customHeight="1">
      <c r="B115" s="232">
        <v>82</v>
      </c>
      <c r="C115" s="201" t="s">
        <v>400</v>
      </c>
      <c r="D115" s="202" t="s">
        <v>493</v>
      </c>
      <c r="E115" s="208" t="s">
        <v>598</v>
      </c>
      <c r="F115" s="370" t="s">
        <v>545</v>
      </c>
      <c r="G115" s="377"/>
      <c r="H115" s="374">
        <v>75</v>
      </c>
      <c r="I115" s="241"/>
      <c r="J115" s="223">
        <v>0.3</v>
      </c>
      <c r="K115" s="218"/>
      <c r="L115" s="216"/>
      <c r="M115" s="221">
        <v>75</v>
      </c>
      <c r="N115" s="241"/>
      <c r="O115" s="223">
        <v>0.3</v>
      </c>
      <c r="P115" s="218"/>
      <c r="Q115" s="156"/>
      <c r="R115" s="791" t="s">
        <v>633</v>
      </c>
      <c r="S115" s="792"/>
      <c r="T115" s="792"/>
      <c r="U115" s="792"/>
      <c r="V115" s="793"/>
      <c r="W115" s="797" t="s">
        <v>558</v>
      </c>
      <c r="X115" s="799"/>
      <c r="Y115" s="8"/>
    </row>
    <row r="116" spans="2:25" ht="109.5" customHeight="1">
      <c r="B116" s="232">
        <v>83</v>
      </c>
      <c r="C116" s="201" t="s">
        <v>400</v>
      </c>
      <c r="D116" s="202" t="s">
        <v>493</v>
      </c>
      <c r="E116" s="208" t="s">
        <v>445</v>
      </c>
      <c r="F116" s="371" t="s">
        <v>551</v>
      </c>
      <c r="G116" s="377"/>
      <c r="H116" s="374">
        <v>53</v>
      </c>
      <c r="I116" s="241"/>
      <c r="J116" s="223">
        <v>0.12</v>
      </c>
      <c r="K116" s="218"/>
      <c r="L116" s="216"/>
      <c r="M116" s="221">
        <v>53</v>
      </c>
      <c r="N116" s="241"/>
      <c r="O116" s="223">
        <v>0.06</v>
      </c>
      <c r="P116" s="218"/>
      <c r="Q116" s="156"/>
      <c r="R116" s="791" t="s">
        <v>780</v>
      </c>
      <c r="S116" s="792"/>
      <c r="T116" s="792"/>
      <c r="U116" s="792"/>
      <c r="V116" s="793"/>
      <c r="W116" s="791" t="s">
        <v>558</v>
      </c>
      <c r="X116" s="793"/>
      <c r="Y116" s="8"/>
    </row>
    <row r="117" spans="2:25" ht="121.5" customHeight="1">
      <c r="B117" s="232">
        <v>84</v>
      </c>
      <c r="C117" s="201" t="s">
        <v>400</v>
      </c>
      <c r="D117" s="202" t="s">
        <v>493</v>
      </c>
      <c r="E117" s="208" t="s">
        <v>612</v>
      </c>
      <c r="F117" s="370" t="s">
        <v>545</v>
      </c>
      <c r="G117" s="377"/>
      <c r="H117" s="374"/>
      <c r="I117" s="241"/>
      <c r="J117" s="223">
        <v>0.12</v>
      </c>
      <c r="K117" s="218"/>
      <c r="L117" s="216"/>
      <c r="M117" s="221"/>
      <c r="N117" s="241"/>
      <c r="O117" s="223">
        <v>0.19</v>
      </c>
      <c r="P117" s="218"/>
      <c r="Q117" s="156"/>
      <c r="R117" s="791" t="s">
        <v>822</v>
      </c>
      <c r="S117" s="792"/>
      <c r="T117" s="792"/>
      <c r="U117" s="792"/>
      <c r="V117" s="793"/>
      <c r="W117" s="791" t="s">
        <v>120</v>
      </c>
      <c r="X117" s="793"/>
      <c r="Y117" s="8"/>
    </row>
    <row r="118" spans="2:25" ht="184.5" customHeight="1">
      <c r="B118" s="232">
        <v>85</v>
      </c>
      <c r="C118" s="201" t="s">
        <v>400</v>
      </c>
      <c r="D118" s="202" t="s">
        <v>493</v>
      </c>
      <c r="E118" s="208" t="s">
        <v>600</v>
      </c>
      <c r="F118" s="371" t="s">
        <v>551</v>
      </c>
      <c r="G118" s="377"/>
      <c r="H118" s="374">
        <v>29</v>
      </c>
      <c r="I118" s="241"/>
      <c r="J118" s="223">
        <v>0.19</v>
      </c>
      <c r="K118" s="218"/>
      <c r="L118" s="216"/>
      <c r="M118" s="221">
        <v>37</v>
      </c>
      <c r="N118" s="241"/>
      <c r="O118" s="223">
        <v>0.3</v>
      </c>
      <c r="P118" s="218"/>
      <c r="Q118" s="156"/>
      <c r="R118" s="791" t="s">
        <v>824</v>
      </c>
      <c r="S118" s="792"/>
      <c r="T118" s="792"/>
      <c r="U118" s="792"/>
      <c r="V118" s="793"/>
      <c r="W118" s="791" t="s">
        <v>825</v>
      </c>
      <c r="X118" s="793"/>
      <c r="Y118" s="8"/>
    </row>
    <row r="119" spans="2:25" ht="73.5" customHeight="1">
      <c r="B119" s="232">
        <v>86</v>
      </c>
      <c r="C119" s="201" t="s">
        <v>400</v>
      </c>
      <c r="D119" s="202" t="s">
        <v>493</v>
      </c>
      <c r="E119" s="208" t="s">
        <v>446</v>
      </c>
      <c r="F119" s="371" t="s">
        <v>551</v>
      </c>
      <c r="G119" s="377"/>
      <c r="H119" s="374">
        <v>16</v>
      </c>
      <c r="I119" s="241"/>
      <c r="J119" s="223">
        <v>0.1</v>
      </c>
      <c r="K119" s="218"/>
      <c r="L119" s="216"/>
      <c r="M119" s="221">
        <v>21</v>
      </c>
      <c r="N119" s="241"/>
      <c r="O119" s="223">
        <v>0.16</v>
      </c>
      <c r="P119" s="218"/>
      <c r="Q119" s="156"/>
      <c r="R119" s="791" t="s">
        <v>819</v>
      </c>
      <c r="S119" s="792"/>
      <c r="T119" s="792"/>
      <c r="U119" s="792"/>
      <c r="V119" s="793"/>
      <c r="W119" s="791" t="s">
        <v>121</v>
      </c>
      <c r="X119" s="793"/>
      <c r="Y119" s="8"/>
    </row>
    <row r="120" spans="2:25" ht="91.5" customHeight="1">
      <c r="B120" s="232">
        <v>87</v>
      </c>
      <c r="C120" s="201" t="s">
        <v>224</v>
      </c>
      <c r="D120" s="202" t="s">
        <v>1</v>
      </c>
      <c r="E120" s="208" t="s">
        <v>225</v>
      </c>
      <c r="F120" s="371" t="s">
        <v>551</v>
      </c>
      <c r="G120" s="377"/>
      <c r="H120" s="374">
        <v>1</v>
      </c>
      <c r="I120" s="241"/>
      <c r="J120" s="223">
        <v>0.04</v>
      </c>
      <c r="K120" s="218"/>
      <c r="L120" s="216"/>
      <c r="M120" s="221">
        <v>1</v>
      </c>
      <c r="N120" s="241"/>
      <c r="O120" s="223">
        <v>4.0500000000000001E-2</v>
      </c>
      <c r="P120" s="218"/>
      <c r="Q120" s="156"/>
      <c r="R120" s="791" t="s">
        <v>561</v>
      </c>
      <c r="S120" s="792"/>
      <c r="T120" s="792"/>
      <c r="U120" s="792"/>
      <c r="V120" s="793"/>
      <c r="W120" s="791" t="s">
        <v>638</v>
      </c>
      <c r="X120" s="793"/>
      <c r="Y120" s="8"/>
    </row>
    <row r="121" spans="2:25" ht="186" customHeight="1">
      <c r="B121" s="232">
        <v>88</v>
      </c>
      <c r="C121" s="201" t="s">
        <v>224</v>
      </c>
      <c r="D121" s="202" t="s">
        <v>2</v>
      </c>
      <c r="E121" s="208" t="s">
        <v>492</v>
      </c>
      <c r="F121" s="371" t="s">
        <v>551</v>
      </c>
      <c r="G121" s="377"/>
      <c r="H121" s="374">
        <v>36</v>
      </c>
      <c r="I121" s="241">
        <v>7500</v>
      </c>
      <c r="J121" s="223">
        <v>0.56999999999999995</v>
      </c>
      <c r="K121" s="218"/>
      <c r="L121" s="216"/>
      <c r="M121" s="221">
        <v>30</v>
      </c>
      <c r="N121" s="241">
        <v>22500</v>
      </c>
      <c r="O121" s="223">
        <v>0.56999999999999995</v>
      </c>
      <c r="P121" s="218"/>
      <c r="Q121" s="156"/>
      <c r="R121" s="791" t="s">
        <v>798</v>
      </c>
      <c r="S121" s="792"/>
      <c r="T121" s="792"/>
      <c r="U121" s="792"/>
      <c r="V121" s="793"/>
      <c r="W121" s="791" t="s">
        <v>124</v>
      </c>
      <c r="X121" s="793"/>
      <c r="Y121" s="8"/>
    </row>
    <row r="122" spans="2:25" ht="134.25" customHeight="1">
      <c r="B122" s="232">
        <v>89</v>
      </c>
      <c r="C122" s="201" t="s">
        <v>224</v>
      </c>
      <c r="D122" s="202" t="s">
        <v>94</v>
      </c>
      <c r="E122" s="208" t="s">
        <v>226</v>
      </c>
      <c r="F122" s="371" t="s">
        <v>551</v>
      </c>
      <c r="G122" s="377"/>
      <c r="H122" s="376">
        <v>1.2</v>
      </c>
      <c r="I122" s="241"/>
      <c r="J122" s="223">
        <v>0.04</v>
      </c>
      <c r="K122" s="218"/>
      <c r="L122" s="216"/>
      <c r="M122" s="227">
        <v>1.2</v>
      </c>
      <c r="N122" s="241"/>
      <c r="O122" s="223">
        <v>0.04</v>
      </c>
      <c r="P122" s="218"/>
      <c r="Q122" s="156"/>
      <c r="R122" s="791" t="s">
        <v>562</v>
      </c>
      <c r="S122" s="792"/>
      <c r="T122" s="792"/>
      <c r="U122" s="792"/>
      <c r="V122" s="793"/>
      <c r="W122" s="791" t="s">
        <v>563</v>
      </c>
      <c r="X122" s="793"/>
      <c r="Y122" s="8"/>
    </row>
    <row r="123" spans="2:25" ht="92.25" customHeight="1">
      <c r="B123" s="232">
        <v>90</v>
      </c>
      <c r="C123" s="201" t="s">
        <v>224</v>
      </c>
      <c r="D123" s="202" t="s">
        <v>3</v>
      </c>
      <c r="E123" s="208" t="s">
        <v>227</v>
      </c>
      <c r="F123" s="371" t="s">
        <v>551</v>
      </c>
      <c r="G123" s="377"/>
      <c r="H123" s="376">
        <v>1.2</v>
      </c>
      <c r="I123" s="241"/>
      <c r="J123" s="223">
        <v>0.01</v>
      </c>
      <c r="K123" s="218"/>
      <c r="L123" s="216"/>
      <c r="M123" s="227">
        <v>1.2</v>
      </c>
      <c r="N123" s="241"/>
      <c r="O123" s="223">
        <v>0.01</v>
      </c>
      <c r="P123" s="218"/>
      <c r="Q123" s="156"/>
      <c r="R123" s="791" t="s">
        <v>564</v>
      </c>
      <c r="S123" s="792"/>
      <c r="T123" s="792"/>
      <c r="U123" s="792"/>
      <c r="V123" s="793"/>
      <c r="W123" s="791" t="s">
        <v>565</v>
      </c>
      <c r="X123" s="793"/>
      <c r="Y123" s="8"/>
    </row>
    <row r="124" spans="2:25" ht="105.75" customHeight="1">
      <c r="B124" s="232">
        <v>91</v>
      </c>
      <c r="C124" s="201" t="s">
        <v>224</v>
      </c>
      <c r="D124" s="202" t="s">
        <v>228</v>
      </c>
      <c r="E124" s="208" t="s">
        <v>229</v>
      </c>
      <c r="F124" s="371" t="s">
        <v>551</v>
      </c>
      <c r="G124" s="377"/>
      <c r="H124" s="376">
        <v>1.2</v>
      </c>
      <c r="I124" s="241"/>
      <c r="J124" s="218">
        <v>2.5000000000000001E-2</v>
      </c>
      <c r="K124" s="218"/>
      <c r="L124" s="216"/>
      <c r="M124" s="227">
        <v>0.6</v>
      </c>
      <c r="N124" s="241"/>
      <c r="O124" s="218">
        <v>2.5000000000000001E-2</v>
      </c>
      <c r="P124" s="218"/>
      <c r="Q124" s="156"/>
      <c r="R124" s="791" t="s">
        <v>566</v>
      </c>
      <c r="S124" s="792"/>
      <c r="T124" s="792"/>
      <c r="U124" s="792"/>
      <c r="V124" s="793"/>
      <c r="W124" s="791" t="s">
        <v>565</v>
      </c>
      <c r="X124" s="793"/>
      <c r="Y124" s="8"/>
    </row>
    <row r="125" spans="2:25" ht="123.75" customHeight="1">
      <c r="B125" s="232">
        <v>92</v>
      </c>
      <c r="C125" s="201" t="s">
        <v>224</v>
      </c>
      <c r="D125" s="202" t="s">
        <v>230</v>
      </c>
      <c r="E125" s="208" t="s">
        <v>231</v>
      </c>
      <c r="F125" s="371" t="s">
        <v>551</v>
      </c>
      <c r="G125" s="377"/>
      <c r="H125" s="376">
        <v>3.9</v>
      </c>
      <c r="I125" s="241"/>
      <c r="J125" s="218">
        <v>3.5000000000000003E-2</v>
      </c>
      <c r="K125" s="218"/>
      <c r="L125" s="216"/>
      <c r="M125" s="227">
        <v>3.3</v>
      </c>
      <c r="N125" s="241"/>
      <c r="O125" s="218">
        <v>3.5000000000000003E-2</v>
      </c>
      <c r="P125" s="218"/>
      <c r="Q125" s="156"/>
      <c r="R125" s="791" t="s">
        <v>799</v>
      </c>
      <c r="S125" s="792"/>
      <c r="T125" s="792"/>
      <c r="U125" s="792"/>
      <c r="V125" s="793"/>
      <c r="W125" s="791" t="s">
        <v>565</v>
      </c>
      <c r="X125" s="793"/>
      <c r="Y125" s="8"/>
    </row>
    <row r="126" spans="2:25" ht="79.5" customHeight="1">
      <c r="B126" s="232">
        <v>93</v>
      </c>
      <c r="C126" s="201" t="s">
        <v>224</v>
      </c>
      <c r="D126" s="202" t="s">
        <v>232</v>
      </c>
      <c r="E126" s="208" t="s">
        <v>233</v>
      </c>
      <c r="F126" s="370" t="s">
        <v>545</v>
      </c>
      <c r="G126" s="377"/>
      <c r="H126" s="374"/>
      <c r="I126" s="241"/>
      <c r="J126" s="218"/>
      <c r="K126" s="218">
        <v>1.4E-2</v>
      </c>
      <c r="L126" s="216"/>
      <c r="M126" s="221"/>
      <c r="N126" s="241"/>
      <c r="O126" s="218"/>
      <c r="P126" s="218">
        <v>1.4E-2</v>
      </c>
      <c r="Q126" s="156"/>
      <c r="R126" s="791" t="s">
        <v>567</v>
      </c>
      <c r="S126" s="792"/>
      <c r="T126" s="792"/>
      <c r="U126" s="792"/>
      <c r="V126" s="793"/>
      <c r="W126" s="791" t="s">
        <v>568</v>
      </c>
      <c r="X126" s="793"/>
      <c r="Y126" s="8"/>
    </row>
    <row r="127" spans="2:25" ht="56.25">
      <c r="B127" s="232">
        <v>94</v>
      </c>
      <c r="C127" s="201" t="s">
        <v>224</v>
      </c>
      <c r="D127" s="202" t="s">
        <v>21</v>
      </c>
      <c r="E127" s="208" t="s">
        <v>424</v>
      </c>
      <c r="F127" s="370" t="s">
        <v>545</v>
      </c>
      <c r="G127" s="377" t="s">
        <v>98</v>
      </c>
      <c r="H127" s="374"/>
      <c r="I127" s="241"/>
      <c r="J127" s="218"/>
      <c r="K127" s="218"/>
      <c r="L127" s="216"/>
      <c r="M127" s="221"/>
      <c r="N127" s="241"/>
      <c r="O127" s="218"/>
      <c r="P127" s="218"/>
      <c r="Q127" s="156"/>
      <c r="R127" s="791" t="s">
        <v>616</v>
      </c>
      <c r="S127" s="792"/>
      <c r="T127" s="792"/>
      <c r="U127" s="792"/>
      <c r="V127" s="793"/>
      <c r="W127" s="791"/>
      <c r="X127" s="793"/>
      <c r="Y127" s="8"/>
    </row>
    <row r="128" spans="2:25" ht="134.25" customHeight="1">
      <c r="B128" s="232">
        <v>95</v>
      </c>
      <c r="C128" s="201" t="s">
        <v>224</v>
      </c>
      <c r="D128" s="202" t="s">
        <v>493</v>
      </c>
      <c r="E128" s="208" t="s">
        <v>601</v>
      </c>
      <c r="F128" s="371" t="s">
        <v>551</v>
      </c>
      <c r="G128" s="377"/>
      <c r="H128" s="374">
        <v>16</v>
      </c>
      <c r="I128" s="241"/>
      <c r="J128" s="223">
        <v>0.16</v>
      </c>
      <c r="K128" s="218"/>
      <c r="L128" s="216"/>
      <c r="M128" s="221">
        <v>10</v>
      </c>
      <c r="N128" s="241"/>
      <c r="O128" s="223">
        <v>0.16</v>
      </c>
      <c r="P128" s="218"/>
      <c r="Q128" s="156"/>
      <c r="R128" s="791" t="s">
        <v>823</v>
      </c>
      <c r="S128" s="792"/>
      <c r="T128" s="792"/>
      <c r="U128" s="792"/>
      <c r="V128" s="793"/>
      <c r="W128" s="791" t="s">
        <v>570</v>
      </c>
      <c r="X128" s="793"/>
      <c r="Y128" s="8"/>
    </row>
    <row r="129" spans="2:25" ht="108.75" customHeight="1">
      <c r="B129" s="232">
        <v>96</v>
      </c>
      <c r="C129" s="201" t="s">
        <v>224</v>
      </c>
      <c r="D129" s="202" t="s">
        <v>493</v>
      </c>
      <c r="E129" s="208" t="s">
        <v>441</v>
      </c>
      <c r="F129" s="373" t="s">
        <v>684</v>
      </c>
      <c r="G129" s="377"/>
      <c r="H129" s="376">
        <v>0.4</v>
      </c>
      <c r="I129" s="241"/>
      <c r="J129" s="223">
        <v>0.01</v>
      </c>
      <c r="K129" s="218"/>
      <c r="L129" s="216"/>
      <c r="M129" s="227">
        <v>0.4</v>
      </c>
      <c r="N129" s="241"/>
      <c r="O129" s="223">
        <v>0.01</v>
      </c>
      <c r="P129" s="218"/>
      <c r="Q129" s="156"/>
      <c r="R129" s="791" t="s">
        <v>610</v>
      </c>
      <c r="S129" s="792"/>
      <c r="T129" s="792"/>
      <c r="U129" s="792"/>
      <c r="V129" s="793"/>
      <c r="W129" s="791" t="s">
        <v>611</v>
      </c>
      <c r="X129" s="793"/>
      <c r="Y129" s="8"/>
    </row>
    <row r="130" spans="2:25" ht="119.25" customHeight="1">
      <c r="B130" s="232">
        <v>97</v>
      </c>
      <c r="C130" s="201" t="s">
        <v>224</v>
      </c>
      <c r="D130" s="202" t="s">
        <v>493</v>
      </c>
      <c r="E130" s="208" t="s">
        <v>442</v>
      </c>
      <c r="F130" s="371" t="s">
        <v>551</v>
      </c>
      <c r="G130" s="377"/>
      <c r="H130" s="374">
        <v>73</v>
      </c>
      <c r="I130" s="241"/>
      <c r="J130" s="223">
        <v>0.02</v>
      </c>
      <c r="K130" s="218"/>
      <c r="L130" s="216"/>
      <c r="M130" s="221">
        <v>61</v>
      </c>
      <c r="N130" s="241"/>
      <c r="O130" s="223">
        <v>0.02</v>
      </c>
      <c r="P130" s="218"/>
      <c r="Q130" s="156"/>
      <c r="R130" s="791" t="s">
        <v>816</v>
      </c>
      <c r="S130" s="792"/>
      <c r="T130" s="792"/>
      <c r="U130" s="792"/>
      <c r="V130" s="793"/>
      <c r="W130" s="791" t="s">
        <v>597</v>
      </c>
      <c r="X130" s="793"/>
      <c r="Y130" s="8"/>
    </row>
    <row r="131" spans="2:25" ht="291.75" customHeight="1">
      <c r="B131" s="232">
        <v>98</v>
      </c>
      <c r="C131" s="201" t="s">
        <v>224</v>
      </c>
      <c r="D131" s="202" t="s">
        <v>493</v>
      </c>
      <c r="E131" s="208" t="s">
        <v>443</v>
      </c>
      <c r="F131" s="371" t="s">
        <v>551</v>
      </c>
      <c r="G131" s="377"/>
      <c r="H131" s="374"/>
      <c r="I131" s="241">
        <v>325000</v>
      </c>
      <c r="J131" s="223">
        <v>1</v>
      </c>
      <c r="K131" s="218"/>
      <c r="L131" s="216"/>
      <c r="M131" s="221"/>
      <c r="N131" s="241">
        <v>375000</v>
      </c>
      <c r="O131" s="223">
        <v>1</v>
      </c>
      <c r="P131" s="218"/>
      <c r="Q131" s="156"/>
      <c r="R131" s="791" t="s">
        <v>632</v>
      </c>
      <c r="S131" s="792"/>
      <c r="T131" s="792"/>
      <c r="U131" s="792"/>
      <c r="V131" s="793"/>
      <c r="W131" s="791" t="s">
        <v>565</v>
      </c>
      <c r="X131" s="793"/>
      <c r="Y131" s="8"/>
    </row>
    <row r="132" spans="2:25" ht="96" customHeight="1">
      <c r="B132" s="232">
        <v>99</v>
      </c>
      <c r="C132" s="201" t="s">
        <v>234</v>
      </c>
      <c r="D132" s="202" t="s">
        <v>4</v>
      </c>
      <c r="E132" s="208" t="s">
        <v>235</v>
      </c>
      <c r="F132" s="371" t="s">
        <v>551</v>
      </c>
      <c r="G132" s="377"/>
      <c r="H132" s="376">
        <v>4.3</v>
      </c>
      <c r="I132" s="241"/>
      <c r="J132" s="223">
        <v>0.05</v>
      </c>
      <c r="K132" s="223">
        <v>0.02</v>
      </c>
      <c r="L132" s="216"/>
      <c r="M132" s="227">
        <v>3.6</v>
      </c>
      <c r="N132" s="241"/>
      <c r="O132" s="223">
        <v>0.05</v>
      </c>
      <c r="P132" s="223">
        <v>0.02</v>
      </c>
      <c r="Q132" s="156"/>
      <c r="R132" s="791" t="s">
        <v>800</v>
      </c>
      <c r="S132" s="792"/>
      <c r="T132" s="792"/>
      <c r="U132" s="792"/>
      <c r="V132" s="793"/>
      <c r="W132" s="791" t="s">
        <v>106</v>
      </c>
      <c r="X132" s="793"/>
      <c r="Y132" s="8"/>
    </row>
    <row r="133" spans="2:25" ht="104.25" customHeight="1">
      <c r="B133" s="232">
        <v>100</v>
      </c>
      <c r="C133" s="201" t="s">
        <v>234</v>
      </c>
      <c r="D133" s="202" t="s">
        <v>236</v>
      </c>
      <c r="E133" s="208" t="s">
        <v>237</v>
      </c>
      <c r="F133" s="371" t="s">
        <v>551</v>
      </c>
      <c r="G133" s="377"/>
      <c r="H133" s="374">
        <v>16</v>
      </c>
      <c r="I133" s="241"/>
      <c r="J133" s="223">
        <v>0.28000000000000003</v>
      </c>
      <c r="K133" s="218"/>
      <c r="L133" s="216"/>
      <c r="M133" s="221">
        <v>13</v>
      </c>
      <c r="N133" s="241"/>
      <c r="O133" s="223">
        <v>0.28000000000000003</v>
      </c>
      <c r="P133" s="218"/>
      <c r="Q133" s="156"/>
      <c r="R133" s="791" t="s">
        <v>569</v>
      </c>
      <c r="S133" s="792"/>
      <c r="T133" s="792"/>
      <c r="U133" s="792"/>
      <c r="V133" s="793"/>
      <c r="W133" s="791" t="s">
        <v>572</v>
      </c>
      <c r="X133" s="793"/>
      <c r="Y133" s="8"/>
    </row>
    <row r="134" spans="2:25" ht="117" customHeight="1">
      <c r="B134" s="232">
        <v>101</v>
      </c>
      <c r="C134" s="201" t="s">
        <v>234</v>
      </c>
      <c r="D134" s="202" t="s">
        <v>22</v>
      </c>
      <c r="E134" s="208" t="s">
        <v>238</v>
      </c>
      <c r="F134" s="370" t="s">
        <v>545</v>
      </c>
      <c r="G134" s="377"/>
      <c r="H134" s="376">
        <v>7.8</v>
      </c>
      <c r="I134" s="241"/>
      <c r="J134" s="218"/>
      <c r="K134" s="223">
        <v>0.08</v>
      </c>
      <c r="L134" s="216"/>
      <c r="M134" s="227">
        <v>6.8</v>
      </c>
      <c r="N134" s="241"/>
      <c r="O134" s="218"/>
      <c r="P134" s="223">
        <v>7.0000000000000007E-2</v>
      </c>
      <c r="Q134" s="156"/>
      <c r="R134" s="791" t="s">
        <v>815</v>
      </c>
      <c r="S134" s="792"/>
      <c r="T134" s="792"/>
      <c r="U134" s="792"/>
      <c r="V134" s="793"/>
      <c r="W134" s="791" t="s">
        <v>572</v>
      </c>
      <c r="X134" s="793"/>
      <c r="Y134" s="8"/>
    </row>
    <row r="135" spans="2:25" ht="64.5" customHeight="1">
      <c r="B135" s="232">
        <v>102</v>
      </c>
      <c r="C135" s="201" t="s">
        <v>234</v>
      </c>
      <c r="D135" s="202" t="s">
        <v>239</v>
      </c>
      <c r="E135" s="208" t="s">
        <v>240</v>
      </c>
      <c r="F135" s="370" t="s">
        <v>545</v>
      </c>
      <c r="G135" s="377" t="s">
        <v>98</v>
      </c>
      <c r="H135" s="374"/>
      <c r="I135" s="241"/>
      <c r="J135" s="218"/>
      <c r="K135" s="218"/>
      <c r="L135" s="216"/>
      <c r="M135" s="221"/>
      <c r="N135" s="241"/>
      <c r="O135" s="218"/>
      <c r="P135" s="218"/>
      <c r="Q135" s="156"/>
      <c r="R135" s="791" t="s">
        <v>616</v>
      </c>
      <c r="S135" s="792"/>
      <c r="T135" s="792"/>
      <c r="U135" s="792"/>
      <c r="V135" s="793"/>
      <c r="W135" s="791"/>
      <c r="X135" s="793"/>
      <c r="Y135" s="8"/>
    </row>
    <row r="136" spans="2:25" ht="68.25" customHeight="1">
      <c r="B136" s="232">
        <v>103</v>
      </c>
      <c r="C136" s="201" t="s">
        <v>234</v>
      </c>
      <c r="D136" s="202" t="s">
        <v>241</v>
      </c>
      <c r="E136" s="208" t="s">
        <v>242</v>
      </c>
      <c r="F136" s="370" t="s">
        <v>545</v>
      </c>
      <c r="G136" s="377" t="s">
        <v>98</v>
      </c>
      <c r="H136" s="374"/>
      <c r="I136" s="241"/>
      <c r="J136" s="218"/>
      <c r="K136" s="218"/>
      <c r="L136" s="216"/>
      <c r="M136" s="221"/>
      <c r="N136" s="241"/>
      <c r="O136" s="218"/>
      <c r="P136" s="218"/>
      <c r="Q136" s="156"/>
      <c r="R136" s="791" t="s">
        <v>616</v>
      </c>
      <c r="S136" s="792"/>
      <c r="T136" s="792"/>
      <c r="U136" s="792"/>
      <c r="V136" s="793"/>
      <c r="W136" s="791"/>
      <c r="X136" s="793"/>
      <c r="Y136" s="8"/>
    </row>
    <row r="137" spans="2:25" ht="56.25">
      <c r="B137" s="232">
        <v>104</v>
      </c>
      <c r="C137" s="201" t="s">
        <v>234</v>
      </c>
      <c r="D137" s="202" t="s">
        <v>243</v>
      </c>
      <c r="E137" s="208" t="s">
        <v>244</v>
      </c>
      <c r="F137" s="370" t="s">
        <v>545</v>
      </c>
      <c r="G137" s="377" t="s">
        <v>98</v>
      </c>
      <c r="H137" s="374"/>
      <c r="I137" s="241"/>
      <c r="J137" s="218"/>
      <c r="K137" s="218"/>
      <c r="L137" s="216"/>
      <c r="M137" s="221"/>
      <c r="N137" s="241"/>
      <c r="O137" s="218"/>
      <c r="P137" s="218"/>
      <c r="Q137" s="156"/>
      <c r="R137" s="791" t="s">
        <v>616</v>
      </c>
      <c r="S137" s="792"/>
      <c r="T137" s="792"/>
      <c r="U137" s="792"/>
      <c r="V137" s="793"/>
      <c r="W137" s="791"/>
      <c r="X137" s="793"/>
      <c r="Y137" s="8"/>
    </row>
    <row r="138" spans="2:25" ht="123" customHeight="1">
      <c r="B138" s="232">
        <v>105</v>
      </c>
      <c r="C138" s="201" t="s">
        <v>234</v>
      </c>
      <c r="D138" s="202" t="s">
        <v>245</v>
      </c>
      <c r="E138" s="208" t="s">
        <v>246</v>
      </c>
      <c r="F138" s="370" t="s">
        <v>545</v>
      </c>
      <c r="G138" s="377"/>
      <c r="H138" s="376">
        <v>0.7</v>
      </c>
      <c r="I138" s="241"/>
      <c r="J138" s="218"/>
      <c r="K138" s="223">
        <v>0.05</v>
      </c>
      <c r="L138" s="216"/>
      <c r="M138" s="227">
        <v>0.6</v>
      </c>
      <c r="N138" s="241"/>
      <c r="O138" s="218"/>
      <c r="P138" s="223">
        <v>0.05</v>
      </c>
      <c r="Q138" s="156"/>
      <c r="R138" s="791" t="s">
        <v>794</v>
      </c>
      <c r="S138" s="792"/>
      <c r="T138" s="792"/>
      <c r="U138" s="792"/>
      <c r="V138" s="793"/>
      <c r="W138" s="791" t="s">
        <v>572</v>
      </c>
      <c r="X138" s="793"/>
      <c r="Y138" s="8"/>
    </row>
    <row r="139" spans="2:25" ht="118.5" customHeight="1">
      <c r="B139" s="232">
        <v>106</v>
      </c>
      <c r="C139" s="201" t="s">
        <v>234</v>
      </c>
      <c r="D139" s="202" t="s">
        <v>493</v>
      </c>
      <c r="E139" s="208" t="s">
        <v>579</v>
      </c>
      <c r="F139" s="371" t="s">
        <v>551</v>
      </c>
      <c r="G139" s="377"/>
      <c r="H139" s="376">
        <v>7.1</v>
      </c>
      <c r="I139" s="241"/>
      <c r="J139" s="218"/>
      <c r="K139" s="223">
        <v>0.08</v>
      </c>
      <c r="L139" s="216"/>
      <c r="M139" s="227">
        <v>6.2</v>
      </c>
      <c r="N139" s="241"/>
      <c r="O139" s="218"/>
      <c r="P139" s="223">
        <v>7.0000000000000007E-2</v>
      </c>
      <c r="Q139" s="156"/>
      <c r="R139" s="791" t="s">
        <v>795</v>
      </c>
      <c r="S139" s="792"/>
      <c r="T139" s="792"/>
      <c r="U139" s="792"/>
      <c r="V139" s="793"/>
      <c r="W139" s="791" t="s">
        <v>571</v>
      </c>
      <c r="X139" s="793"/>
      <c r="Y139" s="8"/>
    </row>
    <row r="140" spans="2:25" ht="96.75" customHeight="1">
      <c r="B140" s="232">
        <v>107</v>
      </c>
      <c r="C140" s="201" t="s">
        <v>234</v>
      </c>
      <c r="D140" s="202" t="s">
        <v>493</v>
      </c>
      <c r="E140" s="208" t="s">
        <v>584</v>
      </c>
      <c r="F140" s="371" t="s">
        <v>551</v>
      </c>
      <c r="G140" s="377"/>
      <c r="H140" s="376">
        <v>3.7</v>
      </c>
      <c r="I140" s="241"/>
      <c r="J140" s="223">
        <v>0.05</v>
      </c>
      <c r="K140" s="223">
        <v>0.02</v>
      </c>
      <c r="L140" s="216"/>
      <c r="M140" s="227">
        <v>3.3</v>
      </c>
      <c r="N140" s="241"/>
      <c r="O140" s="223">
        <v>0.05</v>
      </c>
      <c r="P140" s="223">
        <v>0.02</v>
      </c>
      <c r="Q140" s="156"/>
      <c r="R140" s="791" t="s">
        <v>107</v>
      </c>
      <c r="S140" s="792"/>
      <c r="T140" s="792"/>
      <c r="U140" s="792"/>
      <c r="V140" s="793"/>
      <c r="W140" s="791" t="s">
        <v>106</v>
      </c>
      <c r="X140" s="793"/>
      <c r="Y140" s="8"/>
    </row>
    <row r="141" spans="2:25" ht="124.5" customHeight="1">
      <c r="B141" s="232">
        <v>108</v>
      </c>
      <c r="C141" s="201" t="s">
        <v>234</v>
      </c>
      <c r="D141" s="202" t="s">
        <v>493</v>
      </c>
      <c r="E141" s="208" t="s">
        <v>605</v>
      </c>
      <c r="F141" s="370" t="s">
        <v>545</v>
      </c>
      <c r="G141" s="377"/>
      <c r="H141" s="374">
        <v>45</v>
      </c>
      <c r="I141" s="241"/>
      <c r="J141" s="223">
        <v>0.36</v>
      </c>
      <c r="K141" s="218"/>
      <c r="L141" s="216"/>
      <c r="M141" s="221">
        <v>36</v>
      </c>
      <c r="N141" s="241"/>
      <c r="O141" s="223">
        <v>0.36</v>
      </c>
      <c r="P141" s="218"/>
      <c r="Q141" s="156"/>
      <c r="R141" s="791" t="s">
        <v>606</v>
      </c>
      <c r="S141" s="792"/>
      <c r="T141" s="792"/>
      <c r="U141" s="792"/>
      <c r="V141" s="793"/>
      <c r="W141" s="791" t="s">
        <v>108</v>
      </c>
      <c r="X141" s="793"/>
      <c r="Y141" s="8"/>
    </row>
    <row r="142" spans="2:25" ht="124.5" customHeight="1">
      <c r="B142" s="232">
        <v>109</v>
      </c>
      <c r="C142" s="201" t="s">
        <v>234</v>
      </c>
      <c r="D142" s="202" t="s">
        <v>493</v>
      </c>
      <c r="E142" s="208" t="s">
        <v>608</v>
      </c>
      <c r="F142" s="370" t="s">
        <v>545</v>
      </c>
      <c r="G142" s="377"/>
      <c r="H142" s="374">
        <v>27</v>
      </c>
      <c r="I142" s="241"/>
      <c r="J142" s="223">
        <v>0.24</v>
      </c>
      <c r="K142" s="218"/>
      <c r="L142" s="216"/>
      <c r="M142" s="221">
        <v>22</v>
      </c>
      <c r="N142" s="241"/>
      <c r="O142" s="223">
        <v>0.24</v>
      </c>
      <c r="P142" s="218"/>
      <c r="Q142" s="156"/>
      <c r="R142" s="791" t="s">
        <v>609</v>
      </c>
      <c r="S142" s="792"/>
      <c r="T142" s="792"/>
      <c r="U142" s="792"/>
      <c r="V142" s="793"/>
      <c r="W142" s="791" t="s">
        <v>108</v>
      </c>
      <c r="X142" s="793"/>
      <c r="Y142" s="8"/>
    </row>
    <row r="143" spans="2:25" ht="91.5" customHeight="1">
      <c r="B143" s="232">
        <v>110</v>
      </c>
      <c r="C143" s="201" t="s">
        <v>248</v>
      </c>
      <c r="D143" s="202" t="s">
        <v>247</v>
      </c>
      <c r="E143" s="208" t="s">
        <v>249</v>
      </c>
      <c r="F143" s="371" t="s">
        <v>551</v>
      </c>
      <c r="G143" s="377"/>
      <c r="H143" s="376">
        <v>1.2</v>
      </c>
      <c r="I143" s="241"/>
      <c r="J143" s="223">
        <v>0.01</v>
      </c>
      <c r="K143" s="218"/>
      <c r="L143" s="216"/>
      <c r="M143" s="227">
        <v>1.21</v>
      </c>
      <c r="N143" s="241"/>
      <c r="O143" s="223">
        <v>0.01</v>
      </c>
      <c r="P143" s="218"/>
      <c r="Q143" s="156"/>
      <c r="R143" s="791" t="s">
        <v>564</v>
      </c>
      <c r="S143" s="792"/>
      <c r="T143" s="792"/>
      <c r="U143" s="792"/>
      <c r="V143" s="793"/>
      <c r="W143" s="791" t="s">
        <v>565</v>
      </c>
      <c r="X143" s="793"/>
      <c r="Y143" s="8"/>
    </row>
    <row r="144" spans="2:25" ht="96.75" customHeight="1">
      <c r="B144" s="232">
        <v>111</v>
      </c>
      <c r="C144" s="201" t="s">
        <v>248</v>
      </c>
      <c r="D144" s="202" t="s">
        <v>250</v>
      </c>
      <c r="E144" s="208" t="s">
        <v>251</v>
      </c>
      <c r="F144" s="370" t="s">
        <v>545</v>
      </c>
      <c r="G144" s="377"/>
      <c r="H144" s="374">
        <v>0.95238095238095233</v>
      </c>
      <c r="I144" s="241"/>
      <c r="J144" s="223">
        <v>1.0999999999999999E-2</v>
      </c>
      <c r="K144" s="218"/>
      <c r="L144" s="216"/>
      <c r="M144" s="227">
        <v>0.9</v>
      </c>
      <c r="N144" s="241"/>
      <c r="O144" s="218">
        <v>1.4E-2</v>
      </c>
      <c r="P144" s="218"/>
      <c r="Q144" s="156"/>
      <c r="R144" s="791" t="s">
        <v>781</v>
      </c>
      <c r="S144" s="792"/>
      <c r="T144" s="792"/>
      <c r="U144" s="792"/>
      <c r="V144" s="793"/>
      <c r="W144" s="791" t="s">
        <v>123</v>
      </c>
      <c r="X144" s="793"/>
      <c r="Y144" s="8"/>
    </row>
    <row r="145" spans="2:25" ht="120.75" customHeight="1">
      <c r="B145" s="232">
        <v>112</v>
      </c>
      <c r="C145" s="201" t="s">
        <v>248</v>
      </c>
      <c r="D145" s="202" t="s">
        <v>252</v>
      </c>
      <c r="E145" s="208" t="s">
        <v>253</v>
      </c>
      <c r="F145" s="371" t="s">
        <v>551</v>
      </c>
      <c r="G145" s="377"/>
      <c r="H145" s="374"/>
      <c r="I145" s="241"/>
      <c r="J145" s="223">
        <v>0.04</v>
      </c>
      <c r="K145" s="218"/>
      <c r="L145" s="216"/>
      <c r="M145" s="221"/>
      <c r="N145" s="241"/>
      <c r="O145" s="223">
        <v>0.04</v>
      </c>
      <c r="P145" s="218"/>
      <c r="Q145" s="156"/>
      <c r="R145" s="791" t="s">
        <v>573</v>
      </c>
      <c r="S145" s="792"/>
      <c r="T145" s="792"/>
      <c r="U145" s="792"/>
      <c r="V145" s="793"/>
      <c r="W145" s="791" t="s">
        <v>570</v>
      </c>
      <c r="X145" s="793"/>
      <c r="Y145" s="8"/>
    </row>
    <row r="146" spans="2:25" ht="89.25" customHeight="1">
      <c r="B146" s="232">
        <v>113</v>
      </c>
      <c r="C146" s="201" t="s">
        <v>248</v>
      </c>
      <c r="D146" s="202" t="s">
        <v>493</v>
      </c>
      <c r="E146" s="208" t="s">
        <v>447</v>
      </c>
      <c r="F146" s="373" t="s">
        <v>684</v>
      </c>
      <c r="G146" s="377"/>
      <c r="H146" s="374">
        <v>10</v>
      </c>
      <c r="I146" s="241"/>
      <c r="J146" s="218">
        <v>2.3E-2</v>
      </c>
      <c r="K146" s="218"/>
      <c r="L146" s="216"/>
      <c r="M146" s="221">
        <v>9</v>
      </c>
      <c r="N146" s="241"/>
      <c r="O146" s="218">
        <v>2.5999999999999999E-2</v>
      </c>
      <c r="P146" s="218"/>
      <c r="Q146" s="156"/>
      <c r="R146" s="791" t="s">
        <v>782</v>
      </c>
      <c r="S146" s="792"/>
      <c r="T146" s="792"/>
      <c r="U146" s="792"/>
      <c r="V146" s="793"/>
      <c r="W146" s="791" t="s">
        <v>123</v>
      </c>
      <c r="X146" s="793"/>
      <c r="Y146" s="8"/>
    </row>
    <row r="147" spans="2:25" ht="137.25" customHeight="1">
      <c r="B147" s="232">
        <v>114</v>
      </c>
      <c r="C147" s="201" t="s">
        <v>248</v>
      </c>
      <c r="D147" s="202" t="s">
        <v>493</v>
      </c>
      <c r="E147" s="208" t="s">
        <v>448</v>
      </c>
      <c r="F147" s="373" t="s">
        <v>684</v>
      </c>
      <c r="G147" s="377"/>
      <c r="H147" s="376">
        <v>5.0999999999999996</v>
      </c>
      <c r="I147" s="241"/>
      <c r="J147" s="223">
        <v>0.19</v>
      </c>
      <c r="K147" s="218"/>
      <c r="L147" s="216"/>
      <c r="M147" s="227">
        <v>4.8</v>
      </c>
      <c r="N147" s="243"/>
      <c r="O147" s="223">
        <v>0.19</v>
      </c>
      <c r="P147" s="218"/>
      <c r="Q147" s="156"/>
      <c r="R147" s="791" t="s">
        <v>833</v>
      </c>
      <c r="S147" s="792"/>
      <c r="T147" s="792"/>
      <c r="U147" s="792"/>
      <c r="V147" s="793"/>
      <c r="W147" s="791" t="s">
        <v>125</v>
      </c>
      <c r="X147" s="793"/>
      <c r="Y147" s="8"/>
    </row>
    <row r="148" spans="2:25" ht="124.5" customHeight="1">
      <c r="B148" s="232">
        <v>115</v>
      </c>
      <c r="C148" s="201" t="s">
        <v>248</v>
      </c>
      <c r="D148" s="202" t="s">
        <v>493</v>
      </c>
      <c r="E148" s="208" t="s">
        <v>449</v>
      </c>
      <c r="F148" s="371" t="s">
        <v>551</v>
      </c>
      <c r="G148" s="377"/>
      <c r="H148" s="374">
        <v>12</v>
      </c>
      <c r="I148" s="241"/>
      <c r="J148" s="223">
        <v>0.06</v>
      </c>
      <c r="K148" s="218"/>
      <c r="L148" s="216"/>
      <c r="M148" s="221">
        <v>10</v>
      </c>
      <c r="N148" s="241"/>
      <c r="O148" s="223">
        <v>0.06</v>
      </c>
      <c r="P148" s="218"/>
      <c r="Q148" s="156"/>
      <c r="R148" s="791" t="s">
        <v>126</v>
      </c>
      <c r="S148" s="792"/>
      <c r="T148" s="792"/>
      <c r="U148" s="792"/>
      <c r="V148" s="793"/>
      <c r="W148" s="791" t="s">
        <v>607</v>
      </c>
      <c r="X148" s="793"/>
      <c r="Y148" s="8"/>
    </row>
    <row r="149" spans="2:25" ht="124.5" customHeight="1">
      <c r="B149" s="232">
        <v>116</v>
      </c>
      <c r="C149" s="201" t="s">
        <v>248</v>
      </c>
      <c r="D149" s="202" t="s">
        <v>493</v>
      </c>
      <c r="E149" s="208" t="s">
        <v>613</v>
      </c>
      <c r="F149" s="370" t="s">
        <v>545</v>
      </c>
      <c r="G149" s="377"/>
      <c r="H149" s="374"/>
      <c r="I149" s="241">
        <v>17000</v>
      </c>
      <c r="J149" s="218">
        <v>4.1000000000000002E-2</v>
      </c>
      <c r="K149" s="218"/>
      <c r="L149" s="216"/>
      <c r="M149" s="221"/>
      <c r="N149" s="241">
        <v>17000</v>
      </c>
      <c r="O149" s="218">
        <v>4.1000000000000002E-2</v>
      </c>
      <c r="P149" s="218"/>
      <c r="Q149" s="156"/>
      <c r="R149" s="791" t="s">
        <v>614</v>
      </c>
      <c r="S149" s="792"/>
      <c r="T149" s="792"/>
      <c r="U149" s="792"/>
      <c r="V149" s="793"/>
      <c r="W149" s="791" t="s">
        <v>615</v>
      </c>
      <c r="X149" s="793"/>
      <c r="Y149" s="8"/>
    </row>
    <row r="150" spans="2:25" ht="105" customHeight="1">
      <c r="B150" s="232">
        <v>117</v>
      </c>
      <c r="C150" s="201" t="s">
        <v>255</v>
      </c>
      <c r="D150" s="202" t="s">
        <v>254</v>
      </c>
      <c r="E150" s="208" t="s">
        <v>425</v>
      </c>
      <c r="F150" s="370" t="s">
        <v>545</v>
      </c>
      <c r="G150" s="377"/>
      <c r="H150" s="376">
        <v>0.8</v>
      </c>
      <c r="I150" s="241"/>
      <c r="J150" s="218"/>
      <c r="K150" s="218">
        <v>2.5999999999999999E-2</v>
      </c>
      <c r="L150" s="216"/>
      <c r="M150" s="227">
        <v>0.8</v>
      </c>
      <c r="N150" s="241"/>
      <c r="O150" s="218"/>
      <c r="P150" s="218">
        <v>2.5999999999999999E-2</v>
      </c>
      <c r="Q150" s="156"/>
      <c r="R150" s="791" t="s">
        <v>775</v>
      </c>
      <c r="S150" s="792"/>
      <c r="T150" s="792"/>
      <c r="U150" s="792"/>
      <c r="V150" s="793"/>
      <c r="W150" s="791" t="s">
        <v>574</v>
      </c>
      <c r="X150" s="793"/>
      <c r="Y150" s="8"/>
    </row>
    <row r="151" spans="2:25" ht="120.75" customHeight="1">
      <c r="B151" s="232">
        <v>118</v>
      </c>
      <c r="C151" s="201" t="s">
        <v>255</v>
      </c>
      <c r="D151" s="202" t="s">
        <v>256</v>
      </c>
      <c r="E151" s="208" t="s">
        <v>257</v>
      </c>
      <c r="F151" s="371" t="s">
        <v>576</v>
      </c>
      <c r="G151" s="377"/>
      <c r="H151" s="374">
        <v>11</v>
      </c>
      <c r="I151" s="241"/>
      <c r="J151" s="218"/>
      <c r="K151" s="223">
        <v>0.16</v>
      </c>
      <c r="L151" s="216"/>
      <c r="M151" s="221">
        <v>11</v>
      </c>
      <c r="N151" s="241"/>
      <c r="O151" s="218"/>
      <c r="P151" s="223">
        <v>0.16</v>
      </c>
      <c r="Q151" s="156"/>
      <c r="R151" s="791" t="s">
        <v>813</v>
      </c>
      <c r="S151" s="792"/>
      <c r="T151" s="792"/>
      <c r="U151" s="792"/>
      <c r="V151" s="793"/>
      <c r="W151" s="791" t="s">
        <v>109</v>
      </c>
      <c r="X151" s="793"/>
      <c r="Y151" s="8"/>
    </row>
    <row r="152" spans="2:25" ht="107.25" customHeight="1">
      <c r="B152" s="232">
        <v>119</v>
      </c>
      <c r="C152" s="201" t="s">
        <v>255</v>
      </c>
      <c r="D152" s="202" t="s">
        <v>258</v>
      </c>
      <c r="E152" s="208" t="s">
        <v>259</v>
      </c>
      <c r="F152" s="370" t="s">
        <v>545</v>
      </c>
      <c r="G152" s="377"/>
      <c r="H152" s="374">
        <v>14</v>
      </c>
      <c r="I152" s="241"/>
      <c r="J152" s="218"/>
      <c r="K152" s="223">
        <v>0.18</v>
      </c>
      <c r="L152" s="216"/>
      <c r="M152" s="221">
        <v>14</v>
      </c>
      <c r="N152" s="241"/>
      <c r="O152" s="218"/>
      <c r="P152" s="223">
        <v>0.18</v>
      </c>
      <c r="Q152" s="156"/>
      <c r="R152" s="791" t="s">
        <v>801</v>
      </c>
      <c r="S152" s="792"/>
      <c r="T152" s="792"/>
      <c r="U152" s="792"/>
      <c r="V152" s="793"/>
      <c r="W152" s="791" t="s">
        <v>109</v>
      </c>
      <c r="X152" s="793"/>
      <c r="Y152" s="8"/>
    </row>
    <row r="153" spans="2:25" ht="125.25" customHeight="1">
      <c r="B153" s="232">
        <v>120</v>
      </c>
      <c r="C153" s="201" t="s">
        <v>255</v>
      </c>
      <c r="D153" s="202" t="s">
        <v>260</v>
      </c>
      <c r="E153" s="208" t="s">
        <v>261</v>
      </c>
      <c r="F153" s="371" t="s">
        <v>576</v>
      </c>
      <c r="G153" s="377"/>
      <c r="H153" s="374">
        <v>11</v>
      </c>
      <c r="I153" s="241"/>
      <c r="J153" s="218"/>
      <c r="K153" s="223">
        <v>0.16</v>
      </c>
      <c r="L153" s="216"/>
      <c r="M153" s="221">
        <v>11</v>
      </c>
      <c r="N153" s="241"/>
      <c r="O153" s="218"/>
      <c r="P153" s="223">
        <v>0.16</v>
      </c>
      <c r="Q153" s="156"/>
      <c r="R153" s="791" t="s">
        <v>814</v>
      </c>
      <c r="S153" s="792"/>
      <c r="T153" s="792"/>
      <c r="U153" s="792"/>
      <c r="V153" s="793"/>
      <c r="W153" s="791" t="s">
        <v>109</v>
      </c>
      <c r="X153" s="793"/>
      <c r="Y153" s="8"/>
    </row>
    <row r="154" spans="2:25" ht="108" customHeight="1">
      <c r="B154" s="232">
        <v>121</v>
      </c>
      <c r="C154" s="201" t="s">
        <v>255</v>
      </c>
      <c r="D154" s="202" t="s">
        <v>262</v>
      </c>
      <c r="E154" s="208" t="s">
        <v>263</v>
      </c>
      <c r="F154" s="370" t="s">
        <v>545</v>
      </c>
      <c r="G154" s="377"/>
      <c r="H154" s="376">
        <v>0.2</v>
      </c>
      <c r="I154" s="241"/>
      <c r="J154" s="218"/>
      <c r="K154" s="218">
        <v>1.2999999999999999E-2</v>
      </c>
      <c r="L154" s="216"/>
      <c r="M154" s="227">
        <v>0.2</v>
      </c>
      <c r="N154" s="241"/>
      <c r="O154" s="218"/>
      <c r="P154" s="218">
        <v>1.2999999999999999E-2</v>
      </c>
      <c r="Q154" s="156"/>
      <c r="R154" s="791" t="s">
        <v>802</v>
      </c>
      <c r="S154" s="792"/>
      <c r="T154" s="792"/>
      <c r="U154" s="792"/>
      <c r="V154" s="793"/>
      <c r="W154" s="791" t="s">
        <v>109</v>
      </c>
      <c r="X154" s="793"/>
      <c r="Y154" s="8"/>
    </row>
    <row r="155" spans="2:25" ht="126" customHeight="1">
      <c r="B155" s="232">
        <v>122</v>
      </c>
      <c r="C155" s="201" t="s">
        <v>255</v>
      </c>
      <c r="D155" s="202" t="s">
        <v>264</v>
      </c>
      <c r="E155" s="208" t="s">
        <v>265</v>
      </c>
      <c r="F155" s="371" t="s">
        <v>576</v>
      </c>
      <c r="G155" s="377"/>
      <c r="H155" s="374">
        <v>20</v>
      </c>
      <c r="I155" s="241"/>
      <c r="J155" s="218"/>
      <c r="K155" s="223">
        <v>0.27</v>
      </c>
      <c r="L155" s="216"/>
      <c r="M155" s="221">
        <v>20</v>
      </c>
      <c r="N155" s="241"/>
      <c r="O155" s="218"/>
      <c r="P155" s="223">
        <v>0.26</v>
      </c>
      <c r="Q155" s="156"/>
      <c r="R155" s="791" t="s">
        <v>826</v>
      </c>
      <c r="S155" s="792"/>
      <c r="T155" s="792"/>
      <c r="U155" s="792"/>
      <c r="V155" s="793"/>
      <c r="W155" s="791" t="s">
        <v>575</v>
      </c>
      <c r="X155" s="793"/>
      <c r="Y155" s="8"/>
    </row>
    <row r="156" spans="2:25" ht="90" customHeight="1">
      <c r="B156" s="232">
        <v>123</v>
      </c>
      <c r="C156" s="201" t="s">
        <v>255</v>
      </c>
      <c r="D156" s="202" t="s">
        <v>266</v>
      </c>
      <c r="E156" s="208" t="s">
        <v>267</v>
      </c>
      <c r="F156" s="370" t="s">
        <v>545</v>
      </c>
      <c r="G156" s="377"/>
      <c r="H156" s="374">
        <v>16</v>
      </c>
      <c r="I156" s="241"/>
      <c r="J156" s="218"/>
      <c r="K156" s="223">
        <v>0.2</v>
      </c>
      <c r="L156" s="216"/>
      <c r="M156" s="221">
        <v>16</v>
      </c>
      <c r="N156" s="241"/>
      <c r="O156" s="218"/>
      <c r="P156" s="223">
        <v>0.2</v>
      </c>
      <c r="Q156" s="156"/>
      <c r="R156" s="791" t="s">
        <v>827</v>
      </c>
      <c r="S156" s="792"/>
      <c r="T156" s="792"/>
      <c r="U156" s="792"/>
      <c r="V156" s="793"/>
      <c r="W156" s="791" t="s">
        <v>575</v>
      </c>
      <c r="X156" s="793"/>
      <c r="Y156" s="8"/>
    </row>
    <row r="157" spans="2:25" ht="126" customHeight="1">
      <c r="B157" s="232">
        <v>124</v>
      </c>
      <c r="C157" s="201" t="s">
        <v>255</v>
      </c>
      <c r="D157" s="202" t="s">
        <v>268</v>
      </c>
      <c r="E157" s="208" t="s">
        <v>269</v>
      </c>
      <c r="F157" s="370" t="s">
        <v>545</v>
      </c>
      <c r="G157" s="377"/>
      <c r="H157" s="376">
        <v>2.2999999999999998</v>
      </c>
      <c r="I157" s="241"/>
      <c r="J157" s="218"/>
      <c r="K157" s="218">
        <v>3.1E-2</v>
      </c>
      <c r="L157" s="216"/>
      <c r="M157" s="227">
        <v>2.2999999999999998</v>
      </c>
      <c r="N157" s="241"/>
      <c r="O157" s="218"/>
      <c r="P157" s="218">
        <v>3.1E-2</v>
      </c>
      <c r="Q157" s="156"/>
      <c r="R157" s="791" t="s">
        <v>803</v>
      </c>
      <c r="S157" s="792"/>
      <c r="T157" s="792"/>
      <c r="U157" s="792"/>
      <c r="V157" s="793"/>
      <c r="W157" s="791" t="s">
        <v>575</v>
      </c>
      <c r="X157" s="793"/>
      <c r="Y157" s="8"/>
    </row>
    <row r="158" spans="2:25" ht="112.5" customHeight="1">
      <c r="B158" s="232">
        <v>125</v>
      </c>
      <c r="C158" s="201" t="s">
        <v>255</v>
      </c>
      <c r="D158" s="202" t="s">
        <v>270</v>
      </c>
      <c r="E158" s="208" t="s">
        <v>271</v>
      </c>
      <c r="F158" s="370" t="s">
        <v>545</v>
      </c>
      <c r="G158" s="377"/>
      <c r="H158" s="374"/>
      <c r="I158" s="241">
        <v>625</v>
      </c>
      <c r="J158" s="218"/>
      <c r="K158" s="218">
        <v>5.0000000000000001E-3</v>
      </c>
      <c r="L158" s="216"/>
      <c r="M158" s="221"/>
      <c r="N158" s="241">
        <v>625</v>
      </c>
      <c r="O158" s="218"/>
      <c r="P158" s="218">
        <v>2E-3</v>
      </c>
      <c r="Q158" s="156"/>
      <c r="R158" s="791" t="s">
        <v>804</v>
      </c>
      <c r="S158" s="792"/>
      <c r="T158" s="792"/>
      <c r="U158" s="792"/>
      <c r="V158" s="793"/>
      <c r="W158" s="791" t="s">
        <v>109</v>
      </c>
      <c r="X158" s="793"/>
      <c r="Y158" s="8"/>
    </row>
    <row r="159" spans="2:25" ht="105.75" customHeight="1">
      <c r="B159" s="232">
        <v>126</v>
      </c>
      <c r="C159" s="201" t="s">
        <v>255</v>
      </c>
      <c r="D159" s="202" t="s">
        <v>272</v>
      </c>
      <c r="E159" s="208" t="s">
        <v>273</v>
      </c>
      <c r="F159" s="370" t="s">
        <v>545</v>
      </c>
      <c r="G159" s="377"/>
      <c r="H159" s="374"/>
      <c r="I159" s="241">
        <v>650</v>
      </c>
      <c r="J159" s="218"/>
      <c r="K159" s="218">
        <v>6.0000000000000001E-3</v>
      </c>
      <c r="L159" s="216"/>
      <c r="M159" s="221"/>
      <c r="N159" s="241">
        <v>650</v>
      </c>
      <c r="O159" s="218"/>
      <c r="P159" s="218">
        <v>2E-3</v>
      </c>
      <c r="Q159" s="156"/>
      <c r="R159" s="791" t="s">
        <v>805</v>
      </c>
      <c r="S159" s="792"/>
      <c r="T159" s="792"/>
      <c r="U159" s="792"/>
      <c r="V159" s="793"/>
      <c r="W159" s="791" t="s">
        <v>109</v>
      </c>
      <c r="X159" s="793"/>
      <c r="Y159" s="8"/>
    </row>
    <row r="160" spans="2:25" ht="107.25" customHeight="1">
      <c r="B160" s="232">
        <v>127</v>
      </c>
      <c r="C160" s="201" t="s">
        <v>255</v>
      </c>
      <c r="D160" s="202" t="s">
        <v>274</v>
      </c>
      <c r="E160" s="208" t="s">
        <v>275</v>
      </c>
      <c r="F160" s="370" t="s">
        <v>545</v>
      </c>
      <c r="G160" s="377"/>
      <c r="H160" s="374"/>
      <c r="I160" s="241">
        <v>1000</v>
      </c>
      <c r="J160" s="218"/>
      <c r="K160" s="218">
        <v>7.0000000000000001E-3</v>
      </c>
      <c r="L160" s="216"/>
      <c r="M160" s="221"/>
      <c r="N160" s="241">
        <v>1000</v>
      </c>
      <c r="O160" s="218"/>
      <c r="P160" s="218">
        <v>3.0000000000000001E-3</v>
      </c>
      <c r="Q160" s="156"/>
      <c r="R160" s="791" t="s">
        <v>806</v>
      </c>
      <c r="S160" s="792"/>
      <c r="T160" s="792"/>
      <c r="U160" s="792"/>
      <c r="V160" s="793"/>
      <c r="W160" s="791" t="s">
        <v>109</v>
      </c>
      <c r="X160" s="793"/>
      <c r="Y160" s="8"/>
    </row>
    <row r="161" spans="2:25" ht="138.75" customHeight="1">
      <c r="B161" s="232">
        <v>128</v>
      </c>
      <c r="C161" s="201" t="s">
        <v>255</v>
      </c>
      <c r="D161" s="202" t="s">
        <v>276</v>
      </c>
      <c r="E161" s="208" t="s">
        <v>277</v>
      </c>
      <c r="F161" s="370" t="s">
        <v>545</v>
      </c>
      <c r="G161" s="377"/>
      <c r="H161" s="374"/>
      <c r="I161" s="241">
        <v>1500</v>
      </c>
      <c r="J161" s="218"/>
      <c r="K161" s="218">
        <v>1.2E-2</v>
      </c>
      <c r="L161" s="216"/>
      <c r="M161" s="221"/>
      <c r="N161" s="241">
        <v>1500</v>
      </c>
      <c r="O161" s="218"/>
      <c r="P161" s="218">
        <v>1.2E-2</v>
      </c>
      <c r="Q161" s="156"/>
      <c r="R161" s="791" t="s">
        <v>807</v>
      </c>
      <c r="S161" s="792"/>
      <c r="T161" s="792"/>
      <c r="U161" s="792"/>
      <c r="V161" s="793"/>
      <c r="W161" s="791" t="s">
        <v>109</v>
      </c>
      <c r="X161" s="793"/>
      <c r="Y161" s="8"/>
    </row>
    <row r="162" spans="2:25" ht="94.5" customHeight="1">
      <c r="B162" s="232">
        <v>129</v>
      </c>
      <c r="C162" s="201" t="s">
        <v>255</v>
      </c>
      <c r="D162" s="202" t="s">
        <v>278</v>
      </c>
      <c r="E162" s="208" t="s">
        <v>426</v>
      </c>
      <c r="F162" s="370" t="s">
        <v>545</v>
      </c>
      <c r="G162" s="377"/>
      <c r="H162" s="374"/>
      <c r="I162" s="241"/>
      <c r="J162" s="218"/>
      <c r="K162" s="218">
        <v>1.2999999999999999E-2</v>
      </c>
      <c r="L162" s="216"/>
      <c r="M162" s="221"/>
      <c r="N162" s="241"/>
      <c r="O162" s="218"/>
      <c r="P162" s="218">
        <v>1.2999999999999999E-2</v>
      </c>
      <c r="Q162" s="156"/>
      <c r="R162" s="791" t="s">
        <v>808</v>
      </c>
      <c r="S162" s="792"/>
      <c r="T162" s="792"/>
      <c r="U162" s="792"/>
      <c r="V162" s="793"/>
      <c r="W162" s="791" t="s">
        <v>109</v>
      </c>
      <c r="X162" s="793"/>
      <c r="Y162" s="8"/>
    </row>
    <row r="163" spans="2:25" ht="126" customHeight="1">
      <c r="B163" s="232">
        <v>130</v>
      </c>
      <c r="C163" s="201" t="s">
        <v>255</v>
      </c>
      <c r="D163" s="202" t="s">
        <v>279</v>
      </c>
      <c r="E163" s="208" t="s">
        <v>280</v>
      </c>
      <c r="F163" s="371" t="s">
        <v>557</v>
      </c>
      <c r="G163" s="377"/>
      <c r="H163" s="374">
        <v>13</v>
      </c>
      <c r="I163" s="241"/>
      <c r="J163" s="218"/>
      <c r="K163" s="223">
        <v>0.16</v>
      </c>
      <c r="L163" s="216"/>
      <c r="M163" s="221">
        <v>13</v>
      </c>
      <c r="N163" s="241"/>
      <c r="O163" s="218"/>
      <c r="P163" s="223">
        <v>0.16</v>
      </c>
      <c r="Q163" s="156"/>
      <c r="R163" s="791" t="s">
        <v>809</v>
      </c>
      <c r="S163" s="792"/>
      <c r="T163" s="792"/>
      <c r="U163" s="792"/>
      <c r="V163" s="793"/>
      <c r="W163" s="791" t="s">
        <v>550</v>
      </c>
      <c r="X163" s="793"/>
      <c r="Y163" s="8"/>
    </row>
    <row r="164" spans="2:25" ht="99.75" customHeight="1">
      <c r="B164" s="232">
        <v>131</v>
      </c>
      <c r="C164" s="201" t="s">
        <v>255</v>
      </c>
      <c r="D164" s="202" t="s">
        <v>281</v>
      </c>
      <c r="E164" s="208" t="s">
        <v>427</v>
      </c>
      <c r="F164" s="371" t="s">
        <v>551</v>
      </c>
      <c r="G164" s="377"/>
      <c r="H164" s="374"/>
      <c r="I164" s="241"/>
      <c r="J164" s="218"/>
      <c r="K164" s="218">
        <v>1.2E-2</v>
      </c>
      <c r="L164" s="216"/>
      <c r="M164" s="221"/>
      <c r="N164" s="241"/>
      <c r="O164" s="218"/>
      <c r="P164" s="218">
        <v>1.2E-2</v>
      </c>
      <c r="Q164" s="156"/>
      <c r="R164" s="791" t="s">
        <v>776</v>
      </c>
      <c r="S164" s="792"/>
      <c r="T164" s="792"/>
      <c r="U164" s="792"/>
      <c r="V164" s="793"/>
      <c r="W164" s="791" t="s">
        <v>110</v>
      </c>
      <c r="X164" s="793"/>
      <c r="Y164" s="8"/>
    </row>
    <row r="165" spans="2:25" ht="111" customHeight="1">
      <c r="B165" s="232">
        <v>132</v>
      </c>
      <c r="C165" s="201" t="s">
        <v>283</v>
      </c>
      <c r="D165" s="202" t="s">
        <v>282</v>
      </c>
      <c r="E165" s="208" t="s">
        <v>284</v>
      </c>
      <c r="F165" s="370" t="s">
        <v>545</v>
      </c>
      <c r="G165" s="377"/>
      <c r="H165" s="374"/>
      <c r="I165" s="241"/>
      <c r="J165" s="218"/>
      <c r="K165" s="218">
        <v>1.2999999999999999E-2</v>
      </c>
      <c r="L165" s="216"/>
      <c r="M165" s="221"/>
      <c r="N165" s="241"/>
      <c r="O165" s="218"/>
      <c r="P165" s="218">
        <v>1.2733285714285716E-2</v>
      </c>
      <c r="Q165" s="156"/>
      <c r="R165" s="791" t="s">
        <v>810</v>
      </c>
      <c r="S165" s="792"/>
      <c r="T165" s="792"/>
      <c r="U165" s="792"/>
      <c r="V165" s="793"/>
      <c r="W165" s="791" t="s">
        <v>554</v>
      </c>
      <c r="X165" s="793"/>
      <c r="Y165" s="8"/>
    </row>
    <row r="166" spans="2:25" ht="105.75" customHeight="1">
      <c r="B166" s="232">
        <v>133</v>
      </c>
      <c r="C166" s="201" t="s">
        <v>283</v>
      </c>
      <c r="D166" s="202" t="s">
        <v>285</v>
      </c>
      <c r="E166" s="208" t="s">
        <v>286</v>
      </c>
      <c r="F166" s="371" t="s">
        <v>557</v>
      </c>
      <c r="G166" s="377"/>
      <c r="H166" s="374"/>
      <c r="I166" s="241"/>
      <c r="J166" s="218"/>
      <c r="K166" s="218">
        <v>1.2842490566037736E-2</v>
      </c>
      <c r="L166" s="216"/>
      <c r="M166" s="221"/>
      <c r="N166" s="241"/>
      <c r="O166" s="218"/>
      <c r="P166" s="218">
        <v>1.2999999999999999E-2</v>
      </c>
      <c r="Q166" s="156"/>
      <c r="R166" s="791" t="s">
        <v>810</v>
      </c>
      <c r="S166" s="792"/>
      <c r="T166" s="792"/>
      <c r="U166" s="792"/>
      <c r="V166" s="793"/>
      <c r="W166" s="791" t="s">
        <v>554</v>
      </c>
      <c r="X166" s="793"/>
      <c r="Y166" s="8"/>
    </row>
    <row r="167" spans="2:25" ht="113.25" customHeight="1">
      <c r="B167" s="232">
        <v>134</v>
      </c>
      <c r="C167" s="201" t="s">
        <v>283</v>
      </c>
      <c r="D167" s="202" t="s">
        <v>287</v>
      </c>
      <c r="E167" s="208" t="s">
        <v>288</v>
      </c>
      <c r="F167" s="370" t="s">
        <v>545</v>
      </c>
      <c r="G167" s="377"/>
      <c r="H167" s="374"/>
      <c r="I167" s="241"/>
      <c r="J167" s="218"/>
      <c r="K167" s="218">
        <v>1.2999999999999999E-2</v>
      </c>
      <c r="L167" s="216"/>
      <c r="M167" s="221"/>
      <c r="N167" s="241"/>
      <c r="O167" s="218"/>
      <c r="P167" s="218">
        <v>1.2999999999999999E-2</v>
      </c>
      <c r="Q167" s="156"/>
      <c r="R167" s="791" t="s">
        <v>811</v>
      </c>
      <c r="S167" s="792"/>
      <c r="T167" s="792"/>
      <c r="U167" s="792"/>
      <c r="V167" s="793"/>
      <c r="W167" s="791" t="s">
        <v>554</v>
      </c>
      <c r="X167" s="793"/>
      <c r="Y167" s="8"/>
    </row>
    <row r="168" spans="2:25" ht="106.5" customHeight="1">
      <c r="B168" s="232">
        <v>135</v>
      </c>
      <c r="C168" s="201" t="s">
        <v>283</v>
      </c>
      <c r="D168" s="202" t="s">
        <v>289</v>
      </c>
      <c r="E168" s="208" t="s">
        <v>290</v>
      </c>
      <c r="F168" s="370" t="s">
        <v>545</v>
      </c>
      <c r="G168" s="377"/>
      <c r="H168" s="374"/>
      <c r="I168" s="241"/>
      <c r="J168" s="218"/>
      <c r="K168" s="218">
        <v>1.2999999999999999E-2</v>
      </c>
      <c r="L168" s="216"/>
      <c r="M168" s="221"/>
      <c r="N168" s="241"/>
      <c r="O168" s="218"/>
      <c r="P168" s="218">
        <v>1.2999999999999999E-2</v>
      </c>
      <c r="Q168" s="156"/>
      <c r="R168" s="791" t="s">
        <v>812</v>
      </c>
      <c r="S168" s="792"/>
      <c r="T168" s="792"/>
      <c r="U168" s="792"/>
      <c r="V168" s="793"/>
      <c r="W168" s="791" t="s">
        <v>554</v>
      </c>
      <c r="X168" s="793"/>
      <c r="Y168" s="8"/>
    </row>
    <row r="169" spans="2:25" ht="168.75" customHeight="1">
      <c r="B169" s="232">
        <v>136</v>
      </c>
      <c r="C169" s="201" t="s">
        <v>211</v>
      </c>
      <c r="D169" s="202" t="s">
        <v>291</v>
      </c>
      <c r="E169" s="208" t="s">
        <v>490</v>
      </c>
      <c r="F169" s="371" t="s">
        <v>557</v>
      </c>
      <c r="G169" s="377"/>
      <c r="H169" s="374">
        <v>222</v>
      </c>
      <c r="I169" s="241"/>
      <c r="J169" s="218"/>
      <c r="K169" s="226">
        <v>193</v>
      </c>
      <c r="L169" s="216"/>
      <c r="M169" s="221">
        <v>222</v>
      </c>
      <c r="N169" s="241"/>
      <c r="O169" s="218"/>
      <c r="P169" s="226">
        <v>193</v>
      </c>
      <c r="Q169" s="156"/>
      <c r="R169" s="791" t="s">
        <v>556</v>
      </c>
      <c r="S169" s="792"/>
      <c r="T169" s="792"/>
      <c r="U169" s="792"/>
      <c r="V169" s="793"/>
      <c r="W169" s="791" t="s">
        <v>127</v>
      </c>
      <c r="X169" s="793"/>
      <c r="Y169" s="8"/>
    </row>
    <row r="170" spans="2:25" ht="124.5" customHeight="1">
      <c r="B170" s="232">
        <v>137</v>
      </c>
      <c r="C170" s="201" t="s">
        <v>211</v>
      </c>
      <c r="D170" s="202" t="s">
        <v>493</v>
      </c>
      <c r="E170" s="208" t="s">
        <v>578</v>
      </c>
      <c r="F170" s="371" t="s">
        <v>577</v>
      </c>
      <c r="G170" s="377"/>
      <c r="H170" s="374">
        <v>14</v>
      </c>
      <c r="I170" s="241"/>
      <c r="J170" s="218"/>
      <c r="K170" s="223">
        <v>0.11</v>
      </c>
      <c r="L170" s="216"/>
      <c r="M170" s="221">
        <v>15</v>
      </c>
      <c r="N170" s="241"/>
      <c r="O170" s="218"/>
      <c r="P170" s="223">
        <v>0.12</v>
      </c>
      <c r="Q170" s="156"/>
      <c r="R170" s="791" t="s">
        <v>764</v>
      </c>
      <c r="S170" s="792"/>
      <c r="T170" s="792"/>
      <c r="U170" s="792"/>
      <c r="V170" s="793"/>
      <c r="W170" s="791" t="s">
        <v>127</v>
      </c>
      <c r="X170" s="793"/>
      <c r="Y170" s="8"/>
    </row>
    <row r="171" spans="2:25" ht="37.5">
      <c r="B171" s="232">
        <v>138</v>
      </c>
      <c r="C171" s="203" t="s">
        <v>401</v>
      </c>
      <c r="D171" s="204" t="s">
        <v>330</v>
      </c>
      <c r="E171" s="209" t="s">
        <v>313</v>
      </c>
      <c r="F171" s="372"/>
      <c r="G171" s="378"/>
      <c r="H171" s="375"/>
      <c r="I171" s="242"/>
      <c r="J171" s="219"/>
      <c r="K171" s="219"/>
      <c r="L171" s="216"/>
      <c r="M171" s="222"/>
      <c r="N171" s="242"/>
      <c r="O171" s="219"/>
      <c r="P171" s="219"/>
      <c r="Q171" s="156"/>
      <c r="R171" s="794"/>
      <c r="S171" s="795"/>
      <c r="T171" s="795"/>
      <c r="U171" s="795"/>
      <c r="V171" s="796"/>
      <c r="W171" s="794"/>
      <c r="X171" s="796"/>
      <c r="Y171" s="8"/>
    </row>
    <row r="172" spans="2:25" ht="37.5">
      <c r="B172" s="232">
        <v>139</v>
      </c>
      <c r="C172" s="203" t="s">
        <v>332</v>
      </c>
      <c r="D172" s="204" t="s">
        <v>331</v>
      </c>
      <c r="E172" s="209" t="s">
        <v>313</v>
      </c>
      <c r="F172" s="372"/>
      <c r="G172" s="378"/>
      <c r="H172" s="375"/>
      <c r="I172" s="242"/>
      <c r="J172" s="219"/>
      <c r="K172" s="219"/>
      <c r="L172" s="216"/>
      <c r="M172" s="222"/>
      <c r="N172" s="242"/>
      <c r="O172" s="219"/>
      <c r="P172" s="219"/>
      <c r="Q172" s="156"/>
      <c r="R172" s="794"/>
      <c r="S172" s="795"/>
      <c r="T172" s="795"/>
      <c r="U172" s="795"/>
      <c r="V172" s="796"/>
      <c r="W172" s="794"/>
      <c r="X172" s="796"/>
      <c r="Y172" s="8"/>
    </row>
    <row r="173" spans="2:25" ht="37.5">
      <c r="B173" s="232">
        <v>140</v>
      </c>
      <c r="C173" s="203" t="s">
        <v>334</v>
      </c>
      <c r="D173" s="204" t="s">
        <v>333</v>
      </c>
      <c r="E173" s="209" t="s">
        <v>313</v>
      </c>
      <c r="F173" s="372"/>
      <c r="G173" s="378"/>
      <c r="H173" s="375"/>
      <c r="I173" s="242"/>
      <c r="J173" s="219"/>
      <c r="K173" s="219"/>
      <c r="L173" s="216"/>
      <c r="M173" s="222"/>
      <c r="N173" s="242"/>
      <c r="O173" s="219"/>
      <c r="P173" s="219"/>
      <c r="Q173" s="156"/>
      <c r="R173" s="794"/>
      <c r="S173" s="795"/>
      <c r="T173" s="795"/>
      <c r="U173" s="795"/>
      <c r="V173" s="796"/>
      <c r="W173" s="794"/>
      <c r="X173" s="796"/>
      <c r="Y173" s="8"/>
    </row>
    <row r="174" spans="2:25" ht="37.5">
      <c r="B174" s="232">
        <v>141</v>
      </c>
      <c r="C174" s="201" t="s">
        <v>336</v>
      </c>
      <c r="D174" s="202" t="s">
        <v>335</v>
      </c>
      <c r="E174" s="208" t="s">
        <v>337</v>
      </c>
      <c r="F174" s="373" t="s">
        <v>684</v>
      </c>
      <c r="G174" s="377"/>
      <c r="H174" s="374"/>
      <c r="I174" s="241"/>
      <c r="J174" s="218"/>
      <c r="K174" s="218"/>
      <c r="L174" s="216"/>
      <c r="M174" s="221"/>
      <c r="N174" s="241"/>
      <c r="O174" s="218"/>
      <c r="P174" s="218"/>
      <c r="Q174" s="156"/>
      <c r="R174" s="791" t="s">
        <v>616</v>
      </c>
      <c r="S174" s="792"/>
      <c r="T174" s="792"/>
      <c r="U174" s="792"/>
      <c r="V174" s="793"/>
      <c r="W174" s="791"/>
      <c r="X174" s="793"/>
      <c r="Y174" s="8"/>
    </row>
    <row r="175" spans="2:25" ht="37.5">
      <c r="B175" s="232">
        <v>142</v>
      </c>
      <c r="C175" s="201" t="s">
        <v>336</v>
      </c>
      <c r="D175" s="202" t="s">
        <v>338</v>
      </c>
      <c r="E175" s="208" t="s">
        <v>428</v>
      </c>
      <c r="F175" s="373" t="s">
        <v>684</v>
      </c>
      <c r="G175" s="377"/>
      <c r="H175" s="374"/>
      <c r="I175" s="241"/>
      <c r="J175" s="218"/>
      <c r="K175" s="218"/>
      <c r="L175" s="216"/>
      <c r="M175" s="221"/>
      <c r="N175" s="241"/>
      <c r="O175" s="218"/>
      <c r="P175" s="218"/>
      <c r="Q175" s="156"/>
      <c r="R175" s="791" t="s">
        <v>616</v>
      </c>
      <c r="S175" s="792"/>
      <c r="T175" s="792"/>
      <c r="U175" s="792"/>
      <c r="V175" s="793"/>
      <c r="W175" s="791"/>
      <c r="X175" s="793"/>
      <c r="Y175" s="8"/>
    </row>
    <row r="176" spans="2:25" ht="56.25">
      <c r="B176" s="232">
        <v>143</v>
      </c>
      <c r="C176" s="201" t="s">
        <v>336</v>
      </c>
      <c r="D176" s="202" t="s">
        <v>339</v>
      </c>
      <c r="E176" s="208" t="s">
        <v>340</v>
      </c>
      <c r="F176" s="373" t="s">
        <v>684</v>
      </c>
      <c r="G176" s="377"/>
      <c r="H176" s="374"/>
      <c r="I176" s="241"/>
      <c r="J176" s="218"/>
      <c r="K176" s="218"/>
      <c r="L176" s="216"/>
      <c r="M176" s="221"/>
      <c r="N176" s="241"/>
      <c r="O176" s="218"/>
      <c r="P176" s="218"/>
      <c r="Q176" s="156"/>
      <c r="R176" s="791" t="s">
        <v>616</v>
      </c>
      <c r="S176" s="792"/>
      <c r="T176" s="792"/>
      <c r="U176" s="792"/>
      <c r="V176" s="793"/>
      <c r="W176" s="791"/>
      <c r="X176" s="793"/>
      <c r="Y176" s="8"/>
    </row>
    <row r="177" spans="2:25" ht="37.5">
      <c r="B177" s="232">
        <v>144</v>
      </c>
      <c r="C177" s="201" t="s">
        <v>336</v>
      </c>
      <c r="D177" s="202" t="s">
        <v>341</v>
      </c>
      <c r="E177" s="208" t="s">
        <v>342</v>
      </c>
      <c r="F177" s="373" t="s">
        <v>684</v>
      </c>
      <c r="G177" s="377"/>
      <c r="H177" s="374"/>
      <c r="I177" s="241"/>
      <c r="J177" s="218"/>
      <c r="K177" s="218"/>
      <c r="L177" s="216"/>
      <c r="M177" s="221"/>
      <c r="N177" s="241"/>
      <c r="O177" s="218"/>
      <c r="P177" s="218"/>
      <c r="Q177" s="156"/>
      <c r="R177" s="791" t="s">
        <v>616</v>
      </c>
      <c r="S177" s="792"/>
      <c r="T177" s="792"/>
      <c r="U177" s="792"/>
      <c r="V177" s="793"/>
      <c r="W177" s="791"/>
      <c r="X177" s="793"/>
      <c r="Y177" s="8"/>
    </row>
    <row r="178" spans="2:25" ht="56.25">
      <c r="B178" s="232">
        <v>145</v>
      </c>
      <c r="C178" s="201" t="s">
        <v>336</v>
      </c>
      <c r="D178" s="202" t="s">
        <v>343</v>
      </c>
      <c r="E178" s="208" t="s">
        <v>429</v>
      </c>
      <c r="F178" s="373" t="s">
        <v>684</v>
      </c>
      <c r="G178" s="377"/>
      <c r="H178" s="374"/>
      <c r="I178" s="241"/>
      <c r="J178" s="218"/>
      <c r="K178" s="218"/>
      <c r="L178" s="216"/>
      <c r="M178" s="221"/>
      <c r="N178" s="241"/>
      <c r="O178" s="218"/>
      <c r="P178" s="218"/>
      <c r="Q178" s="156"/>
      <c r="R178" s="791" t="s">
        <v>616</v>
      </c>
      <c r="S178" s="792"/>
      <c r="T178" s="792"/>
      <c r="U178" s="792"/>
      <c r="V178" s="793"/>
      <c r="W178" s="791"/>
      <c r="X178" s="793"/>
      <c r="Y178" s="8"/>
    </row>
    <row r="179" spans="2:25" ht="37.5">
      <c r="B179" s="232">
        <v>146</v>
      </c>
      <c r="C179" s="201" t="s">
        <v>336</v>
      </c>
      <c r="D179" s="202" t="s">
        <v>344</v>
      </c>
      <c r="E179" s="208" t="s">
        <v>345</v>
      </c>
      <c r="F179" s="373" t="s">
        <v>684</v>
      </c>
      <c r="G179" s="377"/>
      <c r="H179" s="374"/>
      <c r="I179" s="241"/>
      <c r="J179" s="218"/>
      <c r="K179" s="218"/>
      <c r="L179" s="216"/>
      <c r="M179" s="221"/>
      <c r="N179" s="241"/>
      <c r="O179" s="218"/>
      <c r="P179" s="218"/>
      <c r="Q179" s="156"/>
      <c r="R179" s="791" t="s">
        <v>616</v>
      </c>
      <c r="S179" s="792"/>
      <c r="T179" s="792"/>
      <c r="U179" s="792"/>
      <c r="V179" s="793"/>
      <c r="W179" s="791"/>
      <c r="X179" s="793"/>
      <c r="Y179" s="8"/>
    </row>
    <row r="180" spans="2:25" ht="56.25">
      <c r="B180" s="232">
        <v>147</v>
      </c>
      <c r="C180" s="201" t="s">
        <v>336</v>
      </c>
      <c r="D180" s="202" t="s">
        <v>346</v>
      </c>
      <c r="E180" s="208" t="s">
        <v>430</v>
      </c>
      <c r="F180" s="373" t="s">
        <v>684</v>
      </c>
      <c r="G180" s="377"/>
      <c r="H180" s="374"/>
      <c r="I180" s="241"/>
      <c r="J180" s="218"/>
      <c r="K180" s="218"/>
      <c r="L180" s="216"/>
      <c r="M180" s="221"/>
      <c r="N180" s="241"/>
      <c r="O180" s="218"/>
      <c r="P180" s="218"/>
      <c r="Q180" s="156"/>
      <c r="R180" s="791" t="s">
        <v>616</v>
      </c>
      <c r="S180" s="792"/>
      <c r="T180" s="792"/>
      <c r="U180" s="792"/>
      <c r="V180" s="793"/>
      <c r="W180" s="791"/>
      <c r="X180" s="793"/>
      <c r="Y180" s="8"/>
    </row>
    <row r="181" spans="2:25" ht="56.25">
      <c r="B181" s="232">
        <v>148</v>
      </c>
      <c r="C181" s="201" t="s">
        <v>336</v>
      </c>
      <c r="D181" s="202" t="s">
        <v>347</v>
      </c>
      <c r="E181" s="208" t="s">
        <v>431</v>
      </c>
      <c r="F181" s="373" t="s">
        <v>684</v>
      </c>
      <c r="G181" s="377"/>
      <c r="H181" s="374"/>
      <c r="I181" s="241"/>
      <c r="J181" s="218"/>
      <c r="K181" s="218"/>
      <c r="L181" s="216"/>
      <c r="M181" s="221"/>
      <c r="N181" s="241"/>
      <c r="O181" s="218"/>
      <c r="P181" s="218"/>
      <c r="Q181" s="156"/>
      <c r="R181" s="791" t="s">
        <v>616</v>
      </c>
      <c r="S181" s="792"/>
      <c r="T181" s="792"/>
      <c r="U181" s="792"/>
      <c r="V181" s="793"/>
      <c r="W181" s="791"/>
      <c r="X181" s="793"/>
      <c r="Y181" s="8"/>
    </row>
    <row r="182" spans="2:25" ht="37.5">
      <c r="B182" s="232">
        <v>149</v>
      </c>
      <c r="C182" s="201" t="s">
        <v>336</v>
      </c>
      <c r="D182" s="202" t="s">
        <v>348</v>
      </c>
      <c r="E182" s="208" t="s">
        <v>349</v>
      </c>
      <c r="F182" s="373" t="s">
        <v>684</v>
      </c>
      <c r="G182" s="377"/>
      <c r="H182" s="374"/>
      <c r="I182" s="241"/>
      <c r="J182" s="218"/>
      <c r="K182" s="218"/>
      <c r="L182" s="216"/>
      <c r="M182" s="221"/>
      <c r="N182" s="241"/>
      <c r="O182" s="218"/>
      <c r="P182" s="218"/>
      <c r="Q182" s="156"/>
      <c r="R182" s="791" t="s">
        <v>616</v>
      </c>
      <c r="S182" s="792"/>
      <c r="T182" s="792"/>
      <c r="U182" s="792"/>
      <c r="V182" s="793"/>
      <c r="W182" s="791"/>
      <c r="X182" s="793"/>
      <c r="Y182" s="8"/>
    </row>
    <row r="183" spans="2:25" ht="56.25">
      <c r="B183" s="232">
        <v>150</v>
      </c>
      <c r="C183" s="201" t="s">
        <v>351</v>
      </c>
      <c r="D183" s="202" t="s">
        <v>350</v>
      </c>
      <c r="E183" s="208" t="s">
        <v>432</v>
      </c>
      <c r="F183" s="373" t="s">
        <v>684</v>
      </c>
      <c r="G183" s="377"/>
      <c r="H183" s="374"/>
      <c r="I183" s="241"/>
      <c r="J183" s="218"/>
      <c r="K183" s="218"/>
      <c r="L183" s="216"/>
      <c r="M183" s="221"/>
      <c r="N183" s="241"/>
      <c r="O183" s="218"/>
      <c r="P183" s="218"/>
      <c r="Q183" s="156"/>
      <c r="R183" s="791" t="s">
        <v>616</v>
      </c>
      <c r="S183" s="792"/>
      <c r="T183" s="792"/>
      <c r="U183" s="792"/>
      <c r="V183" s="793"/>
      <c r="W183" s="791"/>
      <c r="X183" s="793"/>
      <c r="Y183" s="8"/>
    </row>
    <row r="184" spans="2:25" ht="37.5">
      <c r="B184" s="232">
        <v>151</v>
      </c>
      <c r="C184" s="201" t="s">
        <v>351</v>
      </c>
      <c r="D184" s="202" t="s">
        <v>352</v>
      </c>
      <c r="E184" s="208" t="s">
        <v>353</v>
      </c>
      <c r="F184" s="373" t="s">
        <v>684</v>
      </c>
      <c r="G184" s="377"/>
      <c r="H184" s="374"/>
      <c r="I184" s="241"/>
      <c r="J184" s="218"/>
      <c r="K184" s="218"/>
      <c r="L184" s="216"/>
      <c r="M184" s="221"/>
      <c r="N184" s="241"/>
      <c r="O184" s="218"/>
      <c r="P184" s="218"/>
      <c r="Q184" s="156"/>
      <c r="R184" s="791" t="s">
        <v>616</v>
      </c>
      <c r="S184" s="792"/>
      <c r="T184" s="792"/>
      <c r="U184" s="792"/>
      <c r="V184" s="793"/>
      <c r="W184" s="791"/>
      <c r="X184" s="793"/>
      <c r="Y184" s="8"/>
    </row>
    <row r="185" spans="2:25" ht="37.5">
      <c r="B185" s="232">
        <v>152</v>
      </c>
      <c r="C185" s="201" t="s">
        <v>351</v>
      </c>
      <c r="D185" s="202" t="s">
        <v>354</v>
      </c>
      <c r="E185" s="208" t="s">
        <v>355</v>
      </c>
      <c r="F185" s="373" t="s">
        <v>684</v>
      </c>
      <c r="G185" s="377"/>
      <c r="H185" s="374"/>
      <c r="I185" s="241"/>
      <c r="J185" s="218"/>
      <c r="K185" s="218"/>
      <c r="L185" s="216"/>
      <c r="M185" s="221"/>
      <c r="N185" s="241"/>
      <c r="O185" s="218"/>
      <c r="P185" s="218"/>
      <c r="Q185" s="156"/>
      <c r="R185" s="791" t="s">
        <v>616</v>
      </c>
      <c r="S185" s="792"/>
      <c r="T185" s="792"/>
      <c r="U185" s="792"/>
      <c r="V185" s="793"/>
      <c r="W185" s="791"/>
      <c r="X185" s="793"/>
      <c r="Y185" s="8"/>
    </row>
    <row r="186" spans="2:25" ht="37.5">
      <c r="B186" s="232">
        <v>153</v>
      </c>
      <c r="C186" s="201" t="s">
        <v>351</v>
      </c>
      <c r="D186" s="202" t="s">
        <v>356</v>
      </c>
      <c r="E186" s="208" t="s">
        <v>357</v>
      </c>
      <c r="F186" s="373" t="s">
        <v>684</v>
      </c>
      <c r="G186" s="377"/>
      <c r="H186" s="374"/>
      <c r="I186" s="241"/>
      <c r="J186" s="218"/>
      <c r="K186" s="218"/>
      <c r="L186" s="216"/>
      <c r="M186" s="221"/>
      <c r="N186" s="241"/>
      <c r="O186" s="218"/>
      <c r="P186" s="218"/>
      <c r="Q186" s="156"/>
      <c r="R186" s="791" t="s">
        <v>616</v>
      </c>
      <c r="S186" s="792"/>
      <c r="T186" s="792"/>
      <c r="U186" s="792"/>
      <c r="V186" s="793"/>
      <c r="W186" s="791"/>
      <c r="X186" s="793"/>
      <c r="Y186" s="8"/>
    </row>
    <row r="187" spans="2:25" ht="37.5">
      <c r="B187" s="232">
        <v>154</v>
      </c>
      <c r="C187" s="201" t="s">
        <v>351</v>
      </c>
      <c r="D187" s="202" t="s">
        <v>358</v>
      </c>
      <c r="E187" s="208" t="s">
        <v>359</v>
      </c>
      <c r="F187" s="373" t="s">
        <v>684</v>
      </c>
      <c r="G187" s="377"/>
      <c r="H187" s="374"/>
      <c r="I187" s="241"/>
      <c r="J187" s="218"/>
      <c r="K187" s="218"/>
      <c r="L187" s="216"/>
      <c r="M187" s="221"/>
      <c r="N187" s="241"/>
      <c r="O187" s="218"/>
      <c r="P187" s="218"/>
      <c r="Q187" s="156"/>
      <c r="R187" s="791" t="s">
        <v>616</v>
      </c>
      <c r="S187" s="792"/>
      <c r="T187" s="792"/>
      <c r="U187" s="792"/>
      <c r="V187" s="793"/>
      <c r="W187" s="791"/>
      <c r="X187" s="793"/>
      <c r="Y187" s="8"/>
    </row>
    <row r="188" spans="2:25" ht="37.5">
      <c r="B188" s="232">
        <v>155</v>
      </c>
      <c r="C188" s="201" t="s">
        <v>351</v>
      </c>
      <c r="D188" s="202" t="s">
        <v>360</v>
      </c>
      <c r="E188" s="208" t="s">
        <v>450</v>
      </c>
      <c r="F188" s="373" t="s">
        <v>684</v>
      </c>
      <c r="G188" s="377"/>
      <c r="H188" s="374"/>
      <c r="I188" s="241"/>
      <c r="J188" s="218"/>
      <c r="K188" s="218"/>
      <c r="L188" s="216"/>
      <c r="M188" s="221"/>
      <c r="N188" s="241"/>
      <c r="O188" s="218"/>
      <c r="P188" s="218"/>
      <c r="Q188" s="156"/>
      <c r="R188" s="791" t="s">
        <v>616</v>
      </c>
      <c r="S188" s="792"/>
      <c r="T188" s="792"/>
      <c r="U188" s="792"/>
      <c r="V188" s="793"/>
      <c r="W188" s="791"/>
      <c r="X188" s="793"/>
      <c r="Y188" s="8"/>
    </row>
    <row r="189" spans="2:25" ht="37.5">
      <c r="B189" s="232">
        <v>156</v>
      </c>
      <c r="C189" s="201" t="s">
        <v>351</v>
      </c>
      <c r="D189" s="202" t="s">
        <v>361</v>
      </c>
      <c r="E189" s="208" t="s">
        <v>433</v>
      </c>
      <c r="F189" s="373" t="s">
        <v>684</v>
      </c>
      <c r="G189" s="377"/>
      <c r="H189" s="374"/>
      <c r="I189" s="241"/>
      <c r="J189" s="218"/>
      <c r="K189" s="218"/>
      <c r="L189" s="216"/>
      <c r="M189" s="221"/>
      <c r="N189" s="241"/>
      <c r="O189" s="218"/>
      <c r="P189" s="218"/>
      <c r="Q189" s="156"/>
      <c r="R189" s="791" t="s">
        <v>616</v>
      </c>
      <c r="S189" s="792"/>
      <c r="T189" s="792"/>
      <c r="U189" s="792"/>
      <c r="V189" s="793"/>
      <c r="W189" s="791"/>
      <c r="X189" s="793"/>
      <c r="Y189" s="8"/>
    </row>
    <row r="190" spans="2:25" ht="37.5">
      <c r="B190" s="232">
        <v>157</v>
      </c>
      <c r="C190" s="201" t="s">
        <v>351</v>
      </c>
      <c r="D190" s="202" t="s">
        <v>362</v>
      </c>
      <c r="E190" s="208" t="s">
        <v>434</v>
      </c>
      <c r="F190" s="373" t="s">
        <v>684</v>
      </c>
      <c r="G190" s="377"/>
      <c r="H190" s="374"/>
      <c r="I190" s="241"/>
      <c r="J190" s="218"/>
      <c r="K190" s="218"/>
      <c r="L190" s="216"/>
      <c r="M190" s="221"/>
      <c r="N190" s="241"/>
      <c r="O190" s="218"/>
      <c r="P190" s="218"/>
      <c r="Q190" s="156"/>
      <c r="R190" s="791" t="s">
        <v>616</v>
      </c>
      <c r="S190" s="792"/>
      <c r="T190" s="792"/>
      <c r="U190" s="792"/>
      <c r="V190" s="793"/>
      <c r="W190" s="791"/>
      <c r="X190" s="793"/>
      <c r="Y190" s="8"/>
    </row>
    <row r="191" spans="2:25" ht="37.5">
      <c r="B191" s="232">
        <v>158</v>
      </c>
      <c r="C191" s="203" t="s">
        <v>364</v>
      </c>
      <c r="D191" s="204" t="s">
        <v>363</v>
      </c>
      <c r="E191" s="209" t="s">
        <v>313</v>
      </c>
      <c r="F191" s="372"/>
      <c r="G191" s="378"/>
      <c r="H191" s="375"/>
      <c r="I191" s="242"/>
      <c r="J191" s="219"/>
      <c r="K191" s="219"/>
      <c r="L191" s="216"/>
      <c r="M191" s="222"/>
      <c r="N191" s="242"/>
      <c r="O191" s="219"/>
      <c r="P191" s="219"/>
      <c r="Q191" s="156"/>
      <c r="R191" s="794"/>
      <c r="S191" s="795"/>
      <c r="T191" s="795"/>
      <c r="U191" s="795"/>
      <c r="V191" s="796"/>
      <c r="W191" s="794"/>
      <c r="X191" s="796"/>
      <c r="Y191" s="8"/>
    </row>
    <row r="192" spans="2:25" ht="37.5">
      <c r="B192" s="232">
        <v>159</v>
      </c>
      <c r="C192" s="203" t="s">
        <v>366</v>
      </c>
      <c r="D192" s="204" t="s">
        <v>365</v>
      </c>
      <c r="E192" s="209" t="s">
        <v>313</v>
      </c>
      <c r="F192" s="372"/>
      <c r="G192" s="378"/>
      <c r="H192" s="375"/>
      <c r="I192" s="242"/>
      <c r="J192" s="219"/>
      <c r="K192" s="219"/>
      <c r="L192" s="216"/>
      <c r="M192" s="222"/>
      <c r="N192" s="242"/>
      <c r="O192" s="219"/>
      <c r="P192" s="219"/>
      <c r="Q192" s="156"/>
      <c r="R192" s="794"/>
      <c r="S192" s="795"/>
      <c r="T192" s="795"/>
      <c r="U192" s="795"/>
      <c r="V192" s="796"/>
      <c r="W192" s="794"/>
      <c r="X192" s="796"/>
      <c r="Y192" s="8"/>
    </row>
    <row r="193" spans="1:25" ht="37.5">
      <c r="B193" s="232">
        <v>160</v>
      </c>
      <c r="C193" s="201" t="s">
        <v>368</v>
      </c>
      <c r="D193" s="202" t="s">
        <v>367</v>
      </c>
      <c r="E193" s="208" t="s">
        <v>369</v>
      </c>
      <c r="F193" s="373" t="s">
        <v>684</v>
      </c>
      <c r="G193" s="377"/>
      <c r="H193" s="374"/>
      <c r="I193" s="241"/>
      <c r="J193" s="218"/>
      <c r="K193" s="218"/>
      <c r="L193" s="216"/>
      <c r="M193" s="221"/>
      <c r="N193" s="241"/>
      <c r="O193" s="218"/>
      <c r="P193" s="218"/>
      <c r="Q193" s="156"/>
      <c r="R193" s="791" t="s">
        <v>616</v>
      </c>
      <c r="S193" s="792"/>
      <c r="T193" s="792"/>
      <c r="U193" s="792"/>
      <c r="V193" s="793"/>
      <c r="W193" s="791"/>
      <c r="X193" s="793"/>
      <c r="Y193" s="8"/>
    </row>
    <row r="194" spans="1:25" ht="37.5">
      <c r="B194" s="232">
        <v>161</v>
      </c>
      <c r="C194" s="201" t="s">
        <v>368</v>
      </c>
      <c r="D194" s="202" t="s">
        <v>370</v>
      </c>
      <c r="E194" s="208" t="s">
        <v>371</v>
      </c>
      <c r="F194" s="373" t="s">
        <v>684</v>
      </c>
      <c r="G194" s="377"/>
      <c r="H194" s="374"/>
      <c r="I194" s="241"/>
      <c r="J194" s="218"/>
      <c r="K194" s="218"/>
      <c r="L194" s="216"/>
      <c r="M194" s="221"/>
      <c r="N194" s="241"/>
      <c r="O194" s="218"/>
      <c r="P194" s="218"/>
      <c r="Q194" s="156"/>
      <c r="R194" s="791" t="s">
        <v>616</v>
      </c>
      <c r="S194" s="792"/>
      <c r="T194" s="792"/>
      <c r="U194" s="792"/>
      <c r="V194" s="793"/>
      <c r="W194" s="791"/>
      <c r="X194" s="793"/>
      <c r="Y194" s="8"/>
    </row>
    <row r="195" spans="1:25" ht="44.25" customHeight="1">
      <c r="B195" s="232">
        <v>162</v>
      </c>
      <c r="C195" s="201" t="s">
        <v>368</v>
      </c>
      <c r="D195" s="202" t="s">
        <v>372</v>
      </c>
      <c r="E195" s="208" t="s">
        <v>435</v>
      </c>
      <c r="F195" s="373" t="s">
        <v>684</v>
      </c>
      <c r="G195" s="377"/>
      <c r="H195" s="374"/>
      <c r="I195" s="241"/>
      <c r="J195" s="218"/>
      <c r="K195" s="218"/>
      <c r="L195" s="216"/>
      <c r="M195" s="221"/>
      <c r="N195" s="241"/>
      <c r="O195" s="218"/>
      <c r="P195" s="218"/>
      <c r="Q195" s="156"/>
      <c r="R195" s="791" t="s">
        <v>616</v>
      </c>
      <c r="S195" s="792"/>
      <c r="T195" s="792"/>
      <c r="U195" s="792"/>
      <c r="V195" s="793"/>
      <c r="W195" s="791"/>
      <c r="X195" s="793"/>
      <c r="Y195" s="8"/>
    </row>
    <row r="196" spans="1:25" ht="189" customHeight="1">
      <c r="B196" s="232">
        <v>163</v>
      </c>
      <c r="C196" s="201" t="s">
        <v>439</v>
      </c>
      <c r="D196" s="202" t="s">
        <v>493</v>
      </c>
      <c r="E196" s="208" t="s">
        <v>451</v>
      </c>
      <c r="F196" s="371" t="s">
        <v>577</v>
      </c>
      <c r="G196" s="377"/>
      <c r="H196" s="374"/>
      <c r="I196" s="241"/>
      <c r="J196" s="218"/>
      <c r="K196" s="218">
        <v>7.0000000000000001E-3</v>
      </c>
      <c r="L196" s="216"/>
      <c r="M196" s="221"/>
      <c r="N196" s="241"/>
      <c r="O196" s="218"/>
      <c r="P196" s="218">
        <v>7.0000000000000001E-3</v>
      </c>
      <c r="Q196" s="156"/>
      <c r="R196" s="791" t="s">
        <v>777</v>
      </c>
      <c r="S196" s="792"/>
      <c r="T196" s="792"/>
      <c r="U196" s="792"/>
      <c r="V196" s="793"/>
      <c r="W196" s="797" t="s">
        <v>114</v>
      </c>
      <c r="X196" s="793"/>
      <c r="Y196" s="8"/>
    </row>
    <row r="197" spans="1:25" ht="168" customHeight="1">
      <c r="B197" s="232">
        <v>164</v>
      </c>
      <c r="C197" s="201" t="s">
        <v>439</v>
      </c>
      <c r="D197" s="202" t="s">
        <v>493</v>
      </c>
      <c r="E197" s="208" t="s">
        <v>452</v>
      </c>
      <c r="F197" s="371" t="s">
        <v>577</v>
      </c>
      <c r="G197" s="377"/>
      <c r="H197" s="376">
        <v>0.5</v>
      </c>
      <c r="I197" s="241"/>
      <c r="J197" s="218"/>
      <c r="K197" s="218">
        <v>1.0999999999999999E-2</v>
      </c>
      <c r="L197" s="216"/>
      <c r="M197" s="227">
        <v>0.5</v>
      </c>
      <c r="N197" s="241"/>
      <c r="O197" s="218"/>
      <c r="P197" s="218">
        <v>1.0999999999999999E-2</v>
      </c>
      <c r="Q197" s="156"/>
      <c r="R197" s="791" t="s">
        <v>587</v>
      </c>
      <c r="S197" s="792"/>
      <c r="T197" s="792"/>
      <c r="U197" s="792"/>
      <c r="V197" s="793"/>
      <c r="W197" s="797" t="s">
        <v>114</v>
      </c>
      <c r="X197" s="793"/>
      <c r="Y197" s="8"/>
    </row>
    <row r="198" spans="1:25" ht="167.25" customHeight="1">
      <c r="B198" s="232">
        <v>165</v>
      </c>
      <c r="C198" s="201" t="s">
        <v>439</v>
      </c>
      <c r="D198" s="202" t="s">
        <v>493</v>
      </c>
      <c r="E198" s="208" t="s">
        <v>453</v>
      </c>
      <c r="F198" s="371" t="s">
        <v>577</v>
      </c>
      <c r="G198" s="377"/>
      <c r="H198" s="376">
        <v>0.8</v>
      </c>
      <c r="I198" s="241"/>
      <c r="J198" s="218"/>
      <c r="K198" s="218">
        <v>3.5000000000000003E-2</v>
      </c>
      <c r="L198" s="216"/>
      <c r="M198" s="227">
        <v>0.8</v>
      </c>
      <c r="N198" s="241"/>
      <c r="O198" s="218"/>
      <c r="P198" s="218">
        <v>3.3000000000000002E-2</v>
      </c>
      <c r="Q198" s="156"/>
      <c r="R198" s="791" t="s">
        <v>588</v>
      </c>
      <c r="S198" s="792"/>
      <c r="T198" s="792"/>
      <c r="U198" s="792"/>
      <c r="V198" s="793"/>
      <c r="W198" s="797" t="s">
        <v>115</v>
      </c>
      <c r="X198" s="793"/>
      <c r="Y198" s="8"/>
    </row>
    <row r="199" spans="1:25" ht="159" customHeight="1">
      <c r="B199" s="232">
        <v>166</v>
      </c>
      <c r="C199" s="201" t="s">
        <v>439</v>
      </c>
      <c r="D199" s="202" t="s">
        <v>493</v>
      </c>
      <c r="E199" s="208" t="s">
        <v>454</v>
      </c>
      <c r="F199" s="371" t="s">
        <v>577</v>
      </c>
      <c r="G199" s="377"/>
      <c r="H199" s="374"/>
      <c r="I199" s="241"/>
      <c r="J199" s="218"/>
      <c r="K199" s="218">
        <v>4.3999999999999997E-2</v>
      </c>
      <c r="L199" s="216"/>
      <c r="M199" s="221"/>
      <c r="N199" s="241"/>
      <c r="O199" s="218"/>
      <c r="P199" s="218">
        <v>4.4999999999999998E-2</v>
      </c>
      <c r="Q199" s="156"/>
      <c r="R199" s="791" t="s">
        <v>778</v>
      </c>
      <c r="S199" s="792"/>
      <c r="T199" s="792"/>
      <c r="U199" s="792"/>
      <c r="V199" s="793"/>
      <c r="W199" s="797" t="s">
        <v>115</v>
      </c>
      <c r="X199" s="793"/>
      <c r="Y199" s="8"/>
    </row>
    <row r="200" spans="1:25" ht="154.5" customHeight="1">
      <c r="B200" s="232">
        <v>167</v>
      </c>
      <c r="C200" s="201" t="s">
        <v>581</v>
      </c>
      <c r="D200" s="202" t="s">
        <v>493</v>
      </c>
      <c r="E200" s="208" t="s">
        <v>455</v>
      </c>
      <c r="F200" s="371" t="s">
        <v>577</v>
      </c>
      <c r="G200" s="377"/>
      <c r="H200" s="374">
        <v>10</v>
      </c>
      <c r="I200" s="241"/>
      <c r="J200" s="218"/>
      <c r="K200" s="223">
        <v>0.03</v>
      </c>
      <c r="L200" s="216"/>
      <c r="M200" s="221">
        <v>13</v>
      </c>
      <c r="N200" s="241"/>
      <c r="O200" s="218"/>
      <c r="P200" s="223">
        <v>0.03</v>
      </c>
      <c r="Q200" s="156"/>
      <c r="R200" s="791" t="s">
        <v>817</v>
      </c>
      <c r="S200" s="792"/>
      <c r="T200" s="792"/>
      <c r="U200" s="792"/>
      <c r="V200" s="793"/>
      <c r="W200" s="791" t="s">
        <v>122</v>
      </c>
      <c r="X200" s="793"/>
      <c r="Y200" s="8"/>
    </row>
    <row r="201" spans="1:25" ht="142.5" customHeight="1">
      <c r="B201" s="232">
        <v>168</v>
      </c>
      <c r="C201" s="201" t="s">
        <v>581</v>
      </c>
      <c r="D201" s="202" t="s">
        <v>493</v>
      </c>
      <c r="E201" s="208" t="s">
        <v>456</v>
      </c>
      <c r="F201" s="371" t="s">
        <v>577</v>
      </c>
      <c r="G201" s="377"/>
      <c r="H201" s="374">
        <v>37</v>
      </c>
      <c r="I201" s="241"/>
      <c r="J201" s="218"/>
      <c r="K201" s="223">
        <v>7.0000000000000007E-2</v>
      </c>
      <c r="L201" s="216"/>
      <c r="M201" s="221">
        <v>48</v>
      </c>
      <c r="N201" s="241"/>
      <c r="O201" s="218"/>
      <c r="P201" s="223">
        <v>7.0000000000000007E-2</v>
      </c>
      <c r="Q201" s="156"/>
      <c r="R201" s="791" t="s">
        <v>829</v>
      </c>
      <c r="S201" s="792"/>
      <c r="T201" s="792"/>
      <c r="U201" s="792"/>
      <c r="V201" s="793"/>
      <c r="W201" s="791" t="s">
        <v>818</v>
      </c>
      <c r="X201" s="793"/>
      <c r="Y201" s="8"/>
    </row>
    <row r="202" spans="1:25" ht="89.25" customHeight="1">
      <c r="B202" s="232">
        <v>169</v>
      </c>
      <c r="C202" s="201" t="s">
        <v>581</v>
      </c>
      <c r="D202" s="202" t="s">
        <v>493</v>
      </c>
      <c r="E202" s="208" t="s">
        <v>582</v>
      </c>
      <c r="F202" s="370" t="s">
        <v>545</v>
      </c>
      <c r="G202" s="377"/>
      <c r="H202" s="374"/>
      <c r="I202" s="241">
        <v>1000</v>
      </c>
      <c r="J202" s="218"/>
      <c r="K202" s="223">
        <v>0.03</v>
      </c>
      <c r="L202" s="217"/>
      <c r="M202" s="221"/>
      <c r="N202" s="241">
        <v>1000</v>
      </c>
      <c r="O202" s="218"/>
      <c r="P202" s="223">
        <v>0.03</v>
      </c>
      <c r="Q202" s="156"/>
      <c r="R202" s="791" t="s">
        <v>583</v>
      </c>
      <c r="S202" s="792"/>
      <c r="T202" s="792"/>
      <c r="U202" s="792"/>
      <c r="V202" s="793"/>
      <c r="W202" s="791" t="s">
        <v>112</v>
      </c>
      <c r="X202" s="793"/>
      <c r="Y202" s="8"/>
    </row>
    <row r="203" spans="1:25" ht="89.25" customHeight="1">
      <c r="B203" s="232">
        <v>170</v>
      </c>
      <c r="C203" s="205" t="s">
        <v>591</v>
      </c>
      <c r="D203" s="206" t="s">
        <v>493</v>
      </c>
      <c r="E203" s="233" t="s">
        <v>592</v>
      </c>
      <c r="F203" s="371" t="s">
        <v>577</v>
      </c>
      <c r="G203" s="377"/>
      <c r="H203" s="374"/>
      <c r="I203" s="241">
        <v>370</v>
      </c>
      <c r="J203" s="218"/>
      <c r="K203" s="218">
        <v>6.0000000000000001E-3</v>
      </c>
      <c r="L203" s="217"/>
      <c r="M203" s="221"/>
      <c r="N203" s="241">
        <v>1110</v>
      </c>
      <c r="O203" s="218"/>
      <c r="P203" s="218">
        <v>6.0000000000000001E-3</v>
      </c>
      <c r="Q203" s="156"/>
      <c r="R203" s="791" t="s">
        <v>830</v>
      </c>
      <c r="S203" s="792"/>
      <c r="T203" s="792"/>
      <c r="U203" s="792"/>
      <c r="V203" s="793"/>
      <c r="W203" s="791" t="s">
        <v>112</v>
      </c>
      <c r="X203" s="793"/>
      <c r="Y203" s="8"/>
    </row>
    <row r="204" spans="1:25" ht="120.75" customHeight="1">
      <c r="B204" s="232">
        <v>171</v>
      </c>
      <c r="C204" s="234" t="s">
        <v>591</v>
      </c>
      <c r="D204" s="235" t="s">
        <v>493</v>
      </c>
      <c r="E204" s="236" t="s">
        <v>593</v>
      </c>
      <c r="F204" s="371" t="s">
        <v>577</v>
      </c>
      <c r="G204" s="379"/>
      <c r="H204" s="374"/>
      <c r="I204" s="241">
        <v>26</v>
      </c>
      <c r="J204" s="218"/>
      <c r="K204" s="218">
        <v>5.0000000000000001E-3</v>
      </c>
      <c r="L204" s="217"/>
      <c r="M204" s="221"/>
      <c r="N204" s="241">
        <v>78</v>
      </c>
      <c r="O204" s="218"/>
      <c r="P204" s="218">
        <v>6.0000000000000001E-3</v>
      </c>
      <c r="Q204" s="156"/>
      <c r="R204" s="791" t="s">
        <v>796</v>
      </c>
      <c r="S204" s="792"/>
      <c r="T204" s="792"/>
      <c r="U204" s="792"/>
      <c r="V204" s="793"/>
      <c r="W204" s="791" t="s">
        <v>117</v>
      </c>
      <c r="X204" s="793"/>
      <c r="Y204" s="8"/>
    </row>
    <row r="205" spans="1:25" ht="15.75" customHeight="1">
      <c r="B205" s="231"/>
      <c r="C205" s="87"/>
      <c r="D205" s="87"/>
      <c r="E205" s="87"/>
      <c r="F205" s="87"/>
      <c r="G205" s="87"/>
      <c r="H205" s="191"/>
      <c r="I205" s="192"/>
      <c r="J205" s="193"/>
      <c r="K205" s="193"/>
      <c r="L205" s="194"/>
      <c r="M205" s="191"/>
      <c r="N205" s="192"/>
      <c r="O205" s="193"/>
      <c r="P205" s="195"/>
      <c r="Q205" s="196"/>
      <c r="R205" s="196"/>
      <c r="S205" s="196"/>
      <c r="T205" s="196"/>
      <c r="U205" s="196"/>
      <c r="V205" s="196"/>
      <c r="W205" s="196"/>
      <c r="X205" s="196"/>
      <c r="Y205" s="8"/>
    </row>
    <row r="206" spans="1:25" ht="15.75" customHeight="1">
      <c r="A206" s="240"/>
      <c r="B206" s="231"/>
      <c r="C206" s="87"/>
      <c r="D206" s="87"/>
      <c r="E206" s="87"/>
      <c r="F206" s="87"/>
      <c r="G206" s="87"/>
      <c r="H206" s="191"/>
      <c r="I206" s="192"/>
      <c r="J206" s="193"/>
      <c r="K206" s="193"/>
      <c r="L206" s="194"/>
      <c r="M206" s="191"/>
      <c r="N206" s="192"/>
      <c r="O206" s="193"/>
      <c r="P206" s="195"/>
      <c r="Q206" s="196"/>
      <c r="R206" s="196"/>
      <c r="S206" s="196"/>
      <c r="T206" s="196"/>
      <c r="U206" s="196"/>
      <c r="V206" s="196"/>
      <c r="W206" s="196"/>
      <c r="X206" s="196"/>
      <c r="Y206" s="8"/>
    </row>
    <row r="207" spans="1:25" ht="15.75" customHeight="1">
      <c r="A207" s="240"/>
      <c r="B207" s="231"/>
      <c r="C207" s="87"/>
      <c r="D207" s="87"/>
      <c r="E207" s="87"/>
      <c r="F207" s="87"/>
      <c r="G207" s="87"/>
      <c r="H207" s="191"/>
      <c r="I207" s="192"/>
      <c r="J207" s="193"/>
      <c r="K207" s="193"/>
      <c r="L207" s="194"/>
      <c r="M207" s="191"/>
      <c r="N207" s="192"/>
      <c r="O207" s="193"/>
      <c r="P207" s="195"/>
      <c r="Q207" s="196"/>
      <c r="R207" s="196"/>
      <c r="S207" s="196"/>
      <c r="T207" s="196"/>
      <c r="U207" s="196"/>
      <c r="V207" s="196"/>
      <c r="W207" s="196"/>
      <c r="X207" s="196"/>
      <c r="Y207" s="8"/>
    </row>
    <row r="208" spans="1:25" ht="15.75" customHeight="1">
      <c r="A208" s="240"/>
      <c r="B208" s="231"/>
      <c r="C208" s="87"/>
      <c r="D208" s="87"/>
      <c r="E208" s="87"/>
      <c r="F208" s="87"/>
      <c r="G208" s="87"/>
      <c r="H208" s="191"/>
      <c r="I208" s="192"/>
      <c r="J208" s="193"/>
      <c r="K208" s="193"/>
      <c r="L208" s="194"/>
      <c r="M208" s="191"/>
      <c r="N208" s="192"/>
      <c r="O208" s="193"/>
      <c r="P208" s="195"/>
      <c r="Q208" s="196"/>
      <c r="R208" s="196"/>
      <c r="S208" s="196"/>
      <c r="T208" s="196"/>
      <c r="U208" s="196"/>
      <c r="V208" s="196"/>
      <c r="W208" s="196"/>
      <c r="X208" s="196"/>
      <c r="Y208" s="8"/>
    </row>
    <row r="209" spans="1:25" ht="15.75" customHeight="1">
      <c r="A209" s="240"/>
      <c r="B209" s="231"/>
      <c r="C209" s="87"/>
      <c r="D209" s="87"/>
      <c r="E209" s="87"/>
      <c r="F209" s="87"/>
      <c r="G209" s="87"/>
      <c r="H209" s="191"/>
      <c r="I209" s="192"/>
      <c r="J209" s="193"/>
      <c r="K209" s="193"/>
      <c r="L209" s="194"/>
      <c r="M209" s="191"/>
      <c r="N209" s="192"/>
      <c r="O209" s="193"/>
      <c r="P209" s="195"/>
      <c r="Q209" s="196"/>
      <c r="R209" s="196"/>
      <c r="S209" s="196"/>
      <c r="T209" s="196"/>
      <c r="U209" s="196"/>
      <c r="V209" s="196"/>
      <c r="W209" s="196"/>
      <c r="X209" s="196"/>
      <c r="Y209" s="8"/>
    </row>
    <row r="210" spans="1:25" ht="15.75" customHeight="1">
      <c r="A210" s="240"/>
      <c r="B210" s="231"/>
      <c r="C210" s="87"/>
      <c r="D210" s="87"/>
      <c r="E210" s="87"/>
      <c r="F210" s="87"/>
      <c r="G210" s="87"/>
      <c r="H210" s="191"/>
      <c r="I210" s="192"/>
      <c r="J210" s="193"/>
      <c r="K210" s="193"/>
      <c r="L210" s="194"/>
      <c r="M210" s="191"/>
      <c r="N210" s="192"/>
      <c r="O210" s="193"/>
      <c r="P210" s="195"/>
      <c r="Q210" s="196"/>
      <c r="R210" s="196"/>
      <c r="S210" s="196"/>
      <c r="T210" s="196"/>
      <c r="U210" s="196"/>
      <c r="V210" s="196"/>
      <c r="W210" s="196"/>
      <c r="X210" s="196"/>
      <c r="Y210" s="8"/>
    </row>
    <row r="211" spans="1:25" ht="15.75" customHeight="1">
      <c r="A211" s="240"/>
      <c r="B211" s="231"/>
      <c r="C211" s="87"/>
      <c r="D211" s="87"/>
      <c r="E211" s="87"/>
      <c r="F211" s="87"/>
      <c r="G211" s="87"/>
      <c r="H211" s="191"/>
      <c r="I211" s="192"/>
      <c r="J211" s="193"/>
      <c r="K211" s="193"/>
      <c r="L211" s="194"/>
      <c r="M211" s="191"/>
      <c r="N211" s="192"/>
      <c r="O211" s="193"/>
      <c r="P211" s="195"/>
      <c r="Q211" s="196"/>
      <c r="R211" s="196"/>
      <c r="S211" s="196"/>
      <c r="T211" s="196"/>
      <c r="U211" s="196"/>
      <c r="V211" s="196"/>
      <c r="W211" s="196"/>
      <c r="X211" s="196"/>
      <c r="Y211" s="8"/>
    </row>
    <row r="212" spans="1:25" ht="15.75" customHeight="1">
      <c r="A212" s="240"/>
      <c r="B212" s="231"/>
      <c r="C212" s="87"/>
      <c r="D212" s="87"/>
      <c r="E212" s="87"/>
      <c r="F212" s="87"/>
      <c r="G212" s="87"/>
      <c r="H212" s="191"/>
      <c r="I212" s="192"/>
      <c r="J212" s="193"/>
      <c r="K212" s="193"/>
      <c r="L212" s="194"/>
      <c r="M212" s="191"/>
      <c r="N212" s="192"/>
      <c r="O212" s="193"/>
      <c r="P212" s="195"/>
      <c r="Q212" s="196"/>
      <c r="R212" s="196"/>
      <c r="S212" s="196"/>
      <c r="T212" s="196"/>
      <c r="U212" s="196"/>
      <c r="V212" s="196"/>
      <c r="W212" s="196"/>
      <c r="X212" s="196"/>
      <c r="Y212" s="8"/>
    </row>
    <row r="213" spans="1:25" ht="15.75" customHeight="1">
      <c r="A213" s="240"/>
      <c r="B213" s="231"/>
      <c r="C213" s="798" t="s">
        <v>746</v>
      </c>
      <c r="D213" s="798"/>
      <c r="E213" s="798"/>
      <c r="F213" s="798"/>
      <c r="G213" s="798"/>
      <c r="H213" s="798"/>
      <c r="I213" s="192"/>
      <c r="J213" s="193"/>
      <c r="K213" s="193"/>
      <c r="L213" s="194"/>
      <c r="M213" s="191"/>
      <c r="N213" s="192"/>
      <c r="O213" s="193"/>
      <c r="P213" s="195"/>
      <c r="Q213" s="196"/>
      <c r="R213" s="196"/>
      <c r="S213" s="196"/>
      <c r="T213" s="196"/>
      <c r="U213" s="196"/>
      <c r="V213" s="196"/>
      <c r="W213" s="196"/>
      <c r="X213" s="196"/>
      <c r="Y213" s="8"/>
    </row>
    <row r="214" spans="1:25" ht="15.75" customHeight="1">
      <c r="A214" s="240"/>
      <c r="B214" s="231"/>
      <c r="C214" s="798"/>
      <c r="D214" s="798"/>
      <c r="E214" s="798"/>
      <c r="F214" s="798"/>
      <c r="G214" s="798"/>
      <c r="H214" s="798"/>
      <c r="I214" s="192"/>
      <c r="J214" s="193"/>
      <c r="K214" s="193"/>
      <c r="L214" s="194"/>
      <c r="M214" s="191"/>
      <c r="N214" s="192"/>
      <c r="O214" s="193"/>
      <c r="P214" s="195"/>
      <c r="Q214" s="196"/>
      <c r="R214" s="196"/>
      <c r="S214" s="196"/>
      <c r="T214" s="196"/>
      <c r="U214" s="196"/>
      <c r="V214" s="196"/>
      <c r="W214" s="196"/>
      <c r="X214" s="196"/>
      <c r="Y214" s="8"/>
    </row>
    <row r="215" spans="1:25" ht="15.75" customHeight="1">
      <c r="A215" s="240"/>
      <c r="B215" s="231"/>
      <c r="C215" s="798"/>
      <c r="D215" s="798"/>
      <c r="E215" s="798"/>
      <c r="F215" s="798"/>
      <c r="G215" s="798"/>
      <c r="H215" s="798"/>
      <c r="I215" s="192"/>
      <c r="J215" s="193"/>
      <c r="K215" s="193"/>
      <c r="L215" s="194"/>
      <c r="M215" s="191"/>
      <c r="N215" s="192"/>
      <c r="O215" s="193"/>
      <c r="P215" s="195"/>
      <c r="Q215" s="196"/>
      <c r="R215" s="196"/>
      <c r="S215" s="196"/>
      <c r="T215" s="196"/>
      <c r="U215" s="196"/>
      <c r="V215" s="196"/>
      <c r="W215" s="196"/>
      <c r="X215" s="196"/>
      <c r="Y215" s="8"/>
    </row>
    <row r="216" spans="1:25" ht="15.75" customHeight="1">
      <c r="A216" s="240"/>
      <c r="B216" s="231"/>
      <c r="C216" s="798"/>
      <c r="D216" s="798"/>
      <c r="E216" s="798"/>
      <c r="F216" s="798"/>
      <c r="G216" s="798"/>
      <c r="H216" s="798"/>
      <c r="I216" s="192"/>
      <c r="J216" s="193"/>
      <c r="K216" s="193"/>
      <c r="L216" s="194"/>
      <c r="M216" s="191"/>
      <c r="N216" s="192"/>
      <c r="O216" s="193"/>
      <c r="P216" s="195"/>
      <c r="Q216" s="196"/>
      <c r="R216" s="196"/>
      <c r="S216" s="196"/>
      <c r="T216" s="196"/>
      <c r="U216" s="196"/>
      <c r="V216" s="196"/>
      <c r="W216" s="196"/>
      <c r="X216" s="196"/>
      <c r="Y216" s="8"/>
    </row>
    <row r="217" spans="1:25" ht="15.75" customHeight="1">
      <c r="A217" s="240"/>
      <c r="B217" s="231"/>
      <c r="C217" s="798"/>
      <c r="D217" s="798"/>
      <c r="E217" s="798"/>
      <c r="F217" s="798"/>
      <c r="G217" s="798"/>
      <c r="H217" s="798"/>
      <c r="I217" s="192"/>
      <c r="J217" s="193"/>
      <c r="K217" s="193"/>
      <c r="L217" s="194"/>
      <c r="M217" s="191"/>
      <c r="N217" s="192"/>
      <c r="O217" s="193"/>
      <c r="P217" s="195"/>
      <c r="Q217" s="196"/>
      <c r="R217" s="196"/>
      <c r="S217" s="196"/>
      <c r="T217" s="196"/>
      <c r="U217" s="196"/>
      <c r="V217" s="196"/>
      <c r="W217" s="196"/>
      <c r="X217" s="196"/>
      <c r="Y217" s="8"/>
    </row>
    <row r="218" spans="1:25" ht="15.75" customHeight="1">
      <c r="A218" s="240"/>
      <c r="B218" s="231"/>
      <c r="C218" s="798"/>
      <c r="D218" s="798"/>
      <c r="E218" s="798"/>
      <c r="F218" s="798"/>
      <c r="G218" s="798"/>
      <c r="H218" s="798"/>
      <c r="I218" s="192"/>
      <c r="J218" s="193"/>
      <c r="K218" s="193"/>
      <c r="L218" s="194"/>
      <c r="M218" s="191"/>
      <c r="N218" s="192"/>
      <c r="O218" s="193"/>
      <c r="P218" s="195"/>
      <c r="Q218" s="196"/>
      <c r="R218" s="196"/>
      <c r="S218" s="196"/>
      <c r="T218" s="196"/>
      <c r="U218" s="196"/>
      <c r="V218" s="196"/>
      <c r="W218" s="196"/>
      <c r="X218" s="196"/>
      <c r="Y218" s="8"/>
    </row>
    <row r="219" spans="1:25" ht="15.75" customHeight="1">
      <c r="A219" s="240"/>
      <c r="B219" s="231"/>
      <c r="C219" s="798"/>
      <c r="D219" s="798"/>
      <c r="E219" s="798"/>
      <c r="F219" s="798"/>
      <c r="G219" s="798"/>
      <c r="H219" s="798"/>
      <c r="I219" s="192"/>
      <c r="J219" s="193"/>
      <c r="K219" s="193"/>
      <c r="L219" s="194"/>
      <c r="M219" s="191"/>
      <c r="N219" s="192"/>
      <c r="O219" s="193"/>
      <c r="P219" s="195"/>
      <c r="Q219" s="196"/>
      <c r="R219" s="196"/>
      <c r="S219" s="196"/>
      <c r="T219" s="196"/>
      <c r="U219" s="196"/>
      <c r="V219" s="196"/>
      <c r="W219" s="196"/>
      <c r="X219" s="196"/>
      <c r="Y219" s="8"/>
    </row>
    <row r="220" spans="1:25" ht="15.75" customHeight="1">
      <c r="A220" s="240"/>
      <c r="B220" s="231"/>
      <c r="C220" s="798"/>
      <c r="D220" s="798"/>
      <c r="E220" s="798"/>
      <c r="F220" s="798"/>
      <c r="G220" s="798"/>
      <c r="H220" s="798"/>
      <c r="I220" s="192"/>
      <c r="J220" s="193"/>
      <c r="K220" s="193"/>
      <c r="L220" s="194"/>
      <c r="M220" s="191"/>
      <c r="N220" s="192"/>
      <c r="O220" s="193"/>
      <c r="P220" s="195"/>
      <c r="Q220" s="196"/>
      <c r="R220" s="196"/>
      <c r="S220" s="196"/>
      <c r="T220" s="196"/>
      <c r="U220" s="196"/>
      <c r="V220" s="196"/>
      <c r="W220" s="196"/>
      <c r="X220" s="196"/>
      <c r="Y220" s="8"/>
    </row>
    <row r="221" spans="1:25" ht="15.75" customHeight="1">
      <c r="A221" s="240"/>
      <c r="B221" s="231"/>
      <c r="C221" s="798"/>
      <c r="D221" s="798"/>
      <c r="E221" s="798"/>
      <c r="F221" s="798"/>
      <c r="G221" s="798"/>
      <c r="H221" s="798"/>
      <c r="I221" s="192"/>
      <c r="J221" s="193"/>
      <c r="K221" s="193"/>
      <c r="L221" s="194"/>
      <c r="M221" s="191"/>
      <c r="N221" s="192"/>
      <c r="O221" s="193"/>
      <c r="P221" s="195"/>
      <c r="Q221" s="196"/>
      <c r="R221" s="196"/>
      <c r="S221" s="196"/>
      <c r="T221" s="196"/>
      <c r="U221" s="196"/>
      <c r="V221" s="196"/>
      <c r="W221" s="196"/>
      <c r="X221" s="196"/>
      <c r="Y221" s="8"/>
    </row>
    <row r="222" spans="1:25" ht="29.25" customHeight="1">
      <c r="A222" s="240"/>
      <c r="B222" s="231"/>
      <c r="C222" s="798"/>
      <c r="D222" s="798"/>
      <c r="E222" s="798"/>
      <c r="F222" s="798"/>
      <c r="G222" s="798"/>
      <c r="H222" s="798"/>
      <c r="I222" s="690"/>
      <c r="J222" s="691"/>
      <c r="K222" s="691"/>
      <c r="L222" s="692"/>
      <c r="M222" s="689"/>
      <c r="N222" s="192"/>
      <c r="O222" s="193"/>
      <c r="P222" s="195"/>
      <c r="Q222" s="196"/>
      <c r="R222" s="196"/>
      <c r="S222" s="196"/>
      <c r="T222" s="196"/>
      <c r="U222" s="196"/>
      <c r="V222" s="196"/>
      <c r="W222" s="196"/>
      <c r="X222" s="196"/>
      <c r="Y222" s="8"/>
    </row>
    <row r="223" spans="1:25" ht="15.75" customHeight="1">
      <c r="A223" s="240"/>
      <c r="B223" s="231"/>
      <c r="C223" s="798"/>
      <c r="D223" s="798"/>
      <c r="E223" s="798"/>
      <c r="F223" s="798"/>
      <c r="G223" s="798"/>
      <c r="H223" s="798"/>
      <c r="I223" s="192"/>
      <c r="J223" s="193"/>
      <c r="K223" s="193"/>
      <c r="L223" s="194"/>
      <c r="M223" s="191"/>
      <c r="N223" s="192"/>
      <c r="O223" s="193"/>
      <c r="P223" s="195"/>
      <c r="Q223" s="196"/>
      <c r="R223" s="196"/>
      <c r="S223" s="196"/>
      <c r="T223" s="196"/>
      <c r="U223" s="196"/>
      <c r="V223" s="196"/>
      <c r="W223" s="196"/>
      <c r="X223" s="196"/>
      <c r="Y223" s="8"/>
    </row>
    <row r="224" spans="1:25" ht="15.75" customHeight="1">
      <c r="A224" s="240"/>
      <c r="B224" s="231"/>
      <c r="C224" s="798"/>
      <c r="D224" s="798"/>
      <c r="E224" s="798"/>
      <c r="F224" s="798"/>
      <c r="G224" s="798"/>
      <c r="H224" s="798"/>
      <c r="I224" s="192"/>
      <c r="J224" s="193"/>
      <c r="K224" s="193"/>
      <c r="L224" s="194"/>
      <c r="M224" s="191"/>
      <c r="N224" s="192"/>
      <c r="O224" s="193"/>
      <c r="P224" s="195"/>
      <c r="Q224" s="196"/>
      <c r="R224" s="196"/>
      <c r="S224" s="196"/>
      <c r="T224" s="196"/>
      <c r="U224" s="196"/>
      <c r="V224" s="196"/>
      <c r="W224" s="196"/>
      <c r="X224" s="196"/>
      <c r="Y224" s="8"/>
    </row>
    <row r="225" spans="1:25" ht="15.75" customHeight="1">
      <c r="A225" s="240"/>
      <c r="B225" s="231"/>
      <c r="C225" s="798"/>
      <c r="D225" s="798"/>
      <c r="E225" s="798"/>
      <c r="F225" s="798"/>
      <c r="G225" s="798"/>
      <c r="H225" s="798"/>
      <c r="I225" s="192"/>
      <c r="J225" s="193"/>
      <c r="K225" s="193"/>
      <c r="L225" s="194"/>
      <c r="M225" s="191"/>
      <c r="N225" s="192"/>
      <c r="O225" s="193"/>
      <c r="P225" s="195"/>
      <c r="Q225" s="196"/>
      <c r="R225" s="196"/>
      <c r="S225" s="196"/>
      <c r="T225" s="196"/>
      <c r="U225" s="196"/>
      <c r="V225" s="196"/>
      <c r="W225" s="196"/>
      <c r="X225" s="196"/>
      <c r="Y225" s="8"/>
    </row>
    <row r="226" spans="1:25" ht="15.75" customHeight="1">
      <c r="A226" s="240"/>
      <c r="B226" s="231"/>
      <c r="C226" s="798"/>
      <c r="D226" s="798"/>
      <c r="E226" s="798"/>
      <c r="F226" s="798"/>
      <c r="G226" s="798"/>
      <c r="H226" s="798"/>
      <c r="I226" s="192"/>
      <c r="J226" s="193"/>
      <c r="K226" s="193"/>
      <c r="L226" s="194"/>
      <c r="M226" s="191"/>
      <c r="N226" s="192"/>
      <c r="O226" s="193"/>
      <c r="P226" s="195"/>
      <c r="Q226" s="196"/>
      <c r="R226" s="196"/>
      <c r="S226" s="196"/>
      <c r="T226" s="196"/>
      <c r="U226" s="196"/>
      <c r="V226" s="196"/>
      <c r="W226" s="196"/>
      <c r="X226" s="196"/>
      <c r="Y226" s="8"/>
    </row>
    <row r="227" spans="1:25" ht="15.75" customHeight="1">
      <c r="A227" s="240"/>
      <c r="B227" s="231"/>
      <c r="C227" s="798"/>
      <c r="D227" s="798"/>
      <c r="E227" s="798"/>
      <c r="F227" s="798"/>
      <c r="G227" s="798"/>
      <c r="H227" s="798"/>
      <c r="I227" s="192"/>
      <c r="J227" s="193"/>
      <c r="K227" s="193"/>
      <c r="L227" s="194"/>
      <c r="M227" s="191"/>
      <c r="N227" s="192"/>
      <c r="O227" s="193"/>
      <c r="P227" s="195"/>
      <c r="Q227" s="196"/>
      <c r="R227" s="196"/>
      <c r="S227" s="196"/>
      <c r="T227" s="196"/>
      <c r="U227" s="196"/>
      <c r="V227" s="196"/>
      <c r="W227" s="196"/>
      <c r="X227" s="196"/>
      <c r="Y227" s="8"/>
    </row>
    <row r="228" spans="1:25" ht="15.75" customHeight="1">
      <c r="A228" s="240"/>
      <c r="B228" s="231"/>
      <c r="C228" s="798"/>
      <c r="D228" s="798"/>
      <c r="E228" s="798"/>
      <c r="F228" s="798"/>
      <c r="G228" s="798"/>
      <c r="H228" s="798"/>
      <c r="I228" s="192"/>
      <c r="J228" s="193"/>
      <c r="K228" s="193"/>
      <c r="L228" s="194"/>
      <c r="M228" s="191"/>
      <c r="N228" s="192"/>
      <c r="O228" s="193"/>
      <c r="P228" s="195"/>
      <c r="Q228" s="196"/>
      <c r="R228" s="196"/>
      <c r="S228" s="196"/>
      <c r="T228" s="196"/>
      <c r="U228" s="196"/>
      <c r="V228" s="196"/>
      <c r="W228" s="196"/>
      <c r="X228" s="196"/>
      <c r="Y228" s="8"/>
    </row>
    <row r="229" spans="1:25" ht="15.75" customHeight="1">
      <c r="A229" s="240"/>
      <c r="B229" s="231"/>
      <c r="C229" s="798"/>
      <c r="D229" s="798"/>
      <c r="E229" s="798"/>
      <c r="F229" s="798"/>
      <c r="G229" s="798"/>
      <c r="H229" s="798"/>
      <c r="I229" s="192"/>
      <c r="J229" s="193"/>
      <c r="K229" s="193"/>
      <c r="L229" s="194"/>
      <c r="M229" s="191"/>
      <c r="N229" s="192"/>
      <c r="O229" s="193"/>
      <c r="P229" s="195"/>
      <c r="Q229" s="196"/>
      <c r="R229" s="196"/>
      <c r="S229" s="196"/>
      <c r="T229" s="196"/>
      <c r="U229" s="196"/>
      <c r="V229" s="196"/>
      <c r="W229" s="196"/>
      <c r="X229" s="196"/>
      <c r="Y229" s="8"/>
    </row>
    <row r="230" spans="1:25" ht="15.75" customHeight="1">
      <c r="A230" s="240"/>
      <c r="B230" s="231"/>
      <c r="C230" s="798"/>
      <c r="D230" s="798"/>
      <c r="E230" s="798"/>
      <c r="F230" s="798"/>
      <c r="G230" s="798"/>
      <c r="H230" s="798"/>
      <c r="I230" s="192"/>
      <c r="J230" s="193"/>
      <c r="K230" s="193"/>
      <c r="L230" s="194"/>
      <c r="M230" s="191"/>
      <c r="N230" s="192"/>
      <c r="O230" s="193"/>
      <c r="P230" s="195"/>
      <c r="Q230" s="196"/>
      <c r="R230" s="196"/>
      <c r="S230" s="196"/>
      <c r="T230" s="196"/>
      <c r="U230" s="196"/>
      <c r="V230" s="196"/>
      <c r="W230" s="196"/>
      <c r="X230" s="196"/>
      <c r="Y230" s="8"/>
    </row>
    <row r="231" spans="1:25" ht="15.75" customHeight="1">
      <c r="A231" s="240"/>
      <c r="B231" s="231"/>
      <c r="C231" s="798"/>
      <c r="D231" s="798"/>
      <c r="E231" s="798"/>
      <c r="F231" s="798"/>
      <c r="G231" s="798"/>
      <c r="H231" s="798"/>
      <c r="I231" s="192"/>
      <c r="J231" s="193"/>
      <c r="K231" s="193"/>
      <c r="L231" s="194"/>
      <c r="M231" s="191"/>
      <c r="N231" s="192"/>
      <c r="O231" s="193"/>
      <c r="P231" s="195"/>
      <c r="Q231" s="196"/>
      <c r="R231" s="196"/>
      <c r="S231" s="196"/>
      <c r="T231" s="196"/>
      <c r="U231" s="196"/>
      <c r="V231" s="196"/>
      <c r="W231" s="196"/>
      <c r="X231" s="196"/>
      <c r="Y231" s="8"/>
    </row>
    <row r="232" spans="1:25" ht="15.75" customHeight="1">
      <c r="A232" s="240"/>
      <c r="B232" s="231"/>
      <c r="C232" s="798"/>
      <c r="D232" s="798"/>
      <c r="E232" s="798"/>
      <c r="F232" s="798"/>
      <c r="G232" s="798"/>
      <c r="H232" s="798"/>
      <c r="I232" s="192"/>
      <c r="J232" s="193"/>
      <c r="K232" s="193"/>
      <c r="L232" s="194"/>
      <c r="M232" s="191"/>
      <c r="N232" s="192"/>
      <c r="O232" s="193"/>
      <c r="P232" s="195"/>
      <c r="Q232" s="196"/>
      <c r="R232" s="196"/>
      <c r="S232" s="196"/>
      <c r="T232" s="196"/>
      <c r="U232" s="196"/>
      <c r="V232" s="196"/>
      <c r="W232" s="196"/>
      <c r="X232" s="196"/>
      <c r="Y232" s="8"/>
    </row>
    <row r="233" spans="1:25" ht="15.75" customHeight="1">
      <c r="A233" s="240"/>
      <c r="B233" s="231"/>
      <c r="C233" s="798"/>
      <c r="D233" s="798"/>
      <c r="E233" s="798"/>
      <c r="F233" s="798"/>
      <c r="G233" s="798"/>
      <c r="H233" s="798"/>
      <c r="I233" s="192"/>
      <c r="J233" s="193"/>
      <c r="K233" s="193"/>
      <c r="L233" s="194"/>
      <c r="M233" s="191"/>
      <c r="N233" s="192"/>
      <c r="O233" s="193"/>
      <c r="P233" s="195"/>
      <c r="Q233" s="196"/>
      <c r="R233" s="196"/>
      <c r="S233" s="196"/>
      <c r="T233" s="196"/>
      <c r="U233" s="196"/>
      <c r="V233" s="196"/>
      <c r="W233" s="196"/>
      <c r="X233" s="196"/>
      <c r="Y233" s="8"/>
    </row>
    <row r="234" spans="1:25" ht="15.75" customHeight="1">
      <c r="A234" s="240"/>
      <c r="B234" s="231"/>
      <c r="C234" s="798"/>
      <c r="D234" s="798"/>
      <c r="E234" s="798"/>
      <c r="F234" s="798"/>
      <c r="G234" s="798"/>
      <c r="H234" s="798"/>
      <c r="I234" s="192"/>
      <c r="J234" s="193"/>
      <c r="K234" s="193"/>
      <c r="L234" s="194"/>
      <c r="M234" s="191"/>
      <c r="N234" s="192"/>
      <c r="O234" s="193"/>
      <c r="P234" s="195"/>
      <c r="Q234" s="196"/>
      <c r="R234" s="196"/>
      <c r="S234" s="196"/>
      <c r="T234" s="196"/>
      <c r="U234" s="196"/>
      <c r="V234" s="196"/>
      <c r="W234" s="196"/>
      <c r="X234" s="196"/>
      <c r="Y234" s="8"/>
    </row>
    <row r="235" spans="1:25" ht="33" customHeight="1">
      <c r="A235" s="240"/>
      <c r="B235" s="231"/>
      <c r="C235" s="798"/>
      <c r="D235" s="798"/>
      <c r="E235" s="798"/>
      <c r="F235" s="798"/>
      <c r="G235" s="798"/>
      <c r="H235" s="798"/>
      <c r="I235" s="192"/>
      <c r="J235" s="193"/>
      <c r="K235" s="193"/>
      <c r="L235" s="194"/>
      <c r="M235" s="191"/>
      <c r="N235" s="192"/>
      <c r="O235" s="193"/>
      <c r="P235" s="195"/>
      <c r="Q235" s="196"/>
      <c r="R235" s="196"/>
      <c r="S235" s="196"/>
      <c r="T235" s="196"/>
      <c r="U235" s="196"/>
      <c r="V235" s="196"/>
      <c r="W235" s="196"/>
      <c r="X235" s="196"/>
      <c r="Y235" s="8"/>
    </row>
    <row r="236" spans="1:25" ht="25.5" customHeight="1">
      <c r="A236" s="240"/>
      <c r="B236" s="231"/>
      <c r="C236" s="798"/>
      <c r="D236" s="798"/>
      <c r="E236" s="798"/>
      <c r="F236" s="798"/>
      <c r="G236" s="798"/>
      <c r="H236" s="798"/>
      <c r="I236" s="192"/>
      <c r="J236" s="193"/>
      <c r="K236" s="193"/>
      <c r="L236" s="194"/>
      <c r="M236" s="191"/>
      <c r="N236" s="192"/>
      <c r="O236" s="193"/>
      <c r="P236" s="195"/>
      <c r="Q236" s="196"/>
      <c r="R236" s="196"/>
      <c r="S236" s="196"/>
      <c r="T236" s="196"/>
      <c r="U236" s="196"/>
      <c r="V236" s="196"/>
      <c r="W236" s="196"/>
      <c r="X236" s="196"/>
      <c r="Y236" s="8"/>
    </row>
    <row r="237" spans="1:25" ht="15.75" customHeight="1">
      <c r="A237" s="240"/>
      <c r="B237" s="231"/>
      <c r="C237" s="798"/>
      <c r="D237" s="798"/>
      <c r="E237" s="798"/>
      <c r="F237" s="798"/>
      <c r="G237" s="798"/>
      <c r="H237" s="798"/>
      <c r="I237" s="192"/>
      <c r="J237" s="193"/>
      <c r="K237" s="193"/>
      <c r="L237" s="194"/>
      <c r="M237" s="191"/>
      <c r="N237" s="192"/>
      <c r="O237" s="193"/>
      <c r="P237" s="195"/>
      <c r="Q237" s="196"/>
      <c r="R237" s="196"/>
      <c r="S237" s="196"/>
      <c r="T237" s="196"/>
      <c r="U237" s="196"/>
      <c r="V237" s="196"/>
      <c r="W237" s="196"/>
      <c r="X237" s="196"/>
      <c r="Y237" s="8"/>
    </row>
    <row r="238" spans="1:25" ht="15.75" customHeight="1">
      <c r="A238" s="240"/>
      <c r="B238" s="231"/>
      <c r="C238" s="798"/>
      <c r="D238" s="798"/>
      <c r="E238" s="798"/>
      <c r="F238" s="798"/>
      <c r="G238" s="798"/>
      <c r="H238" s="798"/>
      <c r="I238" s="192"/>
      <c r="J238" s="193"/>
      <c r="K238" s="193"/>
      <c r="L238" s="194"/>
      <c r="M238" s="191"/>
      <c r="N238" s="192"/>
      <c r="O238" s="193"/>
      <c r="P238" s="195"/>
      <c r="Q238" s="196"/>
      <c r="R238" s="196"/>
      <c r="S238" s="196"/>
      <c r="T238" s="196"/>
      <c r="U238" s="196"/>
      <c r="V238" s="196"/>
      <c r="W238" s="196"/>
      <c r="X238" s="196"/>
      <c r="Y238" s="8"/>
    </row>
    <row r="239" spans="1:25" ht="15.75" customHeight="1">
      <c r="A239" s="240"/>
      <c r="B239" s="231"/>
      <c r="C239" s="798"/>
      <c r="D239" s="798"/>
      <c r="E239" s="798"/>
      <c r="F239" s="798"/>
      <c r="G239" s="798"/>
      <c r="H239" s="798"/>
      <c r="I239" s="192"/>
      <c r="J239" s="193"/>
      <c r="K239" s="193"/>
      <c r="L239" s="194"/>
      <c r="M239" s="191"/>
      <c r="N239" s="192"/>
      <c r="O239" s="193"/>
      <c r="P239" s="195"/>
      <c r="Q239" s="196"/>
      <c r="R239" s="196"/>
      <c r="S239" s="196"/>
      <c r="T239" s="196"/>
      <c r="U239" s="196"/>
      <c r="V239" s="196"/>
      <c r="W239" s="196"/>
      <c r="X239" s="196"/>
      <c r="Y239" s="8"/>
    </row>
    <row r="240" spans="1:25" ht="15.75" customHeight="1">
      <c r="A240" s="240"/>
      <c r="B240" s="231"/>
      <c r="C240" s="798"/>
      <c r="D240" s="798"/>
      <c r="E240" s="798"/>
      <c r="F240" s="798"/>
      <c r="G240" s="798"/>
      <c r="H240" s="798"/>
      <c r="I240" s="192"/>
      <c r="J240" s="193"/>
      <c r="K240" s="193"/>
      <c r="L240" s="194"/>
      <c r="M240" s="191"/>
      <c r="N240" s="192"/>
      <c r="O240" s="193"/>
      <c r="P240" s="195"/>
      <c r="Q240" s="196"/>
      <c r="R240" s="196"/>
      <c r="S240" s="196"/>
      <c r="T240" s="196"/>
      <c r="U240" s="196"/>
      <c r="V240" s="196"/>
      <c r="W240" s="196"/>
      <c r="X240" s="196"/>
      <c r="Y240" s="8"/>
    </row>
    <row r="241" spans="1:25" ht="15.75" customHeight="1">
      <c r="A241" s="240"/>
      <c r="B241" s="231"/>
      <c r="C241" s="798"/>
      <c r="D241" s="798"/>
      <c r="E241" s="798"/>
      <c r="F241" s="798"/>
      <c r="G241" s="798"/>
      <c r="H241" s="798"/>
      <c r="I241" s="192"/>
      <c r="J241" s="193"/>
      <c r="K241" s="193"/>
      <c r="L241" s="194"/>
      <c r="M241" s="191"/>
      <c r="N241" s="192"/>
      <c r="O241" s="193"/>
      <c r="P241" s="195"/>
      <c r="Q241" s="196"/>
      <c r="R241" s="196"/>
      <c r="S241" s="196"/>
      <c r="T241" s="196"/>
      <c r="U241" s="196"/>
      <c r="V241" s="196"/>
      <c r="W241" s="196"/>
      <c r="X241" s="196"/>
      <c r="Y241" s="8"/>
    </row>
    <row r="242" spans="1:25" ht="15.75" customHeight="1">
      <c r="A242" s="240"/>
      <c r="B242" s="231"/>
      <c r="C242" s="798"/>
      <c r="D242" s="798"/>
      <c r="E242" s="798"/>
      <c r="F242" s="798"/>
      <c r="G242" s="798"/>
      <c r="H242" s="798"/>
      <c r="I242" s="192"/>
      <c r="J242" s="193"/>
      <c r="K242" s="193"/>
      <c r="L242" s="194"/>
      <c r="M242" s="191"/>
      <c r="N242" s="192"/>
      <c r="O242" s="193"/>
      <c r="P242" s="195"/>
      <c r="Q242" s="196"/>
      <c r="R242" s="196"/>
      <c r="S242" s="196"/>
      <c r="T242" s="196"/>
      <c r="U242" s="196"/>
      <c r="V242" s="196"/>
      <c r="W242" s="196"/>
      <c r="X242" s="196"/>
      <c r="Y242" s="8"/>
    </row>
    <row r="243" spans="1:25" ht="15.75" customHeight="1">
      <c r="A243" s="240"/>
      <c r="B243" s="231"/>
      <c r="C243" s="798"/>
      <c r="D243" s="798"/>
      <c r="E243" s="798"/>
      <c r="F243" s="798"/>
      <c r="G243" s="798"/>
      <c r="H243" s="798"/>
      <c r="I243" s="192"/>
      <c r="J243" s="193"/>
      <c r="K243" s="193"/>
      <c r="L243" s="194"/>
      <c r="M243" s="191"/>
      <c r="N243" s="192"/>
      <c r="O243" s="193"/>
      <c r="P243" s="195"/>
      <c r="Q243" s="196"/>
      <c r="R243" s="196"/>
      <c r="S243" s="196"/>
      <c r="T243" s="196"/>
      <c r="U243" s="196"/>
      <c r="V243" s="196"/>
      <c r="W243" s="196"/>
      <c r="X243" s="196"/>
      <c r="Y243" s="8"/>
    </row>
    <row r="244" spans="1:25" ht="15.75" customHeight="1">
      <c r="A244" s="240"/>
      <c r="B244" s="231"/>
      <c r="C244" s="798"/>
      <c r="D244" s="798"/>
      <c r="E244" s="798"/>
      <c r="F244" s="798"/>
      <c r="G244" s="798"/>
      <c r="H244" s="798"/>
      <c r="I244" s="192"/>
      <c r="J244" s="193"/>
      <c r="K244" s="193"/>
      <c r="L244" s="194"/>
      <c r="M244" s="191"/>
      <c r="N244" s="192"/>
      <c r="O244" s="193"/>
      <c r="P244" s="195"/>
      <c r="Q244" s="196"/>
      <c r="R244" s="196"/>
      <c r="S244" s="196"/>
      <c r="T244" s="196"/>
      <c r="U244" s="196"/>
      <c r="V244" s="196"/>
      <c r="W244" s="196"/>
      <c r="X244" s="196"/>
      <c r="Y244" s="8"/>
    </row>
    <row r="245" spans="1:25" ht="15.75" customHeight="1">
      <c r="A245" s="240"/>
      <c r="B245" s="231"/>
      <c r="C245" s="798"/>
      <c r="D245" s="798"/>
      <c r="E245" s="798"/>
      <c r="F245" s="798"/>
      <c r="G245" s="798"/>
      <c r="H245" s="798"/>
      <c r="I245" s="192"/>
      <c r="J245" s="193"/>
      <c r="K245" s="193"/>
      <c r="L245" s="194"/>
      <c r="M245" s="191"/>
      <c r="N245" s="192"/>
      <c r="O245" s="193"/>
      <c r="P245" s="195"/>
      <c r="Q245" s="196"/>
      <c r="R245" s="196"/>
      <c r="S245" s="196"/>
      <c r="T245" s="196"/>
      <c r="U245" s="196"/>
      <c r="V245" s="196"/>
      <c r="W245" s="196"/>
      <c r="X245" s="196"/>
      <c r="Y245" s="8"/>
    </row>
    <row r="246" spans="1:25" ht="15.75" customHeight="1">
      <c r="A246" s="240"/>
      <c r="B246" s="231"/>
      <c r="C246" s="798"/>
      <c r="D246" s="798"/>
      <c r="E246" s="798"/>
      <c r="F246" s="798"/>
      <c r="G246" s="798"/>
      <c r="H246" s="798"/>
      <c r="I246" s="192"/>
      <c r="J246" s="193"/>
      <c r="K246" s="193"/>
      <c r="L246" s="194"/>
      <c r="M246" s="191"/>
      <c r="N246" s="192"/>
      <c r="O246" s="193"/>
      <c r="P246" s="195"/>
      <c r="Q246" s="196"/>
      <c r="R246" s="196"/>
      <c r="S246" s="196"/>
      <c r="T246" s="196"/>
      <c r="U246" s="196"/>
      <c r="V246" s="196"/>
      <c r="W246" s="196"/>
      <c r="X246" s="196"/>
      <c r="Y246" s="8"/>
    </row>
    <row r="247" spans="1:25" ht="15.75" customHeight="1">
      <c r="A247" s="240"/>
      <c r="B247" s="231"/>
      <c r="C247" s="798"/>
      <c r="D247" s="798"/>
      <c r="E247" s="798"/>
      <c r="F247" s="798"/>
      <c r="G247" s="798"/>
      <c r="H247" s="798"/>
      <c r="I247" s="192"/>
      <c r="J247" s="193"/>
      <c r="K247" s="193"/>
      <c r="L247" s="194"/>
      <c r="M247" s="191"/>
      <c r="N247" s="192"/>
      <c r="O247" s="193"/>
      <c r="P247" s="195"/>
      <c r="Q247" s="196"/>
      <c r="R247" s="196"/>
      <c r="S247" s="196"/>
      <c r="T247" s="196"/>
      <c r="U247" s="196"/>
      <c r="V247" s="196"/>
      <c r="W247" s="196"/>
      <c r="X247" s="196"/>
      <c r="Y247" s="8"/>
    </row>
    <row r="248" spans="1:25" ht="15.75" customHeight="1">
      <c r="A248" s="240"/>
      <c r="B248" s="231"/>
      <c r="C248" s="798"/>
      <c r="D248" s="798"/>
      <c r="E248" s="798"/>
      <c r="F248" s="798"/>
      <c r="G248" s="798"/>
      <c r="H248" s="798"/>
      <c r="I248" s="192"/>
      <c r="J248" s="193"/>
      <c r="K248" s="193"/>
      <c r="L248" s="194"/>
      <c r="M248" s="191"/>
      <c r="N248" s="192"/>
      <c r="O248" s="193"/>
      <c r="P248" s="195"/>
      <c r="Q248" s="196"/>
      <c r="R248" s="196"/>
      <c r="S248" s="196"/>
      <c r="T248" s="196"/>
      <c r="U248" s="196"/>
      <c r="V248" s="196"/>
      <c r="W248" s="196"/>
      <c r="X248" s="196"/>
      <c r="Y248" s="8"/>
    </row>
    <row r="249" spans="1:25" ht="15.75" customHeight="1">
      <c r="A249" s="240"/>
      <c r="B249" s="231"/>
      <c r="C249" s="798"/>
      <c r="D249" s="798"/>
      <c r="E249" s="798"/>
      <c r="F249" s="798"/>
      <c r="G249" s="798"/>
      <c r="H249" s="798"/>
      <c r="I249" s="192"/>
      <c r="J249" s="193"/>
      <c r="K249" s="193"/>
      <c r="L249" s="194"/>
      <c r="M249" s="191"/>
      <c r="N249" s="192"/>
      <c r="O249" s="193"/>
      <c r="P249" s="195"/>
      <c r="Q249" s="196"/>
      <c r="R249" s="196"/>
      <c r="S249" s="196"/>
      <c r="T249" s="196"/>
      <c r="U249" s="196"/>
      <c r="V249" s="196"/>
      <c r="W249" s="196"/>
      <c r="X249" s="196"/>
      <c r="Y249" s="8"/>
    </row>
    <row r="250" spans="1:25" ht="15.75" customHeight="1">
      <c r="A250" s="240"/>
      <c r="B250" s="231"/>
      <c r="C250" s="798"/>
      <c r="D250" s="798"/>
      <c r="E250" s="798"/>
      <c r="F250" s="798"/>
      <c r="G250" s="798"/>
      <c r="H250" s="798"/>
      <c r="I250" s="192"/>
      <c r="J250" s="193"/>
      <c r="K250" s="193"/>
      <c r="L250" s="194"/>
      <c r="M250" s="191"/>
      <c r="N250" s="192"/>
      <c r="O250" s="193"/>
      <c r="P250" s="195"/>
      <c r="Q250" s="196"/>
      <c r="R250" s="196"/>
      <c r="S250" s="196"/>
      <c r="T250" s="196"/>
      <c r="U250" s="196"/>
      <c r="V250" s="196"/>
      <c r="W250" s="196"/>
      <c r="X250" s="196"/>
      <c r="Y250" s="8"/>
    </row>
    <row r="251" spans="1:25" ht="27.75" customHeight="1">
      <c r="A251" s="240"/>
      <c r="B251" s="231"/>
      <c r="C251" s="694"/>
      <c r="D251" s="87"/>
      <c r="E251" s="87"/>
      <c r="F251" s="87"/>
      <c r="G251" s="87"/>
      <c r="H251" s="191"/>
      <c r="I251" s="192"/>
      <c r="J251" s="193"/>
      <c r="K251" s="193"/>
      <c r="L251" s="194"/>
      <c r="M251" s="191"/>
      <c r="N251" s="192"/>
      <c r="O251" s="193"/>
      <c r="P251" s="195"/>
      <c r="Q251" s="196"/>
      <c r="R251" s="196"/>
      <c r="S251" s="196"/>
      <c r="T251" s="196"/>
      <c r="U251" s="196"/>
      <c r="V251" s="196"/>
      <c r="W251" s="196"/>
      <c r="X251" s="196"/>
      <c r="Y251" s="8"/>
    </row>
    <row r="252" spans="1:25">
      <c r="A252" s="240"/>
      <c r="B252" s="231"/>
      <c r="C252" s="87"/>
      <c r="D252" s="87"/>
      <c r="E252" s="87"/>
      <c r="F252" s="87"/>
      <c r="G252" s="87"/>
      <c r="H252" s="191"/>
      <c r="I252" s="192"/>
      <c r="J252" s="193"/>
      <c r="K252" s="193"/>
      <c r="L252" s="194"/>
      <c r="M252" s="191"/>
      <c r="N252" s="192"/>
      <c r="O252" s="193"/>
      <c r="P252" s="195"/>
      <c r="Q252" s="196"/>
      <c r="R252" s="196"/>
      <c r="S252" s="196"/>
      <c r="T252" s="196"/>
      <c r="U252" s="196"/>
      <c r="V252" s="196"/>
      <c r="W252" s="196"/>
      <c r="X252" s="196"/>
      <c r="Y252" s="8"/>
    </row>
    <row r="253" spans="1:25">
      <c r="A253" s="240"/>
      <c r="B253" s="231"/>
      <c r="C253" s="87"/>
      <c r="D253" s="87"/>
      <c r="E253" s="87"/>
      <c r="F253" s="87"/>
      <c r="G253" s="87"/>
      <c r="H253" s="191"/>
      <c r="I253" s="192"/>
      <c r="J253" s="193"/>
      <c r="K253" s="193"/>
      <c r="L253" s="194"/>
      <c r="M253" s="191"/>
      <c r="N253" s="192"/>
      <c r="O253" s="193"/>
      <c r="P253" s="195"/>
      <c r="Q253" s="196"/>
      <c r="R253" s="196"/>
      <c r="S253" s="196"/>
      <c r="T253" s="196"/>
      <c r="U253" s="196"/>
      <c r="V253" s="196"/>
      <c r="W253" s="196"/>
      <c r="X253" s="196"/>
      <c r="Y253" s="8"/>
    </row>
    <row r="254" spans="1:25">
      <c r="A254" s="240"/>
      <c r="B254" s="231"/>
      <c r="C254" s="87"/>
      <c r="D254" s="87"/>
      <c r="E254" s="87"/>
      <c r="F254" s="87"/>
      <c r="G254" s="87"/>
      <c r="H254" s="191"/>
      <c r="I254" s="192"/>
      <c r="J254" s="193"/>
      <c r="K254" s="193"/>
      <c r="L254" s="194"/>
      <c r="M254" s="191"/>
      <c r="N254" s="192"/>
      <c r="O254" s="193"/>
      <c r="P254" s="195"/>
      <c r="Q254" s="196"/>
      <c r="R254" s="196"/>
      <c r="S254" s="196"/>
      <c r="T254" s="196"/>
      <c r="U254" s="196"/>
      <c r="V254" s="196"/>
      <c r="W254" s="196"/>
      <c r="X254" s="196"/>
      <c r="Y254" s="8"/>
    </row>
    <row r="255" spans="1:25">
      <c r="A255" s="240"/>
      <c r="B255" s="231"/>
      <c r="C255" s="87"/>
      <c r="D255" s="87"/>
      <c r="E255" s="87"/>
      <c r="F255" s="87"/>
      <c r="G255" s="87"/>
      <c r="H255" s="191"/>
      <c r="I255" s="192"/>
      <c r="J255" s="193"/>
      <c r="K255" s="193"/>
      <c r="L255" s="194"/>
      <c r="M255" s="191"/>
      <c r="N255" s="192"/>
      <c r="O255" s="193"/>
      <c r="P255" s="195"/>
      <c r="Q255" s="196"/>
      <c r="R255" s="196"/>
      <c r="S255" s="196"/>
      <c r="T255" s="196"/>
      <c r="U255" s="196"/>
      <c r="V255" s="196"/>
      <c r="W255" s="196"/>
      <c r="X255" s="196"/>
      <c r="Y255" s="8"/>
    </row>
    <row r="256" spans="1:25">
      <c r="A256" s="240"/>
      <c r="B256" s="231"/>
      <c r="C256" s="87"/>
      <c r="D256" s="87"/>
      <c r="E256" s="87"/>
      <c r="F256" s="87"/>
      <c r="G256" s="87"/>
      <c r="H256" s="191"/>
      <c r="I256" s="192"/>
      <c r="J256" s="193"/>
      <c r="K256" s="193"/>
      <c r="L256" s="194"/>
      <c r="M256" s="191"/>
      <c r="N256" s="192"/>
      <c r="O256" s="193"/>
      <c r="P256" s="195"/>
      <c r="Q256" s="196"/>
      <c r="R256" s="196"/>
      <c r="S256" s="196"/>
      <c r="T256" s="196"/>
      <c r="U256" s="196"/>
      <c r="V256" s="196"/>
      <c r="W256" s="196"/>
      <c r="X256" s="196"/>
      <c r="Y256" s="8"/>
    </row>
    <row r="257" spans="1:25" ht="15.75" customHeight="1">
      <c r="A257" s="240"/>
      <c r="B257" s="231"/>
      <c r="C257" s="798" t="s">
        <v>747</v>
      </c>
      <c r="D257" s="798"/>
      <c r="E257" s="798"/>
      <c r="F257" s="798"/>
      <c r="G257" s="798"/>
      <c r="H257" s="798"/>
      <c r="I257" s="798"/>
      <c r="J257" s="798"/>
      <c r="K257" s="798"/>
      <c r="L257" s="798"/>
      <c r="M257" s="798"/>
      <c r="N257" s="798"/>
      <c r="O257" s="798"/>
      <c r="P257" s="798"/>
      <c r="Q257" s="196"/>
      <c r="R257" s="196"/>
      <c r="S257" s="196"/>
      <c r="T257" s="196"/>
      <c r="U257" s="196"/>
      <c r="V257" s="196"/>
      <c r="W257" s="196"/>
      <c r="X257" s="196"/>
      <c r="Y257" s="8"/>
    </row>
    <row r="258" spans="1:25" ht="15.75" customHeight="1">
      <c r="A258" s="240"/>
      <c r="B258" s="231"/>
      <c r="C258" s="798"/>
      <c r="D258" s="798"/>
      <c r="E258" s="798"/>
      <c r="F258" s="798"/>
      <c r="G258" s="798"/>
      <c r="H258" s="798"/>
      <c r="I258" s="798"/>
      <c r="J258" s="798"/>
      <c r="K258" s="798"/>
      <c r="L258" s="798"/>
      <c r="M258" s="798"/>
      <c r="N258" s="798"/>
      <c r="O258" s="798"/>
      <c r="P258" s="798"/>
      <c r="Q258" s="196"/>
      <c r="R258" s="196"/>
      <c r="S258" s="196"/>
      <c r="T258" s="196"/>
      <c r="U258" s="196"/>
      <c r="V258" s="196"/>
      <c r="W258" s="196"/>
      <c r="X258" s="196"/>
      <c r="Y258" s="8"/>
    </row>
    <row r="259" spans="1:25" ht="15.75" customHeight="1">
      <c r="B259" s="231"/>
      <c r="C259" s="798"/>
      <c r="D259" s="798"/>
      <c r="E259" s="798"/>
      <c r="F259" s="798"/>
      <c r="G259" s="798"/>
      <c r="H259" s="798"/>
      <c r="I259" s="798"/>
      <c r="J259" s="798"/>
      <c r="K259" s="798"/>
      <c r="L259" s="798"/>
      <c r="M259" s="798"/>
      <c r="N259" s="798"/>
      <c r="O259" s="798"/>
      <c r="P259" s="798"/>
      <c r="Q259" s="196"/>
      <c r="R259" s="196"/>
      <c r="S259" s="196"/>
      <c r="T259" s="196"/>
      <c r="U259" s="196"/>
      <c r="V259" s="196"/>
      <c r="W259" s="196"/>
      <c r="X259" s="196"/>
      <c r="Y259" s="8"/>
    </row>
    <row r="260" spans="1:25" ht="15.75" customHeight="1">
      <c r="B260" s="231"/>
      <c r="C260" s="798"/>
      <c r="D260" s="798"/>
      <c r="E260" s="798"/>
      <c r="F260" s="798"/>
      <c r="G260" s="798"/>
      <c r="H260" s="798"/>
      <c r="I260" s="798"/>
      <c r="J260" s="798"/>
      <c r="K260" s="798"/>
      <c r="L260" s="798"/>
      <c r="M260" s="798"/>
      <c r="N260" s="798"/>
      <c r="O260" s="798"/>
      <c r="P260" s="798"/>
      <c r="Q260" s="196"/>
      <c r="R260" s="196"/>
      <c r="S260" s="196"/>
      <c r="T260" s="196"/>
      <c r="U260" s="196"/>
      <c r="V260" s="196"/>
      <c r="W260" s="196"/>
      <c r="X260" s="196"/>
      <c r="Y260" s="8"/>
    </row>
    <row r="261" spans="1:25">
      <c r="B261" s="231"/>
      <c r="C261" s="798"/>
      <c r="D261" s="798"/>
      <c r="E261" s="798"/>
      <c r="F261" s="798"/>
      <c r="G261" s="798"/>
      <c r="H261" s="798"/>
      <c r="I261" s="798"/>
      <c r="J261" s="798"/>
      <c r="K261" s="798"/>
      <c r="L261" s="798"/>
      <c r="M261" s="798"/>
      <c r="N261" s="798"/>
      <c r="O261" s="798"/>
      <c r="P261" s="798"/>
      <c r="Q261" s="196"/>
      <c r="R261" s="196"/>
      <c r="S261" s="196"/>
      <c r="T261" s="196"/>
      <c r="U261" s="196"/>
      <c r="V261" s="196"/>
      <c r="W261" s="196"/>
      <c r="X261" s="196"/>
      <c r="Y261" s="8"/>
    </row>
    <row r="262" spans="1:25">
      <c r="B262" s="231"/>
      <c r="C262" s="87"/>
      <c r="D262" s="87"/>
      <c r="E262" s="87"/>
      <c r="F262" s="87"/>
      <c r="G262" s="87"/>
      <c r="H262" s="191"/>
      <c r="I262" s="192"/>
      <c r="J262" s="193"/>
      <c r="K262" s="193"/>
      <c r="L262" s="194"/>
      <c r="M262" s="191"/>
      <c r="N262" s="192"/>
      <c r="O262" s="193"/>
      <c r="P262" s="195"/>
      <c r="Q262" s="196"/>
      <c r="R262" s="196"/>
      <c r="S262" s="196"/>
      <c r="T262" s="196"/>
      <c r="U262" s="196"/>
      <c r="V262" s="196"/>
      <c r="W262" s="196"/>
      <c r="X262" s="196"/>
      <c r="Y262" s="8"/>
    </row>
    <row r="263" spans="1:25" ht="26.25">
      <c r="B263" s="231"/>
      <c r="C263" s="750" t="s">
        <v>748</v>
      </c>
      <c r="D263" s="87"/>
      <c r="E263" s="87"/>
      <c r="F263" s="87"/>
      <c r="G263" s="87"/>
      <c r="H263" s="191"/>
      <c r="I263" s="192"/>
      <c r="J263" s="193"/>
      <c r="K263" s="193"/>
      <c r="L263" s="194"/>
      <c r="M263" s="191"/>
      <c r="N263" s="192"/>
      <c r="O263" s="193"/>
      <c r="P263" s="195"/>
      <c r="Q263" s="196"/>
      <c r="R263" s="196"/>
      <c r="S263" s="196"/>
      <c r="T263" s="196"/>
      <c r="U263" s="196"/>
      <c r="V263" s="196"/>
      <c r="W263" s="196"/>
      <c r="X263" s="196"/>
      <c r="Y263" s="8"/>
    </row>
    <row r="264" spans="1:25">
      <c r="B264" s="231"/>
      <c r="C264" s="87"/>
      <c r="D264" s="87"/>
      <c r="E264" s="87"/>
      <c r="F264" s="87"/>
      <c r="G264" s="87"/>
      <c r="H264" s="191"/>
      <c r="I264" s="192"/>
      <c r="J264" s="193"/>
      <c r="K264" s="193"/>
      <c r="L264" s="194"/>
      <c r="M264" s="191"/>
      <c r="N264" s="192"/>
      <c r="O264" s="193"/>
      <c r="P264" s="195"/>
      <c r="Q264" s="196"/>
      <c r="R264" s="196"/>
      <c r="S264" s="196"/>
      <c r="T264" s="196"/>
      <c r="U264" s="196"/>
      <c r="V264" s="196"/>
      <c r="W264" s="196"/>
      <c r="X264" s="196"/>
      <c r="Y264" s="8"/>
    </row>
    <row r="265" spans="1:25">
      <c r="B265" s="231"/>
      <c r="C265" s="193"/>
      <c r="D265" s="193"/>
      <c r="E265" s="193"/>
      <c r="F265" s="193"/>
      <c r="G265" s="193"/>
      <c r="H265" s="193"/>
      <c r="I265" s="193"/>
      <c r="J265" s="193"/>
      <c r="K265" s="193"/>
      <c r="L265" s="194"/>
      <c r="M265" s="191"/>
      <c r="N265" s="192"/>
      <c r="O265" s="193"/>
      <c r="P265" s="195"/>
      <c r="Q265" s="196"/>
      <c r="R265" s="196"/>
      <c r="S265" s="196"/>
      <c r="T265" s="196"/>
      <c r="U265" s="196"/>
      <c r="V265" s="196"/>
      <c r="W265" s="196"/>
      <c r="X265" s="196"/>
      <c r="Y265" s="8"/>
    </row>
    <row r="266" spans="1:25" ht="15.75" customHeight="1">
      <c r="B266" s="231"/>
      <c r="C266" s="193"/>
      <c r="D266" s="193"/>
      <c r="E266" s="193"/>
      <c r="F266" s="193"/>
      <c r="G266" s="193"/>
      <c r="H266" s="193"/>
      <c r="I266" s="193"/>
      <c r="J266" s="193"/>
      <c r="K266" s="798" t="s">
        <v>749</v>
      </c>
      <c r="L266" s="798"/>
      <c r="M266" s="798"/>
      <c r="N266" s="798"/>
      <c r="O266" s="798"/>
      <c r="P266" s="798"/>
      <c r="Q266" s="798"/>
      <c r="R266" s="798"/>
      <c r="S266" s="196"/>
      <c r="T266" s="196"/>
      <c r="U266" s="196"/>
      <c r="V266" s="196"/>
      <c r="W266" s="196"/>
      <c r="X266" s="196"/>
      <c r="Y266" s="8"/>
    </row>
    <row r="267" spans="1:25" ht="15.75" customHeight="1">
      <c r="B267" s="231"/>
      <c r="C267" s="193"/>
      <c r="D267" s="193"/>
      <c r="E267" s="193"/>
      <c r="F267" s="193"/>
      <c r="G267" s="193"/>
      <c r="H267" s="193"/>
      <c r="I267" s="193"/>
      <c r="J267" s="193"/>
      <c r="K267" s="798"/>
      <c r="L267" s="798"/>
      <c r="M267" s="798"/>
      <c r="N267" s="798"/>
      <c r="O267" s="798"/>
      <c r="P267" s="798"/>
      <c r="Q267" s="798"/>
      <c r="R267" s="798"/>
      <c r="S267" s="196"/>
      <c r="T267" s="196"/>
      <c r="U267" s="196"/>
      <c r="V267" s="196"/>
      <c r="W267" s="196"/>
      <c r="X267" s="196"/>
      <c r="Y267" s="8"/>
    </row>
    <row r="268" spans="1:25" ht="15.75" customHeight="1">
      <c r="B268" s="231"/>
      <c r="C268" s="193"/>
      <c r="D268" s="193"/>
      <c r="E268" s="193"/>
      <c r="F268" s="193"/>
      <c r="G268" s="193"/>
      <c r="H268" s="193"/>
      <c r="I268" s="193"/>
      <c r="J268" s="193"/>
      <c r="K268" s="798"/>
      <c r="L268" s="798"/>
      <c r="M268" s="798"/>
      <c r="N268" s="798"/>
      <c r="O268" s="798"/>
      <c r="P268" s="798"/>
      <c r="Q268" s="798"/>
      <c r="R268" s="798"/>
      <c r="S268" s="196"/>
      <c r="T268" s="196"/>
      <c r="U268" s="196"/>
      <c r="V268" s="196"/>
      <c r="W268" s="196"/>
      <c r="X268" s="196"/>
      <c r="Y268" s="8"/>
    </row>
    <row r="269" spans="1:25" ht="15.75" customHeight="1">
      <c r="B269" s="231"/>
      <c r="C269" s="193"/>
      <c r="D269" s="193"/>
      <c r="E269" s="193"/>
      <c r="F269" s="193"/>
      <c r="G269" s="193"/>
      <c r="H269" s="193"/>
      <c r="I269" s="193"/>
      <c r="J269" s="193"/>
      <c r="K269" s="798"/>
      <c r="L269" s="798"/>
      <c r="M269" s="798"/>
      <c r="N269" s="798"/>
      <c r="O269" s="798"/>
      <c r="P269" s="798"/>
      <c r="Q269" s="798"/>
      <c r="R269" s="798"/>
      <c r="S269" s="196"/>
      <c r="T269" s="196"/>
      <c r="U269" s="196"/>
      <c r="V269" s="196"/>
      <c r="W269" s="196"/>
      <c r="X269" s="196"/>
      <c r="Y269" s="8"/>
    </row>
    <row r="270" spans="1:25" ht="15.75" customHeight="1">
      <c r="B270" s="231"/>
      <c r="C270" s="193"/>
      <c r="D270" s="193"/>
      <c r="E270" s="193"/>
      <c r="F270" s="193"/>
      <c r="G270" s="193"/>
      <c r="H270" s="193"/>
      <c r="I270" s="193"/>
      <c r="J270" s="193"/>
      <c r="K270" s="798"/>
      <c r="L270" s="798"/>
      <c r="M270" s="798"/>
      <c r="N270" s="798"/>
      <c r="O270" s="798"/>
      <c r="P270" s="798"/>
      <c r="Q270" s="798"/>
      <c r="R270" s="798"/>
      <c r="S270" s="196"/>
      <c r="T270" s="196"/>
      <c r="U270" s="196"/>
      <c r="V270" s="196"/>
      <c r="W270" s="196"/>
      <c r="X270" s="196"/>
      <c r="Y270" s="8"/>
    </row>
    <row r="271" spans="1:25" ht="15.75" customHeight="1">
      <c r="B271" s="231"/>
      <c r="C271" s="87"/>
      <c r="D271" s="87"/>
      <c r="E271" s="87"/>
      <c r="F271" s="87"/>
      <c r="G271" s="87"/>
      <c r="H271" s="191"/>
      <c r="I271" s="192"/>
      <c r="J271" s="193"/>
      <c r="K271" s="798"/>
      <c r="L271" s="798"/>
      <c r="M271" s="798"/>
      <c r="N271" s="798"/>
      <c r="O271" s="798"/>
      <c r="P271" s="798"/>
      <c r="Q271" s="798"/>
      <c r="R271" s="798"/>
      <c r="S271" s="196"/>
      <c r="T271" s="196"/>
      <c r="U271" s="196"/>
      <c r="V271" s="196"/>
      <c r="W271" s="196"/>
      <c r="X271" s="196"/>
      <c r="Y271" s="8"/>
    </row>
    <row r="272" spans="1:25">
      <c r="B272" s="231"/>
      <c r="C272" s="87"/>
      <c r="D272" s="87"/>
      <c r="E272" s="87"/>
      <c r="F272" s="87"/>
      <c r="G272" s="87"/>
      <c r="H272" s="191"/>
      <c r="I272" s="192"/>
      <c r="J272" s="193"/>
      <c r="K272" s="193"/>
      <c r="L272" s="194"/>
      <c r="M272" s="191"/>
      <c r="N272" s="192"/>
      <c r="O272" s="193"/>
      <c r="P272" s="195"/>
      <c r="Q272" s="196"/>
      <c r="R272" s="196"/>
      <c r="S272" s="196"/>
      <c r="T272" s="196"/>
      <c r="U272" s="196"/>
      <c r="V272" s="196"/>
      <c r="W272" s="196"/>
      <c r="X272" s="196"/>
      <c r="Y272" s="8"/>
    </row>
    <row r="273" spans="2:25">
      <c r="B273" s="231"/>
      <c r="C273" s="87"/>
      <c r="D273" s="87"/>
      <c r="E273" s="87"/>
      <c r="F273" s="87"/>
      <c r="G273" s="87"/>
      <c r="H273" s="191"/>
      <c r="I273" s="192"/>
      <c r="J273" s="193"/>
      <c r="K273" s="193"/>
      <c r="L273" s="194"/>
      <c r="M273" s="191"/>
      <c r="N273" s="192"/>
      <c r="O273" s="193"/>
      <c r="P273" s="195"/>
      <c r="Q273" s="196"/>
      <c r="R273" s="196"/>
      <c r="S273" s="196"/>
      <c r="T273" s="196"/>
      <c r="U273" s="196"/>
      <c r="V273" s="196"/>
      <c r="W273" s="196"/>
      <c r="X273" s="196"/>
      <c r="Y273" s="8"/>
    </row>
    <row r="274" spans="2:25">
      <c r="B274" s="231"/>
      <c r="C274" s="87"/>
      <c r="D274" s="87"/>
      <c r="E274" s="87"/>
      <c r="F274" s="87"/>
      <c r="G274" s="87"/>
      <c r="H274" s="191"/>
      <c r="I274" s="192"/>
      <c r="J274" s="193"/>
      <c r="K274" s="193"/>
      <c r="L274" s="194"/>
      <c r="M274" s="191"/>
      <c r="N274" s="192"/>
      <c r="O274" s="193"/>
      <c r="P274" s="195"/>
      <c r="Q274" s="196"/>
      <c r="R274" s="196"/>
      <c r="S274" s="196"/>
      <c r="T274" s="196"/>
      <c r="U274" s="196"/>
      <c r="V274" s="196"/>
      <c r="W274" s="196"/>
      <c r="X274" s="196"/>
      <c r="Y274" s="8"/>
    </row>
    <row r="275" spans="2:25" ht="15.75" customHeight="1">
      <c r="B275" s="231"/>
      <c r="C275" s="193"/>
      <c r="D275" s="193"/>
      <c r="E275" s="193"/>
      <c r="F275" s="193"/>
      <c r="G275" s="193"/>
      <c r="H275" s="193"/>
      <c r="I275" s="193"/>
      <c r="J275" s="193"/>
      <c r="K275" s="798" t="s">
        <v>750</v>
      </c>
      <c r="L275" s="798"/>
      <c r="M275" s="798"/>
      <c r="N275" s="798"/>
      <c r="O275" s="798"/>
      <c r="P275" s="798"/>
      <c r="Q275" s="798"/>
      <c r="R275" s="798"/>
      <c r="S275" s="798"/>
      <c r="T275" s="196"/>
      <c r="U275" s="196"/>
      <c r="V275" s="196"/>
      <c r="W275" s="196"/>
      <c r="X275" s="196"/>
      <c r="Y275" s="8"/>
    </row>
    <row r="276" spans="2:25" ht="15.75" customHeight="1">
      <c r="B276" s="231"/>
      <c r="C276" s="193"/>
      <c r="D276" s="193"/>
      <c r="E276" s="193"/>
      <c r="F276" s="193"/>
      <c r="G276" s="193"/>
      <c r="H276" s="193"/>
      <c r="I276" s="193"/>
      <c r="J276" s="193"/>
      <c r="K276" s="798"/>
      <c r="L276" s="798"/>
      <c r="M276" s="798"/>
      <c r="N276" s="798"/>
      <c r="O276" s="798"/>
      <c r="P276" s="798"/>
      <c r="Q276" s="798"/>
      <c r="R276" s="798"/>
      <c r="S276" s="798"/>
      <c r="T276" s="196"/>
      <c r="U276" s="196"/>
      <c r="V276" s="196"/>
      <c r="W276" s="196"/>
      <c r="X276" s="196"/>
      <c r="Y276" s="8"/>
    </row>
    <row r="277" spans="2:25" ht="15.75" customHeight="1">
      <c r="B277" s="231"/>
      <c r="C277" s="193"/>
      <c r="D277" s="193"/>
      <c r="E277" s="193"/>
      <c r="F277" s="193"/>
      <c r="G277" s="193"/>
      <c r="H277" s="193"/>
      <c r="I277" s="193"/>
      <c r="J277" s="193"/>
      <c r="K277" s="798"/>
      <c r="L277" s="798"/>
      <c r="M277" s="798"/>
      <c r="N277" s="798"/>
      <c r="O277" s="798"/>
      <c r="P277" s="798"/>
      <c r="Q277" s="798"/>
      <c r="R277" s="798"/>
      <c r="S277" s="798"/>
      <c r="T277" s="196"/>
      <c r="U277" s="196"/>
      <c r="V277" s="196"/>
      <c r="W277" s="196"/>
      <c r="X277" s="196"/>
      <c r="Y277" s="8"/>
    </row>
    <row r="278" spans="2:25" ht="15.75" customHeight="1">
      <c r="B278" s="231"/>
      <c r="C278" s="193"/>
      <c r="D278" s="193"/>
      <c r="E278" s="193"/>
      <c r="F278" s="193"/>
      <c r="G278" s="193"/>
      <c r="H278" s="193"/>
      <c r="I278" s="193"/>
      <c r="J278" s="193"/>
      <c r="K278" s="798"/>
      <c r="L278" s="798"/>
      <c r="M278" s="798"/>
      <c r="N278" s="798"/>
      <c r="O278" s="798"/>
      <c r="P278" s="798"/>
      <c r="Q278" s="798"/>
      <c r="R278" s="798"/>
      <c r="S278" s="798"/>
      <c r="T278" s="196"/>
      <c r="U278" s="196"/>
      <c r="V278" s="196"/>
      <c r="W278" s="196"/>
      <c r="X278" s="196"/>
      <c r="Y278" s="8"/>
    </row>
    <row r="279" spans="2:25" ht="15.75" customHeight="1">
      <c r="B279" s="231"/>
      <c r="C279" s="193"/>
      <c r="D279" s="193"/>
      <c r="E279" s="193"/>
      <c r="F279" s="193"/>
      <c r="G279" s="193"/>
      <c r="H279" s="193"/>
      <c r="I279" s="193"/>
      <c r="J279" s="193"/>
      <c r="K279" s="798"/>
      <c r="L279" s="798"/>
      <c r="M279" s="798"/>
      <c r="N279" s="798"/>
      <c r="O279" s="798"/>
      <c r="P279" s="798"/>
      <c r="Q279" s="798"/>
      <c r="R279" s="798"/>
      <c r="S279" s="798"/>
      <c r="T279" s="196"/>
      <c r="U279" s="196"/>
      <c r="V279" s="196"/>
      <c r="W279" s="196"/>
      <c r="X279" s="196"/>
      <c r="Y279" s="8"/>
    </row>
    <row r="280" spans="2:25" ht="15.75" customHeight="1">
      <c r="B280" s="231"/>
      <c r="C280" s="193"/>
      <c r="D280" s="193"/>
      <c r="E280" s="193"/>
      <c r="F280" s="193"/>
      <c r="G280" s="193"/>
      <c r="H280" s="193"/>
      <c r="I280" s="193"/>
      <c r="J280" s="193"/>
      <c r="K280" s="798"/>
      <c r="L280" s="798"/>
      <c r="M280" s="798"/>
      <c r="N280" s="798"/>
      <c r="O280" s="798"/>
      <c r="P280" s="798"/>
      <c r="Q280" s="798"/>
      <c r="R280" s="798"/>
      <c r="S280" s="798"/>
      <c r="T280" s="196"/>
      <c r="U280" s="196"/>
      <c r="V280" s="196"/>
      <c r="W280" s="196"/>
      <c r="X280" s="196"/>
      <c r="Y280" s="8"/>
    </row>
    <row r="281" spans="2:25">
      <c r="B281" s="231"/>
      <c r="C281" s="193"/>
      <c r="D281" s="193"/>
      <c r="E281" s="193"/>
      <c r="F281" s="193"/>
      <c r="G281" s="193"/>
      <c r="H281" s="193"/>
      <c r="I281" s="193"/>
      <c r="J281" s="193"/>
      <c r="K281" s="196"/>
      <c r="L281" s="196"/>
      <c r="M281" s="196"/>
      <c r="N281" s="196"/>
      <c r="O281" s="196"/>
      <c r="P281" s="196"/>
      <c r="Q281" s="196"/>
      <c r="R281" s="196"/>
      <c r="S281" s="196"/>
      <c r="T281" s="196"/>
      <c r="U281" s="196"/>
      <c r="V281" s="196"/>
      <c r="W281" s="196"/>
      <c r="X281" s="196"/>
      <c r="Y281" s="8"/>
    </row>
    <row r="282" spans="2:25">
      <c r="B282" s="231"/>
      <c r="C282" s="87"/>
      <c r="D282" s="87"/>
      <c r="E282" s="87"/>
      <c r="F282" s="87"/>
      <c r="G282" s="87"/>
      <c r="H282" s="191"/>
      <c r="I282" s="192"/>
      <c r="J282" s="193"/>
      <c r="K282" s="193"/>
      <c r="L282" s="194"/>
      <c r="M282" s="191"/>
      <c r="N282" s="192"/>
      <c r="O282" s="193"/>
      <c r="P282" s="195"/>
      <c r="Q282" s="196"/>
      <c r="R282" s="196"/>
      <c r="S282" s="196"/>
      <c r="T282" s="196"/>
      <c r="U282" s="196"/>
      <c r="V282" s="196"/>
      <c r="W282" s="196"/>
      <c r="X282" s="196"/>
      <c r="Y282" s="8"/>
    </row>
    <row r="283" spans="2:25">
      <c r="B283" s="231"/>
      <c r="C283" s="87"/>
      <c r="D283" s="87"/>
      <c r="E283" s="87"/>
      <c r="F283" s="87"/>
      <c r="G283" s="87"/>
      <c r="H283" s="191"/>
      <c r="I283" s="192"/>
      <c r="J283" s="193"/>
      <c r="K283" s="193"/>
      <c r="L283" s="194"/>
      <c r="M283" s="191"/>
      <c r="N283" s="192"/>
      <c r="O283" s="193"/>
      <c r="P283" s="195"/>
      <c r="Q283" s="196"/>
      <c r="R283" s="196"/>
      <c r="S283" s="196"/>
      <c r="T283" s="196"/>
      <c r="U283" s="196"/>
      <c r="V283" s="196"/>
      <c r="W283" s="196"/>
      <c r="X283" s="196"/>
      <c r="Y283" s="8"/>
    </row>
    <row r="284" spans="2:25">
      <c r="B284" s="231"/>
      <c r="C284" s="87"/>
      <c r="D284" s="87"/>
      <c r="E284" s="87"/>
      <c r="F284" s="87"/>
      <c r="G284" s="87"/>
      <c r="H284" s="191"/>
      <c r="I284" s="192"/>
      <c r="J284" s="193"/>
      <c r="K284" s="193"/>
      <c r="L284" s="194"/>
      <c r="M284" s="191"/>
      <c r="N284" s="192"/>
      <c r="O284" s="193"/>
      <c r="P284" s="195"/>
      <c r="Q284" s="196"/>
      <c r="R284" s="196"/>
      <c r="S284" s="196"/>
      <c r="T284" s="196"/>
      <c r="U284" s="196"/>
      <c r="V284" s="196"/>
      <c r="W284" s="196"/>
      <c r="X284" s="196"/>
      <c r="Y284" s="8"/>
    </row>
    <row r="285" spans="2:25">
      <c r="B285" s="231"/>
      <c r="C285" s="87"/>
      <c r="D285" s="87"/>
      <c r="E285" s="87"/>
      <c r="F285" s="87"/>
      <c r="G285" s="87"/>
      <c r="H285" s="191"/>
      <c r="I285" s="192"/>
      <c r="J285" s="193"/>
      <c r="K285" s="193"/>
      <c r="L285" s="194"/>
      <c r="M285" s="191"/>
      <c r="N285" s="192"/>
      <c r="O285" s="193"/>
      <c r="P285" s="195"/>
      <c r="Q285" s="196"/>
      <c r="R285" s="196"/>
      <c r="S285" s="196"/>
      <c r="T285" s="196"/>
      <c r="U285" s="196"/>
      <c r="V285" s="196"/>
      <c r="W285" s="196"/>
      <c r="X285" s="196"/>
      <c r="Y285" s="8"/>
    </row>
    <row r="286" spans="2:25">
      <c r="B286" s="231"/>
      <c r="C286" s="87"/>
      <c r="D286" s="87"/>
      <c r="E286" s="87"/>
      <c r="F286" s="87"/>
      <c r="G286" s="87"/>
      <c r="H286" s="191"/>
      <c r="I286" s="192"/>
      <c r="J286" s="193"/>
      <c r="K286" s="193"/>
      <c r="L286" s="194"/>
      <c r="M286" s="191"/>
      <c r="N286" s="192"/>
      <c r="O286" s="193"/>
      <c r="P286" s="195"/>
      <c r="Q286" s="196"/>
      <c r="R286" s="196"/>
      <c r="S286" s="196"/>
      <c r="T286" s="196"/>
      <c r="U286" s="196"/>
      <c r="V286" s="196"/>
      <c r="W286" s="196"/>
      <c r="X286" s="196"/>
      <c r="Y286" s="8"/>
    </row>
    <row r="287" spans="2:25" ht="26.25">
      <c r="B287" s="231"/>
      <c r="C287" s="750" t="s">
        <v>751</v>
      </c>
      <c r="D287" s="87"/>
      <c r="E287" s="87"/>
      <c r="F287" s="87"/>
      <c r="G287" s="87"/>
      <c r="H287" s="191"/>
      <c r="I287" s="192"/>
      <c r="J287" s="193"/>
      <c r="K287" s="193"/>
      <c r="L287" s="194"/>
      <c r="M287" s="191"/>
      <c r="N287" s="192"/>
      <c r="O287" s="193"/>
      <c r="P287" s="195"/>
      <c r="Q287" s="196"/>
      <c r="R287" s="196"/>
      <c r="S287" s="196"/>
      <c r="T287" s="196"/>
      <c r="U287" s="196"/>
      <c r="V287" s="196"/>
      <c r="W287" s="196"/>
      <c r="X287" s="196"/>
      <c r="Y287" s="8"/>
    </row>
    <row r="288" spans="2:25">
      <c r="B288" s="231"/>
      <c r="C288" s="87"/>
      <c r="D288" s="87"/>
      <c r="E288" s="87"/>
      <c r="F288" s="87"/>
      <c r="G288" s="87"/>
      <c r="H288" s="191"/>
      <c r="I288" s="192"/>
      <c r="J288" s="193"/>
      <c r="K288" s="193"/>
      <c r="L288" s="194"/>
      <c r="M288" s="191"/>
      <c r="N288" s="192"/>
      <c r="O288" s="193"/>
      <c r="P288" s="195"/>
      <c r="Q288" s="196"/>
      <c r="R288" s="196"/>
      <c r="S288" s="196"/>
      <c r="T288" s="196"/>
      <c r="U288" s="196"/>
      <c r="V288" s="196"/>
      <c r="W288" s="196"/>
      <c r="X288" s="196"/>
      <c r="Y288" s="8"/>
    </row>
    <row r="289" spans="2:25">
      <c r="B289" s="231"/>
      <c r="C289" s="87"/>
      <c r="D289" s="87"/>
      <c r="E289" s="87"/>
      <c r="F289" s="87"/>
      <c r="G289" s="87"/>
      <c r="H289" s="191"/>
      <c r="I289" s="192"/>
      <c r="J289" s="193"/>
      <c r="K289" s="193"/>
      <c r="L289" s="194"/>
      <c r="M289" s="191"/>
      <c r="N289" s="192"/>
      <c r="O289" s="193"/>
      <c r="P289" s="195"/>
      <c r="Q289" s="196"/>
      <c r="R289" s="196"/>
      <c r="S289" s="196"/>
      <c r="T289" s="196"/>
      <c r="U289" s="196"/>
      <c r="V289" s="196"/>
      <c r="W289" s="196"/>
      <c r="X289" s="196"/>
      <c r="Y289" s="8"/>
    </row>
    <row r="290" spans="2:25" ht="15.75" customHeight="1">
      <c r="B290" s="231"/>
      <c r="C290" s="87"/>
      <c r="D290" s="87"/>
      <c r="E290" s="87"/>
      <c r="F290" s="87"/>
      <c r="G290" s="87"/>
      <c r="H290" s="191"/>
      <c r="I290" s="192"/>
      <c r="J290" s="193"/>
      <c r="K290" s="798" t="s">
        <v>752</v>
      </c>
      <c r="L290" s="798"/>
      <c r="M290" s="798"/>
      <c r="N290" s="798"/>
      <c r="O290" s="798"/>
      <c r="P290" s="798"/>
      <c r="Q290" s="798"/>
      <c r="R290" s="798"/>
      <c r="S290" s="798"/>
      <c r="T290" s="196"/>
      <c r="U290" s="196"/>
      <c r="V290" s="196"/>
      <c r="W290" s="196"/>
      <c r="X290" s="196"/>
      <c r="Y290" s="8"/>
    </row>
    <row r="291" spans="2:25" ht="26.25">
      <c r="B291" s="231"/>
      <c r="C291" s="87"/>
      <c r="D291" s="87"/>
      <c r="E291" s="693"/>
      <c r="F291" s="87"/>
      <c r="G291" s="87"/>
      <c r="H291" s="191"/>
      <c r="I291" s="192"/>
      <c r="J291" s="193"/>
      <c r="K291" s="798"/>
      <c r="L291" s="798"/>
      <c r="M291" s="798"/>
      <c r="N291" s="798"/>
      <c r="O291" s="798"/>
      <c r="P291" s="798"/>
      <c r="Q291" s="798"/>
      <c r="R291" s="798"/>
      <c r="S291" s="798"/>
      <c r="T291" s="196"/>
      <c r="U291" s="196"/>
      <c r="V291" s="196"/>
      <c r="W291" s="196"/>
      <c r="X291" s="196"/>
      <c r="Y291" s="8"/>
    </row>
    <row r="292" spans="2:25" ht="15.75" customHeight="1">
      <c r="B292" s="231"/>
      <c r="C292" s="87"/>
      <c r="D292" s="87"/>
      <c r="E292" s="87"/>
      <c r="F292" s="87"/>
      <c r="G292" s="87"/>
      <c r="H292" s="191"/>
      <c r="I292" s="192"/>
      <c r="J292" s="193"/>
      <c r="K292" s="798"/>
      <c r="L292" s="798"/>
      <c r="M292" s="798"/>
      <c r="N292" s="798"/>
      <c r="O292" s="798"/>
      <c r="P292" s="798"/>
      <c r="Q292" s="798"/>
      <c r="R292" s="798"/>
      <c r="S292" s="798"/>
      <c r="T292" s="196"/>
      <c r="U292" s="196"/>
      <c r="V292" s="196"/>
      <c r="W292" s="196"/>
      <c r="X292" s="196"/>
      <c r="Y292" s="8"/>
    </row>
    <row r="293" spans="2:25" ht="26.25">
      <c r="B293" s="231"/>
      <c r="C293" s="87"/>
      <c r="D293" s="87"/>
      <c r="E293" s="748"/>
      <c r="F293" s="87"/>
      <c r="G293" s="87"/>
      <c r="H293" s="191"/>
      <c r="I293" s="192"/>
      <c r="J293" s="193"/>
      <c r="K293" s="798"/>
      <c r="L293" s="798"/>
      <c r="M293" s="798"/>
      <c r="N293" s="798"/>
      <c r="O293" s="798"/>
      <c r="P293" s="798"/>
      <c r="Q293" s="798"/>
      <c r="R293" s="798"/>
      <c r="S293" s="798"/>
      <c r="T293" s="196"/>
      <c r="U293" s="196"/>
      <c r="V293" s="196"/>
      <c r="W293" s="196"/>
      <c r="X293" s="196"/>
      <c r="Y293" s="8"/>
    </row>
    <row r="294" spans="2:25" ht="26.25">
      <c r="B294" s="231"/>
      <c r="C294" s="87"/>
      <c r="D294" s="87"/>
      <c r="E294" s="694"/>
      <c r="F294" s="87"/>
      <c r="G294" s="87"/>
      <c r="H294" s="191"/>
      <c r="I294" s="192"/>
      <c r="J294" s="193"/>
      <c r="K294" s="798" t="s">
        <v>753</v>
      </c>
      <c r="L294" s="798"/>
      <c r="M294" s="798"/>
      <c r="N294" s="798"/>
      <c r="O294" s="798"/>
      <c r="P294" s="798"/>
      <c r="Q294" s="798"/>
      <c r="R294" s="798"/>
      <c r="S294" s="798"/>
      <c r="T294" s="196"/>
      <c r="U294" s="196"/>
      <c r="V294" s="196"/>
      <c r="W294" s="196"/>
      <c r="X294" s="196"/>
      <c r="Y294" s="8"/>
    </row>
    <row r="295" spans="2:25" ht="15.75" customHeight="1">
      <c r="B295" s="231"/>
      <c r="C295" s="87"/>
      <c r="D295" s="87"/>
      <c r="E295" s="87"/>
      <c r="F295" s="87"/>
      <c r="G295" s="87"/>
      <c r="H295" s="191"/>
      <c r="I295" s="192"/>
      <c r="J295" s="193"/>
      <c r="K295" s="798"/>
      <c r="L295" s="798"/>
      <c r="M295" s="798"/>
      <c r="N295" s="798"/>
      <c r="O295" s="798"/>
      <c r="P295" s="798"/>
      <c r="Q295" s="798"/>
      <c r="R295" s="798"/>
      <c r="S295" s="798"/>
      <c r="T295" s="196"/>
      <c r="U295" s="196"/>
      <c r="V295" s="196"/>
      <c r="W295" s="196"/>
      <c r="X295" s="196"/>
      <c r="Y295" s="8"/>
    </row>
    <row r="296" spans="2:25" ht="15.75" customHeight="1">
      <c r="B296" s="231"/>
      <c r="C296" s="87"/>
      <c r="D296" s="87"/>
      <c r="E296" s="87"/>
      <c r="F296" s="87"/>
      <c r="G296" s="87"/>
      <c r="H296" s="191"/>
      <c r="I296" s="192"/>
      <c r="J296" s="193"/>
      <c r="K296" s="798"/>
      <c r="L296" s="798"/>
      <c r="M296" s="798"/>
      <c r="N296" s="798"/>
      <c r="O296" s="798"/>
      <c r="P296" s="798"/>
      <c r="Q296" s="798"/>
      <c r="R296" s="798"/>
      <c r="S296" s="798"/>
      <c r="T296" s="196"/>
      <c r="U296" s="196"/>
      <c r="V296" s="196"/>
      <c r="W296" s="196"/>
      <c r="X296" s="196"/>
      <c r="Y296" s="8"/>
    </row>
    <row r="297" spans="2:25" ht="15.75" customHeight="1">
      <c r="B297" s="231"/>
      <c r="C297" s="87"/>
      <c r="D297" s="87"/>
      <c r="E297" s="87"/>
      <c r="F297" s="87"/>
      <c r="G297" s="87"/>
      <c r="H297" s="191"/>
      <c r="I297" s="192"/>
      <c r="J297" s="193"/>
      <c r="K297" s="798"/>
      <c r="L297" s="798"/>
      <c r="M297" s="798"/>
      <c r="N297" s="798"/>
      <c r="O297" s="798"/>
      <c r="P297" s="798"/>
      <c r="Q297" s="798"/>
      <c r="R297" s="798"/>
      <c r="S297" s="798"/>
      <c r="T297" s="196"/>
      <c r="U297" s="196"/>
      <c r="V297" s="196"/>
      <c r="W297" s="196"/>
      <c r="X297" s="196"/>
      <c r="Y297" s="8"/>
    </row>
    <row r="298" spans="2:25" ht="15.75" customHeight="1">
      <c r="B298" s="231"/>
      <c r="C298" s="87"/>
      <c r="D298" s="87"/>
      <c r="E298" s="87"/>
      <c r="F298" s="87"/>
      <c r="G298" s="87"/>
      <c r="H298" s="191"/>
      <c r="I298" s="192"/>
      <c r="J298" s="193"/>
      <c r="K298" s="798"/>
      <c r="L298" s="798"/>
      <c r="M298" s="798"/>
      <c r="N298" s="798"/>
      <c r="O298" s="798"/>
      <c r="P298" s="798"/>
      <c r="Q298" s="798"/>
      <c r="R298" s="798"/>
      <c r="S298" s="798"/>
      <c r="T298" s="196"/>
      <c r="U298" s="196"/>
      <c r="V298" s="196"/>
      <c r="W298" s="196"/>
      <c r="X298" s="196"/>
      <c r="Y298" s="8"/>
    </row>
    <row r="299" spans="2:25">
      <c r="B299" s="231"/>
      <c r="C299" s="87"/>
      <c r="D299" s="87"/>
      <c r="E299" s="87"/>
      <c r="F299" s="87"/>
      <c r="G299" s="87"/>
      <c r="H299" s="191"/>
      <c r="I299" s="192"/>
      <c r="J299" s="193"/>
      <c r="K299" s="193"/>
      <c r="L299" s="194"/>
      <c r="M299" s="191"/>
      <c r="N299" s="192"/>
      <c r="O299" s="193"/>
      <c r="P299" s="195"/>
      <c r="Q299" s="196"/>
      <c r="R299" s="196"/>
      <c r="S299" s="196"/>
      <c r="T299" s="196"/>
      <c r="U299" s="196"/>
      <c r="V299" s="196"/>
      <c r="W299" s="196"/>
      <c r="X299" s="196"/>
      <c r="Y299" s="8"/>
    </row>
    <row r="300" spans="2:25">
      <c r="B300" s="231"/>
      <c r="C300" s="87"/>
      <c r="D300" s="87"/>
      <c r="E300" s="87"/>
      <c r="F300" s="87"/>
      <c r="G300" s="87"/>
      <c r="H300" s="191"/>
      <c r="I300" s="192"/>
      <c r="J300" s="193"/>
      <c r="K300" s="798" t="s">
        <v>754</v>
      </c>
      <c r="L300" s="798"/>
      <c r="M300" s="798"/>
      <c r="N300" s="798"/>
      <c r="O300" s="798"/>
      <c r="P300" s="798"/>
      <c r="Q300" s="798"/>
      <c r="R300" s="798"/>
      <c r="S300" s="798"/>
      <c r="T300" s="196"/>
      <c r="U300" s="196"/>
      <c r="V300" s="196"/>
      <c r="W300" s="196"/>
      <c r="X300" s="196"/>
      <c r="Y300" s="8"/>
    </row>
    <row r="301" spans="2:25">
      <c r="B301" s="231"/>
      <c r="C301" s="87"/>
      <c r="D301" s="87"/>
      <c r="E301" s="87"/>
      <c r="F301" s="87"/>
      <c r="G301" s="87"/>
      <c r="H301" s="191"/>
      <c r="I301" s="192"/>
      <c r="J301" s="193"/>
      <c r="K301" s="798"/>
      <c r="L301" s="798"/>
      <c r="M301" s="798"/>
      <c r="N301" s="798"/>
      <c r="O301" s="798"/>
      <c r="P301" s="798"/>
      <c r="Q301" s="798"/>
      <c r="R301" s="798"/>
      <c r="S301" s="798"/>
      <c r="T301" s="196"/>
      <c r="U301" s="196"/>
      <c r="V301" s="196"/>
      <c r="W301" s="196"/>
      <c r="X301" s="196"/>
      <c r="Y301" s="8"/>
    </row>
    <row r="302" spans="2:25">
      <c r="B302" s="231"/>
      <c r="C302" s="87"/>
      <c r="D302" s="87"/>
      <c r="E302" s="87"/>
      <c r="F302" s="87"/>
      <c r="G302" s="87"/>
      <c r="H302" s="191"/>
      <c r="I302" s="192"/>
      <c r="J302" s="193"/>
      <c r="K302" s="798"/>
      <c r="L302" s="798"/>
      <c r="M302" s="798"/>
      <c r="N302" s="798"/>
      <c r="O302" s="798"/>
      <c r="P302" s="798"/>
      <c r="Q302" s="798"/>
      <c r="R302" s="798"/>
      <c r="S302" s="798"/>
      <c r="T302" s="196"/>
      <c r="U302" s="196"/>
      <c r="V302" s="196"/>
      <c r="W302" s="196"/>
      <c r="X302" s="196"/>
      <c r="Y302" s="8"/>
    </row>
    <row r="303" spans="2:25">
      <c r="B303" s="231"/>
      <c r="C303" s="87"/>
      <c r="D303" s="87"/>
      <c r="E303" s="87"/>
      <c r="F303" s="87"/>
      <c r="G303" s="87"/>
      <c r="H303" s="191"/>
      <c r="I303" s="192"/>
      <c r="J303" s="193"/>
      <c r="K303" s="798"/>
      <c r="L303" s="798"/>
      <c r="M303" s="798"/>
      <c r="N303" s="798"/>
      <c r="O303" s="798"/>
      <c r="P303" s="798"/>
      <c r="Q303" s="798"/>
      <c r="R303" s="798"/>
      <c r="S303" s="798"/>
      <c r="T303" s="196"/>
      <c r="U303" s="196"/>
      <c r="V303" s="196"/>
      <c r="W303" s="196"/>
      <c r="X303" s="196"/>
      <c r="Y303" s="8"/>
    </row>
    <row r="304" spans="2:25">
      <c r="B304" s="231"/>
      <c r="C304" s="87"/>
      <c r="D304" s="87"/>
      <c r="E304" s="87"/>
      <c r="F304" s="87"/>
      <c r="G304" s="87"/>
      <c r="H304" s="191"/>
      <c r="I304" s="192"/>
      <c r="J304" s="193"/>
      <c r="K304" s="798"/>
      <c r="L304" s="798"/>
      <c r="M304" s="798"/>
      <c r="N304" s="798"/>
      <c r="O304" s="798"/>
      <c r="P304" s="798"/>
      <c r="Q304" s="798"/>
      <c r="R304" s="798"/>
      <c r="S304" s="798"/>
      <c r="T304" s="196"/>
      <c r="U304" s="196"/>
      <c r="V304" s="196"/>
      <c r="W304" s="196"/>
      <c r="X304" s="196"/>
      <c r="Y304" s="8"/>
    </row>
    <row r="305" spans="2:25">
      <c r="B305" s="231"/>
      <c r="C305" s="87"/>
      <c r="D305" s="87"/>
      <c r="E305" s="87"/>
      <c r="F305" s="87"/>
      <c r="G305" s="87"/>
      <c r="H305" s="191"/>
      <c r="I305" s="192"/>
      <c r="J305" s="193"/>
      <c r="K305" s="193"/>
      <c r="L305" s="194"/>
      <c r="M305" s="191"/>
      <c r="N305" s="192"/>
      <c r="O305" s="193"/>
      <c r="P305" s="195"/>
      <c r="Q305" s="196"/>
      <c r="R305" s="196"/>
      <c r="S305" s="196"/>
      <c r="T305" s="196"/>
      <c r="U305" s="196"/>
      <c r="V305" s="196"/>
      <c r="W305" s="196"/>
      <c r="X305" s="196"/>
      <c r="Y305" s="8"/>
    </row>
    <row r="306" spans="2:25">
      <c r="B306" s="231"/>
      <c r="C306" s="87"/>
      <c r="D306" s="87"/>
      <c r="E306" s="87"/>
      <c r="F306" s="87"/>
      <c r="G306" s="87"/>
      <c r="H306" s="191"/>
      <c r="I306" s="192"/>
      <c r="J306" s="193"/>
      <c r="K306" s="193"/>
      <c r="L306" s="194"/>
      <c r="M306" s="191"/>
      <c r="N306" s="192"/>
      <c r="O306" s="193"/>
      <c r="P306" s="195"/>
      <c r="Q306" s="196"/>
      <c r="R306" s="196"/>
      <c r="S306" s="196"/>
      <c r="T306" s="196"/>
      <c r="U306" s="196"/>
      <c r="V306" s="196"/>
      <c r="W306" s="196"/>
      <c r="X306" s="196"/>
      <c r="Y306" s="8"/>
    </row>
    <row r="307" spans="2:25">
      <c r="B307" s="231"/>
      <c r="C307" s="87"/>
      <c r="D307" s="87"/>
      <c r="E307" s="87"/>
      <c r="F307" s="87"/>
      <c r="G307" s="87"/>
      <c r="H307" s="191"/>
      <c r="I307" s="192"/>
      <c r="J307" s="193"/>
      <c r="K307" s="193"/>
      <c r="L307" s="194"/>
      <c r="M307" s="191"/>
      <c r="N307" s="192"/>
      <c r="O307" s="193"/>
      <c r="P307" s="195"/>
      <c r="Q307" s="196"/>
      <c r="R307" s="196"/>
      <c r="S307" s="196"/>
      <c r="T307" s="196"/>
      <c r="U307" s="196"/>
      <c r="V307" s="196"/>
      <c r="W307" s="196"/>
      <c r="X307" s="196"/>
      <c r="Y307" s="8"/>
    </row>
    <row r="308" spans="2:25">
      <c r="B308" s="231"/>
      <c r="C308" s="87"/>
      <c r="D308" s="87"/>
      <c r="E308" s="87"/>
      <c r="F308" s="87"/>
      <c r="G308" s="87"/>
      <c r="H308" s="191"/>
      <c r="I308" s="192"/>
      <c r="J308" s="193"/>
      <c r="K308" s="193"/>
      <c r="L308" s="194"/>
      <c r="M308" s="191"/>
      <c r="N308" s="192"/>
      <c r="O308" s="193"/>
      <c r="P308" s="195"/>
      <c r="Q308" s="196"/>
      <c r="R308" s="196"/>
      <c r="S308" s="196"/>
      <c r="T308" s="196"/>
      <c r="U308" s="196"/>
      <c r="V308" s="196"/>
      <c r="W308" s="196"/>
      <c r="X308" s="196"/>
      <c r="Y308" s="8"/>
    </row>
    <row r="309" spans="2:25">
      <c r="B309" s="231"/>
      <c r="C309" s="87"/>
      <c r="D309" s="87"/>
      <c r="E309" s="87"/>
      <c r="F309" s="87"/>
      <c r="G309" s="87"/>
      <c r="H309" s="191"/>
      <c r="I309" s="192"/>
      <c r="J309" s="193"/>
      <c r="K309" s="193"/>
      <c r="L309" s="194"/>
      <c r="M309" s="191"/>
      <c r="N309" s="192"/>
      <c r="O309" s="193"/>
      <c r="P309" s="195"/>
      <c r="Q309" s="196"/>
      <c r="R309" s="196"/>
      <c r="S309" s="196"/>
      <c r="T309" s="196"/>
      <c r="U309" s="196"/>
      <c r="V309" s="196"/>
      <c r="W309" s="196"/>
      <c r="X309" s="196"/>
      <c r="Y309" s="8"/>
    </row>
    <row r="310" spans="2:25">
      <c r="B310" s="231"/>
      <c r="C310" s="87"/>
      <c r="D310" s="87"/>
      <c r="E310" s="87"/>
      <c r="F310" s="87"/>
      <c r="G310" s="87"/>
      <c r="H310" s="191"/>
      <c r="I310" s="192"/>
      <c r="J310" s="193"/>
      <c r="K310" s="193"/>
      <c r="L310" s="194"/>
      <c r="M310" s="191"/>
      <c r="N310" s="192"/>
      <c r="O310" s="193"/>
      <c r="P310" s="195"/>
      <c r="Q310" s="196"/>
      <c r="R310" s="196"/>
      <c r="S310" s="196"/>
      <c r="T310" s="196"/>
      <c r="U310" s="196"/>
      <c r="V310" s="196"/>
      <c r="W310" s="196"/>
      <c r="X310" s="196"/>
      <c r="Y310" s="8"/>
    </row>
    <row r="311" spans="2:25">
      <c r="B311" s="231"/>
      <c r="C311" s="87"/>
      <c r="D311" s="87"/>
      <c r="E311" s="87"/>
      <c r="F311" s="87"/>
      <c r="G311" s="87"/>
      <c r="H311" s="191"/>
      <c r="I311" s="192"/>
      <c r="J311" s="193"/>
      <c r="K311" s="193"/>
      <c r="L311" s="194"/>
      <c r="M311" s="191"/>
      <c r="N311" s="192"/>
      <c r="O311" s="193"/>
      <c r="P311" s="195"/>
      <c r="Q311" s="196"/>
      <c r="R311" s="196"/>
      <c r="S311" s="196"/>
      <c r="T311" s="196"/>
      <c r="U311" s="196"/>
      <c r="V311" s="196"/>
      <c r="W311" s="196"/>
      <c r="X311" s="196"/>
      <c r="Y311" s="8"/>
    </row>
    <row r="312" spans="2:25">
      <c r="B312" s="231"/>
      <c r="C312" s="87"/>
      <c r="D312" s="87"/>
      <c r="E312" s="87"/>
      <c r="F312" s="87"/>
      <c r="G312" s="87"/>
      <c r="H312" s="191"/>
      <c r="I312" s="192"/>
      <c r="J312" s="193"/>
      <c r="K312" s="193"/>
      <c r="L312" s="194"/>
      <c r="M312" s="191"/>
      <c r="N312" s="192"/>
      <c r="O312" s="193"/>
      <c r="P312" s="195"/>
      <c r="Q312" s="196"/>
      <c r="R312" s="196"/>
      <c r="S312" s="196"/>
      <c r="T312" s="196"/>
      <c r="U312" s="196"/>
      <c r="V312" s="196"/>
      <c r="W312" s="196"/>
      <c r="X312" s="196"/>
      <c r="Y312" s="8"/>
    </row>
    <row r="313" spans="2:25" ht="15.75" customHeight="1">
      <c r="B313" s="231"/>
      <c r="C313" s="798" t="s">
        <v>755</v>
      </c>
      <c r="D313" s="798"/>
      <c r="E313" s="798"/>
      <c r="F313" s="798"/>
      <c r="G313" s="798"/>
      <c r="H313" s="798"/>
      <c r="I313" s="798"/>
      <c r="J313" s="798"/>
      <c r="K313" s="798"/>
      <c r="L313" s="798"/>
      <c r="M313" s="798"/>
      <c r="N313" s="798"/>
      <c r="O313" s="798"/>
      <c r="P313" s="798"/>
      <c r="Q313" s="798"/>
      <c r="R313" s="798"/>
      <c r="S313" s="798"/>
      <c r="T313" s="196"/>
      <c r="U313" s="196"/>
      <c r="V313" s="196"/>
      <c r="W313" s="196"/>
      <c r="X313" s="196"/>
      <c r="Y313" s="8"/>
    </row>
    <row r="314" spans="2:25" ht="15.75" customHeight="1">
      <c r="B314" s="231"/>
      <c r="C314" s="798"/>
      <c r="D314" s="798"/>
      <c r="E314" s="798"/>
      <c r="F314" s="798"/>
      <c r="G314" s="798"/>
      <c r="H314" s="798"/>
      <c r="I314" s="798"/>
      <c r="J314" s="798"/>
      <c r="K314" s="798"/>
      <c r="L314" s="798"/>
      <c r="M314" s="798"/>
      <c r="N314" s="798"/>
      <c r="O314" s="798"/>
      <c r="P314" s="798"/>
      <c r="Q314" s="798"/>
      <c r="R314" s="798"/>
      <c r="S314" s="798"/>
      <c r="T314" s="196"/>
      <c r="U314" s="196"/>
      <c r="V314" s="196"/>
      <c r="W314" s="196"/>
      <c r="X314" s="196"/>
      <c r="Y314" s="8"/>
    </row>
    <row r="315" spans="2:25" ht="15.75" customHeight="1">
      <c r="B315" s="231"/>
      <c r="C315" s="798"/>
      <c r="D315" s="798"/>
      <c r="E315" s="798"/>
      <c r="F315" s="798"/>
      <c r="G315" s="798"/>
      <c r="H315" s="798"/>
      <c r="I315" s="798"/>
      <c r="J315" s="798"/>
      <c r="K315" s="798"/>
      <c r="L315" s="798"/>
      <c r="M315" s="798"/>
      <c r="N315" s="798"/>
      <c r="O315" s="798"/>
      <c r="P315" s="798"/>
      <c r="Q315" s="798"/>
      <c r="R315" s="798"/>
      <c r="S315" s="798"/>
      <c r="T315" s="196"/>
      <c r="U315" s="196"/>
      <c r="V315" s="196"/>
      <c r="W315" s="196"/>
      <c r="X315" s="196"/>
      <c r="Y315" s="8"/>
    </row>
    <row r="316" spans="2:25" ht="15.75" customHeight="1">
      <c r="B316" s="231"/>
      <c r="C316" s="798"/>
      <c r="D316" s="798"/>
      <c r="E316" s="798"/>
      <c r="F316" s="798"/>
      <c r="G316" s="798"/>
      <c r="H316" s="798"/>
      <c r="I316" s="798"/>
      <c r="J316" s="798"/>
      <c r="K316" s="798"/>
      <c r="L316" s="798"/>
      <c r="M316" s="798"/>
      <c r="N316" s="798"/>
      <c r="O316" s="798"/>
      <c r="P316" s="798"/>
      <c r="Q316" s="798"/>
      <c r="R316" s="798"/>
      <c r="S316" s="798"/>
      <c r="T316" s="196"/>
      <c r="U316" s="196"/>
      <c r="V316" s="196"/>
      <c r="W316" s="196"/>
      <c r="X316" s="196"/>
      <c r="Y316" s="8"/>
    </row>
    <row r="317" spans="2:25" ht="15.75" customHeight="1">
      <c r="B317" s="231"/>
      <c r="C317" s="798"/>
      <c r="D317" s="798"/>
      <c r="E317" s="798"/>
      <c r="F317" s="798"/>
      <c r="G317" s="798"/>
      <c r="H317" s="798"/>
      <c r="I317" s="798"/>
      <c r="J317" s="798"/>
      <c r="K317" s="798"/>
      <c r="L317" s="798"/>
      <c r="M317" s="798"/>
      <c r="N317" s="798"/>
      <c r="O317" s="798"/>
      <c r="P317" s="798"/>
      <c r="Q317" s="798"/>
      <c r="R317" s="798"/>
      <c r="S317" s="798"/>
      <c r="T317" s="196"/>
      <c r="U317" s="196"/>
      <c r="V317" s="196"/>
      <c r="W317" s="196"/>
      <c r="X317" s="196"/>
      <c r="Y317" s="8"/>
    </row>
    <row r="318" spans="2:25" ht="15.75" customHeight="1">
      <c r="B318" s="231"/>
      <c r="C318" s="798"/>
      <c r="D318" s="798"/>
      <c r="E318" s="798"/>
      <c r="F318" s="798"/>
      <c r="G318" s="798"/>
      <c r="H318" s="798"/>
      <c r="I318" s="798"/>
      <c r="J318" s="798"/>
      <c r="K318" s="798"/>
      <c r="L318" s="798"/>
      <c r="M318" s="798"/>
      <c r="N318" s="798"/>
      <c r="O318" s="798"/>
      <c r="P318" s="798"/>
      <c r="Q318" s="798"/>
      <c r="R318" s="798"/>
      <c r="S318" s="798"/>
      <c r="T318" s="196"/>
      <c r="U318" s="196"/>
      <c r="V318" s="196"/>
      <c r="W318" s="196"/>
      <c r="X318" s="196"/>
      <c r="Y318" s="8"/>
    </row>
    <row r="319" spans="2:25" ht="15.75" customHeight="1">
      <c r="B319" s="231"/>
      <c r="C319" s="798"/>
      <c r="D319" s="798"/>
      <c r="E319" s="798"/>
      <c r="F319" s="798"/>
      <c r="G319" s="798"/>
      <c r="H319" s="798"/>
      <c r="I319" s="798"/>
      <c r="J319" s="798"/>
      <c r="K319" s="798"/>
      <c r="L319" s="798"/>
      <c r="M319" s="798"/>
      <c r="N319" s="798"/>
      <c r="O319" s="798"/>
      <c r="P319" s="798"/>
      <c r="Q319" s="798"/>
      <c r="R319" s="798"/>
      <c r="S319" s="798"/>
      <c r="T319" s="196"/>
      <c r="U319" s="196"/>
      <c r="V319" s="196"/>
      <c r="W319" s="196"/>
      <c r="X319" s="196"/>
      <c r="Y319" s="8"/>
    </row>
    <row r="320" spans="2:25" ht="15.75" customHeight="1">
      <c r="B320" s="231"/>
      <c r="C320" s="798"/>
      <c r="D320" s="798"/>
      <c r="E320" s="798"/>
      <c r="F320" s="798"/>
      <c r="G320" s="798"/>
      <c r="H320" s="798"/>
      <c r="I320" s="798"/>
      <c r="J320" s="798"/>
      <c r="K320" s="798"/>
      <c r="L320" s="798"/>
      <c r="M320" s="798"/>
      <c r="N320" s="798"/>
      <c r="O320" s="798"/>
      <c r="P320" s="798"/>
      <c r="Q320" s="798"/>
      <c r="R320" s="798"/>
      <c r="S320" s="798"/>
      <c r="T320" s="196"/>
      <c r="U320" s="196"/>
      <c r="V320" s="196"/>
      <c r="W320" s="196"/>
      <c r="X320" s="196"/>
      <c r="Y320" s="8"/>
    </row>
    <row r="321" spans="2:25" ht="15.75" customHeight="1">
      <c r="B321" s="231"/>
      <c r="C321" s="798"/>
      <c r="D321" s="798"/>
      <c r="E321" s="798"/>
      <c r="F321" s="798"/>
      <c r="G321" s="798"/>
      <c r="H321" s="798"/>
      <c r="I321" s="798"/>
      <c r="J321" s="798"/>
      <c r="K321" s="798"/>
      <c r="L321" s="798"/>
      <c r="M321" s="798"/>
      <c r="N321" s="798"/>
      <c r="O321" s="798"/>
      <c r="P321" s="798"/>
      <c r="Q321" s="798"/>
      <c r="R321" s="798"/>
      <c r="S321" s="798"/>
      <c r="T321" s="196"/>
      <c r="U321" s="196"/>
      <c r="V321" s="196"/>
      <c r="W321" s="196"/>
      <c r="X321" s="196"/>
      <c r="Y321" s="8"/>
    </row>
    <row r="322" spans="2:25" ht="15.75" customHeight="1">
      <c r="B322" s="231"/>
      <c r="C322" s="798"/>
      <c r="D322" s="798"/>
      <c r="E322" s="798"/>
      <c r="F322" s="798"/>
      <c r="G322" s="798"/>
      <c r="H322" s="798"/>
      <c r="I322" s="798"/>
      <c r="J322" s="798"/>
      <c r="K322" s="798"/>
      <c r="L322" s="798"/>
      <c r="M322" s="798"/>
      <c r="N322" s="798"/>
      <c r="O322" s="798"/>
      <c r="P322" s="798"/>
      <c r="Q322" s="798"/>
      <c r="R322" s="798"/>
      <c r="S322" s="798"/>
      <c r="T322" s="196"/>
      <c r="U322" s="196"/>
      <c r="V322" s="196"/>
      <c r="W322" s="196"/>
      <c r="X322" s="196"/>
      <c r="Y322" s="8"/>
    </row>
    <row r="323" spans="2:25" ht="15.75" customHeight="1">
      <c r="B323" s="231"/>
      <c r="C323" s="798"/>
      <c r="D323" s="798"/>
      <c r="E323" s="798"/>
      <c r="F323" s="798"/>
      <c r="G323" s="798"/>
      <c r="H323" s="798"/>
      <c r="I323" s="798"/>
      <c r="J323" s="798"/>
      <c r="K323" s="798"/>
      <c r="L323" s="798"/>
      <c r="M323" s="798"/>
      <c r="N323" s="798"/>
      <c r="O323" s="798"/>
      <c r="P323" s="798"/>
      <c r="Q323" s="798"/>
      <c r="R323" s="798"/>
      <c r="S323" s="798"/>
      <c r="T323" s="196"/>
      <c r="U323" s="196"/>
      <c r="V323" s="196"/>
      <c r="W323" s="196"/>
      <c r="X323" s="196"/>
      <c r="Y323" s="8"/>
    </row>
    <row r="324" spans="2:25" ht="15.75" customHeight="1">
      <c r="B324" s="231"/>
      <c r="C324" s="798"/>
      <c r="D324" s="798"/>
      <c r="E324" s="798"/>
      <c r="F324" s="798"/>
      <c r="G324" s="798"/>
      <c r="H324" s="798"/>
      <c r="I324" s="798"/>
      <c r="J324" s="798"/>
      <c r="K324" s="798"/>
      <c r="L324" s="798"/>
      <c r="M324" s="798"/>
      <c r="N324" s="798"/>
      <c r="O324" s="798"/>
      <c r="P324" s="798"/>
      <c r="Q324" s="798"/>
      <c r="R324" s="798"/>
      <c r="S324" s="798"/>
      <c r="T324" s="196"/>
      <c r="U324" s="196"/>
      <c r="V324" s="196"/>
      <c r="W324" s="196"/>
      <c r="X324" s="196"/>
      <c r="Y324" s="8"/>
    </row>
    <row r="325" spans="2:25" ht="15.75" customHeight="1">
      <c r="B325" s="231"/>
      <c r="C325" s="798"/>
      <c r="D325" s="798"/>
      <c r="E325" s="798"/>
      <c r="F325" s="798"/>
      <c r="G325" s="798"/>
      <c r="H325" s="798"/>
      <c r="I325" s="798"/>
      <c r="J325" s="798"/>
      <c r="K325" s="798"/>
      <c r="L325" s="798"/>
      <c r="M325" s="798"/>
      <c r="N325" s="798"/>
      <c r="O325" s="798"/>
      <c r="P325" s="798"/>
      <c r="Q325" s="798"/>
      <c r="R325" s="798"/>
      <c r="S325" s="798"/>
      <c r="T325" s="196"/>
      <c r="U325" s="196"/>
      <c r="V325" s="196"/>
      <c r="W325" s="196"/>
      <c r="X325" s="196"/>
      <c r="Y325" s="8"/>
    </row>
    <row r="326" spans="2:25" ht="15.75" customHeight="1">
      <c r="B326" s="231"/>
      <c r="C326" s="798"/>
      <c r="D326" s="798"/>
      <c r="E326" s="798"/>
      <c r="F326" s="798"/>
      <c r="G326" s="798"/>
      <c r="H326" s="798"/>
      <c r="I326" s="798"/>
      <c r="J326" s="798"/>
      <c r="K326" s="798"/>
      <c r="L326" s="798"/>
      <c r="M326" s="798"/>
      <c r="N326" s="798"/>
      <c r="O326" s="798"/>
      <c r="P326" s="798"/>
      <c r="Q326" s="798"/>
      <c r="R326" s="798"/>
      <c r="S326" s="798"/>
      <c r="T326" s="196"/>
      <c r="U326" s="196"/>
      <c r="V326" s="196"/>
      <c r="W326" s="196"/>
      <c r="X326" s="196"/>
      <c r="Y326" s="8"/>
    </row>
    <row r="327" spans="2:25" ht="15.75" customHeight="1">
      <c r="B327" s="231"/>
      <c r="C327" s="798"/>
      <c r="D327" s="798"/>
      <c r="E327" s="798"/>
      <c r="F327" s="798"/>
      <c r="G327" s="798"/>
      <c r="H327" s="798"/>
      <c r="I327" s="798"/>
      <c r="J327" s="798"/>
      <c r="K327" s="798"/>
      <c r="L327" s="798"/>
      <c r="M327" s="798"/>
      <c r="N327" s="798"/>
      <c r="O327" s="798"/>
      <c r="P327" s="798"/>
      <c r="Q327" s="798"/>
      <c r="R327" s="798"/>
      <c r="S327" s="798"/>
      <c r="T327" s="196"/>
      <c r="U327" s="196"/>
      <c r="V327" s="196"/>
      <c r="W327" s="196"/>
      <c r="X327" s="196"/>
      <c r="Y327" s="8"/>
    </row>
    <row r="328" spans="2:25" ht="15.75" customHeight="1">
      <c r="B328" s="231"/>
      <c r="C328" s="749"/>
      <c r="D328" s="749"/>
      <c r="E328" s="749"/>
      <c r="F328" s="749"/>
      <c r="G328" s="749"/>
      <c r="H328" s="749"/>
      <c r="I328" s="749"/>
      <c r="J328" s="749"/>
      <c r="K328" s="749"/>
      <c r="L328" s="749"/>
      <c r="M328" s="749"/>
      <c r="N328" s="749"/>
      <c r="O328" s="749"/>
      <c r="P328" s="749"/>
      <c r="Q328" s="749"/>
      <c r="R328" s="749"/>
      <c r="S328" s="749"/>
      <c r="T328" s="196"/>
      <c r="U328" s="196"/>
      <c r="V328" s="196"/>
      <c r="W328" s="196"/>
      <c r="X328" s="196"/>
      <c r="Y328" s="8"/>
    </row>
    <row r="329" spans="2:25" ht="32.25" customHeight="1">
      <c r="B329" s="231"/>
      <c r="C329" s="750" t="s">
        <v>756</v>
      </c>
      <c r="D329" s="749"/>
      <c r="E329" s="749"/>
      <c r="F329" s="749"/>
      <c r="G329" s="749"/>
      <c r="H329" s="749"/>
      <c r="I329" s="749"/>
      <c r="J329" s="749"/>
      <c r="K329" s="749"/>
      <c r="L329" s="749"/>
      <c r="M329" s="749"/>
      <c r="N329" s="749"/>
      <c r="O329" s="749"/>
      <c r="P329" s="749"/>
      <c r="Q329" s="749"/>
      <c r="R329" s="749"/>
      <c r="S329" s="749"/>
      <c r="T329" s="196"/>
      <c r="U329" s="196"/>
      <c r="V329" s="196"/>
      <c r="W329" s="196"/>
      <c r="X329" s="196"/>
      <c r="Y329" s="8"/>
    </row>
    <row r="330" spans="2:25">
      <c r="B330" s="231"/>
      <c r="C330" s="87"/>
      <c r="D330" s="87"/>
      <c r="E330" s="87"/>
      <c r="F330" s="87"/>
      <c r="G330" s="87"/>
      <c r="H330" s="191"/>
      <c r="I330" s="192"/>
      <c r="J330" s="193"/>
      <c r="K330" s="193"/>
      <c r="L330" s="194"/>
      <c r="M330" s="191"/>
      <c r="N330" s="192"/>
      <c r="O330" s="193"/>
      <c r="P330" s="195"/>
      <c r="Q330" s="196"/>
      <c r="R330" s="196"/>
      <c r="S330" s="196"/>
      <c r="T330" s="196"/>
      <c r="U330" s="196"/>
      <c r="V330" s="196"/>
      <c r="W330" s="196"/>
      <c r="X330" s="196"/>
      <c r="Y330" s="8"/>
    </row>
    <row r="331" spans="2:25">
      <c r="B331" s="231"/>
      <c r="C331" s="87"/>
      <c r="D331" s="87"/>
      <c r="E331" s="87"/>
      <c r="F331" s="87"/>
      <c r="G331" s="87"/>
      <c r="H331" s="191"/>
      <c r="I331" s="192"/>
      <c r="J331" s="193"/>
      <c r="K331" s="798" t="s">
        <v>752</v>
      </c>
      <c r="L331" s="798"/>
      <c r="M331" s="798"/>
      <c r="N331" s="798"/>
      <c r="O331" s="798"/>
      <c r="P331" s="798"/>
      <c r="Q331" s="798"/>
      <c r="R331" s="798"/>
      <c r="S331" s="798"/>
      <c r="T331" s="196"/>
      <c r="U331" s="196"/>
      <c r="V331" s="196"/>
      <c r="W331" s="196"/>
      <c r="X331" s="196"/>
      <c r="Y331" s="8"/>
    </row>
    <row r="332" spans="2:25">
      <c r="B332" s="231"/>
      <c r="C332" s="87"/>
      <c r="D332" s="87"/>
      <c r="E332" s="87"/>
      <c r="F332" s="87"/>
      <c r="G332" s="87"/>
      <c r="H332" s="191"/>
      <c r="I332" s="192"/>
      <c r="J332" s="193"/>
      <c r="K332" s="798"/>
      <c r="L332" s="798"/>
      <c r="M332" s="798"/>
      <c r="N332" s="798"/>
      <c r="O332" s="798"/>
      <c r="P332" s="798"/>
      <c r="Q332" s="798"/>
      <c r="R332" s="798"/>
      <c r="S332" s="798"/>
      <c r="T332" s="196"/>
      <c r="U332" s="196"/>
      <c r="V332" s="196"/>
      <c r="W332" s="196"/>
      <c r="X332" s="196"/>
      <c r="Y332" s="8"/>
    </row>
    <row r="333" spans="2:25">
      <c r="B333" s="231"/>
      <c r="C333" s="87"/>
      <c r="D333" s="87"/>
      <c r="E333" s="87"/>
      <c r="F333" s="87"/>
      <c r="G333" s="87"/>
      <c r="H333" s="191"/>
      <c r="I333" s="192"/>
      <c r="J333" s="193"/>
      <c r="K333" s="798"/>
      <c r="L333" s="798"/>
      <c r="M333" s="798"/>
      <c r="N333" s="798"/>
      <c r="O333" s="798"/>
      <c r="P333" s="798"/>
      <c r="Q333" s="798"/>
      <c r="R333" s="798"/>
      <c r="S333" s="798"/>
      <c r="T333" s="196"/>
      <c r="U333" s="196"/>
      <c r="V333" s="196"/>
      <c r="W333" s="196"/>
      <c r="X333" s="196"/>
      <c r="Y333" s="8"/>
    </row>
    <row r="334" spans="2:25">
      <c r="B334" s="231"/>
      <c r="C334" s="87"/>
      <c r="D334" s="87"/>
      <c r="E334" s="87"/>
      <c r="F334" s="87"/>
      <c r="G334" s="87"/>
      <c r="H334" s="191"/>
      <c r="I334" s="192"/>
      <c r="J334" s="193"/>
      <c r="K334" s="798"/>
      <c r="L334" s="798"/>
      <c r="M334" s="798"/>
      <c r="N334" s="798"/>
      <c r="O334" s="798"/>
      <c r="P334" s="798"/>
      <c r="Q334" s="798"/>
      <c r="R334" s="798"/>
      <c r="S334" s="798"/>
      <c r="T334" s="196"/>
      <c r="U334" s="196"/>
      <c r="V334" s="196"/>
      <c r="W334" s="196"/>
      <c r="X334" s="196"/>
      <c r="Y334" s="8"/>
    </row>
    <row r="335" spans="2:25" ht="15.75" customHeight="1">
      <c r="B335" s="231"/>
      <c r="C335" s="87"/>
      <c r="D335" s="87"/>
      <c r="E335" s="87"/>
      <c r="F335" s="87"/>
      <c r="G335" s="87"/>
      <c r="H335" s="191"/>
      <c r="I335" s="192"/>
      <c r="J335" s="193"/>
      <c r="K335" s="798" t="s">
        <v>757</v>
      </c>
      <c r="L335" s="798"/>
      <c r="M335" s="798"/>
      <c r="N335" s="798"/>
      <c r="O335" s="798"/>
      <c r="P335" s="798"/>
      <c r="Q335" s="798"/>
      <c r="R335" s="798"/>
      <c r="S335" s="798"/>
      <c r="T335" s="196"/>
      <c r="U335" s="196"/>
      <c r="V335" s="196"/>
      <c r="W335" s="196"/>
      <c r="X335" s="196"/>
      <c r="Y335" s="8"/>
    </row>
    <row r="336" spans="2:25" ht="15.75" customHeight="1">
      <c r="B336" s="231"/>
      <c r="C336" s="87"/>
      <c r="D336" s="87"/>
      <c r="E336" s="87"/>
      <c r="F336" s="87"/>
      <c r="G336" s="87"/>
      <c r="H336" s="191"/>
      <c r="I336" s="192"/>
      <c r="J336" s="193"/>
      <c r="K336" s="798"/>
      <c r="L336" s="798"/>
      <c r="M336" s="798"/>
      <c r="N336" s="798"/>
      <c r="O336" s="798"/>
      <c r="P336" s="798"/>
      <c r="Q336" s="798"/>
      <c r="R336" s="798"/>
      <c r="S336" s="798"/>
      <c r="T336" s="196"/>
      <c r="U336" s="196"/>
      <c r="V336" s="196"/>
      <c r="W336" s="196"/>
      <c r="X336" s="196"/>
      <c r="Y336" s="8"/>
    </row>
    <row r="337" spans="2:25" ht="15.75" customHeight="1">
      <c r="B337" s="231"/>
      <c r="C337" s="87"/>
      <c r="D337" s="87"/>
      <c r="E337" s="87"/>
      <c r="F337" s="87"/>
      <c r="G337" s="87"/>
      <c r="H337" s="191"/>
      <c r="I337" s="192"/>
      <c r="J337" s="193"/>
      <c r="K337" s="798"/>
      <c r="L337" s="798"/>
      <c r="M337" s="798"/>
      <c r="N337" s="798"/>
      <c r="O337" s="798"/>
      <c r="P337" s="798"/>
      <c r="Q337" s="798"/>
      <c r="R337" s="798"/>
      <c r="S337" s="798"/>
      <c r="T337" s="196"/>
      <c r="U337" s="196"/>
      <c r="V337" s="196"/>
      <c r="W337" s="196"/>
      <c r="X337" s="196"/>
      <c r="Y337" s="8"/>
    </row>
    <row r="338" spans="2:25" ht="15.75" customHeight="1">
      <c r="B338" s="231"/>
      <c r="C338" s="87"/>
      <c r="D338" s="87"/>
      <c r="E338" s="87"/>
      <c r="F338" s="87"/>
      <c r="G338" s="87"/>
      <c r="H338" s="191"/>
      <c r="I338" s="192"/>
      <c r="J338" s="193"/>
      <c r="K338" s="798"/>
      <c r="L338" s="798"/>
      <c r="M338" s="798"/>
      <c r="N338" s="798"/>
      <c r="O338" s="798"/>
      <c r="P338" s="798"/>
      <c r="Q338" s="798"/>
      <c r="R338" s="798"/>
      <c r="S338" s="798"/>
      <c r="T338" s="196"/>
      <c r="U338" s="196"/>
      <c r="V338" s="196"/>
      <c r="W338" s="196"/>
      <c r="X338" s="196"/>
      <c r="Y338" s="8"/>
    </row>
    <row r="339" spans="2:25">
      <c r="B339" s="231"/>
      <c r="C339" s="87"/>
      <c r="D339" s="87"/>
      <c r="E339" s="87"/>
      <c r="F339" s="87"/>
      <c r="G339" s="87"/>
      <c r="H339" s="191"/>
      <c r="I339" s="192"/>
      <c r="J339" s="193"/>
      <c r="K339" s="798"/>
      <c r="L339" s="798"/>
      <c r="M339" s="798"/>
      <c r="N339" s="798"/>
      <c r="O339" s="798"/>
      <c r="P339" s="798"/>
      <c r="Q339" s="798"/>
      <c r="R339" s="798"/>
      <c r="S339" s="798"/>
      <c r="T339" s="196"/>
      <c r="U339" s="196"/>
      <c r="V339" s="196"/>
      <c r="W339" s="196"/>
      <c r="X339" s="196"/>
      <c r="Y339" s="8"/>
    </row>
    <row r="340" spans="2:25">
      <c r="B340" s="231"/>
      <c r="C340" s="87"/>
      <c r="D340" s="87"/>
      <c r="E340" s="87"/>
      <c r="F340" s="87"/>
      <c r="G340" s="87"/>
      <c r="H340" s="191"/>
      <c r="I340" s="192"/>
      <c r="J340" s="193"/>
      <c r="K340" s="193"/>
      <c r="L340" s="194"/>
      <c r="M340" s="191"/>
      <c r="N340" s="192"/>
      <c r="O340" s="193"/>
      <c r="P340" s="195"/>
      <c r="Q340" s="196"/>
      <c r="R340" s="196"/>
      <c r="S340" s="196"/>
      <c r="T340" s="196"/>
      <c r="U340" s="196"/>
      <c r="V340" s="196"/>
      <c r="W340" s="196"/>
      <c r="X340" s="196"/>
      <c r="Y340" s="8"/>
    </row>
    <row r="341" spans="2:25">
      <c r="B341" s="231"/>
      <c r="C341" s="87"/>
      <c r="D341" s="87"/>
      <c r="E341" s="87"/>
      <c r="F341" s="87"/>
      <c r="G341" s="87"/>
      <c r="H341" s="191"/>
      <c r="I341" s="192"/>
      <c r="J341" s="193"/>
      <c r="K341" s="798" t="s">
        <v>758</v>
      </c>
      <c r="L341" s="798"/>
      <c r="M341" s="798"/>
      <c r="N341" s="798"/>
      <c r="O341" s="798"/>
      <c r="P341" s="798"/>
      <c r="Q341" s="798"/>
      <c r="R341" s="798"/>
      <c r="S341" s="798"/>
      <c r="T341" s="196"/>
      <c r="U341" s="196"/>
      <c r="V341" s="196"/>
      <c r="W341" s="196"/>
      <c r="X341" s="196"/>
      <c r="Y341" s="8"/>
    </row>
    <row r="342" spans="2:25">
      <c r="B342" s="231"/>
      <c r="C342" s="87"/>
      <c r="D342" s="87"/>
      <c r="E342" s="87"/>
      <c r="F342" s="87"/>
      <c r="G342" s="87"/>
      <c r="H342" s="191"/>
      <c r="I342" s="192"/>
      <c r="J342" s="193"/>
      <c r="K342" s="798"/>
      <c r="L342" s="798"/>
      <c r="M342" s="798"/>
      <c r="N342" s="798"/>
      <c r="O342" s="798"/>
      <c r="P342" s="798"/>
      <c r="Q342" s="798"/>
      <c r="R342" s="798"/>
      <c r="S342" s="798"/>
      <c r="T342" s="196"/>
      <c r="U342" s="196"/>
      <c r="V342" s="196"/>
      <c r="W342" s="196"/>
      <c r="X342" s="196"/>
      <c r="Y342" s="8"/>
    </row>
    <row r="343" spans="2:25">
      <c r="B343" s="231"/>
      <c r="C343" s="87"/>
      <c r="D343" s="87"/>
      <c r="E343" s="87"/>
      <c r="F343" s="87"/>
      <c r="G343" s="87"/>
      <c r="H343" s="191"/>
      <c r="I343" s="192"/>
      <c r="J343" s="193"/>
      <c r="K343" s="798"/>
      <c r="L343" s="798"/>
      <c r="M343" s="798"/>
      <c r="N343" s="798"/>
      <c r="O343" s="798"/>
      <c r="P343" s="798"/>
      <c r="Q343" s="798"/>
      <c r="R343" s="798"/>
      <c r="S343" s="798"/>
      <c r="T343" s="196"/>
      <c r="U343" s="196"/>
      <c r="V343" s="196"/>
      <c r="W343" s="196"/>
      <c r="X343" s="196"/>
      <c r="Y343" s="8"/>
    </row>
    <row r="344" spans="2:25">
      <c r="B344" s="231"/>
      <c r="C344" s="87"/>
      <c r="D344" s="87"/>
      <c r="E344" s="87"/>
      <c r="F344" s="87"/>
      <c r="G344" s="87"/>
      <c r="H344" s="191"/>
      <c r="I344" s="192"/>
      <c r="J344" s="193"/>
      <c r="K344" s="798"/>
      <c r="L344" s="798"/>
      <c r="M344" s="798"/>
      <c r="N344" s="798"/>
      <c r="O344" s="798"/>
      <c r="P344" s="798"/>
      <c r="Q344" s="798"/>
      <c r="R344" s="798"/>
      <c r="S344" s="798"/>
      <c r="T344" s="196"/>
      <c r="U344" s="196"/>
      <c r="V344" s="196"/>
      <c r="W344" s="196"/>
      <c r="X344" s="196"/>
      <c r="Y344" s="8"/>
    </row>
    <row r="345" spans="2:25">
      <c r="B345" s="231"/>
      <c r="C345" s="87"/>
      <c r="D345" s="87"/>
      <c r="E345" s="87"/>
      <c r="F345" s="87"/>
      <c r="G345" s="87"/>
      <c r="H345" s="191"/>
      <c r="I345" s="192"/>
      <c r="J345" s="193"/>
      <c r="K345" s="798"/>
      <c r="L345" s="798"/>
      <c r="M345" s="798"/>
      <c r="N345" s="798"/>
      <c r="O345" s="798"/>
      <c r="P345" s="798"/>
      <c r="Q345" s="798"/>
      <c r="R345" s="798"/>
      <c r="S345" s="798"/>
      <c r="T345" s="196"/>
      <c r="U345" s="196"/>
      <c r="V345" s="196"/>
      <c r="W345" s="196"/>
      <c r="X345" s="196"/>
      <c r="Y345" s="8"/>
    </row>
    <row r="346" spans="2:25">
      <c r="B346" s="231"/>
      <c r="C346" s="87"/>
      <c r="D346" s="87"/>
      <c r="E346" s="87"/>
      <c r="F346" s="87"/>
      <c r="G346" s="87"/>
      <c r="H346" s="191"/>
      <c r="I346" s="192"/>
      <c r="J346" s="193"/>
      <c r="K346" s="193"/>
      <c r="L346" s="194"/>
      <c r="M346" s="191"/>
      <c r="N346" s="192"/>
      <c r="O346" s="193"/>
      <c r="P346" s="195"/>
      <c r="Q346" s="196"/>
      <c r="R346" s="196"/>
      <c r="S346" s="196"/>
      <c r="T346" s="196"/>
      <c r="U346" s="196"/>
      <c r="V346" s="196"/>
      <c r="W346" s="196"/>
      <c r="X346" s="196"/>
      <c r="Y346" s="8"/>
    </row>
    <row r="347" spans="2:25">
      <c r="B347" s="231"/>
      <c r="C347" s="87"/>
      <c r="D347" s="87"/>
      <c r="E347" s="87"/>
      <c r="F347" s="87"/>
      <c r="G347" s="87"/>
      <c r="H347" s="191"/>
      <c r="I347" s="192"/>
      <c r="J347" s="193"/>
      <c r="K347" s="193"/>
      <c r="L347" s="194"/>
      <c r="M347" s="191"/>
      <c r="N347" s="192"/>
      <c r="O347" s="193"/>
      <c r="P347" s="195"/>
      <c r="Q347" s="196"/>
      <c r="R347" s="196"/>
      <c r="S347" s="196"/>
      <c r="T347" s="196"/>
      <c r="U347" s="196"/>
      <c r="V347" s="196"/>
      <c r="W347" s="196"/>
      <c r="X347" s="196"/>
      <c r="Y347" s="8"/>
    </row>
    <row r="348" spans="2:25">
      <c r="B348" s="231"/>
      <c r="C348" s="87"/>
      <c r="D348" s="87"/>
      <c r="E348" s="87"/>
      <c r="F348" s="87"/>
      <c r="G348" s="87"/>
      <c r="H348" s="191"/>
      <c r="I348" s="192"/>
      <c r="J348" s="193"/>
      <c r="K348" s="193"/>
      <c r="L348" s="194"/>
      <c r="M348" s="191"/>
      <c r="N348" s="192"/>
      <c r="O348" s="193"/>
      <c r="P348" s="195"/>
      <c r="Q348" s="196"/>
      <c r="R348" s="196"/>
      <c r="S348" s="196"/>
      <c r="T348" s="196"/>
      <c r="U348" s="196"/>
      <c r="V348" s="196"/>
      <c r="W348" s="196"/>
      <c r="X348" s="196"/>
      <c r="Y348" s="8"/>
    </row>
    <row r="349" spans="2:25">
      <c r="B349" s="231"/>
      <c r="C349" s="87"/>
      <c r="D349" s="87"/>
      <c r="E349" s="87"/>
      <c r="F349" s="87"/>
      <c r="G349" s="87"/>
      <c r="H349" s="191"/>
      <c r="I349" s="192"/>
      <c r="J349" s="193"/>
      <c r="K349" s="193"/>
      <c r="L349" s="194"/>
      <c r="M349" s="191"/>
      <c r="N349" s="192"/>
      <c r="O349" s="193"/>
      <c r="P349" s="195"/>
      <c r="Q349" s="196"/>
      <c r="R349" s="196"/>
      <c r="S349" s="196"/>
      <c r="T349" s="196"/>
      <c r="U349" s="196"/>
      <c r="V349" s="196"/>
      <c r="W349" s="196"/>
      <c r="X349" s="196"/>
      <c r="Y349" s="8"/>
    </row>
    <row r="350" spans="2:25">
      <c r="B350" s="231"/>
      <c r="C350" s="87"/>
      <c r="D350" s="87"/>
      <c r="E350" s="87"/>
      <c r="F350" s="87"/>
      <c r="G350" s="87"/>
      <c r="H350" s="191"/>
      <c r="I350" s="192"/>
      <c r="J350" s="193"/>
      <c r="K350" s="193"/>
      <c r="L350" s="194"/>
      <c r="M350" s="191"/>
      <c r="N350" s="192"/>
      <c r="O350" s="193"/>
      <c r="P350" s="195"/>
      <c r="Q350" s="196"/>
      <c r="R350" s="196"/>
      <c r="S350" s="196"/>
      <c r="T350" s="196"/>
      <c r="U350" s="196"/>
      <c r="V350" s="196"/>
      <c r="W350" s="196"/>
      <c r="X350" s="196"/>
      <c r="Y350" s="8"/>
    </row>
    <row r="351" spans="2:25">
      <c r="B351" s="231"/>
      <c r="C351" s="87"/>
      <c r="D351" s="87"/>
      <c r="E351" s="87"/>
      <c r="F351" s="87"/>
      <c r="G351" s="87"/>
      <c r="H351" s="191"/>
      <c r="I351" s="192"/>
      <c r="J351" s="193"/>
      <c r="K351" s="193"/>
      <c r="L351" s="194"/>
      <c r="M351" s="191"/>
      <c r="N351" s="192"/>
      <c r="O351" s="193"/>
      <c r="P351" s="195"/>
      <c r="Q351" s="196"/>
      <c r="R351" s="196"/>
      <c r="S351" s="196"/>
      <c r="T351" s="196"/>
      <c r="U351" s="196"/>
      <c r="V351" s="196"/>
      <c r="W351" s="196"/>
      <c r="X351" s="196"/>
      <c r="Y351" s="8"/>
    </row>
    <row r="352" spans="2:25" ht="26.25" customHeight="1">
      <c r="B352" s="231"/>
      <c r="C352" s="798" t="s">
        <v>759</v>
      </c>
      <c r="D352" s="798"/>
      <c r="E352" s="798"/>
      <c r="F352" s="798"/>
      <c r="G352" s="798"/>
      <c r="H352" s="798"/>
      <c r="I352" s="798"/>
      <c r="J352" s="798"/>
      <c r="K352" s="798"/>
      <c r="L352" s="798"/>
      <c r="M352" s="798"/>
      <c r="N352" s="798"/>
      <c r="O352" s="798"/>
      <c r="P352" s="798"/>
      <c r="Q352" s="798"/>
      <c r="R352" s="798"/>
      <c r="S352" s="798"/>
      <c r="T352" s="196"/>
      <c r="U352" s="196"/>
      <c r="V352" s="196"/>
      <c r="W352" s="196"/>
      <c r="X352" s="196"/>
      <c r="Y352" s="8"/>
    </row>
    <row r="353" spans="2:25">
      <c r="B353" s="231"/>
      <c r="C353" s="798"/>
      <c r="D353" s="798"/>
      <c r="E353" s="798"/>
      <c r="F353" s="798"/>
      <c r="G353" s="798"/>
      <c r="H353" s="798"/>
      <c r="I353" s="798"/>
      <c r="J353" s="798"/>
      <c r="K353" s="798"/>
      <c r="L353" s="798"/>
      <c r="M353" s="798"/>
      <c r="N353" s="798"/>
      <c r="O353" s="798"/>
      <c r="P353" s="798"/>
      <c r="Q353" s="798"/>
      <c r="R353" s="798"/>
      <c r="S353" s="798"/>
      <c r="T353" s="196"/>
      <c r="U353" s="196"/>
      <c r="V353" s="196"/>
      <c r="W353" s="196"/>
      <c r="X353" s="196"/>
      <c r="Y353" s="8"/>
    </row>
    <row r="354" spans="2:25">
      <c r="B354" s="231"/>
      <c r="C354" s="798"/>
      <c r="D354" s="798"/>
      <c r="E354" s="798"/>
      <c r="F354" s="798"/>
      <c r="G354" s="798"/>
      <c r="H354" s="798"/>
      <c r="I354" s="798"/>
      <c r="J354" s="798"/>
      <c r="K354" s="798"/>
      <c r="L354" s="798"/>
      <c r="M354" s="798"/>
      <c r="N354" s="798"/>
      <c r="O354" s="798"/>
      <c r="P354" s="798"/>
      <c r="Q354" s="798"/>
      <c r="R354" s="798"/>
      <c r="S354" s="798"/>
      <c r="T354" s="196"/>
      <c r="U354" s="196"/>
      <c r="V354" s="196"/>
      <c r="W354" s="196"/>
      <c r="X354" s="196"/>
      <c r="Y354" s="8"/>
    </row>
    <row r="355" spans="2:25">
      <c r="B355" s="231"/>
      <c r="C355" s="798"/>
      <c r="D355" s="798"/>
      <c r="E355" s="798"/>
      <c r="F355" s="798"/>
      <c r="G355" s="798"/>
      <c r="H355" s="798"/>
      <c r="I355" s="798"/>
      <c r="J355" s="798"/>
      <c r="K355" s="798"/>
      <c r="L355" s="798"/>
      <c r="M355" s="798"/>
      <c r="N355" s="798"/>
      <c r="O355" s="798"/>
      <c r="P355" s="798"/>
      <c r="Q355" s="798"/>
      <c r="R355" s="798"/>
      <c r="S355" s="798"/>
      <c r="T355" s="196"/>
      <c r="U355" s="196"/>
      <c r="V355" s="196"/>
      <c r="W355" s="196"/>
      <c r="X355" s="196"/>
      <c r="Y355" s="8"/>
    </row>
    <row r="356" spans="2:25">
      <c r="B356" s="231"/>
      <c r="C356" s="798"/>
      <c r="D356" s="798"/>
      <c r="E356" s="798"/>
      <c r="F356" s="798"/>
      <c r="G356" s="798"/>
      <c r="H356" s="798"/>
      <c r="I356" s="798"/>
      <c r="J356" s="798"/>
      <c r="K356" s="798"/>
      <c r="L356" s="798"/>
      <c r="M356" s="798"/>
      <c r="N356" s="798"/>
      <c r="O356" s="798"/>
      <c r="P356" s="798"/>
      <c r="Q356" s="798"/>
      <c r="R356" s="798"/>
      <c r="S356" s="798"/>
      <c r="T356" s="196"/>
      <c r="U356" s="196"/>
      <c r="V356" s="196"/>
      <c r="W356" s="196"/>
      <c r="X356" s="196"/>
      <c r="Y356" s="8"/>
    </row>
    <row r="357" spans="2:25">
      <c r="B357" s="231"/>
      <c r="C357" s="798"/>
      <c r="D357" s="798"/>
      <c r="E357" s="798"/>
      <c r="F357" s="798"/>
      <c r="G357" s="798"/>
      <c r="H357" s="798"/>
      <c r="I357" s="798"/>
      <c r="J357" s="798"/>
      <c r="K357" s="798"/>
      <c r="L357" s="798"/>
      <c r="M357" s="798"/>
      <c r="N357" s="798"/>
      <c r="O357" s="798"/>
      <c r="P357" s="798"/>
      <c r="Q357" s="798"/>
      <c r="R357" s="798"/>
      <c r="S357" s="798"/>
      <c r="T357" s="196"/>
      <c r="U357" s="196"/>
      <c r="V357" s="196"/>
      <c r="W357" s="196"/>
      <c r="X357" s="196"/>
      <c r="Y357" s="8"/>
    </row>
    <row r="358" spans="2:25">
      <c r="B358" s="231"/>
      <c r="C358" s="798"/>
      <c r="D358" s="798"/>
      <c r="E358" s="798"/>
      <c r="F358" s="798"/>
      <c r="G358" s="798"/>
      <c r="H358" s="798"/>
      <c r="I358" s="798"/>
      <c r="J358" s="798"/>
      <c r="K358" s="798"/>
      <c r="L358" s="798"/>
      <c r="M358" s="798"/>
      <c r="N358" s="798"/>
      <c r="O358" s="798"/>
      <c r="P358" s="798"/>
      <c r="Q358" s="798"/>
      <c r="R358" s="798"/>
      <c r="S358" s="798"/>
      <c r="T358" s="196"/>
      <c r="U358" s="196"/>
      <c r="V358" s="196"/>
      <c r="W358" s="196"/>
      <c r="X358" s="196"/>
      <c r="Y358" s="8"/>
    </row>
    <row r="359" spans="2:25">
      <c r="B359" s="231"/>
      <c r="C359" s="798"/>
      <c r="D359" s="798"/>
      <c r="E359" s="798"/>
      <c r="F359" s="798"/>
      <c r="G359" s="798"/>
      <c r="H359" s="798"/>
      <c r="I359" s="798"/>
      <c r="J359" s="798"/>
      <c r="K359" s="798"/>
      <c r="L359" s="798"/>
      <c r="M359" s="798"/>
      <c r="N359" s="798"/>
      <c r="O359" s="798"/>
      <c r="P359" s="798"/>
      <c r="Q359" s="798"/>
      <c r="R359" s="798"/>
      <c r="S359" s="798"/>
      <c r="T359" s="196"/>
      <c r="U359" s="196"/>
      <c r="V359" s="196"/>
      <c r="W359" s="196"/>
      <c r="X359" s="196"/>
      <c r="Y359" s="8"/>
    </row>
    <row r="360" spans="2:25">
      <c r="B360" s="231"/>
      <c r="C360" s="798"/>
      <c r="D360" s="798"/>
      <c r="E360" s="798"/>
      <c r="F360" s="798"/>
      <c r="G360" s="798"/>
      <c r="H360" s="798"/>
      <c r="I360" s="798"/>
      <c r="J360" s="798"/>
      <c r="K360" s="798"/>
      <c r="L360" s="798"/>
      <c r="M360" s="798"/>
      <c r="N360" s="798"/>
      <c r="O360" s="798"/>
      <c r="P360" s="798"/>
      <c r="Q360" s="798"/>
      <c r="R360" s="798"/>
      <c r="S360" s="798"/>
      <c r="T360" s="196"/>
      <c r="U360" s="196"/>
      <c r="V360" s="196"/>
      <c r="W360" s="196"/>
      <c r="X360" s="196"/>
      <c r="Y360" s="8"/>
    </row>
    <row r="361" spans="2:25" ht="26.25">
      <c r="B361" s="231"/>
      <c r="C361" s="750" t="s">
        <v>756</v>
      </c>
      <c r="D361" s="87"/>
      <c r="E361" s="87"/>
      <c r="F361" s="87"/>
      <c r="G361" s="87"/>
      <c r="H361" s="191"/>
      <c r="I361" s="192"/>
      <c r="J361" s="193"/>
      <c r="K361" s="193"/>
      <c r="L361" s="194"/>
      <c r="M361" s="191"/>
      <c r="N361" s="192"/>
      <c r="O361" s="193"/>
      <c r="P361" s="195"/>
      <c r="Q361" s="196"/>
      <c r="R361" s="196"/>
      <c r="S361" s="196"/>
      <c r="T361" s="196"/>
      <c r="U361" s="196"/>
      <c r="V361" s="196"/>
      <c r="W361" s="196"/>
      <c r="X361" s="196"/>
      <c r="Y361" s="8"/>
    </row>
    <row r="362" spans="2:25">
      <c r="B362" s="231"/>
      <c r="C362" s="87"/>
      <c r="D362" s="87"/>
      <c r="E362" s="87"/>
      <c r="F362" s="87"/>
      <c r="G362" s="87"/>
      <c r="H362" s="191"/>
      <c r="I362" s="192"/>
      <c r="J362" s="193"/>
      <c r="K362" s="193"/>
      <c r="L362" s="194"/>
      <c r="M362" s="191"/>
      <c r="N362" s="192"/>
      <c r="O362" s="193"/>
      <c r="P362" s="195"/>
      <c r="Q362" s="196"/>
      <c r="R362" s="196"/>
      <c r="S362" s="196"/>
      <c r="T362" s="196"/>
      <c r="U362" s="196"/>
      <c r="V362" s="196"/>
      <c r="W362" s="196"/>
      <c r="X362" s="196"/>
      <c r="Y362" s="8"/>
    </row>
    <row r="363" spans="2:25" ht="26.25" customHeight="1">
      <c r="B363" s="231"/>
      <c r="C363" s="750"/>
      <c r="D363" s="87"/>
      <c r="E363" s="87"/>
      <c r="F363" s="87"/>
      <c r="G363" s="87"/>
      <c r="H363" s="191"/>
      <c r="I363" s="192"/>
      <c r="J363" s="193"/>
      <c r="K363" s="798" t="s">
        <v>752</v>
      </c>
      <c r="L363" s="798"/>
      <c r="M363" s="798"/>
      <c r="N363" s="798"/>
      <c r="O363" s="798"/>
      <c r="P363" s="798"/>
      <c r="Q363" s="798"/>
      <c r="R363" s="798"/>
      <c r="S363" s="798"/>
      <c r="T363" s="196"/>
      <c r="U363" s="196"/>
      <c r="V363" s="196"/>
      <c r="W363" s="196"/>
      <c r="X363" s="196"/>
      <c r="Y363" s="8"/>
    </row>
    <row r="364" spans="2:25" ht="15.75" customHeight="1">
      <c r="B364" s="231"/>
      <c r="C364" s="87"/>
      <c r="D364" s="87"/>
      <c r="E364" s="87"/>
      <c r="F364" s="87"/>
      <c r="G364" s="87"/>
      <c r="H364" s="191"/>
      <c r="I364" s="192"/>
      <c r="J364" s="193"/>
      <c r="K364" s="798"/>
      <c r="L364" s="798"/>
      <c r="M364" s="798"/>
      <c r="N364" s="798"/>
      <c r="O364" s="798"/>
      <c r="P364" s="798"/>
      <c r="Q364" s="798"/>
      <c r="R364" s="798"/>
      <c r="S364" s="798"/>
      <c r="T364" s="196"/>
      <c r="U364" s="196"/>
      <c r="V364" s="196"/>
      <c r="W364" s="196"/>
      <c r="X364" s="196"/>
      <c r="Y364" s="8"/>
    </row>
    <row r="365" spans="2:25" ht="15.75" customHeight="1">
      <c r="B365" s="231"/>
      <c r="C365" s="87"/>
      <c r="D365" s="87"/>
      <c r="E365" s="87"/>
      <c r="F365" s="87"/>
      <c r="G365" s="87"/>
      <c r="H365" s="191"/>
      <c r="I365" s="192"/>
      <c r="J365" s="193"/>
      <c r="K365" s="798"/>
      <c r="L365" s="798"/>
      <c r="M365" s="798"/>
      <c r="N365" s="798"/>
      <c r="O365" s="798"/>
      <c r="P365" s="798"/>
      <c r="Q365" s="798"/>
      <c r="R365" s="798"/>
      <c r="S365" s="798"/>
      <c r="T365" s="196"/>
      <c r="U365" s="196"/>
      <c r="V365" s="196"/>
      <c r="W365" s="196"/>
      <c r="X365" s="196"/>
      <c r="Y365" s="8"/>
    </row>
    <row r="366" spans="2:25" ht="15.75" customHeight="1">
      <c r="B366" s="231"/>
      <c r="C366" s="87"/>
      <c r="D366" s="87"/>
      <c r="E366" s="87"/>
      <c r="F366" s="87"/>
      <c r="G366" s="87"/>
      <c r="H366" s="191"/>
      <c r="I366" s="192"/>
      <c r="J366" s="193"/>
      <c r="K366" s="798" t="s">
        <v>760</v>
      </c>
      <c r="L366" s="798"/>
      <c r="M366" s="798"/>
      <c r="N366" s="798"/>
      <c r="O366" s="798"/>
      <c r="P366" s="798"/>
      <c r="Q366" s="798"/>
      <c r="R366" s="798"/>
      <c r="S366" s="798"/>
      <c r="T366" s="196"/>
      <c r="U366" s="196"/>
      <c r="V366" s="196"/>
      <c r="W366" s="196"/>
      <c r="X366" s="196"/>
      <c r="Y366" s="8"/>
    </row>
    <row r="367" spans="2:25">
      <c r="B367" s="231"/>
      <c r="C367" s="87"/>
      <c r="D367" s="87"/>
      <c r="E367" s="87"/>
      <c r="F367" s="87"/>
      <c r="G367" s="87"/>
      <c r="H367" s="191"/>
      <c r="I367" s="192"/>
      <c r="J367" s="193"/>
      <c r="K367" s="798"/>
      <c r="L367" s="798"/>
      <c r="M367" s="798"/>
      <c r="N367" s="798"/>
      <c r="O367" s="798"/>
      <c r="P367" s="798"/>
      <c r="Q367" s="798"/>
      <c r="R367" s="798"/>
      <c r="S367" s="798"/>
      <c r="T367" s="196"/>
      <c r="U367" s="196"/>
      <c r="V367" s="196"/>
      <c r="W367" s="196"/>
      <c r="X367" s="196"/>
      <c r="Y367" s="8"/>
    </row>
    <row r="368" spans="2:25">
      <c r="B368" s="231"/>
      <c r="C368" s="87"/>
      <c r="D368" s="87"/>
      <c r="E368" s="87"/>
      <c r="F368" s="87"/>
      <c r="G368" s="87"/>
      <c r="H368" s="191"/>
      <c r="I368" s="192"/>
      <c r="J368" s="193"/>
      <c r="K368" s="798"/>
      <c r="L368" s="798"/>
      <c r="M368" s="798"/>
      <c r="N368" s="798"/>
      <c r="O368" s="798"/>
      <c r="P368" s="798"/>
      <c r="Q368" s="798"/>
      <c r="R368" s="798"/>
      <c r="S368" s="798"/>
      <c r="T368" s="196"/>
      <c r="U368" s="196"/>
      <c r="V368" s="196"/>
      <c r="W368" s="196"/>
      <c r="X368" s="196"/>
      <c r="Y368" s="8"/>
    </row>
    <row r="369" spans="2:25">
      <c r="B369" s="231"/>
      <c r="C369" s="87"/>
      <c r="D369" s="87"/>
      <c r="E369" s="87"/>
      <c r="F369" s="87"/>
      <c r="G369" s="87"/>
      <c r="H369" s="191"/>
      <c r="I369" s="192"/>
      <c r="J369" s="193"/>
      <c r="K369" s="798"/>
      <c r="L369" s="798"/>
      <c r="M369" s="798"/>
      <c r="N369" s="798"/>
      <c r="O369" s="798"/>
      <c r="P369" s="798"/>
      <c r="Q369" s="798"/>
      <c r="R369" s="798"/>
      <c r="S369" s="798"/>
      <c r="T369" s="196"/>
      <c r="U369" s="196"/>
      <c r="V369" s="196"/>
      <c r="W369" s="196"/>
      <c r="X369" s="196"/>
      <c r="Y369" s="8"/>
    </row>
    <row r="370" spans="2:25">
      <c r="B370" s="231"/>
      <c r="C370" s="87"/>
      <c r="D370" s="87"/>
      <c r="E370" s="87"/>
      <c r="F370" s="87"/>
      <c r="G370" s="87"/>
      <c r="H370" s="191"/>
      <c r="I370" s="192"/>
      <c r="J370" s="193"/>
      <c r="K370" s="798"/>
      <c r="L370" s="798"/>
      <c r="M370" s="798"/>
      <c r="N370" s="798"/>
      <c r="O370" s="798"/>
      <c r="P370" s="798"/>
      <c r="Q370" s="798"/>
      <c r="R370" s="798"/>
      <c r="S370" s="798"/>
      <c r="T370" s="196"/>
      <c r="U370" s="196"/>
      <c r="V370" s="196"/>
      <c r="W370" s="196"/>
      <c r="X370" s="196"/>
      <c r="Y370" s="8"/>
    </row>
    <row r="371" spans="2:25">
      <c r="B371" s="231"/>
      <c r="C371" s="87"/>
      <c r="D371" s="87"/>
      <c r="E371" s="87"/>
      <c r="F371" s="87"/>
      <c r="G371" s="87"/>
      <c r="H371" s="191"/>
      <c r="I371" s="192"/>
      <c r="J371" s="193"/>
      <c r="K371" s="798"/>
      <c r="L371" s="798"/>
      <c r="M371" s="798"/>
      <c r="N371" s="798"/>
      <c r="O371" s="798"/>
      <c r="P371" s="798"/>
      <c r="Q371" s="798"/>
      <c r="R371" s="798"/>
      <c r="S371" s="798"/>
      <c r="T371" s="196"/>
      <c r="U371" s="196"/>
      <c r="V371" s="196"/>
      <c r="W371" s="196"/>
      <c r="X371" s="196"/>
      <c r="Y371" s="8"/>
    </row>
    <row r="372" spans="2:25">
      <c r="B372" s="231"/>
      <c r="C372" s="87"/>
      <c r="D372" s="87"/>
      <c r="E372" s="87"/>
      <c r="F372" s="87"/>
      <c r="G372" s="87"/>
      <c r="H372" s="191"/>
      <c r="I372" s="192"/>
      <c r="J372" s="193"/>
      <c r="K372" s="193"/>
      <c r="L372" s="194"/>
      <c r="M372" s="191"/>
      <c r="N372" s="192"/>
      <c r="O372" s="193"/>
      <c r="P372" s="195"/>
      <c r="Q372" s="196"/>
      <c r="R372" s="196"/>
      <c r="S372" s="196"/>
      <c r="T372" s="196"/>
      <c r="U372" s="196"/>
      <c r="V372" s="196"/>
      <c r="W372" s="196"/>
      <c r="X372" s="196"/>
      <c r="Y372" s="8"/>
    </row>
    <row r="373" spans="2:25">
      <c r="B373" s="231"/>
      <c r="C373" s="87"/>
      <c r="D373" s="87"/>
      <c r="E373" s="87"/>
      <c r="F373" s="87"/>
      <c r="G373" s="87"/>
      <c r="H373" s="191"/>
      <c r="I373" s="192"/>
      <c r="J373" s="193"/>
      <c r="K373" s="193"/>
      <c r="L373" s="194"/>
      <c r="M373" s="191"/>
      <c r="N373" s="192"/>
      <c r="O373" s="193"/>
      <c r="P373" s="195"/>
      <c r="Q373" s="196"/>
      <c r="R373" s="196"/>
      <c r="S373" s="196"/>
      <c r="T373" s="196"/>
      <c r="U373" s="196"/>
      <c r="V373" s="196"/>
      <c r="W373" s="196"/>
      <c r="X373" s="196"/>
      <c r="Y373" s="8"/>
    </row>
    <row r="374" spans="2:25" ht="15.75" customHeight="1">
      <c r="B374" s="231"/>
      <c r="C374" s="87"/>
      <c r="D374" s="87"/>
      <c r="E374" s="87"/>
      <c r="F374" s="87"/>
      <c r="G374" s="87"/>
      <c r="H374" s="191"/>
      <c r="I374" s="192"/>
      <c r="J374" s="193"/>
      <c r="K374" s="798" t="s">
        <v>761</v>
      </c>
      <c r="L374" s="798"/>
      <c r="M374" s="798"/>
      <c r="N374" s="798"/>
      <c r="O374" s="798"/>
      <c r="P374" s="798"/>
      <c r="Q374" s="798"/>
      <c r="R374" s="798"/>
      <c r="S374" s="798"/>
      <c r="T374" s="196"/>
      <c r="U374" s="196"/>
      <c r="V374" s="196"/>
      <c r="W374" s="196"/>
      <c r="X374" s="196"/>
      <c r="Y374" s="8"/>
    </row>
    <row r="375" spans="2:25" ht="15.75" customHeight="1">
      <c r="B375" s="231"/>
      <c r="C375" s="87"/>
      <c r="D375" s="87"/>
      <c r="E375" s="87"/>
      <c r="F375" s="87"/>
      <c r="G375" s="87"/>
      <c r="H375" s="191"/>
      <c r="I375" s="192"/>
      <c r="J375" s="193"/>
      <c r="K375" s="798"/>
      <c r="L375" s="798"/>
      <c r="M375" s="798"/>
      <c r="N375" s="798"/>
      <c r="O375" s="798"/>
      <c r="P375" s="798"/>
      <c r="Q375" s="798"/>
      <c r="R375" s="798"/>
      <c r="S375" s="798"/>
      <c r="T375" s="196"/>
      <c r="U375" s="196"/>
      <c r="V375" s="196"/>
      <c r="W375" s="196"/>
      <c r="X375" s="196"/>
      <c r="Y375" s="8"/>
    </row>
    <row r="376" spans="2:25" ht="15.75" customHeight="1">
      <c r="B376" s="231"/>
      <c r="C376" s="87"/>
      <c r="D376" s="87"/>
      <c r="E376" s="87"/>
      <c r="F376" s="87"/>
      <c r="G376" s="87"/>
      <c r="H376" s="191"/>
      <c r="I376" s="192"/>
      <c r="J376" s="193"/>
      <c r="K376" s="798"/>
      <c r="L376" s="798"/>
      <c r="M376" s="798"/>
      <c r="N376" s="798"/>
      <c r="O376" s="798"/>
      <c r="P376" s="798"/>
      <c r="Q376" s="798"/>
      <c r="R376" s="798"/>
      <c r="S376" s="798"/>
      <c r="T376" s="196"/>
      <c r="U376" s="196"/>
      <c r="V376" s="196"/>
      <c r="W376" s="196"/>
      <c r="X376" s="196"/>
      <c r="Y376" s="8"/>
    </row>
    <row r="377" spans="2:25" ht="15.75" customHeight="1">
      <c r="B377" s="231"/>
      <c r="C377" s="87"/>
      <c r="D377" s="87"/>
      <c r="E377" s="87"/>
      <c r="F377" s="87"/>
      <c r="G377" s="87"/>
      <c r="H377" s="191"/>
      <c r="I377" s="192"/>
      <c r="J377" s="193"/>
      <c r="K377" s="798"/>
      <c r="L377" s="798"/>
      <c r="M377" s="798"/>
      <c r="N377" s="798"/>
      <c r="O377" s="798"/>
      <c r="P377" s="798"/>
      <c r="Q377" s="798"/>
      <c r="R377" s="798"/>
      <c r="S377" s="798"/>
      <c r="T377" s="196"/>
      <c r="U377" s="196"/>
      <c r="V377" s="196"/>
      <c r="W377" s="196"/>
      <c r="X377" s="196"/>
      <c r="Y377" s="8"/>
    </row>
    <row r="378" spans="2:25" ht="15.75" customHeight="1">
      <c r="B378" s="231"/>
      <c r="C378" s="87"/>
      <c r="D378" s="87"/>
      <c r="E378" s="87"/>
      <c r="F378" s="87"/>
      <c r="G378" s="87"/>
      <c r="H378" s="191"/>
      <c r="I378" s="192"/>
      <c r="J378" s="193"/>
      <c r="K378" s="798"/>
      <c r="L378" s="798"/>
      <c r="M378" s="798"/>
      <c r="N378" s="798"/>
      <c r="O378" s="798"/>
      <c r="P378" s="798"/>
      <c r="Q378" s="798"/>
      <c r="R378" s="798"/>
      <c r="S378" s="798"/>
      <c r="T378" s="196"/>
      <c r="U378" s="196"/>
      <c r="V378" s="196"/>
      <c r="W378" s="196"/>
      <c r="X378" s="196"/>
      <c r="Y378" s="8"/>
    </row>
    <row r="379" spans="2:25" ht="15.75" customHeight="1">
      <c r="B379" s="231"/>
      <c r="C379" s="87"/>
      <c r="D379" s="87"/>
      <c r="E379" s="87"/>
      <c r="F379" s="87"/>
      <c r="G379" s="87"/>
      <c r="H379" s="191"/>
      <c r="I379" s="192"/>
      <c r="J379" s="193"/>
      <c r="K379" s="798"/>
      <c r="L379" s="798"/>
      <c r="M379" s="798"/>
      <c r="N379" s="798"/>
      <c r="O379" s="798"/>
      <c r="P379" s="798"/>
      <c r="Q379" s="798"/>
      <c r="R379" s="798"/>
      <c r="S379" s="798"/>
      <c r="T379" s="196"/>
      <c r="U379" s="196"/>
      <c r="V379" s="196"/>
      <c r="W379" s="196"/>
      <c r="X379" s="196"/>
      <c r="Y379" s="8"/>
    </row>
    <row r="380" spans="2:25" ht="15.75" customHeight="1">
      <c r="B380" s="231"/>
      <c r="C380" s="87"/>
      <c r="D380" s="87"/>
      <c r="E380" s="87"/>
      <c r="F380" s="87"/>
      <c r="G380" s="87"/>
      <c r="H380" s="191"/>
      <c r="I380" s="192"/>
      <c r="J380" s="193"/>
      <c r="K380" s="798"/>
      <c r="L380" s="798"/>
      <c r="M380" s="798"/>
      <c r="N380" s="798"/>
      <c r="O380" s="798"/>
      <c r="P380" s="798"/>
      <c r="Q380" s="798"/>
      <c r="R380" s="798"/>
      <c r="S380" s="798"/>
      <c r="T380" s="196"/>
      <c r="U380" s="196"/>
      <c r="V380" s="196"/>
      <c r="W380" s="196"/>
      <c r="X380" s="196"/>
      <c r="Y380" s="8"/>
    </row>
    <row r="381" spans="2:25">
      <c r="B381" s="231"/>
      <c r="C381" s="87"/>
      <c r="D381" s="87"/>
      <c r="E381" s="87"/>
      <c r="F381" s="87"/>
      <c r="G381" s="87"/>
      <c r="H381" s="191"/>
      <c r="I381" s="192"/>
      <c r="J381" s="193"/>
      <c r="K381" s="798"/>
      <c r="L381" s="798"/>
      <c r="M381" s="798"/>
      <c r="N381" s="798"/>
      <c r="O381" s="798"/>
      <c r="P381" s="798"/>
      <c r="Q381" s="798"/>
      <c r="R381" s="798"/>
      <c r="S381" s="798"/>
      <c r="T381" s="196"/>
      <c r="U381" s="196"/>
      <c r="V381" s="196"/>
      <c r="W381" s="196"/>
      <c r="X381" s="196"/>
      <c r="Y381" s="8"/>
    </row>
    <row r="382" spans="2:25">
      <c r="B382" s="231"/>
      <c r="C382" s="87"/>
      <c r="D382" s="87"/>
      <c r="E382" s="87"/>
      <c r="F382" s="87"/>
      <c r="G382" s="87"/>
      <c r="H382" s="191"/>
      <c r="I382" s="192"/>
      <c r="J382" s="193"/>
      <c r="K382" s="798"/>
      <c r="L382" s="798"/>
      <c r="M382" s="798"/>
      <c r="N382" s="798"/>
      <c r="O382" s="798"/>
      <c r="P382" s="798"/>
      <c r="Q382" s="798"/>
      <c r="R382" s="798"/>
      <c r="S382" s="798"/>
      <c r="T382" s="196"/>
      <c r="U382" s="196"/>
      <c r="V382" s="196"/>
      <c r="W382" s="196"/>
      <c r="X382" s="196"/>
      <c r="Y382" s="8"/>
    </row>
    <row r="383" spans="2:25">
      <c r="B383" s="231"/>
      <c r="C383" s="87"/>
      <c r="D383" s="87"/>
      <c r="E383" s="87"/>
      <c r="F383" s="87"/>
      <c r="G383" s="87"/>
      <c r="H383" s="191"/>
      <c r="I383" s="192"/>
      <c r="J383" s="193"/>
      <c r="K383" s="196"/>
      <c r="L383" s="196"/>
      <c r="M383" s="196"/>
      <c r="N383" s="196"/>
      <c r="O383" s="196"/>
      <c r="P383" s="196"/>
      <c r="Q383" s="196"/>
      <c r="R383" s="196"/>
      <c r="S383" s="196"/>
      <c r="T383" s="196"/>
      <c r="U383" s="196"/>
      <c r="V383" s="196"/>
      <c r="W383" s="196"/>
      <c r="X383" s="196"/>
      <c r="Y383" s="8"/>
    </row>
    <row r="384" spans="2:25">
      <c r="B384" s="231"/>
      <c r="C384" s="87"/>
      <c r="D384" s="87"/>
      <c r="E384" s="87"/>
      <c r="F384" s="87"/>
      <c r="G384" s="87"/>
      <c r="H384" s="191"/>
      <c r="I384" s="192"/>
      <c r="J384" s="193"/>
      <c r="K384" s="196"/>
      <c r="L384" s="196"/>
      <c r="M384" s="196"/>
      <c r="N384" s="196"/>
      <c r="O384" s="196"/>
      <c r="P384" s="196"/>
      <c r="Q384" s="196"/>
      <c r="R384" s="196"/>
      <c r="S384" s="196"/>
      <c r="T384" s="196"/>
      <c r="U384" s="196"/>
      <c r="V384" s="196"/>
      <c r="W384" s="196"/>
      <c r="X384" s="196"/>
      <c r="Y384" s="8"/>
    </row>
    <row r="385" spans="2:25">
      <c r="B385" s="231"/>
      <c r="C385" s="87"/>
      <c r="D385" s="87"/>
      <c r="E385" s="87"/>
      <c r="F385" s="87"/>
      <c r="G385" s="87"/>
      <c r="H385" s="191"/>
      <c r="I385" s="192"/>
      <c r="J385" s="193"/>
      <c r="K385" s="196"/>
      <c r="L385" s="196"/>
      <c r="M385" s="196"/>
      <c r="N385" s="196"/>
      <c r="O385" s="196"/>
      <c r="P385" s="196"/>
      <c r="Q385" s="196"/>
      <c r="R385" s="196"/>
      <c r="S385" s="196"/>
      <c r="T385" s="196"/>
      <c r="U385" s="196"/>
      <c r="V385" s="196"/>
      <c r="W385" s="196"/>
      <c r="X385" s="196"/>
      <c r="Y385" s="8"/>
    </row>
    <row r="386" spans="2:25">
      <c r="B386" s="231"/>
      <c r="C386" s="87"/>
      <c r="D386" s="87"/>
      <c r="E386" s="87"/>
      <c r="F386" s="87"/>
      <c r="G386" s="87"/>
      <c r="H386" s="191"/>
      <c r="I386" s="192"/>
      <c r="J386" s="193"/>
      <c r="K386" s="196"/>
      <c r="L386" s="196"/>
      <c r="M386" s="196"/>
      <c r="N386" s="196"/>
      <c r="O386" s="196"/>
      <c r="P386" s="196"/>
      <c r="Q386" s="196"/>
      <c r="R386" s="196"/>
      <c r="S386" s="196"/>
      <c r="T386" s="196"/>
      <c r="U386" s="196"/>
      <c r="V386" s="196"/>
      <c r="W386" s="196"/>
      <c r="X386" s="196"/>
      <c r="Y386" s="8"/>
    </row>
    <row r="387" spans="2:25">
      <c r="B387" s="231"/>
      <c r="C387" s="87"/>
      <c r="D387" s="87"/>
      <c r="E387" s="87"/>
      <c r="F387" s="87"/>
      <c r="G387" s="87"/>
      <c r="H387" s="191"/>
      <c r="I387" s="192"/>
      <c r="J387" s="193"/>
      <c r="K387" s="196"/>
      <c r="L387" s="196"/>
      <c r="M387" s="196"/>
      <c r="N387" s="196"/>
      <c r="O387" s="196"/>
      <c r="P387" s="196"/>
      <c r="Q387" s="196"/>
      <c r="R387" s="196"/>
      <c r="S387" s="196"/>
      <c r="T387" s="196"/>
      <c r="U387" s="196"/>
      <c r="V387" s="196"/>
      <c r="W387" s="196"/>
      <c r="X387" s="196"/>
      <c r="Y387" s="8"/>
    </row>
    <row r="388" spans="2:25">
      <c r="B388" s="231"/>
      <c r="C388" s="87"/>
      <c r="D388" s="87"/>
      <c r="E388" s="87"/>
      <c r="F388" s="87"/>
      <c r="G388" s="87"/>
      <c r="H388" s="191"/>
      <c r="I388" s="192"/>
      <c r="J388" s="193"/>
      <c r="K388" s="196"/>
      <c r="L388" s="196"/>
      <c r="M388" s="196"/>
      <c r="N388" s="196"/>
      <c r="O388" s="196"/>
      <c r="P388" s="196"/>
      <c r="Q388" s="196"/>
      <c r="R388" s="196"/>
      <c r="S388" s="196"/>
      <c r="T388" s="196"/>
      <c r="U388" s="196"/>
      <c r="V388" s="196"/>
      <c r="W388" s="196"/>
      <c r="X388" s="196"/>
      <c r="Y388" s="8"/>
    </row>
    <row r="389" spans="2:25">
      <c r="B389" s="231"/>
      <c r="C389" s="87"/>
      <c r="D389" s="87"/>
      <c r="E389" s="87"/>
      <c r="F389" s="87"/>
      <c r="G389" s="87"/>
      <c r="H389" s="191"/>
      <c r="I389" s="192"/>
      <c r="J389" s="193"/>
      <c r="K389" s="196"/>
      <c r="L389" s="196"/>
      <c r="M389" s="196"/>
      <c r="N389" s="196"/>
      <c r="O389" s="196"/>
      <c r="P389" s="196"/>
      <c r="Q389" s="196"/>
      <c r="R389" s="196"/>
      <c r="S389" s="196"/>
      <c r="T389" s="196"/>
      <c r="U389" s="196"/>
      <c r="V389" s="196"/>
      <c r="W389" s="196"/>
      <c r="X389" s="196"/>
      <c r="Y389" s="8"/>
    </row>
    <row r="390" spans="2:25">
      <c r="B390" s="231"/>
      <c r="C390" s="87"/>
      <c r="D390" s="87"/>
      <c r="E390" s="87"/>
      <c r="F390" s="87"/>
      <c r="G390" s="87"/>
      <c r="H390" s="191"/>
      <c r="I390" s="192"/>
      <c r="J390" s="193"/>
      <c r="K390" s="196"/>
      <c r="L390" s="196"/>
      <c r="M390" s="196"/>
      <c r="N390" s="196"/>
      <c r="O390" s="196"/>
      <c r="P390" s="196"/>
      <c r="Q390" s="196"/>
      <c r="R390" s="196"/>
      <c r="S390" s="196"/>
      <c r="T390" s="196"/>
      <c r="U390" s="196"/>
      <c r="V390" s="196"/>
      <c r="W390" s="196"/>
      <c r="X390" s="196"/>
      <c r="Y390" s="8"/>
    </row>
    <row r="391" spans="2:25">
      <c r="B391" s="231"/>
      <c r="C391" s="87"/>
      <c r="D391" s="87"/>
      <c r="E391" s="87"/>
      <c r="F391" s="87"/>
      <c r="G391" s="87"/>
      <c r="H391" s="191"/>
      <c r="I391" s="192"/>
      <c r="J391" s="193"/>
      <c r="K391" s="193"/>
      <c r="L391" s="194"/>
      <c r="M391" s="191"/>
      <c r="N391" s="192"/>
      <c r="O391" s="193"/>
      <c r="P391" s="195"/>
      <c r="Q391" s="196"/>
      <c r="R391" s="196"/>
      <c r="S391" s="196"/>
      <c r="T391" s="196"/>
      <c r="U391" s="196"/>
      <c r="V391" s="196"/>
      <c r="W391" s="196"/>
      <c r="X391" s="196"/>
      <c r="Y391" s="8"/>
    </row>
    <row r="392" spans="2:25">
      <c r="B392" s="231"/>
      <c r="C392" s="87"/>
      <c r="D392" s="87"/>
      <c r="E392" s="87"/>
      <c r="F392" s="87"/>
      <c r="G392" s="87"/>
      <c r="H392" s="191"/>
      <c r="I392" s="192"/>
      <c r="J392" s="193"/>
      <c r="K392" s="798" t="s">
        <v>762</v>
      </c>
      <c r="L392" s="798"/>
      <c r="M392" s="798"/>
      <c r="N392" s="798"/>
      <c r="O392" s="798"/>
      <c r="P392" s="798"/>
      <c r="Q392" s="798"/>
      <c r="R392" s="798"/>
      <c r="S392" s="798"/>
      <c r="T392" s="196"/>
      <c r="U392" s="196"/>
      <c r="V392" s="196"/>
      <c r="W392" s="196"/>
      <c r="X392" s="196"/>
      <c r="Y392" s="8"/>
    </row>
    <row r="393" spans="2:25">
      <c r="B393" s="231"/>
      <c r="C393" s="87"/>
      <c r="D393" s="87"/>
      <c r="E393" s="87"/>
      <c r="F393" s="87"/>
      <c r="G393" s="87"/>
      <c r="H393" s="191"/>
      <c r="I393" s="192"/>
      <c r="J393" s="193"/>
      <c r="K393" s="798"/>
      <c r="L393" s="798"/>
      <c r="M393" s="798"/>
      <c r="N393" s="798"/>
      <c r="O393" s="798"/>
      <c r="P393" s="798"/>
      <c r="Q393" s="798"/>
      <c r="R393" s="798"/>
      <c r="S393" s="798"/>
      <c r="T393" s="196"/>
      <c r="U393" s="196"/>
      <c r="V393" s="196"/>
      <c r="W393" s="196"/>
      <c r="X393" s="196"/>
      <c r="Y393" s="8"/>
    </row>
    <row r="394" spans="2:25">
      <c r="B394" s="231"/>
      <c r="C394" s="87"/>
      <c r="D394" s="87"/>
      <c r="E394" s="87"/>
      <c r="F394" s="87"/>
      <c r="G394" s="87"/>
      <c r="H394" s="191"/>
      <c r="I394" s="192"/>
      <c r="J394" s="193"/>
      <c r="K394" s="798"/>
      <c r="L394" s="798"/>
      <c r="M394" s="798"/>
      <c r="N394" s="798"/>
      <c r="O394" s="798"/>
      <c r="P394" s="798"/>
      <c r="Q394" s="798"/>
      <c r="R394" s="798"/>
      <c r="S394" s="798"/>
      <c r="T394" s="196"/>
      <c r="U394" s="196"/>
      <c r="V394" s="196"/>
      <c r="W394" s="196"/>
      <c r="X394" s="196"/>
      <c r="Y394" s="8"/>
    </row>
    <row r="395" spans="2:25">
      <c r="B395" s="231"/>
      <c r="C395" s="87"/>
      <c r="D395" s="87"/>
      <c r="E395" s="87"/>
      <c r="F395" s="87"/>
      <c r="G395" s="87"/>
      <c r="H395" s="191"/>
      <c r="I395" s="192"/>
      <c r="J395" s="193"/>
      <c r="K395" s="798"/>
      <c r="L395" s="798"/>
      <c r="M395" s="798"/>
      <c r="N395" s="798"/>
      <c r="O395" s="798"/>
      <c r="P395" s="798"/>
      <c r="Q395" s="798"/>
      <c r="R395" s="798"/>
      <c r="S395" s="798"/>
      <c r="T395" s="196"/>
      <c r="U395" s="196"/>
      <c r="V395" s="196"/>
      <c r="W395" s="196"/>
      <c r="X395" s="196"/>
      <c r="Y395" s="8"/>
    </row>
    <row r="396" spans="2:25">
      <c r="B396" s="231"/>
      <c r="C396" s="87"/>
      <c r="D396" s="87"/>
      <c r="E396" s="87"/>
      <c r="F396" s="87"/>
      <c r="G396" s="87"/>
      <c r="H396" s="191"/>
      <c r="I396" s="192"/>
      <c r="J396" s="193"/>
      <c r="K396" s="798"/>
      <c r="L396" s="798"/>
      <c r="M396" s="798"/>
      <c r="N396" s="798"/>
      <c r="O396" s="798"/>
      <c r="P396" s="798"/>
      <c r="Q396" s="798"/>
      <c r="R396" s="798"/>
      <c r="S396" s="798"/>
      <c r="T396" s="196"/>
      <c r="U396" s="196"/>
      <c r="V396" s="196"/>
      <c r="W396" s="196"/>
      <c r="X396" s="196"/>
      <c r="Y396" s="8"/>
    </row>
    <row r="397" spans="2:25">
      <c r="B397" s="231"/>
      <c r="C397" s="87"/>
      <c r="D397" s="87"/>
      <c r="E397" s="87"/>
      <c r="F397" s="87"/>
      <c r="G397" s="87"/>
      <c r="H397" s="191"/>
      <c r="I397" s="192"/>
      <c r="J397" s="193"/>
      <c r="K397" s="798"/>
      <c r="L397" s="798"/>
      <c r="M397" s="798"/>
      <c r="N397" s="798"/>
      <c r="O397" s="798"/>
      <c r="P397" s="798"/>
      <c r="Q397" s="798"/>
      <c r="R397" s="798"/>
      <c r="S397" s="798"/>
      <c r="T397" s="196"/>
      <c r="U397" s="196"/>
      <c r="V397" s="196"/>
      <c r="W397" s="196"/>
      <c r="X397" s="196"/>
      <c r="Y397" s="8"/>
    </row>
    <row r="398" spans="2:25">
      <c r="B398" s="231"/>
      <c r="C398" s="87"/>
      <c r="D398" s="87"/>
      <c r="E398" s="87"/>
      <c r="F398" s="87"/>
      <c r="G398" s="87"/>
      <c r="H398" s="191"/>
      <c r="I398" s="192"/>
      <c r="J398" s="193"/>
      <c r="K398" s="798"/>
      <c r="L398" s="798"/>
      <c r="M398" s="798"/>
      <c r="N398" s="798"/>
      <c r="O398" s="798"/>
      <c r="P398" s="798"/>
      <c r="Q398" s="798"/>
      <c r="R398" s="798"/>
      <c r="S398" s="798"/>
      <c r="T398" s="196"/>
      <c r="U398" s="196"/>
      <c r="V398" s="196"/>
      <c r="W398" s="196"/>
      <c r="X398" s="196"/>
      <c r="Y398" s="8"/>
    </row>
    <row r="399" spans="2:25">
      <c r="B399" s="231"/>
      <c r="C399" s="87"/>
      <c r="D399" s="87"/>
      <c r="E399" s="87"/>
      <c r="F399" s="87"/>
      <c r="G399" s="87"/>
      <c r="H399" s="191"/>
      <c r="I399" s="192"/>
      <c r="J399" s="193"/>
      <c r="K399" s="798"/>
      <c r="L399" s="798"/>
      <c r="M399" s="798"/>
      <c r="N399" s="798"/>
      <c r="O399" s="798"/>
      <c r="P399" s="798"/>
      <c r="Q399" s="798"/>
      <c r="R399" s="798"/>
      <c r="S399" s="798"/>
      <c r="T399" s="196"/>
      <c r="U399" s="196"/>
      <c r="V399" s="196"/>
      <c r="W399" s="196"/>
      <c r="X399" s="196"/>
      <c r="Y399" s="8"/>
    </row>
    <row r="400" spans="2:25">
      <c r="B400" s="231"/>
      <c r="C400" s="87"/>
      <c r="D400" s="87"/>
      <c r="E400" s="87"/>
      <c r="F400" s="87"/>
      <c r="G400" s="87"/>
      <c r="H400" s="191"/>
      <c r="I400" s="192"/>
      <c r="J400" s="193"/>
      <c r="K400" s="798"/>
      <c r="L400" s="798"/>
      <c r="M400" s="798"/>
      <c r="N400" s="798"/>
      <c r="O400" s="798"/>
      <c r="P400" s="798"/>
      <c r="Q400" s="798"/>
      <c r="R400" s="798"/>
      <c r="S400" s="798"/>
      <c r="T400" s="196"/>
      <c r="U400" s="196"/>
      <c r="V400" s="196"/>
      <c r="W400" s="196"/>
      <c r="X400" s="196"/>
      <c r="Y400" s="8"/>
    </row>
    <row r="401" spans="2:25">
      <c r="B401" s="231"/>
      <c r="C401" s="87"/>
      <c r="D401" s="87"/>
      <c r="E401" s="87"/>
      <c r="F401" s="87"/>
      <c r="G401" s="87"/>
      <c r="H401" s="191"/>
      <c r="I401" s="192"/>
      <c r="J401" s="193"/>
      <c r="K401" s="193"/>
      <c r="L401" s="194"/>
      <c r="M401" s="191"/>
      <c r="N401" s="192"/>
      <c r="O401" s="193"/>
      <c r="P401" s="195"/>
      <c r="Q401" s="196"/>
      <c r="R401" s="196"/>
      <c r="S401" s="196"/>
      <c r="T401" s="196"/>
      <c r="U401" s="196"/>
      <c r="V401" s="196"/>
      <c r="W401" s="196"/>
      <c r="X401" s="196"/>
      <c r="Y401" s="8"/>
    </row>
    <row r="402" spans="2:25">
      <c r="B402" s="231"/>
      <c r="C402" s="87"/>
      <c r="D402" s="87"/>
      <c r="E402" s="87"/>
      <c r="F402" s="87"/>
      <c r="G402" s="87"/>
      <c r="H402" s="191"/>
      <c r="I402" s="192"/>
      <c r="J402" s="193"/>
      <c r="K402" s="193"/>
      <c r="L402" s="194"/>
      <c r="M402" s="191"/>
      <c r="N402" s="192"/>
      <c r="O402" s="193"/>
      <c r="P402" s="195"/>
      <c r="Q402" s="196"/>
      <c r="R402" s="196"/>
      <c r="S402" s="196"/>
      <c r="T402" s="196"/>
      <c r="U402" s="196"/>
      <c r="V402" s="196"/>
      <c r="W402" s="196"/>
      <c r="X402" s="196"/>
      <c r="Y402" s="8"/>
    </row>
    <row r="403" spans="2:25">
      <c r="B403" s="231"/>
      <c r="C403" s="87"/>
      <c r="D403" s="87"/>
      <c r="E403" s="87"/>
      <c r="F403" s="87"/>
      <c r="G403" s="87"/>
      <c r="H403" s="191"/>
      <c r="I403" s="192"/>
      <c r="J403" s="193"/>
      <c r="K403" s="193"/>
      <c r="L403" s="194"/>
      <c r="M403" s="191"/>
      <c r="N403" s="192"/>
      <c r="O403" s="193"/>
      <c r="P403" s="195"/>
      <c r="Q403" s="196"/>
      <c r="R403" s="196"/>
      <c r="S403" s="196"/>
      <c r="T403" s="196"/>
      <c r="U403" s="196"/>
      <c r="V403" s="196"/>
      <c r="W403" s="196"/>
      <c r="X403" s="196"/>
      <c r="Y403" s="8"/>
    </row>
    <row r="404" spans="2:25">
      <c r="B404" s="231"/>
      <c r="C404" s="87"/>
      <c r="D404" s="87"/>
      <c r="E404" s="87"/>
      <c r="F404" s="87"/>
      <c r="G404" s="87"/>
      <c r="H404" s="191"/>
      <c r="I404" s="192"/>
      <c r="J404" s="193"/>
      <c r="K404" s="193"/>
      <c r="L404" s="194"/>
      <c r="M404" s="191"/>
      <c r="N404" s="192"/>
      <c r="O404" s="193"/>
      <c r="P404" s="195"/>
      <c r="Q404" s="196"/>
      <c r="R404" s="196"/>
      <c r="S404" s="196"/>
      <c r="T404" s="196"/>
      <c r="U404" s="196"/>
      <c r="V404" s="196"/>
      <c r="W404" s="196"/>
      <c r="X404" s="196"/>
      <c r="Y404" s="8"/>
    </row>
    <row r="405" spans="2:25">
      <c r="B405" s="231"/>
      <c r="C405" s="87"/>
      <c r="D405" s="87"/>
      <c r="E405" s="87"/>
      <c r="F405" s="87"/>
      <c r="G405" s="87"/>
      <c r="H405" s="191"/>
      <c r="I405" s="192"/>
      <c r="J405" s="193"/>
      <c r="K405" s="193"/>
      <c r="L405" s="194"/>
      <c r="M405" s="191"/>
      <c r="N405" s="192"/>
      <c r="O405" s="193"/>
      <c r="P405" s="195"/>
      <c r="Q405" s="196"/>
      <c r="R405" s="196"/>
      <c r="S405" s="196"/>
      <c r="T405" s="196"/>
      <c r="U405" s="196"/>
      <c r="V405" s="196"/>
      <c r="W405" s="196"/>
      <c r="X405" s="196"/>
      <c r="Y405" s="8"/>
    </row>
    <row r="406" spans="2:25">
      <c r="B406" s="231"/>
      <c r="C406" s="87"/>
      <c r="D406" s="87"/>
      <c r="E406" s="87"/>
      <c r="F406" s="87"/>
      <c r="G406" s="87"/>
      <c r="H406" s="191"/>
      <c r="I406" s="192"/>
      <c r="J406" s="193"/>
      <c r="K406" s="193"/>
      <c r="L406" s="194"/>
      <c r="M406" s="191"/>
      <c r="N406" s="192"/>
      <c r="O406" s="193"/>
      <c r="P406" s="195"/>
      <c r="Q406" s="196"/>
      <c r="R406" s="196"/>
      <c r="S406" s="196"/>
      <c r="T406" s="196"/>
      <c r="U406" s="196"/>
      <c r="V406" s="196"/>
      <c r="W406" s="196"/>
      <c r="X406" s="196"/>
      <c r="Y406" s="8"/>
    </row>
    <row r="407" spans="2:25">
      <c r="B407" s="231"/>
      <c r="C407" s="87"/>
      <c r="D407" s="87"/>
      <c r="E407" s="87"/>
      <c r="F407" s="87"/>
      <c r="G407" s="87"/>
      <c r="H407" s="191"/>
      <c r="I407" s="192"/>
      <c r="J407" s="193"/>
      <c r="K407" s="193"/>
      <c r="L407" s="194"/>
      <c r="M407" s="191"/>
      <c r="N407" s="192"/>
      <c r="O407" s="193"/>
      <c r="P407" s="195"/>
      <c r="Q407" s="196"/>
      <c r="R407" s="196"/>
      <c r="S407" s="196"/>
      <c r="T407" s="196"/>
      <c r="U407" s="196"/>
      <c r="V407" s="196"/>
      <c r="W407" s="196"/>
      <c r="X407" s="196"/>
      <c r="Y407" s="8"/>
    </row>
  </sheetData>
  <sheetProtection algorithmName="SHA-512" hashValue="1DkPenvlA88MIrWLav3tEZ07VaFjQ8hql0pfxP5DSzxzmKMpAZFqmEhOGQrpuaCnebhTkCs8ABvabB+eHcHZJg==" saltValue="QB2iumnyhXvsyhPm7M0a0Q==" spinCount="100000" sheet="1" objects="1" scenarios="1" autoFilter="0"/>
  <mergeCells count="361">
    <mergeCell ref="K392:S400"/>
    <mergeCell ref="K331:S334"/>
    <mergeCell ref="K335:S339"/>
    <mergeCell ref="K341:S345"/>
    <mergeCell ref="C352:S360"/>
    <mergeCell ref="K363:S365"/>
    <mergeCell ref="K366:S371"/>
    <mergeCell ref="K374:S382"/>
    <mergeCell ref="K290:S293"/>
    <mergeCell ref="K294:S298"/>
    <mergeCell ref="K300:S304"/>
    <mergeCell ref="C313:S327"/>
    <mergeCell ref="K266:R271"/>
    <mergeCell ref="K275:S280"/>
    <mergeCell ref="R203:V203"/>
    <mergeCell ref="W204:X204"/>
    <mergeCell ref="R204:V204"/>
    <mergeCell ref="R71:V71"/>
    <mergeCell ref="W71:X71"/>
    <mergeCell ref="W115:X115"/>
    <mergeCell ref="R115:V115"/>
    <mergeCell ref="R128:V128"/>
    <mergeCell ref="W128:X128"/>
    <mergeCell ref="W112:X112"/>
    <mergeCell ref="R112:V112"/>
    <mergeCell ref="W141:X141"/>
    <mergeCell ref="R142:V142"/>
    <mergeCell ref="W142:X142"/>
    <mergeCell ref="R117:V117"/>
    <mergeCell ref="W117:X117"/>
    <mergeCell ref="W100:X100"/>
    <mergeCell ref="R202:V202"/>
    <mergeCell ref="W202:X202"/>
    <mergeCell ref="R140:V140"/>
    <mergeCell ref="W163:X163"/>
    <mergeCell ref="W164:X164"/>
    <mergeCell ref="W165:X165"/>
    <mergeCell ref="W166:X166"/>
    <mergeCell ref="W167:X167"/>
    <mergeCell ref="W158:X158"/>
    <mergeCell ref="W159:X159"/>
    <mergeCell ref="C213:H250"/>
    <mergeCell ref="C257:P261"/>
    <mergeCell ref="W180:X180"/>
    <mergeCell ref="W181:X181"/>
    <mergeCell ref="W182:X182"/>
    <mergeCell ref="W173:X173"/>
    <mergeCell ref="W174:X174"/>
    <mergeCell ref="W175:X175"/>
    <mergeCell ref="W176:X176"/>
    <mergeCell ref="W177:X177"/>
    <mergeCell ref="W168:X168"/>
    <mergeCell ref="W169:X169"/>
    <mergeCell ref="W170:X170"/>
    <mergeCell ref="W171:X171"/>
    <mergeCell ref="W172:X172"/>
    <mergeCell ref="W178:X178"/>
    <mergeCell ref="W179:X179"/>
    <mergeCell ref="W188:X188"/>
    <mergeCell ref="W189:X189"/>
    <mergeCell ref="W190:X190"/>
    <mergeCell ref="W191:X191"/>
    <mergeCell ref="W192:X192"/>
    <mergeCell ref="W183:X183"/>
    <mergeCell ref="W184:X184"/>
    <mergeCell ref="W185:X185"/>
    <mergeCell ref="W186:X186"/>
    <mergeCell ref="W187:X187"/>
    <mergeCell ref="W198:X198"/>
    <mergeCell ref="W199:X199"/>
    <mergeCell ref="W200:X200"/>
    <mergeCell ref="W201:X201"/>
    <mergeCell ref="W203:X203"/>
    <mergeCell ref="W193:X193"/>
    <mergeCell ref="W194:X194"/>
    <mergeCell ref="W195:X195"/>
    <mergeCell ref="W196:X196"/>
    <mergeCell ref="W197:X197"/>
    <mergeCell ref="W160:X160"/>
    <mergeCell ref="W161:X161"/>
    <mergeCell ref="W162:X162"/>
    <mergeCell ref="W153:X153"/>
    <mergeCell ref="W154:X154"/>
    <mergeCell ref="W155:X155"/>
    <mergeCell ref="W156:X156"/>
    <mergeCell ref="W157:X157"/>
    <mergeCell ref="W150:X150"/>
    <mergeCell ref="W151:X151"/>
    <mergeCell ref="W152:X152"/>
    <mergeCell ref="W144:X144"/>
    <mergeCell ref="W145:X145"/>
    <mergeCell ref="W146:X146"/>
    <mergeCell ref="W147:X147"/>
    <mergeCell ref="W148:X148"/>
    <mergeCell ref="W149:X149"/>
    <mergeCell ref="W135:X135"/>
    <mergeCell ref="W136:X136"/>
    <mergeCell ref="W137:X137"/>
    <mergeCell ref="W138:X138"/>
    <mergeCell ref="W143:X143"/>
    <mergeCell ref="W139:X139"/>
    <mergeCell ref="W140:X140"/>
    <mergeCell ref="W130:X130"/>
    <mergeCell ref="W131:X131"/>
    <mergeCell ref="W132:X132"/>
    <mergeCell ref="W133:X133"/>
    <mergeCell ref="W134:X134"/>
    <mergeCell ref="W124:X124"/>
    <mergeCell ref="W125:X125"/>
    <mergeCell ref="W126:X126"/>
    <mergeCell ref="W127:X127"/>
    <mergeCell ref="W129:X129"/>
    <mergeCell ref="W119:X119"/>
    <mergeCell ref="W120:X120"/>
    <mergeCell ref="W121:X121"/>
    <mergeCell ref="W122:X122"/>
    <mergeCell ref="W123:X123"/>
    <mergeCell ref="W113:X113"/>
    <mergeCell ref="W114:X114"/>
    <mergeCell ref="W116:X116"/>
    <mergeCell ref="W118:X118"/>
    <mergeCell ref="W107:X107"/>
    <mergeCell ref="W108:X108"/>
    <mergeCell ref="W109:X109"/>
    <mergeCell ref="W110:X110"/>
    <mergeCell ref="W111:X111"/>
    <mergeCell ref="W102:X102"/>
    <mergeCell ref="W103:X103"/>
    <mergeCell ref="W104:X104"/>
    <mergeCell ref="W105:X105"/>
    <mergeCell ref="W106:X106"/>
    <mergeCell ref="W95:X95"/>
    <mergeCell ref="W96:X96"/>
    <mergeCell ref="W97:X97"/>
    <mergeCell ref="W98:X98"/>
    <mergeCell ref="W99:X99"/>
    <mergeCell ref="W101:X101"/>
    <mergeCell ref="W90:X90"/>
    <mergeCell ref="W91:X91"/>
    <mergeCell ref="W92:X92"/>
    <mergeCell ref="W93:X93"/>
    <mergeCell ref="W94:X94"/>
    <mergeCell ref="W85:X85"/>
    <mergeCell ref="W86:X86"/>
    <mergeCell ref="W87:X87"/>
    <mergeCell ref="W88:X88"/>
    <mergeCell ref="W89:X89"/>
    <mergeCell ref="W80:X80"/>
    <mergeCell ref="W81:X81"/>
    <mergeCell ref="W82:X82"/>
    <mergeCell ref="W83:X83"/>
    <mergeCell ref="W84:X84"/>
    <mergeCell ref="W74:X74"/>
    <mergeCell ref="W75:X75"/>
    <mergeCell ref="W76:X76"/>
    <mergeCell ref="W77:X77"/>
    <mergeCell ref="W79:X79"/>
    <mergeCell ref="W78:X78"/>
    <mergeCell ref="W67:X67"/>
    <mergeCell ref="W68:X68"/>
    <mergeCell ref="W69:X69"/>
    <mergeCell ref="W72:X72"/>
    <mergeCell ref="W73:X73"/>
    <mergeCell ref="W70:X70"/>
    <mergeCell ref="W62:X62"/>
    <mergeCell ref="W63:X63"/>
    <mergeCell ref="W64:X64"/>
    <mergeCell ref="W65:X65"/>
    <mergeCell ref="W66:X66"/>
    <mergeCell ref="W57:X57"/>
    <mergeCell ref="W58:X58"/>
    <mergeCell ref="W59:X59"/>
    <mergeCell ref="W60:X60"/>
    <mergeCell ref="W61:X61"/>
    <mergeCell ref="W52:X52"/>
    <mergeCell ref="W53:X53"/>
    <mergeCell ref="W54:X54"/>
    <mergeCell ref="W55:X55"/>
    <mergeCell ref="W56:X56"/>
    <mergeCell ref="W47:X47"/>
    <mergeCell ref="W48:X48"/>
    <mergeCell ref="W49:X49"/>
    <mergeCell ref="W50:X50"/>
    <mergeCell ref="W51:X51"/>
    <mergeCell ref="W33:X33"/>
    <mergeCell ref="W35:X35"/>
    <mergeCell ref="W36:X36"/>
    <mergeCell ref="W37:X37"/>
    <mergeCell ref="W38:X38"/>
    <mergeCell ref="W39:X39"/>
    <mergeCell ref="W40:X40"/>
    <mergeCell ref="W41:X41"/>
    <mergeCell ref="W42:X42"/>
    <mergeCell ref="W43:X43"/>
    <mergeCell ref="W44:X44"/>
    <mergeCell ref="W45:X45"/>
    <mergeCell ref="W46:X46"/>
    <mergeCell ref="R195:V195"/>
    <mergeCell ref="R196:V196"/>
    <mergeCell ref="R197:V197"/>
    <mergeCell ref="R198:V198"/>
    <mergeCell ref="R199:V199"/>
    <mergeCell ref="R190:V190"/>
    <mergeCell ref="R191:V191"/>
    <mergeCell ref="R192:V192"/>
    <mergeCell ref="R193:V193"/>
    <mergeCell ref="R194:V194"/>
    <mergeCell ref="R185:V185"/>
    <mergeCell ref="R186:V186"/>
    <mergeCell ref="R187:V187"/>
    <mergeCell ref="R188:V188"/>
    <mergeCell ref="R189:V189"/>
    <mergeCell ref="R180:V180"/>
    <mergeCell ref="R181:V181"/>
    <mergeCell ref="R182:V182"/>
    <mergeCell ref="R183:V183"/>
    <mergeCell ref="R184:V184"/>
    <mergeCell ref="R175:V175"/>
    <mergeCell ref="R176:V176"/>
    <mergeCell ref="R177:V177"/>
    <mergeCell ref="R178:V178"/>
    <mergeCell ref="R179:V179"/>
    <mergeCell ref="R170:V170"/>
    <mergeCell ref="R171:V171"/>
    <mergeCell ref="R172:V172"/>
    <mergeCell ref="R173:V173"/>
    <mergeCell ref="R174:V174"/>
    <mergeCell ref="R165:V165"/>
    <mergeCell ref="R166:V166"/>
    <mergeCell ref="R167:V167"/>
    <mergeCell ref="R168:V168"/>
    <mergeCell ref="R169:V169"/>
    <mergeCell ref="R160:V160"/>
    <mergeCell ref="R161:V161"/>
    <mergeCell ref="R162:V162"/>
    <mergeCell ref="R163:V163"/>
    <mergeCell ref="R164:V164"/>
    <mergeCell ref="R155:V155"/>
    <mergeCell ref="R156:V156"/>
    <mergeCell ref="R157:V157"/>
    <mergeCell ref="R158:V158"/>
    <mergeCell ref="R159:V159"/>
    <mergeCell ref="R152:V152"/>
    <mergeCell ref="R141:V141"/>
    <mergeCell ref="R153:V153"/>
    <mergeCell ref="R154:V154"/>
    <mergeCell ref="R146:V146"/>
    <mergeCell ref="R147:V147"/>
    <mergeCell ref="R148:V148"/>
    <mergeCell ref="R150:V150"/>
    <mergeCell ref="R151:V151"/>
    <mergeCell ref="R149:V149"/>
    <mergeCell ref="R137:V137"/>
    <mergeCell ref="R138:V138"/>
    <mergeCell ref="R143:V143"/>
    <mergeCell ref="R144:V144"/>
    <mergeCell ref="R145:V145"/>
    <mergeCell ref="R139:V139"/>
    <mergeCell ref="R132:V132"/>
    <mergeCell ref="R133:V133"/>
    <mergeCell ref="R134:V134"/>
    <mergeCell ref="R135:V135"/>
    <mergeCell ref="R136:V136"/>
    <mergeCell ref="R126:V126"/>
    <mergeCell ref="R127:V127"/>
    <mergeCell ref="R129:V129"/>
    <mergeCell ref="R130:V130"/>
    <mergeCell ref="R131:V131"/>
    <mergeCell ref="R121:V121"/>
    <mergeCell ref="R122:V122"/>
    <mergeCell ref="R123:V123"/>
    <mergeCell ref="R124:V124"/>
    <mergeCell ref="R125:V125"/>
    <mergeCell ref="R116:V116"/>
    <mergeCell ref="R118:V118"/>
    <mergeCell ref="R119:V119"/>
    <mergeCell ref="R120:V120"/>
    <mergeCell ref="R109:V109"/>
    <mergeCell ref="R110:V110"/>
    <mergeCell ref="R111:V111"/>
    <mergeCell ref="R113:V113"/>
    <mergeCell ref="R114:V114"/>
    <mergeCell ref="R104:V104"/>
    <mergeCell ref="R105:V105"/>
    <mergeCell ref="R106:V106"/>
    <mergeCell ref="R107:V107"/>
    <mergeCell ref="R108:V108"/>
    <mergeCell ref="R97:V97"/>
    <mergeCell ref="R98:V98"/>
    <mergeCell ref="R99:V99"/>
    <mergeCell ref="R102:V102"/>
    <mergeCell ref="R103:V103"/>
    <mergeCell ref="R100:V100"/>
    <mergeCell ref="R101:V101"/>
    <mergeCell ref="R92:V92"/>
    <mergeCell ref="R93:V93"/>
    <mergeCell ref="R94:V94"/>
    <mergeCell ref="R95:V95"/>
    <mergeCell ref="R96:V96"/>
    <mergeCell ref="R87:V87"/>
    <mergeCell ref="R88:V88"/>
    <mergeCell ref="R89:V89"/>
    <mergeCell ref="R90:V90"/>
    <mergeCell ref="R91:V91"/>
    <mergeCell ref="R82:V82"/>
    <mergeCell ref="R83:V83"/>
    <mergeCell ref="R84:V84"/>
    <mergeCell ref="R85:V85"/>
    <mergeCell ref="R86:V86"/>
    <mergeCell ref="R76:V76"/>
    <mergeCell ref="R77:V77"/>
    <mergeCell ref="R79:V79"/>
    <mergeCell ref="R80:V80"/>
    <mergeCell ref="R81:V81"/>
    <mergeCell ref="R78:V78"/>
    <mergeCell ref="R69:V69"/>
    <mergeCell ref="R72:V72"/>
    <mergeCell ref="R73:V73"/>
    <mergeCell ref="R74:V74"/>
    <mergeCell ref="R75:V75"/>
    <mergeCell ref="R70:V70"/>
    <mergeCell ref="R64:V64"/>
    <mergeCell ref="R65:V65"/>
    <mergeCell ref="R66:V66"/>
    <mergeCell ref="R67:V67"/>
    <mergeCell ref="R68:V68"/>
    <mergeCell ref="R48:V48"/>
    <mergeCell ref="R59:V59"/>
    <mergeCell ref="R60:V60"/>
    <mergeCell ref="R61:V61"/>
    <mergeCell ref="R62:V62"/>
    <mergeCell ref="R63:V63"/>
    <mergeCell ref="R54:V54"/>
    <mergeCell ref="R55:V55"/>
    <mergeCell ref="R56:V56"/>
    <mergeCell ref="R57:V57"/>
    <mergeCell ref="R58:V58"/>
    <mergeCell ref="C5:O22"/>
    <mergeCell ref="R200:V200"/>
    <mergeCell ref="R201:V201"/>
    <mergeCell ref="R34:V34"/>
    <mergeCell ref="W34:X34"/>
    <mergeCell ref="R39:V39"/>
    <mergeCell ref="R40:V40"/>
    <mergeCell ref="R41:V41"/>
    <mergeCell ref="R42:V42"/>
    <mergeCell ref="R43:V43"/>
    <mergeCell ref="R33:V33"/>
    <mergeCell ref="R35:V35"/>
    <mergeCell ref="R36:V36"/>
    <mergeCell ref="R37:V37"/>
    <mergeCell ref="R38:V38"/>
    <mergeCell ref="R49:V49"/>
    <mergeCell ref="R50:V50"/>
    <mergeCell ref="R51:V51"/>
    <mergeCell ref="R52:V52"/>
    <mergeCell ref="R53:V53"/>
    <mergeCell ref="R44:V44"/>
    <mergeCell ref="R45:V45"/>
    <mergeCell ref="R46:V46"/>
    <mergeCell ref="R47:V47"/>
  </mergeCells>
  <conditionalFormatting sqref="C33:I204">
    <cfRule type="expression" dxfId="230" priority="24">
      <formula>$H33="x"</formula>
    </cfRule>
  </conditionalFormatting>
  <conditionalFormatting sqref="D32">
    <cfRule type="expression" dxfId="229" priority="5099">
      <formula>$C$201&lt;J$379</formula>
    </cfRule>
  </conditionalFormatting>
  <conditionalFormatting sqref="H32">
    <cfRule type="expression" dxfId="228" priority="4943">
      <formula>$C$201&lt;#REF!</formula>
    </cfRule>
  </conditionalFormatting>
  <conditionalFormatting sqref="I32 N32">
    <cfRule type="expression" dxfId="227" priority="5097">
      <formula>$C$201&lt;M$379</formula>
    </cfRule>
  </conditionalFormatting>
  <conditionalFormatting sqref="K32:M32">
    <cfRule type="expression" dxfId="226" priority="166">
      <formula>$C$201&lt;#REF!</formula>
    </cfRule>
  </conditionalFormatting>
  <conditionalFormatting sqref="M33:N101">
    <cfRule type="expression" dxfId="213" priority="57">
      <formula>$H33="x"</formula>
    </cfRule>
  </conditionalFormatting>
  <conditionalFormatting sqref="M102:N116">
    <cfRule type="expression" dxfId="212" priority="168">
      <formula>$H102="x"</formula>
    </cfRule>
  </conditionalFormatting>
  <conditionalFormatting sqref="M117:N204">
    <cfRule type="expression" dxfId="211" priority="72">
      <formula>$H117="x"</formula>
    </cfRule>
  </conditionalFormatting>
  <conditionalFormatting sqref="O33:Q34 J33:L204">
    <cfRule type="expression" dxfId="210" priority="58">
      <formula>$H33="x"</formula>
    </cfRule>
  </conditionalFormatting>
  <conditionalFormatting sqref="O70:R204">
    <cfRule type="expression" dxfId="209" priority="6">
      <formula>$H70="x"</formula>
    </cfRule>
  </conditionalFormatting>
  <conditionalFormatting sqref="P32:T32">
    <cfRule type="expression" dxfId="208" priority="164">
      <formula>$C$201&lt;#REF!</formula>
    </cfRule>
  </conditionalFormatting>
  <conditionalFormatting sqref="Q35:Q58 O35:P69">
    <cfRule type="expression" dxfId="207" priority="213">
      <formula>$H35="x"</formula>
    </cfRule>
  </conditionalFormatting>
  <conditionalFormatting sqref="Q59:R69">
    <cfRule type="expression" dxfId="206" priority="1">
      <formula>$H59="x"</formula>
    </cfRule>
  </conditionalFormatting>
  <conditionalFormatting sqref="R33:R58">
    <cfRule type="expression" dxfId="205" priority="21">
      <formula>$H33="x"</formula>
    </cfRule>
  </conditionalFormatting>
  <conditionalFormatting sqref="W33:W204">
    <cfRule type="expression" dxfId="204" priority="56">
      <formula>$H33="x"</formula>
    </cfRule>
  </conditionalFormatting>
  <dataValidations count="1">
    <dataValidation allowBlank="1" showDropDown="1" showErrorMessage="1" sqref="M169 M104 H33:H204" xr:uid="{A28C574F-7954-45C0-8843-0DDF6972778D}"/>
  </dataValidations>
  <pageMargins left="0.7" right="0.7" top="0.75" bottom="0.75" header="0.3" footer="0.3"/>
  <pageSetup paperSize="9" scale="24"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9" operator="containsText" id="{EC3DF7FF-9D91-40A5-942F-9FAB10FA525F}">
            <xm:f>NOT(ISERROR(SEARCH("v",H33)))</xm:f>
            <xm:f>"v"</xm:f>
            <x14:dxf>
              <font>
                <color rgb="FFFDFDFF"/>
              </font>
              <fill>
                <patternFill>
                  <bgColor rgb="FF393D3F"/>
                </patternFill>
              </fill>
            </x14:dxf>
          </x14:cfRule>
          <x14:cfRule type="containsText" priority="60" operator="containsText" id="{0CF7EB58-6DEC-45EA-B511-82ECD7842B6C}">
            <xm:f>NOT(ISERROR(SEARCH("h",H33)))</xm:f>
            <xm:f>"h"</xm:f>
            <x14:dxf>
              <font>
                <color rgb="FFFDFDFF"/>
              </font>
              <fill>
                <patternFill>
                  <bgColor rgb="FF546A7B"/>
                </patternFill>
              </fill>
            </x14:dxf>
          </x14:cfRule>
          <x14:cfRule type="containsText" priority="61" operator="containsText" id="{C3EAA755-8656-438B-8BDE-3CFD89B53A22}">
            <xm:f>NOT(ISERROR(SEARCH("i",H33)))</xm:f>
            <xm:f>"i"</xm:f>
            <x14:dxf>
              <font>
                <color rgb="FFFDFDFF"/>
              </font>
              <fill>
                <patternFill>
                  <bgColor rgb="FF62929E"/>
                </patternFill>
              </fill>
            </x14:dxf>
          </x14:cfRule>
          <xm:sqref>M33:M101 H33:H204</xm:sqref>
        </x14:conditionalFormatting>
        <x14:conditionalFormatting xmlns:xm="http://schemas.microsoft.com/office/excel/2006/main">
          <x14:cfRule type="containsText" priority="215" operator="containsText" id="{686426D3-3957-47DE-9B01-8CB506570025}">
            <xm:f>NOT(ISERROR(SEARCH("v",M102)))</xm:f>
            <xm:f>"v"</xm:f>
            <x14:dxf>
              <font>
                <color rgb="FFFDFDFF"/>
              </font>
              <fill>
                <patternFill>
                  <bgColor rgb="FF393D3F"/>
                </patternFill>
              </fill>
            </x14:dxf>
          </x14:cfRule>
          <x14:cfRule type="containsText" priority="216" operator="containsText" id="{E236A797-D903-442B-BDD8-20E9EF0FDD93}">
            <xm:f>NOT(ISERROR(SEARCH("h",M102)))</xm:f>
            <xm:f>"h"</xm:f>
            <x14:dxf>
              <font>
                <color rgb="FFFDFDFF"/>
              </font>
              <fill>
                <patternFill>
                  <bgColor rgb="FF546A7B"/>
                </patternFill>
              </fill>
            </x14:dxf>
          </x14:cfRule>
          <x14:cfRule type="containsText" priority="217" operator="containsText" id="{EE8A6615-DF86-4CB2-8DF6-AF50B9036314}">
            <xm:f>NOT(ISERROR(SEARCH("i",M102)))</xm:f>
            <xm:f>"i"</xm:f>
            <x14:dxf>
              <font>
                <color rgb="FFFDFDFF"/>
              </font>
              <fill>
                <patternFill>
                  <bgColor rgb="FF62929E"/>
                </patternFill>
              </fill>
            </x14:dxf>
          </x14:cfRule>
          <xm:sqref>M102:M116</xm:sqref>
        </x14:conditionalFormatting>
        <x14:conditionalFormatting xmlns:xm="http://schemas.microsoft.com/office/excel/2006/main">
          <x14:cfRule type="containsText" priority="140" operator="containsText" id="{5E2CFDF6-4742-4211-9BCF-DE341D30FB52}">
            <xm:f>NOT(ISERROR(SEARCH("v",M104)))</xm:f>
            <xm:f>"v"</xm:f>
            <x14:dxf>
              <font>
                <color rgb="FFFDFDFF"/>
              </font>
              <fill>
                <patternFill>
                  <bgColor rgb="FF393D3F"/>
                </patternFill>
              </fill>
            </x14:dxf>
          </x14:cfRule>
          <x14:cfRule type="containsText" priority="141" operator="containsText" id="{DF8F0891-6C20-4FBD-936D-E89FCF68D262}">
            <xm:f>NOT(ISERROR(SEARCH("h",M104)))</xm:f>
            <xm:f>"h"</xm:f>
            <x14:dxf>
              <font>
                <color rgb="FFFDFDFF"/>
              </font>
              <fill>
                <patternFill>
                  <bgColor rgb="FF546A7B"/>
                </patternFill>
              </fill>
            </x14:dxf>
          </x14:cfRule>
          <x14:cfRule type="containsText" priority="142" operator="containsText" id="{6A28F0D1-6DBA-4D1E-B7EB-43FD01E91143}">
            <xm:f>NOT(ISERROR(SEARCH("i",M104)))</xm:f>
            <xm:f>"i"</xm:f>
            <x14:dxf>
              <font>
                <color rgb="FFFDFDFF"/>
              </font>
              <fill>
                <patternFill>
                  <bgColor rgb="FF62929E"/>
                </patternFill>
              </fill>
            </x14:dxf>
          </x14:cfRule>
          <xm:sqref>M104</xm:sqref>
        </x14:conditionalFormatting>
        <x14:conditionalFormatting xmlns:xm="http://schemas.microsoft.com/office/excel/2006/main">
          <x14:cfRule type="containsText" priority="76" operator="containsText" id="{16F1C1FC-CB1F-4ADD-A38B-1793C32EFA96}">
            <xm:f>NOT(ISERROR(SEARCH("i",M117)))</xm:f>
            <xm:f>"i"</xm:f>
            <x14:dxf>
              <font>
                <color rgb="FFFDFDFF"/>
              </font>
              <fill>
                <patternFill>
                  <bgColor rgb="FF62929E"/>
                </patternFill>
              </fill>
            </x14:dxf>
          </x14:cfRule>
          <x14:cfRule type="containsText" priority="74" operator="containsText" id="{6E5A75BA-0469-4F7B-A380-8D49FB25FFDF}">
            <xm:f>NOT(ISERROR(SEARCH("v",M117)))</xm:f>
            <xm:f>"v"</xm:f>
            <x14:dxf>
              <font>
                <color rgb="FFFDFDFF"/>
              </font>
              <fill>
                <patternFill>
                  <bgColor rgb="FF393D3F"/>
                </patternFill>
              </fill>
            </x14:dxf>
          </x14:cfRule>
          <x14:cfRule type="containsText" priority="75" operator="containsText" id="{8D66F0D9-E9BE-463F-B694-FEFEA67B5AF2}">
            <xm:f>NOT(ISERROR(SEARCH("h",M117)))</xm:f>
            <xm:f>"h"</xm:f>
            <x14:dxf>
              <font>
                <color rgb="FFFDFDFF"/>
              </font>
              <fill>
                <patternFill>
                  <bgColor rgb="FF546A7B"/>
                </patternFill>
              </fill>
            </x14:dxf>
          </x14:cfRule>
          <xm:sqref>M117:M204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tabColor rgb="FF393D3F"/>
    <pageSetUpPr fitToPage="1"/>
  </sheetPr>
  <dimension ref="A1:AO51"/>
  <sheetViews>
    <sheetView tabSelected="1" zoomScale="50" zoomScaleNormal="50" workbookViewId="0">
      <selection activeCell="X29" sqref="X29"/>
    </sheetView>
  </sheetViews>
  <sheetFormatPr defaultColWidth="9.140625" defaultRowHeight="15"/>
  <cols>
    <col min="1" max="1" width="2.28515625" style="7" customWidth="1"/>
    <col min="2" max="2" width="2.7109375" style="7" hidden="1" customWidth="1"/>
    <col min="3" max="3" width="2.42578125" style="7" customWidth="1"/>
    <col min="4" max="4" width="15.7109375" style="7" customWidth="1"/>
    <col min="5" max="5" width="17" style="7" customWidth="1"/>
    <col min="6" max="6" width="23.7109375" style="7" customWidth="1"/>
    <col min="7" max="7" width="13" style="7" customWidth="1"/>
    <col min="8" max="8" width="3.28515625" style="7" customWidth="1"/>
    <col min="9" max="9" width="2" style="7" customWidth="1"/>
    <col min="10" max="10" width="21.42578125" style="7" customWidth="1"/>
    <col min="11" max="11" width="17.5703125" style="7" customWidth="1"/>
    <col min="12" max="12" width="2" style="7" customWidth="1"/>
    <col min="13" max="13" width="5.85546875" style="7" customWidth="1"/>
    <col min="14" max="14" width="4" style="7" customWidth="1"/>
    <col min="15" max="15" width="8.140625" style="7" customWidth="1"/>
    <col min="16" max="16" width="16.85546875" style="7" customWidth="1"/>
    <col min="17" max="17" width="10" style="7" customWidth="1"/>
    <col min="18" max="18" width="12.85546875" style="7" customWidth="1"/>
    <col min="19" max="19" width="1.85546875" style="7" customWidth="1"/>
    <col min="20" max="20" width="19" style="7" customWidth="1"/>
    <col min="21" max="21" width="17.42578125" style="7" customWidth="1"/>
    <col min="22" max="22" width="2.5703125" style="7" customWidth="1"/>
    <col min="23" max="23" width="13.7109375" style="7" customWidth="1"/>
    <col min="24" max="24" width="12.5703125" style="7" customWidth="1"/>
    <col min="25" max="25" width="3.7109375" style="7" customWidth="1"/>
    <col min="26" max="26" width="3" style="7" customWidth="1"/>
    <col min="27" max="27" width="5.140625" style="7" customWidth="1"/>
    <col min="28" max="28" width="6.5703125" style="7" customWidth="1"/>
    <col min="29" max="29" width="3.42578125" style="7" customWidth="1"/>
    <col min="30" max="30" width="11.7109375" style="7" customWidth="1"/>
    <col min="31" max="31" width="8.5703125" style="7" customWidth="1"/>
    <col min="32" max="32" width="15" style="7" customWidth="1"/>
    <col min="33" max="33" width="3.28515625" style="7" customWidth="1"/>
    <col min="34" max="35" width="1.85546875" style="7" customWidth="1"/>
    <col min="36" max="38" width="9.140625" style="7"/>
    <col min="39" max="39" width="9.140625" style="7" customWidth="1"/>
    <col min="40" max="16384" width="9.140625" style="7"/>
  </cols>
  <sheetData>
    <row r="1" spans="1:40">
      <c r="A1" s="55"/>
    </row>
    <row r="2" spans="1:40" s="65" customFormat="1" ht="33" customHeight="1">
      <c r="B2" s="94"/>
      <c r="C2" s="94"/>
      <c r="D2" s="818" t="s">
        <v>375</v>
      </c>
      <c r="E2" s="818"/>
      <c r="F2" s="818"/>
      <c r="G2" s="819" t="str">
        <f>START!F12</f>
        <v>Demo</v>
      </c>
      <c r="H2" s="819"/>
      <c r="I2" s="819"/>
      <c r="J2" s="819"/>
      <c r="K2" s="819"/>
      <c r="L2" s="819"/>
      <c r="M2" s="819"/>
      <c r="N2" s="56"/>
      <c r="O2" s="56"/>
      <c r="P2" s="56"/>
      <c r="Q2" s="56"/>
      <c r="R2" s="56"/>
      <c r="S2" s="823" t="s">
        <v>685</v>
      </c>
      <c r="T2" s="823"/>
      <c r="U2" s="823"/>
      <c r="V2" s="823"/>
      <c r="W2" s="823"/>
      <c r="X2" s="823"/>
      <c r="Y2" s="823"/>
      <c r="Z2" s="822" t="s">
        <v>138</v>
      </c>
      <c r="AA2" s="822"/>
      <c r="AB2" s="822"/>
      <c r="AC2" s="822"/>
      <c r="AD2" s="56"/>
      <c r="AE2" s="56"/>
      <c r="AF2" s="56"/>
      <c r="AG2" s="56"/>
      <c r="AH2" s="56"/>
      <c r="AI2" s="56"/>
      <c r="AK2" s="7"/>
      <c r="AL2" s="7"/>
      <c r="AM2" s="7"/>
    </row>
    <row r="3" spans="1:40" s="65" customFormat="1" ht="15" customHeight="1">
      <c r="A3" s="326"/>
      <c r="B3" s="94"/>
      <c r="C3" s="94"/>
      <c r="D3" s="818"/>
      <c r="E3" s="818"/>
      <c r="F3" s="818"/>
      <c r="G3" s="819"/>
      <c r="H3" s="819"/>
      <c r="I3" s="819"/>
      <c r="J3" s="819"/>
      <c r="K3" s="819"/>
      <c r="L3" s="819"/>
      <c r="M3" s="819"/>
      <c r="N3" s="57"/>
      <c r="O3" s="56"/>
      <c r="P3" s="56"/>
      <c r="Q3" s="56"/>
      <c r="R3" s="695"/>
      <c r="S3" s="823"/>
      <c r="T3" s="823"/>
      <c r="U3" s="823"/>
      <c r="V3" s="823"/>
      <c r="W3" s="823"/>
      <c r="X3" s="823"/>
      <c r="Y3" s="823"/>
      <c r="Z3" s="822"/>
      <c r="AA3" s="822"/>
      <c r="AB3" s="822"/>
      <c r="AC3" s="822"/>
      <c r="AD3" s="56"/>
      <c r="AE3" s="56"/>
      <c r="AF3" s="56"/>
      <c r="AG3" s="56"/>
      <c r="AH3" s="56"/>
      <c r="AI3" s="56"/>
      <c r="AK3" s="7"/>
      <c r="AL3" s="7"/>
      <c r="AM3" s="7"/>
    </row>
    <row r="4" spans="1:40" ht="11.25" customHeight="1">
      <c r="B4" s="820"/>
      <c r="C4" s="820"/>
      <c r="D4" s="820"/>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N4" s="65"/>
    </row>
    <row r="5" spans="1:40" ht="3.75" customHeight="1">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N5" s="65"/>
    </row>
    <row r="6" spans="1:40" ht="26.25" customHeight="1">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N6" s="65"/>
    </row>
    <row r="7" spans="1:40" ht="21.75" customHeight="1">
      <c r="B7" s="9"/>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N7" s="65"/>
    </row>
    <row r="8" spans="1:40">
      <c r="B8" s="9"/>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K8" s="7" t="s">
        <v>17</v>
      </c>
      <c r="AN8" s="65"/>
    </row>
    <row r="9" spans="1:40">
      <c r="B9" s="9"/>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N9" s="65"/>
    </row>
    <row r="10" spans="1:40">
      <c r="B10" s="9"/>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N10" s="65"/>
    </row>
    <row r="11" spans="1:40">
      <c r="B11" s="9"/>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N11" s="65"/>
    </row>
    <row r="12" spans="1:40">
      <c r="B12" s="9"/>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N12" s="65"/>
    </row>
    <row r="13" spans="1:40">
      <c r="B13" s="9"/>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N13" s="65"/>
    </row>
    <row r="14" spans="1:40">
      <c r="B14" s="9"/>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N14" s="65"/>
    </row>
    <row r="15" spans="1:40">
      <c r="B15" s="9"/>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N15" s="65"/>
    </row>
    <row r="16" spans="1:40">
      <c r="B16" s="9"/>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N16" s="65"/>
    </row>
    <row r="17" spans="2:40">
      <c r="B17" s="9"/>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N17" s="65"/>
    </row>
    <row r="18" spans="2:40">
      <c r="B18" s="9"/>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N18" s="65"/>
    </row>
    <row r="19" spans="2:40">
      <c r="B19" s="9"/>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N19" s="65"/>
    </row>
    <row r="20" spans="2:40">
      <c r="B20" s="9"/>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N20" s="65"/>
    </row>
    <row r="21" spans="2:40">
      <c r="B21" s="9"/>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N21" s="65"/>
    </row>
    <row r="22" spans="2:40">
      <c r="B22" s="9"/>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N22" s="65"/>
    </row>
    <row r="23" spans="2:40">
      <c r="B23" s="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N23" s="65"/>
    </row>
    <row r="24" spans="2:40">
      <c r="B24" s="9"/>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N24" s="65"/>
    </row>
    <row r="25" spans="2:40">
      <c r="B25" s="9"/>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N25" s="65"/>
    </row>
    <row r="26" spans="2:40">
      <c r="B26" s="9"/>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N26" s="65"/>
    </row>
    <row r="27" spans="2:40">
      <c r="B27" s="9"/>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N27" s="65"/>
    </row>
    <row r="28" spans="2:40" ht="6.75" customHeight="1">
      <c r="B28" s="9"/>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N28" s="65"/>
    </row>
    <row r="29" spans="2:40" ht="24" customHeight="1">
      <c r="B29" s="8"/>
      <c r="C29" s="8"/>
      <c r="D29" s="8"/>
      <c r="E29" s="8"/>
      <c r="F29" s="8"/>
      <c r="G29" s="8"/>
      <c r="H29" s="8"/>
      <c r="I29" s="8"/>
      <c r="J29" s="8"/>
      <c r="K29" s="8"/>
      <c r="L29" s="8"/>
      <c r="M29" s="91"/>
      <c r="N29" s="8"/>
      <c r="O29" s="95"/>
      <c r="P29" s="96"/>
      <c r="Q29" s="96" t="s">
        <v>385</v>
      </c>
      <c r="R29" s="762">
        <v>1.4</v>
      </c>
      <c r="S29" s="95"/>
      <c r="T29" s="87"/>
      <c r="U29" s="95"/>
      <c r="V29" s="96"/>
      <c r="W29" s="96" t="s">
        <v>844</v>
      </c>
      <c r="X29" s="758">
        <v>0.254</v>
      </c>
      <c r="Y29" s="87"/>
      <c r="Z29" s="87"/>
      <c r="AA29" s="95"/>
      <c r="AB29" s="139"/>
      <c r="AC29" s="87"/>
      <c r="AD29" s="95"/>
      <c r="AE29" s="96" t="s">
        <v>843</v>
      </c>
      <c r="AF29" s="760">
        <v>49.6</v>
      </c>
      <c r="AG29" s="327"/>
      <c r="AH29" s="8"/>
      <c r="AI29" s="8"/>
      <c r="AN29" s="65"/>
    </row>
    <row r="30" spans="2:40" ht="30" customHeight="1">
      <c r="B30" s="9"/>
      <c r="C30" s="8"/>
      <c r="D30" s="8"/>
      <c r="E30" s="8"/>
      <c r="F30" s="8"/>
      <c r="G30" s="8"/>
      <c r="H30" s="8"/>
      <c r="I30" s="8"/>
      <c r="J30" s="8"/>
      <c r="K30" s="8"/>
      <c r="L30" s="8"/>
      <c r="M30" s="8"/>
      <c r="N30" s="821" t="s">
        <v>845</v>
      </c>
      <c r="O30" s="821"/>
      <c r="P30" s="821"/>
      <c r="Q30" s="821"/>
      <c r="R30" s="763">
        <v>2.09</v>
      </c>
      <c r="S30" s="8"/>
      <c r="T30" s="8"/>
      <c r="U30" s="8"/>
      <c r="V30" s="8"/>
      <c r="W30" s="96" t="s">
        <v>846</v>
      </c>
      <c r="X30" s="759">
        <v>0.52300000000000002</v>
      </c>
      <c r="Y30" s="8"/>
      <c r="Z30" s="8"/>
      <c r="AA30" s="8"/>
      <c r="AB30" s="8"/>
      <c r="AC30" s="8"/>
      <c r="AD30" s="8"/>
      <c r="AE30" s="96" t="s">
        <v>847</v>
      </c>
      <c r="AF30" s="761">
        <v>26.8</v>
      </c>
      <c r="AG30" s="8"/>
      <c r="AH30" s="8"/>
      <c r="AI30" s="8"/>
      <c r="AN30" s="65"/>
    </row>
    <row r="31" spans="2:40" ht="23.25" customHeight="1">
      <c r="B31" s="9"/>
      <c r="C31" s="8"/>
      <c r="D31" s="8"/>
      <c r="E31" s="8"/>
      <c r="F31" s="8"/>
      <c r="G31" s="8"/>
      <c r="H31" s="8"/>
      <c r="I31" s="8"/>
      <c r="J31" s="8"/>
      <c r="K31" s="8"/>
      <c r="L31" s="8"/>
      <c r="M31" s="8"/>
      <c r="N31" s="8"/>
      <c r="O31" s="8"/>
      <c r="P31" s="8"/>
      <c r="Q31" s="751"/>
      <c r="R31" s="9"/>
      <c r="S31" s="9"/>
      <c r="T31" s="9"/>
      <c r="U31" s="9"/>
      <c r="V31" s="9"/>
      <c r="W31" s="817"/>
      <c r="X31" s="817"/>
      <c r="Y31" s="817"/>
      <c r="Z31" s="817"/>
      <c r="AA31" s="9"/>
      <c r="AB31" s="206" t="s">
        <v>831</v>
      </c>
      <c r="AC31" s="206"/>
      <c r="AD31" s="9"/>
      <c r="AE31" s="9"/>
      <c r="AF31" s="275"/>
      <c r="AG31" s="9"/>
      <c r="AH31" s="9"/>
      <c r="AI31" s="9"/>
      <c r="AN31" s="65"/>
    </row>
    <row r="32" spans="2:40" ht="42" customHeight="1" thickBot="1">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329"/>
      <c r="AI32" s="8"/>
    </row>
    <row r="33" spans="2:41" ht="19.5" customHeight="1" thickTop="1">
      <c r="B33" s="8"/>
      <c r="C33" s="8"/>
      <c r="D33" s="276"/>
      <c r="E33" s="277"/>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329"/>
      <c r="AI33" s="8"/>
    </row>
    <row r="34" spans="2:41" ht="34.5" customHeight="1">
      <c r="B34" s="8"/>
      <c r="C34" s="8"/>
      <c r="D34" s="92">
        <v>2023</v>
      </c>
      <c r="E34" s="742">
        <f ca="1">Cijfers!M46</f>
        <v>1300192.1816</v>
      </c>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329"/>
      <c r="AI34" s="8"/>
    </row>
    <row r="35" spans="2:41" ht="34.5" customHeight="1">
      <c r="B35" s="8"/>
      <c r="C35" s="8"/>
      <c r="D35" s="93">
        <v>2024</v>
      </c>
      <c r="E35" s="743">
        <f ca="1">Cijfers!N46</f>
        <v>166449.67359999998</v>
      </c>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329"/>
      <c r="AI35" s="8"/>
    </row>
    <row r="36" spans="2:41" ht="34.5" customHeight="1">
      <c r="B36" s="8"/>
      <c r="C36" s="8"/>
      <c r="D36" s="92">
        <v>2025</v>
      </c>
      <c r="E36" s="743">
        <f ca="1">Cijfers!O46</f>
        <v>441061.83880000003</v>
      </c>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329"/>
      <c r="AI36" s="8"/>
    </row>
    <row r="37" spans="2:41" ht="34.5" customHeight="1">
      <c r="B37" s="8"/>
      <c r="C37" s="8"/>
      <c r="D37" s="93">
        <v>2026</v>
      </c>
      <c r="E37" s="743">
        <f ca="1">Cijfers!P46</f>
        <v>45683.020799999998</v>
      </c>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329"/>
      <c r="AI37" s="8"/>
    </row>
    <row r="38" spans="2:41" ht="34.5" customHeight="1">
      <c r="B38" s="8"/>
      <c r="C38" s="8"/>
      <c r="D38" s="92">
        <v>2027</v>
      </c>
      <c r="E38" s="743">
        <f ca="1">Cijfers!Q46</f>
        <v>42637.516799999998</v>
      </c>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329"/>
      <c r="AI38" s="8"/>
    </row>
    <row r="39" spans="2:41" ht="36" customHeight="1">
      <c r="B39" s="8"/>
      <c r="C39" s="8"/>
      <c r="D39" s="93">
        <v>2028</v>
      </c>
      <c r="E39" s="743">
        <f ca="1">Cijfers!R46</f>
        <v>13219.516799999999</v>
      </c>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329"/>
      <c r="AI39" s="8"/>
    </row>
    <row r="40" spans="2:41" ht="38.25" customHeight="1">
      <c r="B40" s="8"/>
      <c r="C40" s="8"/>
      <c r="D40" s="92">
        <v>2029</v>
      </c>
      <c r="E40" s="743">
        <f ca="1">Cijfers!S46</f>
        <v>13219.516799999999</v>
      </c>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329"/>
      <c r="AI40" s="8"/>
    </row>
    <row r="41" spans="2:41" ht="33" customHeight="1">
      <c r="B41" s="8"/>
      <c r="C41" s="8"/>
      <c r="D41" s="93">
        <v>2030</v>
      </c>
      <c r="E41" s="743">
        <f ca="1">Cijfers!T46</f>
        <v>13219.516799999999</v>
      </c>
      <c r="F41" s="281"/>
      <c r="G41" s="178"/>
      <c r="H41" s="178"/>
      <c r="I41" s="178"/>
      <c r="J41" s="282"/>
      <c r="K41" s="283"/>
      <c r="L41" s="178"/>
      <c r="M41" s="752" t="s">
        <v>848</v>
      </c>
      <c r="N41" s="284"/>
      <c r="O41" s="178"/>
      <c r="P41" s="178"/>
      <c r="Q41" s="249">
        <f ca="1">Cijfers!T54</f>
        <v>-0.87826136959398171</v>
      </c>
      <c r="R41" s="285" t="s">
        <v>625</v>
      </c>
      <c r="S41" s="178"/>
      <c r="T41" s="250">
        <f ca="1">Cijfers!AN54</f>
        <v>-0.97960897750630371</v>
      </c>
      <c r="U41" s="284" t="s">
        <v>626</v>
      </c>
      <c r="V41" s="178"/>
      <c r="W41" s="178"/>
      <c r="X41" s="178"/>
      <c r="Y41" s="178"/>
      <c r="Z41" s="178"/>
      <c r="AA41" s="178"/>
      <c r="AB41" s="8"/>
      <c r="AC41" s="8"/>
      <c r="AD41" s="8"/>
      <c r="AE41" s="8"/>
      <c r="AF41" s="8"/>
      <c r="AG41" s="8"/>
      <c r="AH41" s="329"/>
      <c r="AI41" s="8"/>
      <c r="AO41" s="65"/>
    </row>
    <row r="42" spans="2:41" ht="33.75" customHeight="1">
      <c r="B42" s="9"/>
      <c r="C42" s="8"/>
      <c r="D42" s="92" t="s">
        <v>622</v>
      </c>
      <c r="E42" s="743">
        <f ca="1">SUM(Cijfers!U46:Y46)</f>
        <v>13219.516799999999</v>
      </c>
      <c r="F42" s="9"/>
      <c r="G42" s="9"/>
      <c r="H42" s="9"/>
      <c r="I42" s="9"/>
      <c r="J42" s="9"/>
      <c r="K42" s="9"/>
      <c r="L42" s="9"/>
      <c r="M42" s="9"/>
      <c r="N42" s="9"/>
      <c r="O42" s="9"/>
      <c r="P42" s="9"/>
      <c r="Q42" s="9"/>
      <c r="R42" s="9"/>
      <c r="S42" s="9"/>
      <c r="T42" s="9"/>
      <c r="U42" s="9"/>
      <c r="V42" s="9"/>
      <c r="W42" s="89"/>
      <c r="X42" s="89"/>
      <c r="Y42" s="89"/>
      <c r="Z42" s="89"/>
      <c r="AA42" s="89"/>
      <c r="AB42" s="89"/>
      <c r="AC42" s="89"/>
      <c r="AD42" s="89"/>
      <c r="AE42" s="89"/>
      <c r="AF42" s="89"/>
      <c r="AG42" s="89"/>
      <c r="AH42" s="82"/>
      <c r="AI42" s="9"/>
    </row>
    <row r="43" spans="2:41" ht="33" customHeight="1">
      <c r="B43" s="9"/>
      <c r="C43" s="8"/>
      <c r="D43" s="92" t="s">
        <v>623</v>
      </c>
      <c r="E43" s="743">
        <f ca="1">SUM(Cijfers!Z46:AD46)</f>
        <v>39658.550399999993</v>
      </c>
      <c r="F43" s="129" t="s">
        <v>15</v>
      </c>
      <c r="G43" s="813">
        <f ca="1">Cijfers!M31*Aardgasprijs</f>
        <v>122972.13039999998</v>
      </c>
      <c r="H43" s="813"/>
      <c r="I43" s="813"/>
      <c r="J43" s="85">
        <f ca="1">Cijfers!T31*Aardgasprijs</f>
        <v>40961.104800000001</v>
      </c>
      <c r="K43" s="85">
        <f ca="1">Cijfers!AN31*Aardgasprijs</f>
        <v>6860.9184000000087</v>
      </c>
      <c r="L43" s="90"/>
      <c r="M43" s="83"/>
      <c r="N43" s="129" t="s">
        <v>15</v>
      </c>
      <c r="O43" s="130"/>
      <c r="P43" s="8"/>
      <c r="Q43" s="8"/>
      <c r="R43" s="8"/>
      <c r="S43" s="8"/>
      <c r="T43" s="8"/>
      <c r="U43" s="141"/>
      <c r="V43" s="9"/>
      <c r="W43" s="804"/>
      <c r="X43" s="805"/>
      <c r="Y43" s="805"/>
      <c r="Z43" s="805"/>
      <c r="AA43" s="805"/>
      <c r="AB43" s="805"/>
      <c r="AC43" s="805"/>
      <c r="AD43" s="805"/>
      <c r="AE43" s="805"/>
      <c r="AF43" s="805"/>
      <c r="AG43" s="805"/>
      <c r="AH43" s="806"/>
      <c r="AI43" s="9"/>
    </row>
    <row r="44" spans="2:41" ht="30" customHeight="1">
      <c r="B44" s="9"/>
      <c r="C44" s="8"/>
      <c r="D44" s="92" t="s">
        <v>100</v>
      </c>
      <c r="E44" s="744">
        <f ca="1">SUM(Cijfers!AE46:AI46)</f>
        <v>0</v>
      </c>
      <c r="F44" s="131" t="s">
        <v>14</v>
      </c>
      <c r="G44" s="813">
        <f ca="1">Cijfers!M29*Elektriciteitsprijs</f>
        <v>149592.62372279866</v>
      </c>
      <c r="H44" s="813"/>
      <c r="I44" s="813"/>
      <c r="J44" s="85">
        <f ca="1">Cijfers!T29*Elektriciteitsprijs</f>
        <v>157223.38679170149</v>
      </c>
      <c r="K44" s="85">
        <f ca="1">Cijfers!AN29*Elektriciteitsprijs</f>
        <v>129089.46758257902</v>
      </c>
      <c r="L44" s="8"/>
      <c r="M44" s="9"/>
      <c r="N44" s="131" t="s">
        <v>14</v>
      </c>
      <c r="O44" s="130"/>
      <c r="P44" s="8"/>
      <c r="Q44" s="88"/>
      <c r="R44" s="88"/>
      <c r="S44" s="88"/>
      <c r="T44" s="88"/>
      <c r="U44" s="142"/>
      <c r="V44" s="9"/>
      <c r="W44" s="807"/>
      <c r="X44" s="808"/>
      <c r="Y44" s="808"/>
      <c r="Z44" s="808"/>
      <c r="AA44" s="808"/>
      <c r="AB44" s="808"/>
      <c r="AC44" s="808"/>
      <c r="AD44" s="808"/>
      <c r="AE44" s="808"/>
      <c r="AF44" s="808"/>
      <c r="AG44" s="808"/>
      <c r="AH44" s="809"/>
      <c r="AI44" s="9"/>
    </row>
    <row r="45" spans="2:41" ht="31.5" customHeight="1" thickBot="1">
      <c r="B45" s="9"/>
      <c r="C45" s="8"/>
      <c r="D45" s="245" t="s">
        <v>624</v>
      </c>
      <c r="E45" s="745">
        <f ca="1">SUM(Cijfers!AJ46:AN46)</f>
        <v>0</v>
      </c>
      <c r="F45" s="247" t="s">
        <v>373</v>
      </c>
      <c r="G45" s="814">
        <f ca="1">Cijfers!M33*Warmteprijs</f>
        <v>37286.403200000001</v>
      </c>
      <c r="H45" s="814"/>
      <c r="I45" s="814"/>
      <c r="J45" s="85">
        <f ca="1">Cijfers!T33*Warmteprijs</f>
        <v>0</v>
      </c>
      <c r="K45" s="85">
        <f ca="1">Cijfers!AN33*Warmteprijs</f>
        <v>0</v>
      </c>
      <c r="L45" s="86"/>
      <c r="M45" s="128"/>
      <c r="N45" s="132" t="s">
        <v>373</v>
      </c>
      <c r="O45" s="130"/>
      <c r="P45" s="8"/>
      <c r="Q45" s="88"/>
      <c r="R45" s="88"/>
      <c r="S45" s="88"/>
      <c r="T45" s="88"/>
      <c r="U45" s="142"/>
      <c r="V45" s="9"/>
      <c r="W45" s="810"/>
      <c r="X45" s="811"/>
      <c r="Y45" s="811"/>
      <c r="Z45" s="811"/>
      <c r="AA45" s="811"/>
      <c r="AB45" s="811"/>
      <c r="AC45" s="811"/>
      <c r="AD45" s="811"/>
      <c r="AE45" s="811"/>
      <c r="AF45" s="811"/>
      <c r="AG45" s="811"/>
      <c r="AH45" s="812"/>
      <c r="AI45" s="9"/>
    </row>
    <row r="46" spans="2:41" ht="25.5" customHeight="1" thickTop="1" thickBot="1">
      <c r="B46" s="9"/>
      <c r="C46" s="8"/>
      <c r="D46" s="352" t="s">
        <v>374</v>
      </c>
      <c r="E46" s="746">
        <f ca="1">SUM(E34:E45)</f>
        <v>2088560.8492000008</v>
      </c>
      <c r="F46" s="248" t="s">
        <v>374</v>
      </c>
      <c r="G46" s="815">
        <f ca="1">SUM(G43:I45)</f>
        <v>309851.15732279862</v>
      </c>
      <c r="H46" s="816"/>
      <c r="I46" s="816"/>
      <c r="J46" s="246">
        <f ca="1">SUM(J43:J45)</f>
        <v>198184.49159170149</v>
      </c>
      <c r="K46" s="246">
        <f ca="1">SUM(K43:K45)</f>
        <v>135950.38598257903</v>
      </c>
      <c r="L46" s="86"/>
      <c r="M46" s="128"/>
      <c r="N46" s="8"/>
      <c r="O46" s="8"/>
      <c r="P46" s="8"/>
      <c r="Q46" s="88"/>
      <c r="R46" s="88"/>
      <c r="S46" s="88"/>
      <c r="T46" s="88"/>
      <c r="U46" s="142"/>
      <c r="V46" s="9"/>
      <c r="W46" s="144"/>
      <c r="X46" s="89"/>
      <c r="Y46" s="89"/>
      <c r="Z46" s="89"/>
      <c r="AA46" s="9"/>
      <c r="AB46" s="9"/>
      <c r="AC46" s="9"/>
      <c r="AD46" s="9"/>
      <c r="AE46" s="9"/>
      <c r="AF46" s="9"/>
      <c r="AG46" s="9"/>
      <c r="AH46" s="9"/>
      <c r="AI46" s="9"/>
    </row>
    <row r="47" spans="2:41" ht="18" customHeight="1">
      <c r="B47" s="9"/>
      <c r="C47" s="133"/>
      <c r="D47" s="135"/>
      <c r="E47" s="133"/>
      <c r="F47" s="136"/>
      <c r="G47" s="136"/>
      <c r="H47" s="136"/>
      <c r="I47" s="133"/>
      <c r="J47" s="137"/>
      <c r="K47" s="133"/>
      <c r="L47" s="138"/>
      <c r="M47" s="128"/>
      <c r="N47" s="133"/>
      <c r="O47" s="133"/>
      <c r="P47" s="133"/>
      <c r="Q47" s="134"/>
      <c r="R47" s="134"/>
      <c r="S47" s="134"/>
      <c r="T47" s="134"/>
      <c r="U47" s="143"/>
      <c r="V47" s="9"/>
      <c r="W47" s="145"/>
      <c r="X47" s="9"/>
      <c r="Y47" s="9"/>
      <c r="Z47" s="9"/>
      <c r="AA47" s="800" t="s">
        <v>653</v>
      </c>
      <c r="AB47" s="801"/>
      <c r="AC47" s="84"/>
      <c r="AD47" s="802" t="s">
        <v>654</v>
      </c>
      <c r="AE47" s="803"/>
      <c r="AF47" s="803"/>
      <c r="AG47" s="803"/>
      <c r="AH47" s="803"/>
      <c r="AI47" s="9"/>
      <c r="AN47" s="65"/>
    </row>
    <row r="48" spans="2:41" ht="12" customHeight="1">
      <c r="B48" s="10"/>
      <c r="C48" s="10"/>
      <c r="D48" s="10"/>
      <c r="E48" s="10"/>
      <c r="F48" s="10"/>
      <c r="G48" s="10"/>
      <c r="H48" s="10"/>
      <c r="I48" s="10"/>
      <c r="J48" s="9"/>
      <c r="K48" s="9"/>
      <c r="L48" s="9"/>
      <c r="M48" s="128"/>
      <c r="N48" s="9"/>
      <c r="O48" s="9"/>
      <c r="P48" s="9"/>
      <c r="Q48" s="9"/>
      <c r="R48" s="9"/>
      <c r="S48" s="9"/>
      <c r="T48" s="9"/>
      <c r="U48" s="9"/>
      <c r="V48" s="9"/>
      <c r="W48" s="9"/>
      <c r="X48" s="9"/>
      <c r="Y48" s="9"/>
      <c r="Z48" s="9"/>
      <c r="AA48" s="9"/>
      <c r="AB48" s="84"/>
      <c r="AC48" s="84"/>
      <c r="AD48" s="84"/>
      <c r="AE48" s="330"/>
      <c r="AF48" s="330"/>
      <c r="AG48" s="330"/>
      <c r="AH48" s="328"/>
      <c r="AI48" s="9"/>
    </row>
    <row r="50" spans="23:23">
      <c r="W50" s="325"/>
    </row>
    <row r="51" spans="23:23" ht="15.75" customHeight="1"/>
  </sheetData>
  <sheetProtection algorithmName="SHA-512" hashValue="ihGTxHJYZk+0cTWR0/1vdC2fD92l8vEfoVTVZaZxCce0+3W66begRQWbZFwYMpu/J9ls8ZEI9Q547owOJF2zaQ==" saltValue="Xl1uA4Je1bX1YtIllYEPyQ==" spinCount="100000" sheet="1" objects="1" scenarios="1" selectLockedCells="1"/>
  <mergeCells count="14">
    <mergeCell ref="W31:Z31"/>
    <mergeCell ref="D2:F3"/>
    <mergeCell ref="G2:M3"/>
    <mergeCell ref="B4:D4"/>
    <mergeCell ref="N30:Q30"/>
    <mergeCell ref="Z2:AC3"/>
    <mergeCell ref="S2:Y3"/>
    <mergeCell ref="AA47:AB47"/>
    <mergeCell ref="AD47:AH47"/>
    <mergeCell ref="W43:AH45"/>
    <mergeCell ref="G43:I43"/>
    <mergeCell ref="G44:I44"/>
    <mergeCell ref="G45:I45"/>
    <mergeCell ref="G46:I46"/>
  </mergeCells>
  <dataValidations xWindow="871" yWindow="422" count="1">
    <dataValidation allowBlank="1" sqref="R29" xr:uid="{00000000-0002-0000-0200-000001000000}"/>
  </dataValidations>
  <pageMargins left="0.7" right="0.7" top="0.75" bottom="0.75" header="0.3" footer="0.3"/>
  <pageSetup paperSize="8" scale="5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B2C7-05B5-43C9-BF53-7F4D9C95FA33}">
  <sheetPr codeName="Blad36">
    <tabColor rgb="FFC9E0E1"/>
    <pageSetUpPr fitToPage="1"/>
  </sheetPr>
  <dimension ref="A1:HS261"/>
  <sheetViews>
    <sheetView zoomScale="5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t="str">
        <f ca="1">IFERROR(AH1,"Let op! De naam van dit tabblad komt niet overeen met een van de opgegeven locaties in het tabblad 'Cijfers'! Wijzig de naam van dit tabblad in de overzichtsbalk onderin het scherm.")</f>
        <v>Let op! De naam van dit tabblad komt niet overeen met een van de opgegeven locaties in het tabblad 'Cijfers'! Wijzig de naam van dit tabblad in de overzichtsbalk onderin het scherm.</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t="e">
        <f ca="1">MATCH(E2,Cijfers!D5:D54,0)</f>
        <v>#N/A</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Blanco</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0</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54">
        <v>1</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1</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t="s">
        <v>92</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Nee</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95</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0</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0</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667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347"/>
      <c r="V31" s="347"/>
      <c r="W31" s="347"/>
      <c r="X31" s="347"/>
      <c r="Y31" s="347"/>
      <c r="Z31" s="347"/>
      <c r="AA31" s="347"/>
      <c r="AB31" s="347"/>
      <c r="AC31" s="347"/>
      <c r="AD31" s="347"/>
      <c r="AE31" s="347"/>
      <c r="AF31" s="347"/>
      <c r="AG31" s="347"/>
      <c r="AH31" s="347"/>
      <c r="AI31" s="347"/>
      <c r="AJ31" s="347"/>
      <c r="AK31" s="347"/>
      <c r="AL31" s="347"/>
      <c r="AM31" s="347"/>
      <c r="AN31" s="347"/>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347"/>
      <c r="V32" s="347"/>
      <c r="W32" s="347"/>
      <c r="X32" s="347"/>
      <c r="Y32" s="347"/>
      <c r="Z32" s="347"/>
      <c r="AA32" s="347"/>
      <c r="AB32" s="347"/>
      <c r="AC32" s="347"/>
      <c r="AD32" s="347"/>
      <c r="AE32" s="347"/>
      <c r="AF32" s="347"/>
      <c r="AG32" s="347"/>
      <c r="AH32" s="347"/>
      <c r="AI32" s="347"/>
      <c r="AJ32" s="347"/>
      <c r="AK32" s="347"/>
      <c r="AL32" s="347"/>
      <c r="AM32" s="347"/>
      <c r="AN32" s="347"/>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0</v>
      </c>
      <c r="V34" s="756">
        <f t="shared" ref="V34:CG34" si="0">V31+(V32*9.786)+(V33*278)</f>
        <v>0</v>
      </c>
      <c r="W34" s="756">
        <f t="shared" si="0"/>
        <v>0</v>
      </c>
      <c r="X34" s="756">
        <f t="shared" si="0"/>
        <v>0</v>
      </c>
      <c r="Y34" s="756">
        <f t="shared" si="0"/>
        <v>0</v>
      </c>
      <c r="Z34" s="756">
        <f t="shared" si="0"/>
        <v>0</v>
      </c>
      <c r="AA34" s="756">
        <f t="shared" si="0"/>
        <v>0</v>
      </c>
      <c r="AB34" s="756">
        <f t="shared" si="0"/>
        <v>0</v>
      </c>
      <c r="AC34" s="756">
        <f t="shared" si="0"/>
        <v>0</v>
      </c>
      <c r="AD34" s="756">
        <f t="shared" si="0"/>
        <v>0</v>
      </c>
      <c r="AE34" s="756">
        <f t="shared" si="0"/>
        <v>0</v>
      </c>
      <c r="AF34" s="756">
        <f t="shared" si="0"/>
        <v>0</v>
      </c>
      <c r="AG34" s="756">
        <f t="shared" si="0"/>
        <v>0</v>
      </c>
      <c r="AH34" s="756">
        <f t="shared" si="0"/>
        <v>0</v>
      </c>
      <c r="AI34" s="756">
        <f t="shared" si="0"/>
        <v>0</v>
      </c>
      <c r="AJ34" s="756">
        <f t="shared" si="0"/>
        <v>0</v>
      </c>
      <c r="AK34" s="756">
        <f t="shared" si="0"/>
        <v>0</v>
      </c>
      <c r="AL34" s="756">
        <f t="shared" si="0"/>
        <v>0</v>
      </c>
      <c r="AM34" s="756">
        <f t="shared" si="0"/>
        <v>0</v>
      </c>
      <c r="AN34" s="756">
        <f t="shared" si="0"/>
        <v>0</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0</v>
      </c>
      <c r="V35" s="757">
        <f t="shared" si="1"/>
        <v>0</v>
      </c>
      <c r="W35" s="757">
        <f t="shared" si="1"/>
        <v>0</v>
      </c>
      <c r="X35" s="757">
        <f t="shared" si="1"/>
        <v>0</v>
      </c>
      <c r="Y35" s="757">
        <f t="shared" si="1"/>
        <v>0</v>
      </c>
      <c r="Z35" s="757">
        <f t="shared" si="1"/>
        <v>0</v>
      </c>
      <c r="AA35" s="757">
        <f t="shared" si="1"/>
        <v>0</v>
      </c>
      <c r="AB35" s="757">
        <f t="shared" si="1"/>
        <v>0</v>
      </c>
      <c r="AC35" s="757">
        <f t="shared" si="1"/>
        <v>0</v>
      </c>
      <c r="AD35" s="757">
        <f t="shared" si="1"/>
        <v>0</v>
      </c>
      <c r="AE35" s="757">
        <f t="shared" si="1"/>
        <v>0</v>
      </c>
      <c r="AF35" s="757">
        <f t="shared" si="1"/>
        <v>0</v>
      </c>
      <c r="AG35" s="757">
        <f t="shared" si="1"/>
        <v>0</v>
      </c>
      <c r="AH35" s="757">
        <f t="shared" si="1"/>
        <v>0</v>
      </c>
      <c r="AI35" s="757">
        <f t="shared" si="1"/>
        <v>0</v>
      </c>
      <c r="AJ35" s="757">
        <f t="shared" si="1"/>
        <v>0</v>
      </c>
      <c r="AK35" s="757">
        <f t="shared" si="1"/>
        <v>0</v>
      </c>
      <c r="AL35" s="757">
        <f t="shared" si="1"/>
        <v>0</v>
      </c>
      <c r="AM35" s="757">
        <f t="shared" si="1"/>
        <v>0</v>
      </c>
      <c r="AN35" s="757">
        <f t="shared" si="1"/>
        <v>0</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347"/>
      <c r="V37" s="347"/>
      <c r="W37" s="347"/>
      <c r="X37" s="347"/>
      <c r="Y37" s="347"/>
      <c r="Z37" s="347"/>
      <c r="AA37" s="347"/>
      <c r="AB37" s="347"/>
      <c r="AC37" s="347"/>
      <c r="AD37" s="347"/>
      <c r="AE37" s="347"/>
      <c r="AF37" s="347"/>
      <c r="AG37" s="347"/>
      <c r="AH37" s="347"/>
      <c r="AI37" s="347"/>
      <c r="AJ37" s="347"/>
      <c r="AK37" s="347"/>
      <c r="AL37" s="347"/>
      <c r="AM37" s="347"/>
      <c r="AN37" s="34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0</v>
      </c>
      <c r="V38" s="756">
        <f t="shared" ref="V38:CG38" si="3">V31+(V32*9.786)+(V33*278)+V37</f>
        <v>0</v>
      </c>
      <c r="W38" s="756">
        <f t="shared" si="3"/>
        <v>0</v>
      </c>
      <c r="X38" s="756">
        <f t="shared" si="3"/>
        <v>0</v>
      </c>
      <c r="Y38" s="756">
        <f t="shared" si="3"/>
        <v>0</v>
      </c>
      <c r="Z38" s="756">
        <f t="shared" si="3"/>
        <v>0</v>
      </c>
      <c r="AA38" s="756">
        <f t="shared" si="3"/>
        <v>0</v>
      </c>
      <c r="AB38" s="756">
        <f t="shared" si="3"/>
        <v>0</v>
      </c>
      <c r="AC38" s="756">
        <f t="shared" si="3"/>
        <v>0</v>
      </c>
      <c r="AD38" s="756">
        <f t="shared" si="3"/>
        <v>0</v>
      </c>
      <c r="AE38" s="756">
        <f t="shared" si="3"/>
        <v>0</v>
      </c>
      <c r="AF38" s="756">
        <f t="shared" si="3"/>
        <v>0</v>
      </c>
      <c r="AG38" s="756">
        <f t="shared" si="3"/>
        <v>0</v>
      </c>
      <c r="AH38" s="756">
        <f t="shared" si="3"/>
        <v>0</v>
      </c>
      <c r="AI38" s="756">
        <f t="shared" si="3"/>
        <v>0</v>
      </c>
      <c r="AJ38" s="756">
        <f t="shared" si="3"/>
        <v>0</v>
      </c>
      <c r="AK38" s="756">
        <f t="shared" si="3"/>
        <v>0</v>
      </c>
      <c r="AL38" s="756">
        <f t="shared" si="3"/>
        <v>0</v>
      </c>
      <c r="AM38" s="756">
        <f t="shared" si="3"/>
        <v>0</v>
      </c>
      <c r="AN38" s="756">
        <f t="shared" si="3"/>
        <v>0</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customHeight="1">
      <c r="B44" s="488">
        <v>0</v>
      </c>
      <c r="C44" s="489" t="s">
        <v>440</v>
      </c>
      <c r="D44" s="490" t="s">
        <v>493</v>
      </c>
      <c r="E44" s="491" t="s">
        <v>457</v>
      </c>
      <c r="F44" s="492"/>
      <c r="G44" s="493"/>
      <c r="H44" s="146" t="s">
        <v>486</v>
      </c>
      <c r="I44" s="494" t="str">
        <f t="shared" ref="I44:I107" si="4">IF(H44="X","n.v.t.",IF(H44="I","ons",IF(H44="V","verhuurder",IF(H44="H","huurder",""))))</f>
        <v>ons</v>
      </c>
      <c r="J44" s="495"/>
      <c r="K44" s="151">
        <v>0</v>
      </c>
      <c r="L44" s="256"/>
      <c r="M44" s="256">
        <f>IF($C$5&lt;3000,(Bron!H33*$C$5)+Bron!I33,(Bron!M33*$C$5)+Bron!N33)</f>
        <v>0</v>
      </c>
      <c r="N44" s="496"/>
      <c r="O44" s="497" t="str">
        <f t="shared" ref="O44:O89" si="5">IF(N44=0,"",(L44+M44)/N44)</f>
        <v/>
      </c>
      <c r="P44" s="257"/>
      <c r="Q44" s="257"/>
      <c r="R44" s="257"/>
      <c r="S44" s="344"/>
      <c r="T44" s="258">
        <f t="shared" ref="T44:T107" si="6">K44+V44+AB44+AH44+AN44+AT44+AZ44+BF44+BL44+BR44+BX44+CD44+CJ44+CP44+CV44+DB44+DH44+DN44+DT44+DZ44+EF44+EL44+ER44+EX44+FD44+FJ44+FP44+FV44+GB44+GH44+GN44+GT44+GZ44</f>
        <v>0</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c r="BY44" s="676">
        <f t="shared" ref="BY44:BY107" si="26">+BX44*($L44+$M44)</f>
        <v>0</v>
      </c>
      <c r="BZ44" s="677">
        <f t="shared" ref="BZ44:BZ107" si="27">$P44*BX44</f>
        <v>0</v>
      </c>
      <c r="CA44" s="677"/>
      <c r="CB44" s="678">
        <f>BX44*((-$P44/32)-$R44)</f>
        <v>0</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1</v>
      </c>
      <c r="HJ44" s="8"/>
    </row>
    <row r="45" spans="1:227" ht="26.25" customHeight="1">
      <c r="B45" s="488">
        <v>1</v>
      </c>
      <c r="C45" s="489" t="s">
        <v>142</v>
      </c>
      <c r="D45" s="490" t="s">
        <v>141</v>
      </c>
      <c r="E45" s="491" t="s">
        <v>143</v>
      </c>
      <c r="F45" s="492"/>
      <c r="G45" s="493"/>
      <c r="H45" s="146" t="s">
        <v>486</v>
      </c>
      <c r="I45" s="494" t="str">
        <f t="shared" si="4"/>
        <v>ons</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c r="B46" s="488">
        <v>2</v>
      </c>
      <c r="C46" s="489" t="s">
        <v>142</v>
      </c>
      <c r="D46" s="490" t="s">
        <v>144</v>
      </c>
      <c r="E46" s="491" t="s">
        <v>403</v>
      </c>
      <c r="F46" s="492"/>
      <c r="G46" s="493"/>
      <c r="H46" s="146" t="s">
        <v>486</v>
      </c>
      <c r="I46" s="494" t="str">
        <f t="shared" si="4"/>
        <v>ons</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c r="B47" s="488">
        <v>3</v>
      </c>
      <c r="C47" s="489" t="s">
        <v>142</v>
      </c>
      <c r="D47" s="490" t="s">
        <v>5</v>
      </c>
      <c r="E47" s="491" t="s">
        <v>145</v>
      </c>
      <c r="F47" s="492"/>
      <c r="G47" s="493"/>
      <c r="H47" s="146" t="s">
        <v>486</v>
      </c>
      <c r="I47" s="494" t="str">
        <f t="shared" si="4"/>
        <v>ons</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c r="B48" s="488">
        <v>4</v>
      </c>
      <c r="C48" s="489" t="s">
        <v>142</v>
      </c>
      <c r="D48" s="490" t="s">
        <v>6</v>
      </c>
      <c r="E48" s="491" t="s">
        <v>146</v>
      </c>
      <c r="F48" s="504"/>
      <c r="G48" s="505"/>
      <c r="H48" s="146" t="s">
        <v>486</v>
      </c>
      <c r="I48" s="494" t="str">
        <f t="shared" si="4"/>
        <v>ons</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c r="B49" s="488">
        <v>5</v>
      </c>
      <c r="C49" s="489" t="s">
        <v>142</v>
      </c>
      <c r="D49" s="490" t="s">
        <v>292</v>
      </c>
      <c r="E49" s="491" t="s">
        <v>293</v>
      </c>
      <c r="F49" s="492"/>
      <c r="G49" s="493"/>
      <c r="H49" s="146" t="s">
        <v>486</v>
      </c>
      <c r="I49" s="494" t="str">
        <f t="shared" si="4"/>
        <v>ons</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c r="B50" s="488">
        <v>6</v>
      </c>
      <c r="C50" s="489" t="s">
        <v>142</v>
      </c>
      <c r="D50" s="490" t="s">
        <v>294</v>
      </c>
      <c r="E50" s="491" t="s">
        <v>404</v>
      </c>
      <c r="F50" s="492"/>
      <c r="G50" s="493"/>
      <c r="H50" s="146" t="s">
        <v>486</v>
      </c>
      <c r="I50" s="494" t="str">
        <f t="shared" si="4"/>
        <v>ons</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c r="B51" s="488">
        <v>7</v>
      </c>
      <c r="C51" s="489" t="s">
        <v>142</v>
      </c>
      <c r="D51" s="490" t="s">
        <v>295</v>
      </c>
      <c r="E51" s="491" t="s">
        <v>296</v>
      </c>
      <c r="F51" s="492"/>
      <c r="G51" s="493"/>
      <c r="H51" s="146" t="s">
        <v>486</v>
      </c>
      <c r="I51" s="494" t="str">
        <f t="shared" si="4"/>
        <v>ons</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c r="B52" s="488">
        <v>8</v>
      </c>
      <c r="C52" s="489" t="s">
        <v>142</v>
      </c>
      <c r="D52" s="490" t="s">
        <v>297</v>
      </c>
      <c r="E52" s="491" t="s">
        <v>405</v>
      </c>
      <c r="F52" s="492"/>
      <c r="G52" s="493"/>
      <c r="H52" s="146" t="s">
        <v>486</v>
      </c>
      <c r="I52" s="494" t="str">
        <f t="shared" si="4"/>
        <v>ons</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collapsed="1">
      <c r="B53" s="488">
        <v>9</v>
      </c>
      <c r="C53" s="489" t="s">
        <v>298</v>
      </c>
      <c r="D53" s="490" t="s">
        <v>23</v>
      </c>
      <c r="E53" s="491" t="s">
        <v>299</v>
      </c>
      <c r="F53" s="492"/>
      <c r="G53" s="493"/>
      <c r="H53" s="146" t="s">
        <v>486</v>
      </c>
      <c r="I53" s="494" t="str">
        <f t="shared" si="4"/>
        <v>ons</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c r="B54" s="488">
        <v>10</v>
      </c>
      <c r="C54" s="489" t="s">
        <v>298</v>
      </c>
      <c r="D54" s="490" t="s">
        <v>300</v>
      </c>
      <c r="E54" s="491" t="s">
        <v>406</v>
      </c>
      <c r="F54" s="492"/>
      <c r="G54" s="493"/>
      <c r="H54" s="146" t="s">
        <v>486</v>
      </c>
      <c r="I54" s="494" t="str">
        <f t="shared" si="4"/>
        <v>ons</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c r="B55" s="488">
        <v>11</v>
      </c>
      <c r="C55" s="489" t="s">
        <v>298</v>
      </c>
      <c r="D55" s="490" t="s">
        <v>301</v>
      </c>
      <c r="E55" s="491" t="s">
        <v>407</v>
      </c>
      <c r="F55" s="492"/>
      <c r="G55" s="493"/>
      <c r="H55" s="146" t="s">
        <v>486</v>
      </c>
      <c r="I55" s="494" t="str">
        <f t="shared" si="4"/>
        <v>ons</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c r="B56" s="488">
        <v>12</v>
      </c>
      <c r="C56" s="489" t="s">
        <v>298</v>
      </c>
      <c r="D56" s="490" t="s">
        <v>302</v>
      </c>
      <c r="E56" s="491" t="s">
        <v>303</v>
      </c>
      <c r="F56" s="492"/>
      <c r="G56" s="493"/>
      <c r="H56" s="146" t="s">
        <v>486</v>
      </c>
      <c r="I56" s="494" t="str">
        <f t="shared" si="4"/>
        <v>ons</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c r="B57" s="488">
        <v>13</v>
      </c>
      <c r="C57" s="489" t="s">
        <v>298</v>
      </c>
      <c r="D57" s="490" t="s">
        <v>304</v>
      </c>
      <c r="E57" s="491" t="s">
        <v>305</v>
      </c>
      <c r="F57" s="492"/>
      <c r="G57" s="493"/>
      <c r="H57" s="146" t="s">
        <v>486</v>
      </c>
      <c r="I57" s="494" t="str">
        <f t="shared" si="4"/>
        <v>ons</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c r="B58" s="488">
        <v>14</v>
      </c>
      <c r="C58" s="489" t="s">
        <v>298</v>
      </c>
      <c r="D58" s="490" t="s">
        <v>306</v>
      </c>
      <c r="E58" s="491" t="s">
        <v>307</v>
      </c>
      <c r="F58" s="492"/>
      <c r="G58" s="493"/>
      <c r="H58" s="146" t="s">
        <v>486</v>
      </c>
      <c r="I58" s="494" t="str">
        <f t="shared" si="4"/>
        <v>ons</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c r="B59" s="488">
        <v>15</v>
      </c>
      <c r="C59" s="489" t="s">
        <v>298</v>
      </c>
      <c r="D59" s="490" t="s">
        <v>308</v>
      </c>
      <c r="E59" s="491" t="s">
        <v>309</v>
      </c>
      <c r="F59" s="492"/>
      <c r="G59" s="493"/>
      <c r="H59" s="146" t="s">
        <v>486</v>
      </c>
      <c r="I59" s="494" t="str">
        <f t="shared" si="4"/>
        <v>ons</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c r="B60" s="488">
        <v>16</v>
      </c>
      <c r="C60" s="489" t="s">
        <v>298</v>
      </c>
      <c r="D60" s="490" t="s">
        <v>310</v>
      </c>
      <c r="E60" s="491" t="s">
        <v>408</v>
      </c>
      <c r="F60" s="492"/>
      <c r="G60" s="493"/>
      <c r="H60" s="146" t="s">
        <v>486</v>
      </c>
      <c r="I60" s="494" t="str">
        <f t="shared" si="4"/>
        <v>ons</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486</v>
      </c>
      <c r="I61" s="494" t="str">
        <f t="shared" si="4"/>
        <v>ons</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486</v>
      </c>
      <c r="I62" s="494" t="str">
        <f t="shared" si="4"/>
        <v>ons</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486</v>
      </c>
      <c r="I63" s="494" t="str">
        <f t="shared" si="4"/>
        <v>ons</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486</v>
      </c>
      <c r="I64" s="494" t="str">
        <f t="shared" si="4"/>
        <v>ons</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486</v>
      </c>
      <c r="I65" s="494" t="str">
        <f t="shared" si="4"/>
        <v>ons</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c r="B66" s="488">
        <v>22</v>
      </c>
      <c r="C66" s="489" t="s">
        <v>156</v>
      </c>
      <c r="D66" s="490" t="s">
        <v>155</v>
      </c>
      <c r="E66" s="491" t="s">
        <v>411</v>
      </c>
      <c r="F66" s="492"/>
      <c r="G66" s="493"/>
      <c r="H66" s="146" t="s">
        <v>486</v>
      </c>
      <c r="I66" s="494" t="str">
        <f t="shared" si="4"/>
        <v>ons</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c r="B67" s="488">
        <v>23</v>
      </c>
      <c r="C67" s="489" t="s">
        <v>156</v>
      </c>
      <c r="D67" s="490" t="s">
        <v>157</v>
      </c>
      <c r="E67" s="491" t="s">
        <v>158</v>
      </c>
      <c r="F67" s="492"/>
      <c r="G67" s="493"/>
      <c r="H67" s="146" t="s">
        <v>486</v>
      </c>
      <c r="I67" s="494" t="str">
        <f t="shared" si="4"/>
        <v>ons</v>
      </c>
      <c r="J67" s="495" t="s">
        <v>487</v>
      </c>
      <c r="K67" s="151">
        <v>0</v>
      </c>
      <c r="L67" s="256">
        <f>IF($C$5&lt;3000,(Bron!H56*$C$5)+Bron!I56,(Bron!M56*$C$5)+Bron!N56)</f>
        <v>1000</v>
      </c>
      <c r="M67" s="256"/>
      <c r="N67" s="496">
        <f t="shared" si="41"/>
        <v>0</v>
      </c>
      <c r="O67" s="497" t="str">
        <f t="shared" si="5"/>
        <v/>
      </c>
      <c r="P67" s="257">
        <f>IF($C$5&lt;3000,$AN$32*Bron!J56,$AN$32*Bron!O56)</f>
        <v>0</v>
      </c>
      <c r="Q67" s="257">
        <f>IF($C$5&lt;3000,$AN$31*Bron!K56,$AN$31*Bron!P56)</f>
        <v>0</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c r="B68" s="488">
        <v>24</v>
      </c>
      <c r="C68" s="489" t="s">
        <v>156</v>
      </c>
      <c r="D68" s="490" t="s">
        <v>159</v>
      </c>
      <c r="E68" s="491" t="s">
        <v>160</v>
      </c>
      <c r="F68" s="492"/>
      <c r="G68" s="493"/>
      <c r="H68" s="146" t="s">
        <v>486</v>
      </c>
      <c r="I68" s="494" t="str">
        <f t="shared" si="4"/>
        <v>ons</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c r="B69" s="488">
        <v>25</v>
      </c>
      <c r="C69" s="489" t="s">
        <v>156</v>
      </c>
      <c r="D69" s="490" t="s">
        <v>161</v>
      </c>
      <c r="E69" s="491" t="s">
        <v>162</v>
      </c>
      <c r="F69" s="492"/>
      <c r="G69" s="493"/>
      <c r="H69" s="146" t="s">
        <v>486</v>
      </c>
      <c r="I69" s="494" t="str">
        <f t="shared" si="4"/>
        <v>ons</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c r="B70" s="488">
        <v>26</v>
      </c>
      <c r="C70" s="489" t="s">
        <v>156</v>
      </c>
      <c r="D70" s="490" t="s">
        <v>163</v>
      </c>
      <c r="E70" s="491" t="s">
        <v>164</v>
      </c>
      <c r="F70" s="492"/>
      <c r="G70" s="493"/>
      <c r="H70" s="146" t="s">
        <v>486</v>
      </c>
      <c r="I70" s="494" t="str">
        <f t="shared" si="4"/>
        <v>ons</v>
      </c>
      <c r="J70" s="495" t="s">
        <v>487</v>
      </c>
      <c r="K70" s="151">
        <v>0</v>
      </c>
      <c r="L70" s="256">
        <f>IF($C$5&lt;3000,(Bron!H59*$C$5)+Bron!I59,(Bron!M59*$C$5)+Bron!N59)</f>
        <v>300</v>
      </c>
      <c r="M70" s="256"/>
      <c r="N70" s="496">
        <f t="shared" si="41"/>
        <v>0</v>
      </c>
      <c r="O70" s="497" t="str">
        <f t="shared" si="5"/>
        <v/>
      </c>
      <c r="P70" s="257">
        <f>IF($C$5&lt;3000,$AN$32*Bron!J59,$AN$32*Bron!O59)</f>
        <v>0</v>
      </c>
      <c r="Q70" s="257">
        <f>IF($C$5&lt;3000,$AN$31*Bron!K59,$AN$31*Bron!P59)</f>
        <v>0</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c r="B71" s="488">
        <v>27</v>
      </c>
      <c r="C71" s="489" t="s">
        <v>156</v>
      </c>
      <c r="D71" s="490" t="s">
        <v>165</v>
      </c>
      <c r="E71" s="491" t="s">
        <v>166</v>
      </c>
      <c r="F71" s="492"/>
      <c r="G71" s="493"/>
      <c r="H71" s="146" t="s">
        <v>486</v>
      </c>
      <c r="I71" s="494" t="str">
        <f t="shared" si="4"/>
        <v>ons</v>
      </c>
      <c r="J71" s="495" t="s">
        <v>487</v>
      </c>
      <c r="K71" s="151">
        <v>0</v>
      </c>
      <c r="L71" s="256">
        <f>IF($C$5&lt;3000,(Bron!H60*$C$5)+Bron!I60,(Bron!M60*$C$5)+Bron!N60)</f>
        <v>60</v>
      </c>
      <c r="M71" s="256"/>
      <c r="N71" s="496">
        <f t="shared" si="41"/>
        <v>0</v>
      </c>
      <c r="O71" s="497" t="str">
        <f t="shared" si="5"/>
        <v/>
      </c>
      <c r="P71" s="257"/>
      <c r="Q71" s="257">
        <f>IF($C$5&lt;3000,$AN$31*Bron!K60,$AN$31*Bron!P60)</f>
        <v>0</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c r="B72" s="488">
        <v>28</v>
      </c>
      <c r="C72" s="489" t="s">
        <v>156</v>
      </c>
      <c r="D72" s="490" t="s">
        <v>167</v>
      </c>
      <c r="E72" s="491" t="s">
        <v>168</v>
      </c>
      <c r="F72" s="492"/>
      <c r="G72" s="493"/>
      <c r="H72" s="146" t="s">
        <v>486</v>
      </c>
      <c r="I72" s="494" t="str">
        <f t="shared" si="4"/>
        <v>ons</v>
      </c>
      <c r="J72" s="495" t="s">
        <v>487</v>
      </c>
      <c r="K72" s="151">
        <v>0</v>
      </c>
      <c r="L72" s="256">
        <f>IF($C$5&lt;3000,(Bron!H61*$C$5)+Bron!I61,(Bron!M61*$C$5)+Bron!N61)</f>
        <v>2400</v>
      </c>
      <c r="M72" s="256"/>
      <c r="N72" s="496">
        <f t="shared" si="41"/>
        <v>0</v>
      </c>
      <c r="O72" s="497" t="str">
        <f t="shared" si="5"/>
        <v/>
      </c>
      <c r="P72" s="257">
        <f>IF($C$5&lt;3000,$AN$32*Bron!J61,$AN$32*Bron!O61)</f>
        <v>0</v>
      </c>
      <c r="Q72" s="257">
        <f>IF($C$5&lt;3000,$AN$31*Bron!K61,$AN$31*Bron!P61)</f>
        <v>0</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c r="B73" s="488">
        <v>29</v>
      </c>
      <c r="C73" s="489" t="s">
        <v>156</v>
      </c>
      <c r="D73" s="490" t="s">
        <v>169</v>
      </c>
      <c r="E73" s="491" t="s">
        <v>412</v>
      </c>
      <c r="F73" s="492"/>
      <c r="G73" s="493"/>
      <c r="H73" s="146" t="s">
        <v>486</v>
      </c>
      <c r="I73" s="494" t="str">
        <f t="shared" si="4"/>
        <v>ons</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c r="B74" s="488">
        <v>30</v>
      </c>
      <c r="C74" s="489" t="s">
        <v>156</v>
      </c>
      <c r="D74" s="490" t="s">
        <v>170</v>
      </c>
      <c r="E74" s="491" t="s">
        <v>413</v>
      </c>
      <c r="F74" s="492"/>
      <c r="G74" s="493"/>
      <c r="H74" s="146" t="s">
        <v>486</v>
      </c>
      <c r="I74" s="494" t="str">
        <f t="shared" si="4"/>
        <v>ons</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c r="B75" s="488">
        <v>31</v>
      </c>
      <c r="C75" s="489" t="s">
        <v>156</v>
      </c>
      <c r="D75" s="490" t="s">
        <v>171</v>
      </c>
      <c r="E75" s="491" t="s">
        <v>414</v>
      </c>
      <c r="F75" s="492"/>
      <c r="G75" s="493"/>
      <c r="H75" s="146" t="s">
        <v>486</v>
      </c>
      <c r="I75" s="494" t="str">
        <f t="shared" si="4"/>
        <v>ons</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c r="B76" s="488">
        <v>32</v>
      </c>
      <c r="C76" s="489" t="s">
        <v>156</v>
      </c>
      <c r="D76" s="490" t="s">
        <v>172</v>
      </c>
      <c r="E76" s="491" t="s">
        <v>173</v>
      </c>
      <c r="F76" s="492"/>
      <c r="G76" s="493"/>
      <c r="H76" s="146" t="s">
        <v>486</v>
      </c>
      <c r="I76" s="494" t="str">
        <f t="shared" si="4"/>
        <v>ons</v>
      </c>
      <c r="J76" s="495" t="s">
        <v>487</v>
      </c>
      <c r="K76" s="151">
        <v>0</v>
      </c>
      <c r="L76" s="256">
        <f>IF($C$5&lt;3000,(Bron!H65*$C$5)+Bron!I65,(Bron!M65*$C$5)+Bron!N65)</f>
        <v>600</v>
      </c>
      <c r="M76" s="256"/>
      <c r="N76" s="496">
        <f t="shared" si="41"/>
        <v>0</v>
      </c>
      <c r="O76" s="497" t="str">
        <f t="shared" si="5"/>
        <v/>
      </c>
      <c r="P76" s="257">
        <f>IF($C$5&lt;3000,$AN$32*Bron!J65,$AN$32*Bron!O65)</f>
        <v>0</v>
      </c>
      <c r="Q76" s="257">
        <f>IF($C$5&lt;3000,$AN$31*Bron!K65,$AN$31*Bron!P65)</f>
        <v>0</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c r="B77" s="488">
        <v>33</v>
      </c>
      <c r="C77" s="489" t="s">
        <v>156</v>
      </c>
      <c r="D77" s="490" t="s">
        <v>174</v>
      </c>
      <c r="E77" s="491" t="s">
        <v>175</v>
      </c>
      <c r="F77" s="492"/>
      <c r="G77" s="493"/>
      <c r="H77" s="146" t="s">
        <v>486</v>
      </c>
      <c r="I77" s="494" t="str">
        <f t="shared" si="4"/>
        <v>ons</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c r="B78" s="488">
        <v>34</v>
      </c>
      <c r="C78" s="489" t="s">
        <v>156</v>
      </c>
      <c r="D78" s="490" t="s">
        <v>176</v>
      </c>
      <c r="E78" s="491" t="s">
        <v>177</v>
      </c>
      <c r="F78" s="492"/>
      <c r="G78" s="493"/>
      <c r="H78" s="146" t="s">
        <v>486</v>
      </c>
      <c r="I78" s="494" t="str">
        <f t="shared" si="4"/>
        <v>ons</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c r="B79" s="488">
        <v>35</v>
      </c>
      <c r="C79" s="489" t="s">
        <v>156</v>
      </c>
      <c r="D79" s="490" t="s">
        <v>178</v>
      </c>
      <c r="E79" s="491" t="s">
        <v>179</v>
      </c>
      <c r="F79" s="492"/>
      <c r="G79" s="493"/>
      <c r="H79" s="146" t="s">
        <v>486</v>
      </c>
      <c r="I79" s="494" t="str">
        <f t="shared" si="4"/>
        <v>ons</v>
      </c>
      <c r="J79" s="495"/>
      <c r="K79" s="151">
        <v>0</v>
      </c>
      <c r="L79" s="256"/>
      <c r="M79" s="256">
        <f>IF($C$5&lt;3000,(Bron!H68*$C$5)+Bron!I68,(Bron!M68*$C$5)+Bron!N68)</f>
        <v>40</v>
      </c>
      <c r="N79" s="496">
        <f t="shared" si="41"/>
        <v>0</v>
      </c>
      <c r="O79" s="497" t="str">
        <f t="shared" si="5"/>
        <v/>
      </c>
      <c r="P79" s="257">
        <f>IF($C$5&lt;3000,$AN$32*Bron!J68,$AN$32*Bron!O68)</f>
        <v>0</v>
      </c>
      <c r="Q79" s="257">
        <f>IF($C$5&lt;3000,$AN$31*Bron!K68,$AN$31*Bron!P68)</f>
        <v>0</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c r="B80" s="488">
        <v>36</v>
      </c>
      <c r="C80" s="489" t="s">
        <v>156</v>
      </c>
      <c r="D80" s="490" t="s">
        <v>180</v>
      </c>
      <c r="E80" s="491" t="s">
        <v>181</v>
      </c>
      <c r="F80" s="492"/>
      <c r="G80" s="493"/>
      <c r="H80" s="146" t="s">
        <v>486</v>
      </c>
      <c r="I80" s="494" t="str">
        <f t="shared" si="4"/>
        <v>ons</v>
      </c>
      <c r="J80" s="495"/>
      <c r="K80" s="151">
        <v>0</v>
      </c>
      <c r="L80" s="256"/>
      <c r="M80" s="256">
        <f>IF($C$5&lt;3000,(Bron!H69*$C$5)+Bron!I69,(Bron!M69*$C$5)+Bron!N69)</f>
        <v>600</v>
      </c>
      <c r="N80" s="496">
        <f t="shared" si="41"/>
        <v>0</v>
      </c>
      <c r="O80" s="497" t="str">
        <f t="shared" si="5"/>
        <v/>
      </c>
      <c r="P80" s="257"/>
      <c r="Q80" s="257">
        <f>IF($C$5&lt;3000,$AN$31*Bron!K69,$AN$31*Bron!P69)</f>
        <v>0</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c r="B81" s="488">
        <v>37</v>
      </c>
      <c r="C81" s="489" t="s">
        <v>156</v>
      </c>
      <c r="D81" s="490" t="s">
        <v>493</v>
      </c>
      <c r="E81" s="491" t="s">
        <v>590</v>
      </c>
      <c r="F81" s="492"/>
      <c r="G81" s="493"/>
      <c r="H81" s="146" t="s">
        <v>486</v>
      </c>
      <c r="I81" s="494" t="str">
        <f t="shared" si="4"/>
        <v>ons</v>
      </c>
      <c r="J81" s="495" t="s">
        <v>487</v>
      </c>
      <c r="K81" s="151">
        <v>0</v>
      </c>
      <c r="L81" s="256">
        <f>IF($C$5&lt;3000,(Bron!H70*$C$5)+Bron!I70,(Bron!M70*$C$5)+Bron!N70)</f>
        <v>60</v>
      </c>
      <c r="M81" s="256"/>
      <c r="N81" s="496">
        <f t="shared" si="41"/>
        <v>0</v>
      </c>
      <c r="O81" s="497" t="str">
        <f t="shared" si="5"/>
        <v/>
      </c>
      <c r="P81" s="257"/>
      <c r="Q81" s="257">
        <f>IF($C$5&lt;3000,$AN$31*Bron!K70,$AN$31*Bron!P70)</f>
        <v>0</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c r="B82" s="488">
        <v>38</v>
      </c>
      <c r="C82" s="489" t="s">
        <v>156</v>
      </c>
      <c r="D82" s="490" t="s">
        <v>493</v>
      </c>
      <c r="E82" s="491" t="s">
        <v>594</v>
      </c>
      <c r="F82" s="492"/>
      <c r="G82" s="493"/>
      <c r="H82" s="146" t="s">
        <v>486</v>
      </c>
      <c r="I82" s="494" t="str">
        <f t="shared" si="4"/>
        <v>ons</v>
      </c>
      <c r="J82" s="495"/>
      <c r="K82" s="151">
        <v>0</v>
      </c>
      <c r="L82" s="256"/>
      <c r="M82" s="256">
        <f>IF($C$5&lt;3000,(Bron!H71*$C$5)+Bron!I71,(Bron!M71*$C$5)+Bron!N71)</f>
        <v>20</v>
      </c>
      <c r="N82" s="496">
        <f t="shared" si="41"/>
        <v>0</v>
      </c>
      <c r="O82" s="497" t="str">
        <f t="shared" si="5"/>
        <v/>
      </c>
      <c r="P82" s="257"/>
      <c r="Q82" s="257">
        <f>IF($C$5&lt;3000,$AN$31*Bron!K71,$AN$31*Bron!P71)</f>
        <v>0</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c r="B83" s="488">
        <v>39</v>
      </c>
      <c r="C83" s="489" t="s">
        <v>399</v>
      </c>
      <c r="D83" s="490" t="s">
        <v>182</v>
      </c>
      <c r="E83" s="491" t="s">
        <v>415</v>
      </c>
      <c r="F83" s="492"/>
      <c r="G83" s="493"/>
      <c r="H83" s="146" t="s">
        <v>486</v>
      </c>
      <c r="I83" s="494" t="str">
        <f t="shared" si="4"/>
        <v>ons</v>
      </c>
      <c r="J83" s="495" t="s">
        <v>487</v>
      </c>
      <c r="K83" s="151">
        <v>0</v>
      </c>
      <c r="L83" s="256">
        <f>IF($C$5&lt;3000,(Bron!H72*$C$5)+Bron!I72,(Bron!M72*$C$5)+Bron!N72)</f>
        <v>3500</v>
      </c>
      <c r="M83" s="256"/>
      <c r="N83" s="496">
        <f t="shared" si="41"/>
        <v>0</v>
      </c>
      <c r="O83" s="497" t="str">
        <f t="shared" si="5"/>
        <v/>
      </c>
      <c r="P83" s="257"/>
      <c r="Q83" s="257">
        <f>IF($C$5&lt;3000,$AN$31*Bron!K72,$AN$31*Bron!P72)</f>
        <v>0</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c r="B84" s="488">
        <v>40</v>
      </c>
      <c r="C84" s="489" t="s">
        <v>399</v>
      </c>
      <c r="D84" s="490" t="s">
        <v>183</v>
      </c>
      <c r="E84" s="491" t="s">
        <v>184</v>
      </c>
      <c r="F84" s="492"/>
      <c r="G84" s="493"/>
      <c r="H84" s="146" t="s">
        <v>486</v>
      </c>
      <c r="I84" s="494" t="str">
        <f t="shared" si="4"/>
        <v>ons</v>
      </c>
      <c r="J84" s="495" t="s">
        <v>487</v>
      </c>
      <c r="K84" s="151">
        <v>0</v>
      </c>
      <c r="L84" s="256">
        <f>IF($C$5&lt;3000,(Bron!H73*$C$5)+Bron!I73,(Bron!M73*$C$5)+Bron!N73)</f>
        <v>1300</v>
      </c>
      <c r="M84" s="256"/>
      <c r="N84" s="496">
        <f t="shared" si="41"/>
        <v>0</v>
      </c>
      <c r="O84" s="497" t="str">
        <f t="shared" si="5"/>
        <v/>
      </c>
      <c r="P84" s="257">
        <f>IF($C$5&lt;3000,$AN$32*Bron!J73,$AN$32*Bron!O73)</f>
        <v>0</v>
      </c>
      <c r="Q84" s="257">
        <f>IF($C$5&lt;3000,$AN$31*Bron!K73,$AN$31*Bron!P73)</f>
        <v>0</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c r="B85" s="488">
        <v>41</v>
      </c>
      <c r="C85" s="489" t="s">
        <v>399</v>
      </c>
      <c r="D85" s="490" t="s">
        <v>185</v>
      </c>
      <c r="E85" s="491" t="s">
        <v>186</v>
      </c>
      <c r="F85" s="492"/>
      <c r="G85" s="493"/>
      <c r="H85" s="146" t="s">
        <v>486</v>
      </c>
      <c r="I85" s="494" t="str">
        <f t="shared" si="4"/>
        <v>ons</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c r="B86" s="488">
        <v>42</v>
      </c>
      <c r="C86" s="489" t="s">
        <v>399</v>
      </c>
      <c r="D86" s="490" t="s">
        <v>187</v>
      </c>
      <c r="E86" s="491" t="s">
        <v>188</v>
      </c>
      <c r="F86" s="492"/>
      <c r="G86" s="493"/>
      <c r="H86" s="146" t="s">
        <v>486</v>
      </c>
      <c r="I86" s="494" t="str">
        <f t="shared" si="4"/>
        <v>ons</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c r="B87" s="488">
        <v>43</v>
      </c>
      <c r="C87" s="489" t="s">
        <v>399</v>
      </c>
      <c r="D87" s="490" t="s">
        <v>189</v>
      </c>
      <c r="E87" s="491" t="s">
        <v>190</v>
      </c>
      <c r="F87" s="492"/>
      <c r="G87" s="493"/>
      <c r="H87" s="146" t="s">
        <v>486</v>
      </c>
      <c r="I87" s="494" t="str">
        <f t="shared" si="4"/>
        <v>ons</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c r="B88" s="488">
        <v>44</v>
      </c>
      <c r="C88" s="489" t="s">
        <v>399</v>
      </c>
      <c r="D88" s="490" t="s">
        <v>191</v>
      </c>
      <c r="E88" s="491" t="s">
        <v>192</v>
      </c>
      <c r="F88" s="492"/>
      <c r="G88" s="493"/>
      <c r="H88" s="146" t="s">
        <v>486</v>
      </c>
      <c r="I88" s="494" t="str">
        <f t="shared" si="4"/>
        <v>ons</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c r="B89" s="488">
        <v>45</v>
      </c>
      <c r="C89" s="489" t="s">
        <v>399</v>
      </c>
      <c r="D89" s="490" t="s">
        <v>493</v>
      </c>
      <c r="E89" s="491" t="s">
        <v>585</v>
      </c>
      <c r="F89" s="492"/>
      <c r="G89" s="493"/>
      <c r="H89" s="146" t="s">
        <v>486</v>
      </c>
      <c r="I89" s="494" t="str">
        <f t="shared" si="4"/>
        <v>ons</v>
      </c>
      <c r="J89" s="495"/>
      <c r="K89" s="151">
        <v>0</v>
      </c>
      <c r="L89" s="256"/>
      <c r="M89" s="256">
        <f>IF($C$5&lt;3000,(Bron!H78*$C$5)+Bron!I78,(Bron!M78*$C$5)+Bron!N78)</f>
        <v>1000</v>
      </c>
      <c r="N89" s="496">
        <f t="shared" si="41"/>
        <v>0</v>
      </c>
      <c r="O89" s="497" t="str">
        <f t="shared" si="5"/>
        <v/>
      </c>
      <c r="P89" s="257">
        <f>IF($C$5&lt;3000,$AN$32*Bron!J78,$AN$32*Bron!O78)</f>
        <v>0</v>
      </c>
      <c r="Q89" s="257">
        <f>IF($C$5&lt;3000,$AN$31*Bron!K78,$AN$31*Bron!P78)</f>
        <v>0</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0</v>
      </c>
      <c r="L91" s="256">
        <f>IF($C$5&lt;3000,(Bron!H80*$C$5)+Bron!I80,(Bron!M80*$C$5)+Bron!N80)</f>
        <v>1000</v>
      </c>
      <c r="M91" s="256"/>
      <c r="N91" s="496">
        <f t="shared" ref="N91:N154" si="90">($C$19*P91)+($C$18*Q91)+($C$20*R91)</f>
        <v>0</v>
      </c>
      <c r="O91" s="497" t="str">
        <f t="shared" ref="O91:O154" si="91">IF(N91=0,"",(L91+M91)/N91)</f>
        <v/>
      </c>
      <c r="P91" s="257"/>
      <c r="Q91" s="257">
        <f>IF($C$5&lt;3000,$AN$31*Bron!K80,$AN$31*Bron!P80)</f>
        <v>0</v>
      </c>
      <c r="R91" s="257">
        <f>IF($C$5&lt;3000,$AN$33*Bron!J80,$AN$33*Bron!O80)</f>
        <v>0</v>
      </c>
      <c r="S91" s="344"/>
      <c r="T91" s="258">
        <f t="shared" si="6"/>
        <v>0</v>
      </c>
      <c r="U91" s="259">
        <f t="shared" si="7"/>
        <v>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c r="AU91" s="676">
        <f t="shared" si="16"/>
        <v>0</v>
      </c>
      <c r="AV91" s="677">
        <f t="shared" si="17"/>
        <v>0</v>
      </c>
      <c r="AW91" s="677">
        <f t="shared" si="54"/>
        <v>0</v>
      </c>
      <c r="AX91" s="678">
        <f t="shared" si="55"/>
        <v>0</v>
      </c>
      <c r="AY91" s="679">
        <f t="shared" si="56"/>
        <v>0</v>
      </c>
      <c r="AZ91" s="675"/>
      <c r="BA91" s="676">
        <f t="shared" si="18"/>
        <v>0</v>
      </c>
      <c r="BB91" s="677">
        <f t="shared" si="19"/>
        <v>0</v>
      </c>
      <c r="BC91" s="677">
        <f t="shared" si="57"/>
        <v>0</v>
      </c>
      <c r="BD91" s="678">
        <f t="shared" si="58"/>
        <v>0</v>
      </c>
      <c r="BE91" s="679">
        <f t="shared" si="59"/>
        <v>0</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0</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0</v>
      </c>
      <c r="U92" s="259">
        <f t="shared" si="7"/>
        <v>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c r="AU92" s="676">
        <f t="shared" si="16"/>
        <v>0</v>
      </c>
      <c r="AV92" s="677">
        <f t="shared" si="17"/>
        <v>0</v>
      </c>
      <c r="AW92" s="677">
        <f t="shared" si="54"/>
        <v>0</v>
      </c>
      <c r="AX92" s="678">
        <f t="shared" si="55"/>
        <v>0</v>
      </c>
      <c r="AY92" s="679">
        <f t="shared" si="56"/>
        <v>0</v>
      </c>
      <c r="AZ92" s="675"/>
      <c r="BA92" s="676">
        <f t="shared" si="18"/>
        <v>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c r="B93" s="488">
        <v>49</v>
      </c>
      <c r="C93" s="489" t="s">
        <v>193</v>
      </c>
      <c r="D93" s="490" t="s">
        <v>195</v>
      </c>
      <c r="E93" s="491" t="s">
        <v>196</v>
      </c>
      <c r="F93" s="492"/>
      <c r="G93" s="493"/>
      <c r="H93" s="146" t="s">
        <v>486</v>
      </c>
      <c r="I93" s="494" t="str">
        <f t="shared" si="4"/>
        <v>ons</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c r="B94" s="488">
        <v>50</v>
      </c>
      <c r="C94" s="489" t="s">
        <v>193</v>
      </c>
      <c r="D94" s="490" t="s">
        <v>197</v>
      </c>
      <c r="E94" s="491" t="s">
        <v>417</v>
      </c>
      <c r="F94" s="492"/>
      <c r="G94" s="493"/>
      <c r="H94" s="146" t="s">
        <v>486</v>
      </c>
      <c r="I94" s="494" t="str">
        <f t="shared" si="4"/>
        <v>ons</v>
      </c>
      <c r="J94" s="495"/>
      <c r="K94" s="151">
        <v>0</v>
      </c>
      <c r="L94" s="256"/>
      <c r="M94" s="256">
        <f>IF($C$5&lt;3000,(Bron!H83*$C$5)+Bron!I83,(Bron!M83*$C$5)+Bron!N83)</f>
        <v>0</v>
      </c>
      <c r="N94" s="496">
        <f t="shared" si="90"/>
        <v>0</v>
      </c>
      <c r="O94" s="497" t="str">
        <f t="shared" si="91"/>
        <v/>
      </c>
      <c r="P94" s="257">
        <f>IF($C$5&lt;3000,$AN$32*Bron!J83,$AN$32*Bron!O83)</f>
        <v>0</v>
      </c>
      <c r="Q94" s="257">
        <f>IF($C$5&lt;3000,$AN$31*Bron!K83,$AN$31*Bron!P83)</f>
        <v>0</v>
      </c>
      <c r="R94" s="257">
        <f>IF($C$5&lt;3000,$AN$33*Bron!J83,$AN$33*Bron!O83)</f>
        <v>0</v>
      </c>
      <c r="S94" s="344"/>
      <c r="T94" s="258">
        <f t="shared" si="6"/>
        <v>0</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c r="AU94" s="676">
        <f t="shared" si="16"/>
        <v>0</v>
      </c>
      <c r="AV94" s="677">
        <f t="shared" si="17"/>
        <v>0</v>
      </c>
      <c r="AW94" s="677">
        <f t="shared" si="54"/>
        <v>0</v>
      </c>
      <c r="AX94" s="678">
        <f t="shared" si="55"/>
        <v>0</v>
      </c>
      <c r="AY94" s="679">
        <f t="shared" si="56"/>
        <v>0</v>
      </c>
      <c r="AZ94" s="675"/>
      <c r="BA94" s="676">
        <f t="shared" si="18"/>
        <v>0</v>
      </c>
      <c r="BB94" s="677">
        <f t="shared" si="19"/>
        <v>0</v>
      </c>
      <c r="BC94" s="677">
        <f t="shared" si="57"/>
        <v>0</v>
      </c>
      <c r="BD94" s="678">
        <f t="shared" si="58"/>
        <v>0</v>
      </c>
      <c r="BE94" s="679">
        <f t="shared" si="59"/>
        <v>0</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v>
      </c>
      <c r="L95" s="256"/>
      <c r="M95" s="256">
        <f>IF($C$5&lt;3000,(Bron!H84*$C$5)+Bron!I84,(Bron!M84*$C$5)+Bron!N84)</f>
        <v>0</v>
      </c>
      <c r="N95" s="496">
        <f t="shared" si="90"/>
        <v>0</v>
      </c>
      <c r="O95" s="497" t="str">
        <f t="shared" si="91"/>
        <v/>
      </c>
      <c r="P95" s="257">
        <f>IF($C$5&lt;3000,$AN$32*Bron!J84,$AN$32*Bron!O84)</f>
        <v>0</v>
      </c>
      <c r="Q95" s="257">
        <f>IF($C$5&lt;3000,$AN$31*Bron!K84,$AN$31*Bron!P84)</f>
        <v>0</v>
      </c>
      <c r="R95" s="257">
        <f>IF($C$5&lt;3000,$AN$33*Bron!J84,$AN$33*Bron!O84)</f>
        <v>0</v>
      </c>
      <c r="S95" s="344"/>
      <c r="T95" s="258">
        <f t="shared" si="6"/>
        <v>0</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c r="AU95" s="676">
        <f t="shared" si="16"/>
        <v>0</v>
      </c>
      <c r="AV95" s="677">
        <f t="shared" si="17"/>
        <v>0</v>
      </c>
      <c r="AW95" s="677">
        <f t="shared" si="54"/>
        <v>0</v>
      </c>
      <c r="AX95" s="678">
        <f t="shared" si="55"/>
        <v>0</v>
      </c>
      <c r="AY95" s="679">
        <f t="shared" si="56"/>
        <v>0</v>
      </c>
      <c r="AZ95" s="675"/>
      <c r="BA95" s="676">
        <f t="shared" si="18"/>
        <v>0</v>
      </c>
      <c r="BB95" s="677">
        <f t="shared" si="19"/>
        <v>0</v>
      </c>
      <c r="BC95" s="677">
        <f t="shared" si="57"/>
        <v>0</v>
      </c>
      <c r="BD95" s="678">
        <f t="shared" si="58"/>
        <v>0</v>
      </c>
      <c r="BE95" s="679">
        <f t="shared" si="59"/>
        <v>0</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c r="B96" s="488">
        <v>52</v>
      </c>
      <c r="C96" s="489" t="s">
        <v>314</v>
      </c>
      <c r="D96" s="490" t="s">
        <v>29</v>
      </c>
      <c r="E96" s="491" t="s">
        <v>419</v>
      </c>
      <c r="F96" s="492"/>
      <c r="G96" s="493"/>
      <c r="H96" s="146" t="s">
        <v>486</v>
      </c>
      <c r="I96" s="494" t="str">
        <f t="shared" si="4"/>
        <v>ons</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c r="B97" s="488">
        <v>53</v>
      </c>
      <c r="C97" s="489" t="s">
        <v>314</v>
      </c>
      <c r="D97" s="490" t="s">
        <v>315</v>
      </c>
      <c r="E97" s="491" t="s">
        <v>316</v>
      </c>
      <c r="F97" s="492"/>
      <c r="G97" s="493"/>
      <c r="H97" s="146" t="s">
        <v>486</v>
      </c>
      <c r="I97" s="494" t="str">
        <f t="shared" si="4"/>
        <v>ons</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c r="B98" s="488">
        <v>54</v>
      </c>
      <c r="C98" s="489" t="s">
        <v>314</v>
      </c>
      <c r="D98" s="490" t="s">
        <v>317</v>
      </c>
      <c r="E98" s="491" t="s">
        <v>318</v>
      </c>
      <c r="F98" s="492"/>
      <c r="G98" s="493"/>
      <c r="H98" s="146" t="s">
        <v>486</v>
      </c>
      <c r="I98" s="494" t="str">
        <f t="shared" si="4"/>
        <v>ons</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c r="B99" s="488">
        <v>55</v>
      </c>
      <c r="C99" s="489" t="s">
        <v>314</v>
      </c>
      <c r="D99" s="490" t="s">
        <v>319</v>
      </c>
      <c r="E99" s="491" t="s">
        <v>420</v>
      </c>
      <c r="F99" s="492"/>
      <c r="G99" s="493"/>
      <c r="H99" s="146" t="s">
        <v>486</v>
      </c>
      <c r="I99" s="494" t="str">
        <f t="shared" si="4"/>
        <v>ons</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c r="B100" s="488">
        <v>56</v>
      </c>
      <c r="C100" s="489" t="s">
        <v>314</v>
      </c>
      <c r="D100" s="490" t="s">
        <v>320</v>
      </c>
      <c r="E100" s="491" t="s">
        <v>321</v>
      </c>
      <c r="F100" s="492"/>
      <c r="G100" s="493"/>
      <c r="H100" s="146" t="s">
        <v>486</v>
      </c>
      <c r="I100" s="494" t="str">
        <f t="shared" si="4"/>
        <v>ons</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c r="B101" s="488">
        <v>57</v>
      </c>
      <c r="C101" s="489" t="s">
        <v>314</v>
      </c>
      <c r="D101" s="490" t="s">
        <v>322</v>
      </c>
      <c r="E101" s="491" t="s">
        <v>323</v>
      </c>
      <c r="F101" s="492"/>
      <c r="G101" s="493"/>
      <c r="H101" s="146" t="s">
        <v>486</v>
      </c>
      <c r="I101" s="494" t="str">
        <f t="shared" si="4"/>
        <v>ons</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c r="B102" s="488">
        <v>58</v>
      </c>
      <c r="C102" s="489" t="s">
        <v>314</v>
      </c>
      <c r="D102" s="490" t="s">
        <v>324</v>
      </c>
      <c r="E102" s="491" t="s">
        <v>325</v>
      </c>
      <c r="F102" s="492"/>
      <c r="G102" s="493"/>
      <c r="H102" s="146" t="s">
        <v>486</v>
      </c>
      <c r="I102" s="494" t="str">
        <f t="shared" si="4"/>
        <v>ons</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c r="B103" s="488">
        <v>59</v>
      </c>
      <c r="C103" s="489" t="s">
        <v>314</v>
      </c>
      <c r="D103" s="490" t="s">
        <v>326</v>
      </c>
      <c r="E103" s="491" t="s">
        <v>327</v>
      </c>
      <c r="F103" s="492"/>
      <c r="G103" s="493"/>
      <c r="H103" s="146" t="s">
        <v>486</v>
      </c>
      <c r="I103" s="494" t="str">
        <f t="shared" si="4"/>
        <v>ons</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c r="B104" s="488">
        <v>60</v>
      </c>
      <c r="C104" s="489" t="s">
        <v>314</v>
      </c>
      <c r="D104" s="490" t="s">
        <v>328</v>
      </c>
      <c r="E104" s="491" t="s">
        <v>329</v>
      </c>
      <c r="F104" s="492"/>
      <c r="G104" s="493"/>
      <c r="H104" s="146" t="s">
        <v>486</v>
      </c>
      <c r="I104" s="494" t="str">
        <f t="shared" si="4"/>
        <v>ons</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c r="B105" s="488">
        <v>61</v>
      </c>
      <c r="C105" s="489" t="s">
        <v>199</v>
      </c>
      <c r="D105" s="490" t="s">
        <v>30</v>
      </c>
      <c r="E105" s="491" t="s">
        <v>200</v>
      </c>
      <c r="F105" s="492"/>
      <c r="G105" s="493"/>
      <c r="H105" s="146" t="s">
        <v>486</v>
      </c>
      <c r="I105" s="494" t="str">
        <f t="shared" si="4"/>
        <v>ons</v>
      </c>
      <c r="J105" s="495" t="s">
        <v>487</v>
      </c>
      <c r="K105" s="151">
        <v>0</v>
      </c>
      <c r="L105" s="256">
        <f>IF($C$5&lt;3000,(Bron!H94*$C$5)+Bron!I94,(Bron!M94*$C$5)+Bron!N94)</f>
        <v>1500</v>
      </c>
      <c r="M105" s="256"/>
      <c r="N105" s="496">
        <f t="shared" si="90"/>
        <v>0</v>
      </c>
      <c r="O105" s="497" t="str">
        <f t="shared" si="91"/>
        <v/>
      </c>
      <c r="P105" s="257"/>
      <c r="Q105" s="257">
        <f>IF($C$5&lt;3000,$AN$31*Bron!K94,$AN$31*Bron!P94)</f>
        <v>0</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c r="B106" s="488">
        <v>62</v>
      </c>
      <c r="C106" s="489" t="s">
        <v>199</v>
      </c>
      <c r="D106" s="490" t="s">
        <v>201</v>
      </c>
      <c r="E106" s="491" t="s">
        <v>202</v>
      </c>
      <c r="F106" s="492"/>
      <c r="G106" s="493"/>
      <c r="H106" s="146" t="s">
        <v>486</v>
      </c>
      <c r="I106" s="494" t="str">
        <f t="shared" si="4"/>
        <v>ons</v>
      </c>
      <c r="J106" s="495" t="s">
        <v>487</v>
      </c>
      <c r="K106" s="151">
        <v>0</v>
      </c>
      <c r="L106" s="256">
        <f>IF($C$5&lt;3000,(Bron!H95*$C$5)+Bron!I95,(Bron!M95*$C$5)+Bron!N95)</f>
        <v>600</v>
      </c>
      <c r="M106" s="256"/>
      <c r="N106" s="496">
        <f t="shared" si="90"/>
        <v>0</v>
      </c>
      <c r="O106" s="497" t="str">
        <f t="shared" si="91"/>
        <v/>
      </c>
      <c r="P106" s="257"/>
      <c r="Q106" s="257">
        <f>IF($C$5&lt;3000,$AN$31*Bron!K95,$AN$31*Bron!P95)</f>
        <v>0</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c r="B107" s="488">
        <v>63</v>
      </c>
      <c r="C107" s="489" t="s">
        <v>199</v>
      </c>
      <c r="D107" s="490" t="s">
        <v>203</v>
      </c>
      <c r="E107" s="491" t="s">
        <v>204</v>
      </c>
      <c r="F107" s="492"/>
      <c r="G107" s="493"/>
      <c r="H107" s="146" t="s">
        <v>486</v>
      </c>
      <c r="I107" s="494" t="str">
        <f t="shared" si="4"/>
        <v>ons</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c r="B108" s="488">
        <v>64</v>
      </c>
      <c r="C108" s="489" t="s">
        <v>199</v>
      </c>
      <c r="D108" s="490" t="s">
        <v>205</v>
      </c>
      <c r="E108" s="491" t="s">
        <v>206</v>
      </c>
      <c r="F108" s="492"/>
      <c r="G108" s="493"/>
      <c r="H108" s="146" t="s">
        <v>486</v>
      </c>
      <c r="I108" s="494" t="str">
        <f t="shared" ref="I108:I171" si="92">IF(H108="X","n.v.t.",IF(H108="I","ons",IF(H108="V","verhuurder",IF(H108="H","huurder",""))))</f>
        <v>ons</v>
      </c>
      <c r="J108" s="495"/>
      <c r="K108" s="151">
        <v>0</v>
      </c>
      <c r="L108" s="256"/>
      <c r="M108" s="256">
        <f>IF($C$5&lt;3000,(Bron!H97*$C$5)+Bron!I97,(Bron!M97*$C$5)+Bron!N97)</f>
        <v>2500</v>
      </c>
      <c r="N108" s="496">
        <f t="shared" si="90"/>
        <v>0</v>
      </c>
      <c r="O108" s="497" t="str">
        <f t="shared" si="91"/>
        <v/>
      </c>
      <c r="P108" s="257"/>
      <c r="Q108" s="257">
        <f>IF($C$5&lt;3000,$AN$31*Bron!K97,$AN$31*Bron!P97)</f>
        <v>0</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c r="B109" s="488">
        <v>65</v>
      </c>
      <c r="C109" s="489" t="s">
        <v>199</v>
      </c>
      <c r="D109" s="490" t="s">
        <v>207</v>
      </c>
      <c r="E109" s="491" t="s">
        <v>208</v>
      </c>
      <c r="F109" s="492"/>
      <c r="G109" s="493"/>
      <c r="H109" s="146" t="s">
        <v>486</v>
      </c>
      <c r="I109" s="494" t="str">
        <f t="shared" si="92"/>
        <v>ons</v>
      </c>
      <c r="J109" s="495"/>
      <c r="K109" s="151">
        <v>0</v>
      </c>
      <c r="L109" s="256"/>
      <c r="M109" s="256">
        <f>IF($C$5&lt;3000,(Bron!H98*$C$5)+Bron!I98,(Bron!M98*$C$5)+Bron!N98)</f>
        <v>7000</v>
      </c>
      <c r="N109" s="496">
        <f t="shared" si="90"/>
        <v>0</v>
      </c>
      <c r="O109" s="497" t="str">
        <f t="shared" si="91"/>
        <v/>
      </c>
      <c r="P109" s="257"/>
      <c r="Q109" s="257">
        <f>IF($C$5&lt;3000,$AN$31*Bron!K98,$AN$31*Bron!P98)</f>
        <v>0</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c r="B110" s="488">
        <v>66</v>
      </c>
      <c r="C110" s="489" t="s">
        <v>199</v>
      </c>
      <c r="D110" s="490" t="s">
        <v>209</v>
      </c>
      <c r="E110" s="491" t="s">
        <v>421</v>
      </c>
      <c r="F110" s="492"/>
      <c r="G110" s="493"/>
      <c r="H110" s="146" t="s">
        <v>486</v>
      </c>
      <c r="I110" s="494" t="str">
        <f t="shared" si="92"/>
        <v>ons</v>
      </c>
      <c r="J110" s="495" t="s">
        <v>487</v>
      </c>
      <c r="K110" s="151">
        <v>0</v>
      </c>
      <c r="L110" s="256">
        <f>IF($C$5&lt;3000,(Bron!H99*$C$5)+Bron!I99,(Bron!M99*$C$5)+Bron!N99)</f>
        <v>750</v>
      </c>
      <c r="M110" s="256"/>
      <c r="N110" s="496">
        <f t="shared" si="90"/>
        <v>0</v>
      </c>
      <c r="O110" s="497" t="str">
        <f t="shared" si="91"/>
        <v/>
      </c>
      <c r="P110" s="257"/>
      <c r="Q110" s="257">
        <f>IF($C$5&lt;3000,$AN$31*Bron!K99,$AN$31*Bron!P99)</f>
        <v>0</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c r="B111" s="488">
        <v>67</v>
      </c>
      <c r="C111" s="489" t="s">
        <v>199</v>
      </c>
      <c r="D111" s="490" t="s">
        <v>493</v>
      </c>
      <c r="E111" s="491" t="s">
        <v>580</v>
      </c>
      <c r="F111" s="492"/>
      <c r="G111" s="493"/>
      <c r="H111" s="146" t="s">
        <v>486</v>
      </c>
      <c r="I111" s="494" t="str">
        <f t="shared" si="92"/>
        <v>ons</v>
      </c>
      <c r="J111" s="495"/>
      <c r="K111" s="151">
        <v>0</v>
      </c>
      <c r="L111" s="256"/>
      <c r="M111" s="256">
        <f>IF($C$5&lt;3000,(Bron!H100*$C$5)+Bron!I100,(Bron!M100*$C$5)+Bron!N100)</f>
        <v>1000</v>
      </c>
      <c r="N111" s="496">
        <f t="shared" si="90"/>
        <v>0</v>
      </c>
      <c r="O111" s="497" t="str">
        <f t="shared" si="91"/>
        <v/>
      </c>
      <c r="P111" s="257"/>
      <c r="Q111" s="257">
        <f>IF($C$5&lt;3000,$AN$31*Bron!K100,$AN$31*Bron!P100)</f>
        <v>0</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c r="B112" s="488">
        <v>68</v>
      </c>
      <c r="C112" s="489" t="s">
        <v>199</v>
      </c>
      <c r="D112" s="490" t="s">
        <v>493</v>
      </c>
      <c r="E112" s="491" t="s">
        <v>589</v>
      </c>
      <c r="F112" s="492"/>
      <c r="G112" s="493"/>
      <c r="H112" s="146" t="s">
        <v>486</v>
      </c>
      <c r="I112" s="494" t="str">
        <f t="shared" si="92"/>
        <v>ons</v>
      </c>
      <c r="J112" s="495" t="s">
        <v>487</v>
      </c>
      <c r="K112" s="151">
        <v>0</v>
      </c>
      <c r="L112" s="256">
        <f>IF($C$5&lt;3000,(Bron!H101*$C$5)+Bron!I101,(Bron!M101*$C$5)+Bron!N101)</f>
        <v>200</v>
      </c>
      <c r="M112" s="256"/>
      <c r="N112" s="496">
        <f t="shared" si="90"/>
        <v>0</v>
      </c>
      <c r="O112" s="497" t="str">
        <f t="shared" si="91"/>
        <v/>
      </c>
      <c r="P112" s="257"/>
      <c r="Q112" s="257">
        <f>IF($C$5&lt;3000,$AN$31*Bron!K101,$AN$31*Bron!P101)</f>
        <v>0</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c r="B113" s="488">
        <v>69</v>
      </c>
      <c r="C113" s="489" t="s">
        <v>210</v>
      </c>
      <c r="D113" s="490" t="s">
        <v>31</v>
      </c>
      <c r="E113" s="491" t="s">
        <v>422</v>
      </c>
      <c r="F113" s="492"/>
      <c r="G113" s="493"/>
      <c r="H113" s="146" t="s">
        <v>486</v>
      </c>
      <c r="I113" s="494" t="str">
        <f t="shared" si="92"/>
        <v>ons</v>
      </c>
      <c r="J113" s="495" t="s">
        <v>487</v>
      </c>
      <c r="K113" s="151">
        <v>0</v>
      </c>
      <c r="L113" s="256">
        <f>IF($C$5&lt;3000,(Bron!H102*$C$5)+Bron!I102,(Bron!M102*$C$5)+Bron!N102)</f>
        <v>5000</v>
      </c>
      <c r="M113" s="256"/>
      <c r="N113" s="496">
        <f t="shared" si="90"/>
        <v>0</v>
      </c>
      <c r="O113" s="497" t="str">
        <f t="shared" si="91"/>
        <v/>
      </c>
      <c r="P113" s="257"/>
      <c r="Q113" s="257">
        <f>IF($C$5&lt;3000,$AN$31*Bron!K102,$AN$31*Bron!P102)</f>
        <v>0</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486</v>
      </c>
      <c r="I114" s="494" t="str">
        <f t="shared" si="92"/>
        <v>ons</v>
      </c>
      <c r="J114" s="495" t="s">
        <v>487</v>
      </c>
      <c r="K114" s="151">
        <v>0</v>
      </c>
      <c r="L114" s="256">
        <f>IF($C$5&lt;3000,(Bron!H103*$C$5)+Bron!I103,(Bron!M103*$C$5)+Bron!N103)</f>
        <v>650</v>
      </c>
      <c r="M114" s="256"/>
      <c r="N114" s="496">
        <f t="shared" si="90"/>
        <v>0</v>
      </c>
      <c r="O114" s="497" t="str">
        <f t="shared" si="91"/>
        <v/>
      </c>
      <c r="P114" s="257">
        <f>IF($C$5&lt;3000,$AN$32*Bron!J103,$AN$32*Bron!O103)</f>
        <v>0</v>
      </c>
      <c r="Q114" s="257">
        <f>IF($C$5&lt;3000,$AN$31*Bron!K103,$AN$31*Bron!P103)</f>
        <v>0</v>
      </c>
      <c r="R114" s="257">
        <f>IF($C$5&lt;3000,$AN$33*Bron!J103,$AN$33*Bron!O103)</f>
        <v>0</v>
      </c>
      <c r="S114" s="344"/>
      <c r="T114" s="258">
        <f t="shared" si="93"/>
        <v>0</v>
      </c>
      <c r="U114" s="259">
        <f t="shared" si="94"/>
        <v>0</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c r="AU114" s="676">
        <f t="shared" si="103"/>
        <v>0</v>
      </c>
      <c r="AV114" s="677">
        <f t="shared" si="104"/>
        <v>0</v>
      </c>
      <c r="AW114" s="677">
        <f t="shared" si="139"/>
        <v>0</v>
      </c>
      <c r="AX114" s="678">
        <f t="shared" si="140"/>
        <v>0</v>
      </c>
      <c r="AY114" s="679">
        <f t="shared" si="141"/>
        <v>0</v>
      </c>
      <c r="AZ114" s="675"/>
      <c r="BA114" s="676">
        <f t="shared" si="105"/>
        <v>0</v>
      </c>
      <c r="BB114" s="677">
        <f t="shared" si="106"/>
        <v>0</v>
      </c>
      <c r="BC114" s="677">
        <f t="shared" si="142"/>
        <v>0</v>
      </c>
      <c r="BD114" s="678">
        <f t="shared" si="143"/>
        <v>0</v>
      </c>
      <c r="BE114" s="679">
        <f t="shared" si="144"/>
        <v>0</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c r="B115" s="488">
        <v>71</v>
      </c>
      <c r="C115" s="489" t="s">
        <v>400</v>
      </c>
      <c r="D115" s="490" t="s">
        <v>7</v>
      </c>
      <c r="E115" s="491" t="s">
        <v>604</v>
      </c>
      <c r="F115" s="492"/>
      <c r="G115" s="493"/>
      <c r="H115" s="146" t="s">
        <v>486</v>
      </c>
      <c r="I115" s="494" t="str">
        <f t="shared" si="92"/>
        <v>ons</v>
      </c>
      <c r="J115" s="495" t="s">
        <v>487</v>
      </c>
      <c r="K115" s="151">
        <v>0</v>
      </c>
      <c r="L115" s="256">
        <f>IF($C$5&lt;3000,(Bron!H104*$C$5)+Bron!I104,(Bron!M104*$C$5)+Bron!N104)</f>
        <v>0</v>
      </c>
      <c r="M115" s="256"/>
      <c r="N115" s="496">
        <f t="shared" si="90"/>
        <v>0</v>
      </c>
      <c r="O115" s="497" t="str">
        <f t="shared" si="91"/>
        <v/>
      </c>
      <c r="P115" s="257">
        <f>IF($C$5&lt;3000,$AN$32*Bron!J104,$AN$32*Bron!O104)</f>
        <v>0</v>
      </c>
      <c r="Q115" s="257"/>
      <c r="R115" s="257">
        <f>IF($C$5&lt;3000,$AN$33*Bron!J104,$AN$33*Bron!O104)</f>
        <v>0</v>
      </c>
      <c r="S115" s="344"/>
      <c r="T115" s="258">
        <f t="shared" si="93"/>
        <v>0</v>
      </c>
      <c r="U115" s="259">
        <f t="shared" si="94"/>
        <v>0</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c r="AU115" s="676">
        <f t="shared" si="103"/>
        <v>0</v>
      </c>
      <c r="AV115" s="677">
        <f t="shared" si="104"/>
        <v>0</v>
      </c>
      <c r="AW115" s="677">
        <f t="shared" si="139"/>
        <v>0</v>
      </c>
      <c r="AX115" s="678">
        <f t="shared" si="140"/>
        <v>0</v>
      </c>
      <c r="AY115" s="679">
        <f t="shared" si="141"/>
        <v>0</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c r="B116" s="488">
        <v>72</v>
      </c>
      <c r="C116" s="489" t="s">
        <v>400</v>
      </c>
      <c r="D116" s="490" t="s">
        <v>212</v>
      </c>
      <c r="E116" s="491" t="s">
        <v>706</v>
      </c>
      <c r="F116" s="492"/>
      <c r="G116" s="493"/>
      <c r="H116" s="146" t="s">
        <v>486</v>
      </c>
      <c r="I116" s="494" t="str">
        <f t="shared" si="92"/>
        <v>ons</v>
      </c>
      <c r="J116" s="495" t="s">
        <v>487</v>
      </c>
      <c r="K116" s="151">
        <v>0</v>
      </c>
      <c r="L116" s="256">
        <f>IF($C$5&lt;3000,(Bron!H105*$C$5/$C$6)+Bron!I105,(Bron!M105*$C$5/$C$6)+Bron!N105)</f>
        <v>0</v>
      </c>
      <c r="M116" s="256"/>
      <c r="N116" s="496">
        <f t="shared" si="90"/>
        <v>0</v>
      </c>
      <c r="O116" s="497" t="str">
        <f t="shared" si="91"/>
        <v/>
      </c>
      <c r="P116" s="257">
        <f>IF($C$5&lt;3000,$AN$32*Bron!J105,$AN$32*Bron!O105)/$C$6</f>
        <v>0</v>
      </c>
      <c r="Q116" s="257">
        <f>IF($C$5&lt;3000,$AN$31*Bron!K105,$AN$31*Bron!P105)</f>
        <v>0</v>
      </c>
      <c r="R116" s="257">
        <f>IF($C$5&lt;3000,$AN$33*Bron!J105,$AN$33*Bron!O105)/$C$6</f>
        <v>0</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c r="B117" s="488">
        <v>73</v>
      </c>
      <c r="C117" s="489" t="s">
        <v>400</v>
      </c>
      <c r="D117" s="490" t="s">
        <v>213</v>
      </c>
      <c r="E117" s="491" t="s">
        <v>214</v>
      </c>
      <c r="F117" s="492"/>
      <c r="G117" s="493"/>
      <c r="H117" s="146" t="s">
        <v>486</v>
      </c>
      <c r="I117" s="494" t="str">
        <f t="shared" si="92"/>
        <v>ons</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c r="B118" s="488">
        <v>74</v>
      </c>
      <c r="C118" s="489" t="s">
        <v>400</v>
      </c>
      <c r="D118" s="490" t="s">
        <v>215</v>
      </c>
      <c r="E118" s="491" t="s">
        <v>708</v>
      </c>
      <c r="F118" s="492"/>
      <c r="G118" s="493"/>
      <c r="H118" s="146" t="s">
        <v>486</v>
      </c>
      <c r="I118" s="494" t="str">
        <f t="shared" si="92"/>
        <v>ons</v>
      </c>
      <c r="J118" s="495"/>
      <c r="K118" s="151">
        <v>0</v>
      </c>
      <c r="L118" s="256"/>
      <c r="M118" s="256">
        <f>IF($C$5&lt;3000,(Bron!H107*$C$5/$C$6)+Bron!I107,(Bron!M107*$C$5/$C$6)+Bron!N107)</f>
        <v>0</v>
      </c>
      <c r="N118" s="496">
        <f t="shared" si="90"/>
        <v>0</v>
      </c>
      <c r="O118" s="497" t="str">
        <f t="shared" si="91"/>
        <v/>
      </c>
      <c r="P118" s="257">
        <f>IF($C$5&lt;3000,$AN$32*Bron!J107,$AN$32*Bron!O107)/$C$6</f>
        <v>0</v>
      </c>
      <c r="Q118" s="257">
        <f>IF($C$5&lt;3000,$AN$31*Bron!K107,$AN$31*Bron!P107)</f>
        <v>0</v>
      </c>
      <c r="R118" s="257">
        <f>IF($C$5&lt;3000,$AN$33*Bron!J107,$AN$33*Bron!O107)/$C$6</f>
        <v>0</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c r="B119" s="488">
        <v>75</v>
      </c>
      <c r="C119" s="489" t="s">
        <v>400</v>
      </c>
      <c r="D119" s="490" t="s">
        <v>216</v>
      </c>
      <c r="E119" s="491" t="s">
        <v>217</v>
      </c>
      <c r="F119" s="492"/>
      <c r="G119" s="493"/>
      <c r="H119" s="146" t="s">
        <v>486</v>
      </c>
      <c r="I119" s="494" t="str">
        <f t="shared" si="92"/>
        <v>ons</v>
      </c>
      <c r="J119" s="495"/>
      <c r="K119" s="151">
        <v>0</v>
      </c>
      <c r="L119" s="256"/>
      <c r="M119" s="256">
        <f>IF($C$5&lt;3000,(Bron!H108*$C$5)+Bron!I108,(Bron!M108*$C$5)+Bron!N108)</f>
        <v>0</v>
      </c>
      <c r="N119" s="496">
        <f t="shared" si="90"/>
        <v>0</v>
      </c>
      <c r="O119" s="497" t="str">
        <f t="shared" si="91"/>
        <v/>
      </c>
      <c r="P119" s="257">
        <f>IF($C$5&lt;3000,$AN$32*Bron!J108,$AN$32*Bron!O108)</f>
        <v>0</v>
      </c>
      <c r="Q119" s="257">
        <f>IF($C$5&lt;3000,$AN$31*Bron!K108,$AN$31*Bron!P108)</f>
        <v>0</v>
      </c>
      <c r="R119" s="257">
        <f>IF($C$5&lt;3000,$AN$33*Bron!J108,$AN$33*Bron!O108)</f>
        <v>0</v>
      </c>
      <c r="S119" s="344"/>
      <c r="T119" s="258">
        <f t="shared" si="93"/>
        <v>0</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c r="B120" s="488">
        <v>76</v>
      </c>
      <c r="C120" s="489" t="s">
        <v>400</v>
      </c>
      <c r="D120" s="490" t="s">
        <v>218</v>
      </c>
      <c r="E120" s="491" t="s">
        <v>219</v>
      </c>
      <c r="F120" s="492"/>
      <c r="G120" s="493"/>
      <c r="H120" s="146" t="s">
        <v>486</v>
      </c>
      <c r="I120" s="494" t="str">
        <f t="shared" si="92"/>
        <v>ons</v>
      </c>
      <c r="J120" s="495"/>
      <c r="K120" s="151">
        <v>0</v>
      </c>
      <c r="L120" s="256"/>
      <c r="M120" s="256">
        <f>IF($C$5&lt;3000,(Bron!H109*$C$5)+Bron!I109,(Bron!M109*$C$5)+Bron!N109)</f>
        <v>0</v>
      </c>
      <c r="N120" s="496">
        <f t="shared" si="90"/>
        <v>0</v>
      </c>
      <c r="O120" s="497" t="str">
        <f t="shared" si="91"/>
        <v/>
      </c>
      <c r="P120" s="257">
        <f>IF($C$5&lt;3000,$AN$32*Bron!J109,$AN$32*Bron!O109)</f>
        <v>0</v>
      </c>
      <c r="Q120" s="257"/>
      <c r="R120" s="257">
        <f>IF($C$5&lt;3000,$AN$33*Bron!J109,$AN$33*Bron!O109)</f>
        <v>0</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c r="B121" s="488">
        <v>77</v>
      </c>
      <c r="C121" s="489" t="s">
        <v>400</v>
      </c>
      <c r="D121" s="490" t="s">
        <v>220</v>
      </c>
      <c r="E121" s="491" t="s">
        <v>221</v>
      </c>
      <c r="F121" s="492"/>
      <c r="G121" s="493"/>
      <c r="H121" s="146" t="s">
        <v>486</v>
      </c>
      <c r="I121" s="494" t="str">
        <f t="shared" si="92"/>
        <v>ons</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c r="B122" s="488">
        <v>78</v>
      </c>
      <c r="C122" s="489" t="s">
        <v>400</v>
      </c>
      <c r="D122" s="490" t="s">
        <v>222</v>
      </c>
      <c r="E122" s="491" t="s">
        <v>223</v>
      </c>
      <c r="F122" s="492"/>
      <c r="G122" s="493"/>
      <c r="H122" s="146" t="s">
        <v>486</v>
      </c>
      <c r="I122" s="494" t="str">
        <f t="shared" si="92"/>
        <v>ons</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c r="B123" s="488">
        <v>79</v>
      </c>
      <c r="C123" s="489" t="s">
        <v>400</v>
      </c>
      <c r="D123" s="490" t="s">
        <v>493</v>
      </c>
      <c r="E123" s="491" t="s">
        <v>603</v>
      </c>
      <c r="F123" s="492"/>
      <c r="G123" s="493"/>
      <c r="H123" s="146" t="s">
        <v>486</v>
      </c>
      <c r="I123" s="494" t="str">
        <f t="shared" si="92"/>
        <v>ons</v>
      </c>
      <c r="J123" s="495"/>
      <c r="K123" s="151">
        <v>0</v>
      </c>
      <c r="L123" s="256"/>
      <c r="M123" s="256">
        <f>IF($C$5&lt;3000,(Bron!H112*$C$5)+Bron!I112,(Bron!M112*$C$5)+Bron!N112)</f>
        <v>0</v>
      </c>
      <c r="N123" s="496">
        <f t="shared" si="90"/>
        <v>0</v>
      </c>
      <c r="O123" s="497" t="str">
        <f t="shared" si="91"/>
        <v/>
      </c>
      <c r="P123" s="257">
        <f>IF($C$5&lt;3000,$AN$32*Bron!J112,$AN$32*Bron!O112)</f>
        <v>0</v>
      </c>
      <c r="Q123" s="257">
        <f>IF($C$5&lt;3000,$AN$31*Bron!K112,$AN$31*Bron!P112)</f>
        <v>0</v>
      </c>
      <c r="R123" s="257">
        <f>IF($C$5&lt;3000,$AN$33*Bron!J112,$AN$33*Bron!O112)</f>
        <v>0</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c r="B124" s="488">
        <v>80</v>
      </c>
      <c r="C124" s="489" t="s">
        <v>400</v>
      </c>
      <c r="D124" s="490" t="s">
        <v>493</v>
      </c>
      <c r="E124" s="491" t="s">
        <v>444</v>
      </c>
      <c r="F124" s="492"/>
      <c r="G124" s="493"/>
      <c r="H124" s="146" t="s">
        <v>486</v>
      </c>
      <c r="I124" s="494" t="str">
        <f t="shared" si="92"/>
        <v>ons</v>
      </c>
      <c r="J124" s="495" t="s">
        <v>487</v>
      </c>
      <c r="K124" s="151">
        <v>0</v>
      </c>
      <c r="L124" s="256">
        <f>IF($C$5&lt;3000,(Bron!H113*$C$5)+Bron!I113,(Bron!M113*$C$5)+Bron!N113)</f>
        <v>0</v>
      </c>
      <c r="M124" s="256"/>
      <c r="N124" s="496">
        <f t="shared" si="90"/>
        <v>0</v>
      </c>
      <c r="O124" s="497" t="str">
        <f t="shared" si="91"/>
        <v/>
      </c>
      <c r="P124" s="257">
        <f>IF($C$5&lt;3000,$AN$32*Bron!J113,$AN$32*Bron!O113)</f>
        <v>0</v>
      </c>
      <c r="Q124" s="257"/>
      <c r="R124" s="257">
        <f>IF($C$5&lt;3000,$AN$33*Bron!J113,$AN$33*Bron!O113)</f>
        <v>0</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599</v>
      </c>
      <c r="F125" s="492"/>
      <c r="G125" s="493"/>
      <c r="H125" s="146" t="s">
        <v>486</v>
      </c>
      <c r="I125" s="494" t="str">
        <f t="shared" si="92"/>
        <v>ons</v>
      </c>
      <c r="J125" s="495"/>
      <c r="K125" s="151">
        <v>0</v>
      </c>
      <c r="L125" s="256"/>
      <c r="M125" s="256">
        <f>IF($C$5&lt;3000,(Bron!H114*$C$5/$C$6)+Bron!I114,(Bron!M114*$C$5/$C$6)+Bron!N114)</f>
        <v>0</v>
      </c>
      <c r="N125" s="496">
        <f t="shared" si="90"/>
        <v>0</v>
      </c>
      <c r="O125" s="497" t="str">
        <f t="shared" si="91"/>
        <v/>
      </c>
      <c r="P125" s="257">
        <f>IF($C$5&lt;3000,$AN$32*Bron!J114,$AN$32*Bron!O114)/$C$6</f>
        <v>0</v>
      </c>
      <c r="Q125" s="257"/>
      <c r="R125" s="257">
        <f>IF($C$5&lt;3000,$AN$33*Bron!J114,$AN$33*Bron!O114)/$C$6</f>
        <v>0</v>
      </c>
      <c r="S125" s="344"/>
      <c r="T125" s="258">
        <f t="shared" si="93"/>
        <v>0</v>
      </c>
      <c r="U125" s="259">
        <f t="shared" si="94"/>
        <v>0</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c r="BG125" s="676">
        <f t="shared" si="107"/>
        <v>0</v>
      </c>
      <c r="BH125" s="677">
        <f t="shared" si="108"/>
        <v>0</v>
      </c>
      <c r="BI125" s="677">
        <f t="shared" si="145"/>
        <v>0</v>
      </c>
      <c r="BJ125" s="678">
        <f t="shared" si="146"/>
        <v>0</v>
      </c>
      <c r="BK125" s="679">
        <f t="shared" si="147"/>
        <v>0</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c r="B126" s="488">
        <v>82</v>
      </c>
      <c r="C126" s="489" t="s">
        <v>400</v>
      </c>
      <c r="D126" s="490" t="s">
        <v>493</v>
      </c>
      <c r="E126" s="491" t="s">
        <v>598</v>
      </c>
      <c r="F126" s="492"/>
      <c r="G126" s="493"/>
      <c r="H126" s="146" t="s">
        <v>486</v>
      </c>
      <c r="I126" s="494" t="str">
        <f t="shared" si="92"/>
        <v>ons</v>
      </c>
      <c r="J126" s="495"/>
      <c r="K126" s="151">
        <v>0</v>
      </c>
      <c r="L126" s="256"/>
      <c r="M126" s="256">
        <f>IF($C$5&lt;3000,(Bron!H115*$C$5*1.4/$C$6)+Bron!I115,(Bron!M115*$C$5*1.4/$C$6)+Bron!N115)</f>
        <v>0</v>
      </c>
      <c r="N126" s="496">
        <f t="shared" si="90"/>
        <v>0</v>
      </c>
      <c r="O126" s="497" t="str">
        <f t="shared" si="91"/>
        <v/>
      </c>
      <c r="P126" s="257">
        <f>IF($C$5&lt;3000,$AN$32*Bron!J115,$AN$32*Bron!O115)/$C$6</f>
        <v>0</v>
      </c>
      <c r="Q126" s="257">
        <f>IF($C$5&lt;3000,$AN$31*Bron!K115,$AN$31*Bron!P115)</f>
        <v>0</v>
      </c>
      <c r="R126" s="257">
        <f>IF($C$5&lt;3000,$AN$33*Bron!J115,$AN$33*Bron!O115)/$C$6</f>
        <v>0</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c r="B127" s="488">
        <v>83</v>
      </c>
      <c r="C127" s="489" t="s">
        <v>400</v>
      </c>
      <c r="D127" s="490" t="s">
        <v>493</v>
      </c>
      <c r="E127" s="491" t="s">
        <v>445</v>
      </c>
      <c r="F127" s="492"/>
      <c r="G127" s="493"/>
      <c r="H127" s="146" t="s">
        <v>486</v>
      </c>
      <c r="I127" s="494" t="str">
        <f t="shared" si="92"/>
        <v>ons</v>
      </c>
      <c r="J127" s="495" t="s">
        <v>487</v>
      </c>
      <c r="K127" s="151">
        <v>0</v>
      </c>
      <c r="L127" s="256">
        <f>IF($C$5&lt;3000,(Bron!H116*$C$5/$C$6)+Bron!I116,(Bron!M116*$C$5/$C$6)+Bron!N116)</f>
        <v>0</v>
      </c>
      <c r="M127" s="256"/>
      <c r="N127" s="496">
        <f t="shared" si="90"/>
        <v>0</v>
      </c>
      <c r="O127" s="497" t="str">
        <f t="shared" si="91"/>
        <v/>
      </c>
      <c r="P127" s="257">
        <f>IF($C$5&lt;3000,$AN$32*Bron!J116,$AN$32*Bron!O116)/$C$6</f>
        <v>0</v>
      </c>
      <c r="Q127" s="257"/>
      <c r="R127" s="257">
        <f>IF($C$5&lt;3000,$AN$33*Bron!J116,$AN$33*Bron!O116)/$C$6</f>
        <v>0</v>
      </c>
      <c r="S127" s="344"/>
      <c r="T127" s="258">
        <f t="shared" si="93"/>
        <v>0</v>
      </c>
      <c r="U127" s="259">
        <f t="shared" si="94"/>
        <v>0</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c r="BA127" s="676">
        <f t="shared" si="105"/>
        <v>0</v>
      </c>
      <c r="BB127" s="677">
        <f t="shared" si="106"/>
        <v>0</v>
      </c>
      <c r="BC127" s="677">
        <f t="shared" si="142"/>
        <v>0</v>
      </c>
      <c r="BD127" s="678">
        <f t="shared" si="143"/>
        <v>0</v>
      </c>
      <c r="BE127" s="679">
        <f t="shared" si="144"/>
        <v>0</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c r="B128" s="488">
        <v>84</v>
      </c>
      <c r="C128" s="489" t="s">
        <v>400</v>
      </c>
      <c r="D128" s="490" t="s">
        <v>493</v>
      </c>
      <c r="E128" s="491" t="s">
        <v>612</v>
      </c>
      <c r="F128" s="492"/>
      <c r="G128" s="493"/>
      <c r="H128" s="146" t="s">
        <v>486</v>
      </c>
      <c r="I128" s="494" t="str">
        <f t="shared" si="92"/>
        <v>ons</v>
      </c>
      <c r="J128" s="495"/>
      <c r="K128" s="151">
        <v>0</v>
      </c>
      <c r="L128" s="256"/>
      <c r="M128" s="256">
        <f>IF($C$5&lt;3000,(Bron!H117*$C$5)+Bron!I117,(Bron!M117*$C$5)+Bron!N117)</f>
        <v>0</v>
      </c>
      <c r="N128" s="496">
        <f t="shared" si="90"/>
        <v>0</v>
      </c>
      <c r="O128" s="497" t="str">
        <f t="shared" si="91"/>
        <v/>
      </c>
      <c r="P128" s="257">
        <f>IF($C$5&lt;3000,$AN$32*Bron!J117,$AN$32*Bron!O117)</f>
        <v>0</v>
      </c>
      <c r="Q128" s="257">
        <f>IF($C$5&lt;3000,$AN$31*Bron!K117,$AN$31*Bron!P117)</f>
        <v>0</v>
      </c>
      <c r="R128" s="257">
        <f>IF($C$5&lt;3000,$AN$33*Bron!J117,$AN$33*Bron!O117)</f>
        <v>0</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c r="B129" s="488">
        <v>85</v>
      </c>
      <c r="C129" s="489" t="s">
        <v>400</v>
      </c>
      <c r="D129" s="490" t="s">
        <v>493</v>
      </c>
      <c r="E129" s="491" t="s">
        <v>600</v>
      </c>
      <c r="F129" s="492"/>
      <c r="G129" s="493"/>
      <c r="H129" s="146" t="s">
        <v>486</v>
      </c>
      <c r="I129" s="494" t="str">
        <f t="shared" si="92"/>
        <v>ons</v>
      </c>
      <c r="J129" s="495"/>
      <c r="K129" s="151">
        <v>0</v>
      </c>
      <c r="L129" s="256"/>
      <c r="M129" s="256">
        <f>IF($C$5&lt;3000,(Bron!H118*$C$5)+Bron!I118,(Bron!M118*$C$5)+Bron!N118)</f>
        <v>0</v>
      </c>
      <c r="N129" s="496">
        <f t="shared" si="90"/>
        <v>0</v>
      </c>
      <c r="O129" s="497" t="str">
        <f t="shared" si="91"/>
        <v/>
      </c>
      <c r="P129" s="257">
        <f>IF($C$5&lt;3000,$AN$32*Bron!J118,$AN$32*Bron!O118)</f>
        <v>0</v>
      </c>
      <c r="Q129" s="257"/>
      <c r="R129" s="257">
        <f>IF($C$5&lt;3000,$AN$33*Bron!J118,$AN$33*Bron!O118)</f>
        <v>0</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c r="B130" s="488">
        <v>86</v>
      </c>
      <c r="C130" s="489" t="s">
        <v>400</v>
      </c>
      <c r="D130" s="490" t="s">
        <v>493</v>
      </c>
      <c r="E130" s="491" t="s">
        <v>446</v>
      </c>
      <c r="F130" s="492"/>
      <c r="G130" s="493"/>
      <c r="H130" s="146" t="s">
        <v>486</v>
      </c>
      <c r="I130" s="494" t="str">
        <f t="shared" si="92"/>
        <v>ons</v>
      </c>
      <c r="J130" s="495" t="s">
        <v>487</v>
      </c>
      <c r="K130" s="151">
        <v>0</v>
      </c>
      <c r="L130" s="256">
        <f>IF($C$5&lt;3000,(Bron!H119*$C$5)+Bron!I119,(Bron!M119*$C$5)+Bron!N119)</f>
        <v>0</v>
      </c>
      <c r="M130" s="256"/>
      <c r="N130" s="496">
        <f t="shared" si="90"/>
        <v>0</v>
      </c>
      <c r="O130" s="497" t="str">
        <f t="shared" si="91"/>
        <v/>
      </c>
      <c r="P130" s="257">
        <f>IF($C$5&lt;3000,$AN$32*Bron!J119,$AN$32*Bron!O119)</f>
        <v>0</v>
      </c>
      <c r="Q130" s="257"/>
      <c r="R130" s="257">
        <f>IF($C$5&lt;3000,$AN$33*Bron!J119,$AN$33*Bron!O119)</f>
        <v>0</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486</v>
      </c>
      <c r="I131" s="494" t="str">
        <f t="shared" si="92"/>
        <v>ons</v>
      </c>
      <c r="J131" s="495" t="s">
        <v>487</v>
      </c>
      <c r="K131" s="151">
        <v>0</v>
      </c>
      <c r="L131" s="256">
        <f>IF($C$5&lt;3000,(Bron!H120*$C$5)+Bron!I120,(Bron!M120*$C$5)+Bron!N120)</f>
        <v>0</v>
      </c>
      <c r="M131" s="256"/>
      <c r="N131" s="496">
        <f t="shared" si="90"/>
        <v>0</v>
      </c>
      <c r="O131" s="497" t="str">
        <f t="shared" si="91"/>
        <v/>
      </c>
      <c r="P131" s="257">
        <f>IF($C$5&lt;3000,$AN$32*Bron!J120,$AN$32*Bron!O120)</f>
        <v>0</v>
      </c>
      <c r="Q131" s="257"/>
      <c r="R131" s="257">
        <f>IF($C$5&lt;3000,$AN$33*Bron!J120,$AN$33*Bron!O120)</f>
        <v>0</v>
      </c>
      <c r="S131" s="344"/>
      <c r="T131" s="258">
        <f t="shared" si="93"/>
        <v>0</v>
      </c>
      <c r="U131" s="259">
        <f t="shared" si="94"/>
        <v>0</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c r="AU131" s="676">
        <f t="shared" si="103"/>
        <v>0</v>
      </c>
      <c r="AV131" s="677">
        <f t="shared" si="104"/>
        <v>0</v>
      </c>
      <c r="AW131" s="677">
        <f t="shared" si="139"/>
        <v>0</v>
      </c>
      <c r="AX131" s="678">
        <f t="shared" si="140"/>
        <v>0</v>
      </c>
      <c r="AY131" s="679">
        <f t="shared" si="141"/>
        <v>0</v>
      </c>
      <c r="AZ131" s="675"/>
      <c r="BA131" s="676">
        <f t="shared" si="105"/>
        <v>0</v>
      </c>
      <c r="BB131" s="677">
        <f t="shared" si="106"/>
        <v>0</v>
      </c>
      <c r="BC131" s="677">
        <f t="shared" si="142"/>
        <v>0</v>
      </c>
      <c r="BD131" s="678">
        <f t="shared" si="143"/>
        <v>0</v>
      </c>
      <c r="BE131" s="679">
        <f t="shared" si="144"/>
        <v>0</v>
      </c>
      <c r="BF131" s="675"/>
      <c r="BG131" s="676">
        <f t="shared" si="107"/>
        <v>0</v>
      </c>
      <c r="BH131" s="677">
        <f t="shared" si="108"/>
        <v>0</v>
      </c>
      <c r="BI131" s="677">
        <f t="shared" si="145"/>
        <v>0</v>
      </c>
      <c r="BJ131" s="678">
        <f t="shared" si="146"/>
        <v>0</v>
      </c>
      <c r="BK131" s="679">
        <f t="shared" si="147"/>
        <v>0</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c r="B132" s="488">
        <v>88</v>
      </c>
      <c r="C132" s="489" t="s">
        <v>224</v>
      </c>
      <c r="D132" s="490" t="s">
        <v>2</v>
      </c>
      <c r="E132" s="491" t="s">
        <v>492</v>
      </c>
      <c r="F132" s="492"/>
      <c r="G132" s="493"/>
      <c r="H132" s="146" t="s">
        <v>486</v>
      </c>
      <c r="I132" s="494" t="str">
        <f t="shared" si="92"/>
        <v>ons</v>
      </c>
      <c r="J132" s="495" t="s">
        <v>487</v>
      </c>
      <c r="K132" s="151">
        <v>0</v>
      </c>
      <c r="L132" s="256">
        <f>IF($C$5&lt;3000,(Bron!H121*$C$5)+Bron!I121,(Bron!M121*$C$5)+Bron!N121)</f>
        <v>7500</v>
      </c>
      <c r="M132" s="256"/>
      <c r="N132" s="496">
        <f t="shared" si="90"/>
        <v>0</v>
      </c>
      <c r="O132" s="497" t="str">
        <f t="shared" si="91"/>
        <v/>
      </c>
      <c r="P132" s="257">
        <f>IF($C$5&lt;3000,$AN$32*Bron!J121,$AN$32*Bron!O121)</f>
        <v>0</v>
      </c>
      <c r="Q132" s="257">
        <f>(-P132*(35.17/3.6*0.95)/3.5)</f>
        <v>0</v>
      </c>
      <c r="R132" s="257">
        <f>IF($C$5&lt;3000,$AN$33*Bron!J121,$AN$33*Bron!O121)</f>
        <v>0</v>
      </c>
      <c r="S132" s="344"/>
      <c r="T132" s="258">
        <f t="shared" si="93"/>
        <v>0</v>
      </c>
      <c r="U132" s="259">
        <f t="shared" si="94"/>
        <v>0</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c r="AU132" s="676">
        <f t="shared" si="103"/>
        <v>0</v>
      </c>
      <c r="AV132" s="677">
        <f t="shared" si="104"/>
        <v>0</v>
      </c>
      <c r="AW132" s="677">
        <f t="shared" si="139"/>
        <v>0</v>
      </c>
      <c r="AX132" s="678">
        <f t="shared" si="140"/>
        <v>0</v>
      </c>
      <c r="AY132" s="679">
        <f t="shared" si="141"/>
        <v>0</v>
      </c>
      <c r="AZ132" s="675"/>
      <c r="BA132" s="676">
        <f t="shared" si="105"/>
        <v>0</v>
      </c>
      <c r="BB132" s="677">
        <f t="shared" si="106"/>
        <v>0</v>
      </c>
      <c r="BC132" s="677">
        <f t="shared" si="142"/>
        <v>0</v>
      </c>
      <c r="BD132" s="678">
        <f t="shared" si="143"/>
        <v>0</v>
      </c>
      <c r="BE132" s="679">
        <f t="shared" si="144"/>
        <v>0</v>
      </c>
      <c r="BF132" s="675"/>
      <c r="BG132" s="676">
        <f t="shared" si="107"/>
        <v>0</v>
      </c>
      <c r="BH132" s="677">
        <f t="shared" si="108"/>
        <v>0</v>
      </c>
      <c r="BI132" s="677">
        <f t="shared" si="145"/>
        <v>0</v>
      </c>
      <c r="BJ132" s="678">
        <f t="shared" si="146"/>
        <v>0</v>
      </c>
      <c r="BK132" s="679">
        <f t="shared" si="147"/>
        <v>0</v>
      </c>
      <c r="BL132" s="675"/>
      <c r="BM132" s="676">
        <f t="shared" si="109"/>
        <v>0</v>
      </c>
      <c r="BN132" s="677">
        <f t="shared" si="110"/>
        <v>0</v>
      </c>
      <c r="BO132" s="677">
        <f t="shared" si="148"/>
        <v>0</v>
      </c>
      <c r="BP132" s="678">
        <f t="shared" si="149"/>
        <v>0</v>
      </c>
      <c r="BQ132" s="679">
        <f t="shared" si="150"/>
        <v>0</v>
      </c>
      <c r="BR132" s="675"/>
      <c r="BS132" s="676">
        <f t="shared" si="111"/>
        <v>0</v>
      </c>
      <c r="BT132" s="677">
        <f t="shared" si="112"/>
        <v>0</v>
      </c>
      <c r="BU132" s="677">
        <f t="shared" si="151"/>
        <v>0</v>
      </c>
      <c r="BV132" s="678">
        <f t="shared" si="152"/>
        <v>0</v>
      </c>
      <c r="BW132" s="679">
        <f t="shared" si="153"/>
        <v>0</v>
      </c>
      <c r="BX132" s="675"/>
      <c r="BY132" s="676">
        <f t="shared" si="113"/>
        <v>0</v>
      </c>
      <c r="BZ132" s="677">
        <f t="shared" si="114"/>
        <v>0</v>
      </c>
      <c r="CA132" s="677">
        <f t="shared" si="154"/>
        <v>0</v>
      </c>
      <c r="CB132" s="678">
        <f t="shared" si="155"/>
        <v>0</v>
      </c>
      <c r="CC132" s="679">
        <f t="shared" si="156"/>
        <v>0</v>
      </c>
      <c r="CD132" s="675"/>
      <c r="CE132" s="676">
        <f t="shared" si="115"/>
        <v>0</v>
      </c>
      <c r="CF132" s="677">
        <f t="shared" si="116"/>
        <v>0</v>
      </c>
      <c r="CG132" s="677">
        <f t="shared" si="157"/>
        <v>0</v>
      </c>
      <c r="CH132" s="678">
        <f t="shared" si="158"/>
        <v>0</v>
      </c>
      <c r="CI132" s="679">
        <f t="shared" si="159"/>
        <v>0</v>
      </c>
      <c r="CJ132" s="675"/>
      <c r="CK132" s="676">
        <f t="shared" si="117"/>
        <v>0</v>
      </c>
      <c r="CL132" s="677">
        <f t="shared" si="118"/>
        <v>0</v>
      </c>
      <c r="CM132" s="677">
        <f t="shared" si="160"/>
        <v>0</v>
      </c>
      <c r="CN132" s="678">
        <f t="shared" si="161"/>
        <v>0</v>
      </c>
      <c r="CO132" s="679">
        <f t="shared" si="162"/>
        <v>0</v>
      </c>
      <c r="CP132" s="675"/>
      <c r="CQ132" s="676">
        <f t="shared" si="119"/>
        <v>0</v>
      </c>
      <c r="CR132" s="677">
        <f t="shared" si="120"/>
        <v>0</v>
      </c>
      <c r="CS132" s="677">
        <f t="shared" si="163"/>
        <v>0</v>
      </c>
      <c r="CT132" s="678">
        <f t="shared" si="164"/>
        <v>0</v>
      </c>
      <c r="CU132" s="679">
        <f t="shared" si="165"/>
        <v>0</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c r="DU132" s="676">
        <f t="shared" si="121"/>
        <v>0</v>
      </c>
      <c r="DV132" s="677">
        <f t="shared" si="122"/>
        <v>0</v>
      </c>
      <c r="DW132" s="677">
        <f t="shared" si="166"/>
        <v>0</v>
      </c>
      <c r="DX132" s="678">
        <f t="shared" si="167"/>
        <v>0</v>
      </c>
      <c r="DY132" s="679">
        <f t="shared" si="168"/>
        <v>0</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486</v>
      </c>
      <c r="I133" s="494" t="str">
        <f t="shared" si="92"/>
        <v>ons</v>
      </c>
      <c r="J133" s="495" t="s">
        <v>487</v>
      </c>
      <c r="K133" s="151">
        <v>0</v>
      </c>
      <c r="L133" s="256">
        <f>IF($C$5&lt;3000,(Bron!H122*$C$5)+Bron!I122,(Bron!M122*$C$5)+Bron!N122)</f>
        <v>0</v>
      </c>
      <c r="M133" s="256"/>
      <c r="N133" s="496">
        <f t="shared" si="90"/>
        <v>0</v>
      </c>
      <c r="O133" s="497" t="str">
        <f t="shared" si="91"/>
        <v/>
      </c>
      <c r="P133" s="257">
        <f>IF($C$5&lt;3000,$AN$32*Bron!J122,$AN$32*Bron!O122)</f>
        <v>0</v>
      </c>
      <c r="Q133" s="257"/>
      <c r="R133" s="257">
        <f>IF($C$5&lt;3000,$AN$33*Bron!J122,$AN$33*Bron!O122)</f>
        <v>0</v>
      </c>
      <c r="S133" s="344"/>
      <c r="T133" s="258">
        <f t="shared" si="93"/>
        <v>0</v>
      </c>
      <c r="U133" s="259">
        <f t="shared" si="94"/>
        <v>0</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c r="BA133" s="676">
        <f t="shared" si="105"/>
        <v>0</v>
      </c>
      <c r="BB133" s="677">
        <f t="shared" si="106"/>
        <v>0</v>
      </c>
      <c r="BC133" s="677">
        <f t="shared" si="142"/>
        <v>0</v>
      </c>
      <c r="BD133" s="678">
        <f t="shared" si="143"/>
        <v>0</v>
      </c>
      <c r="BE133" s="679">
        <f t="shared" si="144"/>
        <v>0</v>
      </c>
      <c r="BF133" s="675"/>
      <c r="BG133" s="676">
        <f t="shared" si="107"/>
        <v>0</v>
      </c>
      <c r="BH133" s="677">
        <f t="shared" si="108"/>
        <v>0</v>
      </c>
      <c r="BI133" s="677">
        <f t="shared" si="145"/>
        <v>0</v>
      </c>
      <c r="BJ133" s="678">
        <f t="shared" si="146"/>
        <v>0</v>
      </c>
      <c r="BK133" s="679">
        <f t="shared" si="147"/>
        <v>0</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486</v>
      </c>
      <c r="I134" s="494" t="str">
        <f t="shared" si="92"/>
        <v>ons</v>
      </c>
      <c r="J134" s="495" t="s">
        <v>487</v>
      </c>
      <c r="K134" s="151">
        <v>0</v>
      </c>
      <c r="L134" s="256">
        <f>IF($C$5&lt;3000,(Bron!H123*$C$5)+Bron!I123,(Bron!M123*$C$5)+Bron!N123)</f>
        <v>0</v>
      </c>
      <c r="M134" s="256"/>
      <c r="N134" s="496">
        <f t="shared" si="90"/>
        <v>0</v>
      </c>
      <c r="O134" s="497" t="str">
        <f t="shared" si="91"/>
        <v/>
      </c>
      <c r="P134" s="257">
        <f>IF($C$5&lt;3000,$AN$32*Bron!J123,$AN$32*Bron!O123)</f>
        <v>0</v>
      </c>
      <c r="Q134" s="257"/>
      <c r="R134" s="257">
        <f>IF($C$5&lt;3000,$AN$33*Bron!J123,$AN$33*Bron!O123)</f>
        <v>0</v>
      </c>
      <c r="S134" s="344"/>
      <c r="T134" s="258">
        <f t="shared" si="93"/>
        <v>0</v>
      </c>
      <c r="U134" s="259">
        <f t="shared" si="94"/>
        <v>0</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c r="AU134" s="676">
        <f t="shared" si="103"/>
        <v>0</v>
      </c>
      <c r="AV134" s="677">
        <f t="shared" si="104"/>
        <v>0</v>
      </c>
      <c r="AW134" s="677">
        <f t="shared" si="139"/>
        <v>0</v>
      </c>
      <c r="AX134" s="678">
        <f t="shared" si="140"/>
        <v>0</v>
      </c>
      <c r="AY134" s="679">
        <f t="shared" si="141"/>
        <v>0</v>
      </c>
      <c r="AZ134" s="675"/>
      <c r="BA134" s="676">
        <f t="shared" si="105"/>
        <v>0</v>
      </c>
      <c r="BB134" s="677">
        <f t="shared" si="106"/>
        <v>0</v>
      </c>
      <c r="BC134" s="677">
        <f t="shared" si="142"/>
        <v>0</v>
      </c>
      <c r="BD134" s="678">
        <f t="shared" si="143"/>
        <v>0</v>
      </c>
      <c r="BE134" s="679">
        <f t="shared" si="144"/>
        <v>0</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c r="B135" s="488">
        <v>91</v>
      </c>
      <c r="C135" s="489" t="s">
        <v>224</v>
      </c>
      <c r="D135" s="490" t="s">
        <v>228</v>
      </c>
      <c r="E135" s="491" t="s">
        <v>229</v>
      </c>
      <c r="F135" s="492"/>
      <c r="G135" s="493"/>
      <c r="H135" s="146" t="s">
        <v>486</v>
      </c>
      <c r="I135" s="494" t="str">
        <f t="shared" si="92"/>
        <v>ons</v>
      </c>
      <c r="J135" s="495" t="s">
        <v>487</v>
      </c>
      <c r="K135" s="151">
        <v>0</v>
      </c>
      <c r="L135" s="256">
        <f>IF($C$5&lt;3000,(Bron!H124*$C$5)+Bron!I124,(Bron!M124*$C$5)+Bron!N124)</f>
        <v>0</v>
      </c>
      <c r="M135" s="256"/>
      <c r="N135" s="496">
        <f t="shared" si="90"/>
        <v>0</v>
      </c>
      <c r="O135" s="497" t="str">
        <f t="shared" si="91"/>
        <v/>
      </c>
      <c r="P135" s="257">
        <f>IF($C$5&lt;3000,$AN$32*Bron!J124,$AN$32*Bron!O124)</f>
        <v>0</v>
      </c>
      <c r="Q135" s="257"/>
      <c r="R135" s="257">
        <f>IF($C$5&lt;3000,$AN$33*Bron!J124,$AN$33*Bron!O124)</f>
        <v>0</v>
      </c>
      <c r="S135" s="344"/>
      <c r="T135" s="258">
        <f t="shared" si="93"/>
        <v>0</v>
      </c>
      <c r="U135" s="259">
        <f t="shared" si="94"/>
        <v>0</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c r="AU135" s="676">
        <f t="shared" si="103"/>
        <v>0</v>
      </c>
      <c r="AV135" s="677">
        <f t="shared" si="104"/>
        <v>0</v>
      </c>
      <c r="AW135" s="677">
        <f t="shared" si="139"/>
        <v>0</v>
      </c>
      <c r="AX135" s="678">
        <f t="shared" si="140"/>
        <v>0</v>
      </c>
      <c r="AY135" s="679">
        <f t="shared" si="141"/>
        <v>0</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486</v>
      </c>
      <c r="I136" s="494" t="str">
        <f t="shared" si="92"/>
        <v>ons</v>
      </c>
      <c r="J136" s="495"/>
      <c r="K136" s="151">
        <v>0</v>
      </c>
      <c r="L136" s="256"/>
      <c r="M136" s="256">
        <f>IF($C$5&lt;3000,(Bron!H125*$C$5)+Bron!I125,(Bron!M125*$C$5)+Bron!N125)</f>
        <v>0</v>
      </c>
      <c r="N136" s="496">
        <f t="shared" si="90"/>
        <v>0</v>
      </c>
      <c r="O136" s="497" t="str">
        <f t="shared" si="91"/>
        <v/>
      </c>
      <c r="P136" s="257">
        <f>IF($C$5&lt;3000,$AN$32*Bron!J125,$AN$32*Bron!O125)</f>
        <v>0</v>
      </c>
      <c r="Q136" s="257"/>
      <c r="R136" s="257">
        <f>IF($C$5&lt;3000,$AN$33*Bron!J125,$AN$33*Bron!O125)</f>
        <v>0</v>
      </c>
      <c r="S136" s="344"/>
      <c r="T136" s="258">
        <f t="shared" si="93"/>
        <v>0</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486</v>
      </c>
      <c r="I137" s="494" t="str">
        <f t="shared" si="92"/>
        <v>ons</v>
      </c>
      <c r="J137" s="495"/>
      <c r="K137" s="151">
        <v>0</v>
      </c>
      <c r="L137" s="256"/>
      <c r="M137" s="256">
        <f>IF($C$5&lt;3000,(Bron!H126*$C$5)+Bron!I126,(Bron!M126*$C$5)+Bron!N126)</f>
        <v>0</v>
      </c>
      <c r="N137" s="496">
        <f t="shared" si="90"/>
        <v>0</v>
      </c>
      <c r="O137" s="497" t="str">
        <f t="shared" si="91"/>
        <v/>
      </c>
      <c r="P137" s="257">
        <f>IF($C$5&lt;3000,$AN$32*Bron!J126,$AN$32*Bron!O126)</f>
        <v>0</v>
      </c>
      <c r="Q137" s="257">
        <f>IF($C$5&lt;3000,$AN$31*Bron!K126,$AN$31*Bron!P126)</f>
        <v>0</v>
      </c>
      <c r="R137" s="257">
        <f>IF($C$5&lt;3000,$AN$33*Bron!J126,$AN$33*Bron!O126)</f>
        <v>0</v>
      </c>
      <c r="S137" s="344"/>
      <c r="T137" s="258">
        <f t="shared" si="93"/>
        <v>0</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c r="AU137" s="676">
        <f t="shared" si="103"/>
        <v>0</v>
      </c>
      <c r="AV137" s="677">
        <f t="shared" si="104"/>
        <v>0</v>
      </c>
      <c r="AW137" s="677">
        <f t="shared" si="139"/>
        <v>0</v>
      </c>
      <c r="AX137" s="678">
        <f t="shared" si="140"/>
        <v>0</v>
      </c>
      <c r="AY137" s="679">
        <f t="shared" si="141"/>
        <v>0</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c r="B138" s="488">
        <v>94</v>
      </c>
      <c r="C138" s="489" t="s">
        <v>224</v>
      </c>
      <c r="D138" s="490" t="s">
        <v>21</v>
      </c>
      <c r="E138" s="491" t="s">
        <v>424</v>
      </c>
      <c r="F138" s="492"/>
      <c r="G138" s="493"/>
      <c r="H138" s="146" t="s">
        <v>486</v>
      </c>
      <c r="I138" s="494" t="str">
        <f t="shared" si="92"/>
        <v>ons</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c r="B139" s="488">
        <v>95</v>
      </c>
      <c r="C139" s="489" t="s">
        <v>224</v>
      </c>
      <c r="D139" s="490" t="s">
        <v>493</v>
      </c>
      <c r="E139" s="491" t="s">
        <v>601</v>
      </c>
      <c r="F139" s="492"/>
      <c r="G139" s="493"/>
      <c r="H139" s="146" t="s">
        <v>486</v>
      </c>
      <c r="I139" s="494" t="str">
        <f t="shared" si="92"/>
        <v>ons</v>
      </c>
      <c r="J139" s="495" t="s">
        <v>487</v>
      </c>
      <c r="K139" s="151">
        <v>0</v>
      </c>
      <c r="L139" s="256">
        <f>IF($C$5&lt;3000,(Bron!H128*$C$5)+Bron!I128,(Bron!M128*$C$5)+Bron!N128)</f>
        <v>0</v>
      </c>
      <c r="M139" s="256"/>
      <c r="N139" s="496">
        <f t="shared" si="90"/>
        <v>0</v>
      </c>
      <c r="O139" s="497" t="str">
        <f t="shared" si="91"/>
        <v/>
      </c>
      <c r="P139" s="257">
        <f>IF($C$5&lt;3000,$AN$32*Bron!J128,$AN$32*Bron!O128)</f>
        <v>0</v>
      </c>
      <c r="Q139" s="257"/>
      <c r="R139" s="257">
        <f>IF($C$5&lt;3000,$AN$33*Bron!J128,$AN$33*Bron!O128)</f>
        <v>0</v>
      </c>
      <c r="S139" s="344"/>
      <c r="T139" s="258">
        <f t="shared" si="93"/>
        <v>0</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486</v>
      </c>
      <c r="I140" s="494" t="str">
        <f t="shared" si="92"/>
        <v>ons</v>
      </c>
      <c r="J140" s="495" t="s">
        <v>487</v>
      </c>
      <c r="K140" s="151">
        <v>0</v>
      </c>
      <c r="L140" s="256">
        <f>IF($C$5&lt;3000,(Bron!H129*$C$5)+Bron!I129,(Bron!M129*$C$5)+Bron!N129)</f>
        <v>0</v>
      </c>
      <c r="M140" s="256"/>
      <c r="N140" s="496">
        <f t="shared" si="90"/>
        <v>0</v>
      </c>
      <c r="O140" s="497" t="str">
        <f t="shared" si="91"/>
        <v/>
      </c>
      <c r="P140" s="257">
        <f>IF($C$5&lt;3000,$AN$32*Bron!J129,$AN$32*Bron!O129)</f>
        <v>0</v>
      </c>
      <c r="Q140" s="257"/>
      <c r="R140" s="257">
        <f>IF($C$5&lt;3000,$AN$33*Bron!J129,$AN$33*Bron!O129)</f>
        <v>0</v>
      </c>
      <c r="S140" s="344"/>
      <c r="T140" s="258">
        <f t="shared" si="93"/>
        <v>0</v>
      </c>
      <c r="U140" s="259">
        <f t="shared" si="94"/>
        <v>0</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c r="BA140" s="676">
        <f t="shared" si="105"/>
        <v>0</v>
      </c>
      <c r="BB140" s="677">
        <f t="shared" si="106"/>
        <v>0</v>
      </c>
      <c r="BC140" s="677">
        <f t="shared" si="142"/>
        <v>0</v>
      </c>
      <c r="BD140" s="678">
        <f t="shared" si="143"/>
        <v>0</v>
      </c>
      <c r="BE140" s="679">
        <f t="shared" si="144"/>
        <v>0</v>
      </c>
      <c r="BF140" s="675"/>
      <c r="BG140" s="676">
        <f t="shared" si="107"/>
        <v>0</v>
      </c>
      <c r="BH140" s="677">
        <f t="shared" si="108"/>
        <v>0</v>
      </c>
      <c r="BI140" s="677">
        <f t="shared" si="145"/>
        <v>0</v>
      </c>
      <c r="BJ140" s="678">
        <f t="shared" si="146"/>
        <v>0</v>
      </c>
      <c r="BK140" s="679">
        <f t="shared" si="147"/>
        <v>0</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c r="B141" s="488">
        <v>97</v>
      </c>
      <c r="C141" s="489" t="s">
        <v>224</v>
      </c>
      <c r="D141" s="490" t="s">
        <v>493</v>
      </c>
      <c r="E141" s="491" t="s">
        <v>442</v>
      </c>
      <c r="F141" s="492"/>
      <c r="G141" s="493"/>
      <c r="H141" s="146" t="s">
        <v>486</v>
      </c>
      <c r="I141" s="494" t="str">
        <f t="shared" si="92"/>
        <v>ons</v>
      </c>
      <c r="J141" s="495" t="s">
        <v>487</v>
      </c>
      <c r="K141" s="151">
        <v>0</v>
      </c>
      <c r="L141" s="256">
        <f>IF($C$5&lt;3000,(Bron!H130*$C$5)+Bron!I130,(Bron!M130*$C$5)+Bron!N130)</f>
        <v>0</v>
      </c>
      <c r="M141" s="256"/>
      <c r="N141" s="496">
        <f t="shared" si="90"/>
        <v>0</v>
      </c>
      <c r="O141" s="497" t="str">
        <f t="shared" si="91"/>
        <v/>
      </c>
      <c r="P141" s="257">
        <f>IF($C$5&lt;3000,$AN$32*Bron!J130,$AN$32*Bron!O130)</f>
        <v>0</v>
      </c>
      <c r="Q141" s="257"/>
      <c r="R141" s="257">
        <f>IF($C$5&lt;3000,$AN$33*Bron!J130,$AN$33*Bron!O130)</f>
        <v>0</v>
      </c>
      <c r="S141" s="344"/>
      <c r="T141" s="258">
        <f t="shared" si="93"/>
        <v>0</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c r="B142" s="488">
        <v>98</v>
      </c>
      <c r="C142" s="489" t="s">
        <v>224</v>
      </c>
      <c r="D142" s="490" t="s">
        <v>493</v>
      </c>
      <c r="E142" s="491" t="s">
        <v>443</v>
      </c>
      <c r="F142" s="492"/>
      <c r="G142" s="493"/>
      <c r="H142" s="146" t="s">
        <v>486</v>
      </c>
      <c r="I142" s="494" t="str">
        <f t="shared" si="92"/>
        <v>ons</v>
      </c>
      <c r="J142" s="495"/>
      <c r="K142" s="151">
        <v>0</v>
      </c>
      <c r="L142" s="256"/>
      <c r="M142" s="256">
        <f>IF($C$5&lt;3000,(Bron!H131*$C$5)+Bron!I131,(Bron!M131*$C$5)+Bron!N131)</f>
        <v>325000</v>
      </c>
      <c r="N142" s="496">
        <f t="shared" si="90"/>
        <v>0</v>
      </c>
      <c r="O142" s="497" t="str">
        <f t="shared" si="91"/>
        <v/>
      </c>
      <c r="P142" s="257">
        <f>IF($C$5&lt;3000,$AN$32*Bron!J131,$AN$32*Bron!O131)</f>
        <v>0</v>
      </c>
      <c r="Q142" s="257">
        <f>(-P142*(35.17/3.6*0.95)/4)</f>
        <v>0</v>
      </c>
      <c r="R142" s="257">
        <f>IF($C$5&lt;3000,$AN$33*Bron!J131,$AN$33*Bron!O131)</f>
        <v>0</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c r="B143" s="488">
        <v>99</v>
      </c>
      <c r="C143" s="489" t="s">
        <v>234</v>
      </c>
      <c r="D143" s="490" t="s">
        <v>4</v>
      </c>
      <c r="E143" s="491" t="s">
        <v>235</v>
      </c>
      <c r="F143" s="492"/>
      <c r="G143" s="493"/>
      <c r="H143" s="146" t="s">
        <v>486</v>
      </c>
      <c r="I143" s="494" t="str">
        <f t="shared" si="92"/>
        <v>ons</v>
      </c>
      <c r="J143" s="495" t="s">
        <v>489</v>
      </c>
      <c r="K143" s="151">
        <v>0</v>
      </c>
      <c r="L143" s="256">
        <f>IF($C$5&lt;3000,(Bron!H132*$C$5)+Bron!I132,(Bron!M132*$C$5)+Bron!N132)</f>
        <v>0</v>
      </c>
      <c r="M143" s="256"/>
      <c r="N143" s="496">
        <f t="shared" si="90"/>
        <v>0</v>
      </c>
      <c r="O143" s="497" t="str">
        <f t="shared" si="91"/>
        <v/>
      </c>
      <c r="P143" s="257">
        <f>IF($C$5&lt;3000,$AN$32*Bron!J132,$AN$32*Bron!O132)</f>
        <v>0</v>
      </c>
      <c r="Q143" s="257">
        <f>IF($C$5&lt;3000,$AN$31*Bron!K132,$AN$31*Bron!P132)</f>
        <v>0</v>
      </c>
      <c r="R143" s="257">
        <f>IF($C$5&lt;3000,$AN$33*Bron!J132,$AN$33*Bron!O132)</f>
        <v>0</v>
      </c>
      <c r="S143" s="344"/>
      <c r="T143" s="258">
        <f t="shared" si="93"/>
        <v>0</v>
      </c>
      <c r="U143" s="259">
        <f t="shared" si="94"/>
        <v>0</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c r="BA143" s="676">
        <f t="shared" si="105"/>
        <v>0</v>
      </c>
      <c r="BB143" s="677">
        <f t="shared" si="106"/>
        <v>0</v>
      </c>
      <c r="BC143" s="677">
        <f t="shared" si="142"/>
        <v>0</v>
      </c>
      <c r="BD143" s="678">
        <f t="shared" si="143"/>
        <v>0</v>
      </c>
      <c r="BE143" s="679">
        <f t="shared" si="144"/>
        <v>0</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c r="B144" s="488">
        <v>100</v>
      </c>
      <c r="C144" s="489" t="s">
        <v>234</v>
      </c>
      <c r="D144" s="490" t="s">
        <v>236</v>
      </c>
      <c r="E144" s="491" t="s">
        <v>237</v>
      </c>
      <c r="F144" s="492"/>
      <c r="G144" s="493"/>
      <c r="H144" s="146" t="s">
        <v>486</v>
      </c>
      <c r="I144" s="494" t="str">
        <f t="shared" si="92"/>
        <v>ons</v>
      </c>
      <c r="J144" s="495" t="s">
        <v>487</v>
      </c>
      <c r="K144" s="151">
        <v>0</v>
      </c>
      <c r="L144" s="256">
        <f>IF($C$5&lt;3000,(Bron!H133*$C$5)+Bron!I133,(Bron!M133*$C$5)+Bron!N133)</f>
        <v>0</v>
      </c>
      <c r="M144" s="256"/>
      <c r="N144" s="496">
        <f t="shared" si="90"/>
        <v>0</v>
      </c>
      <c r="O144" s="497" t="str">
        <f t="shared" si="91"/>
        <v/>
      </c>
      <c r="P144" s="257">
        <f>IF($C$5&lt;3000,$AN$32*Bron!J133,$AN$32*Bron!O133)</f>
        <v>0</v>
      </c>
      <c r="Q144" s="257"/>
      <c r="R144" s="257">
        <f>IF($C$5&lt;3000,$AN$33*Bron!J133,$AN$33*Bron!O133)</f>
        <v>0</v>
      </c>
      <c r="S144" s="344"/>
      <c r="T144" s="258">
        <f t="shared" si="93"/>
        <v>0</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c r="B145" s="488">
        <v>101</v>
      </c>
      <c r="C145" s="489" t="s">
        <v>234</v>
      </c>
      <c r="D145" s="490" t="s">
        <v>22</v>
      </c>
      <c r="E145" s="491" t="s">
        <v>238</v>
      </c>
      <c r="F145" s="492"/>
      <c r="G145" s="493"/>
      <c r="H145" s="146" t="s">
        <v>486</v>
      </c>
      <c r="I145" s="494" t="str">
        <f t="shared" si="92"/>
        <v>ons</v>
      </c>
      <c r="J145" s="495" t="s">
        <v>487</v>
      </c>
      <c r="K145" s="151">
        <v>0</v>
      </c>
      <c r="L145" s="256">
        <f>IF($C$5&lt;3000,(Bron!H134*$C$5)+Bron!I134,(Bron!M134*$C$5)+Bron!N134)</f>
        <v>0</v>
      </c>
      <c r="M145" s="256"/>
      <c r="N145" s="496">
        <f t="shared" si="90"/>
        <v>0</v>
      </c>
      <c r="O145" s="497" t="str">
        <f t="shared" si="91"/>
        <v/>
      </c>
      <c r="P145" s="257">
        <f>IF($C$5&lt;3000,$AN$32*Bron!J134,$AN$32*Bron!O134)</f>
        <v>0</v>
      </c>
      <c r="Q145" s="257">
        <f>IF($C$5&lt;3000,$AN$31*Bron!K134,$AN$31*Bron!P134)</f>
        <v>0</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c r="B146" s="488">
        <v>102</v>
      </c>
      <c r="C146" s="489" t="s">
        <v>234</v>
      </c>
      <c r="D146" s="490" t="s">
        <v>239</v>
      </c>
      <c r="E146" s="491" t="s">
        <v>240</v>
      </c>
      <c r="F146" s="492"/>
      <c r="G146" s="493"/>
      <c r="H146" s="146" t="s">
        <v>486</v>
      </c>
      <c r="I146" s="494" t="str">
        <f t="shared" si="92"/>
        <v>ons</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c r="B147" s="488">
        <v>103</v>
      </c>
      <c r="C147" s="489" t="s">
        <v>234</v>
      </c>
      <c r="D147" s="490" t="s">
        <v>241</v>
      </c>
      <c r="E147" s="491" t="s">
        <v>242</v>
      </c>
      <c r="F147" s="492"/>
      <c r="G147" s="493"/>
      <c r="H147" s="146" t="s">
        <v>486</v>
      </c>
      <c r="I147" s="494" t="str">
        <f t="shared" si="92"/>
        <v>ons</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c r="B148" s="488">
        <v>104</v>
      </c>
      <c r="C148" s="489" t="s">
        <v>234</v>
      </c>
      <c r="D148" s="490" t="s">
        <v>243</v>
      </c>
      <c r="E148" s="491" t="s">
        <v>244</v>
      </c>
      <c r="F148" s="492"/>
      <c r="G148" s="493"/>
      <c r="H148" s="146" t="s">
        <v>486</v>
      </c>
      <c r="I148" s="494" t="str">
        <f t="shared" si="92"/>
        <v>ons</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c r="B149" s="488">
        <v>105</v>
      </c>
      <c r="C149" s="489" t="s">
        <v>234</v>
      </c>
      <c r="D149" s="490" t="s">
        <v>245</v>
      </c>
      <c r="E149" s="491" t="s">
        <v>246</v>
      </c>
      <c r="F149" s="492"/>
      <c r="G149" s="493"/>
      <c r="H149" s="146" t="s">
        <v>486</v>
      </c>
      <c r="I149" s="494" t="str">
        <f t="shared" si="92"/>
        <v>ons</v>
      </c>
      <c r="J149" s="495"/>
      <c r="K149" s="151">
        <v>0</v>
      </c>
      <c r="L149" s="256"/>
      <c r="M149" s="256">
        <f>IF($C$5&lt;3000,(Bron!H138*$C$5)+Bron!I138,(Bron!M138*$C$5)+Bron!N138)</f>
        <v>0</v>
      </c>
      <c r="N149" s="496">
        <f t="shared" si="90"/>
        <v>0</v>
      </c>
      <c r="O149" s="497" t="str">
        <f t="shared" si="91"/>
        <v/>
      </c>
      <c r="P149" s="257">
        <f>IF($C$5&lt;3000,$AN$32*Bron!J138,$AN$32*Bron!O138)</f>
        <v>0</v>
      </c>
      <c r="Q149" s="257">
        <f>IF($C$5&lt;3000,$AN$31*Bron!K138,$AN$31*Bron!P138)</f>
        <v>0</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c r="B150" s="488">
        <v>106</v>
      </c>
      <c r="C150" s="489" t="s">
        <v>234</v>
      </c>
      <c r="D150" s="490" t="s">
        <v>493</v>
      </c>
      <c r="E150" s="491" t="s">
        <v>579</v>
      </c>
      <c r="F150" s="492"/>
      <c r="G150" s="493"/>
      <c r="H150" s="146" t="s">
        <v>486</v>
      </c>
      <c r="I150" s="494" t="str">
        <f t="shared" si="92"/>
        <v>ons</v>
      </c>
      <c r="J150" s="495" t="s">
        <v>487</v>
      </c>
      <c r="K150" s="151">
        <v>0</v>
      </c>
      <c r="L150" s="256">
        <f>IF($C$5&lt;3000,(Bron!H139*$C$5)+Bron!I139,(Bron!M139*$C$5)+Bron!N139)</f>
        <v>0</v>
      </c>
      <c r="M150" s="256"/>
      <c r="N150" s="496">
        <f t="shared" si="90"/>
        <v>0</v>
      </c>
      <c r="O150" s="497" t="str">
        <f t="shared" si="91"/>
        <v/>
      </c>
      <c r="P150" s="257">
        <f>IF($C$5&lt;3000,$AN$32*Bron!J139,$AN$32*Bron!O139)</f>
        <v>0</v>
      </c>
      <c r="Q150" s="257">
        <f>IF($C$5&lt;3000,$AN$31*Bron!K139,$AN$31*Bron!P139)</f>
        <v>0</v>
      </c>
      <c r="R150" s="257">
        <f>IF($C$5&lt;3000,$AN$33*Bron!J139,$AN$33*Bron!O139)</f>
        <v>0</v>
      </c>
      <c r="S150" s="344"/>
      <c r="T150" s="258">
        <f t="shared" si="93"/>
        <v>0</v>
      </c>
      <c r="U150" s="259">
        <f t="shared" si="94"/>
        <v>0</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c r="BA150" s="676">
        <f t="shared" si="105"/>
        <v>0</v>
      </c>
      <c r="BB150" s="677">
        <f t="shared" si="106"/>
        <v>0</v>
      </c>
      <c r="BC150" s="677">
        <f t="shared" si="142"/>
        <v>0</v>
      </c>
      <c r="BD150" s="678">
        <f t="shared" si="143"/>
        <v>0</v>
      </c>
      <c r="BE150" s="679">
        <f t="shared" si="144"/>
        <v>0</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c r="B151" s="488">
        <v>107</v>
      </c>
      <c r="C151" s="489" t="s">
        <v>234</v>
      </c>
      <c r="D151" s="490" t="s">
        <v>493</v>
      </c>
      <c r="E151" s="491" t="s">
        <v>584</v>
      </c>
      <c r="F151" s="492"/>
      <c r="G151" s="493"/>
      <c r="H151" s="146" t="s">
        <v>486</v>
      </c>
      <c r="I151" s="494" t="str">
        <f t="shared" si="92"/>
        <v>ons</v>
      </c>
      <c r="J151" s="495" t="s">
        <v>487</v>
      </c>
      <c r="K151" s="151">
        <v>0</v>
      </c>
      <c r="L151" s="256">
        <f>IF($C$5&lt;3000,(Bron!H140*$C$5)+Bron!I140,(Bron!M140*$C$5)+Bron!N140)</f>
        <v>0</v>
      </c>
      <c r="M151" s="256"/>
      <c r="N151" s="496">
        <f t="shared" si="90"/>
        <v>0</v>
      </c>
      <c r="O151" s="497" t="str">
        <f t="shared" si="91"/>
        <v/>
      </c>
      <c r="P151" s="257">
        <f>IF($C$5&lt;3000,$AN$32*Bron!J140,$AN$32*Bron!O140)</f>
        <v>0</v>
      </c>
      <c r="Q151" s="257">
        <f>IF($C$5&lt;3000,$AN$31*Bron!K140,$AN$31*Bron!P140)</f>
        <v>0</v>
      </c>
      <c r="R151" s="257">
        <f>IF($C$5&lt;3000,$AN$33*Bron!J140,$AN$33*Bron!O140)</f>
        <v>0</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c r="B152" s="488">
        <v>108</v>
      </c>
      <c r="C152" s="489" t="s">
        <v>234</v>
      </c>
      <c r="D152" s="490" t="s">
        <v>493</v>
      </c>
      <c r="E152" s="491" t="s">
        <v>605</v>
      </c>
      <c r="F152" s="492"/>
      <c r="G152" s="493"/>
      <c r="H152" s="146" t="s">
        <v>486</v>
      </c>
      <c r="I152" s="494" t="str">
        <f t="shared" si="92"/>
        <v>ons</v>
      </c>
      <c r="J152" s="495"/>
      <c r="K152" s="151">
        <v>0</v>
      </c>
      <c r="L152" s="256"/>
      <c r="M152" s="256">
        <f>IF($C$5&lt;3000,(Bron!H141*$C$5)+Bron!I141,(Bron!M141*$C$5)+Bron!N141)</f>
        <v>0</v>
      </c>
      <c r="N152" s="496">
        <f t="shared" si="90"/>
        <v>0</v>
      </c>
      <c r="O152" s="497" t="str">
        <f t="shared" si="91"/>
        <v/>
      </c>
      <c r="P152" s="257">
        <f>IF($C$5&lt;3000,$AN$32*Bron!J141,$AN$32*Bron!O141)</f>
        <v>0</v>
      </c>
      <c r="Q152" s="257">
        <f>IF($C$5&lt;3000,$AN$31*Bron!K141,$AN$31*Bron!P141)</f>
        <v>0</v>
      </c>
      <c r="R152" s="257">
        <f>IF($C$5&lt;3000,$AN$33*Bron!J141,$AN$33*Bron!O141)</f>
        <v>0</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c r="B153" s="488">
        <v>109</v>
      </c>
      <c r="C153" s="489" t="s">
        <v>234</v>
      </c>
      <c r="D153" s="490" t="s">
        <v>493</v>
      </c>
      <c r="E153" s="491" t="s">
        <v>608</v>
      </c>
      <c r="F153" s="492"/>
      <c r="G153" s="493"/>
      <c r="H153" s="146" t="s">
        <v>486</v>
      </c>
      <c r="I153" s="494" t="str">
        <f t="shared" si="92"/>
        <v>ons</v>
      </c>
      <c r="J153" s="495"/>
      <c r="K153" s="151">
        <v>0</v>
      </c>
      <c r="L153" s="256"/>
      <c r="M153" s="256">
        <f>IF($C$5&lt;3000,(Bron!H142*$C$5)+Bron!I142,(Bron!M142*$C$5)+Bron!N142)</f>
        <v>0</v>
      </c>
      <c r="N153" s="496">
        <f t="shared" si="90"/>
        <v>0</v>
      </c>
      <c r="O153" s="497" t="str">
        <f t="shared" si="91"/>
        <v/>
      </c>
      <c r="P153" s="257">
        <f>IF($C$5&lt;3000,$AN$32*Bron!J142,$AN$32*Bron!O142)</f>
        <v>0</v>
      </c>
      <c r="Q153" s="257">
        <f>IF($C$5&lt;3000,$AN$31*Bron!K142,$AN$31*Bron!P142)</f>
        <v>0</v>
      </c>
      <c r="R153" s="257">
        <f>IF($C$5&lt;3000,$AN$33*Bron!J142,$AN$33*Bron!O142)</f>
        <v>0</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486</v>
      </c>
      <c r="I154" s="494" t="str">
        <f t="shared" si="92"/>
        <v>ons</v>
      </c>
      <c r="J154" s="495" t="s">
        <v>487</v>
      </c>
      <c r="K154" s="151">
        <v>0</v>
      </c>
      <c r="L154" s="256">
        <f>IF($C$5&lt;3000,(Bron!H143*$C$5)+Bron!I143,(Bron!M143*$C$5)+Bron!N143)</f>
        <v>0</v>
      </c>
      <c r="M154" s="256"/>
      <c r="N154" s="496">
        <f t="shared" si="90"/>
        <v>0</v>
      </c>
      <c r="O154" s="497" t="str">
        <f t="shared" si="91"/>
        <v/>
      </c>
      <c r="P154" s="257">
        <f>IF($C$5&lt;3000,$AN$32*Bron!J143,$AN$32*Bron!O143)</f>
        <v>0</v>
      </c>
      <c r="Q154" s="257"/>
      <c r="R154" s="257">
        <f>IF($C$5&lt;3000,$AN$33*Bron!J143,$AN$33*Bron!O143)</f>
        <v>0</v>
      </c>
      <c r="S154" s="344"/>
      <c r="T154" s="258">
        <f t="shared" si="93"/>
        <v>0</v>
      </c>
      <c r="U154" s="259">
        <f t="shared" si="94"/>
        <v>0</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c r="AU154" s="676">
        <f t="shared" si="103"/>
        <v>0</v>
      </c>
      <c r="AV154" s="677">
        <f t="shared" si="104"/>
        <v>0</v>
      </c>
      <c r="AW154" s="677">
        <f t="shared" si="139"/>
        <v>0</v>
      </c>
      <c r="AX154" s="678">
        <f t="shared" si="140"/>
        <v>0</v>
      </c>
      <c r="AY154" s="679">
        <f t="shared" si="141"/>
        <v>0</v>
      </c>
      <c r="AZ154" s="675"/>
      <c r="BA154" s="676">
        <f t="shared" si="105"/>
        <v>0</v>
      </c>
      <c r="BB154" s="677">
        <f t="shared" si="106"/>
        <v>0</v>
      </c>
      <c r="BC154" s="677">
        <f t="shared" si="142"/>
        <v>0</v>
      </c>
      <c r="BD154" s="678">
        <f t="shared" si="143"/>
        <v>0</v>
      </c>
      <c r="BE154" s="679">
        <f t="shared" si="144"/>
        <v>0</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0</v>
      </c>
      <c r="L155" s="256">
        <f>IF($C$5&lt;3000,(Bron!H144*$C$5)+Bron!I144,(Bron!M144*$C$5)+Bron!N144)</f>
        <v>0</v>
      </c>
      <c r="M155" s="256"/>
      <c r="N155" s="496">
        <f t="shared" ref="N155:N181" si="175">($C$19*P155)+($C$18*Q155)+($C$20*R155)</f>
        <v>0</v>
      </c>
      <c r="O155" s="497" t="str">
        <f t="shared" ref="O155:O181" si="176">IF(N155=0,"",(L155+M155)/N155)</f>
        <v/>
      </c>
      <c r="P155" s="257">
        <f>IF($C$5&lt;3000,$AN$32*Bron!J144,$AN$32*Bron!O144)</f>
        <v>0</v>
      </c>
      <c r="Q155" s="257">
        <f>IF($C$5&lt;3000,$AN$31*Bron!K144,$AN$31*Bron!P144)</f>
        <v>0</v>
      </c>
      <c r="R155" s="257">
        <f>IF($C$5&lt;3000,$AN$33*Bron!J144,$AN$33*Bron!O144)</f>
        <v>0</v>
      </c>
      <c r="S155" s="344"/>
      <c r="T155" s="258">
        <f t="shared" si="93"/>
        <v>0</v>
      </c>
      <c r="U155" s="259">
        <f t="shared" si="94"/>
        <v>0</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c r="AU155" s="676">
        <f t="shared" si="103"/>
        <v>0</v>
      </c>
      <c r="AV155" s="677">
        <f t="shared" si="104"/>
        <v>0</v>
      </c>
      <c r="AW155" s="677">
        <f t="shared" si="139"/>
        <v>0</v>
      </c>
      <c r="AX155" s="678">
        <f t="shared" si="140"/>
        <v>0</v>
      </c>
      <c r="AY155" s="679">
        <f t="shared" si="141"/>
        <v>0</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c r="B156" s="488">
        <v>112</v>
      </c>
      <c r="C156" s="489" t="s">
        <v>248</v>
      </c>
      <c r="D156" s="490" t="s">
        <v>252</v>
      </c>
      <c r="E156" s="491" t="s">
        <v>253</v>
      </c>
      <c r="F156" s="492"/>
      <c r="G156" s="493"/>
      <c r="H156" s="146" t="s">
        <v>486</v>
      </c>
      <c r="I156" s="494" t="str">
        <f t="shared" si="92"/>
        <v>ons</v>
      </c>
      <c r="J156" s="495"/>
      <c r="K156" s="151">
        <v>0</v>
      </c>
      <c r="L156" s="256"/>
      <c r="M156" s="256">
        <f>IF($C$5&lt;3000,(Bron!H145*$C$5)+Bron!I145,(Bron!M145*$C$5)+Bron!N145)</f>
        <v>0</v>
      </c>
      <c r="N156" s="496">
        <f t="shared" si="175"/>
        <v>0</v>
      </c>
      <c r="O156" s="497" t="str">
        <f t="shared" si="176"/>
        <v/>
      </c>
      <c r="P156" s="257">
        <f>IF($C$5&lt;3000,$AN$32*Bron!J145,$AN$32*Bron!O145)</f>
        <v>0</v>
      </c>
      <c r="Q156" s="257"/>
      <c r="R156" s="257">
        <f>IF($C$5&lt;3000,$AN$33*Bron!J145,$AN$33*Bron!O145)</f>
        <v>0</v>
      </c>
      <c r="S156" s="344"/>
      <c r="T156" s="258">
        <f t="shared" si="93"/>
        <v>0</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c r="B157" s="488">
        <v>113</v>
      </c>
      <c r="C157" s="489" t="s">
        <v>248</v>
      </c>
      <c r="D157" s="490" t="s">
        <v>493</v>
      </c>
      <c r="E157" s="491" t="s">
        <v>447</v>
      </c>
      <c r="F157" s="492"/>
      <c r="G157" s="493"/>
      <c r="H157" s="146" t="s">
        <v>486</v>
      </c>
      <c r="I157" s="494" t="str">
        <f t="shared" si="92"/>
        <v>ons</v>
      </c>
      <c r="J157" s="495"/>
      <c r="K157" s="151">
        <v>0</v>
      </c>
      <c r="L157" s="256"/>
      <c r="M157" s="256">
        <f>IF($C$5&lt;3000,(Bron!H146*$C$5)+Bron!I146,(Bron!M146*$C$5)+Bron!N146)</f>
        <v>0</v>
      </c>
      <c r="N157" s="496">
        <f t="shared" si="175"/>
        <v>0</v>
      </c>
      <c r="O157" s="497" t="str">
        <f t="shared" si="176"/>
        <v/>
      </c>
      <c r="P157" s="257">
        <f>IF($C$5&lt;3000,$AN$32*Bron!J146,$AN$32*Bron!O146)</f>
        <v>0</v>
      </c>
      <c r="Q157" s="257"/>
      <c r="R157" s="257">
        <f>IF($C$5&lt;3000,$AN$33*Bron!J146,$AN$33*Bron!O146)</f>
        <v>0</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c r="B158" s="488">
        <v>114</v>
      </c>
      <c r="C158" s="489" t="s">
        <v>248</v>
      </c>
      <c r="D158" s="490" t="s">
        <v>493</v>
      </c>
      <c r="E158" s="491" t="s">
        <v>448</v>
      </c>
      <c r="F158" s="492"/>
      <c r="G158" s="493"/>
      <c r="H158" s="146" t="s">
        <v>486</v>
      </c>
      <c r="I158" s="494" t="str">
        <f t="shared" si="92"/>
        <v>ons</v>
      </c>
      <c r="J158" s="495"/>
      <c r="K158" s="151">
        <v>0</v>
      </c>
      <c r="L158" s="256"/>
      <c r="M158" s="256">
        <f>IF($C$5&lt;3000,(Bron!H147*$C$5)+Bron!I147,(Bron!M147*$C$5)+Bron!N147)</f>
        <v>0</v>
      </c>
      <c r="N158" s="496">
        <f t="shared" si="175"/>
        <v>0</v>
      </c>
      <c r="O158" s="497" t="str">
        <f t="shared" si="176"/>
        <v/>
      </c>
      <c r="P158" s="257">
        <f>IF($C$5&lt;3000,$AN$32*Bron!J147,$AN$32*Bron!O147)</f>
        <v>0</v>
      </c>
      <c r="Q158" s="257">
        <f>(-P158*9.768/3.5)</f>
        <v>0</v>
      </c>
      <c r="R158" s="257">
        <f>IF($C$5&lt;3000,$AN$33*Bron!J147,$AN$33*Bron!O147)</f>
        <v>0</v>
      </c>
      <c r="S158" s="344"/>
      <c r="T158" s="258">
        <f t="shared" si="93"/>
        <v>0</v>
      </c>
      <c r="U158" s="259">
        <f t="shared" si="94"/>
        <v>0</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c r="AU158" s="676">
        <f t="shared" si="103"/>
        <v>0</v>
      </c>
      <c r="AV158" s="677">
        <f t="shared" si="104"/>
        <v>0</v>
      </c>
      <c r="AW158" s="677">
        <f t="shared" si="139"/>
        <v>0</v>
      </c>
      <c r="AX158" s="678">
        <f t="shared" si="140"/>
        <v>0</v>
      </c>
      <c r="AY158" s="679">
        <f t="shared" si="141"/>
        <v>0</v>
      </c>
      <c r="AZ158" s="675"/>
      <c r="BA158" s="676">
        <f t="shared" si="105"/>
        <v>0</v>
      </c>
      <c r="BB158" s="677">
        <f t="shared" si="106"/>
        <v>0</v>
      </c>
      <c r="BC158" s="677">
        <f t="shared" si="142"/>
        <v>0</v>
      </c>
      <c r="BD158" s="678">
        <f t="shared" si="143"/>
        <v>0</v>
      </c>
      <c r="BE158" s="679">
        <f t="shared" si="144"/>
        <v>0</v>
      </c>
      <c r="BF158" s="675"/>
      <c r="BG158" s="676">
        <f t="shared" si="107"/>
        <v>0</v>
      </c>
      <c r="BH158" s="677">
        <f t="shared" si="108"/>
        <v>0</v>
      </c>
      <c r="BI158" s="677">
        <f t="shared" si="145"/>
        <v>0</v>
      </c>
      <c r="BJ158" s="678">
        <f t="shared" si="146"/>
        <v>0</v>
      </c>
      <c r="BK158" s="679">
        <f t="shared" si="147"/>
        <v>0</v>
      </c>
      <c r="BL158" s="675"/>
      <c r="BM158" s="676">
        <f t="shared" si="109"/>
        <v>0</v>
      </c>
      <c r="BN158" s="677">
        <f t="shared" si="110"/>
        <v>0</v>
      </c>
      <c r="BO158" s="677">
        <f t="shared" si="148"/>
        <v>0</v>
      </c>
      <c r="BP158" s="678">
        <f t="shared" si="149"/>
        <v>0</v>
      </c>
      <c r="BQ158" s="679">
        <f t="shared" si="150"/>
        <v>0</v>
      </c>
      <c r="BR158" s="675"/>
      <c r="BS158" s="676">
        <f t="shared" si="111"/>
        <v>0</v>
      </c>
      <c r="BT158" s="677">
        <f t="shared" si="112"/>
        <v>0</v>
      </c>
      <c r="BU158" s="677">
        <f t="shared" si="151"/>
        <v>0</v>
      </c>
      <c r="BV158" s="678">
        <f t="shared" si="152"/>
        <v>0</v>
      </c>
      <c r="BW158" s="679">
        <f t="shared" si="153"/>
        <v>0</v>
      </c>
      <c r="BX158" s="675"/>
      <c r="BY158" s="676">
        <f t="shared" si="113"/>
        <v>0</v>
      </c>
      <c r="BZ158" s="677">
        <f t="shared" si="114"/>
        <v>0</v>
      </c>
      <c r="CA158" s="677">
        <f t="shared" si="154"/>
        <v>0</v>
      </c>
      <c r="CB158" s="678">
        <f t="shared" si="155"/>
        <v>0</v>
      </c>
      <c r="CC158" s="679">
        <f t="shared" si="156"/>
        <v>0</v>
      </c>
      <c r="CD158" s="675"/>
      <c r="CE158" s="676">
        <f t="shared" si="115"/>
        <v>0</v>
      </c>
      <c r="CF158" s="677">
        <f t="shared" si="116"/>
        <v>0</v>
      </c>
      <c r="CG158" s="677">
        <f t="shared" si="157"/>
        <v>0</v>
      </c>
      <c r="CH158" s="678">
        <f t="shared" si="158"/>
        <v>0</v>
      </c>
      <c r="CI158" s="679">
        <f t="shared" si="159"/>
        <v>0</v>
      </c>
      <c r="CJ158" s="675"/>
      <c r="CK158" s="676">
        <f t="shared" si="117"/>
        <v>0</v>
      </c>
      <c r="CL158" s="677">
        <f t="shared" si="118"/>
        <v>0</v>
      </c>
      <c r="CM158" s="677">
        <f t="shared" si="160"/>
        <v>0</v>
      </c>
      <c r="CN158" s="678">
        <f t="shared" si="161"/>
        <v>0</v>
      </c>
      <c r="CO158" s="679">
        <f t="shared" si="162"/>
        <v>0</v>
      </c>
      <c r="CP158" s="675"/>
      <c r="CQ158" s="676">
        <f t="shared" si="119"/>
        <v>0</v>
      </c>
      <c r="CR158" s="677">
        <f t="shared" si="120"/>
        <v>0</v>
      </c>
      <c r="CS158" s="677">
        <f t="shared" si="163"/>
        <v>0</v>
      </c>
      <c r="CT158" s="678">
        <f t="shared" si="164"/>
        <v>0</v>
      </c>
      <c r="CU158" s="679">
        <f t="shared" si="165"/>
        <v>0</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c r="DU158" s="676">
        <f t="shared" si="121"/>
        <v>0</v>
      </c>
      <c r="DV158" s="677">
        <f t="shared" si="122"/>
        <v>0</v>
      </c>
      <c r="DW158" s="677">
        <f t="shared" si="166"/>
        <v>0</v>
      </c>
      <c r="DX158" s="678">
        <f t="shared" si="167"/>
        <v>0</v>
      </c>
      <c r="DY158" s="679">
        <f t="shared" si="168"/>
        <v>0</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c r="B159" s="488">
        <v>115</v>
      </c>
      <c r="C159" s="489" t="s">
        <v>248</v>
      </c>
      <c r="D159" s="490" t="s">
        <v>493</v>
      </c>
      <c r="E159" s="491" t="s">
        <v>449</v>
      </c>
      <c r="F159" s="492"/>
      <c r="G159" s="493"/>
      <c r="H159" s="146" t="s">
        <v>486</v>
      </c>
      <c r="I159" s="494" t="str">
        <f t="shared" si="92"/>
        <v>ons</v>
      </c>
      <c r="J159" s="495"/>
      <c r="K159" s="151">
        <v>0</v>
      </c>
      <c r="L159" s="256"/>
      <c r="M159" s="256">
        <f>IF($C$5&lt;3000,(Bron!H148*$C$5)+Bron!I148,(Bron!M148*$C$5)+Bron!N148)</f>
        <v>0</v>
      </c>
      <c r="N159" s="496">
        <f t="shared" si="175"/>
        <v>0</v>
      </c>
      <c r="O159" s="497" t="str">
        <f t="shared" si="176"/>
        <v/>
      </c>
      <c r="P159" s="257">
        <f>IF($C$5&lt;3000,$AN$32*Bron!J148,$AN$32*Bron!O148)</f>
        <v>0</v>
      </c>
      <c r="Q159" s="257"/>
      <c r="R159" s="257">
        <f>IF($C$5&lt;3000,$AN$33*Bron!J148,$AN$33*Bron!O148)</f>
        <v>0</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486</v>
      </c>
      <c r="I160" s="494" t="str">
        <f t="shared" si="92"/>
        <v>ons</v>
      </c>
      <c r="J160" s="495" t="s">
        <v>487</v>
      </c>
      <c r="K160" s="151">
        <v>0</v>
      </c>
      <c r="L160" s="256">
        <f>IF($C$5&lt;3000,(Bron!H149*$C$5)+Bron!I149,(Bron!M149*$C$5)+Bron!N149)</f>
        <v>17000</v>
      </c>
      <c r="M160" s="256"/>
      <c r="N160" s="496">
        <f t="shared" si="175"/>
        <v>0</v>
      </c>
      <c r="O160" s="497" t="str">
        <f t="shared" si="176"/>
        <v/>
      </c>
      <c r="P160" s="257">
        <f>IF($C$5&lt;3000,$AN$32*Bron!J149,$AN$32*Bron!O149)</f>
        <v>0</v>
      </c>
      <c r="Q160" s="257">
        <f>IF($C$5&lt;3000,$AN$31*Bron!K149,$AN$31*Bron!P149)</f>
        <v>0</v>
      </c>
      <c r="R160" s="257">
        <f>IF($C$5&lt;3000,$AN$33*Bron!J149,$AN$33*Bron!O149)</f>
        <v>0</v>
      </c>
      <c r="S160" s="344"/>
      <c r="T160" s="258">
        <f t="shared" si="93"/>
        <v>0</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486</v>
      </c>
      <c r="I161" s="494" t="str">
        <f t="shared" si="92"/>
        <v>ons</v>
      </c>
      <c r="J161" s="495" t="s">
        <v>487</v>
      </c>
      <c r="K161" s="151">
        <v>0</v>
      </c>
      <c r="L161" s="256">
        <f>IF($C$5&lt;3000,(Bron!H150*$C$5)+Bron!I150,(Bron!M150*$C$5)+Bron!N150)</f>
        <v>0</v>
      </c>
      <c r="M161" s="256"/>
      <c r="N161" s="496">
        <f t="shared" si="175"/>
        <v>0</v>
      </c>
      <c r="O161" s="497" t="str">
        <f t="shared" si="176"/>
        <v/>
      </c>
      <c r="P161" s="257">
        <f>IF($C$5&lt;3000,$AN$32*Bron!J150,$AN$32*Bron!O150)</f>
        <v>0</v>
      </c>
      <c r="Q161" s="257">
        <f>IF($C$5&lt;3000,$AN$31*Bron!K150,$AN$31*Bron!P150)</f>
        <v>0</v>
      </c>
      <c r="R161" s="257">
        <f>IF($C$5&lt;3000,$AN$33*Bron!J150,$AN$33*Bron!O150)</f>
        <v>0</v>
      </c>
      <c r="S161" s="344"/>
      <c r="T161" s="258">
        <f t="shared" si="93"/>
        <v>0</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v>
      </c>
      <c r="L162" s="256">
        <f>IF($C$5&lt;3000,(Bron!H151*$C$5)+Bron!I151,(Bron!M151*$C$5)+Bron!N151)</f>
        <v>0</v>
      </c>
      <c r="M162" s="256"/>
      <c r="N162" s="496">
        <f t="shared" si="175"/>
        <v>0</v>
      </c>
      <c r="O162" s="497" t="str">
        <f t="shared" si="176"/>
        <v/>
      </c>
      <c r="P162" s="257"/>
      <c r="Q162" s="257">
        <f>IF($C$5&lt;3000,$AN$31*Bron!K151,$AN$31*Bron!P151)</f>
        <v>0</v>
      </c>
      <c r="R162" s="257">
        <f>IF($C$5&lt;3000,$AN$33*Bron!J151,$AN$33*Bron!O151)</f>
        <v>0</v>
      </c>
      <c r="S162" s="344"/>
      <c r="T162" s="258">
        <f t="shared" si="93"/>
        <v>0</v>
      </c>
      <c r="U162" s="259">
        <f t="shared" si="94"/>
        <v>0</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c r="AU162" s="676">
        <f t="shared" si="103"/>
        <v>0</v>
      </c>
      <c r="AV162" s="677">
        <f t="shared" si="104"/>
        <v>0</v>
      </c>
      <c r="AW162" s="677">
        <f t="shared" si="139"/>
        <v>0</v>
      </c>
      <c r="AX162" s="678">
        <f t="shared" si="140"/>
        <v>0</v>
      </c>
      <c r="AY162" s="679">
        <f t="shared" si="141"/>
        <v>0</v>
      </c>
      <c r="AZ162" s="675"/>
      <c r="BA162" s="676">
        <f t="shared" si="105"/>
        <v>0</v>
      </c>
      <c r="BB162" s="677">
        <f t="shared" si="106"/>
        <v>0</v>
      </c>
      <c r="BC162" s="677">
        <f t="shared" si="142"/>
        <v>0</v>
      </c>
      <c r="BD162" s="678">
        <f t="shared" si="143"/>
        <v>0</v>
      </c>
      <c r="BE162" s="679">
        <f t="shared" si="144"/>
        <v>0</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c r="B163" s="488">
        <v>119</v>
      </c>
      <c r="C163" s="489" t="s">
        <v>255</v>
      </c>
      <c r="D163" s="490" t="s">
        <v>258</v>
      </c>
      <c r="E163" s="491" t="s">
        <v>259</v>
      </c>
      <c r="F163" s="492"/>
      <c r="G163" s="493"/>
      <c r="H163" s="146" t="s">
        <v>486</v>
      </c>
      <c r="I163" s="494" t="str">
        <f t="shared" si="92"/>
        <v>ons</v>
      </c>
      <c r="J163" s="495" t="s">
        <v>487</v>
      </c>
      <c r="K163" s="151">
        <v>0</v>
      </c>
      <c r="L163" s="256">
        <f>IF($C$5&lt;3000,(Bron!H152*$C$5)+Bron!I152,(Bron!M152*$C$5)+Bron!N152)</f>
        <v>0</v>
      </c>
      <c r="M163" s="256"/>
      <c r="N163" s="496">
        <f t="shared" si="175"/>
        <v>0</v>
      </c>
      <c r="O163" s="497" t="str">
        <f t="shared" si="176"/>
        <v/>
      </c>
      <c r="P163" s="257">
        <f>IF($C$5&lt;3000,$AN$32*Bron!J152,$AN$32*Bron!O152)</f>
        <v>0</v>
      </c>
      <c r="Q163" s="257">
        <f>IF($C$5&lt;3000,$AN$31*Bron!K152,$AN$31*Bron!P152)</f>
        <v>0</v>
      </c>
      <c r="R163" s="257">
        <f>IF($C$5&lt;3000,$AN$33*Bron!J152,$AN$33*Bron!O152)</f>
        <v>0</v>
      </c>
      <c r="S163" s="344"/>
      <c r="T163" s="258">
        <f t="shared" si="93"/>
        <v>0</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c r="B164" s="488">
        <v>120</v>
      </c>
      <c r="C164" s="489" t="s">
        <v>255</v>
      </c>
      <c r="D164" s="490" t="s">
        <v>260</v>
      </c>
      <c r="E164" s="491" t="s">
        <v>261</v>
      </c>
      <c r="F164" s="492"/>
      <c r="G164" s="493"/>
      <c r="H164" s="146" t="s">
        <v>486</v>
      </c>
      <c r="I164" s="494" t="str">
        <f t="shared" si="92"/>
        <v>ons</v>
      </c>
      <c r="J164" s="495" t="s">
        <v>487</v>
      </c>
      <c r="K164" s="151">
        <v>0</v>
      </c>
      <c r="L164" s="256">
        <f>IF($C$5&lt;3000,(Bron!H153*$C$5)+Bron!I153,(Bron!M153*$C$5)+Bron!N153)</f>
        <v>0</v>
      </c>
      <c r="M164" s="256"/>
      <c r="N164" s="496">
        <f t="shared" si="175"/>
        <v>0</v>
      </c>
      <c r="O164" s="497" t="str">
        <f t="shared" si="176"/>
        <v/>
      </c>
      <c r="P164" s="257"/>
      <c r="Q164" s="257">
        <f>IF($C$5&lt;3000,$AN$31*Bron!K153,$AN$31*Bron!P153)</f>
        <v>0</v>
      </c>
      <c r="R164" s="257">
        <f>IF($C$5&lt;3000,$AN$33*Bron!J153,$AN$33*Bron!O153)</f>
        <v>0</v>
      </c>
      <c r="S164" s="344"/>
      <c r="T164" s="258">
        <f t="shared" si="93"/>
        <v>0</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c r="B165" s="488">
        <v>121</v>
      </c>
      <c r="C165" s="489" t="s">
        <v>255</v>
      </c>
      <c r="D165" s="490" t="s">
        <v>262</v>
      </c>
      <c r="E165" s="491" t="s">
        <v>263</v>
      </c>
      <c r="F165" s="492"/>
      <c r="G165" s="493"/>
      <c r="H165" s="146" t="s">
        <v>486</v>
      </c>
      <c r="I165" s="494" t="str">
        <f t="shared" si="92"/>
        <v>ons</v>
      </c>
      <c r="J165" s="495" t="s">
        <v>487</v>
      </c>
      <c r="K165" s="151">
        <v>0</v>
      </c>
      <c r="L165" s="256">
        <f>IF($C$5&lt;3000,(Bron!H154*$C$5)+Bron!I154,(Bron!M154*$C$5)+Bron!N154)</f>
        <v>0</v>
      </c>
      <c r="M165" s="256"/>
      <c r="N165" s="496">
        <f t="shared" si="175"/>
        <v>0</v>
      </c>
      <c r="O165" s="497" t="str">
        <f t="shared" si="176"/>
        <v/>
      </c>
      <c r="P165" s="257">
        <f>IF($C$5&lt;3000,$AN$32*Bron!J154,$AN$32*Bron!O154)</f>
        <v>0</v>
      </c>
      <c r="Q165" s="257">
        <f>IF($C$5&lt;3000,$AN$31*Bron!K154,$AN$31*Bron!P154)</f>
        <v>0</v>
      </c>
      <c r="R165" s="257">
        <f>IF($C$5&lt;3000,$AN$33*Bron!J154,$AN$33*Bron!O154)</f>
        <v>0</v>
      </c>
      <c r="S165" s="344"/>
      <c r="T165" s="258">
        <f t="shared" si="93"/>
        <v>0</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c r="B166" s="488">
        <v>122</v>
      </c>
      <c r="C166" s="489" t="s">
        <v>255</v>
      </c>
      <c r="D166" s="490" t="s">
        <v>264</v>
      </c>
      <c r="E166" s="491" t="s">
        <v>265</v>
      </c>
      <c r="F166" s="492"/>
      <c r="G166" s="493"/>
      <c r="H166" s="146" t="s">
        <v>486</v>
      </c>
      <c r="I166" s="494" t="str">
        <f t="shared" si="92"/>
        <v>ons</v>
      </c>
      <c r="J166" s="495" t="s">
        <v>487</v>
      </c>
      <c r="K166" s="151">
        <v>0</v>
      </c>
      <c r="L166" s="256">
        <f>IF($C$5&lt;3000,(Bron!H155*$C$5)+Bron!I155,(Bron!M155*$C$5)+Bron!N155)</f>
        <v>0</v>
      </c>
      <c r="M166" s="256"/>
      <c r="N166" s="496">
        <f t="shared" si="175"/>
        <v>0</v>
      </c>
      <c r="O166" s="497" t="str">
        <f t="shared" si="176"/>
        <v/>
      </c>
      <c r="P166" s="257"/>
      <c r="Q166" s="257">
        <f>IF($C$5&lt;3000,$AN$31*Bron!K155,$AN$31*Bron!P155)</f>
        <v>0</v>
      </c>
      <c r="R166" s="257">
        <f>IF($C$5&lt;3000,$AN$33*Bron!J155,$AN$33*Bron!O155)</f>
        <v>0</v>
      </c>
      <c r="S166" s="344"/>
      <c r="T166" s="258">
        <f t="shared" si="93"/>
        <v>0</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c r="B167" s="488">
        <v>123</v>
      </c>
      <c r="C167" s="489" t="s">
        <v>255</v>
      </c>
      <c r="D167" s="490" t="s">
        <v>266</v>
      </c>
      <c r="E167" s="491" t="s">
        <v>267</v>
      </c>
      <c r="F167" s="492"/>
      <c r="G167" s="493"/>
      <c r="H167" s="146" t="s">
        <v>486</v>
      </c>
      <c r="I167" s="494" t="str">
        <f t="shared" si="92"/>
        <v>ons</v>
      </c>
      <c r="J167" s="495" t="s">
        <v>487</v>
      </c>
      <c r="K167" s="151">
        <v>0</v>
      </c>
      <c r="L167" s="256">
        <f>IF($C$5&lt;3000,(Bron!H156*$C$5)+Bron!I156,(Bron!M156*$C$5)+Bron!N156)</f>
        <v>0</v>
      </c>
      <c r="M167" s="256"/>
      <c r="N167" s="496">
        <f t="shared" si="175"/>
        <v>0</v>
      </c>
      <c r="O167" s="497" t="str">
        <f t="shared" si="176"/>
        <v/>
      </c>
      <c r="P167" s="257">
        <f>IF($C$5&lt;3000,$AN$32*Bron!J156,$AN$32*Bron!O156)</f>
        <v>0</v>
      </c>
      <c r="Q167" s="257">
        <f>IF($C$5&lt;3000,$AN$31*Bron!K156,$AN$31*Bron!P156)</f>
        <v>0</v>
      </c>
      <c r="R167" s="257">
        <f>IF($C$5&lt;3000,$AN$33*Bron!J156,$AN$33*Bron!O156)</f>
        <v>0</v>
      </c>
      <c r="S167" s="344"/>
      <c r="T167" s="258">
        <f t="shared" si="93"/>
        <v>0</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c r="B168" s="488">
        <v>124</v>
      </c>
      <c r="C168" s="489" t="s">
        <v>255</v>
      </c>
      <c r="D168" s="490" t="s">
        <v>268</v>
      </c>
      <c r="E168" s="491" t="s">
        <v>269</v>
      </c>
      <c r="F168" s="492"/>
      <c r="G168" s="493"/>
      <c r="H168" s="146" t="s">
        <v>486</v>
      </c>
      <c r="I168" s="494" t="str">
        <f t="shared" si="92"/>
        <v>ons</v>
      </c>
      <c r="J168" s="495" t="s">
        <v>487</v>
      </c>
      <c r="K168" s="151">
        <v>0</v>
      </c>
      <c r="L168" s="256">
        <f>IF($C$5&lt;3000,(Bron!H157*$C$5)+Bron!I157,(Bron!M157*$C$5)+Bron!N157)</f>
        <v>0</v>
      </c>
      <c r="M168" s="256"/>
      <c r="N168" s="496">
        <f t="shared" si="175"/>
        <v>0</v>
      </c>
      <c r="O168" s="497" t="str">
        <f t="shared" si="176"/>
        <v/>
      </c>
      <c r="P168" s="257">
        <f>IF($C$5&lt;3000,$AN$32*Bron!J157,$AN$32*Bron!O157)</f>
        <v>0</v>
      </c>
      <c r="Q168" s="257">
        <f>IF($C$5&lt;3000,$AN$31*Bron!K157,$AN$31*Bron!P157)</f>
        <v>0</v>
      </c>
      <c r="R168" s="257">
        <f>IF($C$5&lt;3000,$AN$33*Bron!J157,$AN$33*Bron!O157)</f>
        <v>0</v>
      </c>
      <c r="S168" s="344"/>
      <c r="T168" s="258">
        <f t="shared" si="93"/>
        <v>0</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c r="B169" s="488">
        <v>125</v>
      </c>
      <c r="C169" s="489" t="s">
        <v>255</v>
      </c>
      <c r="D169" s="490" t="s">
        <v>270</v>
      </c>
      <c r="E169" s="491" t="s">
        <v>271</v>
      </c>
      <c r="F169" s="492"/>
      <c r="G169" s="493"/>
      <c r="H169" s="146" t="s">
        <v>486</v>
      </c>
      <c r="I169" s="494" t="str">
        <f t="shared" si="92"/>
        <v>ons</v>
      </c>
      <c r="J169" s="495" t="s">
        <v>487</v>
      </c>
      <c r="K169" s="151">
        <v>0</v>
      </c>
      <c r="L169" s="256">
        <f>IF($C$5&lt;3000,(Bron!H158*$C$5)+Bron!I158,(Bron!M158*$C$5)+Bron!N158)</f>
        <v>625</v>
      </c>
      <c r="M169" s="256"/>
      <c r="N169" s="496">
        <f t="shared" si="175"/>
        <v>0</v>
      </c>
      <c r="O169" s="497" t="str">
        <f t="shared" si="176"/>
        <v/>
      </c>
      <c r="P169" s="257">
        <f>IF($C$5&lt;3000,$AN$32*Bron!J158,$AN$32*Bron!O158)</f>
        <v>0</v>
      </c>
      <c r="Q169" s="257">
        <f>IF($C$5&lt;3000,$AN$31*Bron!K158,$AN$31*Bron!P158)</f>
        <v>0</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c r="B170" s="488">
        <v>126</v>
      </c>
      <c r="C170" s="489" t="s">
        <v>255</v>
      </c>
      <c r="D170" s="490" t="s">
        <v>272</v>
      </c>
      <c r="E170" s="491" t="s">
        <v>273</v>
      </c>
      <c r="F170" s="492"/>
      <c r="G170" s="493"/>
      <c r="H170" s="146" t="s">
        <v>486</v>
      </c>
      <c r="I170" s="494" t="str">
        <f t="shared" si="92"/>
        <v>ons</v>
      </c>
      <c r="J170" s="495" t="s">
        <v>487</v>
      </c>
      <c r="K170" s="151">
        <v>0</v>
      </c>
      <c r="L170" s="256">
        <f>IF($C$5&lt;3000,(Bron!H159*$C$5)+Bron!I159,(Bron!M159*$C$5)+Bron!N159)</f>
        <v>650</v>
      </c>
      <c r="M170" s="256"/>
      <c r="N170" s="496">
        <f t="shared" si="175"/>
        <v>0</v>
      </c>
      <c r="O170" s="497" t="str">
        <f t="shared" si="176"/>
        <v/>
      </c>
      <c r="P170" s="257">
        <f>IF($C$5&lt;3000,$AN$32*Bron!J159,$AN$32*Bron!O159)</f>
        <v>0</v>
      </c>
      <c r="Q170" s="257">
        <f>IF($C$5&lt;3000,$AN$31*Bron!K159,$AN$31*Bron!P159)</f>
        <v>0</v>
      </c>
      <c r="R170" s="257">
        <f>IF($C$5&lt;3000,$AN$33*Bron!J159,$AN$33*Bron!O159)</f>
        <v>0</v>
      </c>
      <c r="S170" s="344"/>
      <c r="T170" s="258">
        <f t="shared" si="93"/>
        <v>0</v>
      </c>
      <c r="U170" s="259">
        <f t="shared" si="94"/>
        <v>0</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c r="AU170" s="676">
        <f t="shared" si="103"/>
        <v>0</v>
      </c>
      <c r="AV170" s="677">
        <f t="shared" si="104"/>
        <v>0</v>
      </c>
      <c r="AW170" s="677">
        <f t="shared" si="139"/>
        <v>0</v>
      </c>
      <c r="AX170" s="678">
        <f t="shared" si="140"/>
        <v>0</v>
      </c>
      <c r="AY170" s="679">
        <f t="shared" si="141"/>
        <v>0</v>
      </c>
      <c r="AZ170" s="675"/>
      <c r="BA170" s="676">
        <f t="shared" si="105"/>
        <v>0</v>
      </c>
      <c r="BB170" s="677">
        <f t="shared" si="106"/>
        <v>0</v>
      </c>
      <c r="BC170" s="677">
        <f t="shared" si="142"/>
        <v>0</v>
      </c>
      <c r="BD170" s="678">
        <f t="shared" si="143"/>
        <v>0</v>
      </c>
      <c r="BE170" s="679">
        <f t="shared" si="144"/>
        <v>0</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c r="B171" s="488">
        <v>127</v>
      </c>
      <c r="C171" s="489" t="s">
        <v>255</v>
      </c>
      <c r="D171" s="490" t="s">
        <v>274</v>
      </c>
      <c r="E171" s="491" t="s">
        <v>275</v>
      </c>
      <c r="F171" s="492"/>
      <c r="G171" s="493"/>
      <c r="H171" s="146" t="s">
        <v>486</v>
      </c>
      <c r="I171" s="494" t="str">
        <f t="shared" si="92"/>
        <v>ons</v>
      </c>
      <c r="J171" s="495" t="s">
        <v>487</v>
      </c>
      <c r="K171" s="151">
        <v>0</v>
      </c>
      <c r="L171" s="256">
        <f>IF($C$5&lt;3000,(Bron!H160*$C$5)+Bron!I160,(Bron!M160*$C$5)+Bron!N160)</f>
        <v>1000</v>
      </c>
      <c r="M171" s="256"/>
      <c r="N171" s="496">
        <f t="shared" si="175"/>
        <v>0</v>
      </c>
      <c r="O171" s="497" t="str">
        <f t="shared" si="176"/>
        <v/>
      </c>
      <c r="P171" s="257">
        <f>IF($C$5&lt;3000,$AN$32*Bron!J160,$AN$32*Bron!O160)</f>
        <v>0</v>
      </c>
      <c r="Q171" s="257">
        <f>IF($C$5&lt;3000,$AN$31*Bron!K160,$AN$31*Bron!P160)</f>
        <v>0</v>
      </c>
      <c r="R171" s="257">
        <f>IF($C$5&lt;3000,$AN$33*Bron!J160,$AN$33*Bron!O160)</f>
        <v>0</v>
      </c>
      <c r="S171" s="344"/>
      <c r="T171" s="258">
        <f t="shared" si="93"/>
        <v>0</v>
      </c>
      <c r="U171" s="259">
        <f t="shared" si="94"/>
        <v>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c r="AU171" s="676">
        <f t="shared" si="103"/>
        <v>0</v>
      </c>
      <c r="AV171" s="677">
        <f t="shared" si="104"/>
        <v>0</v>
      </c>
      <c r="AW171" s="677">
        <f t="shared" si="139"/>
        <v>0</v>
      </c>
      <c r="AX171" s="678">
        <f t="shared" si="140"/>
        <v>0</v>
      </c>
      <c r="AY171" s="679">
        <f t="shared" si="141"/>
        <v>0</v>
      </c>
      <c r="AZ171" s="675"/>
      <c r="BA171" s="676">
        <f t="shared" si="105"/>
        <v>0</v>
      </c>
      <c r="BB171" s="677">
        <f t="shared" si="106"/>
        <v>0</v>
      </c>
      <c r="BC171" s="677">
        <f t="shared" si="142"/>
        <v>0</v>
      </c>
      <c r="BD171" s="678">
        <f t="shared" si="143"/>
        <v>0</v>
      </c>
      <c r="BE171" s="679">
        <f t="shared" si="144"/>
        <v>0</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c r="B172" s="488">
        <v>128</v>
      </c>
      <c r="C172" s="489" t="s">
        <v>255</v>
      </c>
      <c r="D172" s="490" t="s">
        <v>276</v>
      </c>
      <c r="E172" s="491" t="s">
        <v>277</v>
      </c>
      <c r="F172" s="492"/>
      <c r="G172" s="493"/>
      <c r="H172" s="146" t="s">
        <v>486</v>
      </c>
      <c r="I172" s="494" t="str">
        <f t="shared" ref="I172:I215" si="177">IF(H172="X","n.v.t.",IF(H172="I","ons",IF(H172="V","verhuurder",IF(H172="H","huurder",""))))</f>
        <v>ons</v>
      </c>
      <c r="J172" s="495" t="s">
        <v>487</v>
      </c>
      <c r="K172" s="151">
        <v>0</v>
      </c>
      <c r="L172" s="256">
        <f>IF($C$5&lt;3000,(Bron!H161*$C$5)+Bron!I161,(Bron!M161*$C$5)+Bron!N161)</f>
        <v>1500</v>
      </c>
      <c r="M172" s="256"/>
      <c r="N172" s="496">
        <f t="shared" si="175"/>
        <v>0</v>
      </c>
      <c r="O172" s="497" t="str">
        <f t="shared" si="176"/>
        <v/>
      </c>
      <c r="P172" s="257">
        <f>IF($C$5&lt;3000,$AN$32*Bron!J161,$AN$32*Bron!O161)</f>
        <v>0</v>
      </c>
      <c r="Q172" s="257">
        <f>IF($C$5&lt;3000,$AN$31*Bron!K161,$AN$31*Bron!P161)</f>
        <v>0</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c r="B173" s="488">
        <v>129</v>
      </c>
      <c r="C173" s="489" t="s">
        <v>255</v>
      </c>
      <c r="D173" s="490" t="s">
        <v>278</v>
      </c>
      <c r="E173" s="491" t="s">
        <v>426</v>
      </c>
      <c r="F173" s="492"/>
      <c r="G173" s="493"/>
      <c r="H173" s="146" t="s">
        <v>486</v>
      </c>
      <c r="I173" s="494" t="str">
        <f t="shared" si="177"/>
        <v>ons</v>
      </c>
      <c r="J173" s="495"/>
      <c r="K173" s="151">
        <v>0</v>
      </c>
      <c r="L173" s="256"/>
      <c r="M173" s="256">
        <f>IF($C$5&lt;3000,(Bron!H162*$C$5)+Bron!I162,(Bron!M162*$C$5)+Bron!N162)</f>
        <v>0</v>
      </c>
      <c r="N173" s="496">
        <f t="shared" si="175"/>
        <v>0</v>
      </c>
      <c r="O173" s="497" t="str">
        <f t="shared" si="176"/>
        <v/>
      </c>
      <c r="P173" s="257">
        <f>IF($C$5&lt;3000,$AN$32*Bron!J162,$AN$32*Bron!O162)</f>
        <v>0</v>
      </c>
      <c r="Q173" s="257">
        <f>IF($C$5&lt;3000,$AN$31*Bron!K162,$AN$31*Bron!P162)</f>
        <v>0</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486</v>
      </c>
      <c r="I174" s="494" t="str">
        <f t="shared" si="177"/>
        <v>ons</v>
      </c>
      <c r="J174" s="495" t="s">
        <v>487</v>
      </c>
      <c r="K174" s="151">
        <v>0</v>
      </c>
      <c r="L174" s="256">
        <f>IF($C$5&lt;3000,(Bron!H163*$C$5)+Bron!I163,(Bron!M163*$C$5)+Bron!N163)</f>
        <v>0</v>
      </c>
      <c r="M174" s="256"/>
      <c r="N174" s="496">
        <f t="shared" si="175"/>
        <v>0</v>
      </c>
      <c r="O174" s="497" t="str">
        <f t="shared" si="176"/>
        <v/>
      </c>
      <c r="P174" s="257"/>
      <c r="Q174" s="257">
        <f>IF($C$5&lt;3000,$AN$31*Bron!K163,$AN$31*Bron!P163)</f>
        <v>0</v>
      </c>
      <c r="R174" s="257">
        <f>IF($C$5&lt;3000,$AN$33*Bron!J163,$AN$33*Bron!O163)</f>
        <v>0</v>
      </c>
      <c r="S174" s="344"/>
      <c r="T174" s="258">
        <f t="shared" si="178"/>
        <v>0</v>
      </c>
      <c r="U174" s="259">
        <f t="shared" si="179"/>
        <v>0</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c r="AU174" s="676">
        <f t="shared" si="188"/>
        <v>0</v>
      </c>
      <c r="AV174" s="677">
        <f t="shared" si="189"/>
        <v>0</v>
      </c>
      <c r="AW174" s="677">
        <f t="shared" si="224"/>
        <v>0</v>
      </c>
      <c r="AX174" s="678">
        <f t="shared" si="225"/>
        <v>0</v>
      </c>
      <c r="AY174" s="679">
        <f t="shared" si="226"/>
        <v>0</v>
      </c>
      <c r="AZ174" s="675"/>
      <c r="BA174" s="676">
        <f t="shared" si="190"/>
        <v>0</v>
      </c>
      <c r="BB174" s="677">
        <f t="shared" si="191"/>
        <v>0</v>
      </c>
      <c r="BC174" s="677">
        <f t="shared" si="227"/>
        <v>0</v>
      </c>
      <c r="BD174" s="678">
        <f t="shared" si="228"/>
        <v>0</v>
      </c>
      <c r="BE174" s="679">
        <f t="shared" si="229"/>
        <v>0</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486</v>
      </c>
      <c r="I175" s="494" t="str">
        <f t="shared" si="177"/>
        <v>ons</v>
      </c>
      <c r="J175" s="495"/>
      <c r="K175" s="151">
        <v>0</v>
      </c>
      <c r="L175" s="256"/>
      <c r="M175" s="256">
        <f>IF($C$5&lt;3000,(Bron!H164*$C$5)+Bron!I164,(Bron!M164*$C$5)+Bron!N164)</f>
        <v>0</v>
      </c>
      <c r="N175" s="496">
        <f t="shared" si="175"/>
        <v>0</v>
      </c>
      <c r="O175" s="497" t="str">
        <f t="shared" si="176"/>
        <v/>
      </c>
      <c r="P175" s="257"/>
      <c r="Q175" s="257">
        <f>IF($C$5&lt;3000,$AN$31*Bron!K164,$AN$31*Bron!P164)</f>
        <v>0</v>
      </c>
      <c r="R175" s="257">
        <f>IF($C$5&lt;3000,$AN$33*Bron!J164,$AN$33*Bron!O164)</f>
        <v>0</v>
      </c>
      <c r="S175" s="344"/>
      <c r="T175" s="258">
        <f t="shared" si="178"/>
        <v>0</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c r="AU175" s="676">
        <f t="shared" si="188"/>
        <v>0</v>
      </c>
      <c r="AV175" s="677">
        <f t="shared" si="189"/>
        <v>0</v>
      </c>
      <c r="AW175" s="677">
        <f t="shared" si="224"/>
        <v>0</v>
      </c>
      <c r="AX175" s="678">
        <f t="shared" si="225"/>
        <v>0</v>
      </c>
      <c r="AY175" s="679">
        <f t="shared" si="226"/>
        <v>0</v>
      </c>
      <c r="AZ175" s="675"/>
      <c r="BA175" s="676">
        <f t="shared" si="190"/>
        <v>0</v>
      </c>
      <c r="BB175" s="677">
        <f t="shared" si="191"/>
        <v>0</v>
      </c>
      <c r="BC175" s="677">
        <f t="shared" si="227"/>
        <v>0</v>
      </c>
      <c r="BD175" s="678">
        <f t="shared" si="228"/>
        <v>0</v>
      </c>
      <c r="BE175" s="679">
        <f t="shared" si="229"/>
        <v>0</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486</v>
      </c>
      <c r="I176" s="494" t="str">
        <f t="shared" si="177"/>
        <v>ons</v>
      </c>
      <c r="J176" s="495"/>
      <c r="K176" s="151">
        <v>0</v>
      </c>
      <c r="L176" s="256"/>
      <c r="M176" s="256">
        <f>IF($C$5&lt;3000,(Bron!H165*$C$5)+Bron!I165,(Bron!M165*$C$5)+Bron!N165)</f>
        <v>0</v>
      </c>
      <c r="N176" s="496">
        <f t="shared" si="175"/>
        <v>0</v>
      </c>
      <c r="O176" s="497" t="str">
        <f t="shared" si="176"/>
        <v/>
      </c>
      <c r="P176" s="257">
        <f>IF($C$5&lt;3000,$AN$32*Bron!J165,$AN$32*Bron!O165)</f>
        <v>0</v>
      </c>
      <c r="Q176" s="257">
        <f>IF($C$5&lt;3000,$AN$31*Bron!K165,$AN$31*Bron!P165)</f>
        <v>0</v>
      </c>
      <c r="R176" s="257">
        <f>IF($C$5&lt;3000,$AN$33*Bron!J165,$AN$33*Bron!O165)</f>
        <v>0</v>
      </c>
      <c r="S176" s="344"/>
      <c r="T176" s="258">
        <f t="shared" si="178"/>
        <v>0</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c r="AU176" s="676">
        <f t="shared" si="188"/>
        <v>0</v>
      </c>
      <c r="AV176" s="677">
        <f t="shared" si="189"/>
        <v>0</v>
      </c>
      <c r="AW176" s="677">
        <f t="shared" si="224"/>
        <v>0</v>
      </c>
      <c r="AX176" s="678">
        <f t="shared" si="225"/>
        <v>0</v>
      </c>
      <c r="AY176" s="679">
        <f t="shared" si="226"/>
        <v>0</v>
      </c>
      <c r="AZ176" s="675"/>
      <c r="BA176" s="676">
        <f t="shared" si="190"/>
        <v>0</v>
      </c>
      <c r="BB176" s="677">
        <f t="shared" si="191"/>
        <v>0</v>
      </c>
      <c r="BC176" s="677">
        <f t="shared" si="227"/>
        <v>0</v>
      </c>
      <c r="BD176" s="678">
        <f t="shared" si="228"/>
        <v>0</v>
      </c>
      <c r="BE176" s="679">
        <f t="shared" si="229"/>
        <v>0</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c r="B177" s="488">
        <v>133</v>
      </c>
      <c r="C177" s="489" t="s">
        <v>283</v>
      </c>
      <c r="D177" s="490" t="s">
        <v>285</v>
      </c>
      <c r="E177" s="491" t="s">
        <v>286</v>
      </c>
      <c r="F177" s="492"/>
      <c r="G177" s="493"/>
      <c r="H177" s="146" t="s">
        <v>486</v>
      </c>
      <c r="I177" s="494" t="str">
        <f t="shared" si="177"/>
        <v>ons</v>
      </c>
      <c r="J177" s="495"/>
      <c r="K177" s="151">
        <v>0</v>
      </c>
      <c r="L177" s="256"/>
      <c r="M177" s="256">
        <f>IF($C$5&lt;3000,(Bron!H166*$C$5)+Bron!I166,(Bron!M166*$C$5)+Bron!N166)</f>
        <v>0</v>
      </c>
      <c r="N177" s="496">
        <f t="shared" si="175"/>
        <v>0</v>
      </c>
      <c r="O177" s="497" t="str">
        <f t="shared" si="176"/>
        <v/>
      </c>
      <c r="P177" s="257">
        <f>IF($C$5&lt;3000,$AN$32*Bron!J166,$AN$32*Bron!O166)</f>
        <v>0</v>
      </c>
      <c r="Q177" s="257">
        <f>IF($C$5&lt;3000,$AN$31*Bron!K166,$AN$31*Bron!P166)</f>
        <v>0</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486</v>
      </c>
      <c r="I178" s="494" t="str">
        <f t="shared" si="177"/>
        <v>ons</v>
      </c>
      <c r="J178" s="495"/>
      <c r="K178" s="151">
        <v>0</v>
      </c>
      <c r="L178" s="256"/>
      <c r="M178" s="256">
        <f>IF($C$5&lt;3000,(Bron!H167*$C$5)+Bron!I167,(Bron!M167*$C$5)+Bron!N167)</f>
        <v>0</v>
      </c>
      <c r="N178" s="496">
        <f t="shared" si="175"/>
        <v>0</v>
      </c>
      <c r="O178" s="497" t="str">
        <f t="shared" si="176"/>
        <v/>
      </c>
      <c r="P178" s="257">
        <f>IF($C$5&lt;3000,$AN$32*Bron!J167,$AN$32*Bron!O167)</f>
        <v>0</v>
      </c>
      <c r="Q178" s="257">
        <f>IF($C$5&lt;3000,$AN$31*Bron!K167,$AN$31*Bron!P167)</f>
        <v>0</v>
      </c>
      <c r="R178" s="257">
        <f>IF($C$5&lt;3000,$AN$33*Bron!J167,$AN$33*Bron!O167)</f>
        <v>0</v>
      </c>
      <c r="S178" s="344"/>
      <c r="T178" s="258">
        <f t="shared" si="178"/>
        <v>0</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c r="AU178" s="676">
        <f t="shared" si="188"/>
        <v>0</v>
      </c>
      <c r="AV178" s="677">
        <f t="shared" si="189"/>
        <v>0</v>
      </c>
      <c r="AW178" s="677">
        <f t="shared" si="224"/>
        <v>0</v>
      </c>
      <c r="AX178" s="678">
        <f t="shared" si="225"/>
        <v>0</v>
      </c>
      <c r="AY178" s="679">
        <f t="shared" si="226"/>
        <v>0</v>
      </c>
      <c r="AZ178" s="675"/>
      <c r="BA178" s="676">
        <f t="shared" si="190"/>
        <v>0</v>
      </c>
      <c r="BB178" s="677">
        <f t="shared" si="191"/>
        <v>0</v>
      </c>
      <c r="BC178" s="677">
        <f t="shared" si="227"/>
        <v>0</v>
      </c>
      <c r="BD178" s="678">
        <f t="shared" si="228"/>
        <v>0</v>
      </c>
      <c r="BE178" s="679">
        <f t="shared" si="229"/>
        <v>0</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c r="B179" s="488">
        <v>135</v>
      </c>
      <c r="C179" s="489" t="s">
        <v>283</v>
      </c>
      <c r="D179" s="490" t="s">
        <v>289</v>
      </c>
      <c r="E179" s="491" t="s">
        <v>290</v>
      </c>
      <c r="F179" s="492"/>
      <c r="G179" s="493"/>
      <c r="H179" s="146" t="s">
        <v>486</v>
      </c>
      <c r="I179" s="494" t="str">
        <f t="shared" si="177"/>
        <v>ons</v>
      </c>
      <c r="J179" s="495"/>
      <c r="K179" s="151">
        <v>0</v>
      </c>
      <c r="L179" s="256"/>
      <c r="M179" s="256">
        <f>IF($C$5&lt;3000,(Bron!H168*$C$5)+Bron!I168,(Bron!M168*$C$5)+Bron!N168)</f>
        <v>0</v>
      </c>
      <c r="N179" s="496">
        <f t="shared" si="175"/>
        <v>0</v>
      </c>
      <c r="O179" s="497" t="str">
        <f t="shared" si="176"/>
        <v/>
      </c>
      <c r="P179" s="257">
        <f>IF($C$5&lt;3000,$AN$32*Bron!J168,$AN$32*Bron!O168)</f>
        <v>0</v>
      </c>
      <c r="Q179" s="257">
        <f>IF($C$5&lt;3000,$AN$31*Bron!K168,$AN$31*Bron!P168)</f>
        <v>0</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291</v>
      </c>
      <c r="E180" s="491" t="s">
        <v>691</v>
      </c>
      <c r="F180" s="492"/>
      <c r="G180" s="493"/>
      <c r="H180" s="146" t="s">
        <v>486</v>
      </c>
      <c r="I180" s="494" t="str">
        <f t="shared" si="177"/>
        <v>ons</v>
      </c>
      <c r="J180" s="495" t="s">
        <v>487</v>
      </c>
      <c r="K180" s="151">
        <v>0</v>
      </c>
      <c r="L180" s="256">
        <f>IF($C$5&lt;3000,(Bron!H169*$C$5/$C$6*0.5)+Bron!I169,(Bron!M169*$C$5/$C$6*0.5)+Bron!N169)</f>
        <v>0</v>
      </c>
      <c r="M180" s="260"/>
      <c r="N180" s="496">
        <f t="shared" si="175"/>
        <v>0</v>
      </c>
      <c r="O180" s="497" t="str">
        <f t="shared" si="176"/>
        <v/>
      </c>
      <c r="P180" s="257"/>
      <c r="Q180" s="257">
        <f>IF($C$5&lt;3000,(+$C$5/$C$6*0.5*Bron!K169),(+$C$5/$C$6*0.5*Bron!P169))</f>
        <v>0</v>
      </c>
      <c r="R180" s="257">
        <f>IF($C$5&lt;3000,$AN$33*Bron!J169,$AN$33*Bron!O169)</f>
        <v>0</v>
      </c>
      <c r="S180" s="344" t="s">
        <v>460</v>
      </c>
      <c r="T180" s="258">
        <f t="shared" si="178"/>
        <v>0</v>
      </c>
      <c r="U180" s="259">
        <f t="shared" si="179"/>
        <v>0</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c r="AU180" s="676">
        <f t="shared" si="188"/>
        <v>0</v>
      </c>
      <c r="AV180" s="677">
        <f t="shared" si="189"/>
        <v>0</v>
      </c>
      <c r="AW180" s="677">
        <f t="shared" si="224"/>
        <v>0</v>
      </c>
      <c r="AX180" s="678">
        <f t="shared" si="225"/>
        <v>0</v>
      </c>
      <c r="AY180" s="679">
        <f t="shared" si="226"/>
        <v>0</v>
      </c>
      <c r="AZ180" s="675"/>
      <c r="BA180" s="676">
        <f t="shared" si="190"/>
        <v>0</v>
      </c>
      <c r="BB180" s="677">
        <f t="shared" si="191"/>
        <v>0</v>
      </c>
      <c r="BC180" s="677">
        <f t="shared" si="227"/>
        <v>0</v>
      </c>
      <c r="BD180" s="678">
        <f t="shared" si="228"/>
        <v>0</v>
      </c>
      <c r="BE180" s="679">
        <f t="shared" si="229"/>
        <v>0</v>
      </c>
      <c r="BF180" s="675"/>
      <c r="BG180" s="676">
        <f t="shared" si="192"/>
        <v>0</v>
      </c>
      <c r="BH180" s="677">
        <f t="shared" si="193"/>
        <v>0</v>
      </c>
      <c r="BI180" s="677">
        <f t="shared" si="230"/>
        <v>0</v>
      </c>
      <c r="BJ180" s="678">
        <f t="shared" si="231"/>
        <v>0</v>
      </c>
      <c r="BK180" s="679">
        <f t="shared" si="232"/>
        <v>0</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c r="B181" s="488">
        <v>137</v>
      </c>
      <c r="C181" s="489" t="s">
        <v>211</v>
      </c>
      <c r="D181" s="490" t="s">
        <v>493</v>
      </c>
      <c r="E181" s="491" t="s">
        <v>491</v>
      </c>
      <c r="F181" s="492"/>
      <c r="G181" s="493"/>
      <c r="H181" s="146" t="s">
        <v>486</v>
      </c>
      <c r="I181" s="494" t="str">
        <f t="shared" si="177"/>
        <v>ons</v>
      </c>
      <c r="J181" s="495" t="s">
        <v>487</v>
      </c>
      <c r="K181" s="151">
        <v>0</v>
      </c>
      <c r="L181" s="256">
        <f>IF($C$5&lt;3000,(Bron!H170*$C$5)+Bron!I170,(Bron!M170*$C$5)+Bron!N170)</f>
        <v>0</v>
      </c>
      <c r="M181" s="260"/>
      <c r="N181" s="496">
        <f t="shared" si="175"/>
        <v>0</v>
      </c>
      <c r="O181" s="497" t="str">
        <f t="shared" si="176"/>
        <v/>
      </c>
      <c r="P181" s="257"/>
      <c r="Q181" s="257">
        <f>IF($C$5&lt;3000,$AN$31*Bron!K170,$AN$31*Bron!P170)</f>
        <v>0</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c r="B185" s="488">
        <v>141</v>
      </c>
      <c r="C185" s="489" t="s">
        <v>336</v>
      </c>
      <c r="D185" s="490" t="s">
        <v>335</v>
      </c>
      <c r="E185" s="491" t="s">
        <v>337</v>
      </c>
      <c r="F185" s="492"/>
      <c r="G185" s="493"/>
      <c r="H185" s="146" t="s">
        <v>486</v>
      </c>
      <c r="I185" s="494" t="str">
        <f t="shared" si="177"/>
        <v>ons</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c r="B186" s="488">
        <v>142</v>
      </c>
      <c r="C186" s="489" t="s">
        <v>336</v>
      </c>
      <c r="D186" s="490" t="s">
        <v>338</v>
      </c>
      <c r="E186" s="491" t="s">
        <v>428</v>
      </c>
      <c r="F186" s="492"/>
      <c r="G186" s="493"/>
      <c r="H186" s="146" t="s">
        <v>486</v>
      </c>
      <c r="I186" s="494" t="str">
        <f t="shared" si="177"/>
        <v>ons</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c r="B187" s="488">
        <v>143</v>
      </c>
      <c r="C187" s="489" t="s">
        <v>336</v>
      </c>
      <c r="D187" s="490" t="s">
        <v>339</v>
      </c>
      <c r="E187" s="491" t="s">
        <v>340</v>
      </c>
      <c r="F187" s="492"/>
      <c r="G187" s="493"/>
      <c r="H187" s="146" t="s">
        <v>486</v>
      </c>
      <c r="I187" s="494" t="str">
        <f t="shared" si="177"/>
        <v>ons</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c r="B188" s="488">
        <v>144</v>
      </c>
      <c r="C188" s="489" t="s">
        <v>336</v>
      </c>
      <c r="D188" s="490" t="s">
        <v>341</v>
      </c>
      <c r="E188" s="491" t="s">
        <v>342</v>
      </c>
      <c r="F188" s="492"/>
      <c r="G188" s="493"/>
      <c r="H188" s="146" t="s">
        <v>486</v>
      </c>
      <c r="I188" s="494" t="str">
        <f t="shared" si="177"/>
        <v>ons</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c r="B189" s="488">
        <v>145</v>
      </c>
      <c r="C189" s="489" t="s">
        <v>336</v>
      </c>
      <c r="D189" s="490" t="s">
        <v>343</v>
      </c>
      <c r="E189" s="491" t="s">
        <v>429</v>
      </c>
      <c r="F189" s="492"/>
      <c r="G189" s="493"/>
      <c r="H189" s="146" t="s">
        <v>486</v>
      </c>
      <c r="I189" s="494" t="str">
        <f t="shared" si="177"/>
        <v>ons</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c r="B190" s="488">
        <v>146</v>
      </c>
      <c r="C190" s="489" t="s">
        <v>336</v>
      </c>
      <c r="D190" s="490" t="s">
        <v>344</v>
      </c>
      <c r="E190" s="491" t="s">
        <v>345</v>
      </c>
      <c r="F190" s="492"/>
      <c r="G190" s="493"/>
      <c r="H190" s="146" t="s">
        <v>486</v>
      </c>
      <c r="I190" s="494" t="str">
        <f t="shared" si="177"/>
        <v>ons</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c r="B191" s="488">
        <v>147</v>
      </c>
      <c r="C191" s="489" t="s">
        <v>336</v>
      </c>
      <c r="D191" s="490" t="s">
        <v>346</v>
      </c>
      <c r="E191" s="491" t="s">
        <v>430</v>
      </c>
      <c r="F191" s="492"/>
      <c r="G191" s="493"/>
      <c r="H191" s="146" t="s">
        <v>486</v>
      </c>
      <c r="I191" s="494" t="str">
        <f t="shared" si="177"/>
        <v>ons</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c r="B192" s="488">
        <v>148</v>
      </c>
      <c r="C192" s="489" t="s">
        <v>336</v>
      </c>
      <c r="D192" s="490" t="s">
        <v>347</v>
      </c>
      <c r="E192" s="491" t="s">
        <v>431</v>
      </c>
      <c r="F192" s="492"/>
      <c r="G192" s="493"/>
      <c r="H192" s="146" t="s">
        <v>486</v>
      </c>
      <c r="I192" s="494" t="str">
        <f t="shared" si="177"/>
        <v>ons</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c r="B193" s="488">
        <v>149</v>
      </c>
      <c r="C193" s="489" t="s">
        <v>336</v>
      </c>
      <c r="D193" s="490" t="s">
        <v>348</v>
      </c>
      <c r="E193" s="491" t="s">
        <v>349</v>
      </c>
      <c r="F193" s="492"/>
      <c r="G193" s="493"/>
      <c r="H193" s="146" t="s">
        <v>486</v>
      </c>
      <c r="I193" s="494" t="str">
        <f t="shared" si="177"/>
        <v>ons</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c r="B194" s="488">
        <v>150</v>
      </c>
      <c r="C194" s="489" t="s">
        <v>351</v>
      </c>
      <c r="D194" s="490" t="s">
        <v>350</v>
      </c>
      <c r="E194" s="491" t="s">
        <v>432</v>
      </c>
      <c r="F194" s="492"/>
      <c r="G194" s="493"/>
      <c r="H194" s="146" t="s">
        <v>486</v>
      </c>
      <c r="I194" s="494" t="str">
        <f t="shared" si="177"/>
        <v>ons</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c r="B195" s="488">
        <v>151</v>
      </c>
      <c r="C195" s="489" t="s">
        <v>351</v>
      </c>
      <c r="D195" s="490" t="s">
        <v>352</v>
      </c>
      <c r="E195" s="491" t="s">
        <v>353</v>
      </c>
      <c r="F195" s="492"/>
      <c r="G195" s="493"/>
      <c r="H195" s="146" t="s">
        <v>486</v>
      </c>
      <c r="I195" s="494" t="str">
        <f t="shared" si="177"/>
        <v>ons</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c r="B196" s="488">
        <v>152</v>
      </c>
      <c r="C196" s="489" t="s">
        <v>351</v>
      </c>
      <c r="D196" s="490" t="s">
        <v>354</v>
      </c>
      <c r="E196" s="491" t="s">
        <v>355</v>
      </c>
      <c r="F196" s="492"/>
      <c r="G196" s="493"/>
      <c r="H196" s="146" t="s">
        <v>486</v>
      </c>
      <c r="I196" s="494" t="str">
        <f t="shared" si="177"/>
        <v>ons</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c r="B197" s="488">
        <v>153</v>
      </c>
      <c r="C197" s="489" t="s">
        <v>351</v>
      </c>
      <c r="D197" s="490" t="s">
        <v>356</v>
      </c>
      <c r="E197" s="491" t="s">
        <v>357</v>
      </c>
      <c r="F197" s="492"/>
      <c r="G197" s="493"/>
      <c r="H197" s="146" t="s">
        <v>486</v>
      </c>
      <c r="I197" s="494" t="str">
        <f t="shared" si="177"/>
        <v>ons</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c r="B198" s="488">
        <v>154</v>
      </c>
      <c r="C198" s="489" t="s">
        <v>351</v>
      </c>
      <c r="D198" s="490" t="s">
        <v>358</v>
      </c>
      <c r="E198" s="491" t="s">
        <v>359</v>
      </c>
      <c r="F198" s="492"/>
      <c r="G198" s="493"/>
      <c r="H198" s="146" t="s">
        <v>486</v>
      </c>
      <c r="I198" s="494" t="str">
        <f t="shared" si="177"/>
        <v>ons</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c r="B199" s="488">
        <v>155</v>
      </c>
      <c r="C199" s="489" t="s">
        <v>351</v>
      </c>
      <c r="D199" s="490" t="s">
        <v>360</v>
      </c>
      <c r="E199" s="491" t="s">
        <v>450</v>
      </c>
      <c r="F199" s="492"/>
      <c r="G199" s="493"/>
      <c r="H199" s="146" t="s">
        <v>486</v>
      </c>
      <c r="I199" s="494" t="str">
        <f t="shared" si="177"/>
        <v>ons</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c r="B200" s="488">
        <v>156</v>
      </c>
      <c r="C200" s="489" t="s">
        <v>351</v>
      </c>
      <c r="D200" s="490" t="s">
        <v>361</v>
      </c>
      <c r="E200" s="491" t="s">
        <v>433</v>
      </c>
      <c r="F200" s="492"/>
      <c r="G200" s="493"/>
      <c r="H200" s="146" t="s">
        <v>486</v>
      </c>
      <c r="I200" s="494" t="str">
        <f t="shared" si="177"/>
        <v>ons</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c r="B201" s="488">
        <v>157</v>
      </c>
      <c r="C201" s="489" t="s">
        <v>351</v>
      </c>
      <c r="D201" s="490" t="s">
        <v>362</v>
      </c>
      <c r="E201" s="491" t="s">
        <v>434</v>
      </c>
      <c r="F201" s="492"/>
      <c r="G201" s="493"/>
      <c r="H201" s="146" t="s">
        <v>486</v>
      </c>
      <c r="I201" s="494" t="str">
        <f t="shared" si="177"/>
        <v>ons</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c r="B204" s="488">
        <v>160</v>
      </c>
      <c r="C204" s="489" t="s">
        <v>368</v>
      </c>
      <c r="D204" s="490" t="s">
        <v>367</v>
      </c>
      <c r="E204" s="491" t="s">
        <v>369</v>
      </c>
      <c r="F204" s="492"/>
      <c r="G204" s="493"/>
      <c r="H204" s="146" t="s">
        <v>486</v>
      </c>
      <c r="I204" s="494" t="str">
        <f t="shared" si="177"/>
        <v>ons</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c r="B205" s="488">
        <v>161</v>
      </c>
      <c r="C205" s="489" t="s">
        <v>368</v>
      </c>
      <c r="D205" s="490" t="s">
        <v>370</v>
      </c>
      <c r="E205" s="491" t="s">
        <v>371</v>
      </c>
      <c r="F205" s="492"/>
      <c r="G205" s="493"/>
      <c r="H205" s="146" t="s">
        <v>486</v>
      </c>
      <c r="I205" s="494" t="str">
        <f t="shared" si="177"/>
        <v>ons</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c r="B206" s="488">
        <v>162</v>
      </c>
      <c r="C206" s="489" t="s">
        <v>368</v>
      </c>
      <c r="D206" s="490" t="s">
        <v>372</v>
      </c>
      <c r="E206" s="491" t="s">
        <v>435</v>
      </c>
      <c r="F206" s="492"/>
      <c r="G206" s="493"/>
      <c r="H206" s="146" t="s">
        <v>486</v>
      </c>
      <c r="I206" s="494" t="str">
        <f t="shared" si="177"/>
        <v>ons</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c r="B207" s="488">
        <v>163</v>
      </c>
      <c r="C207" s="489" t="s">
        <v>439</v>
      </c>
      <c r="D207" s="490" t="s">
        <v>493</v>
      </c>
      <c r="E207" s="491" t="s">
        <v>451</v>
      </c>
      <c r="F207" s="492"/>
      <c r="G207" s="493"/>
      <c r="H207" s="146" t="s">
        <v>486</v>
      </c>
      <c r="I207" s="494" t="str">
        <f t="shared" si="177"/>
        <v>ons</v>
      </c>
      <c r="J207" s="495"/>
      <c r="K207" s="151">
        <v>0</v>
      </c>
      <c r="L207" s="256"/>
      <c r="M207" s="256">
        <f>IF($C$5&lt;3000,(Bron!H196*$C$5)+Bron!I196,(Bron!M196*$C$5)+Bron!N196)</f>
        <v>0</v>
      </c>
      <c r="N207" s="496">
        <f t="shared" si="260"/>
        <v>0</v>
      </c>
      <c r="O207" s="497" t="str">
        <f t="shared" si="261"/>
        <v/>
      </c>
      <c r="P207" s="257"/>
      <c r="Q207" s="257">
        <f>IF($C$5&lt;3000,$AN$31*Bron!K196,$AN$31*Bron!P196)</f>
        <v>0</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c r="B208" s="488">
        <v>164</v>
      </c>
      <c r="C208" s="489" t="s">
        <v>439</v>
      </c>
      <c r="D208" s="490" t="s">
        <v>493</v>
      </c>
      <c r="E208" s="491" t="s">
        <v>452</v>
      </c>
      <c r="F208" s="492"/>
      <c r="G208" s="493"/>
      <c r="H208" s="146" t="s">
        <v>486</v>
      </c>
      <c r="I208" s="494" t="str">
        <f t="shared" si="177"/>
        <v>ons</v>
      </c>
      <c r="J208" s="495"/>
      <c r="K208" s="151">
        <v>0</v>
      </c>
      <c r="L208" s="256"/>
      <c r="M208" s="256">
        <f>IF($C$5&lt;3000,(Bron!H197*$C$5)+Bron!I197,(Bron!M197*$C$5)+Bron!N197)</f>
        <v>0</v>
      </c>
      <c r="N208" s="496">
        <f t="shared" si="260"/>
        <v>0</v>
      </c>
      <c r="O208" s="497" t="str">
        <f t="shared" si="261"/>
        <v/>
      </c>
      <c r="P208" s="257"/>
      <c r="Q208" s="257">
        <f>IF($C$5&lt;3000,$AN$31*Bron!K197,$AN$31*Bron!P197)</f>
        <v>0</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c r="B209" s="488">
        <v>165</v>
      </c>
      <c r="C209" s="489" t="s">
        <v>439</v>
      </c>
      <c r="D209" s="490" t="s">
        <v>493</v>
      </c>
      <c r="E209" s="491" t="s">
        <v>453</v>
      </c>
      <c r="F209" s="492"/>
      <c r="G209" s="493"/>
      <c r="H209" s="146" t="s">
        <v>486</v>
      </c>
      <c r="I209" s="494" t="str">
        <f t="shared" si="177"/>
        <v>ons</v>
      </c>
      <c r="J209" s="495"/>
      <c r="K209" s="151">
        <v>0</v>
      </c>
      <c r="L209" s="256"/>
      <c r="M209" s="256">
        <f>IF($C$5&lt;3000,(Bron!H198*$C$5)+Bron!I198,(Bron!M198*$C$5)+Bron!N198)</f>
        <v>0</v>
      </c>
      <c r="N209" s="496">
        <f t="shared" si="260"/>
        <v>0</v>
      </c>
      <c r="O209" s="497" t="str">
        <f t="shared" si="261"/>
        <v/>
      </c>
      <c r="P209" s="257"/>
      <c r="Q209" s="257">
        <f>IF($C$5&lt;3000,$AN$31*Bron!K198,$AN$31*Bron!P198)</f>
        <v>0</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c r="B210" s="488">
        <v>166</v>
      </c>
      <c r="C210" s="489" t="s">
        <v>439</v>
      </c>
      <c r="D210" s="490" t="s">
        <v>493</v>
      </c>
      <c r="E210" s="491" t="s">
        <v>454</v>
      </c>
      <c r="F210" s="492"/>
      <c r="G210" s="493"/>
      <c r="H210" s="146" t="s">
        <v>486</v>
      </c>
      <c r="I210" s="494" t="str">
        <f t="shared" si="177"/>
        <v>ons</v>
      </c>
      <c r="J210" s="495"/>
      <c r="K210" s="151">
        <v>0</v>
      </c>
      <c r="L210" s="256"/>
      <c r="M210" s="256">
        <f>IF($C$5&lt;3000,(Bron!H199*$C$5)+Bron!I199,(Bron!M199*$C$5)+Bron!N199)</f>
        <v>0</v>
      </c>
      <c r="N210" s="496">
        <f t="shared" si="260"/>
        <v>0</v>
      </c>
      <c r="O210" s="497" t="str">
        <f t="shared" si="261"/>
        <v/>
      </c>
      <c r="P210" s="257"/>
      <c r="Q210" s="257">
        <f>IF($C$5&lt;3000,$AN$31*Bron!K199,$AN$31*Bron!P199)</f>
        <v>0</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486</v>
      </c>
      <c r="I211" s="494" t="str">
        <f t="shared" si="177"/>
        <v>ons</v>
      </c>
      <c r="J211" s="495" t="s">
        <v>487</v>
      </c>
      <c r="K211" s="151">
        <v>0</v>
      </c>
      <c r="L211" s="256">
        <f>IF($C$5&lt;3000,(Bron!H200*$C$5)+Bron!I200,(Bron!M200*$C$5)+Bron!N200)</f>
        <v>0</v>
      </c>
      <c r="M211" s="256"/>
      <c r="N211" s="496">
        <f t="shared" si="260"/>
        <v>0</v>
      </c>
      <c r="O211" s="497" t="str">
        <f t="shared" si="261"/>
        <v/>
      </c>
      <c r="P211" s="257"/>
      <c r="Q211" s="257">
        <f>IF($C$5&lt;3000,$AN$31*Bron!K200,$AN$31*Bron!P200)</f>
        <v>0</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486</v>
      </c>
      <c r="I212" s="494" t="str">
        <f t="shared" si="177"/>
        <v>ons</v>
      </c>
      <c r="J212" s="495" t="s">
        <v>487</v>
      </c>
      <c r="K212" s="151">
        <v>0</v>
      </c>
      <c r="L212" s="256">
        <f>IF($C$5&lt;3000,(Bron!H201*$C$5)+Bron!I201,(Bron!M201*$C$5)+Bron!N201)</f>
        <v>0</v>
      </c>
      <c r="M212" s="256"/>
      <c r="N212" s="496">
        <f t="shared" si="260"/>
        <v>0</v>
      </c>
      <c r="O212" s="497" t="str">
        <f t="shared" si="261"/>
        <v/>
      </c>
      <c r="P212" s="257"/>
      <c r="Q212" s="257">
        <f>IF($C$5&lt;3000,$AN$31*Bron!K201,$AN$31*Bron!P201)</f>
        <v>0</v>
      </c>
      <c r="R212" s="257">
        <f>IF($C$5&lt;3000,$AN$33*Bron!J201,$AN$33*Bron!O201)</f>
        <v>0</v>
      </c>
      <c r="S212" s="344"/>
      <c r="T212" s="258">
        <f t="shared" si="178"/>
        <v>0</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customHeight="1">
      <c r="B213" s="488">
        <v>169</v>
      </c>
      <c r="C213" s="489" t="s">
        <v>581</v>
      </c>
      <c r="D213" s="490" t="s">
        <v>493</v>
      </c>
      <c r="E213" s="491" t="s">
        <v>582</v>
      </c>
      <c r="F213" s="492"/>
      <c r="G213" s="493"/>
      <c r="H213" s="146" t="s">
        <v>486</v>
      </c>
      <c r="I213" s="494" t="str">
        <f t="shared" si="177"/>
        <v>ons</v>
      </c>
      <c r="J213" s="495" t="s">
        <v>487</v>
      </c>
      <c r="K213" s="151">
        <v>0</v>
      </c>
      <c r="L213" s="256">
        <f>IF($C$5&lt;3000,(Bron!H202*$C$5)+Bron!I202,(Bron!M202*$C$5)+Bron!N202)</f>
        <v>1000</v>
      </c>
      <c r="M213" s="256"/>
      <c r="N213" s="496">
        <f t="shared" si="260"/>
        <v>0</v>
      </c>
      <c r="O213" s="497" t="str">
        <f t="shared" si="261"/>
        <v/>
      </c>
      <c r="P213" s="257">
        <f>IF($C$5&lt;3000,$AN$32*Bron!J202,$AN$32*Bron!O202)</f>
        <v>0</v>
      </c>
      <c r="Q213" s="257">
        <f>IF($C$5&lt;3000,$AN$31*Bron!K202,$AN$31*Bron!P202)</f>
        <v>0</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customHeight="1">
      <c r="B214" s="488">
        <v>170</v>
      </c>
      <c r="C214" s="489" t="s">
        <v>591</v>
      </c>
      <c r="D214" s="490" t="s">
        <v>493</v>
      </c>
      <c r="E214" s="491" t="s">
        <v>592</v>
      </c>
      <c r="F214" s="492"/>
      <c r="G214" s="493"/>
      <c r="H214" s="146" t="s">
        <v>486</v>
      </c>
      <c r="I214" s="494" t="str">
        <f t="shared" si="177"/>
        <v>ons</v>
      </c>
      <c r="J214" s="495" t="s">
        <v>487</v>
      </c>
      <c r="K214" s="151">
        <v>0</v>
      </c>
      <c r="L214" s="256">
        <f>IF($C$5&lt;3000,(Bron!H203*$C$5)+Bron!I203,(Bron!M203*$C$5)+Bron!N203)</f>
        <v>370</v>
      </c>
      <c r="M214" s="256"/>
      <c r="N214" s="496">
        <f t="shared" si="260"/>
        <v>0</v>
      </c>
      <c r="O214" s="497" t="str">
        <f t="shared" si="261"/>
        <v/>
      </c>
      <c r="P214" s="257"/>
      <c r="Q214" s="257">
        <f>IF($C$5&lt;3000,$AN$31*Bron!K203,$AN$31*Bron!P203)</f>
        <v>0</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customHeight="1">
      <c r="B215" s="488">
        <v>171</v>
      </c>
      <c r="C215" s="701" t="s">
        <v>591</v>
      </c>
      <c r="D215" s="702" t="s">
        <v>493</v>
      </c>
      <c r="E215" s="703" t="s">
        <v>593</v>
      </c>
      <c r="F215" s="704"/>
      <c r="G215" s="705"/>
      <c r="H215" s="706" t="s">
        <v>486</v>
      </c>
      <c r="I215" s="707" t="str">
        <f t="shared" si="177"/>
        <v>ons</v>
      </c>
      <c r="J215" s="708"/>
      <c r="K215" s="151">
        <v>0</v>
      </c>
      <c r="L215" s="709"/>
      <c r="M215" s="709">
        <f>IF($C$5&lt;3000,(Bron!H204*$C$5)+Bron!I204,(Bron!M204*$C$5)+Bron!N204)</f>
        <v>26</v>
      </c>
      <c r="N215" s="710">
        <f t="shared" si="260"/>
        <v>0</v>
      </c>
      <c r="O215" s="711" t="str">
        <f t="shared" si="261"/>
        <v/>
      </c>
      <c r="P215" s="712"/>
      <c r="Q215" s="712">
        <f>IF($C$5&lt;3000,$AN$31*Bron!K204,$AN$31*Bron!P204)</f>
        <v>0</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0</v>
      </c>
      <c r="V221" s="541">
        <f>IF($C$12&lt;V219,0,IF(V219&lt;$C$11,0,$C$4))</f>
        <v>0</v>
      </c>
      <c r="W221" s="542"/>
      <c r="X221" s="543"/>
      <c r="Y221" s="543"/>
      <c r="Z221" s="542"/>
      <c r="AA221" s="542"/>
      <c r="AB221" s="541">
        <f>IF($C$12&lt;AB219,0,IF(AB219&lt;$C$11,0,$C$4))</f>
        <v>0</v>
      </c>
      <c r="AC221" s="542"/>
      <c r="AD221" s="543"/>
      <c r="AE221" s="543"/>
      <c r="AF221" s="542"/>
      <c r="AG221" s="542"/>
      <c r="AH221" s="541">
        <f>IF($C$12&lt;AH219,0,IF(AH219&lt;$C$11,0,$C$4))</f>
        <v>0</v>
      </c>
      <c r="AI221" s="542"/>
      <c r="AJ221" s="543"/>
      <c r="AK221" s="543"/>
      <c r="AL221" s="542"/>
      <c r="AM221" s="542"/>
      <c r="AN221" s="541">
        <f>IF($C$12&lt;AN219,0,IF(AN219&lt;$C$11,0,$C$4))</f>
        <v>0</v>
      </c>
      <c r="AO221" s="542"/>
      <c r="AP221" s="543"/>
      <c r="AQ221" s="543"/>
      <c r="AR221" s="542"/>
      <c r="AS221" s="542"/>
      <c r="AT221" s="541">
        <f>IF($C$12&lt;AT219,0,IF(AT219&lt;$C$11,0,$C$4))</f>
        <v>0</v>
      </c>
      <c r="AU221" s="542"/>
      <c r="AV221" s="543"/>
      <c r="AW221" s="543"/>
      <c r="AX221" s="542"/>
      <c r="AY221" s="542"/>
      <c r="AZ221" s="541">
        <f>IF($C$12&lt;AZ219,0,IF(AZ219&lt;$C$11,0,$C$4))</f>
        <v>0</v>
      </c>
      <c r="BA221" s="311"/>
      <c r="BB221" s="312"/>
      <c r="BC221" s="312"/>
      <c r="BD221" s="311"/>
      <c r="BE221" s="311"/>
      <c r="BF221" s="541">
        <f>IF($C$12&lt;BF219,0,IF(BF219&lt;$C$11,0,$C$4))</f>
        <v>0</v>
      </c>
      <c r="BG221" s="311"/>
      <c r="BH221" s="312"/>
      <c r="BI221" s="312"/>
      <c r="BJ221" s="311"/>
      <c r="BK221" s="311"/>
      <c r="BL221" s="541">
        <f>IF($C$12&lt;BL219,0,IF(BL219&lt;$C$11,0,$C$4))</f>
        <v>0</v>
      </c>
      <c r="BM221" s="311"/>
      <c r="BN221" s="312"/>
      <c r="BO221" s="312"/>
      <c r="BP221" s="311"/>
      <c r="BQ221" s="311"/>
      <c r="BR221" s="541">
        <f>IF($C$12&lt;BR219,0,IF(BR219&lt;$C$11,0,$C$4))</f>
        <v>0</v>
      </c>
      <c r="BS221" s="542"/>
      <c r="BT221" s="543"/>
      <c r="BU221" s="543"/>
      <c r="BV221" s="542"/>
      <c r="BW221" s="542"/>
      <c r="BX221" s="541">
        <f>IF($C$12&lt;BX219,0,IF(BX219&lt;$C$11,0,$C$4))</f>
        <v>0</v>
      </c>
      <c r="BY221" s="311"/>
      <c r="BZ221" s="312"/>
      <c r="CA221" s="312"/>
      <c r="CB221" s="311"/>
      <c r="CC221" s="311"/>
      <c r="CD221" s="541">
        <f>IF($C$12&lt;CD219,0,IF(CD219&lt;$C$11,0,$C$4))</f>
        <v>0</v>
      </c>
      <c r="CE221" s="311"/>
      <c r="CF221" s="312"/>
      <c r="CG221" s="312"/>
      <c r="CH221" s="311"/>
      <c r="CI221" s="311"/>
      <c r="CJ221" s="541">
        <f>IF($C$12&lt;CJ219,0,IF(CJ219&lt;$C$11,0,$C$4))</f>
        <v>0</v>
      </c>
      <c r="CK221" s="311"/>
      <c r="CL221" s="312"/>
      <c r="CM221" s="312"/>
      <c r="CN221" s="311"/>
      <c r="CO221" s="311"/>
      <c r="CP221" s="541">
        <f>IF($C$12&lt;CP219,0,IF(CP219&lt;$C$11,0,$C$4))</f>
        <v>0</v>
      </c>
      <c r="CQ221" s="544"/>
      <c r="CR221" s="543"/>
      <c r="CS221" s="543"/>
      <c r="CT221" s="544"/>
      <c r="CU221" s="544"/>
      <c r="CV221" s="541">
        <f>IF($C$12&lt;CV219,0,IF(CV219&lt;$C$11,0,$C$4))</f>
        <v>0</v>
      </c>
      <c r="CW221" s="544"/>
      <c r="CX221" s="543"/>
      <c r="CY221" s="543"/>
      <c r="CZ221" s="544"/>
      <c r="DA221" s="544"/>
      <c r="DB221" s="541">
        <f>IF($C$12&lt;DB219,0,IF(DB219&lt;$C$11,0,$C$4))</f>
        <v>0</v>
      </c>
      <c r="DC221" s="311"/>
      <c r="DD221" s="312"/>
      <c r="DE221" s="312"/>
      <c r="DF221" s="311"/>
      <c r="DG221" s="311"/>
      <c r="DH221" s="541">
        <f>IF($C$12&lt;DH219,0,IF(DH219&lt;$C$11,0,$C$4))</f>
        <v>0</v>
      </c>
      <c r="DI221" s="311"/>
      <c r="DJ221" s="312"/>
      <c r="DK221" s="312"/>
      <c r="DL221" s="311"/>
      <c r="DM221" s="311"/>
      <c r="DN221" s="541">
        <f>IF($C$12&lt;DN219,0,IF(DN219&lt;$C$11,0,$C$4))</f>
        <v>0</v>
      </c>
      <c r="DO221" s="311"/>
      <c r="DP221" s="312"/>
      <c r="DQ221" s="312"/>
      <c r="DR221" s="311"/>
      <c r="DS221" s="311"/>
      <c r="DT221" s="541">
        <f>IF($C$12&lt;DT219,0,IF(DT219&lt;$C$11,0,$C$4))</f>
        <v>0</v>
      </c>
      <c r="DU221" s="311"/>
      <c r="DV221" s="312"/>
      <c r="DW221" s="312"/>
      <c r="DX221" s="311"/>
      <c r="DY221" s="311"/>
      <c r="DZ221" s="541">
        <f>IF($C$12&lt;DZ219,0,IF(DZ219&lt;$C$11,0,$C$4))</f>
        <v>0</v>
      </c>
      <c r="EA221" s="311"/>
      <c r="EB221" s="312"/>
      <c r="EC221" s="312"/>
      <c r="ED221" s="311"/>
      <c r="EE221" s="311"/>
      <c r="EF221" s="541">
        <f>IF($C$12&lt;EF219,0,IF(EF219&lt;$C$11,0,$C$4))</f>
        <v>0</v>
      </c>
      <c r="EG221" s="311"/>
      <c r="EH221" s="312"/>
      <c r="EI221" s="312"/>
      <c r="EJ221" s="311"/>
      <c r="EK221" s="311"/>
      <c r="EL221" s="541">
        <f>IF($C$12&lt;EL219,0,IF(EL219&lt;$C$11,0,$C$4))</f>
        <v>0</v>
      </c>
      <c r="EM221" s="311"/>
      <c r="EN221" s="312"/>
      <c r="EO221" s="312"/>
      <c r="EP221" s="311"/>
      <c r="EQ221" s="311"/>
      <c r="ER221" s="541">
        <f>IF($C$12&lt;ER219,0,IF(ER219&lt;$C$11,0,$C$4))</f>
        <v>0</v>
      </c>
      <c r="ES221" s="311"/>
      <c r="ET221" s="312"/>
      <c r="EU221" s="312"/>
      <c r="EV221" s="311"/>
      <c r="EW221" s="311"/>
      <c r="EX221" s="541">
        <f>IF($C$12&lt;EX219,0,IF(EX219&lt;$C$11,0,$C$4))</f>
        <v>0</v>
      </c>
      <c r="EY221" s="311"/>
      <c r="EZ221" s="312"/>
      <c r="FA221" s="312"/>
      <c r="FB221" s="311"/>
      <c r="FC221" s="311"/>
      <c r="FD221" s="541">
        <f>IF($C$12&lt;FD219,0,IF(FD219&lt;$C$11,0,$C$4))</f>
        <v>0</v>
      </c>
      <c r="FE221" s="311"/>
      <c r="FF221" s="312"/>
      <c r="FG221" s="312"/>
      <c r="FH221" s="311"/>
      <c r="FI221" s="311"/>
      <c r="FJ221" s="541">
        <f>IF($C$12&lt;FJ219,0,IF(FJ219&lt;$C$11,0,$C$4))</f>
        <v>0</v>
      </c>
      <c r="FK221" s="311"/>
      <c r="FL221" s="312"/>
      <c r="FM221" s="312"/>
      <c r="FN221" s="311"/>
      <c r="FO221" s="311"/>
      <c r="FP221" s="541">
        <f>IF($C$12&lt;FP219,0,IF(FP219&lt;$C$11,0,$C$4))</f>
        <v>0</v>
      </c>
      <c r="FQ221" s="311"/>
      <c r="FR221" s="312"/>
      <c r="FS221" s="312"/>
      <c r="FT221" s="311"/>
      <c r="FU221" s="311"/>
      <c r="FV221" s="541">
        <f>IF($C$12&lt;FV219,0,IF(FV219&lt;$C$11,0,$C$4))</f>
        <v>0</v>
      </c>
      <c r="FW221" s="311"/>
      <c r="FX221" s="312"/>
      <c r="FY221" s="312"/>
      <c r="FZ221" s="311"/>
      <c r="GA221" s="311"/>
      <c r="GB221" s="541">
        <f>IF($C$12&lt;GB219,0,IF(GB219&lt;$C$11,0,$C$4))</f>
        <v>0</v>
      </c>
      <c r="GC221" s="311"/>
      <c r="GD221" s="312"/>
      <c r="GE221" s="312"/>
      <c r="GF221" s="311"/>
      <c r="GG221" s="311"/>
      <c r="GH221" s="541">
        <f>IF($C$12&lt;GH219,0,IF(GH219&lt;$C$11,0,$C$4))</f>
        <v>0</v>
      </c>
      <c r="GI221" s="311"/>
      <c r="GJ221" s="312"/>
      <c r="GK221" s="312"/>
      <c r="GL221" s="311"/>
      <c r="GM221" s="311"/>
      <c r="GN221" s="541">
        <f>IF($C$12&lt;GN219,0,IF(GN219&lt;$C$11,0,$C$4))</f>
        <v>0</v>
      </c>
      <c r="GO221" s="311"/>
      <c r="GP221" s="312"/>
      <c r="GQ221" s="312"/>
      <c r="GR221" s="311"/>
      <c r="GS221" s="311"/>
      <c r="GT221" s="541">
        <f>IF($C$12&lt;GT219,0,IF(GT219&lt;$C$11,0,$C$4))</f>
        <v>0</v>
      </c>
      <c r="GU221" s="311"/>
      <c r="GV221" s="312"/>
      <c r="GW221" s="312"/>
      <c r="GX221" s="311"/>
      <c r="GY221" s="311"/>
      <c r="GZ221" s="545">
        <f>IF($C$12&lt;GZ219,0,IF(GZ219&lt;$C$11,0,$C$4))</f>
        <v>0</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0</v>
      </c>
      <c r="V222" s="551">
        <f>IF($C$12&lt;V219,0,IF(V219&lt;$C$11,0,$C$5))</f>
        <v>0</v>
      </c>
      <c r="W222" s="552"/>
      <c r="X222" s="553"/>
      <c r="Y222" s="553"/>
      <c r="Z222" s="552"/>
      <c r="AA222" s="552"/>
      <c r="AB222" s="551">
        <f>IF($C$12&lt;AB219,0,IF(AB219&lt;$C$11,0,$C$5))</f>
        <v>0</v>
      </c>
      <c r="AC222" s="313"/>
      <c r="AD222" s="314"/>
      <c r="AE222" s="314"/>
      <c r="AF222" s="313"/>
      <c r="AG222" s="313"/>
      <c r="AH222" s="551">
        <f>IF($C$12&lt;AH219,0,IF(AH219&lt;$C$11,0,$C$5))</f>
        <v>0</v>
      </c>
      <c r="AI222" s="552"/>
      <c r="AJ222" s="553"/>
      <c r="AK222" s="553"/>
      <c r="AL222" s="552"/>
      <c r="AM222" s="552"/>
      <c r="AN222" s="551">
        <f>IF($C$12&lt;AN219,0,IF(AN219&lt;$C$11,0,$C$5))</f>
        <v>0</v>
      </c>
      <c r="AO222" s="552"/>
      <c r="AP222" s="553"/>
      <c r="AQ222" s="553"/>
      <c r="AR222" s="552"/>
      <c r="AS222" s="552"/>
      <c r="AT222" s="551">
        <f>IF($C$12&lt;AT219,0,IF(AT219&lt;$C$11,0,$C$5))</f>
        <v>0</v>
      </c>
      <c r="AU222" s="313"/>
      <c r="AV222" s="314"/>
      <c r="AW222" s="314"/>
      <c r="AX222" s="313"/>
      <c r="AY222" s="313"/>
      <c r="AZ222" s="551">
        <f>IF($C$12&lt;AZ219,0,IF(AZ219&lt;$C$11,0,$C$5))</f>
        <v>0</v>
      </c>
      <c r="BA222" s="313"/>
      <c r="BB222" s="314"/>
      <c r="BC222" s="314"/>
      <c r="BD222" s="313"/>
      <c r="BE222" s="313"/>
      <c r="BF222" s="551">
        <f>IF($C$12&lt;BF219,0,IF(BF219&lt;$C$11,0,$C$5))</f>
        <v>0</v>
      </c>
      <c r="BG222" s="313"/>
      <c r="BH222" s="314"/>
      <c r="BI222" s="314"/>
      <c r="BJ222" s="313"/>
      <c r="BK222" s="313"/>
      <c r="BL222" s="551">
        <f>IF($C$12&lt;BL219,0,IF(BL219&lt;$C$11,0,$C$5))</f>
        <v>0</v>
      </c>
      <c r="BM222" s="313"/>
      <c r="BN222" s="314"/>
      <c r="BO222" s="314"/>
      <c r="BP222" s="313"/>
      <c r="BQ222" s="313"/>
      <c r="BR222" s="551">
        <f>IF($C$12&lt;BR219,0,IF(BR219&lt;$C$11,0,$C$5))</f>
        <v>0</v>
      </c>
      <c r="BS222" s="313"/>
      <c r="BT222" s="314"/>
      <c r="BU222" s="314"/>
      <c r="BV222" s="313"/>
      <c r="BW222" s="313"/>
      <c r="BX222" s="551">
        <f>IF($C$12&lt;BX219,0,IF(BX219&lt;$C$11,0,$C$5))</f>
        <v>0</v>
      </c>
      <c r="BY222" s="313"/>
      <c r="BZ222" s="314"/>
      <c r="CA222" s="314"/>
      <c r="CB222" s="313"/>
      <c r="CC222" s="313"/>
      <c r="CD222" s="551">
        <f>IF($C$12&lt;CD219,0,IF(CD219&lt;$C$11,0,$C$5))</f>
        <v>0</v>
      </c>
      <c r="CE222" s="313"/>
      <c r="CF222" s="314"/>
      <c r="CG222" s="314"/>
      <c r="CH222" s="313"/>
      <c r="CI222" s="313"/>
      <c r="CJ222" s="551">
        <f>IF($C$12&lt;CJ219,0,IF(CJ219&lt;$C$11,0,$C$5))</f>
        <v>0</v>
      </c>
      <c r="CK222" s="313"/>
      <c r="CL222" s="314"/>
      <c r="CM222" s="314"/>
      <c r="CN222" s="313"/>
      <c r="CO222" s="313"/>
      <c r="CP222" s="551">
        <f>IF($C$12&lt;CP219,0,IF(CP219&lt;$C$11,0,$C$5))</f>
        <v>0</v>
      </c>
      <c r="CQ222" s="313"/>
      <c r="CR222" s="314"/>
      <c r="CS222" s="314"/>
      <c r="CT222" s="313"/>
      <c r="CU222" s="313"/>
      <c r="CV222" s="551">
        <f>IF($C$12&lt;CV219,0,IF(CV219&lt;$C$11,0,$C$5))</f>
        <v>0</v>
      </c>
      <c r="CW222" s="554"/>
      <c r="CX222" s="553"/>
      <c r="CY222" s="553"/>
      <c r="CZ222" s="554"/>
      <c r="DA222" s="554"/>
      <c r="DB222" s="551">
        <f>IF($C$12&lt;DB219,0,IF(DB219&lt;$C$11,0,$C$5))</f>
        <v>0</v>
      </c>
      <c r="DC222" s="313"/>
      <c r="DD222" s="314"/>
      <c r="DE222" s="314"/>
      <c r="DF222" s="313"/>
      <c r="DG222" s="313"/>
      <c r="DH222" s="551">
        <f>IF($C$12&lt;DH219,0,IF(DH219&lt;$C$11,0,$C$5))</f>
        <v>0</v>
      </c>
      <c r="DI222" s="313"/>
      <c r="DJ222" s="314"/>
      <c r="DK222" s="314"/>
      <c r="DL222" s="313"/>
      <c r="DM222" s="313"/>
      <c r="DN222" s="551">
        <f>IF($C$12&lt;DN219,0,IF(DN219&lt;$C$11,0,$C$5))</f>
        <v>0</v>
      </c>
      <c r="DO222" s="313"/>
      <c r="DP222" s="314"/>
      <c r="DQ222" s="314"/>
      <c r="DR222" s="313"/>
      <c r="DS222" s="313"/>
      <c r="DT222" s="551">
        <f>IF($C$12&lt;DT219,0,IF(DT219&lt;$C$11,0,$C$5))</f>
        <v>0</v>
      </c>
      <c r="DU222" s="313"/>
      <c r="DV222" s="314"/>
      <c r="DW222" s="314"/>
      <c r="DX222" s="313"/>
      <c r="DY222" s="313"/>
      <c r="DZ222" s="551">
        <f>IF($C$12&lt;DZ219,0,IF(DZ219&lt;$C$11,0,$C$5))</f>
        <v>0</v>
      </c>
      <c r="EA222" s="313"/>
      <c r="EB222" s="314"/>
      <c r="EC222" s="314"/>
      <c r="ED222" s="313"/>
      <c r="EE222" s="313"/>
      <c r="EF222" s="551">
        <f>IF($C$12&lt;EF219,0,IF(EF219&lt;$C$11,0,$C$5))</f>
        <v>0</v>
      </c>
      <c r="EG222" s="313"/>
      <c r="EH222" s="314"/>
      <c r="EI222" s="314"/>
      <c r="EJ222" s="313"/>
      <c r="EK222" s="313"/>
      <c r="EL222" s="551">
        <f>IF($C$12&lt;EL219,0,IF(EL219&lt;$C$11,0,$C$5))</f>
        <v>0</v>
      </c>
      <c r="EM222" s="313"/>
      <c r="EN222" s="314"/>
      <c r="EO222" s="314"/>
      <c r="EP222" s="313"/>
      <c r="EQ222" s="313"/>
      <c r="ER222" s="551">
        <f>IF($C$12&lt;ER219,0,IF(ER219&lt;$C$11,0,$C$5))</f>
        <v>0</v>
      </c>
      <c r="ES222" s="313"/>
      <c r="ET222" s="314"/>
      <c r="EU222" s="314"/>
      <c r="EV222" s="313"/>
      <c r="EW222" s="313"/>
      <c r="EX222" s="551">
        <f>IF($C$12&lt;EX219,0,IF(EX219&lt;$C$11,0,$C$5))</f>
        <v>0</v>
      </c>
      <c r="EY222" s="313"/>
      <c r="EZ222" s="314"/>
      <c r="FA222" s="314"/>
      <c r="FB222" s="313"/>
      <c r="FC222" s="313"/>
      <c r="FD222" s="551">
        <f>IF($C$12&lt;FD219,0,IF(FD219&lt;$C$11,0,$C$5))</f>
        <v>0</v>
      </c>
      <c r="FE222" s="313"/>
      <c r="FF222" s="314"/>
      <c r="FG222" s="314"/>
      <c r="FH222" s="313"/>
      <c r="FI222" s="313"/>
      <c r="FJ222" s="551">
        <f>IF($C$12&lt;FJ219,0,IF(FJ219&lt;$C$11,0,$C$5))</f>
        <v>0</v>
      </c>
      <c r="FK222" s="313"/>
      <c r="FL222" s="314"/>
      <c r="FM222" s="314"/>
      <c r="FN222" s="313"/>
      <c r="FO222" s="313"/>
      <c r="FP222" s="551">
        <f>IF($C$12&lt;FP219,0,IF(FP219&lt;$C$11,0,$C$5))</f>
        <v>0</v>
      </c>
      <c r="FQ222" s="313"/>
      <c r="FR222" s="314"/>
      <c r="FS222" s="314"/>
      <c r="FT222" s="313"/>
      <c r="FU222" s="313"/>
      <c r="FV222" s="551">
        <f>IF($C$12&lt;FV219,0,IF(FV219&lt;$C$11,0,$C$5))</f>
        <v>0</v>
      </c>
      <c r="FW222" s="313"/>
      <c r="FX222" s="314"/>
      <c r="FY222" s="314"/>
      <c r="FZ222" s="313"/>
      <c r="GA222" s="313"/>
      <c r="GB222" s="551">
        <f>IF($C$12&lt;GB219,0,IF(GB219&lt;$C$11,0,$C$5))</f>
        <v>0</v>
      </c>
      <c r="GC222" s="313"/>
      <c r="GD222" s="314"/>
      <c r="GE222" s="314"/>
      <c r="GF222" s="313"/>
      <c r="GG222" s="313"/>
      <c r="GH222" s="551">
        <f>IF($C$12&lt;GH219,0,IF(GH219&lt;$C$11,0,$C$5))</f>
        <v>0</v>
      </c>
      <c r="GI222" s="313"/>
      <c r="GJ222" s="314"/>
      <c r="GK222" s="314"/>
      <c r="GL222" s="313"/>
      <c r="GM222" s="313"/>
      <c r="GN222" s="551">
        <f>IF($C$12&lt;GN219,0,IF(GN219&lt;$C$11,0,$C$5))</f>
        <v>0</v>
      </c>
      <c r="GO222" s="313"/>
      <c r="GP222" s="314"/>
      <c r="GQ222" s="314"/>
      <c r="GR222" s="313"/>
      <c r="GS222" s="313"/>
      <c r="GT222" s="551">
        <f>IF($C$12&lt;GT219,0,IF(GT219&lt;$C$11,0,$C$5))</f>
        <v>0</v>
      </c>
      <c r="GU222" s="313"/>
      <c r="GV222" s="314"/>
      <c r="GW222" s="314"/>
      <c r="GX222" s="313"/>
      <c r="GY222" s="313"/>
      <c r="GZ222" s="555">
        <f>IF($C$12&lt;GZ219,0,IF(GZ219&lt;$C$11,0,$C$5))</f>
        <v>0</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0</v>
      </c>
      <c r="AU223" s="311"/>
      <c r="AV223" s="312"/>
      <c r="AW223" s="312"/>
      <c r="AX223" s="311"/>
      <c r="AY223" s="311"/>
      <c r="AZ223" s="563">
        <f>SUM(BA44:BA216)</f>
        <v>0</v>
      </c>
      <c r="BA223" s="311"/>
      <c r="BB223" s="312"/>
      <c r="BC223" s="312"/>
      <c r="BD223" s="311"/>
      <c r="BE223" s="311"/>
      <c r="BF223" s="563">
        <f>SUM(BG44:BG216)</f>
        <v>0</v>
      </c>
      <c r="BG223" s="311"/>
      <c r="BH223" s="312"/>
      <c r="BI223" s="312"/>
      <c r="BJ223" s="311"/>
      <c r="BK223" s="311"/>
      <c r="BL223" s="563">
        <f>SUM(BM44:BM216)</f>
        <v>0</v>
      </c>
      <c r="BM223" s="311"/>
      <c r="BN223" s="312"/>
      <c r="BO223" s="312"/>
      <c r="BP223" s="311"/>
      <c r="BQ223" s="311"/>
      <c r="BR223" s="563">
        <f>SUM(BS44:BS216)</f>
        <v>0</v>
      </c>
      <c r="BS223" s="311"/>
      <c r="BT223" s="312"/>
      <c r="BU223" s="312"/>
      <c r="BV223" s="311"/>
      <c r="BW223" s="311"/>
      <c r="BX223" s="563">
        <f>SUM(BY44:BY216)</f>
        <v>0</v>
      </c>
      <c r="BY223" s="311"/>
      <c r="BZ223" s="312"/>
      <c r="CA223" s="312"/>
      <c r="CB223" s="311"/>
      <c r="CC223" s="311"/>
      <c r="CD223" s="563">
        <f>SUM(CE44:CE216)</f>
        <v>0</v>
      </c>
      <c r="CE223" s="311"/>
      <c r="CF223" s="312"/>
      <c r="CG223" s="312"/>
      <c r="CH223" s="311"/>
      <c r="CI223" s="311"/>
      <c r="CJ223" s="563">
        <f>SUM(CK44:CK216)</f>
        <v>0</v>
      </c>
      <c r="CK223" s="311"/>
      <c r="CL223" s="312"/>
      <c r="CM223" s="312"/>
      <c r="CN223" s="311"/>
      <c r="CO223" s="311"/>
      <c r="CP223" s="563">
        <f>SUM(CQ44:CQ216)</f>
        <v>0</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0</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0</v>
      </c>
      <c r="AU224" s="574"/>
      <c r="AV224" s="575"/>
      <c r="AW224" s="575"/>
      <c r="AX224" s="574"/>
      <c r="AY224" s="574"/>
      <c r="AZ224" s="576">
        <f>AT224+AZ223</f>
        <v>0</v>
      </c>
      <c r="BA224" s="315"/>
      <c r="BB224" s="316"/>
      <c r="BC224" s="316"/>
      <c r="BD224" s="315"/>
      <c r="BE224" s="315"/>
      <c r="BF224" s="576">
        <f>AZ224+BF223</f>
        <v>0</v>
      </c>
      <c r="BG224" s="315"/>
      <c r="BH224" s="316"/>
      <c r="BI224" s="316"/>
      <c r="BJ224" s="315"/>
      <c r="BK224" s="315"/>
      <c r="BL224" s="576">
        <f>BF224+BL223</f>
        <v>0</v>
      </c>
      <c r="BM224" s="315"/>
      <c r="BN224" s="316"/>
      <c r="BO224" s="316"/>
      <c r="BP224" s="315"/>
      <c r="BQ224" s="315"/>
      <c r="BR224" s="576">
        <f>BL224+BR223</f>
        <v>0</v>
      </c>
      <c r="BS224" s="574"/>
      <c r="BT224" s="575"/>
      <c r="BU224" s="575"/>
      <c r="BV224" s="574"/>
      <c r="BW224" s="574"/>
      <c r="BX224" s="576">
        <f>BR224+BX223</f>
        <v>0</v>
      </c>
      <c r="BY224" s="315"/>
      <c r="BZ224" s="316"/>
      <c r="CA224" s="316"/>
      <c r="CB224" s="315"/>
      <c r="CC224" s="315"/>
      <c r="CD224" s="576">
        <f>BX224+CD223</f>
        <v>0</v>
      </c>
      <c r="CE224" s="315"/>
      <c r="CF224" s="316"/>
      <c r="CG224" s="316"/>
      <c r="CH224" s="315"/>
      <c r="CI224" s="315"/>
      <c r="CJ224" s="576">
        <f>CD224+CJ223</f>
        <v>0</v>
      </c>
      <c r="CK224" s="315"/>
      <c r="CL224" s="316"/>
      <c r="CM224" s="316"/>
      <c r="CN224" s="315"/>
      <c r="CO224" s="315"/>
      <c r="CP224" s="576">
        <f>CJ224+CP223</f>
        <v>0</v>
      </c>
      <c r="CQ224" s="577"/>
      <c r="CR224" s="575"/>
      <c r="CS224" s="575"/>
      <c r="CT224" s="577"/>
      <c r="CU224" s="577"/>
      <c r="CV224" s="576">
        <f>CP224+CV223</f>
        <v>0</v>
      </c>
      <c r="CW224" s="577"/>
      <c r="CX224" s="575"/>
      <c r="CY224" s="575"/>
      <c r="CZ224" s="577"/>
      <c r="DA224" s="577"/>
      <c r="DB224" s="576">
        <f>CV224+DB223</f>
        <v>0</v>
      </c>
      <c r="DC224" s="315"/>
      <c r="DD224" s="316"/>
      <c r="DE224" s="316"/>
      <c r="DF224" s="315"/>
      <c r="DG224" s="315"/>
      <c r="DH224" s="576">
        <f>DB224+DH223</f>
        <v>0</v>
      </c>
      <c r="DI224" s="315"/>
      <c r="DJ224" s="316"/>
      <c r="DK224" s="316"/>
      <c r="DL224" s="315"/>
      <c r="DM224" s="315"/>
      <c r="DN224" s="576">
        <f>DH224+DN223</f>
        <v>0</v>
      </c>
      <c r="DO224" s="315"/>
      <c r="DP224" s="316"/>
      <c r="DQ224" s="316"/>
      <c r="DR224" s="315"/>
      <c r="DS224" s="315"/>
      <c r="DT224" s="576">
        <f>DN224+DT223</f>
        <v>0</v>
      </c>
      <c r="DU224" s="315"/>
      <c r="DV224" s="316"/>
      <c r="DW224" s="316"/>
      <c r="DX224" s="315"/>
      <c r="DY224" s="315"/>
      <c r="DZ224" s="576">
        <f>DT224+DZ223</f>
        <v>0</v>
      </c>
      <c r="EA224" s="315"/>
      <c r="EB224" s="316"/>
      <c r="EC224" s="316"/>
      <c r="ED224" s="315"/>
      <c r="EE224" s="315"/>
      <c r="EF224" s="576">
        <f>DZ224+EF223</f>
        <v>0</v>
      </c>
      <c r="EG224" s="315"/>
      <c r="EH224" s="316"/>
      <c r="EI224" s="316"/>
      <c r="EJ224" s="315"/>
      <c r="EK224" s="315"/>
      <c r="EL224" s="576">
        <f>EF224+EL223</f>
        <v>0</v>
      </c>
      <c r="EM224" s="315"/>
      <c r="EN224" s="316"/>
      <c r="EO224" s="316"/>
      <c r="EP224" s="315"/>
      <c r="EQ224" s="315"/>
      <c r="ER224" s="576">
        <f>EL224+ER223</f>
        <v>0</v>
      </c>
      <c r="ES224" s="315"/>
      <c r="ET224" s="316"/>
      <c r="EU224" s="316"/>
      <c r="EV224" s="315"/>
      <c r="EW224" s="315"/>
      <c r="EX224" s="576">
        <f>ER224+EX223</f>
        <v>0</v>
      </c>
      <c r="EY224" s="315"/>
      <c r="EZ224" s="316"/>
      <c r="FA224" s="316"/>
      <c r="FB224" s="315"/>
      <c r="FC224" s="315"/>
      <c r="FD224" s="576">
        <f>EX224+FD223</f>
        <v>0</v>
      </c>
      <c r="FE224" s="315"/>
      <c r="FF224" s="316"/>
      <c r="FG224" s="316"/>
      <c r="FH224" s="315"/>
      <c r="FI224" s="315"/>
      <c r="FJ224" s="576">
        <f>FD224+FJ223</f>
        <v>0</v>
      </c>
      <c r="FK224" s="315"/>
      <c r="FL224" s="316"/>
      <c r="FM224" s="316"/>
      <c r="FN224" s="315"/>
      <c r="FO224" s="315"/>
      <c r="FP224" s="576">
        <f>FJ224+FP223</f>
        <v>0</v>
      </c>
      <c r="FQ224" s="315"/>
      <c r="FR224" s="316"/>
      <c r="FS224" s="316"/>
      <c r="FT224" s="315"/>
      <c r="FU224" s="315"/>
      <c r="FV224" s="576">
        <f>FP224+FV223</f>
        <v>0</v>
      </c>
      <c r="FW224" s="315"/>
      <c r="FX224" s="316"/>
      <c r="FY224" s="316"/>
      <c r="FZ224" s="315"/>
      <c r="GA224" s="315"/>
      <c r="GB224" s="576">
        <f>FV224+GB223</f>
        <v>0</v>
      </c>
      <c r="GC224" s="315"/>
      <c r="GD224" s="316"/>
      <c r="GE224" s="316"/>
      <c r="GF224" s="315"/>
      <c r="GG224" s="315"/>
      <c r="GH224" s="576">
        <f>GB224+GH223</f>
        <v>0</v>
      </c>
      <c r="GI224" s="315"/>
      <c r="GJ224" s="316"/>
      <c r="GK224" s="316"/>
      <c r="GL224" s="315"/>
      <c r="GM224" s="315"/>
      <c r="GN224" s="576">
        <f>GH224+GN223</f>
        <v>0</v>
      </c>
      <c r="GO224" s="315"/>
      <c r="GP224" s="316"/>
      <c r="GQ224" s="316"/>
      <c r="GR224" s="315"/>
      <c r="GS224" s="315"/>
      <c r="GT224" s="576">
        <f>GN224+GT223</f>
        <v>0</v>
      </c>
      <c r="GU224" s="315"/>
      <c r="GV224" s="316"/>
      <c r="GW224" s="316"/>
      <c r="GX224" s="315"/>
      <c r="GY224" s="315"/>
      <c r="GZ224" s="578">
        <f>GT224+GZ223</f>
        <v>0</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0</v>
      </c>
      <c r="AU225" s="574"/>
      <c r="AV225" s="575"/>
      <c r="AW225" s="575"/>
      <c r="AX225" s="574"/>
      <c r="AY225" s="574"/>
      <c r="AZ225" s="576">
        <f>SUM(BE44:BE216)</f>
        <v>0</v>
      </c>
      <c r="BA225" s="315"/>
      <c r="BB225" s="316"/>
      <c r="BC225" s="316"/>
      <c r="BD225" s="315"/>
      <c r="BE225" s="315"/>
      <c r="BF225" s="576">
        <f>SUM(BK44:BK216)</f>
        <v>0</v>
      </c>
      <c r="BG225" s="315"/>
      <c r="BH225" s="316"/>
      <c r="BI225" s="316"/>
      <c r="BJ225" s="315"/>
      <c r="BK225" s="315"/>
      <c r="BL225" s="576">
        <f>SUM(BQ44:BQ216)</f>
        <v>0</v>
      </c>
      <c r="BM225" s="315"/>
      <c r="BN225" s="316"/>
      <c r="BO225" s="316"/>
      <c r="BP225" s="315"/>
      <c r="BQ225" s="315"/>
      <c r="BR225" s="576">
        <f>SUM(BW44:BW216)</f>
        <v>0</v>
      </c>
      <c r="BS225" s="574"/>
      <c r="BT225" s="575"/>
      <c r="BU225" s="575"/>
      <c r="BV225" s="574"/>
      <c r="BW225" s="574"/>
      <c r="BX225" s="576">
        <f>SUM(CC44:CC216)</f>
        <v>0</v>
      </c>
      <c r="BY225" s="315"/>
      <c r="BZ225" s="316"/>
      <c r="CA225" s="316"/>
      <c r="CB225" s="315"/>
      <c r="CC225" s="315"/>
      <c r="CD225" s="576">
        <f>SUM(CI44:CI216)</f>
        <v>0</v>
      </c>
      <c r="CE225" s="315"/>
      <c r="CF225" s="316"/>
      <c r="CG225" s="316"/>
      <c r="CH225" s="315"/>
      <c r="CI225" s="315"/>
      <c r="CJ225" s="576">
        <f>SUM(CO44:CO216)</f>
        <v>0</v>
      </c>
      <c r="CK225" s="315"/>
      <c r="CL225" s="316"/>
      <c r="CM225" s="316"/>
      <c r="CN225" s="315"/>
      <c r="CO225" s="315"/>
      <c r="CP225" s="576">
        <f>SUM(CU44:CU216)</f>
        <v>0</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0</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0</v>
      </c>
      <c r="AU226" s="552"/>
      <c r="AV226" s="553"/>
      <c r="AW226" s="553"/>
      <c r="AX226" s="552"/>
      <c r="AY226" s="552"/>
      <c r="AZ226" s="589">
        <f>AT226+AZ251</f>
        <v>0</v>
      </c>
      <c r="BA226" s="313"/>
      <c r="BB226" s="314"/>
      <c r="BC226" s="314"/>
      <c r="BD226" s="313"/>
      <c r="BE226" s="313"/>
      <c r="BF226" s="589">
        <f>AZ226+BF251</f>
        <v>0</v>
      </c>
      <c r="BG226" s="313"/>
      <c r="BH226" s="314"/>
      <c r="BI226" s="314"/>
      <c r="BJ226" s="313"/>
      <c r="BK226" s="313"/>
      <c r="BL226" s="589">
        <f>BF226+BL251</f>
        <v>0</v>
      </c>
      <c r="BM226" s="313"/>
      <c r="BN226" s="314"/>
      <c r="BO226" s="314"/>
      <c r="BP226" s="313"/>
      <c r="BQ226" s="313"/>
      <c r="BR226" s="589">
        <f>BL226+BR251</f>
        <v>0</v>
      </c>
      <c r="BS226" s="552"/>
      <c r="BT226" s="553"/>
      <c r="BU226" s="553"/>
      <c r="BV226" s="552"/>
      <c r="BW226" s="552"/>
      <c r="BX226" s="589">
        <f>BR226+BX251</f>
        <v>0</v>
      </c>
      <c r="BY226" s="313"/>
      <c r="BZ226" s="314"/>
      <c r="CA226" s="314"/>
      <c r="CB226" s="313"/>
      <c r="CC226" s="313"/>
      <c r="CD226" s="589">
        <f>BX226+CD251</f>
        <v>0</v>
      </c>
      <c r="CE226" s="313"/>
      <c r="CF226" s="314"/>
      <c r="CG226" s="314"/>
      <c r="CH226" s="313"/>
      <c r="CI226" s="313"/>
      <c r="CJ226" s="589">
        <f>CD226+CJ251</f>
        <v>0</v>
      </c>
      <c r="CK226" s="313"/>
      <c r="CL226" s="314"/>
      <c r="CM226" s="314"/>
      <c r="CN226" s="313"/>
      <c r="CO226" s="313"/>
      <c r="CP226" s="589">
        <f>CJ226+CP251</f>
        <v>0</v>
      </c>
      <c r="CQ226" s="554"/>
      <c r="CR226" s="553"/>
      <c r="CS226" s="553"/>
      <c r="CT226" s="554"/>
      <c r="CU226" s="554"/>
      <c r="CV226" s="589">
        <f>CP226+CV251</f>
        <v>0</v>
      </c>
      <c r="CW226" s="554"/>
      <c r="CX226" s="553"/>
      <c r="CY226" s="553"/>
      <c r="CZ226" s="554"/>
      <c r="DA226" s="554"/>
      <c r="DB226" s="589">
        <f>CV226+DB251</f>
        <v>0</v>
      </c>
      <c r="DC226" s="313"/>
      <c r="DD226" s="314"/>
      <c r="DE226" s="314"/>
      <c r="DF226" s="313"/>
      <c r="DG226" s="313"/>
      <c r="DH226" s="589">
        <f>DB226+DH251</f>
        <v>0</v>
      </c>
      <c r="DI226" s="313"/>
      <c r="DJ226" s="314"/>
      <c r="DK226" s="314"/>
      <c r="DL226" s="313"/>
      <c r="DM226" s="313"/>
      <c r="DN226" s="589">
        <f>DH226+DN251</f>
        <v>0</v>
      </c>
      <c r="DO226" s="313"/>
      <c r="DP226" s="314"/>
      <c r="DQ226" s="314"/>
      <c r="DR226" s="313"/>
      <c r="DS226" s="313"/>
      <c r="DT226" s="590">
        <f>DN226+DT251</f>
        <v>0</v>
      </c>
      <c r="DU226" s="313"/>
      <c r="DV226" s="314"/>
      <c r="DW226" s="314"/>
      <c r="DX226" s="313"/>
      <c r="DY226" s="313"/>
      <c r="DZ226" s="589">
        <f>DT226+DZ251</f>
        <v>0</v>
      </c>
      <c r="EA226" s="313"/>
      <c r="EB226" s="314"/>
      <c r="EC226" s="314"/>
      <c r="ED226" s="313"/>
      <c r="EE226" s="313"/>
      <c r="EF226" s="589">
        <f>DZ226+EF251</f>
        <v>0</v>
      </c>
      <c r="EG226" s="313"/>
      <c r="EH226" s="314"/>
      <c r="EI226" s="314"/>
      <c r="EJ226" s="313"/>
      <c r="EK226" s="313"/>
      <c r="EL226" s="589">
        <f>EF226+EL251</f>
        <v>0</v>
      </c>
      <c r="EM226" s="313"/>
      <c r="EN226" s="314"/>
      <c r="EO226" s="314"/>
      <c r="EP226" s="313"/>
      <c r="EQ226" s="313"/>
      <c r="ER226" s="589">
        <f>EL226+ER251</f>
        <v>0</v>
      </c>
      <c r="ES226" s="313"/>
      <c r="ET226" s="314"/>
      <c r="EU226" s="314"/>
      <c r="EV226" s="313"/>
      <c r="EW226" s="313"/>
      <c r="EX226" s="590">
        <f>ER226+EX251</f>
        <v>0</v>
      </c>
      <c r="EY226" s="313"/>
      <c r="EZ226" s="314"/>
      <c r="FA226" s="314"/>
      <c r="FB226" s="313"/>
      <c r="FC226" s="313"/>
      <c r="FD226" s="589">
        <f>EX226+FD251</f>
        <v>0</v>
      </c>
      <c r="FE226" s="313"/>
      <c r="FF226" s="314"/>
      <c r="FG226" s="314"/>
      <c r="FH226" s="313"/>
      <c r="FI226" s="313"/>
      <c r="FJ226" s="589">
        <f>FD226+FJ251</f>
        <v>0</v>
      </c>
      <c r="FK226" s="313"/>
      <c r="FL226" s="314"/>
      <c r="FM226" s="314"/>
      <c r="FN226" s="313"/>
      <c r="FO226" s="313"/>
      <c r="FP226" s="589">
        <f>FJ226+FP251</f>
        <v>0</v>
      </c>
      <c r="FQ226" s="313"/>
      <c r="FR226" s="314"/>
      <c r="FS226" s="314"/>
      <c r="FT226" s="313"/>
      <c r="FU226" s="313"/>
      <c r="FV226" s="589">
        <f>FP226+FV251</f>
        <v>0</v>
      </c>
      <c r="FW226" s="313"/>
      <c r="FX226" s="314"/>
      <c r="FY226" s="314"/>
      <c r="FZ226" s="313"/>
      <c r="GA226" s="313"/>
      <c r="GB226" s="590">
        <f>FV226+GB251</f>
        <v>0</v>
      </c>
      <c r="GC226" s="313"/>
      <c r="GD226" s="314"/>
      <c r="GE226" s="314"/>
      <c r="GF226" s="313"/>
      <c r="GG226" s="313"/>
      <c r="GH226" s="589">
        <f>GB226+GH251</f>
        <v>0</v>
      </c>
      <c r="GI226" s="313"/>
      <c r="GJ226" s="314"/>
      <c r="GK226" s="314"/>
      <c r="GL226" s="313"/>
      <c r="GM226" s="313"/>
      <c r="GN226" s="589">
        <f>GH226+GN251</f>
        <v>0</v>
      </c>
      <c r="GO226" s="313"/>
      <c r="GP226" s="314"/>
      <c r="GQ226" s="314"/>
      <c r="GR226" s="313"/>
      <c r="GS226" s="313"/>
      <c r="GT226" s="589">
        <f>GN226+GT251</f>
        <v>0</v>
      </c>
      <c r="GU226" s="313"/>
      <c r="GV226" s="314"/>
      <c r="GW226" s="314"/>
      <c r="GX226" s="313"/>
      <c r="GY226" s="313"/>
      <c r="GZ226" s="591">
        <f>GT226+GZ251</f>
        <v>0</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0</v>
      </c>
      <c r="AU228" s="542"/>
      <c r="AV228" s="543"/>
      <c r="AW228" s="543"/>
      <c r="AX228" s="542"/>
      <c r="AY228" s="542"/>
      <c r="AZ228" s="541">
        <f>SUM(BC44:BC216)</f>
        <v>0</v>
      </c>
      <c r="BA228" s="311"/>
      <c r="BB228" s="312"/>
      <c r="BC228" s="312"/>
      <c r="BD228" s="311"/>
      <c r="BE228" s="311"/>
      <c r="BF228" s="541">
        <f>SUM(BI44:BI216)</f>
        <v>0</v>
      </c>
      <c r="BG228" s="311"/>
      <c r="BH228" s="312"/>
      <c r="BI228" s="312"/>
      <c r="BJ228" s="311"/>
      <c r="BK228" s="311"/>
      <c r="BL228" s="541">
        <f>SUM(BO44:BO216)</f>
        <v>0</v>
      </c>
      <c r="BM228" s="311"/>
      <c r="BN228" s="312"/>
      <c r="BO228" s="312"/>
      <c r="BP228" s="311"/>
      <c r="BQ228" s="311"/>
      <c r="BR228" s="541">
        <f>SUM(BU44:BU216)</f>
        <v>0</v>
      </c>
      <c r="BS228" s="542"/>
      <c r="BT228" s="543"/>
      <c r="BU228" s="543"/>
      <c r="BV228" s="542"/>
      <c r="BW228" s="542"/>
      <c r="BX228" s="541">
        <f>SUM(CA44:CA216)</f>
        <v>0</v>
      </c>
      <c r="BY228" s="311"/>
      <c r="BZ228" s="312"/>
      <c r="CA228" s="312"/>
      <c r="CB228" s="311"/>
      <c r="CC228" s="311"/>
      <c r="CD228" s="541">
        <f>SUM(CG44:CG216)</f>
        <v>0</v>
      </c>
      <c r="CE228" s="311"/>
      <c r="CF228" s="312"/>
      <c r="CG228" s="312"/>
      <c r="CH228" s="311"/>
      <c r="CI228" s="311"/>
      <c r="CJ228" s="541">
        <f>SUM(CM44:CM216)</f>
        <v>0</v>
      </c>
      <c r="CK228" s="311"/>
      <c r="CL228" s="312"/>
      <c r="CM228" s="312"/>
      <c r="CN228" s="311"/>
      <c r="CO228" s="311"/>
      <c r="CP228" s="541">
        <f>SUM(CS44:CS216)</f>
        <v>0</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0</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0</v>
      </c>
      <c r="V229" s="604">
        <f>V$31</f>
        <v>0</v>
      </c>
      <c r="W229" s="605"/>
      <c r="X229" s="606"/>
      <c r="Y229" s="606"/>
      <c r="Z229" s="605"/>
      <c r="AA229" s="605"/>
      <c r="AB229" s="604">
        <f>AB$31</f>
        <v>0</v>
      </c>
      <c r="AC229" s="607"/>
      <c r="AD229" s="608"/>
      <c r="AE229" s="608"/>
      <c r="AF229" s="607"/>
      <c r="AG229" s="607"/>
      <c r="AH229" s="604">
        <f>AH$31</f>
        <v>0</v>
      </c>
      <c r="AI229" s="605"/>
      <c r="AJ229" s="606"/>
      <c r="AK229" s="606"/>
      <c r="AL229" s="605"/>
      <c r="AM229" s="605"/>
      <c r="AN229" s="604">
        <f>AN$31</f>
        <v>0</v>
      </c>
      <c r="AO229" s="439"/>
      <c r="AP229" s="530"/>
      <c r="AQ229" s="530"/>
      <c r="AR229" s="439"/>
      <c r="AS229" s="439"/>
      <c r="AT229" s="609">
        <f t="shared" ref="AT229:DE229" si="262">IF(AT222=0,0,IF(AT31&gt;0,AT31,AN229-AT228))</f>
        <v>0</v>
      </c>
      <c r="AU229" s="609">
        <f t="shared" si="262"/>
        <v>0</v>
      </c>
      <c r="AV229" s="609">
        <f t="shared" si="262"/>
        <v>0</v>
      </c>
      <c r="AW229" s="609">
        <f t="shared" si="262"/>
        <v>0</v>
      </c>
      <c r="AX229" s="609">
        <f t="shared" si="262"/>
        <v>0</v>
      </c>
      <c r="AY229" s="609">
        <f t="shared" si="262"/>
        <v>0</v>
      </c>
      <c r="AZ229" s="609">
        <f t="shared" si="262"/>
        <v>0</v>
      </c>
      <c r="BA229" s="609">
        <f t="shared" si="262"/>
        <v>0</v>
      </c>
      <c r="BB229" s="609">
        <f t="shared" si="262"/>
        <v>0</v>
      </c>
      <c r="BC229" s="609">
        <f t="shared" si="262"/>
        <v>0</v>
      </c>
      <c r="BD229" s="609">
        <f t="shared" si="262"/>
        <v>0</v>
      </c>
      <c r="BE229" s="609">
        <f t="shared" si="262"/>
        <v>0</v>
      </c>
      <c r="BF229" s="609">
        <f t="shared" si="262"/>
        <v>0</v>
      </c>
      <c r="BG229" s="609">
        <f t="shared" si="262"/>
        <v>0</v>
      </c>
      <c r="BH229" s="609">
        <f t="shared" si="262"/>
        <v>0</v>
      </c>
      <c r="BI229" s="609">
        <f t="shared" si="262"/>
        <v>0</v>
      </c>
      <c r="BJ229" s="609">
        <f t="shared" si="262"/>
        <v>0</v>
      </c>
      <c r="BK229" s="609">
        <f t="shared" si="262"/>
        <v>0</v>
      </c>
      <c r="BL229" s="609">
        <f t="shared" si="262"/>
        <v>0</v>
      </c>
      <c r="BM229" s="609">
        <f t="shared" si="262"/>
        <v>0</v>
      </c>
      <c r="BN229" s="609">
        <f t="shared" si="262"/>
        <v>0</v>
      </c>
      <c r="BO229" s="609">
        <f t="shared" si="262"/>
        <v>0</v>
      </c>
      <c r="BP229" s="609">
        <f t="shared" si="262"/>
        <v>0</v>
      </c>
      <c r="BQ229" s="609">
        <f t="shared" si="262"/>
        <v>0</v>
      </c>
      <c r="BR229" s="609">
        <f t="shared" si="262"/>
        <v>0</v>
      </c>
      <c r="BS229" s="609">
        <f t="shared" si="262"/>
        <v>0</v>
      </c>
      <c r="BT229" s="609">
        <f t="shared" si="262"/>
        <v>0</v>
      </c>
      <c r="BU229" s="609">
        <f t="shared" si="262"/>
        <v>0</v>
      </c>
      <c r="BV229" s="609">
        <f t="shared" si="262"/>
        <v>0</v>
      </c>
      <c r="BW229" s="609">
        <f t="shared" si="262"/>
        <v>0</v>
      </c>
      <c r="BX229" s="609">
        <f t="shared" si="262"/>
        <v>0</v>
      </c>
      <c r="BY229" s="609">
        <f t="shared" si="262"/>
        <v>0</v>
      </c>
      <c r="BZ229" s="609">
        <f t="shared" si="262"/>
        <v>0</v>
      </c>
      <c r="CA229" s="609">
        <f t="shared" si="262"/>
        <v>0</v>
      </c>
      <c r="CB229" s="609">
        <f t="shared" si="262"/>
        <v>0</v>
      </c>
      <c r="CC229" s="609">
        <f t="shared" si="262"/>
        <v>0</v>
      </c>
      <c r="CD229" s="609">
        <f t="shared" si="262"/>
        <v>0</v>
      </c>
      <c r="CE229" s="609">
        <f t="shared" si="262"/>
        <v>0</v>
      </c>
      <c r="CF229" s="609">
        <f t="shared" si="262"/>
        <v>0</v>
      </c>
      <c r="CG229" s="609">
        <f t="shared" si="262"/>
        <v>0</v>
      </c>
      <c r="CH229" s="609">
        <f t="shared" si="262"/>
        <v>0</v>
      </c>
      <c r="CI229" s="609">
        <f t="shared" si="262"/>
        <v>0</v>
      </c>
      <c r="CJ229" s="609">
        <f t="shared" si="262"/>
        <v>0</v>
      </c>
      <c r="CK229" s="609">
        <f t="shared" si="262"/>
        <v>0</v>
      </c>
      <c r="CL229" s="609">
        <f t="shared" si="262"/>
        <v>0</v>
      </c>
      <c r="CM229" s="609">
        <f t="shared" si="262"/>
        <v>0</v>
      </c>
      <c r="CN229" s="609">
        <f t="shared" si="262"/>
        <v>0</v>
      </c>
      <c r="CO229" s="609">
        <f t="shared" si="262"/>
        <v>0</v>
      </c>
      <c r="CP229" s="609">
        <f t="shared" si="262"/>
        <v>0</v>
      </c>
      <c r="CQ229" s="609">
        <f t="shared" si="262"/>
        <v>0</v>
      </c>
      <c r="CR229" s="609">
        <f t="shared" si="262"/>
        <v>0</v>
      </c>
      <c r="CS229" s="609">
        <f t="shared" si="262"/>
        <v>0</v>
      </c>
      <c r="CT229" s="609">
        <f t="shared" si="262"/>
        <v>0</v>
      </c>
      <c r="CU229" s="609">
        <f t="shared" si="262"/>
        <v>0</v>
      </c>
      <c r="CV229" s="609">
        <f t="shared" si="262"/>
        <v>0</v>
      </c>
      <c r="CW229" s="609">
        <f t="shared" si="262"/>
        <v>0</v>
      </c>
      <c r="CX229" s="609">
        <f t="shared" si="262"/>
        <v>0</v>
      </c>
      <c r="CY229" s="609">
        <f t="shared" si="262"/>
        <v>0</v>
      </c>
      <c r="CZ229" s="609">
        <f t="shared" si="262"/>
        <v>0</v>
      </c>
      <c r="DA229" s="609">
        <f t="shared" si="262"/>
        <v>0</v>
      </c>
      <c r="DB229" s="609">
        <f t="shared" si="262"/>
        <v>0</v>
      </c>
      <c r="DC229" s="609">
        <f t="shared" si="262"/>
        <v>0</v>
      </c>
      <c r="DD229" s="609">
        <f t="shared" si="262"/>
        <v>0</v>
      </c>
      <c r="DE229" s="609">
        <f t="shared" si="262"/>
        <v>0</v>
      </c>
      <c r="DF229" s="609">
        <f t="shared" ref="DF229:FQ229" si="263">IF(DF222=0,0,IF(DF31&gt;0,DF31,CZ229-DF228))</f>
        <v>0</v>
      </c>
      <c r="DG229" s="609">
        <f t="shared" si="263"/>
        <v>0</v>
      </c>
      <c r="DH229" s="609">
        <f t="shared" si="263"/>
        <v>0</v>
      </c>
      <c r="DI229" s="609">
        <f t="shared" si="263"/>
        <v>0</v>
      </c>
      <c r="DJ229" s="609">
        <f t="shared" si="263"/>
        <v>0</v>
      </c>
      <c r="DK229" s="609">
        <f t="shared" si="263"/>
        <v>0</v>
      </c>
      <c r="DL229" s="609">
        <f t="shared" si="263"/>
        <v>0</v>
      </c>
      <c r="DM229" s="609">
        <f t="shared" si="263"/>
        <v>0</v>
      </c>
      <c r="DN229" s="609">
        <f t="shared" si="263"/>
        <v>0</v>
      </c>
      <c r="DO229" s="609">
        <f t="shared" si="263"/>
        <v>0</v>
      </c>
      <c r="DP229" s="609">
        <f t="shared" si="263"/>
        <v>0</v>
      </c>
      <c r="DQ229" s="609">
        <f t="shared" si="263"/>
        <v>0</v>
      </c>
      <c r="DR229" s="609">
        <f t="shared" si="263"/>
        <v>0</v>
      </c>
      <c r="DS229" s="609">
        <f t="shared" si="263"/>
        <v>0</v>
      </c>
      <c r="DT229" s="609">
        <f t="shared" si="263"/>
        <v>0</v>
      </c>
      <c r="DU229" s="609">
        <f t="shared" si="263"/>
        <v>0</v>
      </c>
      <c r="DV229" s="609">
        <f t="shared" si="263"/>
        <v>0</v>
      </c>
      <c r="DW229" s="609">
        <f t="shared" si="263"/>
        <v>0</v>
      </c>
      <c r="DX229" s="609">
        <f t="shared" si="263"/>
        <v>0</v>
      </c>
      <c r="DY229" s="609">
        <f t="shared" si="263"/>
        <v>0</v>
      </c>
      <c r="DZ229" s="609">
        <f t="shared" si="263"/>
        <v>0</v>
      </c>
      <c r="EA229" s="609">
        <f t="shared" si="263"/>
        <v>0</v>
      </c>
      <c r="EB229" s="609">
        <f t="shared" si="263"/>
        <v>0</v>
      </c>
      <c r="EC229" s="609">
        <f t="shared" si="263"/>
        <v>0</v>
      </c>
      <c r="ED229" s="609">
        <f t="shared" si="263"/>
        <v>0</v>
      </c>
      <c r="EE229" s="609">
        <f t="shared" si="263"/>
        <v>0</v>
      </c>
      <c r="EF229" s="609">
        <f t="shared" si="263"/>
        <v>0</v>
      </c>
      <c r="EG229" s="609">
        <f t="shared" si="263"/>
        <v>0</v>
      </c>
      <c r="EH229" s="609">
        <f t="shared" si="263"/>
        <v>0</v>
      </c>
      <c r="EI229" s="609">
        <f t="shared" si="263"/>
        <v>0</v>
      </c>
      <c r="EJ229" s="609">
        <f t="shared" si="263"/>
        <v>0</v>
      </c>
      <c r="EK229" s="609">
        <f t="shared" si="263"/>
        <v>0</v>
      </c>
      <c r="EL229" s="609">
        <f t="shared" si="263"/>
        <v>0</v>
      </c>
      <c r="EM229" s="609">
        <f t="shared" si="263"/>
        <v>0</v>
      </c>
      <c r="EN229" s="609">
        <f t="shared" si="263"/>
        <v>0</v>
      </c>
      <c r="EO229" s="609">
        <f t="shared" si="263"/>
        <v>0</v>
      </c>
      <c r="EP229" s="609">
        <f t="shared" si="263"/>
        <v>0</v>
      </c>
      <c r="EQ229" s="609">
        <f t="shared" si="263"/>
        <v>0</v>
      </c>
      <c r="ER229" s="609">
        <f t="shared" si="263"/>
        <v>0</v>
      </c>
      <c r="ES229" s="609">
        <f t="shared" si="263"/>
        <v>0</v>
      </c>
      <c r="ET229" s="609">
        <f t="shared" si="263"/>
        <v>0</v>
      </c>
      <c r="EU229" s="609">
        <f t="shared" si="263"/>
        <v>0</v>
      </c>
      <c r="EV229" s="609">
        <f t="shared" si="263"/>
        <v>0</v>
      </c>
      <c r="EW229" s="609">
        <f t="shared" si="263"/>
        <v>0</v>
      </c>
      <c r="EX229" s="609">
        <f t="shared" si="263"/>
        <v>0</v>
      </c>
      <c r="EY229" s="609">
        <f t="shared" si="263"/>
        <v>0</v>
      </c>
      <c r="EZ229" s="609">
        <f t="shared" si="263"/>
        <v>0</v>
      </c>
      <c r="FA229" s="609">
        <f t="shared" si="263"/>
        <v>0</v>
      </c>
      <c r="FB229" s="609">
        <f t="shared" si="263"/>
        <v>0</v>
      </c>
      <c r="FC229" s="609">
        <f t="shared" si="263"/>
        <v>0</v>
      </c>
      <c r="FD229" s="609">
        <f t="shared" si="263"/>
        <v>0</v>
      </c>
      <c r="FE229" s="609">
        <f t="shared" si="263"/>
        <v>0</v>
      </c>
      <c r="FF229" s="609">
        <f t="shared" si="263"/>
        <v>0</v>
      </c>
      <c r="FG229" s="609">
        <f t="shared" si="263"/>
        <v>0</v>
      </c>
      <c r="FH229" s="609">
        <f t="shared" si="263"/>
        <v>0</v>
      </c>
      <c r="FI229" s="609">
        <f t="shared" si="263"/>
        <v>0</v>
      </c>
      <c r="FJ229" s="609">
        <f t="shared" si="263"/>
        <v>0</v>
      </c>
      <c r="FK229" s="609">
        <f t="shared" si="263"/>
        <v>0</v>
      </c>
      <c r="FL229" s="609">
        <f t="shared" si="263"/>
        <v>0</v>
      </c>
      <c r="FM229" s="609">
        <f t="shared" si="263"/>
        <v>0</v>
      </c>
      <c r="FN229" s="609">
        <f t="shared" si="263"/>
        <v>0</v>
      </c>
      <c r="FO229" s="609">
        <f t="shared" si="263"/>
        <v>0</v>
      </c>
      <c r="FP229" s="609">
        <f t="shared" si="263"/>
        <v>0</v>
      </c>
      <c r="FQ229" s="609">
        <f t="shared" si="263"/>
        <v>0</v>
      </c>
      <c r="FR229" s="609">
        <f t="shared" ref="FR229:GZ229" si="264">IF(FR222=0,0,IF(FR31&gt;0,FR31,FL229-FR228))</f>
        <v>0</v>
      </c>
      <c r="FS229" s="609">
        <f t="shared" si="264"/>
        <v>0</v>
      </c>
      <c r="FT229" s="609">
        <f t="shared" si="264"/>
        <v>0</v>
      </c>
      <c r="FU229" s="609">
        <f t="shared" si="264"/>
        <v>0</v>
      </c>
      <c r="FV229" s="609">
        <f t="shared" si="264"/>
        <v>0</v>
      </c>
      <c r="FW229" s="609">
        <f t="shared" si="264"/>
        <v>0</v>
      </c>
      <c r="FX229" s="609">
        <f t="shared" si="264"/>
        <v>0</v>
      </c>
      <c r="FY229" s="609">
        <f t="shared" si="264"/>
        <v>0</v>
      </c>
      <c r="FZ229" s="609">
        <f t="shared" si="264"/>
        <v>0</v>
      </c>
      <c r="GA229" s="609">
        <f t="shared" si="264"/>
        <v>0</v>
      </c>
      <c r="GB229" s="609">
        <f t="shared" si="264"/>
        <v>0</v>
      </c>
      <c r="GC229" s="609">
        <f t="shared" si="264"/>
        <v>0</v>
      </c>
      <c r="GD229" s="609">
        <f t="shared" si="264"/>
        <v>0</v>
      </c>
      <c r="GE229" s="609">
        <f t="shared" si="264"/>
        <v>0</v>
      </c>
      <c r="GF229" s="609">
        <f t="shared" si="264"/>
        <v>0</v>
      </c>
      <c r="GG229" s="609">
        <f t="shared" si="264"/>
        <v>0</v>
      </c>
      <c r="GH229" s="609">
        <f t="shared" si="264"/>
        <v>0</v>
      </c>
      <c r="GI229" s="609">
        <f t="shared" si="264"/>
        <v>0</v>
      </c>
      <c r="GJ229" s="609">
        <f t="shared" si="264"/>
        <v>0</v>
      </c>
      <c r="GK229" s="609">
        <f t="shared" si="264"/>
        <v>0</v>
      </c>
      <c r="GL229" s="609">
        <f t="shared" si="264"/>
        <v>0</v>
      </c>
      <c r="GM229" s="609">
        <f t="shared" si="264"/>
        <v>0</v>
      </c>
      <c r="GN229" s="609">
        <f t="shared" si="264"/>
        <v>0</v>
      </c>
      <c r="GO229" s="609">
        <f t="shared" si="264"/>
        <v>0</v>
      </c>
      <c r="GP229" s="609">
        <f t="shared" si="264"/>
        <v>0</v>
      </c>
      <c r="GQ229" s="609">
        <f t="shared" si="264"/>
        <v>0</v>
      </c>
      <c r="GR229" s="609">
        <f t="shared" si="264"/>
        <v>0</v>
      </c>
      <c r="GS229" s="609">
        <f t="shared" si="264"/>
        <v>0</v>
      </c>
      <c r="GT229" s="609">
        <f t="shared" si="264"/>
        <v>0</v>
      </c>
      <c r="GU229" s="609">
        <f t="shared" si="264"/>
        <v>0</v>
      </c>
      <c r="GV229" s="609">
        <f t="shared" si="264"/>
        <v>0</v>
      </c>
      <c r="GW229" s="609">
        <f t="shared" si="264"/>
        <v>0</v>
      </c>
      <c r="GX229" s="609">
        <f t="shared" si="264"/>
        <v>0</v>
      </c>
      <c r="GY229" s="609">
        <f t="shared" si="264"/>
        <v>0</v>
      </c>
      <c r="GZ229" s="609">
        <f t="shared" si="264"/>
        <v>0</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0</v>
      </c>
      <c r="V230" s="604">
        <f>(IF(V222=0,0,V229/V222))</f>
        <v>0</v>
      </c>
      <c r="W230" s="611"/>
      <c r="X230" s="612"/>
      <c r="Y230" s="612"/>
      <c r="Z230" s="611"/>
      <c r="AA230" s="611"/>
      <c r="AB230" s="604">
        <f>(IF(AB222=0,0,AB229/AB222))</f>
        <v>0</v>
      </c>
      <c r="AC230" s="611"/>
      <c r="AD230" s="612"/>
      <c r="AE230" s="612"/>
      <c r="AF230" s="611"/>
      <c r="AG230" s="611"/>
      <c r="AH230" s="604">
        <f>(IF(AH222=0,0,AH229/AH222))</f>
        <v>0</v>
      </c>
      <c r="AI230" s="611"/>
      <c r="AJ230" s="612"/>
      <c r="AK230" s="612"/>
      <c r="AL230" s="611"/>
      <c r="AM230" s="611"/>
      <c r="AN230" s="604">
        <f>(IF(AN222=0,0,AN229/AN222))</f>
        <v>0</v>
      </c>
      <c r="AO230" s="439"/>
      <c r="AP230" s="530"/>
      <c r="AQ230" s="530"/>
      <c r="AR230" s="439"/>
      <c r="AS230" s="439"/>
      <c r="AT230" s="609">
        <f>(IF(AT222=0,0,AT229/AT222))</f>
        <v>0</v>
      </c>
      <c r="AU230" s="574"/>
      <c r="AV230" s="575"/>
      <c r="AW230" s="575"/>
      <c r="AX230" s="574"/>
      <c r="AY230" s="574"/>
      <c r="AZ230" s="604">
        <f>(IF(AZ222=0,0,AZ229/AZ222))</f>
        <v>0</v>
      </c>
      <c r="BA230" s="315"/>
      <c r="BB230" s="316"/>
      <c r="BC230" s="316"/>
      <c r="BD230" s="315"/>
      <c r="BE230" s="315"/>
      <c r="BF230" s="604">
        <f>(IF(BF222=0,0,BF229/BF222))</f>
        <v>0</v>
      </c>
      <c r="BG230" s="315"/>
      <c r="BH230" s="316"/>
      <c r="BI230" s="316"/>
      <c r="BJ230" s="315"/>
      <c r="BK230" s="315"/>
      <c r="BL230" s="604">
        <f>(IF(BL222=0,0,BL229/BL222))</f>
        <v>0</v>
      </c>
      <c r="BM230" s="315"/>
      <c r="BN230" s="316"/>
      <c r="BO230" s="316"/>
      <c r="BP230" s="315"/>
      <c r="BQ230" s="315"/>
      <c r="BR230" s="604">
        <f>(IF(BR222=0,0,BR229/BR222))</f>
        <v>0</v>
      </c>
      <c r="BS230" s="574"/>
      <c r="BT230" s="575"/>
      <c r="BU230" s="575"/>
      <c r="BV230" s="574"/>
      <c r="BW230" s="574"/>
      <c r="BX230" s="604">
        <f>(IF(BX222=0,0,BX229/BX222))</f>
        <v>0</v>
      </c>
      <c r="BY230" s="315"/>
      <c r="BZ230" s="316"/>
      <c r="CA230" s="316"/>
      <c r="CB230" s="315"/>
      <c r="CC230" s="315"/>
      <c r="CD230" s="604">
        <f>(IF(CD222=0,0,CD229/CD222))</f>
        <v>0</v>
      </c>
      <c r="CE230" s="315"/>
      <c r="CF230" s="316"/>
      <c r="CG230" s="316"/>
      <c r="CH230" s="315"/>
      <c r="CI230" s="315"/>
      <c r="CJ230" s="604">
        <f>(IF(CJ222=0,0,CJ229/CJ222))</f>
        <v>0</v>
      </c>
      <c r="CK230" s="315"/>
      <c r="CL230" s="316"/>
      <c r="CM230" s="316"/>
      <c r="CN230" s="315"/>
      <c r="CO230" s="315"/>
      <c r="CP230" s="604">
        <f>(IF(CP222=0,0,CP229/CP222))</f>
        <v>0</v>
      </c>
      <c r="CQ230" s="577"/>
      <c r="CR230" s="575"/>
      <c r="CS230" s="575"/>
      <c r="CT230" s="577"/>
      <c r="CU230" s="577"/>
      <c r="CV230" s="604">
        <f>(IF(CV222=0,0,CV229/CV222))</f>
        <v>0</v>
      </c>
      <c r="CW230" s="577"/>
      <c r="CX230" s="575"/>
      <c r="CY230" s="575"/>
      <c r="CZ230" s="577"/>
      <c r="DA230" s="577"/>
      <c r="DB230" s="604">
        <f>(IF(DB222=0,0,DB229/DB222))</f>
        <v>0</v>
      </c>
      <c r="DC230" s="315"/>
      <c r="DD230" s="316"/>
      <c r="DE230" s="316"/>
      <c r="DF230" s="315"/>
      <c r="DG230" s="315"/>
      <c r="DH230" s="604">
        <f>(IF(DH222=0,0,DH229/DH222))</f>
        <v>0</v>
      </c>
      <c r="DI230" s="315"/>
      <c r="DJ230" s="316"/>
      <c r="DK230" s="316"/>
      <c r="DL230" s="315"/>
      <c r="DM230" s="315"/>
      <c r="DN230" s="604">
        <f>(IF(DN222=0,0,DN229/DN222))</f>
        <v>0</v>
      </c>
      <c r="DO230" s="315"/>
      <c r="DP230" s="316"/>
      <c r="DQ230" s="316"/>
      <c r="DR230" s="315"/>
      <c r="DS230" s="315"/>
      <c r="DT230" s="604">
        <f>(IF(DT222=0,0,DT229/DT222))</f>
        <v>0</v>
      </c>
      <c r="DU230" s="315"/>
      <c r="DV230" s="316"/>
      <c r="DW230" s="316"/>
      <c r="DX230" s="315"/>
      <c r="DY230" s="315"/>
      <c r="DZ230" s="604">
        <f>(IF(DZ222=0,0,DZ229/DZ222))</f>
        <v>0</v>
      </c>
      <c r="EA230" s="315"/>
      <c r="EB230" s="316"/>
      <c r="EC230" s="316"/>
      <c r="ED230" s="315"/>
      <c r="EE230" s="315"/>
      <c r="EF230" s="604">
        <f>(IF(EF222=0,0,EF229/EF222))</f>
        <v>0</v>
      </c>
      <c r="EG230" s="315"/>
      <c r="EH230" s="316"/>
      <c r="EI230" s="316"/>
      <c r="EJ230" s="315"/>
      <c r="EK230" s="315"/>
      <c r="EL230" s="604">
        <f>(IF(EL222=0,0,EL229/EL222))</f>
        <v>0</v>
      </c>
      <c r="EM230" s="315"/>
      <c r="EN230" s="316"/>
      <c r="EO230" s="316"/>
      <c r="EP230" s="315"/>
      <c r="EQ230" s="315"/>
      <c r="ER230" s="604">
        <f>(IF(ER222=0,0,ER229/ER222))</f>
        <v>0</v>
      </c>
      <c r="ES230" s="315"/>
      <c r="ET230" s="316"/>
      <c r="EU230" s="316"/>
      <c r="EV230" s="315"/>
      <c r="EW230" s="315"/>
      <c r="EX230" s="604">
        <f>(IF(EX222=0,0,EX229/EX222))</f>
        <v>0</v>
      </c>
      <c r="EY230" s="315"/>
      <c r="EZ230" s="316"/>
      <c r="FA230" s="316"/>
      <c r="FB230" s="315"/>
      <c r="FC230" s="315"/>
      <c r="FD230" s="604">
        <f>(IF(FD222=0,0,FD229/FD222))</f>
        <v>0</v>
      </c>
      <c r="FE230" s="315"/>
      <c r="FF230" s="316"/>
      <c r="FG230" s="316"/>
      <c r="FH230" s="315"/>
      <c r="FI230" s="315"/>
      <c r="FJ230" s="604">
        <f>(IF(FJ222=0,0,FJ229/FJ222))</f>
        <v>0</v>
      </c>
      <c r="FK230" s="315"/>
      <c r="FL230" s="316"/>
      <c r="FM230" s="316"/>
      <c r="FN230" s="315"/>
      <c r="FO230" s="315"/>
      <c r="FP230" s="604">
        <f>(IF(FP222=0,0,FP229/FP222))</f>
        <v>0</v>
      </c>
      <c r="FQ230" s="315"/>
      <c r="FR230" s="316"/>
      <c r="FS230" s="316"/>
      <c r="FT230" s="315"/>
      <c r="FU230" s="315"/>
      <c r="FV230" s="604">
        <f>(IF(FV222=0,0,FV229/FV222))</f>
        <v>0</v>
      </c>
      <c r="FW230" s="315"/>
      <c r="FX230" s="316"/>
      <c r="FY230" s="316"/>
      <c r="FZ230" s="315"/>
      <c r="GA230" s="315"/>
      <c r="GB230" s="604">
        <f>(IF(GB222=0,0,GB229/GB222))</f>
        <v>0</v>
      </c>
      <c r="GC230" s="315"/>
      <c r="GD230" s="316"/>
      <c r="GE230" s="316"/>
      <c r="GF230" s="315"/>
      <c r="GG230" s="315"/>
      <c r="GH230" s="604">
        <f>(IF(GH222=0,0,GH229/GH222))</f>
        <v>0</v>
      </c>
      <c r="GI230" s="315"/>
      <c r="GJ230" s="316"/>
      <c r="GK230" s="316"/>
      <c r="GL230" s="315"/>
      <c r="GM230" s="315"/>
      <c r="GN230" s="604">
        <f>(IF(GN222=0,0,GN229/GN222))</f>
        <v>0</v>
      </c>
      <c r="GO230" s="315"/>
      <c r="GP230" s="316"/>
      <c r="GQ230" s="316"/>
      <c r="GR230" s="315"/>
      <c r="GS230" s="315"/>
      <c r="GT230" s="604">
        <f>(IF(GT222=0,0,GT229/GT222))</f>
        <v>0</v>
      </c>
      <c r="GU230" s="315"/>
      <c r="GV230" s="316"/>
      <c r="GW230" s="316"/>
      <c r="GX230" s="315"/>
      <c r="GY230" s="315"/>
      <c r="GZ230" s="610">
        <f>(IF(GZ222=0,0,GZ229/GZ222))</f>
        <v>0</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0</v>
      </c>
      <c r="AU231" s="315"/>
      <c r="AV231" s="316"/>
      <c r="AW231" s="316"/>
      <c r="AX231" s="315"/>
      <c r="AY231" s="315"/>
      <c r="AZ231" s="604">
        <f>SUM(BB44:BB216)</f>
        <v>0</v>
      </c>
      <c r="BA231" s="315"/>
      <c r="BB231" s="316"/>
      <c r="BC231" s="316"/>
      <c r="BD231" s="315"/>
      <c r="BE231" s="315"/>
      <c r="BF231" s="604">
        <f>SUM(BH44:BH216)</f>
        <v>0</v>
      </c>
      <c r="BG231" s="315"/>
      <c r="BH231" s="316"/>
      <c r="BI231" s="316"/>
      <c r="BJ231" s="315"/>
      <c r="BK231" s="315"/>
      <c r="BL231" s="604">
        <f>SUM(BN44:BN216)</f>
        <v>0</v>
      </c>
      <c r="BM231" s="315"/>
      <c r="BN231" s="316"/>
      <c r="BO231" s="316"/>
      <c r="BP231" s="315"/>
      <c r="BQ231" s="315"/>
      <c r="BR231" s="604">
        <f>SUM(BT44:BT216)</f>
        <v>0</v>
      </c>
      <c r="BS231" s="315"/>
      <c r="BT231" s="316"/>
      <c r="BU231" s="316"/>
      <c r="BV231" s="315"/>
      <c r="BW231" s="315"/>
      <c r="BX231" s="604">
        <f>SUM(BZ44:BZ216)</f>
        <v>0</v>
      </c>
      <c r="BY231" s="315"/>
      <c r="BZ231" s="316"/>
      <c r="CA231" s="316"/>
      <c r="CB231" s="315"/>
      <c r="CC231" s="315"/>
      <c r="CD231" s="604">
        <f>SUM(CF44:CF216)</f>
        <v>0</v>
      </c>
      <c r="CE231" s="315"/>
      <c r="CF231" s="316"/>
      <c r="CG231" s="316"/>
      <c r="CH231" s="315"/>
      <c r="CI231" s="315"/>
      <c r="CJ231" s="604">
        <f>SUM(CL44:CL216)</f>
        <v>0</v>
      </c>
      <c r="CK231" s="315"/>
      <c r="CL231" s="316"/>
      <c r="CM231" s="316"/>
      <c r="CN231" s="315"/>
      <c r="CO231" s="315"/>
      <c r="CP231" s="604">
        <f>SUM(CR44:CR216)</f>
        <v>0</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0</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0</v>
      </c>
      <c r="V232" s="604">
        <f>V$32</f>
        <v>0</v>
      </c>
      <c r="W232" s="605"/>
      <c r="X232" s="606"/>
      <c r="Y232" s="606"/>
      <c r="Z232" s="605"/>
      <c r="AA232" s="605"/>
      <c r="AB232" s="604">
        <f>AB$32</f>
        <v>0</v>
      </c>
      <c r="AC232" s="605"/>
      <c r="AD232" s="606"/>
      <c r="AE232" s="606"/>
      <c r="AF232" s="605"/>
      <c r="AG232" s="605"/>
      <c r="AH232" s="604">
        <f>AH$32</f>
        <v>0</v>
      </c>
      <c r="AI232" s="605"/>
      <c r="AJ232" s="606"/>
      <c r="AK232" s="606"/>
      <c r="AL232" s="605"/>
      <c r="AM232" s="605"/>
      <c r="AN232" s="604">
        <f>AN$32</f>
        <v>0</v>
      </c>
      <c r="AO232" s="439"/>
      <c r="AP232" s="530"/>
      <c r="AQ232" s="530"/>
      <c r="AR232" s="439"/>
      <c r="AS232" s="439"/>
      <c r="AT232" s="609">
        <f t="shared" ref="AT232:DE232" si="265">IF(AT222=0,0,IF(AT32&gt;0,AT32,AN232-AT231))</f>
        <v>0</v>
      </c>
      <c r="AU232" s="609">
        <f t="shared" si="265"/>
        <v>0</v>
      </c>
      <c r="AV232" s="609">
        <f t="shared" si="265"/>
        <v>0</v>
      </c>
      <c r="AW232" s="609">
        <f t="shared" si="265"/>
        <v>0</v>
      </c>
      <c r="AX232" s="609">
        <f t="shared" si="265"/>
        <v>0</v>
      </c>
      <c r="AY232" s="609">
        <f t="shared" si="265"/>
        <v>0</v>
      </c>
      <c r="AZ232" s="609">
        <f t="shared" si="265"/>
        <v>0</v>
      </c>
      <c r="BA232" s="609">
        <f t="shared" si="265"/>
        <v>0</v>
      </c>
      <c r="BB232" s="609">
        <f t="shared" si="265"/>
        <v>0</v>
      </c>
      <c r="BC232" s="609">
        <f t="shared" si="265"/>
        <v>0</v>
      </c>
      <c r="BD232" s="609">
        <f t="shared" si="265"/>
        <v>0</v>
      </c>
      <c r="BE232" s="609">
        <f t="shared" si="265"/>
        <v>0</v>
      </c>
      <c r="BF232" s="609">
        <f t="shared" si="265"/>
        <v>0</v>
      </c>
      <c r="BG232" s="609">
        <f t="shared" si="265"/>
        <v>0</v>
      </c>
      <c r="BH232" s="609">
        <f t="shared" si="265"/>
        <v>0</v>
      </c>
      <c r="BI232" s="609">
        <f t="shared" si="265"/>
        <v>0</v>
      </c>
      <c r="BJ232" s="609">
        <f t="shared" si="265"/>
        <v>0</v>
      </c>
      <c r="BK232" s="609">
        <f t="shared" si="265"/>
        <v>0</v>
      </c>
      <c r="BL232" s="609">
        <f t="shared" si="265"/>
        <v>0</v>
      </c>
      <c r="BM232" s="609">
        <f t="shared" si="265"/>
        <v>0</v>
      </c>
      <c r="BN232" s="609">
        <f t="shared" si="265"/>
        <v>0</v>
      </c>
      <c r="BO232" s="609">
        <f t="shared" si="265"/>
        <v>0</v>
      </c>
      <c r="BP232" s="609">
        <f t="shared" si="265"/>
        <v>0</v>
      </c>
      <c r="BQ232" s="609">
        <f t="shared" si="265"/>
        <v>0</v>
      </c>
      <c r="BR232" s="609">
        <f t="shared" si="265"/>
        <v>0</v>
      </c>
      <c r="BS232" s="609">
        <f t="shared" si="265"/>
        <v>0</v>
      </c>
      <c r="BT232" s="609">
        <f t="shared" si="265"/>
        <v>0</v>
      </c>
      <c r="BU232" s="609">
        <f t="shared" si="265"/>
        <v>0</v>
      </c>
      <c r="BV232" s="609">
        <f t="shared" si="265"/>
        <v>0</v>
      </c>
      <c r="BW232" s="609">
        <f t="shared" si="265"/>
        <v>0</v>
      </c>
      <c r="BX232" s="609">
        <f t="shared" si="265"/>
        <v>0</v>
      </c>
      <c r="BY232" s="609">
        <f t="shared" si="265"/>
        <v>0</v>
      </c>
      <c r="BZ232" s="609">
        <f t="shared" si="265"/>
        <v>0</v>
      </c>
      <c r="CA232" s="609">
        <f t="shared" si="265"/>
        <v>0</v>
      </c>
      <c r="CB232" s="609">
        <f t="shared" si="265"/>
        <v>0</v>
      </c>
      <c r="CC232" s="609">
        <f t="shared" si="265"/>
        <v>0</v>
      </c>
      <c r="CD232" s="609">
        <f t="shared" si="265"/>
        <v>0</v>
      </c>
      <c r="CE232" s="609">
        <f t="shared" si="265"/>
        <v>0</v>
      </c>
      <c r="CF232" s="609">
        <f t="shared" si="265"/>
        <v>0</v>
      </c>
      <c r="CG232" s="609">
        <f t="shared" si="265"/>
        <v>0</v>
      </c>
      <c r="CH232" s="609">
        <f t="shared" si="265"/>
        <v>0</v>
      </c>
      <c r="CI232" s="609">
        <f t="shared" si="265"/>
        <v>0</v>
      </c>
      <c r="CJ232" s="609">
        <f t="shared" si="265"/>
        <v>0</v>
      </c>
      <c r="CK232" s="609">
        <f t="shared" si="265"/>
        <v>0</v>
      </c>
      <c r="CL232" s="609">
        <f t="shared" si="265"/>
        <v>0</v>
      </c>
      <c r="CM232" s="609">
        <f t="shared" si="265"/>
        <v>0</v>
      </c>
      <c r="CN232" s="609">
        <f t="shared" si="265"/>
        <v>0</v>
      </c>
      <c r="CO232" s="609">
        <f t="shared" si="265"/>
        <v>0</v>
      </c>
      <c r="CP232" s="609">
        <f t="shared" si="265"/>
        <v>0</v>
      </c>
      <c r="CQ232" s="609">
        <f t="shared" si="265"/>
        <v>0</v>
      </c>
      <c r="CR232" s="609">
        <f t="shared" si="265"/>
        <v>0</v>
      </c>
      <c r="CS232" s="609">
        <f t="shared" si="265"/>
        <v>0</v>
      </c>
      <c r="CT232" s="609">
        <f t="shared" si="265"/>
        <v>0</v>
      </c>
      <c r="CU232" s="609">
        <f t="shared" si="265"/>
        <v>0</v>
      </c>
      <c r="CV232" s="609">
        <f t="shared" si="265"/>
        <v>0</v>
      </c>
      <c r="CW232" s="609">
        <f t="shared" si="265"/>
        <v>0</v>
      </c>
      <c r="CX232" s="609">
        <f t="shared" si="265"/>
        <v>0</v>
      </c>
      <c r="CY232" s="609">
        <f t="shared" si="265"/>
        <v>0</v>
      </c>
      <c r="CZ232" s="609">
        <f t="shared" si="265"/>
        <v>0</v>
      </c>
      <c r="DA232" s="609">
        <f t="shared" si="265"/>
        <v>0</v>
      </c>
      <c r="DB232" s="609">
        <f t="shared" si="265"/>
        <v>0</v>
      </c>
      <c r="DC232" s="609">
        <f t="shared" si="265"/>
        <v>0</v>
      </c>
      <c r="DD232" s="609">
        <f t="shared" si="265"/>
        <v>0</v>
      </c>
      <c r="DE232" s="609">
        <f t="shared" si="265"/>
        <v>0</v>
      </c>
      <c r="DF232" s="609">
        <f t="shared" ref="DF232:FQ232" si="266">IF(DF222=0,0,IF(DF32&gt;0,DF32,CZ232-DF231))</f>
        <v>0</v>
      </c>
      <c r="DG232" s="609">
        <f t="shared" si="266"/>
        <v>0</v>
      </c>
      <c r="DH232" s="609">
        <f t="shared" si="266"/>
        <v>0</v>
      </c>
      <c r="DI232" s="609">
        <f t="shared" si="266"/>
        <v>0</v>
      </c>
      <c r="DJ232" s="609">
        <f t="shared" si="266"/>
        <v>0</v>
      </c>
      <c r="DK232" s="609">
        <f t="shared" si="266"/>
        <v>0</v>
      </c>
      <c r="DL232" s="609">
        <f t="shared" si="266"/>
        <v>0</v>
      </c>
      <c r="DM232" s="609">
        <f t="shared" si="266"/>
        <v>0</v>
      </c>
      <c r="DN232" s="609">
        <f t="shared" si="266"/>
        <v>0</v>
      </c>
      <c r="DO232" s="609">
        <f t="shared" si="266"/>
        <v>0</v>
      </c>
      <c r="DP232" s="609">
        <f t="shared" si="266"/>
        <v>0</v>
      </c>
      <c r="DQ232" s="609">
        <f t="shared" si="266"/>
        <v>0</v>
      </c>
      <c r="DR232" s="609">
        <f t="shared" si="266"/>
        <v>0</v>
      </c>
      <c r="DS232" s="609">
        <f t="shared" si="266"/>
        <v>0</v>
      </c>
      <c r="DT232" s="609">
        <f t="shared" si="266"/>
        <v>0</v>
      </c>
      <c r="DU232" s="609">
        <f t="shared" si="266"/>
        <v>0</v>
      </c>
      <c r="DV232" s="609">
        <f t="shared" si="266"/>
        <v>0</v>
      </c>
      <c r="DW232" s="609">
        <f t="shared" si="266"/>
        <v>0</v>
      </c>
      <c r="DX232" s="609">
        <f t="shared" si="266"/>
        <v>0</v>
      </c>
      <c r="DY232" s="609">
        <f t="shared" si="266"/>
        <v>0</v>
      </c>
      <c r="DZ232" s="609">
        <f t="shared" si="266"/>
        <v>0</v>
      </c>
      <c r="EA232" s="609">
        <f t="shared" si="266"/>
        <v>0</v>
      </c>
      <c r="EB232" s="609">
        <f t="shared" si="266"/>
        <v>0</v>
      </c>
      <c r="EC232" s="609">
        <f t="shared" si="266"/>
        <v>0</v>
      </c>
      <c r="ED232" s="609">
        <f t="shared" si="266"/>
        <v>0</v>
      </c>
      <c r="EE232" s="609">
        <f t="shared" si="266"/>
        <v>0</v>
      </c>
      <c r="EF232" s="609">
        <f t="shared" si="266"/>
        <v>0</v>
      </c>
      <c r="EG232" s="609">
        <f t="shared" si="266"/>
        <v>0</v>
      </c>
      <c r="EH232" s="609">
        <f t="shared" si="266"/>
        <v>0</v>
      </c>
      <c r="EI232" s="609">
        <f t="shared" si="266"/>
        <v>0</v>
      </c>
      <c r="EJ232" s="609">
        <f t="shared" si="266"/>
        <v>0</v>
      </c>
      <c r="EK232" s="609">
        <f t="shared" si="266"/>
        <v>0</v>
      </c>
      <c r="EL232" s="609">
        <f t="shared" si="266"/>
        <v>0</v>
      </c>
      <c r="EM232" s="609">
        <f t="shared" si="266"/>
        <v>0</v>
      </c>
      <c r="EN232" s="609">
        <f t="shared" si="266"/>
        <v>0</v>
      </c>
      <c r="EO232" s="609">
        <f t="shared" si="266"/>
        <v>0</v>
      </c>
      <c r="EP232" s="609">
        <f t="shared" si="266"/>
        <v>0</v>
      </c>
      <c r="EQ232" s="609">
        <f t="shared" si="266"/>
        <v>0</v>
      </c>
      <c r="ER232" s="609">
        <f t="shared" si="266"/>
        <v>0</v>
      </c>
      <c r="ES232" s="609">
        <f t="shared" si="266"/>
        <v>0</v>
      </c>
      <c r="ET232" s="609">
        <f t="shared" si="266"/>
        <v>0</v>
      </c>
      <c r="EU232" s="609">
        <f t="shared" si="266"/>
        <v>0</v>
      </c>
      <c r="EV232" s="609">
        <f t="shared" si="266"/>
        <v>0</v>
      </c>
      <c r="EW232" s="609">
        <f t="shared" si="266"/>
        <v>0</v>
      </c>
      <c r="EX232" s="609">
        <f t="shared" si="266"/>
        <v>0</v>
      </c>
      <c r="EY232" s="609">
        <f t="shared" si="266"/>
        <v>0</v>
      </c>
      <c r="EZ232" s="609">
        <f t="shared" si="266"/>
        <v>0</v>
      </c>
      <c r="FA232" s="609">
        <f t="shared" si="266"/>
        <v>0</v>
      </c>
      <c r="FB232" s="609">
        <f t="shared" si="266"/>
        <v>0</v>
      </c>
      <c r="FC232" s="609">
        <f t="shared" si="266"/>
        <v>0</v>
      </c>
      <c r="FD232" s="609">
        <f t="shared" si="266"/>
        <v>0</v>
      </c>
      <c r="FE232" s="609">
        <f t="shared" si="266"/>
        <v>0</v>
      </c>
      <c r="FF232" s="609">
        <f t="shared" si="266"/>
        <v>0</v>
      </c>
      <c r="FG232" s="609">
        <f t="shared" si="266"/>
        <v>0</v>
      </c>
      <c r="FH232" s="609">
        <f t="shared" si="266"/>
        <v>0</v>
      </c>
      <c r="FI232" s="609">
        <f t="shared" si="266"/>
        <v>0</v>
      </c>
      <c r="FJ232" s="609">
        <f t="shared" si="266"/>
        <v>0</v>
      </c>
      <c r="FK232" s="609">
        <f t="shared" si="266"/>
        <v>0</v>
      </c>
      <c r="FL232" s="609">
        <f t="shared" si="266"/>
        <v>0</v>
      </c>
      <c r="FM232" s="609">
        <f t="shared" si="266"/>
        <v>0</v>
      </c>
      <c r="FN232" s="609">
        <f t="shared" si="266"/>
        <v>0</v>
      </c>
      <c r="FO232" s="609">
        <f t="shared" si="266"/>
        <v>0</v>
      </c>
      <c r="FP232" s="609">
        <f t="shared" si="266"/>
        <v>0</v>
      </c>
      <c r="FQ232" s="609">
        <f t="shared" si="266"/>
        <v>0</v>
      </c>
      <c r="FR232" s="609">
        <f t="shared" ref="FR232:GZ232" si="267">IF(FR222=0,0,IF(FR32&gt;0,FR32,FL232-FR231))</f>
        <v>0</v>
      </c>
      <c r="FS232" s="609">
        <f t="shared" si="267"/>
        <v>0</v>
      </c>
      <c r="FT232" s="609">
        <f t="shared" si="267"/>
        <v>0</v>
      </c>
      <c r="FU232" s="609">
        <f t="shared" si="267"/>
        <v>0</v>
      </c>
      <c r="FV232" s="609">
        <f t="shared" si="267"/>
        <v>0</v>
      </c>
      <c r="FW232" s="609">
        <f t="shared" si="267"/>
        <v>0</v>
      </c>
      <c r="FX232" s="609">
        <f t="shared" si="267"/>
        <v>0</v>
      </c>
      <c r="FY232" s="609">
        <f t="shared" si="267"/>
        <v>0</v>
      </c>
      <c r="FZ232" s="609">
        <f t="shared" si="267"/>
        <v>0</v>
      </c>
      <c r="GA232" s="609">
        <f t="shared" si="267"/>
        <v>0</v>
      </c>
      <c r="GB232" s="609">
        <f t="shared" si="267"/>
        <v>0</v>
      </c>
      <c r="GC232" s="609">
        <f t="shared" si="267"/>
        <v>0</v>
      </c>
      <c r="GD232" s="609">
        <f t="shared" si="267"/>
        <v>0</v>
      </c>
      <c r="GE232" s="609">
        <f t="shared" si="267"/>
        <v>0</v>
      </c>
      <c r="GF232" s="609">
        <f t="shared" si="267"/>
        <v>0</v>
      </c>
      <c r="GG232" s="609">
        <f t="shared" si="267"/>
        <v>0</v>
      </c>
      <c r="GH232" s="609">
        <f t="shared" si="267"/>
        <v>0</v>
      </c>
      <c r="GI232" s="609">
        <f t="shared" si="267"/>
        <v>0</v>
      </c>
      <c r="GJ232" s="609">
        <f t="shared" si="267"/>
        <v>0</v>
      </c>
      <c r="GK232" s="609">
        <f t="shared" si="267"/>
        <v>0</v>
      </c>
      <c r="GL232" s="609">
        <f t="shared" si="267"/>
        <v>0</v>
      </c>
      <c r="GM232" s="609">
        <f t="shared" si="267"/>
        <v>0</v>
      </c>
      <c r="GN232" s="609">
        <f t="shared" si="267"/>
        <v>0</v>
      </c>
      <c r="GO232" s="609">
        <f t="shared" si="267"/>
        <v>0</v>
      </c>
      <c r="GP232" s="609">
        <f t="shared" si="267"/>
        <v>0</v>
      </c>
      <c r="GQ232" s="609">
        <f t="shared" si="267"/>
        <v>0</v>
      </c>
      <c r="GR232" s="609">
        <f t="shared" si="267"/>
        <v>0</v>
      </c>
      <c r="GS232" s="609">
        <f t="shared" si="267"/>
        <v>0</v>
      </c>
      <c r="GT232" s="609">
        <f t="shared" si="267"/>
        <v>0</v>
      </c>
      <c r="GU232" s="609">
        <f t="shared" si="267"/>
        <v>0</v>
      </c>
      <c r="GV232" s="609">
        <f t="shared" si="267"/>
        <v>0</v>
      </c>
      <c r="GW232" s="609">
        <f t="shared" si="267"/>
        <v>0</v>
      </c>
      <c r="GX232" s="609">
        <f t="shared" si="267"/>
        <v>0</v>
      </c>
      <c r="GY232" s="609">
        <f t="shared" si="267"/>
        <v>0</v>
      </c>
      <c r="GZ232" s="609">
        <f t="shared" si="267"/>
        <v>0</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0</v>
      </c>
      <c r="V233" s="623">
        <f>(IF(V222=0,0,V232/V222))</f>
        <v>0</v>
      </c>
      <c r="W233" s="624"/>
      <c r="X233" s="624"/>
      <c r="Y233" s="624"/>
      <c r="Z233" s="624"/>
      <c r="AA233" s="624"/>
      <c r="AB233" s="623">
        <f>(IF(AB222=0,0,AB232/AB222))</f>
        <v>0</v>
      </c>
      <c r="AC233" s="625"/>
      <c r="AD233" s="625"/>
      <c r="AE233" s="625"/>
      <c r="AF233" s="625"/>
      <c r="AG233" s="625"/>
      <c r="AH233" s="623">
        <f>(IF(AH222=0,0,AH232/AH222))</f>
        <v>0</v>
      </c>
      <c r="AI233" s="624"/>
      <c r="AJ233" s="624"/>
      <c r="AK233" s="624"/>
      <c r="AL233" s="624"/>
      <c r="AM233" s="624"/>
      <c r="AN233" s="623">
        <f>(IF(AN222=0,0,AN232/AN222))</f>
        <v>0</v>
      </c>
      <c r="AO233" s="626"/>
      <c r="AP233" s="626"/>
      <c r="AQ233" s="626"/>
      <c r="AR233" s="626"/>
      <c r="AS233" s="626"/>
      <c r="AT233" s="627">
        <f>(IF(AT222=0,0,AT232/AT222))</f>
        <v>0</v>
      </c>
      <c r="AU233" s="317"/>
      <c r="AV233" s="317"/>
      <c r="AW233" s="317"/>
      <c r="AX233" s="317"/>
      <c r="AY233" s="317"/>
      <c r="AZ233" s="623">
        <f>(IF(AZ222=0,0,AZ232/AZ222))</f>
        <v>0</v>
      </c>
      <c r="BA233" s="317"/>
      <c r="BB233" s="317"/>
      <c r="BC233" s="317"/>
      <c r="BD233" s="317"/>
      <c r="BE233" s="317"/>
      <c r="BF233" s="623">
        <f>(IF(BF222=0,0,BF232/BF222))</f>
        <v>0</v>
      </c>
      <c r="BG233" s="317"/>
      <c r="BH233" s="317"/>
      <c r="BI233" s="317"/>
      <c r="BJ233" s="317"/>
      <c r="BK233" s="317"/>
      <c r="BL233" s="623">
        <f>(IF(BL222=0,0,BL232/BL222))</f>
        <v>0</v>
      </c>
      <c r="BM233" s="317"/>
      <c r="BN233" s="317"/>
      <c r="BO233" s="317"/>
      <c r="BP233" s="317"/>
      <c r="BQ233" s="317"/>
      <c r="BR233" s="623">
        <f>(IF(BR222=0,0,BR232/BR222))</f>
        <v>0</v>
      </c>
      <c r="BS233" s="317"/>
      <c r="BT233" s="317"/>
      <c r="BU233" s="317"/>
      <c r="BV233" s="317"/>
      <c r="BW233" s="317"/>
      <c r="BX233" s="623">
        <f>(IF(BX222=0,0,BX232/BX222))</f>
        <v>0</v>
      </c>
      <c r="BY233" s="317"/>
      <c r="BZ233" s="317"/>
      <c r="CA233" s="317"/>
      <c r="CB233" s="317"/>
      <c r="CC233" s="317"/>
      <c r="CD233" s="623">
        <f>(IF(CD222=0,0,CD232/CD222))</f>
        <v>0</v>
      </c>
      <c r="CE233" s="317"/>
      <c r="CF233" s="317"/>
      <c r="CG233" s="317"/>
      <c r="CH233" s="317"/>
      <c r="CI233" s="317"/>
      <c r="CJ233" s="623">
        <f>(IF(CJ222=0,0,CJ232/CJ222))</f>
        <v>0</v>
      </c>
      <c r="CK233" s="317"/>
      <c r="CL233" s="317"/>
      <c r="CM233" s="317"/>
      <c r="CN233" s="317"/>
      <c r="CO233" s="317"/>
      <c r="CP233" s="623">
        <f>(IF(CP222=0,0,CP232/CP222))</f>
        <v>0</v>
      </c>
      <c r="CQ233" s="317"/>
      <c r="CR233" s="317"/>
      <c r="CS233" s="317"/>
      <c r="CT233" s="317"/>
      <c r="CU233" s="317"/>
      <c r="CV233" s="623">
        <f>(IF(CV222=0,0,CV232/CV222))</f>
        <v>0</v>
      </c>
      <c r="CW233" s="628"/>
      <c r="CX233" s="629"/>
      <c r="CY233" s="629"/>
      <c r="CZ233" s="628"/>
      <c r="DA233" s="628"/>
      <c r="DB233" s="623">
        <f>(IF(DB222=0,0,DB232/DB222))</f>
        <v>0</v>
      </c>
      <c r="DC233" s="317"/>
      <c r="DD233" s="317"/>
      <c r="DE233" s="317"/>
      <c r="DF233" s="317"/>
      <c r="DG233" s="317"/>
      <c r="DH233" s="623">
        <f>(IF(DH222=0,0,DH232/DH222))</f>
        <v>0</v>
      </c>
      <c r="DI233" s="317"/>
      <c r="DJ233" s="317"/>
      <c r="DK233" s="317"/>
      <c r="DL233" s="317"/>
      <c r="DM233" s="317"/>
      <c r="DN233" s="623">
        <f>(IF(DN222=0,0,DN232/DN222))</f>
        <v>0</v>
      </c>
      <c r="DO233" s="317"/>
      <c r="DP233" s="317"/>
      <c r="DQ233" s="317"/>
      <c r="DR233" s="317"/>
      <c r="DS233" s="317"/>
      <c r="DT233" s="623">
        <f>(IF(DT222=0,0,DT232/DT222))</f>
        <v>0</v>
      </c>
      <c r="DU233" s="317"/>
      <c r="DV233" s="317"/>
      <c r="DW233" s="317"/>
      <c r="DX233" s="317"/>
      <c r="DY233" s="317"/>
      <c r="DZ233" s="623">
        <f>(IF(DZ222=0,0,DZ232/DZ222))</f>
        <v>0</v>
      </c>
      <c r="EA233" s="317"/>
      <c r="EB233" s="317"/>
      <c r="EC233" s="317"/>
      <c r="ED233" s="317"/>
      <c r="EE233" s="317"/>
      <c r="EF233" s="623">
        <f>(IF(EF222=0,0,EF232/EF222))</f>
        <v>0</v>
      </c>
      <c r="EG233" s="317"/>
      <c r="EH233" s="317"/>
      <c r="EI233" s="317"/>
      <c r="EJ233" s="317"/>
      <c r="EK233" s="317"/>
      <c r="EL233" s="623">
        <f>(IF(EL222=0,0,EL232/EL222))</f>
        <v>0</v>
      </c>
      <c r="EM233" s="317"/>
      <c r="EN233" s="317"/>
      <c r="EO233" s="317"/>
      <c r="EP233" s="317"/>
      <c r="EQ233" s="317"/>
      <c r="ER233" s="623">
        <f>(IF(ER222=0,0,ER232/ER222))</f>
        <v>0</v>
      </c>
      <c r="ES233" s="317"/>
      <c r="ET233" s="317"/>
      <c r="EU233" s="317"/>
      <c r="EV233" s="317"/>
      <c r="EW233" s="317"/>
      <c r="EX233" s="623">
        <f>(IF(EX222=0,0,EX232/EX222))</f>
        <v>0</v>
      </c>
      <c r="EY233" s="317"/>
      <c r="EZ233" s="317"/>
      <c r="FA233" s="317"/>
      <c r="FB233" s="317"/>
      <c r="FC233" s="317"/>
      <c r="FD233" s="623">
        <f>(IF(FD222=0,0,FD232/FD222))</f>
        <v>0</v>
      </c>
      <c r="FE233" s="317"/>
      <c r="FF233" s="317"/>
      <c r="FG233" s="317"/>
      <c r="FH233" s="317"/>
      <c r="FI233" s="317"/>
      <c r="FJ233" s="623">
        <f>(IF(FJ222=0,0,FJ232/FJ222))</f>
        <v>0</v>
      </c>
      <c r="FK233" s="317"/>
      <c r="FL233" s="317"/>
      <c r="FM233" s="317"/>
      <c r="FN233" s="317"/>
      <c r="FO233" s="317"/>
      <c r="FP233" s="623">
        <f>(IF(FP222=0,0,FP232/FP222))</f>
        <v>0</v>
      </c>
      <c r="FQ233" s="317"/>
      <c r="FR233" s="317"/>
      <c r="FS233" s="317"/>
      <c r="FT233" s="317"/>
      <c r="FU233" s="317"/>
      <c r="FV233" s="623">
        <f>(IF(FV222=0,0,FV232/FV222))</f>
        <v>0</v>
      </c>
      <c r="FW233" s="317"/>
      <c r="FX233" s="317"/>
      <c r="FY233" s="317"/>
      <c r="FZ233" s="317"/>
      <c r="GA233" s="317"/>
      <c r="GB233" s="623">
        <f>(IF(GB222=0,0,GB232/GB222))</f>
        <v>0</v>
      </c>
      <c r="GC233" s="317"/>
      <c r="GD233" s="317"/>
      <c r="GE233" s="317"/>
      <c r="GF233" s="317"/>
      <c r="GG233" s="317"/>
      <c r="GH233" s="623">
        <f>(IF(GH222=0,0,GH232/GH222))</f>
        <v>0</v>
      </c>
      <c r="GI233" s="317"/>
      <c r="GJ233" s="317"/>
      <c r="GK233" s="317"/>
      <c r="GL233" s="317"/>
      <c r="GM233" s="317"/>
      <c r="GN233" s="623">
        <f>(IF(GN222=0,0,GN232/GN222))</f>
        <v>0</v>
      </c>
      <c r="GO233" s="317"/>
      <c r="GP233" s="317"/>
      <c r="GQ233" s="317"/>
      <c r="GR233" s="317"/>
      <c r="GS233" s="317"/>
      <c r="GT233" s="623">
        <f>(IF(GT222=0,0,GT232/GT222))</f>
        <v>0</v>
      </c>
      <c r="GU233" s="317"/>
      <c r="GV233" s="317"/>
      <c r="GW233" s="317"/>
      <c r="GX233" s="317"/>
      <c r="GY233" s="317"/>
      <c r="GZ233" s="630">
        <f>(IF(GZ222=0,0,GZ232/GZ222))</f>
        <v>0</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0</v>
      </c>
      <c r="AU234" s="604">
        <f t="shared" si="268"/>
        <v>0</v>
      </c>
      <c r="AV234" s="604">
        <f t="shared" si="268"/>
        <v>0</v>
      </c>
      <c r="AW234" s="604">
        <f t="shared" si="268"/>
        <v>0</v>
      </c>
      <c r="AX234" s="604">
        <f t="shared" si="268"/>
        <v>0</v>
      </c>
      <c r="AY234" s="604">
        <f t="shared" si="268"/>
        <v>0</v>
      </c>
      <c r="AZ234" s="604">
        <f t="shared" si="268"/>
        <v>0</v>
      </c>
      <c r="BA234" s="604">
        <f t="shared" si="268"/>
        <v>0</v>
      </c>
      <c r="BB234" s="604">
        <f t="shared" si="268"/>
        <v>0</v>
      </c>
      <c r="BC234" s="604">
        <f t="shared" si="268"/>
        <v>0</v>
      </c>
      <c r="BD234" s="604">
        <f t="shared" si="268"/>
        <v>0</v>
      </c>
      <c r="BE234" s="604">
        <f t="shared" si="268"/>
        <v>0</v>
      </c>
      <c r="BF234" s="604">
        <f t="shared" si="268"/>
        <v>0</v>
      </c>
      <c r="BG234" s="604">
        <f t="shared" si="268"/>
        <v>0</v>
      </c>
      <c r="BH234" s="604">
        <f t="shared" si="268"/>
        <v>0</v>
      </c>
      <c r="BI234" s="604">
        <f t="shared" si="268"/>
        <v>0</v>
      </c>
      <c r="BJ234" s="604">
        <f t="shared" si="268"/>
        <v>0</v>
      </c>
      <c r="BK234" s="604">
        <f t="shared" si="268"/>
        <v>0</v>
      </c>
      <c r="BL234" s="604">
        <f t="shared" si="268"/>
        <v>0</v>
      </c>
      <c r="BM234" s="604">
        <f t="shared" si="268"/>
        <v>0</v>
      </c>
      <c r="BN234" s="604">
        <f t="shared" si="268"/>
        <v>0</v>
      </c>
      <c r="BO234" s="604">
        <f t="shared" si="268"/>
        <v>0</v>
      </c>
      <c r="BP234" s="604">
        <f t="shared" si="268"/>
        <v>0</v>
      </c>
      <c r="BQ234" s="604">
        <f t="shared" si="268"/>
        <v>0</v>
      </c>
      <c r="BR234" s="604">
        <f t="shared" si="268"/>
        <v>0</v>
      </c>
      <c r="BS234" s="604">
        <f t="shared" si="268"/>
        <v>0</v>
      </c>
      <c r="BT234" s="604">
        <f t="shared" si="268"/>
        <v>0</v>
      </c>
      <c r="BU234" s="604">
        <f t="shared" si="268"/>
        <v>0</v>
      </c>
      <c r="BV234" s="604">
        <f t="shared" si="268"/>
        <v>0</v>
      </c>
      <c r="BW234" s="604">
        <f t="shared" si="268"/>
        <v>0</v>
      </c>
      <c r="BX234" s="604">
        <f t="shared" si="268"/>
        <v>0</v>
      </c>
      <c r="BY234" s="604">
        <f t="shared" si="268"/>
        <v>0</v>
      </c>
      <c r="BZ234" s="604">
        <f t="shared" si="268"/>
        <v>0</v>
      </c>
      <c r="CA234" s="604">
        <f t="shared" si="268"/>
        <v>0</v>
      </c>
      <c r="CB234" s="604">
        <f t="shared" si="268"/>
        <v>0</v>
      </c>
      <c r="CC234" s="604">
        <f t="shared" si="268"/>
        <v>0</v>
      </c>
      <c r="CD234" s="604">
        <f t="shared" si="268"/>
        <v>0</v>
      </c>
      <c r="CE234" s="604">
        <f t="shared" si="268"/>
        <v>0</v>
      </c>
      <c r="CF234" s="604">
        <f t="shared" si="268"/>
        <v>0</v>
      </c>
      <c r="CG234" s="604">
        <f t="shared" si="268"/>
        <v>0</v>
      </c>
      <c r="CH234" s="604">
        <f t="shared" si="268"/>
        <v>0</v>
      </c>
      <c r="CI234" s="604">
        <f t="shared" si="268"/>
        <v>0</v>
      </c>
      <c r="CJ234" s="604">
        <f t="shared" si="268"/>
        <v>0</v>
      </c>
      <c r="CK234" s="604">
        <f t="shared" si="268"/>
        <v>0</v>
      </c>
      <c r="CL234" s="604">
        <f t="shared" si="268"/>
        <v>0</v>
      </c>
      <c r="CM234" s="604">
        <f t="shared" si="268"/>
        <v>0</v>
      </c>
      <c r="CN234" s="604">
        <f t="shared" si="268"/>
        <v>0</v>
      </c>
      <c r="CO234" s="604">
        <f t="shared" si="268"/>
        <v>0</v>
      </c>
      <c r="CP234" s="604">
        <f t="shared" si="268"/>
        <v>0</v>
      </c>
      <c r="CQ234" s="604">
        <f t="shared" si="268"/>
        <v>0</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v>
      </c>
      <c r="DQ234" s="604">
        <f t="shared" si="269"/>
        <v>0</v>
      </c>
      <c r="DR234" s="604">
        <f t="shared" si="269"/>
        <v>0</v>
      </c>
      <c r="DS234" s="604">
        <f t="shared" si="269"/>
        <v>0</v>
      </c>
      <c r="DT234" s="604">
        <f t="shared" si="269"/>
        <v>0</v>
      </c>
      <c r="DU234" s="604">
        <f t="shared" si="269"/>
        <v>0</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0</v>
      </c>
      <c r="V235" s="634">
        <f>V$33</f>
        <v>0</v>
      </c>
      <c r="W235" s="605"/>
      <c r="X235" s="606"/>
      <c r="Y235" s="606"/>
      <c r="Z235" s="605"/>
      <c r="AA235" s="605"/>
      <c r="AB235" s="634">
        <f>AB$33</f>
        <v>0</v>
      </c>
      <c r="AC235" s="607"/>
      <c r="AD235" s="608"/>
      <c r="AE235" s="608"/>
      <c r="AF235" s="607"/>
      <c r="AG235" s="607"/>
      <c r="AH235" s="634">
        <f>AH$33</f>
        <v>0</v>
      </c>
      <c r="AI235" s="605"/>
      <c r="AJ235" s="606"/>
      <c r="AK235" s="606"/>
      <c r="AL235" s="605"/>
      <c r="AM235" s="605"/>
      <c r="AN235" s="634">
        <f>AN$33</f>
        <v>0</v>
      </c>
      <c r="AO235" s="439"/>
      <c r="AP235" s="530"/>
      <c r="AQ235" s="530"/>
      <c r="AR235" s="439"/>
      <c r="AS235" s="439"/>
      <c r="AT235" s="634">
        <f t="shared" ref="AT235:DE235" si="271">IF(AT222=0,0,IF(AT33&gt;0,AT33,IF(AN235=0,0,IF(AN235&lt;AT242,0,AN235-AT234+AX44))))</f>
        <v>0</v>
      </c>
      <c r="AU235" s="634">
        <f t="shared" si="271"/>
        <v>0</v>
      </c>
      <c r="AV235" s="634">
        <f t="shared" si="271"/>
        <v>0</v>
      </c>
      <c r="AW235" s="634">
        <f t="shared" si="271"/>
        <v>0</v>
      </c>
      <c r="AX235" s="634">
        <f t="shared" si="271"/>
        <v>0</v>
      </c>
      <c r="AY235" s="634">
        <f t="shared" si="271"/>
        <v>0</v>
      </c>
      <c r="AZ235" s="634">
        <f t="shared" si="271"/>
        <v>0</v>
      </c>
      <c r="BA235" s="634">
        <f t="shared" si="271"/>
        <v>0</v>
      </c>
      <c r="BB235" s="634">
        <f t="shared" si="271"/>
        <v>0</v>
      </c>
      <c r="BC235" s="634">
        <f t="shared" si="271"/>
        <v>0</v>
      </c>
      <c r="BD235" s="634">
        <f t="shared" si="271"/>
        <v>0</v>
      </c>
      <c r="BE235" s="634">
        <f t="shared" si="271"/>
        <v>0</v>
      </c>
      <c r="BF235" s="634">
        <f t="shared" si="271"/>
        <v>0</v>
      </c>
      <c r="BG235" s="634">
        <f t="shared" si="271"/>
        <v>0</v>
      </c>
      <c r="BH235" s="634">
        <f t="shared" si="271"/>
        <v>0</v>
      </c>
      <c r="BI235" s="634">
        <f t="shared" si="271"/>
        <v>0</v>
      </c>
      <c r="BJ235" s="634">
        <f t="shared" si="271"/>
        <v>0</v>
      </c>
      <c r="BK235" s="634">
        <f t="shared" si="271"/>
        <v>0</v>
      </c>
      <c r="BL235" s="634">
        <f t="shared" si="271"/>
        <v>0</v>
      </c>
      <c r="BM235" s="634">
        <f t="shared" si="271"/>
        <v>0</v>
      </c>
      <c r="BN235" s="634">
        <f t="shared" si="271"/>
        <v>0</v>
      </c>
      <c r="BO235" s="634">
        <f t="shared" si="271"/>
        <v>0</v>
      </c>
      <c r="BP235" s="634">
        <f t="shared" si="271"/>
        <v>0</v>
      </c>
      <c r="BQ235" s="634">
        <f t="shared" si="271"/>
        <v>0</v>
      </c>
      <c r="BR235" s="634">
        <f t="shared" si="271"/>
        <v>0</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v>
      </c>
      <c r="V236" s="604">
        <f>(IF(V222=0,0,V235/V222))</f>
        <v>0</v>
      </c>
      <c r="W236" s="574"/>
      <c r="X236" s="575"/>
      <c r="Y236" s="575"/>
      <c r="Z236" s="574"/>
      <c r="AA236" s="574"/>
      <c r="AB236" s="604">
        <f>(IF(AB222=0,0,AB235/AB222))</f>
        <v>0</v>
      </c>
      <c r="AC236" s="574"/>
      <c r="AD236" s="575"/>
      <c r="AE236" s="575"/>
      <c r="AF236" s="574"/>
      <c r="AG236" s="574"/>
      <c r="AH236" s="604">
        <f>(IF(AH222=0,0,AH235/AH222))</f>
        <v>0</v>
      </c>
      <c r="AI236" s="574"/>
      <c r="AJ236" s="575"/>
      <c r="AK236" s="575"/>
      <c r="AL236" s="574"/>
      <c r="AM236" s="574"/>
      <c r="AN236" s="604">
        <f>(IF(AN222=0,0,AN235/AN222))</f>
        <v>0</v>
      </c>
      <c r="AO236" s="439"/>
      <c r="AP236" s="530"/>
      <c r="AQ236" s="530"/>
      <c r="AR236" s="439"/>
      <c r="AS236" s="439"/>
      <c r="AT236" s="609">
        <f>(IF(AT222=0,0,AT235/AT222))</f>
        <v>0</v>
      </c>
      <c r="AU236" s="574"/>
      <c r="AV236" s="575"/>
      <c r="AW236" s="575"/>
      <c r="AX236" s="574"/>
      <c r="AY236" s="574"/>
      <c r="AZ236" s="604">
        <f>(IF(AZ222=0,0,AZ235/AZ222))</f>
        <v>0</v>
      </c>
      <c r="BA236" s="315"/>
      <c r="BB236" s="316"/>
      <c r="BC236" s="316"/>
      <c r="BD236" s="315"/>
      <c r="BE236" s="315"/>
      <c r="BF236" s="604">
        <f>(IF(BF222=0,0,BF235/BF222))</f>
        <v>0</v>
      </c>
      <c r="BG236" s="315"/>
      <c r="BH236" s="316"/>
      <c r="BI236" s="316"/>
      <c r="BJ236" s="315"/>
      <c r="BK236" s="315"/>
      <c r="BL236" s="604">
        <f>(IF(BL222=0,0,BL235/BL222))</f>
        <v>0</v>
      </c>
      <c r="BM236" s="315"/>
      <c r="BN236" s="316"/>
      <c r="BO236" s="316"/>
      <c r="BP236" s="315"/>
      <c r="BQ236" s="315"/>
      <c r="BR236" s="604">
        <f>(IF(BR222=0,0,BR235/BR222))</f>
        <v>0</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0</v>
      </c>
      <c r="V237" s="604">
        <f>V34</f>
        <v>0</v>
      </c>
      <c r="W237" s="574"/>
      <c r="X237" s="575"/>
      <c r="Y237" s="575"/>
      <c r="Z237" s="574"/>
      <c r="AA237" s="574"/>
      <c r="AB237" s="604">
        <f>AB34</f>
        <v>0</v>
      </c>
      <c r="AC237" s="315"/>
      <c r="AD237" s="316"/>
      <c r="AE237" s="316"/>
      <c r="AF237" s="315"/>
      <c r="AG237" s="315"/>
      <c r="AH237" s="604">
        <f>AH34</f>
        <v>0</v>
      </c>
      <c r="AI237" s="574"/>
      <c r="AJ237" s="575"/>
      <c r="AK237" s="575"/>
      <c r="AL237" s="574"/>
      <c r="AM237" s="574"/>
      <c r="AN237" s="604">
        <f>AN34</f>
        <v>0</v>
      </c>
      <c r="AO237" s="439"/>
      <c r="AP237" s="530"/>
      <c r="AQ237" s="530"/>
      <c r="AR237" s="439"/>
      <c r="AS237" s="439"/>
      <c r="AT237" s="604">
        <f t="shared" ref="AT237:BK237" si="274">AT229+(AT232*9.786)+(AT235*278)+(AT242*278)</f>
        <v>0</v>
      </c>
      <c r="AU237" s="604">
        <f t="shared" si="274"/>
        <v>0</v>
      </c>
      <c r="AV237" s="604">
        <f t="shared" si="274"/>
        <v>0</v>
      </c>
      <c r="AW237" s="604">
        <f t="shared" si="274"/>
        <v>0</v>
      </c>
      <c r="AX237" s="604">
        <f t="shared" si="274"/>
        <v>0</v>
      </c>
      <c r="AY237" s="604">
        <f t="shared" si="274"/>
        <v>0</v>
      </c>
      <c r="AZ237" s="604">
        <f t="shared" si="274"/>
        <v>0</v>
      </c>
      <c r="BA237" s="604">
        <f t="shared" si="274"/>
        <v>0</v>
      </c>
      <c r="BB237" s="604">
        <f t="shared" si="274"/>
        <v>0</v>
      </c>
      <c r="BC237" s="604">
        <f t="shared" si="274"/>
        <v>0</v>
      </c>
      <c r="BD237" s="604">
        <f t="shared" si="274"/>
        <v>0</v>
      </c>
      <c r="BE237" s="604">
        <f t="shared" si="274"/>
        <v>0</v>
      </c>
      <c r="BF237" s="604">
        <f t="shared" si="274"/>
        <v>0</v>
      </c>
      <c r="BG237" s="604">
        <f t="shared" si="274"/>
        <v>0</v>
      </c>
      <c r="BH237" s="604">
        <f t="shared" si="274"/>
        <v>0</v>
      </c>
      <c r="BI237" s="604">
        <f t="shared" si="274"/>
        <v>0</v>
      </c>
      <c r="BJ237" s="604">
        <f t="shared" si="274"/>
        <v>0</v>
      </c>
      <c r="BK237" s="604">
        <f t="shared" si="274"/>
        <v>0</v>
      </c>
      <c r="BL237" s="604">
        <f>BL229+(BL232*9.786)+(BL235*278)+(BL242*278)</f>
        <v>0</v>
      </c>
      <c r="BM237" s="604">
        <f t="shared" ref="BM237:DX237" si="275">BM229+(BM232*9.786)+(BM235*278)+(BM242*278)</f>
        <v>0</v>
      </c>
      <c r="BN237" s="604">
        <f t="shared" si="275"/>
        <v>0</v>
      </c>
      <c r="BO237" s="604">
        <f t="shared" si="275"/>
        <v>0</v>
      </c>
      <c r="BP237" s="604">
        <f t="shared" si="275"/>
        <v>0</v>
      </c>
      <c r="BQ237" s="604">
        <f t="shared" si="275"/>
        <v>0</v>
      </c>
      <c r="BR237" s="604">
        <f t="shared" si="275"/>
        <v>0</v>
      </c>
      <c r="BS237" s="604">
        <f t="shared" si="275"/>
        <v>0</v>
      </c>
      <c r="BT237" s="604">
        <f t="shared" si="275"/>
        <v>0</v>
      </c>
      <c r="BU237" s="604">
        <f t="shared" si="275"/>
        <v>0</v>
      </c>
      <c r="BV237" s="604">
        <f t="shared" si="275"/>
        <v>0</v>
      </c>
      <c r="BW237" s="604">
        <f t="shared" si="275"/>
        <v>0</v>
      </c>
      <c r="BX237" s="604">
        <f t="shared" si="275"/>
        <v>0</v>
      </c>
      <c r="BY237" s="604">
        <f t="shared" si="275"/>
        <v>0</v>
      </c>
      <c r="BZ237" s="604">
        <f t="shared" si="275"/>
        <v>0</v>
      </c>
      <c r="CA237" s="604">
        <f t="shared" si="275"/>
        <v>0</v>
      </c>
      <c r="CB237" s="604">
        <f t="shared" si="275"/>
        <v>0</v>
      </c>
      <c r="CC237" s="604">
        <f t="shared" si="275"/>
        <v>0</v>
      </c>
      <c r="CD237" s="604">
        <f t="shared" si="275"/>
        <v>0</v>
      </c>
      <c r="CE237" s="604">
        <f t="shared" si="275"/>
        <v>0</v>
      </c>
      <c r="CF237" s="604">
        <f t="shared" si="275"/>
        <v>0</v>
      </c>
      <c r="CG237" s="604">
        <f t="shared" si="275"/>
        <v>0</v>
      </c>
      <c r="CH237" s="604">
        <f t="shared" si="275"/>
        <v>0</v>
      </c>
      <c r="CI237" s="604">
        <f t="shared" si="275"/>
        <v>0</v>
      </c>
      <c r="CJ237" s="604">
        <f t="shared" si="275"/>
        <v>0</v>
      </c>
      <c r="CK237" s="604">
        <f t="shared" si="275"/>
        <v>0</v>
      </c>
      <c r="CL237" s="604">
        <f t="shared" si="275"/>
        <v>0</v>
      </c>
      <c r="CM237" s="604">
        <f t="shared" si="275"/>
        <v>0</v>
      </c>
      <c r="CN237" s="604">
        <f t="shared" si="275"/>
        <v>0</v>
      </c>
      <c r="CO237" s="604">
        <f t="shared" si="275"/>
        <v>0</v>
      </c>
      <c r="CP237" s="604">
        <f t="shared" si="275"/>
        <v>0</v>
      </c>
      <c r="CQ237" s="604">
        <f t="shared" si="275"/>
        <v>0</v>
      </c>
      <c r="CR237" s="604">
        <f t="shared" si="275"/>
        <v>0</v>
      </c>
      <c r="CS237" s="604">
        <f t="shared" si="275"/>
        <v>0</v>
      </c>
      <c r="CT237" s="604">
        <f t="shared" si="275"/>
        <v>0</v>
      </c>
      <c r="CU237" s="604">
        <f t="shared" si="275"/>
        <v>0</v>
      </c>
      <c r="CV237" s="604">
        <f t="shared" si="275"/>
        <v>0</v>
      </c>
      <c r="CW237" s="604">
        <f t="shared" si="275"/>
        <v>0</v>
      </c>
      <c r="CX237" s="604">
        <f t="shared" si="275"/>
        <v>0</v>
      </c>
      <c r="CY237" s="604">
        <f t="shared" si="275"/>
        <v>0</v>
      </c>
      <c r="CZ237" s="604">
        <f t="shared" si="275"/>
        <v>0</v>
      </c>
      <c r="DA237" s="604">
        <f t="shared" si="275"/>
        <v>0</v>
      </c>
      <c r="DB237" s="604">
        <f t="shared" si="275"/>
        <v>0</v>
      </c>
      <c r="DC237" s="604">
        <f t="shared" si="275"/>
        <v>0</v>
      </c>
      <c r="DD237" s="604">
        <f t="shared" si="275"/>
        <v>0</v>
      </c>
      <c r="DE237" s="604">
        <f t="shared" si="275"/>
        <v>0</v>
      </c>
      <c r="DF237" s="604">
        <f t="shared" si="275"/>
        <v>0</v>
      </c>
      <c r="DG237" s="604">
        <f t="shared" si="275"/>
        <v>0</v>
      </c>
      <c r="DH237" s="604">
        <f t="shared" si="275"/>
        <v>0</v>
      </c>
      <c r="DI237" s="604">
        <f t="shared" si="275"/>
        <v>0</v>
      </c>
      <c r="DJ237" s="604">
        <f t="shared" si="275"/>
        <v>0</v>
      </c>
      <c r="DK237" s="604">
        <f t="shared" si="275"/>
        <v>0</v>
      </c>
      <c r="DL237" s="604">
        <f t="shared" si="275"/>
        <v>0</v>
      </c>
      <c r="DM237" s="604">
        <f t="shared" si="275"/>
        <v>0</v>
      </c>
      <c r="DN237" s="604">
        <f t="shared" si="275"/>
        <v>0</v>
      </c>
      <c r="DO237" s="604">
        <f t="shared" si="275"/>
        <v>0</v>
      </c>
      <c r="DP237" s="604">
        <f t="shared" si="275"/>
        <v>0</v>
      </c>
      <c r="DQ237" s="604">
        <f t="shared" si="275"/>
        <v>0</v>
      </c>
      <c r="DR237" s="604">
        <f t="shared" si="275"/>
        <v>0</v>
      </c>
      <c r="DS237" s="604">
        <f t="shared" si="275"/>
        <v>0</v>
      </c>
      <c r="DT237" s="604">
        <f t="shared" si="275"/>
        <v>0</v>
      </c>
      <c r="DU237" s="604">
        <f t="shared" si="275"/>
        <v>0</v>
      </c>
      <c r="DV237" s="604">
        <f t="shared" si="275"/>
        <v>0</v>
      </c>
      <c r="DW237" s="604">
        <f t="shared" si="275"/>
        <v>0</v>
      </c>
      <c r="DX237" s="604">
        <f t="shared" si="275"/>
        <v>0</v>
      </c>
      <c r="DY237" s="604">
        <f t="shared" ref="DY237:GJ237" si="276">DY229+(DY232*9.786)+(DY235*278)+(DY242*278)</f>
        <v>0</v>
      </c>
      <c r="DZ237" s="604">
        <f t="shared" si="276"/>
        <v>0</v>
      </c>
      <c r="EA237" s="604">
        <f t="shared" si="276"/>
        <v>0</v>
      </c>
      <c r="EB237" s="604">
        <f t="shared" si="276"/>
        <v>0</v>
      </c>
      <c r="EC237" s="604">
        <f t="shared" si="276"/>
        <v>0</v>
      </c>
      <c r="ED237" s="604">
        <f t="shared" si="276"/>
        <v>0</v>
      </c>
      <c r="EE237" s="604">
        <f t="shared" si="276"/>
        <v>0</v>
      </c>
      <c r="EF237" s="604">
        <f t="shared" si="276"/>
        <v>0</v>
      </c>
      <c r="EG237" s="604">
        <f t="shared" si="276"/>
        <v>0</v>
      </c>
      <c r="EH237" s="604">
        <f t="shared" si="276"/>
        <v>0</v>
      </c>
      <c r="EI237" s="604">
        <f t="shared" si="276"/>
        <v>0</v>
      </c>
      <c r="EJ237" s="604">
        <f t="shared" si="276"/>
        <v>0</v>
      </c>
      <c r="EK237" s="604">
        <f t="shared" si="276"/>
        <v>0</v>
      </c>
      <c r="EL237" s="604">
        <f t="shared" si="276"/>
        <v>0</v>
      </c>
      <c r="EM237" s="604">
        <f t="shared" si="276"/>
        <v>0</v>
      </c>
      <c r="EN237" s="604">
        <f t="shared" si="276"/>
        <v>0</v>
      </c>
      <c r="EO237" s="604">
        <f t="shared" si="276"/>
        <v>0</v>
      </c>
      <c r="EP237" s="604">
        <f t="shared" si="276"/>
        <v>0</v>
      </c>
      <c r="EQ237" s="604">
        <f t="shared" si="276"/>
        <v>0</v>
      </c>
      <c r="ER237" s="604">
        <f t="shared" si="276"/>
        <v>0</v>
      </c>
      <c r="ES237" s="604">
        <f t="shared" si="276"/>
        <v>0</v>
      </c>
      <c r="ET237" s="604">
        <f t="shared" si="276"/>
        <v>0</v>
      </c>
      <c r="EU237" s="604">
        <f t="shared" si="276"/>
        <v>0</v>
      </c>
      <c r="EV237" s="604">
        <f t="shared" si="276"/>
        <v>0</v>
      </c>
      <c r="EW237" s="604">
        <f t="shared" si="276"/>
        <v>0</v>
      </c>
      <c r="EX237" s="604">
        <f t="shared" si="276"/>
        <v>0</v>
      </c>
      <c r="EY237" s="604">
        <f t="shared" si="276"/>
        <v>0</v>
      </c>
      <c r="EZ237" s="604">
        <f t="shared" si="276"/>
        <v>0</v>
      </c>
      <c r="FA237" s="604">
        <f t="shared" si="276"/>
        <v>0</v>
      </c>
      <c r="FB237" s="604">
        <f t="shared" si="276"/>
        <v>0</v>
      </c>
      <c r="FC237" s="604">
        <f t="shared" si="276"/>
        <v>0</v>
      </c>
      <c r="FD237" s="604">
        <f t="shared" si="276"/>
        <v>0</v>
      </c>
      <c r="FE237" s="604">
        <f t="shared" si="276"/>
        <v>0</v>
      </c>
      <c r="FF237" s="604">
        <f t="shared" si="276"/>
        <v>0</v>
      </c>
      <c r="FG237" s="604">
        <f t="shared" si="276"/>
        <v>0</v>
      </c>
      <c r="FH237" s="604">
        <f t="shared" si="276"/>
        <v>0</v>
      </c>
      <c r="FI237" s="604">
        <f t="shared" si="276"/>
        <v>0</v>
      </c>
      <c r="FJ237" s="604">
        <f t="shared" si="276"/>
        <v>0</v>
      </c>
      <c r="FK237" s="604">
        <f t="shared" si="276"/>
        <v>0</v>
      </c>
      <c r="FL237" s="604">
        <f t="shared" si="276"/>
        <v>0</v>
      </c>
      <c r="FM237" s="604">
        <f t="shared" si="276"/>
        <v>0</v>
      </c>
      <c r="FN237" s="604">
        <f t="shared" si="276"/>
        <v>0</v>
      </c>
      <c r="FO237" s="604">
        <f t="shared" si="276"/>
        <v>0</v>
      </c>
      <c r="FP237" s="604">
        <f t="shared" si="276"/>
        <v>0</v>
      </c>
      <c r="FQ237" s="604">
        <f t="shared" si="276"/>
        <v>0</v>
      </c>
      <c r="FR237" s="604">
        <f t="shared" si="276"/>
        <v>0</v>
      </c>
      <c r="FS237" s="604">
        <f t="shared" si="276"/>
        <v>0</v>
      </c>
      <c r="FT237" s="604">
        <f t="shared" si="276"/>
        <v>0</v>
      </c>
      <c r="FU237" s="604">
        <f t="shared" si="276"/>
        <v>0</v>
      </c>
      <c r="FV237" s="604">
        <f t="shared" si="276"/>
        <v>0</v>
      </c>
      <c r="FW237" s="604">
        <f t="shared" si="276"/>
        <v>0</v>
      </c>
      <c r="FX237" s="604">
        <f t="shared" si="276"/>
        <v>0</v>
      </c>
      <c r="FY237" s="604">
        <f t="shared" si="276"/>
        <v>0</v>
      </c>
      <c r="FZ237" s="604">
        <f t="shared" si="276"/>
        <v>0</v>
      </c>
      <c r="GA237" s="604">
        <f t="shared" si="276"/>
        <v>0</v>
      </c>
      <c r="GB237" s="604">
        <f t="shared" si="276"/>
        <v>0</v>
      </c>
      <c r="GC237" s="604">
        <f t="shared" si="276"/>
        <v>0</v>
      </c>
      <c r="GD237" s="604">
        <f t="shared" si="276"/>
        <v>0</v>
      </c>
      <c r="GE237" s="604">
        <f t="shared" si="276"/>
        <v>0</v>
      </c>
      <c r="GF237" s="604">
        <f t="shared" si="276"/>
        <v>0</v>
      </c>
      <c r="GG237" s="604">
        <f t="shared" si="276"/>
        <v>0</v>
      </c>
      <c r="GH237" s="604">
        <f t="shared" si="276"/>
        <v>0</v>
      </c>
      <c r="GI237" s="604">
        <f t="shared" si="276"/>
        <v>0</v>
      </c>
      <c r="GJ237" s="604">
        <f t="shared" si="276"/>
        <v>0</v>
      </c>
      <c r="GK237" s="604">
        <f t="shared" ref="GK237:GZ237" si="277">GK229+(GK232*9.786)+(GK235*278)+(GK242*278)</f>
        <v>0</v>
      </c>
      <c r="GL237" s="604">
        <f t="shared" si="277"/>
        <v>0</v>
      </c>
      <c r="GM237" s="604">
        <f t="shared" si="277"/>
        <v>0</v>
      </c>
      <c r="GN237" s="604">
        <f t="shared" si="277"/>
        <v>0</v>
      </c>
      <c r="GO237" s="604">
        <f t="shared" si="277"/>
        <v>0</v>
      </c>
      <c r="GP237" s="604">
        <f t="shared" si="277"/>
        <v>0</v>
      </c>
      <c r="GQ237" s="604">
        <f t="shared" si="277"/>
        <v>0</v>
      </c>
      <c r="GR237" s="604">
        <f t="shared" si="277"/>
        <v>0</v>
      </c>
      <c r="GS237" s="604">
        <f t="shared" si="277"/>
        <v>0</v>
      </c>
      <c r="GT237" s="604">
        <f t="shared" si="277"/>
        <v>0</v>
      </c>
      <c r="GU237" s="604">
        <f t="shared" si="277"/>
        <v>0</v>
      </c>
      <c r="GV237" s="604">
        <f t="shared" si="277"/>
        <v>0</v>
      </c>
      <c r="GW237" s="604">
        <f t="shared" si="277"/>
        <v>0</v>
      </c>
      <c r="GX237" s="604">
        <f t="shared" si="277"/>
        <v>0</v>
      </c>
      <c r="GY237" s="604">
        <f t="shared" si="277"/>
        <v>0</v>
      </c>
      <c r="GZ237" s="604">
        <f t="shared" si="277"/>
        <v>0</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0</v>
      </c>
      <c r="V238" s="551">
        <f>IF(V222=0,0,V237/V222)</f>
        <v>0</v>
      </c>
      <c r="W238" s="552"/>
      <c r="X238" s="553"/>
      <c r="Y238" s="553"/>
      <c r="Z238" s="552"/>
      <c r="AA238" s="552"/>
      <c r="AB238" s="551">
        <f>IF(AB222=0,0,AB237/AB222)</f>
        <v>0</v>
      </c>
      <c r="AC238" s="552"/>
      <c r="AD238" s="553"/>
      <c r="AE238" s="553"/>
      <c r="AF238" s="552"/>
      <c r="AG238" s="552"/>
      <c r="AH238" s="551">
        <f>IF(AH222=0,0,AH237/AH222)</f>
        <v>0</v>
      </c>
      <c r="AI238" s="552"/>
      <c r="AJ238" s="553"/>
      <c r="AK238" s="553"/>
      <c r="AL238" s="552"/>
      <c r="AM238" s="552"/>
      <c r="AN238" s="551">
        <f>IF(AN222=0,0,AN237/AN222)</f>
        <v>0</v>
      </c>
      <c r="AO238" s="586"/>
      <c r="AP238" s="587"/>
      <c r="AQ238" s="587"/>
      <c r="AR238" s="586"/>
      <c r="AS238" s="586"/>
      <c r="AT238" s="550">
        <f>IF(AT222=0,0,AT237/AT222)</f>
        <v>0</v>
      </c>
      <c r="AU238" s="313"/>
      <c r="AV238" s="314"/>
      <c r="AW238" s="314"/>
      <c r="AX238" s="313"/>
      <c r="AY238" s="313"/>
      <c r="AZ238" s="551">
        <f>IF(AZ222=0,0,AZ237/AZ222)</f>
        <v>0</v>
      </c>
      <c r="BA238" s="313"/>
      <c r="BB238" s="314"/>
      <c r="BC238" s="314"/>
      <c r="BD238" s="313"/>
      <c r="BE238" s="313"/>
      <c r="BF238" s="551">
        <f>IF(BF222=0,0,BF237/BF222)</f>
        <v>0</v>
      </c>
      <c r="BG238" s="313"/>
      <c r="BH238" s="314"/>
      <c r="BI238" s="314"/>
      <c r="BJ238" s="313"/>
      <c r="BK238" s="313"/>
      <c r="BL238" s="551">
        <f>IF(BL222=0,0,BL237/BL222)</f>
        <v>0</v>
      </c>
      <c r="BM238" s="313"/>
      <c r="BN238" s="314"/>
      <c r="BO238" s="314"/>
      <c r="BP238" s="313"/>
      <c r="BQ238" s="313"/>
      <c r="BR238" s="551">
        <f>IF(BR222=0,0,BR237/BR222)</f>
        <v>0</v>
      </c>
      <c r="BS238" s="552"/>
      <c r="BT238" s="553"/>
      <c r="BU238" s="553"/>
      <c r="BV238" s="552"/>
      <c r="BW238" s="552"/>
      <c r="BX238" s="551">
        <f>IF(BX222=0,0,BX237/BX222)</f>
        <v>0</v>
      </c>
      <c r="BY238" s="313"/>
      <c r="BZ238" s="314"/>
      <c r="CA238" s="314"/>
      <c r="CB238" s="313"/>
      <c r="CC238" s="313"/>
      <c r="CD238" s="551">
        <f>IF(CD222=0,0,CD237/CD222)</f>
        <v>0</v>
      </c>
      <c r="CE238" s="313"/>
      <c r="CF238" s="314"/>
      <c r="CG238" s="314"/>
      <c r="CH238" s="313"/>
      <c r="CI238" s="313"/>
      <c r="CJ238" s="551">
        <f>IF(CJ222=0,0,CJ237/CJ222)</f>
        <v>0</v>
      </c>
      <c r="CK238" s="313"/>
      <c r="CL238" s="314"/>
      <c r="CM238" s="314"/>
      <c r="CN238" s="313"/>
      <c r="CO238" s="313"/>
      <c r="CP238" s="551">
        <f>IF(CP222=0,0,CP237/CP222)</f>
        <v>0</v>
      </c>
      <c r="CQ238" s="554"/>
      <c r="CR238" s="553"/>
      <c r="CS238" s="553"/>
      <c r="CT238" s="554"/>
      <c r="CU238" s="554"/>
      <c r="CV238" s="551">
        <f>IF(CV222=0,0,CV237/CV222)</f>
        <v>0</v>
      </c>
      <c r="CW238" s="554"/>
      <c r="CX238" s="553"/>
      <c r="CY238" s="553"/>
      <c r="CZ238" s="554"/>
      <c r="DA238" s="554"/>
      <c r="DB238" s="551">
        <f>IF(DB222=0,0,DB237/DB222)</f>
        <v>0</v>
      </c>
      <c r="DC238" s="313"/>
      <c r="DD238" s="314"/>
      <c r="DE238" s="314"/>
      <c r="DF238" s="313"/>
      <c r="DG238" s="313"/>
      <c r="DH238" s="551">
        <f>IF(DH222=0,0,DH237/DH222)</f>
        <v>0</v>
      </c>
      <c r="DI238" s="313"/>
      <c r="DJ238" s="314"/>
      <c r="DK238" s="314"/>
      <c r="DL238" s="313"/>
      <c r="DM238" s="313"/>
      <c r="DN238" s="551">
        <f>IF(DN222=0,0,DN237/DN222)</f>
        <v>0</v>
      </c>
      <c r="DO238" s="313"/>
      <c r="DP238" s="314"/>
      <c r="DQ238" s="314"/>
      <c r="DR238" s="313"/>
      <c r="DS238" s="313"/>
      <c r="DT238" s="551">
        <f>IF(DT222=0,0,DT237/DT222)</f>
        <v>0</v>
      </c>
      <c r="DU238" s="313"/>
      <c r="DV238" s="314"/>
      <c r="DW238" s="314"/>
      <c r="DX238" s="313"/>
      <c r="DY238" s="313"/>
      <c r="DZ238" s="551">
        <f>IF(DZ222=0,0,DZ237/DZ222)</f>
        <v>0</v>
      </c>
      <c r="EA238" s="313"/>
      <c r="EB238" s="314"/>
      <c r="EC238" s="314"/>
      <c r="ED238" s="313"/>
      <c r="EE238" s="313"/>
      <c r="EF238" s="551">
        <f>IF(EF222=0,0,EF237/EF222)</f>
        <v>0</v>
      </c>
      <c r="EG238" s="313"/>
      <c r="EH238" s="314"/>
      <c r="EI238" s="314"/>
      <c r="EJ238" s="313"/>
      <c r="EK238" s="313"/>
      <c r="EL238" s="551">
        <f>IF(EL222=0,0,EL237/EL222)</f>
        <v>0</v>
      </c>
      <c r="EM238" s="313"/>
      <c r="EN238" s="314"/>
      <c r="EO238" s="314"/>
      <c r="EP238" s="313"/>
      <c r="EQ238" s="313"/>
      <c r="ER238" s="551">
        <f>IF(ER222=0,0,ER237/ER222)</f>
        <v>0</v>
      </c>
      <c r="ES238" s="313"/>
      <c r="ET238" s="314"/>
      <c r="EU238" s="314"/>
      <c r="EV238" s="313"/>
      <c r="EW238" s="313"/>
      <c r="EX238" s="551">
        <f>IF(EX222=0,0,EX237/EX222)</f>
        <v>0</v>
      </c>
      <c r="EY238" s="313"/>
      <c r="EZ238" s="314"/>
      <c r="FA238" s="314"/>
      <c r="FB238" s="313"/>
      <c r="FC238" s="313"/>
      <c r="FD238" s="551">
        <f>IF(FD222=0,0,FD237/FD222)</f>
        <v>0</v>
      </c>
      <c r="FE238" s="313"/>
      <c r="FF238" s="314"/>
      <c r="FG238" s="314"/>
      <c r="FH238" s="313"/>
      <c r="FI238" s="313"/>
      <c r="FJ238" s="551">
        <f>IF(FJ222=0,0,FJ237/FJ222)</f>
        <v>0</v>
      </c>
      <c r="FK238" s="313"/>
      <c r="FL238" s="314"/>
      <c r="FM238" s="314"/>
      <c r="FN238" s="313"/>
      <c r="FO238" s="313"/>
      <c r="FP238" s="551">
        <f>IF(FP222=0,0,FP237/FP222)</f>
        <v>0</v>
      </c>
      <c r="FQ238" s="313"/>
      <c r="FR238" s="314"/>
      <c r="FS238" s="314"/>
      <c r="FT238" s="313"/>
      <c r="FU238" s="313"/>
      <c r="FV238" s="551">
        <f>IF(FV222=0,0,FV237/FV222)</f>
        <v>0</v>
      </c>
      <c r="FW238" s="313"/>
      <c r="FX238" s="314"/>
      <c r="FY238" s="314"/>
      <c r="FZ238" s="313"/>
      <c r="GA238" s="313"/>
      <c r="GB238" s="551">
        <f>IF(GB222=0,0,GB237/GB222)</f>
        <v>0</v>
      </c>
      <c r="GC238" s="313"/>
      <c r="GD238" s="314"/>
      <c r="GE238" s="314"/>
      <c r="GF238" s="313"/>
      <c r="GG238" s="313"/>
      <c r="GH238" s="551">
        <f>IF(GH222=0,0,GH237/GH222)</f>
        <v>0</v>
      </c>
      <c r="GI238" s="313"/>
      <c r="GJ238" s="314"/>
      <c r="GK238" s="314"/>
      <c r="GL238" s="313"/>
      <c r="GM238" s="313"/>
      <c r="GN238" s="551">
        <f>IF(GN222=0,0,GN237/GN222)</f>
        <v>0</v>
      </c>
      <c r="GO238" s="313"/>
      <c r="GP238" s="314"/>
      <c r="GQ238" s="314"/>
      <c r="GR238" s="313"/>
      <c r="GS238" s="313"/>
      <c r="GT238" s="551">
        <f>IF(GT222=0,0,GT237/GT222)</f>
        <v>0</v>
      </c>
      <c r="GU238" s="313"/>
      <c r="GV238" s="314"/>
      <c r="GW238" s="314"/>
      <c r="GX238" s="313"/>
      <c r="GY238" s="313"/>
      <c r="GZ238" s="555">
        <f>IF(GZ222=0,0,GZ237/GZ222)</f>
        <v>0</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0</v>
      </c>
      <c r="AU240" s="542"/>
      <c r="AV240" s="543"/>
      <c r="AW240" s="543"/>
      <c r="AX240" s="542"/>
      <c r="AY240" s="542"/>
      <c r="AZ240" s="541">
        <f>IF(AZ222=0,0,AT240+SUMIF($S44:$S216,"ja",BC44:BC216))</f>
        <v>0</v>
      </c>
      <c r="BA240" s="311"/>
      <c r="BB240" s="312"/>
      <c r="BC240" s="312"/>
      <c r="BD240" s="311"/>
      <c r="BE240" s="311"/>
      <c r="BF240" s="541">
        <f>IF(BF222=0,0,AZ240+SUMIF($S44:$S216,"ja",BI44:BI216))</f>
        <v>0</v>
      </c>
      <c r="BG240" s="311"/>
      <c r="BH240" s="312"/>
      <c r="BI240" s="312"/>
      <c r="BJ240" s="311"/>
      <c r="BK240" s="311"/>
      <c r="BL240" s="541">
        <f>IF(BL222=0,0,BF240+SUMIF($S44:$S216,"ja",BO44:BO216))</f>
        <v>0</v>
      </c>
      <c r="BM240" s="311"/>
      <c r="BN240" s="312"/>
      <c r="BO240" s="312"/>
      <c r="BP240" s="311"/>
      <c r="BQ240" s="311"/>
      <c r="BR240" s="541">
        <f>IF(BR222=0,0,BL240+SUMIF($S44:$S216,"ja",BU44:BU216))</f>
        <v>0</v>
      </c>
      <c r="BS240" s="542"/>
      <c r="BT240" s="543"/>
      <c r="BU240" s="543"/>
      <c r="BV240" s="542"/>
      <c r="BW240" s="542"/>
      <c r="BX240" s="541">
        <f>IF(BX222=0,0,BR240+SUMIF($S44:$S216,"ja",CA44:CA216))</f>
        <v>0</v>
      </c>
      <c r="BY240" s="311"/>
      <c r="BZ240" s="312"/>
      <c r="CA240" s="312"/>
      <c r="CB240" s="311"/>
      <c r="CC240" s="311"/>
      <c r="CD240" s="541">
        <f>IF(CD222=0,0,BX240+SUMIF($S44:$S216,"ja",CG44:CG216))</f>
        <v>0</v>
      </c>
      <c r="CE240" s="311"/>
      <c r="CF240" s="312"/>
      <c r="CG240" s="312"/>
      <c r="CH240" s="311"/>
      <c r="CI240" s="311"/>
      <c r="CJ240" s="541">
        <f>IF(CJ222=0,0,CD240+SUMIF($S44:$S216,"ja",CM44:CM216))</f>
        <v>0</v>
      </c>
      <c r="CK240" s="311"/>
      <c r="CL240" s="312"/>
      <c r="CM240" s="312"/>
      <c r="CN240" s="311"/>
      <c r="CO240" s="311"/>
      <c r="CP240" s="541">
        <f>IF(CP222=0,0,CJ240+SUMIF($S44:$S216,"ja",CS44:CS216))</f>
        <v>0</v>
      </c>
      <c r="CQ240" s="544"/>
      <c r="CR240" s="543"/>
      <c r="CS240" s="543"/>
      <c r="CT240" s="544"/>
      <c r="CU240" s="544"/>
      <c r="CV240" s="541">
        <f>IF(CV222=0,0,CP240+SUMIF($S44:$S216,"ja",CY44:CY216))</f>
        <v>0</v>
      </c>
      <c r="CW240" s="544"/>
      <c r="CX240" s="543"/>
      <c r="CY240" s="543"/>
      <c r="CZ240" s="544"/>
      <c r="DA240" s="544"/>
      <c r="DB240" s="541">
        <f>IF(DB222=0,0,CV240+SUMIF($S44:$S216,"ja",DE44:DE216))</f>
        <v>0</v>
      </c>
      <c r="DC240" s="311"/>
      <c r="DD240" s="312"/>
      <c r="DE240" s="312"/>
      <c r="DF240" s="311"/>
      <c r="DG240" s="311"/>
      <c r="DH240" s="541">
        <f>IF(DH222=0,0,DB240+SUMIF($S44:$S216,"ja",DK44:DK216))</f>
        <v>0</v>
      </c>
      <c r="DI240" s="311"/>
      <c r="DJ240" s="312"/>
      <c r="DK240" s="312"/>
      <c r="DL240" s="311"/>
      <c r="DM240" s="311"/>
      <c r="DN240" s="541">
        <f>IF(DN222=0,0,DH240+SUMIF($S44:$S216,"ja",DQ44:DQ216))</f>
        <v>0</v>
      </c>
      <c r="DO240" s="311"/>
      <c r="DP240" s="312"/>
      <c r="DQ240" s="312"/>
      <c r="DR240" s="311"/>
      <c r="DS240" s="311"/>
      <c r="DT240" s="541">
        <f>IF(DT222=0,0,DN240+SUMIF($S44:$S216,"ja",DW44:DW216))</f>
        <v>0</v>
      </c>
      <c r="DU240" s="311"/>
      <c r="DV240" s="312"/>
      <c r="DW240" s="312"/>
      <c r="DX240" s="311"/>
      <c r="DY240" s="311"/>
      <c r="DZ240" s="541">
        <f>IF(DZ222=0,0,DT240+SUMIF($S44:$S216,"ja",EC44:EC216))</f>
        <v>0</v>
      </c>
      <c r="EA240" s="311"/>
      <c r="EB240" s="312"/>
      <c r="EC240" s="312"/>
      <c r="ED240" s="311"/>
      <c r="EE240" s="311"/>
      <c r="EF240" s="541">
        <f>IF(EF222=0,0,DZ240+SUMIF($S44:$S216,"ja",EI44:EI216))</f>
        <v>0</v>
      </c>
      <c r="EG240" s="311"/>
      <c r="EH240" s="312"/>
      <c r="EI240" s="312"/>
      <c r="EJ240" s="311"/>
      <c r="EK240" s="311"/>
      <c r="EL240" s="541">
        <f>IF(EL222=0,0,EF240+SUMIF($S44:$S216,"ja",EO44:EO216))</f>
        <v>0</v>
      </c>
      <c r="EM240" s="311"/>
      <c r="EN240" s="312"/>
      <c r="EO240" s="312"/>
      <c r="EP240" s="311"/>
      <c r="EQ240" s="311"/>
      <c r="ER240" s="541">
        <f>IF(ER222=0,0,EL240+SUMIF($S44:$S216,"ja",EU44:EU216))</f>
        <v>0</v>
      </c>
      <c r="ES240" s="311"/>
      <c r="ET240" s="312"/>
      <c r="EU240" s="312"/>
      <c r="EV240" s="311"/>
      <c r="EW240" s="311"/>
      <c r="EX240" s="541">
        <f>IF(EX222=0,0,ER240+SUMIF($S44:$S216,"ja",FA44:FA216))</f>
        <v>0</v>
      </c>
      <c r="EY240" s="311"/>
      <c r="EZ240" s="312"/>
      <c r="FA240" s="312"/>
      <c r="FB240" s="311"/>
      <c r="FC240" s="311"/>
      <c r="FD240" s="541">
        <f>IF(FD222=0,0,EX240+SUMIF($S44:$S216,"ja",FG44:FG216))</f>
        <v>0</v>
      </c>
      <c r="FE240" s="311"/>
      <c r="FF240" s="312"/>
      <c r="FG240" s="312"/>
      <c r="FH240" s="311"/>
      <c r="FI240" s="311"/>
      <c r="FJ240" s="541">
        <f>IF(FJ222=0,0,FD240+SUMIF($S44:$S216,"ja",FM44:FM216))</f>
        <v>0</v>
      </c>
      <c r="FK240" s="311"/>
      <c r="FL240" s="312"/>
      <c r="FM240" s="312"/>
      <c r="FN240" s="311"/>
      <c r="FO240" s="311"/>
      <c r="FP240" s="541">
        <f>IF(FP222=0,0,FJ240+SUMIF($S44:$S216,"ja",FS44:FS216))</f>
        <v>0</v>
      </c>
      <c r="FQ240" s="311"/>
      <c r="FR240" s="312"/>
      <c r="FS240" s="312"/>
      <c r="FT240" s="311"/>
      <c r="FU240" s="311"/>
      <c r="FV240" s="541">
        <f>IF(FV222=0,0,FP240+SUMIF($S44:$S216,"ja",FY44:FY216))</f>
        <v>0</v>
      </c>
      <c r="FW240" s="311"/>
      <c r="FX240" s="312"/>
      <c r="FY240" s="312"/>
      <c r="FZ240" s="311"/>
      <c r="GA240" s="311"/>
      <c r="GB240" s="541">
        <f>IF(GB222=0,0,FV240+SUMIF($S44:$S216,"ja",GE44:GE216))</f>
        <v>0</v>
      </c>
      <c r="GC240" s="311"/>
      <c r="GD240" s="312"/>
      <c r="GE240" s="312"/>
      <c r="GF240" s="311"/>
      <c r="GG240" s="311"/>
      <c r="GH240" s="541">
        <f>IF(GH222=0,0,GB240+SUMIF($S44:$S216,"ja",GK44:GK216))</f>
        <v>0</v>
      </c>
      <c r="GI240" s="311"/>
      <c r="GJ240" s="312"/>
      <c r="GK240" s="312"/>
      <c r="GL240" s="311"/>
      <c r="GM240" s="311"/>
      <c r="GN240" s="541">
        <f>IF(GN222=0,0,GH240+SUMIF($S44:$S216,"ja",GQ44:GQ216))</f>
        <v>0</v>
      </c>
      <c r="GO240" s="311"/>
      <c r="GP240" s="312"/>
      <c r="GQ240" s="312"/>
      <c r="GR240" s="311"/>
      <c r="GS240" s="311"/>
      <c r="GT240" s="541">
        <f>IF(GT222=0,0,GN240+SUMIF($S44:$S216,"ja",GW44:GW216))</f>
        <v>0</v>
      </c>
      <c r="GU240" s="311"/>
      <c r="GV240" s="312"/>
      <c r="GW240" s="312"/>
      <c r="GX240" s="311"/>
      <c r="GY240" s="311"/>
      <c r="GZ240" s="545">
        <f>IF(GZ222=0,0,GT240+SUMIF($S44:$S216,"ja",HC44:HC216))</f>
        <v>0</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0</v>
      </c>
      <c r="AU241" s="317"/>
      <c r="AV241" s="317"/>
      <c r="AW241" s="317"/>
      <c r="AX241" s="317"/>
      <c r="AY241" s="317"/>
      <c r="AZ241" s="623">
        <f>(IF(AZ222=0,0,AZ240/AZ222))</f>
        <v>0</v>
      </c>
      <c r="BA241" s="317"/>
      <c r="BB241" s="317"/>
      <c r="BC241" s="317"/>
      <c r="BD241" s="317"/>
      <c r="BE241" s="317"/>
      <c r="BF241" s="623">
        <f>(IF(BF222=0,0,BF240/BF222))</f>
        <v>0</v>
      </c>
      <c r="BG241" s="317"/>
      <c r="BH241" s="317"/>
      <c r="BI241" s="317"/>
      <c r="BJ241" s="317"/>
      <c r="BK241" s="317"/>
      <c r="BL241" s="623">
        <f>(IF(BL222=0,0,BL240/BL222))</f>
        <v>0</v>
      </c>
      <c r="BM241" s="317"/>
      <c r="BN241" s="317"/>
      <c r="BO241" s="317"/>
      <c r="BP241" s="317"/>
      <c r="BQ241" s="317"/>
      <c r="BR241" s="623">
        <f>(IF(BR222=0,0,BR240/BR222))</f>
        <v>0</v>
      </c>
      <c r="BS241" s="317"/>
      <c r="BT241" s="317"/>
      <c r="BU241" s="317"/>
      <c r="BV241" s="317"/>
      <c r="BW241" s="317"/>
      <c r="BX241" s="623">
        <f>(IF(BX222=0,0,BX240/BX222))</f>
        <v>0</v>
      </c>
      <c r="BY241" s="317"/>
      <c r="BZ241" s="317"/>
      <c r="CA241" s="317"/>
      <c r="CB241" s="317"/>
      <c r="CC241" s="317"/>
      <c r="CD241" s="623">
        <f>(IF(CD222=0,0,CD240/CD222))</f>
        <v>0</v>
      </c>
      <c r="CE241" s="317"/>
      <c r="CF241" s="317"/>
      <c r="CG241" s="317"/>
      <c r="CH241" s="317"/>
      <c r="CI241" s="317"/>
      <c r="CJ241" s="623">
        <f>(IF(CJ222=0,0,CJ240/CJ222))</f>
        <v>0</v>
      </c>
      <c r="CK241" s="317"/>
      <c r="CL241" s="317"/>
      <c r="CM241" s="317"/>
      <c r="CN241" s="317"/>
      <c r="CO241" s="317"/>
      <c r="CP241" s="623">
        <f>(IF(CP222=0,0,CP240/CP222))</f>
        <v>0</v>
      </c>
      <c r="CQ241" s="317"/>
      <c r="CR241" s="317"/>
      <c r="CS241" s="317"/>
      <c r="CT241" s="317"/>
      <c r="CU241" s="317"/>
      <c r="CV241" s="623">
        <f>(IF(CV222=0,0,CV240/CV222))</f>
        <v>0</v>
      </c>
      <c r="CW241" s="628"/>
      <c r="CX241" s="629"/>
      <c r="CY241" s="629"/>
      <c r="CZ241" s="628"/>
      <c r="DA241" s="628"/>
      <c r="DB241" s="623">
        <f>(IF(DB222=0,0,DB240/DB222))</f>
        <v>0</v>
      </c>
      <c r="DC241" s="317"/>
      <c r="DD241" s="317"/>
      <c r="DE241" s="317"/>
      <c r="DF241" s="317"/>
      <c r="DG241" s="317"/>
      <c r="DH241" s="623">
        <f>(IF(DH222=0,0,DH240/DH222))</f>
        <v>0</v>
      </c>
      <c r="DI241" s="317"/>
      <c r="DJ241" s="317"/>
      <c r="DK241" s="317"/>
      <c r="DL241" s="317"/>
      <c r="DM241" s="317"/>
      <c r="DN241" s="623">
        <f>(IF(DN222=0,0,DN240/DN222))</f>
        <v>0</v>
      </c>
      <c r="DO241" s="317"/>
      <c r="DP241" s="317"/>
      <c r="DQ241" s="317"/>
      <c r="DR241" s="317"/>
      <c r="DS241" s="317"/>
      <c r="DT241" s="623">
        <f>(IF(DT222=0,0,DT240/DT222))</f>
        <v>0</v>
      </c>
      <c r="DU241" s="317"/>
      <c r="DV241" s="317"/>
      <c r="DW241" s="317"/>
      <c r="DX241" s="317"/>
      <c r="DY241" s="317"/>
      <c r="DZ241" s="623">
        <f>(IF(DZ222=0,0,DZ240/DZ222))</f>
        <v>0</v>
      </c>
      <c r="EA241" s="317"/>
      <c r="EB241" s="317"/>
      <c r="EC241" s="317"/>
      <c r="ED241" s="317"/>
      <c r="EE241" s="317"/>
      <c r="EF241" s="623">
        <f>(IF(EF222=0,0,EF240/EF222))</f>
        <v>0</v>
      </c>
      <c r="EG241" s="317"/>
      <c r="EH241" s="317"/>
      <c r="EI241" s="317"/>
      <c r="EJ241" s="317"/>
      <c r="EK241" s="317"/>
      <c r="EL241" s="623">
        <f>(IF(EL222=0,0,EL240/EL222))</f>
        <v>0</v>
      </c>
      <c r="EM241" s="317"/>
      <c r="EN241" s="317"/>
      <c r="EO241" s="317"/>
      <c r="EP241" s="317"/>
      <c r="EQ241" s="317"/>
      <c r="ER241" s="623">
        <f>(IF(ER222=0,0,ER240/ER222))</f>
        <v>0</v>
      </c>
      <c r="ES241" s="317"/>
      <c r="ET241" s="317"/>
      <c r="EU241" s="317"/>
      <c r="EV241" s="317"/>
      <c r="EW241" s="317"/>
      <c r="EX241" s="623">
        <f>(IF(EX222=0,0,EX240/EX222))</f>
        <v>0</v>
      </c>
      <c r="EY241" s="317"/>
      <c r="EZ241" s="317"/>
      <c r="FA241" s="317"/>
      <c r="FB241" s="317"/>
      <c r="FC241" s="317"/>
      <c r="FD241" s="623">
        <f>(IF(FD222=0,0,FD240/FD222))</f>
        <v>0</v>
      </c>
      <c r="FE241" s="317"/>
      <c r="FF241" s="317"/>
      <c r="FG241" s="317"/>
      <c r="FH241" s="317"/>
      <c r="FI241" s="317"/>
      <c r="FJ241" s="623">
        <f>(IF(FJ222=0,0,FJ240/FJ222))</f>
        <v>0</v>
      </c>
      <c r="FK241" s="317"/>
      <c r="FL241" s="317"/>
      <c r="FM241" s="317"/>
      <c r="FN241" s="317"/>
      <c r="FO241" s="317"/>
      <c r="FP241" s="623">
        <f>(IF(FP222=0,0,FP240/FP222))</f>
        <v>0</v>
      </c>
      <c r="FQ241" s="317"/>
      <c r="FR241" s="317"/>
      <c r="FS241" s="317"/>
      <c r="FT241" s="317"/>
      <c r="FU241" s="317"/>
      <c r="FV241" s="623">
        <f>(IF(FV222=0,0,FV240/FV222))</f>
        <v>0</v>
      </c>
      <c r="FW241" s="317"/>
      <c r="FX241" s="317"/>
      <c r="FY241" s="317"/>
      <c r="FZ241" s="317"/>
      <c r="GA241" s="317"/>
      <c r="GB241" s="623">
        <f>(IF(GB222=0,0,GB240/GB222))</f>
        <v>0</v>
      </c>
      <c r="GC241" s="317"/>
      <c r="GD241" s="317"/>
      <c r="GE241" s="317"/>
      <c r="GF241" s="317"/>
      <c r="GG241" s="317"/>
      <c r="GH241" s="623">
        <f>(IF(GH222=0,0,GH240/GH222))</f>
        <v>0</v>
      </c>
      <c r="GI241" s="317"/>
      <c r="GJ241" s="317"/>
      <c r="GK241" s="317"/>
      <c r="GL241" s="317"/>
      <c r="GM241" s="317"/>
      <c r="GN241" s="623">
        <f>(IF(GN222=0,0,GN240/GN222))</f>
        <v>0</v>
      </c>
      <c r="GO241" s="317"/>
      <c r="GP241" s="317"/>
      <c r="GQ241" s="317"/>
      <c r="GR241" s="317"/>
      <c r="GS241" s="317"/>
      <c r="GT241" s="623">
        <f>(IF(GT222=0,0,GT240/GT222))</f>
        <v>0</v>
      </c>
      <c r="GU241" s="317"/>
      <c r="GV241" s="317"/>
      <c r="GW241" s="317"/>
      <c r="GX241" s="317"/>
      <c r="GY241" s="317"/>
      <c r="GZ241" s="630">
        <f>(IF(GZ222=0,0,GZ240/GZ222))</f>
        <v>0</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0</v>
      </c>
      <c r="BY242" s="609">
        <f t="shared" si="278"/>
        <v>0</v>
      </c>
      <c r="BZ242" s="609">
        <f t="shared" si="278"/>
        <v>0</v>
      </c>
      <c r="CA242" s="609">
        <f t="shared" si="278"/>
        <v>0</v>
      </c>
      <c r="CB242" s="609">
        <f t="shared" si="278"/>
        <v>0</v>
      </c>
      <c r="CC242" s="609">
        <f t="shared" si="278"/>
        <v>0</v>
      </c>
      <c r="CD242" s="609">
        <f t="shared" si="278"/>
        <v>0</v>
      </c>
      <c r="CE242" s="609">
        <f t="shared" si="278"/>
        <v>0</v>
      </c>
      <c r="CF242" s="609">
        <f t="shared" si="278"/>
        <v>0</v>
      </c>
      <c r="CG242" s="609">
        <f t="shared" si="278"/>
        <v>0</v>
      </c>
      <c r="CH242" s="609">
        <f t="shared" si="278"/>
        <v>0</v>
      </c>
      <c r="CI242" s="609">
        <f t="shared" si="278"/>
        <v>0</v>
      </c>
      <c r="CJ242" s="609">
        <f t="shared" si="278"/>
        <v>0</v>
      </c>
      <c r="CK242" s="609">
        <f t="shared" si="278"/>
        <v>0</v>
      </c>
      <c r="CL242" s="609">
        <f t="shared" si="278"/>
        <v>0</v>
      </c>
      <c r="CM242" s="609">
        <f t="shared" si="278"/>
        <v>0</v>
      </c>
      <c r="CN242" s="609">
        <f t="shared" si="278"/>
        <v>0</v>
      </c>
      <c r="CO242" s="609">
        <f t="shared" si="278"/>
        <v>0</v>
      </c>
      <c r="CP242" s="609">
        <f t="shared" si="278"/>
        <v>0</v>
      </c>
      <c r="CQ242" s="609">
        <f t="shared" si="278"/>
        <v>0</v>
      </c>
      <c r="CR242" s="609">
        <f t="shared" si="278"/>
        <v>0</v>
      </c>
      <c r="CS242" s="609">
        <f t="shared" si="278"/>
        <v>0</v>
      </c>
      <c r="CT242" s="609">
        <f t="shared" si="278"/>
        <v>0</v>
      </c>
      <c r="CU242" s="609">
        <f t="shared" si="278"/>
        <v>0</v>
      </c>
      <c r="CV242" s="609">
        <f t="shared" si="278"/>
        <v>0</v>
      </c>
      <c r="CW242" s="609">
        <f t="shared" si="278"/>
        <v>0</v>
      </c>
      <c r="CX242" s="609">
        <f t="shared" si="278"/>
        <v>0</v>
      </c>
      <c r="CY242" s="609">
        <f t="shared" si="278"/>
        <v>0</v>
      </c>
      <c r="CZ242" s="609">
        <f t="shared" si="278"/>
        <v>0</v>
      </c>
      <c r="DA242" s="609">
        <f t="shared" si="278"/>
        <v>0</v>
      </c>
      <c r="DB242" s="609">
        <f t="shared" si="278"/>
        <v>0</v>
      </c>
      <c r="DC242" s="609">
        <f t="shared" si="278"/>
        <v>0</v>
      </c>
      <c r="DD242" s="609">
        <f t="shared" si="278"/>
        <v>0</v>
      </c>
      <c r="DE242" s="609">
        <f t="shared" si="278"/>
        <v>0</v>
      </c>
      <c r="DF242" s="609">
        <f t="shared" ref="DF242:FQ242" si="279">IF(DF222=0,0,IF(DF44&gt;0,-DJ44,IF(CZ242&gt;0,CZ242,0)))</f>
        <v>0</v>
      </c>
      <c r="DG242" s="609">
        <f t="shared" si="279"/>
        <v>0</v>
      </c>
      <c r="DH242" s="609">
        <f t="shared" si="279"/>
        <v>0</v>
      </c>
      <c r="DI242" s="609">
        <f t="shared" si="279"/>
        <v>0</v>
      </c>
      <c r="DJ242" s="609">
        <f t="shared" si="279"/>
        <v>0</v>
      </c>
      <c r="DK242" s="609">
        <f t="shared" si="279"/>
        <v>0</v>
      </c>
      <c r="DL242" s="609">
        <f t="shared" si="279"/>
        <v>0</v>
      </c>
      <c r="DM242" s="609">
        <f t="shared" si="279"/>
        <v>0</v>
      </c>
      <c r="DN242" s="609">
        <f t="shared" si="279"/>
        <v>0</v>
      </c>
      <c r="DO242" s="609">
        <f t="shared" si="279"/>
        <v>0</v>
      </c>
      <c r="DP242" s="609">
        <f t="shared" si="279"/>
        <v>0</v>
      </c>
      <c r="DQ242" s="609">
        <f t="shared" si="279"/>
        <v>0</v>
      </c>
      <c r="DR242" s="609">
        <f t="shared" si="279"/>
        <v>0</v>
      </c>
      <c r="DS242" s="609">
        <f t="shared" si="279"/>
        <v>0</v>
      </c>
      <c r="DT242" s="609">
        <f t="shared" si="279"/>
        <v>0</v>
      </c>
      <c r="DU242" s="609">
        <f t="shared" si="279"/>
        <v>0</v>
      </c>
      <c r="DV242" s="609">
        <f t="shared" si="279"/>
        <v>0</v>
      </c>
      <c r="DW242" s="609">
        <f t="shared" si="279"/>
        <v>0</v>
      </c>
      <c r="DX242" s="609">
        <f t="shared" si="279"/>
        <v>0</v>
      </c>
      <c r="DY242" s="609">
        <f t="shared" si="279"/>
        <v>0</v>
      </c>
      <c r="DZ242" s="609">
        <f t="shared" si="279"/>
        <v>0</v>
      </c>
      <c r="EA242" s="609">
        <f t="shared" si="279"/>
        <v>0</v>
      </c>
      <c r="EB242" s="609">
        <f t="shared" si="279"/>
        <v>0</v>
      </c>
      <c r="EC242" s="609">
        <f t="shared" si="279"/>
        <v>0</v>
      </c>
      <c r="ED242" s="609">
        <f t="shared" si="279"/>
        <v>0</v>
      </c>
      <c r="EE242" s="609">
        <f t="shared" si="279"/>
        <v>0</v>
      </c>
      <c r="EF242" s="609">
        <f t="shared" si="279"/>
        <v>0</v>
      </c>
      <c r="EG242" s="609">
        <f t="shared" si="279"/>
        <v>0</v>
      </c>
      <c r="EH242" s="609">
        <f t="shared" si="279"/>
        <v>0</v>
      </c>
      <c r="EI242" s="609">
        <f t="shared" si="279"/>
        <v>0</v>
      </c>
      <c r="EJ242" s="609">
        <f t="shared" si="279"/>
        <v>0</v>
      </c>
      <c r="EK242" s="609">
        <f t="shared" si="279"/>
        <v>0</v>
      </c>
      <c r="EL242" s="609">
        <f t="shared" si="279"/>
        <v>0</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v>
      </c>
      <c r="BY243" s="651">
        <f t="shared" si="281"/>
        <v>0</v>
      </c>
      <c r="BZ243" s="651">
        <f t="shared" si="281"/>
        <v>0</v>
      </c>
      <c r="CA243" s="651">
        <f t="shared" si="281"/>
        <v>0</v>
      </c>
      <c r="CB243" s="651">
        <f t="shared" si="281"/>
        <v>0</v>
      </c>
      <c r="CC243" s="651">
        <f t="shared" si="281"/>
        <v>0</v>
      </c>
      <c r="CD243" s="651">
        <f t="shared" si="281"/>
        <v>0</v>
      </c>
      <c r="CE243" s="651">
        <f t="shared" si="281"/>
        <v>0</v>
      </c>
      <c r="CF243" s="651">
        <f t="shared" si="281"/>
        <v>0</v>
      </c>
      <c r="CG243" s="651">
        <f t="shared" si="281"/>
        <v>0</v>
      </c>
      <c r="CH243" s="651">
        <f t="shared" si="281"/>
        <v>0</v>
      </c>
      <c r="CI243" s="651">
        <f t="shared" si="281"/>
        <v>0</v>
      </c>
      <c r="CJ243" s="651">
        <f t="shared" si="281"/>
        <v>0</v>
      </c>
      <c r="CK243" s="651">
        <f t="shared" si="281"/>
        <v>0</v>
      </c>
      <c r="CL243" s="651">
        <f t="shared" si="281"/>
        <v>0</v>
      </c>
      <c r="CM243" s="651">
        <f t="shared" si="281"/>
        <v>0</v>
      </c>
      <c r="CN243" s="651">
        <f t="shared" si="281"/>
        <v>0</v>
      </c>
      <c r="CO243" s="651">
        <f t="shared" si="281"/>
        <v>0</v>
      </c>
      <c r="CP243" s="651">
        <f t="shared" si="281"/>
        <v>0</v>
      </c>
      <c r="CQ243" s="651">
        <f t="shared" si="281"/>
        <v>0</v>
      </c>
      <c r="CR243" s="651">
        <f t="shared" si="281"/>
        <v>0</v>
      </c>
      <c r="CS243" s="651">
        <f t="shared" si="281"/>
        <v>0</v>
      </c>
      <c r="CT243" s="651">
        <f t="shared" si="281"/>
        <v>0</v>
      </c>
      <c r="CU243" s="651">
        <f t="shared" si="281"/>
        <v>0</v>
      </c>
      <c r="CV243" s="651">
        <f t="shared" si="281"/>
        <v>0</v>
      </c>
      <c r="CW243" s="651">
        <f t="shared" si="281"/>
        <v>0</v>
      </c>
      <c r="CX243" s="651">
        <f t="shared" si="281"/>
        <v>0</v>
      </c>
      <c r="CY243" s="651">
        <f t="shared" si="281"/>
        <v>0</v>
      </c>
      <c r="CZ243" s="651">
        <f t="shared" si="281"/>
        <v>0</v>
      </c>
      <c r="DA243" s="651">
        <f t="shared" si="281"/>
        <v>0</v>
      </c>
      <c r="DB243" s="651">
        <f t="shared" si="281"/>
        <v>0</v>
      </c>
      <c r="DC243" s="651">
        <f t="shared" si="281"/>
        <v>0</v>
      </c>
      <c r="DD243" s="651">
        <f t="shared" si="281"/>
        <v>0</v>
      </c>
      <c r="DE243" s="651">
        <f t="shared" si="281"/>
        <v>0</v>
      </c>
      <c r="DF243" s="651">
        <f t="shared" si="281"/>
        <v>0</v>
      </c>
      <c r="DG243" s="651">
        <f t="shared" ref="DG243:FR243" si="282">IF(DG222=0,0,DG242/DG222)</f>
        <v>0</v>
      </c>
      <c r="DH243" s="651">
        <f t="shared" si="282"/>
        <v>0</v>
      </c>
      <c r="DI243" s="651">
        <f t="shared" si="282"/>
        <v>0</v>
      </c>
      <c r="DJ243" s="651">
        <f t="shared" si="282"/>
        <v>0</v>
      </c>
      <c r="DK243" s="651">
        <f t="shared" si="282"/>
        <v>0</v>
      </c>
      <c r="DL243" s="651">
        <f t="shared" si="282"/>
        <v>0</v>
      </c>
      <c r="DM243" s="651">
        <f t="shared" si="282"/>
        <v>0</v>
      </c>
      <c r="DN243" s="651">
        <f t="shared" si="282"/>
        <v>0</v>
      </c>
      <c r="DO243" s="651">
        <f t="shared" si="282"/>
        <v>0</v>
      </c>
      <c r="DP243" s="651">
        <f t="shared" si="282"/>
        <v>0</v>
      </c>
      <c r="DQ243" s="651">
        <f t="shared" si="282"/>
        <v>0</v>
      </c>
      <c r="DR243" s="651">
        <f t="shared" si="282"/>
        <v>0</v>
      </c>
      <c r="DS243" s="651">
        <f t="shared" si="282"/>
        <v>0</v>
      </c>
      <c r="DT243" s="651">
        <f t="shared" si="282"/>
        <v>0</v>
      </c>
      <c r="DU243" s="651">
        <f t="shared" si="282"/>
        <v>0</v>
      </c>
      <c r="DV243" s="651">
        <f t="shared" si="282"/>
        <v>0</v>
      </c>
      <c r="DW243" s="651">
        <f t="shared" si="282"/>
        <v>0</v>
      </c>
      <c r="DX243" s="651">
        <f t="shared" si="282"/>
        <v>0</v>
      </c>
      <c r="DY243" s="651">
        <f t="shared" si="282"/>
        <v>0</v>
      </c>
      <c r="DZ243" s="651">
        <f t="shared" si="282"/>
        <v>0</v>
      </c>
      <c r="EA243" s="651">
        <f t="shared" si="282"/>
        <v>0</v>
      </c>
      <c r="EB243" s="651">
        <f t="shared" si="282"/>
        <v>0</v>
      </c>
      <c r="EC243" s="651">
        <f t="shared" si="282"/>
        <v>0</v>
      </c>
      <c r="ED243" s="651">
        <f t="shared" si="282"/>
        <v>0</v>
      </c>
      <c r="EE243" s="651">
        <f t="shared" si="282"/>
        <v>0</v>
      </c>
      <c r="EF243" s="651">
        <f t="shared" si="282"/>
        <v>0</v>
      </c>
      <c r="EG243" s="651">
        <f t="shared" si="282"/>
        <v>0</v>
      </c>
      <c r="EH243" s="651">
        <f t="shared" si="282"/>
        <v>0</v>
      </c>
      <c r="EI243" s="651">
        <f t="shared" si="282"/>
        <v>0</v>
      </c>
      <c r="EJ243" s="651">
        <f t="shared" si="282"/>
        <v>0</v>
      </c>
      <c r="EK243" s="651">
        <f t="shared" si="282"/>
        <v>0</v>
      </c>
      <c r="EL243" s="651">
        <f t="shared" si="282"/>
        <v>0</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0</v>
      </c>
      <c r="V244" s="654">
        <f>V38</f>
        <v>0</v>
      </c>
      <c r="W244" s="605"/>
      <c r="X244" s="606"/>
      <c r="Y244" s="606"/>
      <c r="Z244" s="605"/>
      <c r="AA244" s="605"/>
      <c r="AB244" s="654">
        <f>AB38</f>
        <v>0</v>
      </c>
      <c r="AC244" s="607"/>
      <c r="AD244" s="608"/>
      <c r="AE244" s="608"/>
      <c r="AF244" s="607"/>
      <c r="AG244" s="607"/>
      <c r="AH244" s="654">
        <f>AH38</f>
        <v>0</v>
      </c>
      <c r="AI244" s="605"/>
      <c r="AJ244" s="606"/>
      <c r="AK244" s="606"/>
      <c r="AL244" s="605"/>
      <c r="AM244" s="605"/>
      <c r="AN244" s="654">
        <f>AN38</f>
        <v>0</v>
      </c>
      <c r="AO244" s="439"/>
      <c r="AP244" s="530"/>
      <c r="AQ244" s="530"/>
      <c r="AR244" s="439"/>
      <c r="AS244" s="439"/>
      <c r="AT244" s="609">
        <f>AT229+(AT232*9.786)+(AT235*278)+(AT242*278)+AT240</f>
        <v>0</v>
      </c>
      <c r="AU244" s="609">
        <f t="shared" ref="AU244:DF244" si="284">AU229+(AU232*9.786)+(AU235*278)+(AU242*278)+AU240</f>
        <v>0</v>
      </c>
      <c r="AV244" s="609">
        <f t="shared" si="284"/>
        <v>0</v>
      </c>
      <c r="AW244" s="609">
        <f t="shared" si="284"/>
        <v>0</v>
      </c>
      <c r="AX244" s="609">
        <f t="shared" si="284"/>
        <v>0</v>
      </c>
      <c r="AY244" s="609">
        <f t="shared" si="284"/>
        <v>0</v>
      </c>
      <c r="AZ244" s="609">
        <f t="shared" si="284"/>
        <v>0</v>
      </c>
      <c r="BA244" s="609">
        <f t="shared" si="284"/>
        <v>0</v>
      </c>
      <c r="BB244" s="609">
        <f t="shared" si="284"/>
        <v>0</v>
      </c>
      <c r="BC244" s="609">
        <f t="shared" si="284"/>
        <v>0</v>
      </c>
      <c r="BD244" s="609">
        <f t="shared" si="284"/>
        <v>0</v>
      </c>
      <c r="BE244" s="609">
        <f t="shared" si="284"/>
        <v>0</v>
      </c>
      <c r="BF244" s="609">
        <f t="shared" si="284"/>
        <v>0</v>
      </c>
      <c r="BG244" s="609">
        <f t="shared" si="284"/>
        <v>0</v>
      </c>
      <c r="BH244" s="609">
        <f t="shared" si="284"/>
        <v>0</v>
      </c>
      <c r="BI244" s="609">
        <f t="shared" si="284"/>
        <v>0</v>
      </c>
      <c r="BJ244" s="609">
        <f t="shared" si="284"/>
        <v>0</v>
      </c>
      <c r="BK244" s="609">
        <f t="shared" si="284"/>
        <v>0</v>
      </c>
      <c r="BL244" s="609">
        <f t="shared" si="284"/>
        <v>0</v>
      </c>
      <c r="BM244" s="609">
        <f t="shared" si="284"/>
        <v>0</v>
      </c>
      <c r="BN244" s="609">
        <f t="shared" si="284"/>
        <v>0</v>
      </c>
      <c r="BO244" s="609">
        <f t="shared" si="284"/>
        <v>0</v>
      </c>
      <c r="BP244" s="609">
        <f t="shared" si="284"/>
        <v>0</v>
      </c>
      <c r="BQ244" s="609">
        <f t="shared" si="284"/>
        <v>0</v>
      </c>
      <c r="BR244" s="609">
        <f t="shared" si="284"/>
        <v>0</v>
      </c>
      <c r="BS244" s="609">
        <f t="shared" si="284"/>
        <v>0</v>
      </c>
      <c r="BT244" s="609">
        <f t="shared" si="284"/>
        <v>0</v>
      </c>
      <c r="BU244" s="609">
        <f t="shared" si="284"/>
        <v>0</v>
      </c>
      <c r="BV244" s="609">
        <f t="shared" si="284"/>
        <v>0</v>
      </c>
      <c r="BW244" s="609">
        <f t="shared" si="284"/>
        <v>0</v>
      </c>
      <c r="BX244" s="609">
        <f t="shared" si="284"/>
        <v>0</v>
      </c>
      <c r="BY244" s="609">
        <f t="shared" si="284"/>
        <v>0</v>
      </c>
      <c r="BZ244" s="609">
        <f t="shared" si="284"/>
        <v>0</v>
      </c>
      <c r="CA244" s="609">
        <f t="shared" si="284"/>
        <v>0</v>
      </c>
      <c r="CB244" s="609">
        <f t="shared" si="284"/>
        <v>0</v>
      </c>
      <c r="CC244" s="609">
        <f t="shared" si="284"/>
        <v>0</v>
      </c>
      <c r="CD244" s="609">
        <f t="shared" si="284"/>
        <v>0</v>
      </c>
      <c r="CE244" s="609">
        <f t="shared" si="284"/>
        <v>0</v>
      </c>
      <c r="CF244" s="609">
        <f t="shared" si="284"/>
        <v>0</v>
      </c>
      <c r="CG244" s="609">
        <f t="shared" si="284"/>
        <v>0</v>
      </c>
      <c r="CH244" s="609">
        <f t="shared" si="284"/>
        <v>0</v>
      </c>
      <c r="CI244" s="609">
        <f t="shared" si="284"/>
        <v>0</v>
      </c>
      <c r="CJ244" s="609">
        <f t="shared" si="284"/>
        <v>0</v>
      </c>
      <c r="CK244" s="609">
        <f t="shared" si="284"/>
        <v>0</v>
      </c>
      <c r="CL244" s="609">
        <f t="shared" si="284"/>
        <v>0</v>
      </c>
      <c r="CM244" s="609">
        <f t="shared" si="284"/>
        <v>0</v>
      </c>
      <c r="CN244" s="609">
        <f t="shared" si="284"/>
        <v>0</v>
      </c>
      <c r="CO244" s="609">
        <f t="shared" si="284"/>
        <v>0</v>
      </c>
      <c r="CP244" s="609">
        <f t="shared" si="284"/>
        <v>0</v>
      </c>
      <c r="CQ244" s="609">
        <f t="shared" si="284"/>
        <v>0</v>
      </c>
      <c r="CR244" s="609">
        <f t="shared" si="284"/>
        <v>0</v>
      </c>
      <c r="CS244" s="609">
        <f t="shared" si="284"/>
        <v>0</v>
      </c>
      <c r="CT244" s="609">
        <f t="shared" si="284"/>
        <v>0</v>
      </c>
      <c r="CU244" s="609">
        <f t="shared" si="284"/>
        <v>0</v>
      </c>
      <c r="CV244" s="609">
        <f t="shared" si="284"/>
        <v>0</v>
      </c>
      <c r="CW244" s="609">
        <f t="shared" si="284"/>
        <v>0</v>
      </c>
      <c r="CX244" s="609">
        <f t="shared" si="284"/>
        <v>0</v>
      </c>
      <c r="CY244" s="609">
        <f t="shared" si="284"/>
        <v>0</v>
      </c>
      <c r="CZ244" s="609">
        <f t="shared" si="284"/>
        <v>0</v>
      </c>
      <c r="DA244" s="609">
        <f t="shared" si="284"/>
        <v>0</v>
      </c>
      <c r="DB244" s="609">
        <f t="shared" si="284"/>
        <v>0</v>
      </c>
      <c r="DC244" s="609">
        <f t="shared" si="284"/>
        <v>0</v>
      </c>
      <c r="DD244" s="609">
        <f t="shared" si="284"/>
        <v>0</v>
      </c>
      <c r="DE244" s="609">
        <f t="shared" si="284"/>
        <v>0</v>
      </c>
      <c r="DF244" s="609">
        <f t="shared" si="284"/>
        <v>0</v>
      </c>
      <c r="DG244" s="609">
        <f t="shared" ref="DG244:FR244" si="285">DG229+(DG232*9.786)+(DG235*278)+(DG242*278)+DG240</f>
        <v>0</v>
      </c>
      <c r="DH244" s="609">
        <f t="shared" si="285"/>
        <v>0</v>
      </c>
      <c r="DI244" s="609">
        <f t="shared" si="285"/>
        <v>0</v>
      </c>
      <c r="DJ244" s="609">
        <f t="shared" si="285"/>
        <v>0</v>
      </c>
      <c r="DK244" s="609">
        <f t="shared" si="285"/>
        <v>0</v>
      </c>
      <c r="DL244" s="609">
        <f t="shared" si="285"/>
        <v>0</v>
      </c>
      <c r="DM244" s="609">
        <f t="shared" si="285"/>
        <v>0</v>
      </c>
      <c r="DN244" s="609">
        <f t="shared" si="285"/>
        <v>0</v>
      </c>
      <c r="DO244" s="609">
        <f t="shared" si="285"/>
        <v>0</v>
      </c>
      <c r="DP244" s="609">
        <f t="shared" si="285"/>
        <v>0</v>
      </c>
      <c r="DQ244" s="609">
        <f t="shared" si="285"/>
        <v>0</v>
      </c>
      <c r="DR244" s="609">
        <f t="shared" si="285"/>
        <v>0</v>
      </c>
      <c r="DS244" s="609">
        <f t="shared" si="285"/>
        <v>0</v>
      </c>
      <c r="DT244" s="609">
        <f t="shared" si="285"/>
        <v>0</v>
      </c>
      <c r="DU244" s="609">
        <f t="shared" si="285"/>
        <v>0</v>
      </c>
      <c r="DV244" s="609">
        <f t="shared" si="285"/>
        <v>0</v>
      </c>
      <c r="DW244" s="609">
        <f t="shared" si="285"/>
        <v>0</v>
      </c>
      <c r="DX244" s="609">
        <f t="shared" si="285"/>
        <v>0</v>
      </c>
      <c r="DY244" s="609">
        <f t="shared" si="285"/>
        <v>0</v>
      </c>
      <c r="DZ244" s="609">
        <f t="shared" si="285"/>
        <v>0</v>
      </c>
      <c r="EA244" s="609">
        <f t="shared" si="285"/>
        <v>0</v>
      </c>
      <c r="EB244" s="609">
        <f t="shared" si="285"/>
        <v>0</v>
      </c>
      <c r="EC244" s="609">
        <f t="shared" si="285"/>
        <v>0</v>
      </c>
      <c r="ED244" s="609">
        <f t="shared" si="285"/>
        <v>0</v>
      </c>
      <c r="EE244" s="609">
        <f t="shared" si="285"/>
        <v>0</v>
      </c>
      <c r="EF244" s="609">
        <f t="shared" si="285"/>
        <v>0</v>
      </c>
      <c r="EG244" s="609">
        <f t="shared" si="285"/>
        <v>0</v>
      </c>
      <c r="EH244" s="609">
        <f t="shared" si="285"/>
        <v>0</v>
      </c>
      <c r="EI244" s="609">
        <f t="shared" si="285"/>
        <v>0</v>
      </c>
      <c r="EJ244" s="609">
        <f t="shared" si="285"/>
        <v>0</v>
      </c>
      <c r="EK244" s="609">
        <f t="shared" si="285"/>
        <v>0</v>
      </c>
      <c r="EL244" s="609">
        <f t="shared" si="285"/>
        <v>0</v>
      </c>
      <c r="EM244" s="609">
        <f t="shared" si="285"/>
        <v>0</v>
      </c>
      <c r="EN244" s="609">
        <f t="shared" si="285"/>
        <v>0</v>
      </c>
      <c r="EO244" s="609">
        <f t="shared" si="285"/>
        <v>0</v>
      </c>
      <c r="EP244" s="609">
        <f t="shared" si="285"/>
        <v>0</v>
      </c>
      <c r="EQ244" s="609">
        <f t="shared" si="285"/>
        <v>0</v>
      </c>
      <c r="ER244" s="609">
        <f t="shared" si="285"/>
        <v>0</v>
      </c>
      <c r="ES244" s="609">
        <f t="shared" si="285"/>
        <v>0</v>
      </c>
      <c r="ET244" s="609">
        <f t="shared" si="285"/>
        <v>0</v>
      </c>
      <c r="EU244" s="609">
        <f t="shared" si="285"/>
        <v>0</v>
      </c>
      <c r="EV244" s="609">
        <f t="shared" si="285"/>
        <v>0</v>
      </c>
      <c r="EW244" s="609">
        <f t="shared" si="285"/>
        <v>0</v>
      </c>
      <c r="EX244" s="609">
        <f t="shared" si="285"/>
        <v>0</v>
      </c>
      <c r="EY244" s="609">
        <f t="shared" si="285"/>
        <v>0</v>
      </c>
      <c r="EZ244" s="609">
        <f t="shared" si="285"/>
        <v>0</v>
      </c>
      <c r="FA244" s="609">
        <f t="shared" si="285"/>
        <v>0</v>
      </c>
      <c r="FB244" s="609">
        <f t="shared" si="285"/>
        <v>0</v>
      </c>
      <c r="FC244" s="609">
        <f t="shared" si="285"/>
        <v>0</v>
      </c>
      <c r="FD244" s="609">
        <f t="shared" si="285"/>
        <v>0</v>
      </c>
      <c r="FE244" s="609">
        <f t="shared" si="285"/>
        <v>0</v>
      </c>
      <c r="FF244" s="609">
        <f t="shared" si="285"/>
        <v>0</v>
      </c>
      <c r="FG244" s="609">
        <f t="shared" si="285"/>
        <v>0</v>
      </c>
      <c r="FH244" s="609">
        <f t="shared" si="285"/>
        <v>0</v>
      </c>
      <c r="FI244" s="609">
        <f t="shared" si="285"/>
        <v>0</v>
      </c>
      <c r="FJ244" s="609">
        <f t="shared" si="285"/>
        <v>0</v>
      </c>
      <c r="FK244" s="609">
        <f t="shared" si="285"/>
        <v>0</v>
      </c>
      <c r="FL244" s="609">
        <f t="shared" si="285"/>
        <v>0</v>
      </c>
      <c r="FM244" s="609">
        <f t="shared" si="285"/>
        <v>0</v>
      </c>
      <c r="FN244" s="609">
        <f t="shared" si="285"/>
        <v>0</v>
      </c>
      <c r="FO244" s="609">
        <f t="shared" si="285"/>
        <v>0</v>
      </c>
      <c r="FP244" s="609">
        <f t="shared" si="285"/>
        <v>0</v>
      </c>
      <c r="FQ244" s="609">
        <f t="shared" si="285"/>
        <v>0</v>
      </c>
      <c r="FR244" s="609">
        <f t="shared" si="285"/>
        <v>0</v>
      </c>
      <c r="FS244" s="609">
        <f t="shared" ref="FS244:GZ244" si="286">FS229+(FS232*9.786)+(FS235*278)+(FS242*278)+FS240</f>
        <v>0</v>
      </c>
      <c r="FT244" s="609">
        <f t="shared" si="286"/>
        <v>0</v>
      </c>
      <c r="FU244" s="609">
        <f t="shared" si="286"/>
        <v>0</v>
      </c>
      <c r="FV244" s="609">
        <f t="shared" si="286"/>
        <v>0</v>
      </c>
      <c r="FW244" s="609">
        <f t="shared" si="286"/>
        <v>0</v>
      </c>
      <c r="FX244" s="609">
        <f t="shared" si="286"/>
        <v>0</v>
      </c>
      <c r="FY244" s="609">
        <f t="shared" si="286"/>
        <v>0</v>
      </c>
      <c r="FZ244" s="609">
        <f t="shared" si="286"/>
        <v>0</v>
      </c>
      <c r="GA244" s="609">
        <f t="shared" si="286"/>
        <v>0</v>
      </c>
      <c r="GB244" s="609">
        <f t="shared" si="286"/>
        <v>0</v>
      </c>
      <c r="GC244" s="609">
        <f t="shared" si="286"/>
        <v>0</v>
      </c>
      <c r="GD244" s="609">
        <f t="shared" si="286"/>
        <v>0</v>
      </c>
      <c r="GE244" s="609">
        <f t="shared" si="286"/>
        <v>0</v>
      </c>
      <c r="GF244" s="609">
        <f t="shared" si="286"/>
        <v>0</v>
      </c>
      <c r="GG244" s="609">
        <f t="shared" si="286"/>
        <v>0</v>
      </c>
      <c r="GH244" s="609">
        <f t="shared" si="286"/>
        <v>0</v>
      </c>
      <c r="GI244" s="609">
        <f t="shared" si="286"/>
        <v>0</v>
      </c>
      <c r="GJ244" s="609">
        <f t="shared" si="286"/>
        <v>0</v>
      </c>
      <c r="GK244" s="609">
        <f t="shared" si="286"/>
        <v>0</v>
      </c>
      <c r="GL244" s="609">
        <f t="shared" si="286"/>
        <v>0</v>
      </c>
      <c r="GM244" s="609">
        <f t="shared" si="286"/>
        <v>0</v>
      </c>
      <c r="GN244" s="609">
        <f t="shared" si="286"/>
        <v>0</v>
      </c>
      <c r="GO244" s="609">
        <f t="shared" si="286"/>
        <v>0</v>
      </c>
      <c r="GP244" s="609">
        <f t="shared" si="286"/>
        <v>0</v>
      </c>
      <c r="GQ244" s="609">
        <f t="shared" si="286"/>
        <v>0</v>
      </c>
      <c r="GR244" s="609">
        <f t="shared" si="286"/>
        <v>0</v>
      </c>
      <c r="GS244" s="609">
        <f t="shared" si="286"/>
        <v>0</v>
      </c>
      <c r="GT244" s="609">
        <f t="shared" si="286"/>
        <v>0</v>
      </c>
      <c r="GU244" s="609">
        <f t="shared" si="286"/>
        <v>0</v>
      </c>
      <c r="GV244" s="609">
        <f t="shared" si="286"/>
        <v>0</v>
      </c>
      <c r="GW244" s="609">
        <f t="shared" si="286"/>
        <v>0</v>
      </c>
      <c r="GX244" s="609">
        <f t="shared" si="286"/>
        <v>0</v>
      </c>
      <c r="GY244" s="609">
        <f t="shared" si="286"/>
        <v>0</v>
      </c>
      <c r="GZ244" s="609">
        <f t="shared" si="286"/>
        <v>0</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0</v>
      </c>
      <c r="V245" s="551">
        <f>IF(V222=0,0,V244/V222)</f>
        <v>0</v>
      </c>
      <c r="W245" s="552"/>
      <c r="X245" s="553"/>
      <c r="Y245" s="553"/>
      <c r="Z245" s="552"/>
      <c r="AA245" s="552"/>
      <c r="AB245" s="551">
        <f>IF(AB222=0,0,AB244/AB222)</f>
        <v>0</v>
      </c>
      <c r="AC245" s="552"/>
      <c r="AD245" s="553"/>
      <c r="AE245" s="553"/>
      <c r="AF245" s="552"/>
      <c r="AG245" s="552"/>
      <c r="AH245" s="551">
        <f>IF(AH222=0,0,AH244/AH222)</f>
        <v>0</v>
      </c>
      <c r="AI245" s="552"/>
      <c r="AJ245" s="553"/>
      <c r="AK245" s="553"/>
      <c r="AL245" s="552"/>
      <c r="AM245" s="552"/>
      <c r="AN245" s="551">
        <f>IF(AN222=0,0,AN244/AN222)</f>
        <v>0</v>
      </c>
      <c r="AO245" s="586"/>
      <c r="AP245" s="587"/>
      <c r="AQ245" s="587"/>
      <c r="AR245" s="586"/>
      <c r="AS245" s="586"/>
      <c r="AT245" s="637">
        <f>IF(AT222=0,0,AT244/AT222)</f>
        <v>0</v>
      </c>
      <c r="AU245" s="313"/>
      <c r="AV245" s="314"/>
      <c r="AW245" s="314"/>
      <c r="AX245" s="313"/>
      <c r="AY245" s="313"/>
      <c r="AZ245" s="551">
        <f>IF(AZ222=0,0,AZ244/AZ222)</f>
        <v>0</v>
      </c>
      <c r="BA245" s="313"/>
      <c r="BB245" s="314"/>
      <c r="BC245" s="314"/>
      <c r="BD245" s="313"/>
      <c r="BE245" s="313"/>
      <c r="BF245" s="551">
        <f>IF(BF222=0,0,BF244/BF222)</f>
        <v>0</v>
      </c>
      <c r="BG245" s="313"/>
      <c r="BH245" s="314"/>
      <c r="BI245" s="314"/>
      <c r="BJ245" s="313"/>
      <c r="BK245" s="313"/>
      <c r="BL245" s="551">
        <f>IF(BL222=0,0,BL244/BL222)</f>
        <v>0</v>
      </c>
      <c r="BM245" s="313"/>
      <c r="BN245" s="314"/>
      <c r="BO245" s="314"/>
      <c r="BP245" s="313"/>
      <c r="BQ245" s="313"/>
      <c r="BR245" s="551">
        <f>IF(BR222=0,0,BR244/BR222)</f>
        <v>0</v>
      </c>
      <c r="BS245" s="552"/>
      <c r="BT245" s="553"/>
      <c r="BU245" s="553"/>
      <c r="BV245" s="552"/>
      <c r="BW245" s="552"/>
      <c r="BX245" s="551">
        <f>IF(BX222=0,0,BX244/BX222)</f>
        <v>0</v>
      </c>
      <c r="BY245" s="313"/>
      <c r="BZ245" s="314"/>
      <c r="CA245" s="314"/>
      <c r="CB245" s="313"/>
      <c r="CC245" s="313"/>
      <c r="CD245" s="551">
        <f>IF(CD222=0,0,CD244/CD222)</f>
        <v>0</v>
      </c>
      <c r="CE245" s="313"/>
      <c r="CF245" s="314"/>
      <c r="CG245" s="314"/>
      <c r="CH245" s="313"/>
      <c r="CI245" s="313"/>
      <c r="CJ245" s="551">
        <f>IF(CJ222=0,0,CJ244/CJ222)</f>
        <v>0</v>
      </c>
      <c r="CK245" s="313"/>
      <c r="CL245" s="314"/>
      <c r="CM245" s="314"/>
      <c r="CN245" s="313"/>
      <c r="CO245" s="313"/>
      <c r="CP245" s="551">
        <f>IF(CP222=0,0,CP244/CP222)</f>
        <v>0</v>
      </c>
      <c r="CQ245" s="554"/>
      <c r="CR245" s="553"/>
      <c r="CS245" s="553"/>
      <c r="CT245" s="554"/>
      <c r="CU245" s="554"/>
      <c r="CV245" s="551">
        <f>IF(CV222=0,0,CV244/CV222)</f>
        <v>0</v>
      </c>
      <c r="CW245" s="554"/>
      <c r="CX245" s="553"/>
      <c r="CY245" s="553"/>
      <c r="CZ245" s="554"/>
      <c r="DA245" s="554"/>
      <c r="DB245" s="551">
        <f>IF(DB222=0,0,DB244/DB222)</f>
        <v>0</v>
      </c>
      <c r="DC245" s="313"/>
      <c r="DD245" s="314"/>
      <c r="DE245" s="314"/>
      <c r="DF245" s="313"/>
      <c r="DG245" s="313"/>
      <c r="DH245" s="551">
        <f>IF(DH222=0,0,DH244/DH222)</f>
        <v>0</v>
      </c>
      <c r="DI245" s="313"/>
      <c r="DJ245" s="314"/>
      <c r="DK245" s="314"/>
      <c r="DL245" s="313"/>
      <c r="DM245" s="313"/>
      <c r="DN245" s="551">
        <f>IF(DN222=0,0,DN244/DN222)</f>
        <v>0</v>
      </c>
      <c r="DO245" s="313"/>
      <c r="DP245" s="314"/>
      <c r="DQ245" s="314"/>
      <c r="DR245" s="313"/>
      <c r="DS245" s="313"/>
      <c r="DT245" s="551">
        <f>IF(DT222=0,0,DT244/DT222)</f>
        <v>0</v>
      </c>
      <c r="DU245" s="313"/>
      <c r="DV245" s="314"/>
      <c r="DW245" s="314"/>
      <c r="DX245" s="313"/>
      <c r="DY245" s="313"/>
      <c r="DZ245" s="551">
        <f>IF(DZ222=0,0,DZ244/DZ222)</f>
        <v>0</v>
      </c>
      <c r="EA245" s="313"/>
      <c r="EB245" s="314"/>
      <c r="EC245" s="314"/>
      <c r="ED245" s="313"/>
      <c r="EE245" s="313"/>
      <c r="EF245" s="551">
        <f>IF(EF222=0,0,EF244/EF222)</f>
        <v>0</v>
      </c>
      <c r="EG245" s="313"/>
      <c r="EH245" s="314"/>
      <c r="EI245" s="314"/>
      <c r="EJ245" s="313"/>
      <c r="EK245" s="313"/>
      <c r="EL245" s="551">
        <f>IF(EL222=0,0,EL244/EL222)</f>
        <v>0</v>
      </c>
      <c r="EM245" s="313"/>
      <c r="EN245" s="314"/>
      <c r="EO245" s="314"/>
      <c r="EP245" s="313"/>
      <c r="EQ245" s="313"/>
      <c r="ER245" s="551">
        <f>IF(ER222=0,0,ER244/ER222)</f>
        <v>0</v>
      </c>
      <c r="ES245" s="313"/>
      <c r="ET245" s="314"/>
      <c r="EU245" s="314"/>
      <c r="EV245" s="313"/>
      <c r="EW245" s="313"/>
      <c r="EX245" s="551">
        <f>IF(EX222=0,0,EX244/EX222)</f>
        <v>0</v>
      </c>
      <c r="EY245" s="313"/>
      <c r="EZ245" s="314"/>
      <c r="FA245" s="314"/>
      <c r="FB245" s="313"/>
      <c r="FC245" s="313"/>
      <c r="FD245" s="551">
        <f>IF(FD222=0,0,FD244/FD222)</f>
        <v>0</v>
      </c>
      <c r="FE245" s="313"/>
      <c r="FF245" s="314"/>
      <c r="FG245" s="314"/>
      <c r="FH245" s="313"/>
      <c r="FI245" s="313"/>
      <c r="FJ245" s="551">
        <f>IF(FJ222=0,0,FJ244/FJ222)</f>
        <v>0</v>
      </c>
      <c r="FK245" s="313"/>
      <c r="FL245" s="314"/>
      <c r="FM245" s="314"/>
      <c r="FN245" s="313"/>
      <c r="FO245" s="313"/>
      <c r="FP245" s="551">
        <f>IF(FP222=0,0,FP244/FP222)</f>
        <v>0</v>
      </c>
      <c r="FQ245" s="313"/>
      <c r="FR245" s="314"/>
      <c r="FS245" s="314"/>
      <c r="FT245" s="313"/>
      <c r="FU245" s="313"/>
      <c r="FV245" s="551">
        <f>IF(FV222=0,0,FV244/FV222)</f>
        <v>0</v>
      </c>
      <c r="FW245" s="313"/>
      <c r="FX245" s="314"/>
      <c r="FY245" s="314"/>
      <c r="FZ245" s="313"/>
      <c r="GA245" s="313"/>
      <c r="GB245" s="551">
        <f>IF(GB222=0,0,GB244/GB222)</f>
        <v>0</v>
      </c>
      <c r="GC245" s="313"/>
      <c r="GD245" s="314"/>
      <c r="GE245" s="314"/>
      <c r="GF245" s="313"/>
      <c r="GG245" s="313"/>
      <c r="GH245" s="551">
        <f>IF(GH222=0,0,GH244/GH222)</f>
        <v>0</v>
      </c>
      <c r="GI245" s="313"/>
      <c r="GJ245" s="314"/>
      <c r="GK245" s="314"/>
      <c r="GL245" s="313"/>
      <c r="GM245" s="313"/>
      <c r="GN245" s="551">
        <f>IF(GN222=0,0,GN244/GN222)</f>
        <v>0</v>
      </c>
      <c r="GO245" s="313"/>
      <c r="GP245" s="314"/>
      <c r="GQ245" s="314"/>
      <c r="GR245" s="313"/>
      <c r="GS245" s="313"/>
      <c r="GT245" s="551">
        <f>IF(GT222=0,0,GT244/GT222)</f>
        <v>0</v>
      </c>
      <c r="GU245" s="313"/>
      <c r="GV245" s="314"/>
      <c r="GW245" s="314"/>
      <c r="GX245" s="313"/>
      <c r="GY245" s="313"/>
      <c r="GZ245" s="555">
        <f>IF(GZ222=0,0,GZ244/GZ222)</f>
        <v>0</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0</v>
      </c>
      <c r="V247" s="541">
        <f>V229*$C18</f>
        <v>0</v>
      </c>
      <c r="W247" s="542"/>
      <c r="X247" s="543"/>
      <c r="Y247" s="543"/>
      <c r="Z247" s="542"/>
      <c r="AA247" s="542"/>
      <c r="AB247" s="541">
        <f>AB229*$C18</f>
        <v>0</v>
      </c>
      <c r="AC247" s="542"/>
      <c r="AD247" s="543"/>
      <c r="AE247" s="543"/>
      <c r="AF247" s="542"/>
      <c r="AG247" s="542"/>
      <c r="AH247" s="541">
        <f>AH229*$C18</f>
        <v>0</v>
      </c>
      <c r="AI247" s="542"/>
      <c r="AJ247" s="543"/>
      <c r="AK247" s="543"/>
      <c r="AL247" s="542"/>
      <c r="AM247" s="542"/>
      <c r="AN247" s="541">
        <f>AN229*$C18</f>
        <v>0</v>
      </c>
      <c r="AO247" s="560"/>
      <c r="AP247" s="561"/>
      <c r="AQ247" s="561"/>
      <c r="AR247" s="560"/>
      <c r="AS247" s="560"/>
      <c r="AT247" s="540">
        <f>AT229*$C18</f>
        <v>0</v>
      </c>
      <c r="AU247" s="311"/>
      <c r="AV247" s="312"/>
      <c r="AW247" s="312"/>
      <c r="AX247" s="311"/>
      <c r="AY247" s="311"/>
      <c r="AZ247" s="541">
        <f>AZ229*$C18</f>
        <v>0</v>
      </c>
      <c r="BA247" s="311"/>
      <c r="BB247" s="312"/>
      <c r="BC247" s="312"/>
      <c r="BD247" s="311"/>
      <c r="BE247" s="311"/>
      <c r="BF247" s="541">
        <f>BF229*$C18</f>
        <v>0</v>
      </c>
      <c r="BG247" s="311"/>
      <c r="BH247" s="312"/>
      <c r="BI247" s="312"/>
      <c r="BJ247" s="311"/>
      <c r="BK247" s="311"/>
      <c r="BL247" s="541">
        <f>BL229*$C18</f>
        <v>0</v>
      </c>
      <c r="BM247" s="311"/>
      <c r="BN247" s="312"/>
      <c r="BO247" s="312"/>
      <c r="BP247" s="311"/>
      <c r="BQ247" s="311"/>
      <c r="BR247" s="541">
        <f>BR229*$C18</f>
        <v>0</v>
      </c>
      <c r="BS247" s="542"/>
      <c r="BT247" s="543"/>
      <c r="BU247" s="543"/>
      <c r="BV247" s="542"/>
      <c r="BW247" s="542"/>
      <c r="BX247" s="541">
        <f>BX229*$C18</f>
        <v>0</v>
      </c>
      <c r="BY247" s="311"/>
      <c r="BZ247" s="312"/>
      <c r="CA247" s="312"/>
      <c r="CB247" s="311"/>
      <c r="CC247" s="311"/>
      <c r="CD247" s="541">
        <f>CD229*$C18</f>
        <v>0</v>
      </c>
      <c r="CE247" s="311"/>
      <c r="CF247" s="312"/>
      <c r="CG247" s="312"/>
      <c r="CH247" s="311"/>
      <c r="CI247" s="311"/>
      <c r="CJ247" s="541">
        <f>CJ229*$C18</f>
        <v>0</v>
      </c>
      <c r="CK247" s="311"/>
      <c r="CL247" s="312"/>
      <c r="CM247" s="312"/>
      <c r="CN247" s="311"/>
      <c r="CO247" s="311"/>
      <c r="CP247" s="541">
        <f>CP229*$C18</f>
        <v>0</v>
      </c>
      <c r="CQ247" s="544"/>
      <c r="CR247" s="543"/>
      <c r="CS247" s="543"/>
      <c r="CT247" s="544"/>
      <c r="CU247" s="544"/>
      <c r="CV247" s="541">
        <f>CV229*$C18</f>
        <v>0</v>
      </c>
      <c r="CW247" s="544"/>
      <c r="CX247" s="543"/>
      <c r="CY247" s="543"/>
      <c r="CZ247" s="544"/>
      <c r="DA247" s="544"/>
      <c r="DB247" s="541">
        <f>DB229*$C18</f>
        <v>0</v>
      </c>
      <c r="DC247" s="311"/>
      <c r="DD247" s="312"/>
      <c r="DE247" s="312"/>
      <c r="DF247" s="311"/>
      <c r="DG247" s="311"/>
      <c r="DH247" s="541">
        <f>DH229*$C18</f>
        <v>0</v>
      </c>
      <c r="DI247" s="311"/>
      <c r="DJ247" s="312"/>
      <c r="DK247" s="312"/>
      <c r="DL247" s="311"/>
      <c r="DM247" s="311"/>
      <c r="DN247" s="541">
        <f>DN229*$C18</f>
        <v>0</v>
      </c>
      <c r="DO247" s="311"/>
      <c r="DP247" s="312"/>
      <c r="DQ247" s="312"/>
      <c r="DR247" s="311"/>
      <c r="DS247" s="311"/>
      <c r="DT247" s="541">
        <f>DT229*$C18</f>
        <v>0</v>
      </c>
      <c r="DU247" s="311"/>
      <c r="DV247" s="312"/>
      <c r="DW247" s="312"/>
      <c r="DX247" s="311"/>
      <c r="DY247" s="311"/>
      <c r="DZ247" s="541">
        <f>DZ229*$C18</f>
        <v>0</v>
      </c>
      <c r="EA247" s="311"/>
      <c r="EB247" s="312"/>
      <c r="EC247" s="312"/>
      <c r="ED247" s="311"/>
      <c r="EE247" s="311"/>
      <c r="EF247" s="541">
        <f>EF229*$C18</f>
        <v>0</v>
      </c>
      <c r="EG247" s="311"/>
      <c r="EH247" s="312"/>
      <c r="EI247" s="312"/>
      <c r="EJ247" s="311"/>
      <c r="EK247" s="311"/>
      <c r="EL247" s="541">
        <f>EL229*$C18</f>
        <v>0</v>
      </c>
      <c r="EM247" s="311"/>
      <c r="EN247" s="312"/>
      <c r="EO247" s="312"/>
      <c r="EP247" s="311"/>
      <c r="EQ247" s="311"/>
      <c r="ER247" s="541">
        <f>ER229*$C18</f>
        <v>0</v>
      </c>
      <c r="ES247" s="311"/>
      <c r="ET247" s="312"/>
      <c r="EU247" s="312"/>
      <c r="EV247" s="311"/>
      <c r="EW247" s="311"/>
      <c r="EX247" s="541">
        <f>EX229*$C18</f>
        <v>0</v>
      </c>
      <c r="EY247" s="311"/>
      <c r="EZ247" s="312"/>
      <c r="FA247" s="312"/>
      <c r="FB247" s="311"/>
      <c r="FC247" s="311"/>
      <c r="FD247" s="541">
        <f>FD229*$C18</f>
        <v>0</v>
      </c>
      <c r="FE247" s="311"/>
      <c r="FF247" s="312"/>
      <c r="FG247" s="312"/>
      <c r="FH247" s="311"/>
      <c r="FI247" s="311"/>
      <c r="FJ247" s="541">
        <f>FJ229*$C18</f>
        <v>0</v>
      </c>
      <c r="FK247" s="311"/>
      <c r="FL247" s="312"/>
      <c r="FM247" s="312"/>
      <c r="FN247" s="311"/>
      <c r="FO247" s="311"/>
      <c r="FP247" s="541">
        <f>FP229*$C18</f>
        <v>0</v>
      </c>
      <c r="FQ247" s="311"/>
      <c r="FR247" s="312"/>
      <c r="FS247" s="312"/>
      <c r="FT247" s="311"/>
      <c r="FU247" s="311"/>
      <c r="FV247" s="541">
        <f>FV229*$C18</f>
        <v>0</v>
      </c>
      <c r="FW247" s="311"/>
      <c r="FX247" s="312"/>
      <c r="FY247" s="312"/>
      <c r="FZ247" s="311"/>
      <c r="GA247" s="311"/>
      <c r="GB247" s="541">
        <f>GB229*$C18</f>
        <v>0</v>
      </c>
      <c r="GC247" s="311"/>
      <c r="GD247" s="312"/>
      <c r="GE247" s="312"/>
      <c r="GF247" s="311"/>
      <c r="GG247" s="311"/>
      <c r="GH247" s="541">
        <f>GH229*$C18</f>
        <v>0</v>
      </c>
      <c r="GI247" s="311"/>
      <c r="GJ247" s="312"/>
      <c r="GK247" s="312"/>
      <c r="GL247" s="311"/>
      <c r="GM247" s="311"/>
      <c r="GN247" s="541">
        <f>GN229*$C18</f>
        <v>0</v>
      </c>
      <c r="GO247" s="311"/>
      <c r="GP247" s="312"/>
      <c r="GQ247" s="312"/>
      <c r="GR247" s="311"/>
      <c r="GS247" s="311"/>
      <c r="GT247" s="541">
        <f>GT229*$C18</f>
        <v>0</v>
      </c>
      <c r="GU247" s="311"/>
      <c r="GV247" s="312"/>
      <c r="GW247" s="312"/>
      <c r="GX247" s="311"/>
      <c r="GY247" s="311"/>
      <c r="GZ247" s="545">
        <f>GZ229*$C18</f>
        <v>0</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0</v>
      </c>
      <c r="V248" s="604">
        <f>V232*$C19</f>
        <v>0</v>
      </c>
      <c r="W248" s="574"/>
      <c r="X248" s="575"/>
      <c r="Y248" s="575"/>
      <c r="Z248" s="574"/>
      <c r="AA248" s="574"/>
      <c r="AB248" s="604">
        <f>AB232*$C19</f>
        <v>0</v>
      </c>
      <c r="AC248" s="315"/>
      <c r="AD248" s="316"/>
      <c r="AE248" s="316"/>
      <c r="AF248" s="315"/>
      <c r="AG248" s="315"/>
      <c r="AH248" s="604">
        <f>AH232*$C19</f>
        <v>0</v>
      </c>
      <c r="AI248" s="574"/>
      <c r="AJ248" s="575"/>
      <c r="AK248" s="575"/>
      <c r="AL248" s="574"/>
      <c r="AM248" s="574"/>
      <c r="AN248" s="604">
        <f>AN232*$C19</f>
        <v>0</v>
      </c>
      <c r="AO248" s="439"/>
      <c r="AP248" s="530"/>
      <c r="AQ248" s="530"/>
      <c r="AR248" s="439"/>
      <c r="AS248" s="439"/>
      <c r="AT248" s="609">
        <f>AT232*$C19</f>
        <v>0</v>
      </c>
      <c r="AU248" s="315"/>
      <c r="AV248" s="316"/>
      <c r="AW248" s="316"/>
      <c r="AX248" s="315"/>
      <c r="AY248" s="315"/>
      <c r="AZ248" s="604">
        <f>AZ232*$C19</f>
        <v>0</v>
      </c>
      <c r="BA248" s="315"/>
      <c r="BB248" s="316"/>
      <c r="BC248" s="316"/>
      <c r="BD248" s="315"/>
      <c r="BE248" s="315"/>
      <c r="BF248" s="604">
        <f>BF232*$C19</f>
        <v>0</v>
      </c>
      <c r="BG248" s="315"/>
      <c r="BH248" s="316"/>
      <c r="BI248" s="316"/>
      <c r="BJ248" s="315"/>
      <c r="BK248" s="315"/>
      <c r="BL248" s="604">
        <f>BL232*$C19</f>
        <v>0</v>
      </c>
      <c r="BM248" s="315"/>
      <c r="BN248" s="316"/>
      <c r="BO248" s="316"/>
      <c r="BP248" s="315"/>
      <c r="BQ248" s="315"/>
      <c r="BR248" s="604">
        <f>BR232*$C19</f>
        <v>0</v>
      </c>
      <c r="BS248" s="315"/>
      <c r="BT248" s="316"/>
      <c r="BU248" s="316"/>
      <c r="BV248" s="315"/>
      <c r="BW248" s="315"/>
      <c r="BX248" s="604">
        <f>BX232*$C19</f>
        <v>0</v>
      </c>
      <c r="BY248" s="315"/>
      <c r="BZ248" s="316"/>
      <c r="CA248" s="316"/>
      <c r="CB248" s="315"/>
      <c r="CC248" s="315"/>
      <c r="CD248" s="604">
        <f>CD232*$C19</f>
        <v>0</v>
      </c>
      <c r="CE248" s="315"/>
      <c r="CF248" s="316"/>
      <c r="CG248" s="316"/>
      <c r="CH248" s="315"/>
      <c r="CI248" s="315"/>
      <c r="CJ248" s="604">
        <f>CJ232*$C19</f>
        <v>0</v>
      </c>
      <c r="CK248" s="315"/>
      <c r="CL248" s="316"/>
      <c r="CM248" s="316"/>
      <c r="CN248" s="315"/>
      <c r="CO248" s="315"/>
      <c r="CP248" s="604">
        <f>CP232*$C19</f>
        <v>0</v>
      </c>
      <c r="CQ248" s="315"/>
      <c r="CR248" s="316"/>
      <c r="CS248" s="316"/>
      <c r="CT248" s="315"/>
      <c r="CU248" s="315"/>
      <c r="CV248" s="604">
        <f>CV232*$C19</f>
        <v>0</v>
      </c>
      <c r="CW248" s="577"/>
      <c r="CX248" s="575"/>
      <c r="CY248" s="575"/>
      <c r="CZ248" s="577"/>
      <c r="DA248" s="577"/>
      <c r="DB248" s="604">
        <f>DB232*$C19</f>
        <v>0</v>
      </c>
      <c r="DC248" s="315"/>
      <c r="DD248" s="316"/>
      <c r="DE248" s="316"/>
      <c r="DF248" s="315"/>
      <c r="DG248" s="315"/>
      <c r="DH248" s="604">
        <f>DH232*$C19</f>
        <v>0</v>
      </c>
      <c r="DI248" s="315"/>
      <c r="DJ248" s="316"/>
      <c r="DK248" s="316"/>
      <c r="DL248" s="315"/>
      <c r="DM248" s="315"/>
      <c r="DN248" s="604">
        <f>DN232*$C19</f>
        <v>0</v>
      </c>
      <c r="DO248" s="315"/>
      <c r="DP248" s="316"/>
      <c r="DQ248" s="316"/>
      <c r="DR248" s="315"/>
      <c r="DS248" s="315"/>
      <c r="DT248" s="604">
        <f>DT232*$C19</f>
        <v>0</v>
      </c>
      <c r="DU248" s="315"/>
      <c r="DV248" s="316"/>
      <c r="DW248" s="316"/>
      <c r="DX248" s="315"/>
      <c r="DY248" s="315"/>
      <c r="DZ248" s="604">
        <f>DZ232*$C19</f>
        <v>0</v>
      </c>
      <c r="EA248" s="315"/>
      <c r="EB248" s="316"/>
      <c r="EC248" s="316"/>
      <c r="ED248" s="315"/>
      <c r="EE248" s="315"/>
      <c r="EF248" s="604">
        <f>EF232*$C19</f>
        <v>0</v>
      </c>
      <c r="EG248" s="315"/>
      <c r="EH248" s="316"/>
      <c r="EI248" s="316"/>
      <c r="EJ248" s="315"/>
      <c r="EK248" s="315"/>
      <c r="EL248" s="604">
        <f>EL232*$C19</f>
        <v>0</v>
      </c>
      <c r="EM248" s="315"/>
      <c r="EN248" s="316"/>
      <c r="EO248" s="316"/>
      <c r="EP248" s="315"/>
      <c r="EQ248" s="315"/>
      <c r="ER248" s="604">
        <f>ER232*$C19</f>
        <v>0</v>
      </c>
      <c r="ES248" s="315"/>
      <c r="ET248" s="316"/>
      <c r="EU248" s="316"/>
      <c r="EV248" s="315"/>
      <c r="EW248" s="315"/>
      <c r="EX248" s="604">
        <f>EX232*$C19</f>
        <v>0</v>
      </c>
      <c r="EY248" s="315"/>
      <c r="EZ248" s="316"/>
      <c r="FA248" s="316"/>
      <c r="FB248" s="315"/>
      <c r="FC248" s="315"/>
      <c r="FD248" s="604">
        <f>FD232*$C19</f>
        <v>0</v>
      </c>
      <c r="FE248" s="315"/>
      <c r="FF248" s="316"/>
      <c r="FG248" s="316"/>
      <c r="FH248" s="315"/>
      <c r="FI248" s="315"/>
      <c r="FJ248" s="604">
        <f>FJ232*$C19</f>
        <v>0</v>
      </c>
      <c r="FK248" s="315"/>
      <c r="FL248" s="316"/>
      <c r="FM248" s="316"/>
      <c r="FN248" s="315"/>
      <c r="FO248" s="315"/>
      <c r="FP248" s="604">
        <f>FP232*$C19</f>
        <v>0</v>
      </c>
      <c r="FQ248" s="315"/>
      <c r="FR248" s="316"/>
      <c r="FS248" s="316"/>
      <c r="FT248" s="315"/>
      <c r="FU248" s="315"/>
      <c r="FV248" s="604">
        <f>FV232*$C19</f>
        <v>0</v>
      </c>
      <c r="FW248" s="315"/>
      <c r="FX248" s="316"/>
      <c r="FY248" s="316"/>
      <c r="FZ248" s="315"/>
      <c r="GA248" s="315"/>
      <c r="GB248" s="604">
        <f>GB232*$C19</f>
        <v>0</v>
      </c>
      <c r="GC248" s="315"/>
      <c r="GD248" s="316"/>
      <c r="GE248" s="316"/>
      <c r="GF248" s="315"/>
      <c r="GG248" s="315"/>
      <c r="GH248" s="604">
        <f>GH232*$C19</f>
        <v>0</v>
      </c>
      <c r="GI248" s="315"/>
      <c r="GJ248" s="316"/>
      <c r="GK248" s="316"/>
      <c r="GL248" s="315"/>
      <c r="GM248" s="315"/>
      <c r="GN248" s="604">
        <f>GN232*$C19</f>
        <v>0</v>
      </c>
      <c r="GO248" s="315"/>
      <c r="GP248" s="316"/>
      <c r="GQ248" s="316"/>
      <c r="GR248" s="315"/>
      <c r="GS248" s="315"/>
      <c r="GT248" s="604">
        <f>GT232*$C19</f>
        <v>0</v>
      </c>
      <c r="GU248" s="315"/>
      <c r="GV248" s="316"/>
      <c r="GW248" s="316"/>
      <c r="GX248" s="315"/>
      <c r="GY248" s="315"/>
      <c r="GZ248" s="610">
        <f>GZ232*$C19</f>
        <v>0</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0</v>
      </c>
      <c r="V249" s="604">
        <f>V235*$C20</f>
        <v>0</v>
      </c>
      <c r="W249" s="574"/>
      <c r="X249" s="575"/>
      <c r="Y249" s="575"/>
      <c r="Z249" s="574"/>
      <c r="AA249" s="574"/>
      <c r="AB249" s="604">
        <f>AB235*$C20</f>
        <v>0</v>
      </c>
      <c r="AC249" s="574"/>
      <c r="AD249" s="575"/>
      <c r="AE249" s="575"/>
      <c r="AF249" s="574"/>
      <c r="AG249" s="574"/>
      <c r="AH249" s="604">
        <f>AH235*$C20</f>
        <v>0</v>
      </c>
      <c r="AI249" s="574"/>
      <c r="AJ249" s="575"/>
      <c r="AK249" s="575"/>
      <c r="AL249" s="574"/>
      <c r="AM249" s="574"/>
      <c r="AN249" s="604">
        <f>AN235*$C20</f>
        <v>0</v>
      </c>
      <c r="AO249" s="439"/>
      <c r="AP249" s="530"/>
      <c r="AQ249" s="530"/>
      <c r="AR249" s="439"/>
      <c r="AS249" s="439"/>
      <c r="AT249" s="609">
        <f t="shared" ref="AT249:DE249" si="287">(AT235+AT242)*$C20</f>
        <v>0</v>
      </c>
      <c r="AU249" s="609">
        <f t="shared" si="287"/>
        <v>0</v>
      </c>
      <c r="AV249" s="609">
        <f t="shared" si="287"/>
        <v>0</v>
      </c>
      <c r="AW249" s="609">
        <f t="shared" si="287"/>
        <v>0</v>
      </c>
      <c r="AX249" s="609">
        <f t="shared" si="287"/>
        <v>0</v>
      </c>
      <c r="AY249" s="609">
        <f t="shared" si="287"/>
        <v>0</v>
      </c>
      <c r="AZ249" s="609">
        <f t="shared" si="287"/>
        <v>0</v>
      </c>
      <c r="BA249" s="609">
        <f t="shared" si="287"/>
        <v>0</v>
      </c>
      <c r="BB249" s="609">
        <f t="shared" si="287"/>
        <v>0</v>
      </c>
      <c r="BC249" s="609">
        <f t="shared" si="287"/>
        <v>0</v>
      </c>
      <c r="BD249" s="609">
        <f t="shared" si="287"/>
        <v>0</v>
      </c>
      <c r="BE249" s="609">
        <f t="shared" si="287"/>
        <v>0</v>
      </c>
      <c r="BF249" s="609">
        <f t="shared" si="287"/>
        <v>0</v>
      </c>
      <c r="BG249" s="609">
        <f t="shared" si="287"/>
        <v>0</v>
      </c>
      <c r="BH249" s="609">
        <f t="shared" si="287"/>
        <v>0</v>
      </c>
      <c r="BI249" s="609">
        <f t="shared" si="287"/>
        <v>0</v>
      </c>
      <c r="BJ249" s="609">
        <f t="shared" si="287"/>
        <v>0</v>
      </c>
      <c r="BK249" s="609">
        <f t="shared" si="287"/>
        <v>0</v>
      </c>
      <c r="BL249" s="609">
        <f t="shared" si="287"/>
        <v>0</v>
      </c>
      <c r="BM249" s="609">
        <f t="shared" si="287"/>
        <v>0</v>
      </c>
      <c r="BN249" s="609">
        <f t="shared" si="287"/>
        <v>0</v>
      </c>
      <c r="BO249" s="609">
        <f t="shared" si="287"/>
        <v>0</v>
      </c>
      <c r="BP249" s="609">
        <f t="shared" si="287"/>
        <v>0</v>
      </c>
      <c r="BQ249" s="609">
        <f t="shared" si="287"/>
        <v>0</v>
      </c>
      <c r="BR249" s="609">
        <f t="shared" si="287"/>
        <v>0</v>
      </c>
      <c r="BS249" s="609">
        <f t="shared" si="287"/>
        <v>0</v>
      </c>
      <c r="BT249" s="609">
        <f t="shared" si="287"/>
        <v>0</v>
      </c>
      <c r="BU249" s="609">
        <f t="shared" si="287"/>
        <v>0</v>
      </c>
      <c r="BV249" s="609">
        <f t="shared" si="287"/>
        <v>0</v>
      </c>
      <c r="BW249" s="609">
        <f t="shared" si="287"/>
        <v>0</v>
      </c>
      <c r="BX249" s="609">
        <f t="shared" si="287"/>
        <v>0</v>
      </c>
      <c r="BY249" s="609">
        <f t="shared" si="287"/>
        <v>0</v>
      </c>
      <c r="BZ249" s="609">
        <f t="shared" si="287"/>
        <v>0</v>
      </c>
      <c r="CA249" s="609">
        <f t="shared" si="287"/>
        <v>0</v>
      </c>
      <c r="CB249" s="609">
        <f t="shared" si="287"/>
        <v>0</v>
      </c>
      <c r="CC249" s="609">
        <f t="shared" si="287"/>
        <v>0</v>
      </c>
      <c r="CD249" s="609">
        <f t="shared" si="287"/>
        <v>0</v>
      </c>
      <c r="CE249" s="609">
        <f t="shared" si="287"/>
        <v>0</v>
      </c>
      <c r="CF249" s="609">
        <f t="shared" si="287"/>
        <v>0</v>
      </c>
      <c r="CG249" s="609">
        <f t="shared" si="287"/>
        <v>0</v>
      </c>
      <c r="CH249" s="609">
        <f t="shared" si="287"/>
        <v>0</v>
      </c>
      <c r="CI249" s="609">
        <f t="shared" si="287"/>
        <v>0</v>
      </c>
      <c r="CJ249" s="609">
        <f t="shared" si="287"/>
        <v>0</v>
      </c>
      <c r="CK249" s="609">
        <f t="shared" si="287"/>
        <v>0</v>
      </c>
      <c r="CL249" s="609">
        <f t="shared" si="287"/>
        <v>0</v>
      </c>
      <c r="CM249" s="609">
        <f t="shared" si="287"/>
        <v>0</v>
      </c>
      <c r="CN249" s="609">
        <f t="shared" si="287"/>
        <v>0</v>
      </c>
      <c r="CO249" s="609">
        <f t="shared" si="287"/>
        <v>0</v>
      </c>
      <c r="CP249" s="609">
        <f t="shared" si="287"/>
        <v>0</v>
      </c>
      <c r="CQ249" s="609">
        <f t="shared" si="287"/>
        <v>0</v>
      </c>
      <c r="CR249" s="609">
        <f t="shared" si="287"/>
        <v>0</v>
      </c>
      <c r="CS249" s="609">
        <f t="shared" si="287"/>
        <v>0</v>
      </c>
      <c r="CT249" s="609">
        <f t="shared" si="287"/>
        <v>0</v>
      </c>
      <c r="CU249" s="609">
        <f t="shared" si="287"/>
        <v>0</v>
      </c>
      <c r="CV249" s="609">
        <f t="shared" si="287"/>
        <v>0</v>
      </c>
      <c r="CW249" s="609">
        <f t="shared" si="287"/>
        <v>0</v>
      </c>
      <c r="CX249" s="609">
        <f t="shared" si="287"/>
        <v>0</v>
      </c>
      <c r="CY249" s="609">
        <f t="shared" si="287"/>
        <v>0</v>
      </c>
      <c r="CZ249" s="609">
        <f t="shared" si="287"/>
        <v>0</v>
      </c>
      <c r="DA249" s="609">
        <f t="shared" si="287"/>
        <v>0</v>
      </c>
      <c r="DB249" s="609">
        <f t="shared" si="287"/>
        <v>0</v>
      </c>
      <c r="DC249" s="609">
        <f t="shared" si="287"/>
        <v>0</v>
      </c>
      <c r="DD249" s="609">
        <f t="shared" si="287"/>
        <v>0</v>
      </c>
      <c r="DE249" s="609">
        <f t="shared" si="287"/>
        <v>0</v>
      </c>
      <c r="DF249" s="609">
        <f t="shared" ref="DF249:FQ249" si="288">(DF235+DF242)*$C20</f>
        <v>0</v>
      </c>
      <c r="DG249" s="609">
        <f t="shared" si="288"/>
        <v>0</v>
      </c>
      <c r="DH249" s="609">
        <f t="shared" si="288"/>
        <v>0</v>
      </c>
      <c r="DI249" s="609">
        <f t="shared" si="288"/>
        <v>0</v>
      </c>
      <c r="DJ249" s="609">
        <f t="shared" si="288"/>
        <v>0</v>
      </c>
      <c r="DK249" s="609">
        <f t="shared" si="288"/>
        <v>0</v>
      </c>
      <c r="DL249" s="609">
        <f t="shared" si="288"/>
        <v>0</v>
      </c>
      <c r="DM249" s="609">
        <f t="shared" si="288"/>
        <v>0</v>
      </c>
      <c r="DN249" s="609">
        <f t="shared" si="288"/>
        <v>0</v>
      </c>
      <c r="DO249" s="609">
        <f t="shared" si="288"/>
        <v>0</v>
      </c>
      <c r="DP249" s="609">
        <f t="shared" si="288"/>
        <v>0</v>
      </c>
      <c r="DQ249" s="609">
        <f t="shared" si="288"/>
        <v>0</v>
      </c>
      <c r="DR249" s="609">
        <f t="shared" si="288"/>
        <v>0</v>
      </c>
      <c r="DS249" s="609">
        <f t="shared" si="288"/>
        <v>0</v>
      </c>
      <c r="DT249" s="609">
        <f t="shared" si="288"/>
        <v>0</v>
      </c>
      <c r="DU249" s="609">
        <f t="shared" si="288"/>
        <v>0</v>
      </c>
      <c r="DV249" s="609">
        <f t="shared" si="288"/>
        <v>0</v>
      </c>
      <c r="DW249" s="609">
        <f t="shared" si="288"/>
        <v>0</v>
      </c>
      <c r="DX249" s="609">
        <f t="shared" si="288"/>
        <v>0</v>
      </c>
      <c r="DY249" s="609">
        <f t="shared" si="288"/>
        <v>0</v>
      </c>
      <c r="DZ249" s="609">
        <f t="shared" si="288"/>
        <v>0</v>
      </c>
      <c r="EA249" s="609">
        <f t="shared" si="288"/>
        <v>0</v>
      </c>
      <c r="EB249" s="609">
        <f t="shared" si="288"/>
        <v>0</v>
      </c>
      <c r="EC249" s="609">
        <f t="shared" si="288"/>
        <v>0</v>
      </c>
      <c r="ED249" s="609">
        <f t="shared" si="288"/>
        <v>0</v>
      </c>
      <c r="EE249" s="609">
        <f t="shared" si="288"/>
        <v>0</v>
      </c>
      <c r="EF249" s="609">
        <f t="shared" si="288"/>
        <v>0</v>
      </c>
      <c r="EG249" s="609">
        <f t="shared" si="288"/>
        <v>0</v>
      </c>
      <c r="EH249" s="609">
        <f t="shared" si="288"/>
        <v>0</v>
      </c>
      <c r="EI249" s="609">
        <f t="shared" si="288"/>
        <v>0</v>
      </c>
      <c r="EJ249" s="609">
        <f t="shared" si="288"/>
        <v>0</v>
      </c>
      <c r="EK249" s="609">
        <f t="shared" si="288"/>
        <v>0</v>
      </c>
      <c r="EL249" s="609">
        <f t="shared" si="288"/>
        <v>0</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0</v>
      </c>
      <c r="V250" s="604">
        <f>SUM(V247:V249)</f>
        <v>0</v>
      </c>
      <c r="W250" s="611"/>
      <c r="X250" s="612"/>
      <c r="Y250" s="612"/>
      <c r="Z250" s="611"/>
      <c r="AA250" s="611"/>
      <c r="AB250" s="604">
        <f>SUM(AB247:AB249)</f>
        <v>0</v>
      </c>
      <c r="AC250" s="659"/>
      <c r="AD250" s="660"/>
      <c r="AE250" s="660"/>
      <c r="AF250" s="659"/>
      <c r="AG250" s="659"/>
      <c r="AH250" s="604">
        <f>SUM(AH247:AH249)</f>
        <v>0</v>
      </c>
      <c r="AI250" s="611"/>
      <c r="AJ250" s="612"/>
      <c r="AK250" s="612"/>
      <c r="AL250" s="611"/>
      <c r="AM250" s="611"/>
      <c r="AN250" s="604">
        <f>SUM(AN247:AN249)</f>
        <v>0</v>
      </c>
      <c r="AO250" s="439"/>
      <c r="AP250" s="530"/>
      <c r="AQ250" s="530"/>
      <c r="AR250" s="439"/>
      <c r="AS250" s="439"/>
      <c r="AT250" s="609">
        <f>SUM(AT247:AT249)</f>
        <v>0</v>
      </c>
      <c r="AU250" s="315"/>
      <c r="AV250" s="316"/>
      <c r="AW250" s="316"/>
      <c r="AX250" s="315"/>
      <c r="AY250" s="315"/>
      <c r="AZ250" s="604">
        <f>SUM(AZ247:AZ249)</f>
        <v>0</v>
      </c>
      <c r="BA250" s="315"/>
      <c r="BB250" s="316"/>
      <c r="BC250" s="316"/>
      <c r="BD250" s="315"/>
      <c r="BE250" s="315"/>
      <c r="BF250" s="604">
        <f>SUM(BF247:BF249)</f>
        <v>0</v>
      </c>
      <c r="BG250" s="315"/>
      <c r="BH250" s="316"/>
      <c r="BI250" s="316"/>
      <c r="BJ250" s="315"/>
      <c r="BK250" s="315"/>
      <c r="BL250" s="604">
        <f>SUM(BL247:BL249)</f>
        <v>0</v>
      </c>
      <c r="BM250" s="315"/>
      <c r="BN250" s="316"/>
      <c r="BO250" s="316"/>
      <c r="BP250" s="315"/>
      <c r="BQ250" s="315"/>
      <c r="BR250" s="604">
        <f>SUM(BR247:BR249)</f>
        <v>0</v>
      </c>
      <c r="BS250" s="315"/>
      <c r="BT250" s="316"/>
      <c r="BU250" s="316"/>
      <c r="BV250" s="315"/>
      <c r="BW250" s="315"/>
      <c r="BX250" s="604">
        <f>SUM(BX247:BX249)</f>
        <v>0</v>
      </c>
      <c r="BY250" s="315"/>
      <c r="BZ250" s="316"/>
      <c r="CA250" s="316"/>
      <c r="CB250" s="315"/>
      <c r="CC250" s="315"/>
      <c r="CD250" s="604">
        <f>SUM(CD247:CD249)</f>
        <v>0</v>
      </c>
      <c r="CE250" s="315"/>
      <c r="CF250" s="316"/>
      <c r="CG250" s="316"/>
      <c r="CH250" s="315"/>
      <c r="CI250" s="315"/>
      <c r="CJ250" s="604">
        <f>SUM(CJ247:CJ249)</f>
        <v>0</v>
      </c>
      <c r="CK250" s="315"/>
      <c r="CL250" s="316"/>
      <c r="CM250" s="316"/>
      <c r="CN250" s="315"/>
      <c r="CO250" s="315"/>
      <c r="CP250" s="604">
        <f>SUM(CP247:CP249)</f>
        <v>0</v>
      </c>
      <c r="CQ250" s="315"/>
      <c r="CR250" s="316"/>
      <c r="CS250" s="316"/>
      <c r="CT250" s="315"/>
      <c r="CU250" s="315"/>
      <c r="CV250" s="604">
        <f>SUM(CV247:CV249)</f>
        <v>0</v>
      </c>
      <c r="CW250" s="577"/>
      <c r="CX250" s="575"/>
      <c r="CY250" s="575"/>
      <c r="CZ250" s="577"/>
      <c r="DA250" s="577"/>
      <c r="DB250" s="604">
        <f>SUM(DB247:DB249)</f>
        <v>0</v>
      </c>
      <c r="DC250" s="315"/>
      <c r="DD250" s="316"/>
      <c r="DE250" s="316"/>
      <c r="DF250" s="315"/>
      <c r="DG250" s="315"/>
      <c r="DH250" s="604">
        <f>SUM(DH247:DH249)</f>
        <v>0</v>
      </c>
      <c r="DI250" s="315"/>
      <c r="DJ250" s="316"/>
      <c r="DK250" s="316"/>
      <c r="DL250" s="315"/>
      <c r="DM250" s="315"/>
      <c r="DN250" s="604">
        <f>SUM(DN247:DN249)</f>
        <v>0</v>
      </c>
      <c r="DO250" s="315"/>
      <c r="DP250" s="316"/>
      <c r="DQ250" s="316"/>
      <c r="DR250" s="315"/>
      <c r="DS250" s="315"/>
      <c r="DT250" s="604">
        <f>SUM(DT247:DT249)</f>
        <v>0</v>
      </c>
      <c r="DU250" s="315"/>
      <c r="DV250" s="316"/>
      <c r="DW250" s="316"/>
      <c r="DX250" s="315"/>
      <c r="DY250" s="315"/>
      <c r="DZ250" s="604">
        <f>SUM(DZ247:DZ249)</f>
        <v>0</v>
      </c>
      <c r="EA250" s="315"/>
      <c r="EB250" s="316"/>
      <c r="EC250" s="316"/>
      <c r="ED250" s="315"/>
      <c r="EE250" s="315"/>
      <c r="EF250" s="604">
        <f>SUM(EF247:EF249)</f>
        <v>0</v>
      </c>
      <c r="EG250" s="315"/>
      <c r="EH250" s="316"/>
      <c r="EI250" s="316"/>
      <c r="EJ250" s="315"/>
      <c r="EK250" s="315"/>
      <c r="EL250" s="604">
        <f>SUM(EL247:EL249)</f>
        <v>0</v>
      </c>
      <c r="EM250" s="315"/>
      <c r="EN250" s="316"/>
      <c r="EO250" s="316"/>
      <c r="EP250" s="315"/>
      <c r="EQ250" s="315"/>
      <c r="ER250" s="604">
        <f>SUM(ER247:ER249)</f>
        <v>0</v>
      </c>
      <c r="ES250" s="315"/>
      <c r="ET250" s="316"/>
      <c r="EU250" s="316"/>
      <c r="EV250" s="315"/>
      <c r="EW250" s="315"/>
      <c r="EX250" s="604">
        <f>SUM(EX247:EX249)</f>
        <v>0</v>
      </c>
      <c r="EY250" s="315"/>
      <c r="EZ250" s="316"/>
      <c r="FA250" s="316"/>
      <c r="FB250" s="315"/>
      <c r="FC250" s="315"/>
      <c r="FD250" s="604">
        <f>SUM(FD247:FD249)</f>
        <v>0</v>
      </c>
      <c r="FE250" s="315"/>
      <c r="FF250" s="316"/>
      <c r="FG250" s="316"/>
      <c r="FH250" s="315"/>
      <c r="FI250" s="315"/>
      <c r="FJ250" s="604">
        <f>SUM(FJ247:FJ249)</f>
        <v>0</v>
      </c>
      <c r="FK250" s="315"/>
      <c r="FL250" s="316"/>
      <c r="FM250" s="316"/>
      <c r="FN250" s="315"/>
      <c r="FO250" s="315"/>
      <c r="FP250" s="604">
        <f>SUM(FP247:FP249)</f>
        <v>0</v>
      </c>
      <c r="FQ250" s="315"/>
      <c r="FR250" s="316"/>
      <c r="FS250" s="316"/>
      <c r="FT250" s="315"/>
      <c r="FU250" s="315"/>
      <c r="FV250" s="604">
        <f>SUM(FV247:FV249)</f>
        <v>0</v>
      </c>
      <c r="FW250" s="315"/>
      <c r="FX250" s="316"/>
      <c r="FY250" s="316"/>
      <c r="FZ250" s="315"/>
      <c r="GA250" s="315"/>
      <c r="GB250" s="604">
        <f>SUM(GB247:GB249)</f>
        <v>0</v>
      </c>
      <c r="GC250" s="315"/>
      <c r="GD250" s="316"/>
      <c r="GE250" s="316"/>
      <c r="GF250" s="315"/>
      <c r="GG250" s="315"/>
      <c r="GH250" s="604">
        <f>SUM(GH247:GH249)</f>
        <v>0</v>
      </c>
      <c r="GI250" s="315"/>
      <c r="GJ250" s="316"/>
      <c r="GK250" s="316"/>
      <c r="GL250" s="315"/>
      <c r="GM250" s="315"/>
      <c r="GN250" s="604">
        <f>SUM(GN247:GN249)</f>
        <v>0</v>
      </c>
      <c r="GO250" s="315"/>
      <c r="GP250" s="316"/>
      <c r="GQ250" s="316"/>
      <c r="GR250" s="315"/>
      <c r="GS250" s="315"/>
      <c r="GT250" s="604">
        <f>SUM(GT247:GT249)</f>
        <v>0</v>
      </c>
      <c r="GU250" s="315"/>
      <c r="GV250" s="316"/>
      <c r="GW250" s="316"/>
      <c r="GX250" s="315"/>
      <c r="GY250" s="315"/>
      <c r="GZ250" s="610">
        <f>SUM(GZ247:GZ249)</f>
        <v>0</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0</v>
      </c>
      <c r="AU251" s="552"/>
      <c r="AV251" s="553"/>
      <c r="AW251" s="553"/>
      <c r="AX251" s="552"/>
      <c r="AY251" s="552"/>
      <c r="AZ251" s="551">
        <f>IF(AZ222=0,0,$AN$250-AZ250)</f>
        <v>0</v>
      </c>
      <c r="BA251" s="313"/>
      <c r="BB251" s="314"/>
      <c r="BC251" s="314"/>
      <c r="BD251" s="313"/>
      <c r="BE251" s="313"/>
      <c r="BF251" s="551">
        <f>IF(BF222=0,0,$AN$250-BF250)</f>
        <v>0</v>
      </c>
      <c r="BG251" s="313"/>
      <c r="BH251" s="314"/>
      <c r="BI251" s="314"/>
      <c r="BJ251" s="313"/>
      <c r="BK251" s="313"/>
      <c r="BL251" s="551">
        <f>IF(BL222=0,0,$AN$250-BL250)</f>
        <v>0</v>
      </c>
      <c r="BM251" s="313"/>
      <c r="BN251" s="314"/>
      <c r="BO251" s="314"/>
      <c r="BP251" s="313"/>
      <c r="BQ251" s="313"/>
      <c r="BR251" s="551">
        <f>IF(BR222=0,0,$AN$250-BR250)</f>
        <v>0</v>
      </c>
      <c r="BS251" s="552"/>
      <c r="BT251" s="553"/>
      <c r="BU251" s="553"/>
      <c r="BV251" s="552"/>
      <c r="BW251" s="552"/>
      <c r="BX251" s="551">
        <f>IF(BX222=0,0,$AN$250-BX250)</f>
        <v>0</v>
      </c>
      <c r="BY251" s="313"/>
      <c r="BZ251" s="314"/>
      <c r="CA251" s="314"/>
      <c r="CB251" s="313"/>
      <c r="CC251" s="313"/>
      <c r="CD251" s="551">
        <f>IF(CD222=0,0,$AN$250-CD250)</f>
        <v>0</v>
      </c>
      <c r="CE251" s="313"/>
      <c r="CF251" s="314"/>
      <c r="CG251" s="314"/>
      <c r="CH251" s="313"/>
      <c r="CI251" s="313"/>
      <c r="CJ251" s="551">
        <f>IF(CJ222=0,0,$AN$250-CJ250)</f>
        <v>0</v>
      </c>
      <c r="CK251" s="313"/>
      <c r="CL251" s="314"/>
      <c r="CM251" s="314"/>
      <c r="CN251" s="313"/>
      <c r="CO251" s="313"/>
      <c r="CP251" s="551">
        <f>IF(CP222=0,0,$AN$250-CP250)</f>
        <v>0</v>
      </c>
      <c r="CQ251" s="554"/>
      <c r="CR251" s="553"/>
      <c r="CS251" s="553"/>
      <c r="CT251" s="554"/>
      <c r="CU251" s="554"/>
      <c r="CV251" s="551">
        <f>IF(CV222=0,0,$AN$250-CV250)</f>
        <v>0</v>
      </c>
      <c r="CW251" s="554"/>
      <c r="CX251" s="553"/>
      <c r="CY251" s="553"/>
      <c r="CZ251" s="554"/>
      <c r="DA251" s="554"/>
      <c r="DB251" s="551">
        <f>IF(DB222=0,0,$AN$250-DB250)</f>
        <v>0</v>
      </c>
      <c r="DC251" s="313"/>
      <c r="DD251" s="314"/>
      <c r="DE251" s="314"/>
      <c r="DF251" s="313"/>
      <c r="DG251" s="313"/>
      <c r="DH251" s="551">
        <f>IF(DH222=0,0,$AN$250-DH250)</f>
        <v>0</v>
      </c>
      <c r="DI251" s="313"/>
      <c r="DJ251" s="314"/>
      <c r="DK251" s="314"/>
      <c r="DL251" s="313"/>
      <c r="DM251" s="313"/>
      <c r="DN251" s="551">
        <f>IF(DN222=0,0,$AN$250-DN250)</f>
        <v>0</v>
      </c>
      <c r="DO251" s="313"/>
      <c r="DP251" s="314"/>
      <c r="DQ251" s="314"/>
      <c r="DR251" s="313"/>
      <c r="DS251" s="313"/>
      <c r="DT251" s="551">
        <f>IF(DT222=0,0,$AN$250-DT250)</f>
        <v>0</v>
      </c>
      <c r="DU251" s="313"/>
      <c r="DV251" s="314"/>
      <c r="DW251" s="314"/>
      <c r="DX251" s="313"/>
      <c r="DY251" s="313"/>
      <c r="DZ251" s="551">
        <f>IF(DZ222=0,0,$AN$250-DZ250)</f>
        <v>0</v>
      </c>
      <c r="EA251" s="313"/>
      <c r="EB251" s="314"/>
      <c r="EC251" s="314"/>
      <c r="ED251" s="313"/>
      <c r="EE251" s="313"/>
      <c r="EF251" s="551">
        <f>IF(EF222=0,0,$AN$250-EF250)</f>
        <v>0</v>
      </c>
      <c r="EG251" s="313"/>
      <c r="EH251" s="314"/>
      <c r="EI251" s="314"/>
      <c r="EJ251" s="313"/>
      <c r="EK251" s="313"/>
      <c r="EL251" s="551">
        <f>IF(EL222=0,0,$AN$250-EL250)</f>
        <v>0</v>
      </c>
      <c r="EM251" s="313"/>
      <c r="EN251" s="314"/>
      <c r="EO251" s="314"/>
      <c r="EP251" s="313"/>
      <c r="EQ251" s="313"/>
      <c r="ER251" s="551">
        <f>IF(ER222=0,0,$AN$250-ER250)</f>
        <v>0</v>
      </c>
      <c r="ES251" s="313"/>
      <c r="ET251" s="314"/>
      <c r="EU251" s="314"/>
      <c r="EV251" s="313"/>
      <c r="EW251" s="313"/>
      <c r="EX251" s="551">
        <f>IF(EX222=0,0,$AN$250-EX250)</f>
        <v>0</v>
      </c>
      <c r="EY251" s="313"/>
      <c r="EZ251" s="314"/>
      <c r="FA251" s="314"/>
      <c r="FB251" s="313"/>
      <c r="FC251" s="313"/>
      <c r="FD251" s="551">
        <f>IF(FD222=0,0,$AN$250-FD250)</f>
        <v>0</v>
      </c>
      <c r="FE251" s="313"/>
      <c r="FF251" s="314"/>
      <c r="FG251" s="314"/>
      <c r="FH251" s="313"/>
      <c r="FI251" s="313"/>
      <c r="FJ251" s="551">
        <f>IF(FJ222=0,0,$AN$250-FJ250)</f>
        <v>0</v>
      </c>
      <c r="FK251" s="313"/>
      <c r="FL251" s="314"/>
      <c r="FM251" s="314"/>
      <c r="FN251" s="313"/>
      <c r="FO251" s="313"/>
      <c r="FP251" s="551">
        <f>IF(FP222=0,0,$AN$250-FP250)</f>
        <v>0</v>
      </c>
      <c r="FQ251" s="313"/>
      <c r="FR251" s="314"/>
      <c r="FS251" s="314"/>
      <c r="FT251" s="313"/>
      <c r="FU251" s="313"/>
      <c r="FV251" s="551">
        <f>IF(FV222=0,0,$AN$250-FV250)</f>
        <v>0</v>
      </c>
      <c r="FW251" s="313"/>
      <c r="FX251" s="314"/>
      <c r="FY251" s="314"/>
      <c r="FZ251" s="313"/>
      <c r="GA251" s="313"/>
      <c r="GB251" s="551">
        <f>IF(GB222=0,0,$AN$250-GB250)</f>
        <v>0</v>
      </c>
      <c r="GC251" s="313"/>
      <c r="GD251" s="314"/>
      <c r="GE251" s="314"/>
      <c r="GF251" s="313"/>
      <c r="GG251" s="313"/>
      <c r="GH251" s="551">
        <f>IF(GH222=0,0,$AN$250-GH250)</f>
        <v>0</v>
      </c>
      <c r="GI251" s="313"/>
      <c r="GJ251" s="314"/>
      <c r="GK251" s="314"/>
      <c r="GL251" s="313"/>
      <c r="GM251" s="313"/>
      <c r="GN251" s="551">
        <f>IF(GN222=0,0,$AN$250-GN250)</f>
        <v>0</v>
      </c>
      <c r="GO251" s="313"/>
      <c r="GP251" s="314"/>
      <c r="GQ251" s="314"/>
      <c r="GR251" s="313"/>
      <c r="GS251" s="313"/>
      <c r="GT251" s="551">
        <f>IF(GT222=0,0,$AN$250-GT250)</f>
        <v>0</v>
      </c>
      <c r="GU251" s="313"/>
      <c r="GV251" s="314"/>
      <c r="GW251" s="314"/>
      <c r="GX251" s="313"/>
      <c r="GY251" s="313"/>
      <c r="GZ251" s="555">
        <f>IF(GZ222=0,0,$AN$250-GZ250)</f>
        <v>0</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0</v>
      </c>
      <c r="V253" s="541">
        <f>(V229*CO2factorElektriciteit+V232*CO2factorAardgas+(V235-V242)*CO2factorWarmte)/1000</f>
        <v>0</v>
      </c>
      <c r="W253" s="542"/>
      <c r="X253" s="543"/>
      <c r="Y253" s="543"/>
      <c r="Z253" s="542"/>
      <c r="AA253" s="542"/>
      <c r="AB253" s="541">
        <f>(AB229*CO2factorElektriciteit+AB232*CO2factorAardgas+(AB235-AB242)*CO2factorWarmte)/1000</f>
        <v>0</v>
      </c>
      <c r="AC253" s="542"/>
      <c r="AD253" s="543"/>
      <c r="AE253" s="543"/>
      <c r="AF253" s="542"/>
      <c r="AG253" s="542"/>
      <c r="AH253" s="541">
        <f>(AH229*CO2factorElektriciteit+AH232*CO2factorAardgas+(AH235-AH242)*CO2factorWarmte)/1000</f>
        <v>0</v>
      </c>
      <c r="AI253" s="542"/>
      <c r="AJ253" s="543"/>
      <c r="AK253" s="543"/>
      <c r="AL253" s="542"/>
      <c r="AM253" s="542"/>
      <c r="AN253" s="541">
        <f>(AN229*CO2factorElektriciteit+AN232*CO2factorAardgas+(AN235-AN242)*CO2factorWarmte)/1000</f>
        <v>0</v>
      </c>
      <c r="AO253" s="560"/>
      <c r="AP253" s="561"/>
      <c r="AQ253" s="561"/>
      <c r="AR253" s="560"/>
      <c r="AS253" s="560"/>
      <c r="AT253" s="642">
        <f>(AT229*CO2factorElektriciteit+AT232*CO2factorAardgas+(AT235-AT242)*CO2factorWarmte)/1000</f>
        <v>0</v>
      </c>
      <c r="AU253" s="542"/>
      <c r="AV253" s="543"/>
      <c r="AW253" s="543"/>
      <c r="AX253" s="542"/>
      <c r="AY253" s="542"/>
      <c r="AZ253" s="541">
        <f>(AZ229*CO2factorElektriciteit+AZ232*CO2factorAardgas+(AZ235-AZ242)*CO2factorWarmte)/1000</f>
        <v>0</v>
      </c>
      <c r="BA253" s="311"/>
      <c r="BB253" s="312"/>
      <c r="BC253" s="312"/>
      <c r="BD253" s="311"/>
      <c r="BE253" s="311"/>
      <c r="BF253" s="541">
        <f>(BF229*CO2factorElektriciteit+BF232*CO2factorAardgas+(BF235-BF242)*CO2factorWarmte)/1000</f>
        <v>0</v>
      </c>
      <c r="BG253" s="311"/>
      <c r="BH253" s="312"/>
      <c r="BI253" s="312"/>
      <c r="BJ253" s="311"/>
      <c r="BK253" s="311"/>
      <c r="BL253" s="541">
        <f>(BL229*CO2factorElektriciteit+BL232*CO2factorAardgas+(BL235-BL242)*CO2factorWarmte)/1000</f>
        <v>0</v>
      </c>
      <c r="BM253" s="311"/>
      <c r="BN253" s="312"/>
      <c r="BO253" s="312"/>
      <c r="BP253" s="311"/>
      <c r="BQ253" s="311"/>
      <c r="BR253" s="541">
        <f>(BR229*CO2factorElektriciteit+BR232*CO2factorAardgas+(BR235-BR242)*CO2factorWarmte)/1000</f>
        <v>0</v>
      </c>
      <c r="BS253" s="542"/>
      <c r="BT253" s="543"/>
      <c r="BU253" s="543"/>
      <c r="BV253" s="542"/>
      <c r="BW253" s="542"/>
      <c r="BX253" s="541">
        <f>(BX229*CO2factorElektriciteit+BX232*CO2factorAardgas+(BX235-BX242)*CO2factorWarmte)/1000</f>
        <v>0</v>
      </c>
      <c r="BY253" s="311"/>
      <c r="BZ253" s="312"/>
      <c r="CA253" s="312"/>
      <c r="CB253" s="311"/>
      <c r="CC253" s="311"/>
      <c r="CD253" s="541">
        <f>(CD229*CO2factorElektriciteit+CD232*CO2factorAardgas+(CD235-CD242)*CO2factorWarmte)/1000</f>
        <v>0</v>
      </c>
      <c r="CE253" s="311"/>
      <c r="CF253" s="312"/>
      <c r="CG253" s="312"/>
      <c r="CH253" s="311"/>
      <c r="CI253" s="311"/>
      <c r="CJ253" s="541">
        <f>(CJ229*CO2factorElektriciteit+CJ232*CO2factorAardgas+(CJ235-CJ242)*CO2factorWarmte)/1000</f>
        <v>0</v>
      </c>
      <c r="CK253" s="311"/>
      <c r="CL253" s="312"/>
      <c r="CM253" s="312"/>
      <c r="CN253" s="311"/>
      <c r="CO253" s="311"/>
      <c r="CP253" s="541">
        <f>(CP229*CO2factorElektriciteit+CP232*CO2factorAardgas+(CP235-CP242)*CO2factorWarmte)/1000</f>
        <v>0</v>
      </c>
      <c r="CQ253" s="544"/>
      <c r="CR253" s="543"/>
      <c r="CS253" s="543"/>
      <c r="CT253" s="544"/>
      <c r="CU253" s="544"/>
      <c r="CV253" s="541">
        <f>(CV229*CO2factorElektriciteit+CV232*CO2factorAardgas+(CV235-CV242)*CO2factorWarmte)/1000</f>
        <v>0</v>
      </c>
      <c r="CW253" s="544"/>
      <c r="CX253" s="543"/>
      <c r="CY253" s="543"/>
      <c r="CZ253" s="544"/>
      <c r="DA253" s="544"/>
      <c r="DB253" s="541">
        <f>(DB229*CO2factorElektriciteit+DB232*CO2factorAardgas+(DB235-DB242)*CO2factorWarmte)/1000</f>
        <v>0</v>
      </c>
      <c r="DC253" s="311"/>
      <c r="DD253" s="312"/>
      <c r="DE253" s="312"/>
      <c r="DF253" s="311"/>
      <c r="DG253" s="311"/>
      <c r="DH253" s="541">
        <f>(DH229*CO2factorElektriciteit+DH232*CO2factorAardgas+(DH235-DH242)*CO2factorWarmte)/1000</f>
        <v>0</v>
      </c>
      <c r="DI253" s="311"/>
      <c r="DJ253" s="312"/>
      <c r="DK253" s="312"/>
      <c r="DL253" s="311"/>
      <c r="DM253" s="311"/>
      <c r="DN253" s="541">
        <f>(DN229*CO2factorElektriciteit+DN232*CO2factorAardgas+(DN235-DN242)*CO2factorWarmte)/1000</f>
        <v>0</v>
      </c>
      <c r="DO253" s="311"/>
      <c r="DP253" s="312"/>
      <c r="DQ253" s="312"/>
      <c r="DR253" s="311"/>
      <c r="DS253" s="311"/>
      <c r="DT253" s="541">
        <f>(DT229*CO2factorElektriciteit+DT232*CO2factorAardgas+(DT235-DT242)*CO2factorWarmte)/1000</f>
        <v>0</v>
      </c>
      <c r="DU253" s="311"/>
      <c r="DV253" s="312"/>
      <c r="DW253" s="312"/>
      <c r="DX253" s="311"/>
      <c r="DY253" s="311"/>
      <c r="DZ253" s="541">
        <f>(DZ229*CO2factorElektriciteit+DZ232*CO2factorAardgas+(DZ235-DZ242)*CO2factorWarmte)/1000</f>
        <v>0</v>
      </c>
      <c r="EA253" s="311"/>
      <c r="EB253" s="312"/>
      <c r="EC253" s="312"/>
      <c r="ED253" s="311"/>
      <c r="EE253" s="311"/>
      <c r="EF253" s="541">
        <f>(EF229*CO2factorElektriciteit+EF232*CO2factorAardgas+(EF235-EF242)*CO2factorWarmte)/1000</f>
        <v>0</v>
      </c>
      <c r="EG253" s="311"/>
      <c r="EH253" s="312"/>
      <c r="EI253" s="312"/>
      <c r="EJ253" s="311"/>
      <c r="EK253" s="311"/>
      <c r="EL253" s="541">
        <f>(EL229*CO2factorElektriciteit+EL232*CO2factorAardgas+(EL235-EL242)*CO2factorWarmte)/1000</f>
        <v>0</v>
      </c>
      <c r="EM253" s="311"/>
      <c r="EN253" s="312"/>
      <c r="EO253" s="312"/>
      <c r="EP253" s="311"/>
      <c r="EQ253" s="311"/>
      <c r="ER253" s="541">
        <f>(ER229*CO2factorElektriciteit+ER232*CO2factorAardgas+(ER235-ER242)*CO2factorWarmte)/1000</f>
        <v>0</v>
      </c>
      <c r="ES253" s="311"/>
      <c r="ET253" s="312"/>
      <c r="EU253" s="312"/>
      <c r="EV253" s="311"/>
      <c r="EW253" s="311"/>
      <c r="EX253" s="541">
        <f>(EX229*CO2factorElektriciteit+EX232*CO2factorAardgas+(EX235-EX242)*CO2factorWarmte)/1000</f>
        <v>0</v>
      </c>
      <c r="EY253" s="311"/>
      <c r="EZ253" s="312"/>
      <c r="FA253" s="312"/>
      <c r="FB253" s="311"/>
      <c r="FC253" s="311"/>
      <c r="FD253" s="541">
        <f>(FD229*CO2factorElektriciteit+FD232*CO2factorAardgas+(FD235-FD242)*CO2factorWarmte)/1000</f>
        <v>0</v>
      </c>
      <c r="FE253" s="311"/>
      <c r="FF253" s="312"/>
      <c r="FG253" s="312"/>
      <c r="FH253" s="311"/>
      <c r="FI253" s="311"/>
      <c r="FJ253" s="541">
        <f>(FJ229*CO2factorElektriciteit+FJ232*CO2factorAardgas+(FJ235-FJ242)*CO2factorWarmte)/1000</f>
        <v>0</v>
      </c>
      <c r="FK253" s="311"/>
      <c r="FL253" s="312"/>
      <c r="FM253" s="312"/>
      <c r="FN253" s="311"/>
      <c r="FO253" s="311"/>
      <c r="FP253" s="541">
        <f>(FP229*CO2factorElektriciteit+FP232*CO2factorAardgas+(FP235-FP242)*CO2factorWarmte)/1000</f>
        <v>0</v>
      </c>
      <c r="FQ253" s="311"/>
      <c r="FR253" s="312"/>
      <c r="FS253" s="312"/>
      <c r="FT253" s="311"/>
      <c r="FU253" s="311"/>
      <c r="FV253" s="541">
        <f>(FV229*CO2factorElektriciteit+FV232*CO2factorAardgas+(FV235-FV242)*CO2factorWarmte)/1000</f>
        <v>0</v>
      </c>
      <c r="FW253" s="311"/>
      <c r="FX253" s="312"/>
      <c r="FY253" s="312"/>
      <c r="FZ253" s="311"/>
      <c r="GA253" s="311"/>
      <c r="GB253" s="541">
        <f>(GB229*CO2factorElektriciteit+GB232*CO2factorAardgas+(GB235-GB242)*CO2factorWarmte)/1000</f>
        <v>0</v>
      </c>
      <c r="GC253" s="311"/>
      <c r="GD253" s="312"/>
      <c r="GE253" s="312"/>
      <c r="GF253" s="311"/>
      <c r="GG253" s="311"/>
      <c r="GH253" s="541">
        <f>(GH229*CO2factorElektriciteit+GH232*CO2factorAardgas+(GH235-GH242)*CO2factorWarmte)/1000</f>
        <v>0</v>
      </c>
      <c r="GI253" s="311"/>
      <c r="GJ253" s="312"/>
      <c r="GK253" s="312"/>
      <c r="GL253" s="311"/>
      <c r="GM253" s="311"/>
      <c r="GN253" s="541">
        <f>(GN229*CO2factorElektriciteit+GN232*CO2factorAardgas+(GN235-GN242)*CO2factorWarmte)/1000</f>
        <v>0</v>
      </c>
      <c r="GO253" s="311"/>
      <c r="GP253" s="312"/>
      <c r="GQ253" s="312"/>
      <c r="GR253" s="311"/>
      <c r="GS253" s="311"/>
      <c r="GT253" s="541">
        <f>(GT229*CO2factorElektriciteit+GT232*CO2factorAardgas+(GT235-GT242)*CO2factorWarmte)/1000</f>
        <v>0</v>
      </c>
      <c r="GU253" s="311"/>
      <c r="GV253" s="312"/>
      <c r="GW253" s="312"/>
      <c r="GX253" s="311"/>
      <c r="GY253" s="311"/>
      <c r="GZ253" s="545">
        <f>(GZ229*CO2factorElektriciteit+GZ232*CO2factorAardgas+(GZ235-GZ242)*CO2factorWarmte)/1000</f>
        <v>0</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0</v>
      </c>
      <c r="V254" s="634">
        <f>IF(V222=0,0,(V253*1000)/V222)</f>
        <v>0</v>
      </c>
      <c r="W254" s="574"/>
      <c r="X254" s="575"/>
      <c r="Y254" s="575"/>
      <c r="Z254" s="574"/>
      <c r="AA254" s="574"/>
      <c r="AB254" s="634">
        <f>IF(AB222=0,0,(AB253*1000)/AB222)</f>
        <v>0</v>
      </c>
      <c r="AC254" s="315"/>
      <c r="AD254" s="316"/>
      <c r="AE254" s="316"/>
      <c r="AF254" s="315"/>
      <c r="AG254" s="315"/>
      <c r="AH254" s="634">
        <f>IF(AH222=0,0,(AH253*1000)/AH222)</f>
        <v>0</v>
      </c>
      <c r="AI254" s="574"/>
      <c r="AJ254" s="575"/>
      <c r="AK254" s="575"/>
      <c r="AL254" s="574"/>
      <c r="AM254" s="574"/>
      <c r="AN254" s="634">
        <f>IF(AN222=0,0,(AN253*1000)/AN222)</f>
        <v>0</v>
      </c>
      <c r="AO254" s="439"/>
      <c r="AP254" s="530"/>
      <c r="AQ254" s="530"/>
      <c r="AR254" s="439"/>
      <c r="AS254" s="439"/>
      <c r="AT254" s="633">
        <f>IF(AT222=0,0,(AT253*1000)/AT222)</f>
        <v>0</v>
      </c>
      <c r="AU254" s="315"/>
      <c r="AV254" s="316"/>
      <c r="AW254" s="316"/>
      <c r="AX254" s="315"/>
      <c r="AY254" s="315"/>
      <c r="AZ254" s="634">
        <f>IF(AZ222=0,0,(AZ253*1000)/AZ222)</f>
        <v>0</v>
      </c>
      <c r="BA254" s="315"/>
      <c r="BB254" s="316"/>
      <c r="BC254" s="316"/>
      <c r="BD254" s="315"/>
      <c r="BE254" s="315"/>
      <c r="BF254" s="634">
        <f>IF(BF222=0,0,(BF253*1000)/BF222)</f>
        <v>0</v>
      </c>
      <c r="BG254" s="315"/>
      <c r="BH254" s="316"/>
      <c r="BI254" s="316"/>
      <c r="BJ254" s="315"/>
      <c r="BK254" s="315"/>
      <c r="BL254" s="634">
        <f>IF(BL222=0,0,(BL253*1000)/BL222)</f>
        <v>0</v>
      </c>
      <c r="BM254" s="315"/>
      <c r="BN254" s="316"/>
      <c r="BO254" s="316"/>
      <c r="BP254" s="315"/>
      <c r="BQ254" s="315"/>
      <c r="BR254" s="634">
        <f>IF(BR222=0,0,(BR253*1000)/BR222)</f>
        <v>0</v>
      </c>
      <c r="BS254" s="315"/>
      <c r="BT254" s="316"/>
      <c r="BU254" s="316"/>
      <c r="BV254" s="315"/>
      <c r="BW254" s="315"/>
      <c r="BX254" s="634">
        <f>IF(BX222=0,0,(BX253*1000)/BX222)</f>
        <v>0</v>
      </c>
      <c r="BY254" s="315"/>
      <c r="BZ254" s="316"/>
      <c r="CA254" s="316"/>
      <c r="CB254" s="315"/>
      <c r="CC254" s="315"/>
      <c r="CD254" s="634">
        <f>IF(CD222=0,0,(CD253*1000)/CD222)</f>
        <v>0</v>
      </c>
      <c r="CE254" s="315"/>
      <c r="CF254" s="316"/>
      <c r="CG254" s="316"/>
      <c r="CH254" s="315"/>
      <c r="CI254" s="315"/>
      <c r="CJ254" s="634">
        <f>IF(CJ222=0,0,(CJ253*1000)/CJ222)</f>
        <v>0</v>
      </c>
      <c r="CK254" s="315"/>
      <c r="CL254" s="316"/>
      <c r="CM254" s="316"/>
      <c r="CN254" s="315"/>
      <c r="CO254" s="315"/>
      <c r="CP254" s="634">
        <f>IF(CP222=0,0,(CP253*1000)/CP222)</f>
        <v>0</v>
      </c>
      <c r="CQ254" s="315"/>
      <c r="CR254" s="316"/>
      <c r="CS254" s="316"/>
      <c r="CT254" s="315"/>
      <c r="CU254" s="315"/>
      <c r="CV254" s="634">
        <f>IF(CV222=0,0,(CV253*1000)/CV222)</f>
        <v>0</v>
      </c>
      <c r="CW254" s="577"/>
      <c r="CX254" s="575"/>
      <c r="CY254" s="575"/>
      <c r="CZ254" s="577"/>
      <c r="DA254" s="577"/>
      <c r="DB254" s="634">
        <f>IF(DB222=0,0,(DB253*1000)/DB222)</f>
        <v>0</v>
      </c>
      <c r="DC254" s="315"/>
      <c r="DD254" s="316"/>
      <c r="DE254" s="316"/>
      <c r="DF254" s="315"/>
      <c r="DG254" s="315"/>
      <c r="DH254" s="634">
        <f>IF(DH222=0,0,(DH253*1000)/DH222)</f>
        <v>0</v>
      </c>
      <c r="DI254" s="315"/>
      <c r="DJ254" s="316"/>
      <c r="DK254" s="316"/>
      <c r="DL254" s="315"/>
      <c r="DM254" s="315"/>
      <c r="DN254" s="634">
        <f>IF(DN222=0,0,(DN253*1000)/DN222)</f>
        <v>0</v>
      </c>
      <c r="DO254" s="315"/>
      <c r="DP254" s="316"/>
      <c r="DQ254" s="316"/>
      <c r="DR254" s="315"/>
      <c r="DS254" s="315"/>
      <c r="DT254" s="634">
        <f>IF(DT222=0,0,(DT253*1000)/DT222)</f>
        <v>0</v>
      </c>
      <c r="DU254" s="315"/>
      <c r="DV254" s="316"/>
      <c r="DW254" s="316"/>
      <c r="DX254" s="315"/>
      <c r="DY254" s="315"/>
      <c r="DZ254" s="634">
        <f>IF(DZ222=0,0,(DZ253*1000)/DZ222)</f>
        <v>0</v>
      </c>
      <c r="EA254" s="315"/>
      <c r="EB254" s="316"/>
      <c r="EC254" s="316"/>
      <c r="ED254" s="315"/>
      <c r="EE254" s="315"/>
      <c r="EF254" s="634">
        <f>IF(EF222=0,0,(EF253*1000)/EF222)</f>
        <v>0</v>
      </c>
      <c r="EG254" s="315"/>
      <c r="EH254" s="316"/>
      <c r="EI254" s="316"/>
      <c r="EJ254" s="315"/>
      <c r="EK254" s="315"/>
      <c r="EL254" s="634">
        <f>IF(EL222=0,0,(EL253*1000)/EL222)</f>
        <v>0</v>
      </c>
      <c r="EM254" s="315"/>
      <c r="EN254" s="316"/>
      <c r="EO254" s="316"/>
      <c r="EP254" s="315"/>
      <c r="EQ254" s="315"/>
      <c r="ER254" s="634">
        <f>IF(ER222=0,0,(ER253*1000)/ER222)</f>
        <v>0</v>
      </c>
      <c r="ES254" s="315"/>
      <c r="ET254" s="316"/>
      <c r="EU254" s="316"/>
      <c r="EV254" s="315"/>
      <c r="EW254" s="315"/>
      <c r="EX254" s="634">
        <f>IF(EX222=0,0,(EX253*1000)/EX222)</f>
        <v>0</v>
      </c>
      <c r="EY254" s="315"/>
      <c r="EZ254" s="316"/>
      <c r="FA254" s="316"/>
      <c r="FB254" s="315"/>
      <c r="FC254" s="315"/>
      <c r="FD254" s="634">
        <f>IF(FD222=0,0,(FD253*1000)/FD222)</f>
        <v>0</v>
      </c>
      <c r="FE254" s="315"/>
      <c r="FF254" s="316"/>
      <c r="FG254" s="316"/>
      <c r="FH254" s="315"/>
      <c r="FI254" s="315"/>
      <c r="FJ254" s="634">
        <f>IF(FJ222=0,0,(FJ253*1000)/FJ222)</f>
        <v>0</v>
      </c>
      <c r="FK254" s="315"/>
      <c r="FL254" s="316"/>
      <c r="FM254" s="316"/>
      <c r="FN254" s="315"/>
      <c r="FO254" s="315"/>
      <c r="FP254" s="634">
        <f>IF(FP222=0,0,(FP253*1000)/FP222)</f>
        <v>0</v>
      </c>
      <c r="FQ254" s="315"/>
      <c r="FR254" s="316"/>
      <c r="FS254" s="316"/>
      <c r="FT254" s="315"/>
      <c r="FU254" s="315"/>
      <c r="FV254" s="634">
        <f>IF(FV222=0,0,(FV253*1000)/FV222)</f>
        <v>0</v>
      </c>
      <c r="FW254" s="315"/>
      <c r="FX254" s="316"/>
      <c r="FY254" s="316"/>
      <c r="FZ254" s="315"/>
      <c r="GA254" s="315"/>
      <c r="GB254" s="634">
        <f>IF(GB222=0,0,(GB253*1000)/GB222)</f>
        <v>0</v>
      </c>
      <c r="GC254" s="315"/>
      <c r="GD254" s="316"/>
      <c r="GE254" s="316"/>
      <c r="GF254" s="315"/>
      <c r="GG254" s="315"/>
      <c r="GH254" s="634">
        <f>IF(GH222=0,0,(GH253*1000)/GH222)</f>
        <v>0</v>
      </c>
      <c r="GI254" s="315"/>
      <c r="GJ254" s="316"/>
      <c r="GK254" s="316"/>
      <c r="GL254" s="315"/>
      <c r="GM254" s="315"/>
      <c r="GN254" s="634">
        <f>IF(GN222=0,0,(GN253*1000)/GN222)</f>
        <v>0</v>
      </c>
      <c r="GO254" s="315"/>
      <c r="GP254" s="316"/>
      <c r="GQ254" s="316"/>
      <c r="GR254" s="315"/>
      <c r="GS254" s="315"/>
      <c r="GT254" s="634">
        <f>IF(GT222=0,0,(GT253*1000)/GT222)</f>
        <v>0</v>
      </c>
      <c r="GU254" s="315"/>
      <c r="GV254" s="316"/>
      <c r="GW254" s="316"/>
      <c r="GX254" s="315"/>
      <c r="GY254" s="315"/>
      <c r="GZ254" s="666">
        <f>IF(GZ222=0,0,(GZ253*1000)/GZ222)</f>
        <v>0</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0</v>
      </c>
      <c r="W255" s="668">
        <f t="shared" si="290"/>
        <v>0</v>
      </c>
      <c r="X255" s="668">
        <f t="shared" si="290"/>
        <v>0</v>
      </c>
      <c r="Y255" s="668">
        <f t="shared" si="290"/>
        <v>0</v>
      </c>
      <c r="Z255" s="668">
        <f t="shared" si="290"/>
        <v>0</v>
      </c>
      <c r="AA255" s="668">
        <f t="shared" si="290"/>
        <v>0</v>
      </c>
      <c r="AB255" s="668">
        <f t="shared" si="290"/>
        <v>0</v>
      </c>
      <c r="AC255" s="668">
        <f t="shared" si="290"/>
        <v>0</v>
      </c>
      <c r="AD255" s="668">
        <f t="shared" si="290"/>
        <v>0</v>
      </c>
      <c r="AE255" s="668">
        <f t="shared" si="290"/>
        <v>0</v>
      </c>
      <c r="AF255" s="668">
        <f t="shared" si="290"/>
        <v>0</v>
      </c>
      <c r="AG255" s="668">
        <f t="shared" si="290"/>
        <v>0</v>
      </c>
      <c r="AH255" s="668">
        <f t="shared" si="290"/>
        <v>0</v>
      </c>
      <c r="AI255" s="668">
        <f t="shared" si="290"/>
        <v>0</v>
      </c>
      <c r="AJ255" s="668">
        <f t="shared" si="290"/>
        <v>0</v>
      </c>
      <c r="AK255" s="668">
        <f t="shared" si="290"/>
        <v>0</v>
      </c>
      <c r="AL255" s="668">
        <f t="shared" si="290"/>
        <v>0</v>
      </c>
      <c r="AM255" s="668">
        <f t="shared" si="290"/>
        <v>0</v>
      </c>
      <c r="AN255" s="668">
        <f t="shared" si="290"/>
        <v>0</v>
      </c>
      <c r="AO255" s="668">
        <f t="shared" si="290"/>
        <v>0</v>
      </c>
      <c r="AP255" s="668">
        <f t="shared" si="290"/>
        <v>0</v>
      </c>
      <c r="AQ255" s="668">
        <f t="shared" si="290"/>
        <v>0</v>
      </c>
      <c r="AR255" s="668">
        <f t="shared" si="290"/>
        <v>0</v>
      </c>
      <c r="AS255" s="668">
        <f t="shared" si="290"/>
        <v>0</v>
      </c>
      <c r="AT255" s="668">
        <f t="shared" si="290"/>
        <v>0</v>
      </c>
      <c r="AU255" s="668">
        <f t="shared" si="290"/>
        <v>0</v>
      </c>
      <c r="AV255" s="668">
        <f t="shared" si="290"/>
        <v>0</v>
      </c>
      <c r="AW255" s="668">
        <f t="shared" si="290"/>
        <v>0</v>
      </c>
      <c r="AX255" s="668">
        <f t="shared" si="290"/>
        <v>0</v>
      </c>
      <c r="AY255" s="668">
        <f t="shared" si="290"/>
        <v>0</v>
      </c>
      <c r="AZ255" s="668">
        <f t="shared" si="290"/>
        <v>0</v>
      </c>
      <c r="BA255" s="668">
        <f t="shared" ref="BA255:CF255" si="291">IF(BA222=0,0,IF(CO2_2018=0,0,(BA253/$U$253)-1))</f>
        <v>0</v>
      </c>
      <c r="BB255" s="668">
        <f t="shared" si="291"/>
        <v>0</v>
      </c>
      <c r="BC255" s="668">
        <f t="shared" si="291"/>
        <v>0</v>
      </c>
      <c r="BD255" s="668">
        <f t="shared" si="291"/>
        <v>0</v>
      </c>
      <c r="BE255" s="668">
        <f t="shared" si="291"/>
        <v>0</v>
      </c>
      <c r="BF255" s="668">
        <f t="shared" si="291"/>
        <v>0</v>
      </c>
      <c r="BG255" s="668">
        <f t="shared" si="291"/>
        <v>0</v>
      </c>
      <c r="BH255" s="668">
        <f t="shared" si="291"/>
        <v>0</v>
      </c>
      <c r="BI255" s="668">
        <f t="shared" si="291"/>
        <v>0</v>
      </c>
      <c r="BJ255" s="668">
        <f t="shared" si="291"/>
        <v>0</v>
      </c>
      <c r="BK255" s="668">
        <f t="shared" si="291"/>
        <v>0</v>
      </c>
      <c r="BL255" s="668">
        <f t="shared" si="291"/>
        <v>0</v>
      </c>
      <c r="BM255" s="668">
        <f t="shared" si="291"/>
        <v>0</v>
      </c>
      <c r="BN255" s="668">
        <f t="shared" si="291"/>
        <v>0</v>
      </c>
      <c r="BO255" s="668">
        <f t="shared" si="291"/>
        <v>0</v>
      </c>
      <c r="BP255" s="668">
        <f t="shared" si="291"/>
        <v>0</v>
      </c>
      <c r="BQ255" s="668">
        <f t="shared" si="291"/>
        <v>0</v>
      </c>
      <c r="BR255" s="668">
        <f t="shared" si="291"/>
        <v>0</v>
      </c>
      <c r="BS255" s="668">
        <f t="shared" si="291"/>
        <v>0</v>
      </c>
      <c r="BT255" s="668">
        <f t="shared" si="291"/>
        <v>0</v>
      </c>
      <c r="BU255" s="668">
        <f t="shared" si="291"/>
        <v>0</v>
      </c>
      <c r="BV255" s="668">
        <f t="shared" si="291"/>
        <v>0</v>
      </c>
      <c r="BW255" s="668">
        <f t="shared" si="291"/>
        <v>0</v>
      </c>
      <c r="BX255" s="668">
        <f t="shared" si="291"/>
        <v>0</v>
      </c>
      <c r="BY255" s="668">
        <f t="shared" si="291"/>
        <v>0</v>
      </c>
      <c r="BZ255" s="668">
        <f t="shared" si="291"/>
        <v>0</v>
      </c>
      <c r="CA255" s="668">
        <f t="shared" si="291"/>
        <v>0</v>
      </c>
      <c r="CB255" s="668">
        <f t="shared" si="291"/>
        <v>0</v>
      </c>
      <c r="CC255" s="668">
        <f t="shared" si="291"/>
        <v>0</v>
      </c>
      <c r="CD255" s="668">
        <f t="shared" si="291"/>
        <v>0</v>
      </c>
      <c r="CE255" s="668">
        <f t="shared" si="291"/>
        <v>0</v>
      </c>
      <c r="CF255" s="668">
        <f t="shared" si="291"/>
        <v>0</v>
      </c>
      <c r="CG255" s="668">
        <f t="shared" ref="CG255:DL255" si="292">IF(CG222=0,0,IF(CO2_2018=0,0,(CG253/$U$253)-1))</f>
        <v>0</v>
      </c>
      <c r="CH255" s="668">
        <f t="shared" si="292"/>
        <v>0</v>
      </c>
      <c r="CI255" s="668">
        <f t="shared" si="292"/>
        <v>0</v>
      </c>
      <c r="CJ255" s="668">
        <f t="shared" si="292"/>
        <v>0</v>
      </c>
      <c r="CK255" s="668">
        <f t="shared" si="292"/>
        <v>0</v>
      </c>
      <c r="CL255" s="668">
        <f t="shared" si="292"/>
        <v>0</v>
      </c>
      <c r="CM255" s="668">
        <f t="shared" si="292"/>
        <v>0</v>
      </c>
      <c r="CN255" s="668">
        <f t="shared" si="292"/>
        <v>0</v>
      </c>
      <c r="CO255" s="668">
        <f t="shared" si="292"/>
        <v>0</v>
      </c>
      <c r="CP255" s="668">
        <f t="shared" si="292"/>
        <v>0</v>
      </c>
      <c r="CQ255" s="668">
        <f t="shared" si="292"/>
        <v>0</v>
      </c>
      <c r="CR255" s="668">
        <f t="shared" si="292"/>
        <v>0</v>
      </c>
      <c r="CS255" s="668">
        <f t="shared" si="292"/>
        <v>0</v>
      </c>
      <c r="CT255" s="668">
        <f t="shared" si="292"/>
        <v>0</v>
      </c>
      <c r="CU255" s="668">
        <f t="shared" si="292"/>
        <v>0</v>
      </c>
      <c r="CV255" s="668">
        <f t="shared" si="292"/>
        <v>0</v>
      </c>
      <c r="CW255" s="668">
        <f t="shared" si="292"/>
        <v>0</v>
      </c>
      <c r="CX255" s="668">
        <f t="shared" si="292"/>
        <v>0</v>
      </c>
      <c r="CY255" s="668">
        <f t="shared" si="292"/>
        <v>0</v>
      </c>
      <c r="CZ255" s="668">
        <f t="shared" si="292"/>
        <v>0</v>
      </c>
      <c r="DA255" s="668">
        <f t="shared" si="292"/>
        <v>0</v>
      </c>
      <c r="DB255" s="668">
        <f t="shared" si="292"/>
        <v>0</v>
      </c>
      <c r="DC255" s="668">
        <f t="shared" si="292"/>
        <v>0</v>
      </c>
      <c r="DD255" s="668">
        <f t="shared" si="292"/>
        <v>0</v>
      </c>
      <c r="DE255" s="668">
        <f t="shared" si="292"/>
        <v>0</v>
      </c>
      <c r="DF255" s="668">
        <f t="shared" si="292"/>
        <v>0</v>
      </c>
      <c r="DG255" s="668">
        <f t="shared" si="292"/>
        <v>0</v>
      </c>
      <c r="DH255" s="668">
        <f t="shared" si="292"/>
        <v>0</v>
      </c>
      <c r="DI255" s="668">
        <f t="shared" si="292"/>
        <v>0</v>
      </c>
      <c r="DJ255" s="668">
        <f t="shared" si="292"/>
        <v>0</v>
      </c>
      <c r="DK255" s="668">
        <f t="shared" si="292"/>
        <v>0</v>
      </c>
      <c r="DL255" s="668">
        <f t="shared" si="292"/>
        <v>0</v>
      </c>
      <c r="DM255" s="668">
        <f t="shared" ref="DM255:ER255" si="293">IF(DM222=0,0,IF(CO2_2018=0,0,(DM253/$U$253)-1))</f>
        <v>0</v>
      </c>
      <c r="DN255" s="668">
        <f t="shared" si="293"/>
        <v>0</v>
      </c>
      <c r="DO255" s="668">
        <f t="shared" si="293"/>
        <v>0</v>
      </c>
      <c r="DP255" s="668">
        <f t="shared" si="293"/>
        <v>0</v>
      </c>
      <c r="DQ255" s="668">
        <f t="shared" si="293"/>
        <v>0</v>
      </c>
      <c r="DR255" s="668">
        <f t="shared" si="293"/>
        <v>0</v>
      </c>
      <c r="DS255" s="668">
        <f t="shared" si="293"/>
        <v>0</v>
      </c>
      <c r="DT255" s="668">
        <f t="shared" si="293"/>
        <v>0</v>
      </c>
      <c r="DU255" s="668">
        <f t="shared" si="293"/>
        <v>0</v>
      </c>
      <c r="DV255" s="668">
        <f t="shared" si="293"/>
        <v>0</v>
      </c>
      <c r="DW255" s="668">
        <f t="shared" si="293"/>
        <v>0</v>
      </c>
      <c r="DX255" s="668">
        <f t="shared" si="293"/>
        <v>0</v>
      </c>
      <c r="DY255" s="668">
        <f t="shared" si="293"/>
        <v>0</v>
      </c>
      <c r="DZ255" s="668">
        <f t="shared" si="293"/>
        <v>0</v>
      </c>
      <c r="EA255" s="668">
        <f t="shared" si="293"/>
        <v>0</v>
      </c>
      <c r="EB255" s="668">
        <f t="shared" si="293"/>
        <v>0</v>
      </c>
      <c r="EC255" s="668">
        <f t="shared" si="293"/>
        <v>0</v>
      </c>
      <c r="ED255" s="668">
        <f t="shared" si="293"/>
        <v>0</v>
      </c>
      <c r="EE255" s="668">
        <f t="shared" si="293"/>
        <v>0</v>
      </c>
      <c r="EF255" s="668">
        <f t="shared" si="293"/>
        <v>0</v>
      </c>
      <c r="EG255" s="668">
        <f t="shared" si="293"/>
        <v>0</v>
      </c>
      <c r="EH255" s="668">
        <f t="shared" si="293"/>
        <v>0</v>
      </c>
      <c r="EI255" s="668">
        <f t="shared" si="293"/>
        <v>0</v>
      </c>
      <c r="EJ255" s="668">
        <f t="shared" si="293"/>
        <v>0</v>
      </c>
      <c r="EK255" s="668">
        <f t="shared" si="293"/>
        <v>0</v>
      </c>
      <c r="EL255" s="668">
        <f t="shared" si="293"/>
        <v>0</v>
      </c>
      <c r="EM255" s="668">
        <f t="shared" si="293"/>
        <v>0</v>
      </c>
      <c r="EN255" s="668">
        <f t="shared" si="293"/>
        <v>0</v>
      </c>
      <c r="EO255" s="668">
        <f t="shared" si="293"/>
        <v>0</v>
      </c>
      <c r="EP255" s="668">
        <f t="shared" si="293"/>
        <v>0</v>
      </c>
      <c r="EQ255" s="668">
        <f t="shared" si="293"/>
        <v>0</v>
      </c>
      <c r="ER255" s="668">
        <f t="shared" si="293"/>
        <v>0</v>
      </c>
      <c r="ES255" s="668">
        <f t="shared" ref="ES255:FX255" si="294">IF(ES222=0,0,IF(CO2_2018=0,0,(ES253/$U$253)-1))</f>
        <v>0</v>
      </c>
      <c r="ET255" s="668">
        <f t="shared" si="294"/>
        <v>0</v>
      </c>
      <c r="EU255" s="668">
        <f t="shared" si="294"/>
        <v>0</v>
      </c>
      <c r="EV255" s="668">
        <f t="shared" si="294"/>
        <v>0</v>
      </c>
      <c r="EW255" s="668">
        <f t="shared" si="294"/>
        <v>0</v>
      </c>
      <c r="EX255" s="668">
        <f t="shared" si="294"/>
        <v>0</v>
      </c>
      <c r="EY255" s="668">
        <f t="shared" si="294"/>
        <v>0</v>
      </c>
      <c r="EZ255" s="668">
        <f t="shared" si="294"/>
        <v>0</v>
      </c>
      <c r="FA255" s="668">
        <f t="shared" si="294"/>
        <v>0</v>
      </c>
      <c r="FB255" s="668">
        <f t="shared" si="294"/>
        <v>0</v>
      </c>
      <c r="FC255" s="668">
        <f t="shared" si="294"/>
        <v>0</v>
      </c>
      <c r="FD255" s="668">
        <f t="shared" si="294"/>
        <v>0</v>
      </c>
      <c r="FE255" s="668">
        <f t="shared" si="294"/>
        <v>0</v>
      </c>
      <c r="FF255" s="668">
        <f t="shared" si="294"/>
        <v>0</v>
      </c>
      <c r="FG255" s="668">
        <f t="shared" si="294"/>
        <v>0</v>
      </c>
      <c r="FH255" s="668">
        <f t="shared" si="294"/>
        <v>0</v>
      </c>
      <c r="FI255" s="668">
        <f t="shared" si="294"/>
        <v>0</v>
      </c>
      <c r="FJ255" s="668">
        <f t="shared" si="294"/>
        <v>0</v>
      </c>
      <c r="FK255" s="668">
        <f t="shared" si="294"/>
        <v>0</v>
      </c>
      <c r="FL255" s="668">
        <f t="shared" si="294"/>
        <v>0</v>
      </c>
      <c r="FM255" s="668">
        <f t="shared" si="294"/>
        <v>0</v>
      </c>
      <c r="FN255" s="668">
        <f t="shared" si="294"/>
        <v>0</v>
      </c>
      <c r="FO255" s="668">
        <f t="shared" si="294"/>
        <v>0</v>
      </c>
      <c r="FP255" s="668">
        <f t="shared" si="294"/>
        <v>0</v>
      </c>
      <c r="FQ255" s="668">
        <f t="shared" si="294"/>
        <v>0</v>
      </c>
      <c r="FR255" s="668">
        <f t="shared" si="294"/>
        <v>0</v>
      </c>
      <c r="FS255" s="668">
        <f t="shared" si="294"/>
        <v>0</v>
      </c>
      <c r="FT255" s="668">
        <f t="shared" si="294"/>
        <v>0</v>
      </c>
      <c r="FU255" s="668">
        <f t="shared" si="294"/>
        <v>0</v>
      </c>
      <c r="FV255" s="668">
        <f t="shared" si="294"/>
        <v>0</v>
      </c>
      <c r="FW255" s="668">
        <f t="shared" si="294"/>
        <v>0</v>
      </c>
      <c r="FX255" s="668">
        <f t="shared" si="294"/>
        <v>0</v>
      </c>
      <c r="FY255" s="668">
        <f t="shared" ref="FY255:GZ255" si="295">IF(FY222=0,0,IF(CO2_2018=0,0,(FY253/$U$253)-1))</f>
        <v>0</v>
      </c>
      <c r="FZ255" s="668">
        <f t="shared" si="295"/>
        <v>0</v>
      </c>
      <c r="GA255" s="668">
        <f t="shared" si="295"/>
        <v>0</v>
      </c>
      <c r="GB255" s="668">
        <f t="shared" si="295"/>
        <v>0</v>
      </c>
      <c r="GC255" s="668">
        <f t="shared" si="295"/>
        <v>0</v>
      </c>
      <c r="GD255" s="668">
        <f t="shared" si="295"/>
        <v>0</v>
      </c>
      <c r="GE255" s="668">
        <f t="shared" si="295"/>
        <v>0</v>
      </c>
      <c r="GF255" s="668">
        <f t="shared" si="295"/>
        <v>0</v>
      </c>
      <c r="GG255" s="668">
        <f t="shared" si="295"/>
        <v>0</v>
      </c>
      <c r="GH255" s="668">
        <f t="shared" si="295"/>
        <v>0</v>
      </c>
      <c r="GI255" s="668">
        <f t="shared" si="295"/>
        <v>0</v>
      </c>
      <c r="GJ255" s="668">
        <f t="shared" si="295"/>
        <v>0</v>
      </c>
      <c r="GK255" s="668">
        <f t="shared" si="295"/>
        <v>0</v>
      </c>
      <c r="GL255" s="668">
        <f t="shared" si="295"/>
        <v>0</v>
      </c>
      <c r="GM255" s="668">
        <f t="shared" si="295"/>
        <v>0</v>
      </c>
      <c r="GN255" s="668">
        <f t="shared" si="295"/>
        <v>0</v>
      </c>
      <c r="GO255" s="668">
        <f t="shared" si="295"/>
        <v>0</v>
      </c>
      <c r="GP255" s="668">
        <f t="shared" si="295"/>
        <v>0</v>
      </c>
      <c r="GQ255" s="668">
        <f t="shared" si="295"/>
        <v>0</v>
      </c>
      <c r="GR255" s="668">
        <f t="shared" si="295"/>
        <v>0</v>
      </c>
      <c r="GS255" s="668">
        <f t="shared" si="295"/>
        <v>0</v>
      </c>
      <c r="GT255" s="668">
        <f t="shared" si="295"/>
        <v>0</v>
      </c>
      <c r="GU255" s="668">
        <f t="shared" si="295"/>
        <v>0</v>
      </c>
      <c r="GV255" s="668">
        <f t="shared" si="295"/>
        <v>0</v>
      </c>
      <c r="GW255" s="668">
        <f t="shared" si="295"/>
        <v>0</v>
      </c>
      <c r="GX255" s="668">
        <f t="shared" si="295"/>
        <v>0</v>
      </c>
      <c r="GY255" s="668">
        <f t="shared" si="295"/>
        <v>0</v>
      </c>
      <c r="GZ255" s="668">
        <f t="shared" si="295"/>
        <v>0</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203" priority="58">
      <formula>LEN(TRIM(C12))=0</formula>
    </cfRule>
  </conditionalFormatting>
  <conditionalFormatting sqref="C15">
    <cfRule type="containsBlanks" dxfId="202" priority="57">
      <formula>LEN(TRIM(C15))=0</formula>
    </cfRule>
  </conditionalFormatting>
  <conditionalFormatting sqref="C29">
    <cfRule type="expression" dxfId="201" priority="8">
      <formula>$C$28="Ja"</formula>
    </cfRule>
  </conditionalFormatting>
  <conditionalFormatting sqref="C44:G215">
    <cfRule type="expression" dxfId="200" priority="44">
      <formula>$H44="x"</formula>
    </cfRule>
  </conditionalFormatting>
  <conditionalFormatting sqref="D29">
    <cfRule type="expression" dxfId="199" priority="7">
      <formula>$C$28="Ja"</formula>
    </cfRule>
  </conditionalFormatting>
  <conditionalFormatting sqref="D43:E43">
    <cfRule type="expression" dxfId="198" priority="65">
      <formula>$C$12&lt;K$219</formula>
    </cfRule>
  </conditionalFormatting>
  <conditionalFormatting sqref="E1">
    <cfRule type="containsText" dxfId="197" priority="45" operator="containsText" text="Let">
      <formula>NOT(ISERROR(SEARCH("Let",E1)))</formula>
    </cfRule>
  </conditionalFormatting>
  <conditionalFormatting sqref="E218:I218">
    <cfRule type="expression" dxfId="196" priority="59">
      <formula>#REF!=0</formula>
    </cfRule>
  </conditionalFormatting>
  <conditionalFormatting sqref="H42">
    <cfRule type="expression" dxfId="195" priority="64">
      <formula>$C$12&lt;L$219</formula>
    </cfRule>
  </conditionalFormatting>
  <conditionalFormatting sqref="H44:H215">
    <cfRule type="containsText" dxfId="194" priority="51" operator="containsText" text="x">
      <formula>NOT(ISERROR(SEARCH("x",H44)))</formula>
    </cfRule>
  </conditionalFormatting>
  <conditionalFormatting sqref="I42:I43">
    <cfRule type="expression" dxfId="191" priority="61">
      <formula>$C$12&lt;N$219</formula>
    </cfRule>
  </conditionalFormatting>
  <conditionalFormatting sqref="I45:GZ215">
    <cfRule type="expression" dxfId="190" priority="67">
      <formula>$H45="x"</formula>
    </cfRule>
  </conditionalFormatting>
  <conditionalFormatting sqref="I44:HE44">
    <cfRule type="expression" dxfId="189" priority="53">
      <formula>$H44="x"</formula>
    </cfRule>
  </conditionalFormatting>
  <conditionalFormatting sqref="J218">
    <cfRule type="expression" dxfId="188" priority="56">
      <formula>#REF!=0</formula>
    </cfRule>
  </conditionalFormatting>
  <conditionalFormatting sqref="K42:K43 N42:N43 P42:S43">
    <cfRule type="expression" dxfId="187" priority="60">
      <formula>$C$12&lt;#REF!</formula>
    </cfRule>
  </conditionalFormatting>
  <conditionalFormatting sqref="M42:M43 C43">
    <cfRule type="expression" dxfId="186" priority="62">
      <formula>$C$12&lt;K$219</formula>
    </cfRule>
  </conditionalFormatting>
  <conditionalFormatting sqref="O42:O43">
    <cfRule type="expression" dxfId="185" priority="63">
      <formula>$C$12&lt;Q$219</formula>
    </cfRule>
  </conditionalFormatting>
  <conditionalFormatting sqref="T44:T215">
    <cfRule type="cellIs" dxfId="184" priority="66" operator="greaterThan">
      <formula>1</formula>
    </cfRule>
    <cfRule type="cellIs" dxfId="183" priority="55" operator="equal">
      <formula>1</formula>
    </cfRule>
  </conditionalFormatting>
  <conditionalFormatting sqref="U229:V229 AB229 AH229 AN229 AT229:GZ229 U232:V232 AB232 AH232 AN232 AT232:GZ232 U235:V235 AB235 AH235 AN235 AT235:GZ235">
    <cfRule type="cellIs" dxfId="182" priority="46" operator="lessThan">
      <formula>0</formula>
    </cfRule>
  </conditionalFormatting>
  <conditionalFormatting sqref="U31:CJ33 U37:CJ37">
    <cfRule type="expression" dxfId="181" priority="3">
      <formula>YEAR(TODAY())=U$30+1</formula>
    </cfRule>
    <cfRule type="expression" dxfId="180" priority="6">
      <formula>YEAR(TODAY())&gt;U$30</formula>
    </cfRule>
  </conditionalFormatting>
  <conditionalFormatting sqref="V44:GZ215">
    <cfRule type="expression" dxfId="179" priority="2">
      <formula>V$219&gt;$C$12</formula>
    </cfRule>
    <cfRule type="expression" dxfId="178" priority="4">
      <formula>V$219&lt;$C$11</formula>
    </cfRule>
  </conditionalFormatting>
  <conditionalFormatting sqref="V44:HE44 V45:GZ215">
    <cfRule type="expression" dxfId="177" priority="1">
      <formula>YEAR(TODAY())&gt;V$42</formula>
    </cfRule>
    <cfRule type="notContainsBlanks" dxfId="176" priority="5">
      <formula>LEN(TRIM(V44))&gt;0</formula>
    </cfRule>
  </conditionalFormatting>
  <conditionalFormatting sqref="CQ36:CU37">
    <cfRule type="expression" dxfId="175" priority="48">
      <formula>YEAR(TODAY())&lt;CQ$42</formula>
    </cfRule>
    <cfRule type="expression" dxfId="174" priority="47">
      <formula>YEAR(TODAY())=CQ$42</formula>
    </cfRule>
  </conditionalFormatting>
  <conditionalFormatting sqref="HA45:HE215">
    <cfRule type="expression" dxfId="173" priority="10">
      <formula>$H45="x"</formula>
    </cfRule>
    <cfRule type="notContainsBlanks" dxfId="172" priority="9">
      <formula>LEN(TRIM(HA45))&gt;0</formula>
    </cfRule>
  </conditionalFormatting>
  <dataValidations count="27">
    <dataValidation type="list" operator="equal" allowBlank="1" showDropDown="1" showInputMessage="1" showErrorMessage="1" errorTitle="Ongeldige invoer" error="Kies voor &quot;ja&quot; (direct uitvoeren) of laat de cel leeg." sqref="J44:J217" xr:uid="{FE736443-7402-4244-AD0B-8111AA6306C2}">
      <formula1>$HK$7</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17957FB2-58DD-4172-8D04-8EF7999FA6D2}">
      <formula1>$HK$3:$HK$6</formula1>
    </dataValidation>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D2CDBF1B-CCAC-460C-B24D-DD07EC65591E}">
      <formula1>AND($GZ$229&gt;-1,$GZ$232&gt;-1,$GZ$235&gt;-1)</formula1>
    </dataValidation>
    <dataValidation allowBlank="1" showInputMessage="1" showErrorMessage="1" prompt="Vul de reductie warmte in als het warmtenet waarop je aangesloten zit volledig duurzaam wordt. Laat de reductie aardgas (cel P44) leeg. " sqref="R44" xr:uid="{DD43E8D5-EDA1-4F8E-A8C8-83C6998A1826}"/>
    <dataValidation allowBlank="1" showInputMessage="1" showErrorMessage="1" prompt="Vul de reductie aardgas in als je overstapt van een aardgasbron naar een duurzaam warmtenet. Laat de reductie warmte (cel R44) leeg." sqref="P44" xr:uid="{0DC37014-DBD0-4181-84BA-1CC6E7125CE6}"/>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4D599F4F-8260-48AC-BBD3-07A3EBB281D2}">
      <formula1>AND($GZ$229&gt;-1,$GZ$232&gt;-1,$GZ$235&gt;-1)</formula1>
    </dataValidation>
    <dataValidation allowBlank="1" showInputMessage="1" showErrorMessage="1" prompt="Dit is nodig als je de tool wilt gebruiken voor de informatieplicht. Met het e-mailadres en telefoonnummer wordt verder niets gedaan." sqref="C38:D39" xr:uid="{9A549E56-F1D6-4943-BB72-0EA8A622FC90}"/>
    <dataValidation type="list" operator="greaterThan" showDropDown="1" showInputMessage="1" showErrorMessage="1" error=" Typ 'brons', 'zilver' of 'goud'." prompt="Maak een keuze tussen brons, zilver of goud." sqref="C29" xr:uid="{046C9718-A820-496C-A951-F9522EA35126}">
      <formula1>$HK$10:$HK$12</formula1>
    </dataValidation>
    <dataValidation type="list" operator="greaterThan" showDropDown="1" showInputMessage="1" showErrorMessage="1" error="Typ &quot;Ja&quot; of &quot;Nee&quot;." prompt="Kies 'Ja' of 'Nee'." sqref="C10 C28" xr:uid="{AAB68E39-94D7-4CBD-9516-C596239D6D75}">
      <formula1>$HL$1:$HM$1</formula1>
    </dataValidation>
    <dataValidation type="whole" allowBlank="1" showInputMessage="1" showErrorMessage="1" error="Vul een geheel getal in." sqref="C4:C5" xr:uid="{F2674CA8-F745-4B25-BF11-D53F01554E79}">
      <formula1>0</formula1>
      <formula2>10000000</formula2>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EC889EB5-6BBC-4695-A8B1-E3050979C3E9}">
      <formula1>0</formula1>
      <formula2>2030</formula2>
    </dataValidation>
    <dataValidation type="decimal" operator="greaterThan" showInputMessage="1" showErrorMessage="1" error="Het aantal bouwlagen kan nooit kleiner zijn dan 1. " prompt="Vul het aantal bouwlagen in. Bestaat de locatie uit bouwdelen met variabele hoogte, kies dan een gemiddelde waarde. Je kunt kommagetallen invoeren, zoals 2,5 voor panden met delen van 2 en delen van 3 bouwlagen. _x000a__x000a__x000a__x000a__x000a_" sqref="C6" xr:uid="{931F16BD-6D5E-49B7-B415-21BBF24F0934}">
      <formula1>0</formula1>
    </dataValidation>
    <dataValidation type="textLength" operator="lessThanOrEqual" showInputMessage="1" showErrorMessage="1" error="Typ alleen het energielabel (G t/m A++++)" sqref="C16" xr:uid="{BD2CEC3B-5A4C-4FC0-9E11-CFBF4B0765D7}">
      <formula1>6</formula1>
    </dataValidation>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09B33ECA-DDF6-43D2-BF01-600E093965D5}">
      <formula1>$HL$1:$HM$1</formula1>
    </dataValidation>
    <dataValidation allowBlank="1" showInputMessage="1" showErrorMessage="1" prompt="1234AA zonder spatie" sqref="C31" xr:uid="{578BE429-E5E7-4BC1-84E2-AA3BC3B4DC73}"/>
    <dataValidation allowBlank="1" showInputMessage="1" showErrorMessage="1" prompt="Hier komt automatisch de beheerder die op het starttabblad genoteerd staat. Je kunt dit overschrijven. " sqref="C37" xr:uid="{B52708E8-E5BA-45F9-A35A-E29DA0DF5B77}"/>
    <dataValidation type="list" showDropDown="1" showInputMessage="1" showErrorMessage="1" error="Maak een keuze tussen 'Eigendom' of 'Huur'." prompt="Maak een keuze tussen 'Eigendom' of 'Huur'." sqref="C15" xr:uid="{71264DEE-F024-4D01-A1EA-9A72AE0BBA38}">
      <formula1>$HK$8:$HK$9</formula1>
    </dataValidation>
    <dataValidation type="decimal" operator="greaterThan" allowBlank="1" showInputMessage="1" showErrorMessage="1" errorTitle="Ongeldige invoer" error="Je probeert iets anders dan een (komma)getal in te voeren. Dat kan niet. " sqref="HA45:HE215 V45:AS215" xr:uid="{502F5906-54BE-467B-8DC2-CF621D7781A6}">
      <formula1>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20736567-E933-4F0A-A1D3-EFAA05545CA3}">
      <formula1>$HL$1</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6AFB1C9C-70A1-46DE-813D-C0BE8D511D34}">
      <formula1>$GZ$233&gt;0</formula1>
    </dataValidation>
    <dataValidation type="list" showInputMessage="1" showErrorMessage="1" error="Kies een jaar tussen 2018 en 2050 of laat leeg. " sqref="C11" xr:uid="{A08419DF-BBE6-41BF-9316-4967B771AA14}">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D99E2099-B931-42C7-B775-567F8E18232B}">
      <formula1>0</formula1>
    </dataValidation>
    <dataValidation type="list" showInputMessage="1" showErrorMessage="1" error="Kies een jaar tussen 2018 en 2050. " prompt="Kies een jaar tussen '2018' en '2050 of later'. " sqref="C12" xr:uid="{49AE7CEC-B021-4AE6-A0E3-5F5D30CFDB1D}">
      <formula1>$HL$2:$HL$34</formula1>
    </dataValidation>
    <dataValidation allowBlank="1" sqref="U218:GY218 HA218:HE218" xr:uid="{C2E6F2BD-EC6B-45A2-801C-351E552B269E}"/>
    <dataValidation allowBlank="1" showInputMessage="1" showErrorMessage="1" prompt="Alleen wijzigen als dit afwijkt van de rest van de organisatie! Voor de gehele organisatie kunt u de energieprijs wijzigen in het Dashboard. " sqref="C18:C20" xr:uid="{8DA3AD1D-1226-4DAF-9D57-B63BC02590DC}"/>
    <dataValidation type="whole" operator="notEqual" showErrorMessage="1" errorTitle="Let op!" error="U heeft deze maatregel al elders ingepland. Weet u zeker dat u deze maatregel nógmaals wilt uitvoeren? " sqref="HF43:HF45" xr:uid="{DB29B498-3BD1-41A8-9385-6F15FE21A219}">
      <formula1>1</formula1>
    </dataValidation>
    <dataValidation type="whole" errorStyle="warning" operator="lessThan" showInputMessage="1" showErrorMessage="1" errorTitle="Let op!" error="U heeft deze maatregel al elders ingepland. Weet u zeker dat u deze maatregel nógmaals wilt uitvoeren? " sqref="HF46:HF66 HF218" xr:uid="{39D20C5C-41BA-41BB-9DAE-8E59C92378E2}">
      <formula1>1</formula1>
    </dataValidation>
  </dataValidations>
  <pageMargins left="0.7" right="0.7" top="0.75" bottom="0.75" header="0.3" footer="0.3"/>
  <pageSetup paperSize="8" scale="13"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54" operator="containsText" id="{C2CCF360-F705-47AB-BD8E-EF8C2222081C}">
            <xm:f>NOT(ISERROR(SEARCH("h",H44)))</xm:f>
            <xm:f>"h"</xm:f>
            <x14:dxf>
              <font>
                <color rgb="FFFDFDFF"/>
              </font>
              <fill>
                <patternFill>
                  <bgColor rgb="FF546A7B"/>
                </patternFill>
              </fill>
            </x14:dxf>
          </x14:cfRule>
          <x14:cfRule type="containsText" priority="52" operator="containsText" id="{0A25CFC4-D5C5-4D20-9550-654BD96AAF36}">
            <xm:f>NOT(ISERROR(SEARCH("v",H44)))</xm:f>
            <xm:f>"v"</xm:f>
            <x14:dxf>
              <font>
                <color rgb="FFFDFDFF"/>
              </font>
              <fill>
                <patternFill>
                  <bgColor rgb="FF393D3F"/>
                </patternFill>
              </fill>
            </x14:dxf>
          </x14:cfRule>
          <xm:sqref>H44:H215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tabColor rgb="FF393D3F"/>
    <pageSetUpPr fitToPage="1"/>
  </sheetPr>
  <dimension ref="A1:CA59"/>
  <sheetViews>
    <sheetView zoomScale="70" zoomScaleNormal="70" workbookViewId="0">
      <selection activeCell="D16" sqref="D16"/>
    </sheetView>
  </sheetViews>
  <sheetFormatPr defaultColWidth="8.85546875" defaultRowHeight="15"/>
  <cols>
    <col min="1" max="2" width="2.140625" style="7" customWidth="1"/>
    <col min="3" max="3" width="13.5703125" style="7" customWidth="1"/>
    <col min="4" max="4" width="22.140625" style="7" customWidth="1"/>
    <col min="5" max="5" width="2.7109375" style="7" customWidth="1"/>
    <col min="6" max="6" width="1.42578125" style="7" customWidth="1"/>
    <col min="7" max="7" width="47" style="7" customWidth="1"/>
    <col min="8" max="8" width="13.42578125" style="7" customWidth="1"/>
    <col min="9" max="15" width="12.7109375" style="7" customWidth="1"/>
    <col min="16" max="17" width="12.7109375" style="109" customWidth="1"/>
    <col min="18" max="20" width="12.7109375" style="7" customWidth="1"/>
    <col min="21" max="24" width="1.7109375" style="7" customWidth="1"/>
    <col min="25" max="25" width="12.7109375" style="7" customWidth="1"/>
    <col min="26" max="29" width="1.7109375" style="7" customWidth="1"/>
    <col min="30" max="30" width="12.7109375" style="7" customWidth="1"/>
    <col min="31" max="34" width="1.7109375" style="7" customWidth="1"/>
    <col min="35" max="35" width="12.7109375" style="7" customWidth="1"/>
    <col min="36" max="39" width="1.7109375" style="7" customWidth="1"/>
    <col min="40" max="40" width="12.7109375" style="7" customWidth="1"/>
    <col min="41" max="41" width="2.7109375" style="7" customWidth="1"/>
    <col min="42" max="16384" width="8.85546875" style="7"/>
  </cols>
  <sheetData>
    <row r="1" spans="1:79">
      <c r="A1" s="55" t="s">
        <v>17</v>
      </c>
    </row>
    <row r="2" spans="1:79" s="65" customFormat="1" ht="24" customHeight="1">
      <c r="B2" s="56"/>
      <c r="C2" s="836" t="s">
        <v>386</v>
      </c>
      <c r="D2" s="836"/>
      <c r="E2" s="836"/>
      <c r="F2" s="836"/>
      <c r="G2" s="837" t="str">
        <f>START!F12</f>
        <v>Demo</v>
      </c>
      <c r="H2" s="837"/>
      <c r="I2" s="837"/>
      <c r="J2" s="837"/>
      <c r="K2" s="837"/>
      <c r="L2" s="837"/>
      <c r="M2" s="837"/>
      <c r="N2" s="837"/>
      <c r="O2" s="837"/>
      <c r="P2" s="837"/>
      <c r="Q2" s="837"/>
      <c r="R2" s="837"/>
      <c r="S2" s="837"/>
      <c r="T2" s="837"/>
      <c r="U2" s="837"/>
      <c r="V2" s="837"/>
      <c r="W2" s="837"/>
      <c r="X2" s="837"/>
      <c r="Y2" s="837"/>
      <c r="Z2" s="837"/>
      <c r="AA2" s="837"/>
      <c r="AB2" s="837"/>
      <c r="AC2" s="837"/>
      <c r="AD2" s="837"/>
      <c r="AE2" s="837"/>
      <c r="AF2" s="56"/>
      <c r="AG2" s="56"/>
      <c r="AH2" s="56"/>
      <c r="AI2" s="56"/>
      <c r="AJ2" s="56"/>
      <c r="AK2" s="56"/>
      <c r="AL2" s="56"/>
      <c r="AM2" s="56"/>
      <c r="AN2" s="56"/>
      <c r="AO2" s="56"/>
    </row>
    <row r="3" spans="1:79" s="65" customFormat="1" ht="15" customHeight="1">
      <c r="B3" s="56"/>
      <c r="C3" s="836"/>
      <c r="D3" s="836"/>
      <c r="E3" s="836"/>
      <c r="F3" s="836"/>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56"/>
      <c r="AG3" s="56"/>
      <c r="AH3" s="56"/>
      <c r="AI3" s="56"/>
      <c r="AJ3" s="56"/>
      <c r="AK3" s="56"/>
      <c r="AL3" s="56"/>
      <c r="AM3" s="56"/>
      <c r="AN3" s="56"/>
      <c r="AO3" s="56"/>
    </row>
    <row r="4" spans="1:79" ht="22.5" customHeight="1">
      <c r="B4" s="9"/>
      <c r="C4" s="9"/>
      <c r="D4" s="9"/>
      <c r="E4" s="9"/>
      <c r="F4" s="116"/>
      <c r="G4" s="116"/>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row>
    <row r="5" spans="1:79" ht="20.25" customHeight="1">
      <c r="B5" s="9"/>
      <c r="C5" s="278" t="s">
        <v>42</v>
      </c>
      <c r="D5" s="765" t="s">
        <v>859</v>
      </c>
      <c r="E5" s="9"/>
      <c r="F5" s="116"/>
      <c r="G5" s="116"/>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row>
    <row r="6" spans="1:79" ht="19.5" customHeight="1">
      <c r="B6" s="8"/>
      <c r="C6" s="279" t="s">
        <v>43</v>
      </c>
      <c r="D6" s="765" t="s">
        <v>860</v>
      </c>
      <c r="E6" s="8"/>
      <c r="F6" s="126"/>
      <c r="G6" s="126"/>
      <c r="H6" s="8"/>
      <c r="I6" s="8"/>
      <c r="J6" s="8"/>
      <c r="K6" s="8"/>
      <c r="L6" s="8"/>
      <c r="M6" s="8"/>
      <c r="N6" s="8"/>
      <c r="O6" s="8"/>
      <c r="P6" s="8"/>
      <c r="Q6" s="8"/>
      <c r="R6" s="8"/>
      <c r="S6" s="8"/>
      <c r="T6" s="8"/>
      <c r="U6" s="8"/>
      <c r="V6" s="8"/>
      <c r="W6" s="8"/>
      <c r="X6" s="8"/>
      <c r="Y6" s="838"/>
      <c r="Z6" s="838"/>
      <c r="AA6" s="838"/>
      <c r="AB6" s="838"/>
      <c r="AC6" s="838"/>
      <c r="AD6" s="838"/>
      <c r="AE6" s="838"/>
      <c r="AF6" s="838"/>
      <c r="AG6" s="838"/>
      <c r="AH6" s="747"/>
      <c r="AI6" s="831"/>
      <c r="AJ6" s="832"/>
      <c r="AK6" s="832"/>
      <c r="AL6" s="832"/>
      <c r="AM6" s="832"/>
      <c r="AN6" s="832"/>
      <c r="AO6" s="8"/>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row>
    <row r="7" spans="1:79" ht="21" customHeight="1">
      <c r="B7" s="8"/>
      <c r="C7" s="279" t="s">
        <v>44</v>
      </c>
      <c r="D7" s="765" t="s">
        <v>861</v>
      </c>
      <c r="E7" s="8"/>
      <c r="F7" s="126"/>
      <c r="G7" s="834" t="s">
        <v>703</v>
      </c>
      <c r="H7" s="834"/>
      <c r="I7" s="834"/>
      <c r="J7" s="834"/>
      <c r="K7" s="834"/>
      <c r="L7" s="8"/>
      <c r="M7" s="835" t="s">
        <v>731</v>
      </c>
      <c r="N7" s="835"/>
      <c r="O7" s="835"/>
      <c r="P7" s="835"/>
      <c r="Q7" s="835"/>
      <c r="R7" s="835"/>
      <c r="S7" s="835"/>
      <c r="T7" s="835"/>
      <c r="U7" s="8"/>
      <c r="V7" s="8"/>
      <c r="W7" s="8"/>
      <c r="X7" s="8"/>
      <c r="Y7" s="838"/>
      <c r="Z7" s="838"/>
      <c r="AA7" s="838"/>
      <c r="AB7" s="838"/>
      <c r="AC7" s="838"/>
      <c r="AD7" s="838"/>
      <c r="AE7" s="838"/>
      <c r="AF7" s="838"/>
      <c r="AG7" s="838"/>
      <c r="AH7" s="747"/>
      <c r="AI7" s="832"/>
      <c r="AJ7" s="832"/>
      <c r="AK7" s="832"/>
      <c r="AL7" s="832"/>
      <c r="AM7" s="832"/>
      <c r="AN7" s="832"/>
      <c r="AO7" s="8"/>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row>
    <row r="8" spans="1:79" ht="21.75" customHeight="1">
      <c r="B8" s="8"/>
      <c r="C8" s="279" t="s">
        <v>45</v>
      </c>
      <c r="D8" s="765" t="s">
        <v>849</v>
      </c>
      <c r="E8" s="8"/>
      <c r="F8" s="8"/>
      <c r="G8" s="834"/>
      <c r="H8" s="834"/>
      <c r="I8" s="834"/>
      <c r="J8" s="834"/>
      <c r="K8" s="834"/>
      <c r="L8" s="8"/>
      <c r="M8" s="835"/>
      <c r="N8" s="835"/>
      <c r="O8" s="835"/>
      <c r="P8" s="835"/>
      <c r="Q8" s="835"/>
      <c r="R8" s="835"/>
      <c r="S8" s="835"/>
      <c r="T8" s="835"/>
      <c r="U8" s="8"/>
      <c r="V8" s="8"/>
      <c r="W8" s="8"/>
      <c r="X8" s="8"/>
      <c r="Y8" s="833"/>
      <c r="Z8" s="833"/>
      <c r="AA8" s="833"/>
      <c r="AB8" s="833"/>
      <c r="AC8" s="833"/>
      <c r="AD8" s="833"/>
      <c r="AE8" s="833"/>
      <c r="AF8" s="833"/>
      <c r="AG8" s="833"/>
      <c r="AH8" s="833"/>
      <c r="AI8" s="833"/>
      <c r="AJ8" s="833"/>
      <c r="AK8" s="833"/>
      <c r="AL8" s="833"/>
      <c r="AM8" s="833"/>
      <c r="AN8" s="833"/>
      <c r="AO8" s="8"/>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row>
    <row r="9" spans="1:79" ht="17.25" customHeight="1">
      <c r="B9" s="8"/>
      <c r="C9" s="279" t="s">
        <v>46</v>
      </c>
      <c r="D9" s="765" t="s">
        <v>850</v>
      </c>
      <c r="E9" s="8"/>
      <c r="F9" s="8"/>
      <c r="G9" s="834"/>
      <c r="H9" s="834"/>
      <c r="I9" s="834"/>
      <c r="J9" s="834"/>
      <c r="K9" s="834"/>
      <c r="L9" s="8"/>
      <c r="M9" s="835"/>
      <c r="N9" s="835"/>
      <c r="O9" s="835"/>
      <c r="P9" s="835"/>
      <c r="Q9" s="835"/>
      <c r="R9" s="835"/>
      <c r="S9" s="835"/>
      <c r="T9" s="835"/>
      <c r="U9" s="8"/>
      <c r="V9" s="8"/>
      <c r="W9" s="8"/>
      <c r="X9" s="8"/>
      <c r="Y9" s="833"/>
      <c r="Z9" s="833"/>
      <c r="AA9" s="833"/>
      <c r="AB9" s="833"/>
      <c r="AC9" s="833"/>
      <c r="AD9" s="833"/>
      <c r="AE9" s="833"/>
      <c r="AF9" s="833"/>
      <c r="AG9" s="833"/>
      <c r="AH9" s="833"/>
      <c r="AI9" s="833"/>
      <c r="AJ9" s="833"/>
      <c r="AK9" s="833"/>
      <c r="AL9" s="833"/>
      <c r="AM9" s="833"/>
      <c r="AN9" s="833"/>
      <c r="AO9" s="8"/>
    </row>
    <row r="10" spans="1:79" ht="18.75" customHeight="1">
      <c r="B10" s="8"/>
      <c r="C10" s="279" t="s">
        <v>47</v>
      </c>
      <c r="D10" s="765"/>
      <c r="E10" s="8"/>
      <c r="F10" s="8"/>
      <c r="G10" s="834"/>
      <c r="H10" s="834"/>
      <c r="I10" s="834"/>
      <c r="J10" s="834"/>
      <c r="K10" s="834"/>
      <c r="L10" s="8"/>
      <c r="M10" s="835"/>
      <c r="N10" s="835"/>
      <c r="O10" s="835"/>
      <c r="P10" s="835"/>
      <c r="Q10" s="835"/>
      <c r="R10" s="835"/>
      <c r="S10" s="835"/>
      <c r="T10" s="835"/>
      <c r="U10" s="8"/>
      <c r="V10" s="8"/>
      <c r="W10" s="8"/>
      <c r="X10" s="8"/>
      <c r="Y10" s="833"/>
      <c r="Z10" s="833"/>
      <c r="AA10" s="833"/>
      <c r="AB10" s="833"/>
      <c r="AC10" s="833"/>
      <c r="AD10" s="833"/>
      <c r="AE10" s="833"/>
      <c r="AF10" s="833"/>
      <c r="AG10" s="833"/>
      <c r="AH10" s="833"/>
      <c r="AI10" s="833"/>
      <c r="AJ10" s="833"/>
      <c r="AK10" s="833"/>
      <c r="AL10" s="833"/>
      <c r="AM10" s="833"/>
      <c r="AN10" s="833"/>
      <c r="AO10" s="8"/>
    </row>
    <row r="11" spans="1:79" s="110" customFormat="1" ht="19.5" customHeight="1">
      <c r="B11" s="127"/>
      <c r="C11" s="279" t="s">
        <v>48</v>
      </c>
      <c r="D11" s="115"/>
      <c r="E11" s="127"/>
      <c r="F11" s="140"/>
      <c r="G11" s="834"/>
      <c r="H11" s="834"/>
      <c r="I11" s="834"/>
      <c r="J11" s="834"/>
      <c r="K11" s="834"/>
      <c r="L11" s="8"/>
      <c r="M11" s="835"/>
      <c r="N11" s="835"/>
      <c r="O11" s="835"/>
      <c r="P11" s="835"/>
      <c r="Q11" s="835"/>
      <c r="R11" s="835"/>
      <c r="S11" s="835"/>
      <c r="T11" s="835"/>
      <c r="U11" s="8"/>
      <c r="V11" s="8"/>
      <c r="W11" s="8"/>
      <c r="X11" s="8"/>
      <c r="Y11" s="833"/>
      <c r="Z11" s="833"/>
      <c r="AA11" s="833"/>
      <c r="AB11" s="833"/>
      <c r="AC11" s="833"/>
      <c r="AD11" s="833"/>
      <c r="AE11" s="833"/>
      <c r="AF11" s="833"/>
      <c r="AG11" s="833"/>
      <c r="AH11" s="833"/>
      <c r="AI11" s="833"/>
      <c r="AJ11" s="833"/>
      <c r="AK11" s="833"/>
      <c r="AL11" s="833"/>
      <c r="AM11" s="833"/>
      <c r="AN11" s="833"/>
      <c r="AO11" s="127"/>
    </row>
    <row r="12" spans="1:79" s="65" customFormat="1" ht="19.5" customHeight="1">
      <c r="B12" s="123"/>
      <c r="C12" s="279" t="s">
        <v>49</v>
      </c>
      <c r="D12" s="115"/>
      <c r="E12" s="123"/>
      <c r="F12" s="123"/>
      <c r="G12" s="834"/>
      <c r="H12" s="834"/>
      <c r="I12" s="834"/>
      <c r="J12" s="834"/>
      <c r="K12" s="834"/>
      <c r="L12" s="8"/>
      <c r="M12" s="835"/>
      <c r="N12" s="835"/>
      <c r="O12" s="835"/>
      <c r="P12" s="835"/>
      <c r="Q12" s="835"/>
      <c r="R12" s="835"/>
      <c r="S12" s="835"/>
      <c r="T12" s="835"/>
      <c r="U12" s="8"/>
      <c r="V12" s="8"/>
      <c r="W12" s="8"/>
      <c r="X12" s="8"/>
      <c r="Y12" s="833"/>
      <c r="Z12" s="833"/>
      <c r="AA12" s="833"/>
      <c r="AB12" s="833"/>
      <c r="AC12" s="833"/>
      <c r="AD12" s="833"/>
      <c r="AE12" s="833"/>
      <c r="AF12" s="833"/>
      <c r="AG12" s="833"/>
      <c r="AH12" s="833"/>
      <c r="AI12" s="833"/>
      <c r="AJ12" s="833"/>
      <c r="AK12" s="833"/>
      <c r="AL12" s="833"/>
      <c r="AM12" s="833"/>
      <c r="AN12" s="833"/>
      <c r="AO12" s="123"/>
      <c r="AP12" s="110"/>
      <c r="AQ12" s="110"/>
      <c r="AR12" s="110"/>
      <c r="AS12" s="110"/>
      <c r="AT12" s="110"/>
      <c r="AU12" s="110"/>
      <c r="AV12" s="110"/>
    </row>
    <row r="13" spans="1:79" s="65" customFormat="1" ht="19.5" customHeight="1">
      <c r="B13" s="123"/>
      <c r="C13" s="279" t="s">
        <v>50</v>
      </c>
      <c r="D13" s="115"/>
      <c r="E13" s="123"/>
      <c r="F13" s="123"/>
      <c r="G13" s="834"/>
      <c r="H13" s="834"/>
      <c r="I13" s="834"/>
      <c r="J13" s="834"/>
      <c r="K13" s="834"/>
      <c r="L13" s="8"/>
      <c r="M13" s="835"/>
      <c r="N13" s="835"/>
      <c r="O13" s="835"/>
      <c r="P13" s="835"/>
      <c r="Q13" s="835"/>
      <c r="R13" s="835"/>
      <c r="S13" s="835"/>
      <c r="T13" s="835"/>
      <c r="U13" s="8"/>
      <c r="V13" s="8"/>
      <c r="W13" s="8"/>
      <c r="X13" s="8"/>
      <c r="Y13" s="833"/>
      <c r="Z13" s="833"/>
      <c r="AA13" s="833"/>
      <c r="AB13" s="833"/>
      <c r="AC13" s="833"/>
      <c r="AD13" s="833"/>
      <c r="AE13" s="833"/>
      <c r="AF13" s="833"/>
      <c r="AG13" s="833"/>
      <c r="AH13" s="833"/>
      <c r="AI13" s="833"/>
      <c r="AJ13" s="833"/>
      <c r="AK13" s="833"/>
      <c r="AL13" s="833"/>
      <c r="AM13" s="833"/>
      <c r="AN13" s="833"/>
      <c r="AO13" s="123"/>
      <c r="AP13" s="110"/>
      <c r="AQ13" s="110"/>
      <c r="AR13" s="110"/>
      <c r="AS13" s="110"/>
      <c r="AT13" s="110"/>
      <c r="AU13" s="110"/>
      <c r="AV13" s="110"/>
    </row>
    <row r="14" spans="1:79" s="65" customFormat="1" ht="18.75" customHeight="1">
      <c r="B14" s="123"/>
      <c r="C14" s="279" t="s">
        <v>51</v>
      </c>
      <c r="D14" s="115"/>
      <c r="E14" s="123"/>
      <c r="F14" s="123"/>
      <c r="G14" s="834"/>
      <c r="H14" s="834"/>
      <c r="I14" s="834"/>
      <c r="J14" s="834"/>
      <c r="K14" s="834"/>
      <c r="L14" s="124"/>
      <c r="M14" s="835"/>
      <c r="N14" s="835"/>
      <c r="O14" s="835"/>
      <c r="P14" s="835"/>
      <c r="Q14" s="835"/>
      <c r="R14" s="835"/>
      <c r="S14" s="835"/>
      <c r="T14" s="835"/>
      <c r="U14" s="8"/>
      <c r="V14" s="8"/>
      <c r="W14" s="8"/>
      <c r="X14" s="8"/>
      <c r="Y14" s="833"/>
      <c r="Z14" s="833"/>
      <c r="AA14" s="833"/>
      <c r="AB14" s="833"/>
      <c r="AC14" s="833"/>
      <c r="AD14" s="833"/>
      <c r="AE14" s="833"/>
      <c r="AF14" s="833"/>
      <c r="AG14" s="833"/>
      <c r="AH14" s="833"/>
      <c r="AI14" s="833"/>
      <c r="AJ14" s="833"/>
      <c r="AK14" s="833"/>
      <c r="AL14" s="833"/>
      <c r="AM14" s="833"/>
      <c r="AN14" s="833"/>
      <c r="AO14" s="123"/>
      <c r="AP14" s="110"/>
      <c r="AQ14" s="110"/>
      <c r="AR14" s="110"/>
      <c r="AS14" s="110"/>
      <c r="AT14" s="110"/>
      <c r="AU14" s="110"/>
      <c r="AV14" s="110"/>
    </row>
    <row r="15" spans="1:79" s="65" customFormat="1" ht="18" customHeight="1">
      <c r="B15" s="123"/>
      <c r="C15" s="279" t="s">
        <v>52</v>
      </c>
      <c r="D15" s="115"/>
      <c r="E15" s="123"/>
      <c r="F15" s="123"/>
      <c r="G15" s="834"/>
      <c r="H15" s="834"/>
      <c r="I15" s="834"/>
      <c r="J15" s="834"/>
      <c r="K15" s="834"/>
      <c r="L15" s="124"/>
      <c r="M15" s="835"/>
      <c r="N15" s="835"/>
      <c r="O15" s="835"/>
      <c r="P15" s="835"/>
      <c r="Q15" s="835"/>
      <c r="R15" s="835"/>
      <c r="S15" s="835"/>
      <c r="T15" s="835"/>
      <c r="U15" s="8"/>
      <c r="V15" s="8"/>
      <c r="W15" s="8"/>
      <c r="X15" s="8"/>
      <c r="Y15" s="833"/>
      <c r="Z15" s="833"/>
      <c r="AA15" s="833"/>
      <c r="AB15" s="833"/>
      <c r="AC15" s="833"/>
      <c r="AD15" s="833"/>
      <c r="AE15" s="833"/>
      <c r="AF15" s="833"/>
      <c r="AG15" s="833"/>
      <c r="AH15" s="833"/>
      <c r="AI15" s="833"/>
      <c r="AJ15" s="833"/>
      <c r="AK15" s="833"/>
      <c r="AL15" s="833"/>
      <c r="AM15" s="833"/>
      <c r="AN15" s="833"/>
      <c r="AO15" s="123"/>
    </row>
    <row r="16" spans="1:79" s="65" customFormat="1" ht="18.75" customHeight="1">
      <c r="B16" s="123"/>
      <c r="C16" s="279" t="s">
        <v>53</v>
      </c>
      <c r="D16" s="115"/>
      <c r="E16" s="123"/>
      <c r="F16" s="123"/>
      <c r="G16" s="127"/>
      <c r="H16" s="127"/>
      <c r="I16" s="127"/>
      <c r="J16" s="127"/>
      <c r="K16" s="127"/>
      <c r="L16" s="127"/>
      <c r="M16" s="125"/>
      <c r="N16" s="125"/>
      <c r="O16" s="8"/>
      <c r="P16" s="8"/>
      <c r="Q16" s="8"/>
      <c r="R16" s="8"/>
      <c r="S16" s="8"/>
      <c r="T16" s="8"/>
      <c r="U16" s="8"/>
      <c r="V16" s="8"/>
      <c r="W16" s="8"/>
      <c r="X16" s="8"/>
      <c r="Y16" s="833"/>
      <c r="Z16" s="833"/>
      <c r="AA16" s="833"/>
      <c r="AB16" s="833"/>
      <c r="AC16" s="833"/>
      <c r="AD16" s="833"/>
      <c r="AE16" s="833"/>
      <c r="AF16" s="833"/>
      <c r="AG16" s="833"/>
      <c r="AH16" s="833"/>
      <c r="AI16" s="833"/>
      <c r="AJ16" s="833"/>
      <c r="AK16" s="833"/>
      <c r="AL16" s="833"/>
      <c r="AM16" s="833"/>
      <c r="AN16" s="833"/>
      <c r="AO16" s="123"/>
    </row>
    <row r="17" spans="2:41" s="65" customFormat="1" ht="19.5" customHeight="1">
      <c r="B17" s="123"/>
      <c r="C17" s="279" t="s">
        <v>54</v>
      </c>
      <c r="D17" s="115"/>
      <c r="E17" s="123"/>
      <c r="F17" s="123"/>
      <c r="G17" s="123"/>
      <c r="H17" s="123"/>
      <c r="I17" s="123"/>
      <c r="J17" s="123"/>
      <c r="K17" s="123"/>
      <c r="L17" s="123"/>
      <c r="M17" s="125"/>
      <c r="N17" s="125"/>
      <c r="O17" s="125"/>
      <c r="P17" s="125"/>
      <c r="Q17" s="125"/>
      <c r="R17" s="125"/>
      <c r="S17" s="125"/>
      <c r="T17" s="125"/>
      <c r="U17" s="8"/>
      <c r="V17" s="8"/>
      <c r="W17" s="8"/>
      <c r="X17" s="8"/>
      <c r="Y17" s="833"/>
      <c r="Z17" s="833"/>
      <c r="AA17" s="833"/>
      <c r="AB17" s="833"/>
      <c r="AC17" s="833"/>
      <c r="AD17" s="833"/>
      <c r="AE17" s="833"/>
      <c r="AF17" s="833"/>
      <c r="AG17" s="833"/>
      <c r="AH17" s="833"/>
      <c r="AI17" s="833"/>
      <c r="AJ17" s="833"/>
      <c r="AK17" s="833"/>
      <c r="AL17" s="833"/>
      <c r="AM17" s="833"/>
      <c r="AN17" s="833"/>
      <c r="AO17" s="123"/>
    </row>
    <row r="18" spans="2:41" s="111" customFormat="1" ht="19.5" customHeight="1">
      <c r="B18" s="114"/>
      <c r="C18" s="279" t="s">
        <v>55</v>
      </c>
      <c r="D18" s="115"/>
      <c r="E18" s="113"/>
      <c r="F18" s="113"/>
      <c r="G18" s="9"/>
      <c r="H18" s="9"/>
      <c r="I18" s="9"/>
      <c r="J18" s="9"/>
      <c r="K18" s="9"/>
      <c r="L18" s="9"/>
      <c r="M18" s="9"/>
      <c r="N18" s="9"/>
      <c r="O18" s="9"/>
      <c r="P18" s="9"/>
      <c r="Q18" s="9"/>
      <c r="R18" s="9"/>
      <c r="S18" s="9"/>
      <c r="T18" s="9"/>
      <c r="U18" s="9"/>
      <c r="V18" s="9"/>
      <c r="W18" s="9"/>
      <c r="X18" s="9"/>
      <c r="Y18" s="9"/>
      <c r="Z18" s="9"/>
      <c r="AA18" s="9"/>
      <c r="AB18" s="9"/>
      <c r="AC18" s="9"/>
      <c r="AD18" s="74"/>
      <c r="AE18" s="74"/>
      <c r="AF18" s="112"/>
      <c r="AG18" s="112"/>
      <c r="AH18" s="112"/>
      <c r="AI18" s="112"/>
      <c r="AJ18" s="112"/>
      <c r="AK18" s="74"/>
      <c r="AL18" s="74"/>
      <c r="AM18" s="74"/>
      <c r="AN18" s="74"/>
      <c r="AO18" s="74"/>
    </row>
    <row r="19" spans="2:41" s="111" customFormat="1" ht="18.75" customHeight="1">
      <c r="B19" s="114"/>
      <c r="C19" s="279" t="s">
        <v>56</v>
      </c>
      <c r="D19" s="115"/>
      <c r="E19" s="113"/>
      <c r="F19" s="113"/>
      <c r="G19" s="74"/>
      <c r="H19" s="74"/>
      <c r="I19" s="74"/>
      <c r="J19" s="74"/>
      <c r="K19" s="74"/>
      <c r="L19" s="74"/>
      <c r="M19" s="74"/>
      <c r="N19" s="74"/>
      <c r="O19" s="74"/>
      <c r="P19" s="74"/>
      <c r="Q19" s="74"/>
      <c r="R19" s="74"/>
      <c r="S19" s="74"/>
      <c r="T19" s="74"/>
      <c r="U19" s="74"/>
      <c r="V19" s="74"/>
      <c r="W19" s="74"/>
      <c r="X19" s="74"/>
      <c r="Y19" s="74"/>
      <c r="Z19" s="9"/>
      <c r="AA19" s="9"/>
      <c r="AB19" s="9"/>
      <c r="AC19" s="9"/>
      <c r="AD19" s="74"/>
      <c r="AE19" s="74"/>
      <c r="AF19" s="112"/>
      <c r="AG19" s="112"/>
      <c r="AH19" s="112"/>
      <c r="AI19" s="112"/>
      <c r="AJ19" s="112"/>
      <c r="AK19" s="74"/>
      <c r="AL19" s="74"/>
      <c r="AM19" s="74"/>
      <c r="AN19" s="74"/>
      <c r="AO19" s="74"/>
    </row>
    <row r="20" spans="2:41" ht="18.75">
      <c r="B20" s="9"/>
      <c r="C20" s="279" t="s">
        <v>57</v>
      </c>
      <c r="D20" s="115"/>
      <c r="E20" s="9"/>
      <c r="F20" s="9"/>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112"/>
      <c r="AG20" s="112"/>
      <c r="AH20" s="112"/>
      <c r="AI20" s="112"/>
      <c r="AJ20" s="112"/>
      <c r="AK20" s="74"/>
      <c r="AL20" s="74"/>
      <c r="AM20" s="74"/>
      <c r="AN20" s="74"/>
      <c r="AO20" s="74"/>
    </row>
    <row r="21" spans="2:41" ht="18.75">
      <c r="B21" s="9"/>
      <c r="C21" s="279" t="s">
        <v>58</v>
      </c>
      <c r="D21" s="115"/>
      <c r="E21" s="340"/>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row>
    <row r="22" spans="2:41" ht="18.75">
      <c r="B22" s="8"/>
      <c r="C22" s="279" t="s">
        <v>59</v>
      </c>
      <c r="D22" s="115"/>
      <c r="E22" s="8"/>
      <c r="F22" s="8"/>
      <c r="G22" s="286"/>
      <c r="H22" s="310">
        <v>2018</v>
      </c>
      <c r="I22" s="310">
        <v>2019</v>
      </c>
      <c r="J22" s="310">
        <v>2020</v>
      </c>
      <c r="K22" s="310">
        <v>2021</v>
      </c>
      <c r="L22" s="310">
        <v>2022</v>
      </c>
      <c r="M22" s="310">
        <v>2023</v>
      </c>
      <c r="N22" s="310">
        <v>2024</v>
      </c>
      <c r="O22" s="310">
        <v>2025</v>
      </c>
      <c r="P22" s="310">
        <v>2026</v>
      </c>
      <c r="Q22" s="310">
        <v>2027</v>
      </c>
      <c r="R22" s="310">
        <v>2028</v>
      </c>
      <c r="S22" s="310">
        <v>2029</v>
      </c>
      <c r="T22" s="310">
        <v>2030</v>
      </c>
      <c r="U22" s="310">
        <v>2031</v>
      </c>
      <c r="V22" s="310">
        <v>2032</v>
      </c>
      <c r="W22" s="310">
        <v>2033</v>
      </c>
      <c r="X22" s="310">
        <v>2034</v>
      </c>
      <c r="Y22" s="310">
        <v>2035</v>
      </c>
      <c r="Z22" s="310">
        <v>2036</v>
      </c>
      <c r="AA22" s="310">
        <v>2037</v>
      </c>
      <c r="AB22" s="310">
        <v>2038</v>
      </c>
      <c r="AC22" s="310">
        <v>2039</v>
      </c>
      <c r="AD22" s="310">
        <v>2040</v>
      </c>
      <c r="AE22" s="310">
        <v>2041</v>
      </c>
      <c r="AF22" s="310">
        <v>2042</v>
      </c>
      <c r="AG22" s="310">
        <v>2043</v>
      </c>
      <c r="AH22" s="310">
        <v>2044</v>
      </c>
      <c r="AI22" s="310">
        <v>2045</v>
      </c>
      <c r="AJ22" s="310">
        <v>2046</v>
      </c>
      <c r="AK22" s="310">
        <v>2047</v>
      </c>
      <c r="AL22" s="310">
        <v>2048</v>
      </c>
      <c r="AM22" s="310">
        <v>2049</v>
      </c>
      <c r="AN22" s="310">
        <v>2050</v>
      </c>
      <c r="AO22" s="123"/>
    </row>
    <row r="23" spans="2:41" ht="18.75">
      <c r="B23" s="8"/>
      <c r="C23" s="279" t="s">
        <v>60</v>
      </c>
      <c r="D23" s="115"/>
      <c r="E23" s="8"/>
      <c r="F23" s="303"/>
      <c r="G23" s="306" t="s">
        <v>389</v>
      </c>
      <c r="H23" s="320">
        <f ca="1">SUM(H24:H28)</f>
        <v>21712.719999999998</v>
      </c>
      <c r="I23" s="318">
        <f t="shared" ref="I23:AN23" ca="1" si="0">SUM(I24:I28)</f>
        <v>21712.719999999998</v>
      </c>
      <c r="J23" s="318">
        <f t="shared" ca="1" si="0"/>
        <v>21712.719999999998</v>
      </c>
      <c r="K23" s="318">
        <f t="shared" ca="1" si="0"/>
        <v>21712.719999999998</v>
      </c>
      <c r="L23" s="318">
        <f t="shared" ca="1" si="0"/>
        <v>21712.719999999998</v>
      </c>
      <c r="M23" s="318">
        <f t="shared" ca="1" si="0"/>
        <v>21712.719999999998</v>
      </c>
      <c r="N23" s="318">
        <f t="shared" ca="1" si="0"/>
        <v>21712.719999999998</v>
      </c>
      <c r="O23" s="318">
        <f t="shared" ca="1" si="0"/>
        <v>21712.719999999998</v>
      </c>
      <c r="P23" s="318">
        <f t="shared" ca="1" si="0"/>
        <v>21712.719999999998</v>
      </c>
      <c r="Q23" s="318">
        <f t="shared" ca="1" si="0"/>
        <v>21713.16</v>
      </c>
      <c r="R23" s="318">
        <f t="shared" ca="1" si="0"/>
        <v>21713.16</v>
      </c>
      <c r="S23" s="318">
        <f t="shared" ca="1" si="0"/>
        <v>21713.16</v>
      </c>
      <c r="T23" s="318">
        <f t="shared" ca="1" si="0"/>
        <v>21713.16</v>
      </c>
      <c r="U23" s="318">
        <f t="shared" ca="1" si="0"/>
        <v>21713.16</v>
      </c>
      <c r="V23" s="318">
        <f t="shared" ca="1" si="0"/>
        <v>21713.119999999999</v>
      </c>
      <c r="W23" s="318">
        <f t="shared" ca="1" si="0"/>
        <v>21713.119999999999</v>
      </c>
      <c r="X23" s="318">
        <f t="shared" ca="1" si="0"/>
        <v>21713.119999999999</v>
      </c>
      <c r="Y23" s="318">
        <f t="shared" ca="1" si="0"/>
        <v>21713.119999999999</v>
      </c>
      <c r="Z23" s="318">
        <f t="shared" ca="1" si="0"/>
        <v>21713.119999999999</v>
      </c>
      <c r="AA23" s="318">
        <f t="shared" ca="1" si="0"/>
        <v>21713.119999999999</v>
      </c>
      <c r="AB23" s="318">
        <f t="shared" ca="1" si="0"/>
        <v>21713.119999999999</v>
      </c>
      <c r="AC23" s="318">
        <f t="shared" ca="1" si="0"/>
        <v>21713.119999999999</v>
      </c>
      <c r="AD23" s="318">
        <f t="shared" ca="1" si="0"/>
        <v>21713.559999999998</v>
      </c>
      <c r="AE23" s="318">
        <f t="shared" ca="1" si="0"/>
        <v>21713.559999999998</v>
      </c>
      <c r="AF23" s="318">
        <f t="shared" ca="1" si="0"/>
        <v>21713.559999999998</v>
      </c>
      <c r="AG23" s="318">
        <f t="shared" ca="1" si="0"/>
        <v>21713.559999999998</v>
      </c>
      <c r="AH23" s="318">
        <f t="shared" ca="1" si="0"/>
        <v>21713.559999999998</v>
      </c>
      <c r="AI23" s="318">
        <f t="shared" ca="1" si="0"/>
        <v>21713.559999999998</v>
      </c>
      <c r="AJ23" s="318">
        <f t="shared" ca="1" si="0"/>
        <v>21713.559999999998</v>
      </c>
      <c r="AK23" s="318">
        <f t="shared" ca="1" si="0"/>
        <v>21713.559999999998</v>
      </c>
      <c r="AL23" s="318">
        <f t="shared" ca="1" si="0"/>
        <v>21713.559999999998</v>
      </c>
      <c r="AM23" s="318">
        <f t="shared" ca="1" si="0"/>
        <v>21713.559999999998</v>
      </c>
      <c r="AN23" s="318">
        <f t="shared" ca="1" si="0"/>
        <v>21713.559999999998</v>
      </c>
      <c r="AO23" s="123"/>
    </row>
    <row r="24" spans="2:41" ht="18.75">
      <c r="B24" s="8"/>
      <c r="C24" s="279" t="s">
        <v>61</v>
      </c>
      <c r="D24" s="115"/>
      <c r="E24" s="8"/>
      <c r="F24" s="8"/>
      <c r="G24" s="297" t="s">
        <v>38</v>
      </c>
      <c r="H24" s="321">
        <f ca="1">IF(
    IFERROR(INDIRECT("'"&amp;$D$5&amp;"'!C9")&lt;1965, 0),
    INDIRECT("'"&amp;$D$5&amp;"'!GO_2018"),
    0
)
+IF(
    IFERROR(INDIRECT("'"&amp;$D$6&amp;"'!C9")&lt;1965, 0),
    INDIRECT("'"&amp;$D$6&amp;"'!GO_2018"),
    0
)
+IF(
    IFERROR(INDIRECT("'"&amp;$D$7&amp;"'!C9")&lt;1965, 0),
    INDIRECT("'"&amp;$D$7&amp;"'!GO_2018"),
    0
)
+IF(
    IFERROR(INDIRECT("'"&amp;$D$8&amp;"'!C9")&lt;1965, 0),
    INDIRECT("'"&amp;$D$8&amp;"'!GO_2018"),
    0
)
+IF(
    IFERROR(INDIRECT("'"&amp;$D$9&amp;"'!C9")&lt;1965, 0),
    INDIRECT("'"&amp;$D$9&amp;"'!GO_2018"),
    0
)
+IF(
    IFERROR(INDIRECT("'"&amp;$D$10&amp;"'!C9")&lt;1965, 0),
    INDIRECT("'"&amp;$D$10&amp;"'!GO_2018"),
    0
)
+IF(
    IFERROR(INDIRECT("'"&amp;$D$11&amp;"'!C9")&lt;1965, 0),
    INDIRECT("'"&amp;$D$11&amp;"'!GO_2018"),
    0
)
+IF(
    IFERROR(INDIRECT("'"&amp;$D$12&amp;"'!C9")&lt;1965, 0),
    INDIRECT("'"&amp;$D$12&amp;"'!GO_2018"),
    0
)
+IF(
    IFERROR(INDIRECT("'"&amp;$D$13&amp;"'!C9")&lt;1965, 0),
    INDIRECT("'"&amp;$D$13&amp;"'!GO_2018"),
    0
)
+IF(
    IFERROR(INDIRECT("'"&amp;$D$14&amp;"'!C9")&lt;1965, 0),
    INDIRECT("'"&amp;$D$14&amp;"'!GO_2018"),
    0
)
+IF(
    IFERROR(INDIRECT("'"&amp;$D$15&amp;"'!C9")&lt;1965, 0),
    INDIRECT("'"&amp;$D$15&amp;"'!GO_2018"),
    0
)
+IF(
    IFERROR(INDIRECT("'"&amp;$D$16&amp;"'!C9")&lt;1965, 0),
    INDIRECT("'"&amp;$D$16&amp;"'!GO_2018"),
    0
)
+IF(
    IFERROR(INDIRECT("'"&amp;$D$17&amp;"'!C9")&lt;1965, 0),
    INDIRECT("'"&amp;$D$17&amp;"'!GO_2018"),
    0
)
+IF(
    IFERROR(INDIRECT("'"&amp;$D$18&amp;"'!C9")&lt;1965, 0),
    INDIRECT("'"&amp;$D$18&amp;"'!GO_2018"),
    0
)
+IF(
    IFERROR(INDIRECT("'"&amp;$D$19&amp;"'!C9")&lt;1965, 0),
    INDIRECT("'"&amp;$D$19&amp;"'!GO_2018"),
    0
)
+IF(
    IFERROR(INDIRECT("'"&amp;$D$20&amp;"'!C9")&lt;1965, 0),
    INDIRECT("'"&amp;$D$20&amp;"'!GO_2018"),
    0
)
+IF(
    IFERROR(INDIRECT("'"&amp;$D$21&amp;"'!C9")&lt;1965, 0),
    INDIRECT("'"&amp;$D$21&amp;"'!GO_2018"),
    0
)
+IF(
    IFERROR(INDIRECT("'"&amp;$D$22&amp;"'!C9")&lt;1965, 0),
    INDIRECT("'"&amp;$D$22&amp;"'!GO_2018"),
    0
)
+IF(
    IFERROR(INDIRECT("'"&amp;$D$23&amp;"'!C9")&lt;1965, 0),
    INDIRECT("'"&amp;$D$23&amp;"'!GO_2018"),
    0
)
+IF(
    IFERROR(INDIRECT("'"&amp;$D$24&amp;"'!C9")&lt;1965, 0),
    INDIRECT("'"&amp;$D$24&amp;"'!GO_2018"),
    0
)
+IF(
    IFERROR(INDIRECT("'"&amp;$D$25&amp;"'!C9")&lt;1965, 0),
    INDIRECT("'"&amp;$D$25&amp;"'!GO_2018"),
    0
)
+IF(
    IFERROR(INDIRECT("'"&amp;$D$26&amp;"'!C9")&lt;1965, 0),
    INDIRECT("'"&amp;$D$26&amp;"'!GO_2018"),
    0
)
+IF(
    IFERROR(INDIRECT("'"&amp;$D$27&amp;"'!C9")&lt;1965, 0),
    INDIRECT("'"&amp;$D$27&amp;"'!GO_2018"),
    0
)
+IF(
    IFERROR(INDIRECT("'"&amp;$D$28&amp;"'!C9")&lt;1965, 0),
    INDIRECT("'"&amp;$D$28&amp;"'!GO_2018"),
    0
)
+IF(
    IFERROR(INDIRECT("'"&amp;$D$29&amp;"'!C9")&lt;1965, 0),
    INDIRECT("'"&amp;$D$29&amp;"'!GO_2018"),
    0
)
+IF(
    IFERROR(INDIRECT("'"&amp;$D$30&amp;"'!C9")&lt;1965, 0),
    INDIRECT("'"&amp;$D$30&amp;"'!GO_2018"),
    0
)
+IF(
    IFERROR(INDIRECT("'"&amp;$D$31&amp;"'!C9")&lt;1965, 0),
    INDIRECT("'"&amp;$D$31&amp;"'!GO_2018"),
    0
)
+IF(
    IFERROR(INDIRECT("'"&amp;$D$32&amp;"'!C9")&lt;1965, 0),
    INDIRECT("'"&amp;$D$32&amp;"'!GO_2018"),
    0
)
+IF(
    IFERROR(INDIRECT("'"&amp;$D$33&amp;"'!C9")&lt;1965, 0),
    INDIRECT("'"&amp;$D$33&amp;"'!GO_2018"),
    0
)
+IF(
    IFERROR(INDIRECT("'"&amp;$D$34&amp;"'!C9")&lt;1965, 0),
    INDIRECT("'"&amp;$D$34&amp;"'!GO_2018"),
    0
)
+IF(
    IFERROR(INDIRECT("'"&amp;$D$35&amp;"'!C9")&lt;1965, 0),
    INDIRECT("'"&amp;$D$35&amp;"'!GO_2018"),
    0
)
+IF(
    IFERROR(INDIRECT("'"&amp;$D$36&amp;"'!C9")&lt;1965, 0),
    INDIRECT("'"&amp;$D$36&amp;"'!GO_2018"),
    0
)
+IF(
    IFERROR(INDIRECT("'"&amp;$D$37&amp;"'!C9")&lt;1965, 0),
    INDIRECT("'"&amp;$D$37&amp;"'!GO_2018"),
    0
)
+IF(
    IFERROR(INDIRECT("'"&amp;$D$38&amp;"'!C9")&lt;1965, 0),
    INDIRECT("'"&amp;$D$38&amp;"'!GO_2018"),
    0
)
+IF(
    IFERROR(INDIRECT("'"&amp;$D$39&amp;"'!C9")&lt;1965, 0),
    INDIRECT("'"&amp;$D$39&amp;"'!GO_2018"),
    0
)
+IF(
    IFERROR(INDIRECT("'"&amp;$D$40&amp;"'!C9")&lt;1965, 0),
    INDIRECT("'"&amp;$D$40&amp;"'!GO_2018"),
    0
)
+IF(
    IFERROR(INDIRECT("'"&amp;$D$41&amp;"'!C9")&lt;1965, 0),
    INDIRECT("'"&amp;$D$41&amp;"'!GO_2018"),
    0
)
+IF(
    IFERROR(INDIRECT("'"&amp;$D$42&amp;"'!C9")&lt;1965, 0),
    INDIRECT("'"&amp;$D$42&amp;"'!GO_2018"),
    0
)
+IF(
    IFERROR(INDIRECT("'"&amp;$D$43&amp;"'!C9")&lt;1965, 0),
    INDIRECT("'"&amp;$D$43&amp;"'!GO_2018"),
    0
)
+IF(
    IFERROR(INDIRECT("'"&amp;$D$44&amp;"'!C9")&lt;1965, 0),
    INDIRECT("'"&amp;$D$44&amp;"'!GO_2018"),
    0
)
+IF(
    IFERROR(INDIRECT("'"&amp;$D$45&amp;"'!C9")&lt;1965, 0),
    INDIRECT("'"&amp;$D$45&amp;"'!GO_2018"),
    0
)
+IF(
    IFERROR(INDIRECT("'"&amp;$D$46&amp;"'!C9")&lt;1965, 0),
    INDIRECT("'"&amp;$D$46&amp;"'!GO_2018"),
    0
)
+IF(
    IFERROR(INDIRECT("'"&amp;$D$47&amp;"'!C9")&lt;1965, 0),
    INDIRECT("'"&amp;$D$47&amp;"'!GO_2018"),
    0
)
+IF(
    IFERROR(INDIRECT("'"&amp;$D$48&amp;"'!C9")&lt;1965, 0),
    INDIRECT("'"&amp;$D$48&amp;"'!GO_2018"),
    0
)
+IF(
    IFERROR(INDIRECT("'"&amp;$D$49&amp;"'!C9")&lt;1965, 0),
    INDIRECT("'"&amp;$D$49&amp;"'!GO_2018"),
    0
)
+IF(
    IFERROR(INDIRECT("'"&amp;$D$50&amp;"'!C9")&lt;1965, 0),
    INDIRECT("'"&amp;$D$50&amp;"'!GO_2018"),
    0
)
+IF(
    IFERROR(INDIRECT("'"&amp;$D$51&amp;"'!C9")&lt;1965, 0),
    INDIRECT("'"&amp;$D$51&amp;"'!GO_2018"),
    0
)
+IF(
    IFERROR(INDIRECT("'"&amp;$D$52&amp;"'!C9")&lt;1965, 0),
    INDIRECT("'"&amp;$D$52&amp;"'!GO_2018"),
    0
)
+IF(
    IFERROR(INDIRECT("'"&amp;$D$53&amp;"'!C9")&lt;1965, 0),
    INDIRECT("'"&amp;$D$53&amp;"'!GO_2018"),
    0
)
+IF(
    IFERROR(INDIRECT("'"&amp;$D$54&amp;"'!C9")&lt;1965, 0),
    INDIRECT("'"&amp;$D$54&amp;"'!GO_2018"),
    0
)</f>
        <v>3152.16</v>
      </c>
      <c r="I24" s="321">
        <f ca="1">IF(
    IFERROR(INDIRECT("'"&amp;$D$5&amp;"'!C9")&lt;1965, 0),
    INDIRECT("'"&amp;$D$5&amp;"'!GO_2019"),
    0
)
+IF(
    IFERROR(INDIRECT("'"&amp;$D$6&amp;"'!C9")&lt;1965, 0),
    INDIRECT("'"&amp;$D$6&amp;"'!GO_2019"),
    0
)
+IF(
    IFERROR(INDIRECT("'"&amp;$D$7&amp;"'!C9")&lt;1965, 0),
    INDIRECT("'"&amp;$D$7&amp;"'!GO_2019"),
    0
)
+IF(
    IFERROR(INDIRECT("'"&amp;$D$8&amp;"'!C9")&lt;1965, 0),
    INDIRECT("'"&amp;$D$8&amp;"'!GO_2019"),
    0
)
+IF(
    IFERROR(INDIRECT("'"&amp;$D$9&amp;"'!C9")&lt;1965, 0),
    INDIRECT("'"&amp;$D$9&amp;"'!GO_2019"),
    0
)
+IF(
    IFERROR(INDIRECT("'"&amp;$D$10&amp;"'!C9")&lt;1965, 0),
    INDIRECT("'"&amp;$D$10&amp;"'!GO_2019"),
    0
)
+IF(
    IFERROR(INDIRECT("'"&amp;$D$11&amp;"'!C9")&lt;1965, 0),
    INDIRECT("'"&amp;$D$11&amp;"'!GO_2019"),
    0
)
+IF(
    IFERROR(INDIRECT("'"&amp;$D$12&amp;"'!C9")&lt;1965, 0),
    INDIRECT("'"&amp;$D$12&amp;"'!GO_2019"),
    0
)
+IF(
    IFERROR(INDIRECT("'"&amp;$D$13&amp;"'!C9")&lt;1965, 0),
    INDIRECT("'"&amp;$D$13&amp;"'!GO_2019"),
    0
)
+IF(
    IFERROR(INDIRECT("'"&amp;$D$14&amp;"'!C9")&lt;1965, 0),
    INDIRECT("'"&amp;$D$14&amp;"'!GO_2019"),
    0
)
+IF(
    IFERROR(INDIRECT("'"&amp;$D$15&amp;"'!C9")&lt;1965, 0),
    INDIRECT("'"&amp;$D$15&amp;"'!GO_2019"),
    0
)
+IF(
    IFERROR(INDIRECT("'"&amp;$D$16&amp;"'!C9")&lt;1965, 0),
    INDIRECT("'"&amp;$D$16&amp;"'!GO_2019"),
    0
)
+IF(
    IFERROR(INDIRECT("'"&amp;$D$17&amp;"'!C9")&lt;1965, 0),
    INDIRECT("'"&amp;$D$17&amp;"'!GO_2019"),
    0
)
+IF(
    IFERROR(INDIRECT("'"&amp;$D$18&amp;"'!C9")&lt;1965, 0),
    INDIRECT("'"&amp;$D$18&amp;"'!GO_2019"),
    0
)
+IF(
    IFERROR(INDIRECT("'"&amp;$D$19&amp;"'!C9")&lt;1965, 0),
    INDIRECT("'"&amp;$D$19&amp;"'!GO_2019"),
    0
)
+IF(
    IFERROR(INDIRECT("'"&amp;$D$20&amp;"'!C9")&lt;1965, 0),
    INDIRECT("'"&amp;$D$20&amp;"'!GO_2019"),
    0
)
+IF(
    IFERROR(INDIRECT("'"&amp;$D$21&amp;"'!C9")&lt;1965, 0),
    INDIRECT("'"&amp;$D$21&amp;"'!GO_2019"),
    0
)
+IF(
    IFERROR(INDIRECT("'"&amp;$D$22&amp;"'!C9")&lt;1965, 0),
    INDIRECT("'"&amp;$D$22&amp;"'!GO_2019"),
    0
)
+IF(
    IFERROR(INDIRECT("'"&amp;$D$23&amp;"'!C9")&lt;1965, 0),
    INDIRECT("'"&amp;$D$23&amp;"'!GO_2019"),
    0
)
+IF(
    IFERROR(INDIRECT("'"&amp;$D$24&amp;"'!C9")&lt;1965, 0),
    INDIRECT("'"&amp;$D$24&amp;"'!GO_2019"),
    0
)
+IF(
    IFERROR(INDIRECT("'"&amp;$D$25&amp;"'!C9")&lt;1965, 0),
    INDIRECT("'"&amp;$D$25&amp;"'!GO_2019"),
    0
)
+IF(
    IFERROR(INDIRECT("'"&amp;$D$26&amp;"'!C9")&lt;1965, 0),
    INDIRECT("'"&amp;$D$26&amp;"'!GO_2019"),
    0
)
+IF(
    IFERROR(INDIRECT("'"&amp;$D$27&amp;"'!C9")&lt;1965, 0),
    INDIRECT("'"&amp;$D$27&amp;"'!GO_2019"),
    0
)
+IF(
    IFERROR(INDIRECT("'"&amp;$D$28&amp;"'!C9")&lt;1965, 0),
    INDIRECT("'"&amp;$D$28&amp;"'!GO_2019"),
    0
)
+IF(
    IFERROR(INDIRECT("'"&amp;$D$29&amp;"'!C9")&lt;1965, 0),
    INDIRECT("'"&amp;$D$29&amp;"'!GO_2019"),
    0
)
+IF(
    IFERROR(INDIRECT("'"&amp;$D$30&amp;"'!C9")&lt;1965, 0),
    INDIRECT("'"&amp;$D$30&amp;"'!GO_2019"),
    0
)
+IF(
    IFERROR(INDIRECT("'"&amp;$D$31&amp;"'!C9")&lt;1965, 0),
    INDIRECT("'"&amp;$D$31&amp;"'!GO_2019"),
    0
)
+IF(
    IFERROR(INDIRECT("'"&amp;$D$32&amp;"'!C9")&lt;1965, 0),
    INDIRECT("'"&amp;$D$32&amp;"'!GO_2019"),
    0
)
+IF(
    IFERROR(INDIRECT("'"&amp;$D$33&amp;"'!C9")&lt;1965, 0),
    INDIRECT("'"&amp;$D$33&amp;"'!GO_2019"),
    0
)
+IF(
    IFERROR(INDIRECT("'"&amp;$D$34&amp;"'!C9")&lt;1965, 0),
    INDIRECT("'"&amp;$D$34&amp;"'!GO_2019"),
    0
)
+IF(
    IFERROR(INDIRECT("'"&amp;$D$35&amp;"'!C9")&lt;1965, 0),
    INDIRECT("'"&amp;$D$35&amp;"'!GO_2019"),
    0
)
+IF(
    IFERROR(INDIRECT("'"&amp;$D$36&amp;"'!C9")&lt;1965, 0),
    INDIRECT("'"&amp;$D$36&amp;"'!GO_2019"),
    0
)
+IF(
    IFERROR(INDIRECT("'"&amp;$D$37&amp;"'!C9")&lt;1965, 0),
    INDIRECT("'"&amp;$D$37&amp;"'!GO_2019"),
    0
)
+IF(
    IFERROR(INDIRECT("'"&amp;$D$38&amp;"'!C9")&lt;1965, 0),
    INDIRECT("'"&amp;$D$38&amp;"'!GO_2019"),
    0
)
+IF(
    IFERROR(INDIRECT("'"&amp;$D$39&amp;"'!C9")&lt;1965, 0),
    INDIRECT("'"&amp;$D$39&amp;"'!GO_2019"),
    0
)
+IF(
    IFERROR(INDIRECT("'"&amp;$D$40&amp;"'!C9")&lt;1965, 0),
    INDIRECT("'"&amp;$D$40&amp;"'!GO_2019"),
    0
)
+IF(
    IFERROR(INDIRECT("'"&amp;$D$41&amp;"'!C9")&lt;1965, 0),
    INDIRECT("'"&amp;$D$41&amp;"'!GO_2019"),
    0
)
+IF(
    IFERROR(INDIRECT("'"&amp;$D$42&amp;"'!C9")&lt;1965, 0),
    INDIRECT("'"&amp;$D$42&amp;"'!GO_2019"),
    0
)
+IF(
    IFERROR(INDIRECT("'"&amp;$D$43&amp;"'!C9")&lt;1965, 0),
    INDIRECT("'"&amp;$D$43&amp;"'!GO_2019"),
    0
)
+IF(
    IFERROR(INDIRECT("'"&amp;$D$44&amp;"'!C9")&lt;1965, 0),
    INDIRECT("'"&amp;$D$44&amp;"'!GO_2019"),
    0
)
+IF(
    IFERROR(INDIRECT("'"&amp;$D$45&amp;"'!C9")&lt;1965, 0),
    INDIRECT("'"&amp;$D$45&amp;"'!GO_2019"),
    0
)
+IF(
    IFERROR(INDIRECT("'"&amp;$D$46&amp;"'!C9")&lt;1965, 0),
    INDIRECT("'"&amp;$D$46&amp;"'!GO_2019"),
    0
)
+IF(
    IFERROR(INDIRECT("'"&amp;$D$47&amp;"'!C9")&lt;1965, 0),
    INDIRECT("'"&amp;$D$47&amp;"'!GO_2019"),
    0
)
+IF(
    IFERROR(INDIRECT("'"&amp;$D$48&amp;"'!C9")&lt;1965, 0),
    INDIRECT("'"&amp;$D$48&amp;"'!GO_2019"),
    0
)
+IF(
    IFERROR(INDIRECT("'"&amp;$D$49&amp;"'!C9")&lt;1965, 0),
    INDIRECT("'"&amp;$D$49&amp;"'!GO_2019"),
    0
)
+IF(
    IFERROR(INDIRECT("'"&amp;$D$50&amp;"'!C9")&lt;1965, 0),
    INDIRECT("'"&amp;$D$50&amp;"'!GO_2019"),
    0
)
+IF(
    IFERROR(INDIRECT("'"&amp;$D$51&amp;"'!C9")&lt;1965, 0),
    INDIRECT("'"&amp;$D$51&amp;"'!GO_2019"),
    0
)
+IF(
    IFERROR(INDIRECT("'"&amp;$D$52&amp;"'!C9")&lt;1965, 0),
    INDIRECT("'"&amp;$D$52&amp;"'!GO_2019"),
    0
)
+IF(
    IFERROR(INDIRECT("'"&amp;$D$53&amp;"'!C9")&lt;1965, 0),
    INDIRECT("'"&amp;$D$53&amp;"'!GO_2019"),
    0
)
+IF(
    IFERROR(INDIRECT("'"&amp;$D$54&amp;"'!C9")&lt;1965, 0),
    INDIRECT("'"&amp;$D$54&amp;"'!GO_2019"),
    0
)</f>
        <v>3152.16</v>
      </c>
      <c r="J24" s="321">
        <f ca="1">IF(
    IFERROR(INDIRECT("'"&amp;$D$5&amp;"'!C9")&lt;1965, 0),
    INDIRECT("'"&amp;$D$5&amp;"'!GO_2020"),
    0
)
+IF(
    IFERROR(INDIRECT("'"&amp;$D$6&amp;"'!C9")&lt;1965, 0),
    INDIRECT("'"&amp;$D$6&amp;"'!GO_2020"),
    0
)
+IF(
    IFERROR(INDIRECT("'"&amp;$D$7&amp;"'!C9")&lt;1965, 0),
    INDIRECT("'"&amp;$D$7&amp;"'!GO_2020"),
    0
)
+IF(
    IFERROR(INDIRECT("'"&amp;$D$8&amp;"'!C9")&lt;1965, 0),
    INDIRECT("'"&amp;$D$8&amp;"'!GO_2020"),
    0
)
+IF(
    IFERROR(INDIRECT("'"&amp;$D$9&amp;"'!C9")&lt;1965, 0),
    INDIRECT("'"&amp;$D$9&amp;"'!GO_2020"),
    0
)
+IF(
    IFERROR(INDIRECT("'"&amp;$D$10&amp;"'!C9")&lt;1965, 0),
    INDIRECT("'"&amp;$D$10&amp;"'!GO_2020"),
    0
)
+IF(
    IFERROR(INDIRECT("'"&amp;$D$11&amp;"'!C9")&lt;1965, 0),
    INDIRECT("'"&amp;$D$11&amp;"'!GO_2020"),
    0
)
+IF(
    IFERROR(INDIRECT("'"&amp;$D$12&amp;"'!C9")&lt;1965, 0),
    INDIRECT("'"&amp;$D$12&amp;"'!GO_2020"),
    0
)
+IF(
    IFERROR(INDIRECT("'"&amp;$D$13&amp;"'!C9")&lt;1965, 0),
    INDIRECT("'"&amp;$D$13&amp;"'!GO_2020"),
    0
)
+IF(
    IFERROR(INDIRECT("'"&amp;$D$14&amp;"'!C9")&lt;1965, 0),
    INDIRECT("'"&amp;$D$14&amp;"'!GO_2020"),
    0
)
+IF(
    IFERROR(INDIRECT("'"&amp;$D$15&amp;"'!C9")&lt;1965, 0),
    INDIRECT("'"&amp;$D$15&amp;"'!GO_2020"),
    0
)
+IF(
    IFERROR(INDIRECT("'"&amp;$D$16&amp;"'!C9")&lt;1965, 0),
    INDIRECT("'"&amp;$D$16&amp;"'!GO_2020"),
    0
)
+IF(
    IFERROR(INDIRECT("'"&amp;$D$17&amp;"'!C9")&lt;1965, 0),
    INDIRECT("'"&amp;$D$17&amp;"'!GO_2020"),
    0
)
+IF(
    IFERROR(INDIRECT("'"&amp;$D$18&amp;"'!C9")&lt;1965, 0),
    INDIRECT("'"&amp;$D$18&amp;"'!GO_2020"),
    0
)
+IF(
    IFERROR(INDIRECT("'"&amp;$D$19&amp;"'!C9")&lt;1965, 0),
    INDIRECT("'"&amp;$D$19&amp;"'!GO_2020"),
    0
)
+IF(
    IFERROR(INDIRECT("'"&amp;$D$20&amp;"'!C9")&lt;1965, 0),
    INDIRECT("'"&amp;$D$20&amp;"'!GO_2020"),
    0
)
+IF(
    IFERROR(INDIRECT("'"&amp;$D$21&amp;"'!C9")&lt;1965, 0),
    INDIRECT("'"&amp;$D$21&amp;"'!GO_2020"),
    0
)
+IF(
    IFERROR(INDIRECT("'"&amp;$D$22&amp;"'!C9")&lt;1965, 0),
    INDIRECT("'"&amp;$D$22&amp;"'!GO_2020"),
    0
)
+IF(
    IFERROR(INDIRECT("'"&amp;$D$23&amp;"'!C9")&lt;1965, 0),
    INDIRECT("'"&amp;$D$23&amp;"'!GO_2020"),
    0
)
+IF(
    IFERROR(INDIRECT("'"&amp;$D$24&amp;"'!C9")&lt;1965, 0),
    INDIRECT("'"&amp;$D$24&amp;"'!GO_2020"),
    0
)
+IF(
    IFERROR(INDIRECT("'"&amp;$D$25&amp;"'!C9")&lt;1965, 0),
    INDIRECT("'"&amp;$D$25&amp;"'!GO_2020"),
    0
)
+IF(
    IFERROR(INDIRECT("'"&amp;$D$26&amp;"'!C9")&lt;1965, 0),
    INDIRECT("'"&amp;$D$26&amp;"'!GO_2020"),
    0
)
+IF(
    IFERROR(INDIRECT("'"&amp;$D$27&amp;"'!C9")&lt;1965, 0),
    INDIRECT("'"&amp;$D$27&amp;"'!GO_2020"),
    0
)
+IF(
    IFERROR(INDIRECT("'"&amp;$D$28&amp;"'!C9")&lt;1965, 0),
    INDIRECT("'"&amp;$D$28&amp;"'!GO_2020"),
    0
)
+IF(
    IFERROR(INDIRECT("'"&amp;$D$29&amp;"'!C9")&lt;1965, 0),
    INDIRECT("'"&amp;$D$29&amp;"'!GO_2020"),
    0
)
+IF(
    IFERROR(INDIRECT("'"&amp;$D$30&amp;"'!C9")&lt;1965, 0),
    INDIRECT("'"&amp;$D$30&amp;"'!GO_2020"),
    0
)
+IF(
    IFERROR(INDIRECT("'"&amp;$D$31&amp;"'!C9")&lt;1965, 0),
    INDIRECT("'"&amp;$D$31&amp;"'!GO_2020"),
    0
)
+IF(
    IFERROR(INDIRECT("'"&amp;$D$32&amp;"'!C9")&lt;1965, 0),
    INDIRECT("'"&amp;$D$32&amp;"'!GO_2020"),
    0
)
+IF(
    IFERROR(INDIRECT("'"&amp;$D$33&amp;"'!C9")&lt;1965, 0),
    INDIRECT("'"&amp;$D$33&amp;"'!GO_2020"),
    0
)
+IF(
    IFERROR(INDIRECT("'"&amp;$D$34&amp;"'!C9")&lt;1965, 0),
    INDIRECT("'"&amp;$D$34&amp;"'!GO_2020"),
    0
)
+IF(
    IFERROR(INDIRECT("'"&amp;$D$35&amp;"'!C9")&lt;1965, 0),
    INDIRECT("'"&amp;$D$35&amp;"'!GO_2020"),
    0
)
+IF(
    IFERROR(INDIRECT("'"&amp;$D$36&amp;"'!C9")&lt;1965, 0),
    INDIRECT("'"&amp;$D$36&amp;"'!GO_2020"),
    0
)
+IF(
    IFERROR(INDIRECT("'"&amp;$D$37&amp;"'!C9")&lt;1965, 0),
    INDIRECT("'"&amp;$D$37&amp;"'!GO_2020"),
    0
)
+IF(
    IFERROR(INDIRECT("'"&amp;$D$38&amp;"'!C9")&lt;1965, 0),
    INDIRECT("'"&amp;$D$38&amp;"'!GO_2020"),
    0
)
+IF(
    IFERROR(INDIRECT("'"&amp;$D$39&amp;"'!C9")&lt;1965, 0),
    INDIRECT("'"&amp;$D$39&amp;"'!GO_2020"),
    0
)
+IF(
    IFERROR(INDIRECT("'"&amp;$D$40&amp;"'!C9")&lt;1965, 0),
    INDIRECT("'"&amp;$D$40&amp;"'!GO_2020"),
    0
)
+IF(
    IFERROR(INDIRECT("'"&amp;$D$41&amp;"'!C9")&lt;1965, 0),
    INDIRECT("'"&amp;$D$41&amp;"'!GO_2020"),
    0
)
+IF(
    IFERROR(INDIRECT("'"&amp;$D$42&amp;"'!C9")&lt;1965, 0),
    INDIRECT("'"&amp;$D$42&amp;"'!GO_2020"),
    0
)
+IF(
    IFERROR(INDIRECT("'"&amp;$D$43&amp;"'!C9")&lt;1965, 0),
    INDIRECT("'"&amp;$D$43&amp;"'!GO_2020"),
    0
)
+IF(
    IFERROR(INDIRECT("'"&amp;$D$44&amp;"'!C9")&lt;1965, 0),
    INDIRECT("'"&amp;$D$44&amp;"'!GO_2020"),
    0
)
+IF(
    IFERROR(INDIRECT("'"&amp;$D$45&amp;"'!C9")&lt;1965, 0),
    INDIRECT("'"&amp;$D$45&amp;"'!GO_2020"),
    0
)
+IF(
    IFERROR(INDIRECT("'"&amp;$D$46&amp;"'!C9")&lt;1965, 0),
    INDIRECT("'"&amp;$D$46&amp;"'!GO_2020"),
    0
)
+IF(
    IFERROR(INDIRECT("'"&amp;$D$47&amp;"'!C9")&lt;1965, 0),
    INDIRECT("'"&amp;$D$47&amp;"'!GO_2020"),
    0
)
+IF(
    IFERROR(INDIRECT("'"&amp;$D$48&amp;"'!C9")&lt;1965, 0),
    INDIRECT("'"&amp;$D$48&amp;"'!GO_2020"),
    0
)
+IF(
    IFERROR(INDIRECT("'"&amp;$D$49&amp;"'!C9")&lt;1965, 0),
    INDIRECT("'"&amp;$D$49&amp;"'!GO_2020"),
    0
)
+IF(
    IFERROR(INDIRECT("'"&amp;$D$50&amp;"'!C9")&lt;1965, 0),
    INDIRECT("'"&amp;$D$50&amp;"'!GO_2020"),
    0
)
+IF(
    IFERROR(INDIRECT("'"&amp;$D$51&amp;"'!C9")&lt;1965, 0),
    INDIRECT("'"&amp;$D$51&amp;"'!GO_2020"),
    0
)
+IF(
    IFERROR(INDIRECT("'"&amp;$D$52&amp;"'!C9")&lt;1965, 0),
    INDIRECT("'"&amp;$D$52&amp;"'!GO_2020"),
    0
)
+IF(
    IFERROR(INDIRECT("'"&amp;$D$53&amp;"'!C9")&lt;1965, 0),
    INDIRECT("'"&amp;$D$53&amp;"'!GO_2020"),
    0
)
+IF(
    IFERROR(INDIRECT("'"&amp;$D$54&amp;"'!C9")&lt;1965, 0),
    INDIRECT("'"&amp;$D$54&amp;"'!GO_2020"),
    0
)</f>
        <v>3152.16</v>
      </c>
      <c r="K24" s="321">
        <f ca="1">IF(
    IFERROR(INDIRECT("'"&amp;$D$5&amp;"'!C9")&lt;1965, 0),
    INDIRECT("'"&amp;$D$5&amp;"'!GO_2021"),
    0
)
+IF(
    IFERROR(INDIRECT("'"&amp;$D$6&amp;"'!C9")&lt;1965, 0),
    INDIRECT("'"&amp;$D$6&amp;"'!GO_2021"),
    0
)
+IF(
    IFERROR(INDIRECT("'"&amp;$D$7&amp;"'!C9")&lt;1965, 0),
    INDIRECT("'"&amp;$D$7&amp;"'!GO_2021"),
    0
)
+IF(
    IFERROR(INDIRECT("'"&amp;$D$8&amp;"'!C9")&lt;1965, 0),
    INDIRECT("'"&amp;$D$8&amp;"'!GO_2021"),
    0
)
+IF(
    IFERROR(INDIRECT("'"&amp;$D$9&amp;"'!C9")&lt;1965, 0),
    INDIRECT("'"&amp;$D$9&amp;"'!GO_2021"),
    0
)
+IF(
    IFERROR(INDIRECT("'"&amp;$D$10&amp;"'!C9")&lt;1965, 0),
    INDIRECT("'"&amp;$D$10&amp;"'!GO_2021"),
    0
)
+IF(
    IFERROR(INDIRECT("'"&amp;$D$11&amp;"'!C9")&lt;1965, 0),
    INDIRECT("'"&amp;$D$11&amp;"'!GO_2021"),
    0
)
+IF(
    IFERROR(INDIRECT("'"&amp;$D$12&amp;"'!C9")&lt;1965, 0),
    INDIRECT("'"&amp;$D$12&amp;"'!GO_2021"),
    0
)
+IF(
    IFERROR(INDIRECT("'"&amp;$D$13&amp;"'!C9")&lt;1965, 0),
    INDIRECT("'"&amp;$D$13&amp;"'!GO_2021"),
    0
)
+IF(
    IFERROR(INDIRECT("'"&amp;$D$14&amp;"'!C9")&lt;1965, 0),
    INDIRECT("'"&amp;$D$14&amp;"'!GO_2021"),
    0
)
+IF(
    IFERROR(INDIRECT("'"&amp;$D$15&amp;"'!C9")&lt;1965, 0),
    INDIRECT("'"&amp;$D$15&amp;"'!GO_2021"),
    0
)
+IF(
    IFERROR(INDIRECT("'"&amp;$D$16&amp;"'!C9")&lt;1965, 0),
    INDIRECT("'"&amp;$D$16&amp;"'!GO_2021"),
    0
)
+IF(
    IFERROR(INDIRECT("'"&amp;$D$17&amp;"'!C9")&lt;1965, 0),
    INDIRECT("'"&amp;$D$17&amp;"'!GO_2021"),
    0
)
+IF(
    IFERROR(INDIRECT("'"&amp;$D$18&amp;"'!C9")&lt;1965, 0),
    INDIRECT("'"&amp;$D$18&amp;"'!GO_2021"),
    0
)
+IF(
    IFERROR(INDIRECT("'"&amp;$D$19&amp;"'!C9")&lt;1965, 0),
    INDIRECT("'"&amp;$D$19&amp;"'!GO_2021"),
    0
)
+IF(
    IFERROR(INDIRECT("'"&amp;$D$20&amp;"'!C9")&lt;1965, 0),
    INDIRECT("'"&amp;$D$20&amp;"'!GO_2021"),
    0
)
+IF(
    IFERROR(INDIRECT("'"&amp;$D$21&amp;"'!C9")&lt;1965, 0),
    INDIRECT("'"&amp;$D$21&amp;"'!GO_2021"),
    0
)
+IF(
    IFERROR(INDIRECT("'"&amp;$D$22&amp;"'!C9")&lt;1965, 0),
    INDIRECT("'"&amp;$D$22&amp;"'!GO_2021"),
    0
)
+IF(
    IFERROR(INDIRECT("'"&amp;$D$23&amp;"'!C9")&lt;1965, 0),
    INDIRECT("'"&amp;$D$23&amp;"'!GO_2021"),
    0
)
+IF(
    IFERROR(INDIRECT("'"&amp;$D$24&amp;"'!C9")&lt;1965, 0),
    INDIRECT("'"&amp;$D$24&amp;"'!GO_2021"),
    0
)
+IF(
    IFERROR(INDIRECT("'"&amp;$D$25&amp;"'!C9")&lt;1965, 0),
    INDIRECT("'"&amp;$D$25&amp;"'!GO_2021"),
    0
)
+IF(
    IFERROR(INDIRECT("'"&amp;$D$26&amp;"'!C9")&lt;1965, 0),
    INDIRECT("'"&amp;$D$26&amp;"'!GO_2021"),
    0
)
+IF(
    IFERROR(INDIRECT("'"&amp;$D$27&amp;"'!C9")&lt;1965, 0),
    INDIRECT("'"&amp;$D$27&amp;"'!GO_2021"),
    0
)
+IF(
    IFERROR(INDIRECT("'"&amp;$D$28&amp;"'!C9")&lt;1965, 0),
    INDIRECT("'"&amp;$D$28&amp;"'!GO_2021"),
    0
)
+IF(
    IFERROR(INDIRECT("'"&amp;$D$29&amp;"'!C9")&lt;1965, 0),
    INDIRECT("'"&amp;$D$29&amp;"'!GO_2021"),
    0
)
+IF(
    IFERROR(INDIRECT("'"&amp;$D$30&amp;"'!C9")&lt;1965, 0),
    INDIRECT("'"&amp;$D$30&amp;"'!GO_2021"),
    0
)
+IF(
    IFERROR(INDIRECT("'"&amp;$D$31&amp;"'!C9")&lt;1965, 0),
    INDIRECT("'"&amp;$D$31&amp;"'!GO_2021"),
    0
)
+IF(
    IFERROR(INDIRECT("'"&amp;$D$32&amp;"'!C9")&lt;1965, 0),
    INDIRECT("'"&amp;$D$32&amp;"'!GO_2021"),
    0
)
+IF(
    IFERROR(INDIRECT("'"&amp;$D$33&amp;"'!C9")&lt;1965, 0),
    INDIRECT("'"&amp;$D$33&amp;"'!GO_2021"),
    0
)
+IF(
    IFERROR(INDIRECT("'"&amp;$D$34&amp;"'!C9")&lt;1965, 0),
    INDIRECT("'"&amp;$D$34&amp;"'!GO_2021"),
    0
)
+IF(
    IFERROR(INDIRECT("'"&amp;$D$35&amp;"'!C9")&lt;1965, 0),
    INDIRECT("'"&amp;$D$35&amp;"'!GO_2021"),
    0
)
+IF(
    IFERROR(INDIRECT("'"&amp;$D$36&amp;"'!C9")&lt;1965, 0),
    INDIRECT("'"&amp;$D$36&amp;"'!GO_2021"),
    0
)
+IF(
    IFERROR(INDIRECT("'"&amp;$D$37&amp;"'!C9")&lt;1965, 0),
    INDIRECT("'"&amp;$D$37&amp;"'!GO_2021"),
    0
)
+IF(
    IFERROR(INDIRECT("'"&amp;$D$38&amp;"'!C9")&lt;1965, 0),
    INDIRECT("'"&amp;$D$38&amp;"'!GO_2021"),
    0
)
+IF(
    IFERROR(INDIRECT("'"&amp;$D$39&amp;"'!C9")&lt;1965, 0),
    INDIRECT("'"&amp;$D$39&amp;"'!GO_2021"),
    0
)
+IF(
    IFERROR(INDIRECT("'"&amp;$D$40&amp;"'!C9")&lt;1965, 0),
    INDIRECT("'"&amp;$D$40&amp;"'!GO_2021"),
    0
)
+IF(
    IFERROR(INDIRECT("'"&amp;$D$41&amp;"'!C9")&lt;1965, 0),
    INDIRECT("'"&amp;$D$41&amp;"'!GO_2021"),
    0
)
+IF(
    IFERROR(INDIRECT("'"&amp;$D$42&amp;"'!C9")&lt;1965, 0),
    INDIRECT("'"&amp;$D$42&amp;"'!GO_2021"),
    0
)
+IF(
    IFERROR(INDIRECT("'"&amp;$D$43&amp;"'!C9")&lt;1965, 0),
    INDIRECT("'"&amp;$D$43&amp;"'!GO_2021"),
    0
)
+IF(
    IFERROR(INDIRECT("'"&amp;$D$44&amp;"'!C9")&lt;1965, 0),
    INDIRECT("'"&amp;$D$44&amp;"'!GO_2021"),
    0
)
+IF(
    IFERROR(INDIRECT("'"&amp;$D$45&amp;"'!C9")&lt;1965, 0),
    INDIRECT("'"&amp;$D$45&amp;"'!GO_2021"),
    0
)
+IF(
    IFERROR(INDIRECT("'"&amp;$D$46&amp;"'!C9")&lt;1965, 0),
    INDIRECT("'"&amp;$D$46&amp;"'!GO_2021"),
    0
)
+IF(
    IFERROR(INDIRECT("'"&amp;$D$47&amp;"'!C9")&lt;1965, 0),
    INDIRECT("'"&amp;$D$47&amp;"'!GO_2021"),
    0
)
+IF(
    IFERROR(INDIRECT("'"&amp;$D$48&amp;"'!C9")&lt;1965, 0),
    INDIRECT("'"&amp;$D$48&amp;"'!GO_2021"),
    0
)
+IF(
    IFERROR(INDIRECT("'"&amp;$D$49&amp;"'!C9")&lt;1965, 0),
    INDIRECT("'"&amp;$D$49&amp;"'!GO_2021"),
    0
)
+IF(
    IFERROR(INDIRECT("'"&amp;$D$50&amp;"'!C9")&lt;1965, 0),
    INDIRECT("'"&amp;$D$50&amp;"'!GO_2021"),
    0
)
+IF(
    IFERROR(INDIRECT("'"&amp;$D$51&amp;"'!C9")&lt;1965, 0),
    INDIRECT("'"&amp;$D$51&amp;"'!GO_2021"),
    0
)
+IF(
    IFERROR(INDIRECT("'"&amp;$D$52&amp;"'!C9")&lt;1965, 0),
    INDIRECT("'"&amp;$D$52&amp;"'!GO_2021"),
    0
)
+IF(
    IFERROR(INDIRECT("'"&amp;$D$53&amp;"'!C9")&lt;1965, 0),
    INDIRECT("'"&amp;$D$53&amp;"'!GO_2021"),
    0
)
+IF(
    IFERROR(INDIRECT("'"&amp;$D$54&amp;"'!C9")&lt;1965, 0),
    INDIRECT("'"&amp;$D$54&amp;"'!GO_2021"),
    0
)</f>
        <v>3152.16</v>
      </c>
      <c r="L24" s="321">
        <f ca="1">IF(
    IFERROR(INDIRECT("'"&amp;$D$5&amp;"'!C9")&lt;1965, 0),
    INDIRECT("'"&amp;$D$5&amp;"'!GO_2022"),
    0
)
+IF(
    IFERROR(INDIRECT("'"&amp;$D$6&amp;"'!C9")&lt;1965, 0),
    INDIRECT("'"&amp;$D$6&amp;"'!GO_2022"),
    0
)
+IF(
    IFERROR(INDIRECT("'"&amp;$D$7&amp;"'!C9")&lt;1965, 0),
    INDIRECT("'"&amp;$D$7&amp;"'!GO_2022"),
    0
)
+IF(
    IFERROR(INDIRECT("'"&amp;$D$8&amp;"'!C9")&lt;1965, 0),
    INDIRECT("'"&amp;$D$8&amp;"'!GO_2022"),
    0
)
+IF(
    IFERROR(INDIRECT("'"&amp;$D$9&amp;"'!C9")&lt;1965, 0),
    INDIRECT("'"&amp;$D$9&amp;"'!GO_2022"),
    0
)
+IF(
    IFERROR(INDIRECT("'"&amp;$D$10&amp;"'!C9")&lt;1965, 0),
    INDIRECT("'"&amp;$D$10&amp;"'!GO_2022"),
    0
)
+IF(
    IFERROR(INDIRECT("'"&amp;$D$11&amp;"'!C9")&lt;1965, 0),
    INDIRECT("'"&amp;$D$11&amp;"'!GO_2022"),
    0
)
+IF(
    IFERROR(INDIRECT("'"&amp;$D$12&amp;"'!C9")&lt;1965, 0),
    INDIRECT("'"&amp;$D$12&amp;"'!GO_2022"),
    0
)
+IF(
    IFERROR(INDIRECT("'"&amp;$D$13&amp;"'!C9")&lt;1965, 0),
    INDIRECT("'"&amp;$D$13&amp;"'!GO_2022"),
    0
)
+IF(
    IFERROR(INDIRECT("'"&amp;$D$14&amp;"'!C9")&lt;1965, 0),
    INDIRECT("'"&amp;$D$14&amp;"'!GO_2022"),
    0
)
+IF(
    IFERROR(INDIRECT("'"&amp;$D$15&amp;"'!C9")&lt;1965, 0),
    INDIRECT("'"&amp;$D$15&amp;"'!GO_2022"),
    0
)
+IF(
    IFERROR(INDIRECT("'"&amp;$D$16&amp;"'!C9")&lt;1965, 0),
    INDIRECT("'"&amp;$D$16&amp;"'!GO_2022"),
    0
)
+IF(
    IFERROR(INDIRECT("'"&amp;$D$17&amp;"'!C9")&lt;1965, 0),
    INDIRECT("'"&amp;$D$17&amp;"'!GO_2022"),
    0
)
+IF(
    IFERROR(INDIRECT("'"&amp;$D$18&amp;"'!C9")&lt;1965, 0),
    INDIRECT("'"&amp;$D$18&amp;"'!GO_2022"),
    0
)
+IF(
    IFERROR(INDIRECT("'"&amp;$D$19&amp;"'!C9")&lt;1965, 0),
    INDIRECT("'"&amp;$D$19&amp;"'!GO_2022"),
    0
)
+IF(
    IFERROR(INDIRECT("'"&amp;$D$20&amp;"'!C9")&lt;1965, 0),
    INDIRECT("'"&amp;$D$20&amp;"'!GO_2022"),
    0
)
+IF(
    IFERROR(INDIRECT("'"&amp;$D$21&amp;"'!C9")&lt;1965, 0),
    INDIRECT("'"&amp;$D$21&amp;"'!GO_2022"),
    0
)
+IF(
    IFERROR(INDIRECT("'"&amp;$D$22&amp;"'!C9")&lt;1965, 0),
    INDIRECT("'"&amp;$D$22&amp;"'!GO_2022"),
    0
)
+IF(
    IFERROR(INDIRECT("'"&amp;$D$23&amp;"'!C9")&lt;1965, 0),
    INDIRECT("'"&amp;$D$23&amp;"'!GO_2022"),
    0
)
+IF(
    IFERROR(INDIRECT("'"&amp;$D$24&amp;"'!C9")&lt;1965, 0),
    INDIRECT("'"&amp;$D$24&amp;"'!GO_2022"),
    0
)
+IF(
    IFERROR(INDIRECT("'"&amp;$D$25&amp;"'!C9")&lt;1965, 0),
    INDIRECT("'"&amp;$D$25&amp;"'!GO_2022"),
    0
)
+IF(
    IFERROR(INDIRECT("'"&amp;$D$26&amp;"'!C9")&lt;1965, 0),
    INDIRECT("'"&amp;$D$26&amp;"'!GO_2022"),
    0
)
+IF(
    IFERROR(INDIRECT("'"&amp;$D$27&amp;"'!C9")&lt;1965, 0),
    INDIRECT("'"&amp;$D$27&amp;"'!GO_2022"),
    0
)
+IF(
    IFERROR(INDIRECT("'"&amp;$D$28&amp;"'!C9")&lt;1965, 0),
    INDIRECT("'"&amp;$D$28&amp;"'!GO_2022"),
    0
)
+IF(
    IFERROR(INDIRECT("'"&amp;$D$29&amp;"'!C9")&lt;1965, 0),
    INDIRECT("'"&amp;$D$29&amp;"'!GO_2022"),
    0
)
+IF(
    IFERROR(INDIRECT("'"&amp;$D$30&amp;"'!C9")&lt;1965, 0),
    INDIRECT("'"&amp;$D$30&amp;"'!GO_2022"),
    0
)
+IF(
    IFERROR(INDIRECT("'"&amp;$D$31&amp;"'!C9")&lt;1965, 0),
    INDIRECT("'"&amp;$D$31&amp;"'!GO_2022"),
    0
)
+IF(
    IFERROR(INDIRECT("'"&amp;$D$32&amp;"'!C9")&lt;1965, 0),
    INDIRECT("'"&amp;$D$32&amp;"'!GO_2022"),
    0
)
+IF(
    IFERROR(INDIRECT("'"&amp;$D$33&amp;"'!C9")&lt;1965, 0),
    INDIRECT("'"&amp;$D$33&amp;"'!GO_2022"),
    0
)
+IF(
    IFERROR(INDIRECT("'"&amp;$D$34&amp;"'!C9")&lt;1965, 0),
    INDIRECT("'"&amp;$D$34&amp;"'!GO_2022"),
    0
)
+IF(
    IFERROR(INDIRECT("'"&amp;$D$35&amp;"'!C9")&lt;1965, 0),
    INDIRECT("'"&amp;$D$35&amp;"'!GO_2022"),
    0
)
+IF(
    IFERROR(INDIRECT("'"&amp;$D$36&amp;"'!C9")&lt;1965, 0),
    INDIRECT("'"&amp;$D$36&amp;"'!GO_2022"),
    0
)
+IF(
    IFERROR(INDIRECT("'"&amp;$D$37&amp;"'!C9")&lt;1965, 0),
    INDIRECT("'"&amp;$D$37&amp;"'!GO_2022"),
    0
)
+IF(
    IFERROR(INDIRECT("'"&amp;$D$38&amp;"'!C9")&lt;1965, 0),
    INDIRECT("'"&amp;$D$38&amp;"'!GO_2022"),
    0
)
+IF(
    IFERROR(INDIRECT("'"&amp;$D$39&amp;"'!C9")&lt;1965, 0),
    INDIRECT("'"&amp;$D$39&amp;"'!GO_2022"),
    0
)
+IF(
    IFERROR(INDIRECT("'"&amp;$D$40&amp;"'!C9")&lt;1965, 0),
    INDIRECT("'"&amp;$D$40&amp;"'!GO_2022"),
    0
)
+IF(
    IFERROR(INDIRECT("'"&amp;$D$41&amp;"'!C9")&lt;1965, 0),
    INDIRECT("'"&amp;$D$41&amp;"'!GO_2022"),
    0
)
+IF(
    IFERROR(INDIRECT("'"&amp;$D$42&amp;"'!C9")&lt;1965, 0),
    INDIRECT("'"&amp;$D$42&amp;"'!GO_2022"),
    0
)
+IF(
    IFERROR(INDIRECT("'"&amp;$D$43&amp;"'!C9")&lt;1965, 0),
    INDIRECT("'"&amp;$D$43&amp;"'!GO_2022"),
    0
)
+IF(
    IFERROR(INDIRECT("'"&amp;$D$44&amp;"'!C9")&lt;1965, 0),
    INDIRECT("'"&amp;$D$44&amp;"'!GO_2022"),
    0
)
+IF(
    IFERROR(INDIRECT("'"&amp;$D$45&amp;"'!C9")&lt;1965, 0),
    INDIRECT("'"&amp;$D$45&amp;"'!GO_2022"),
    0
)
+IF(
    IFERROR(INDIRECT("'"&amp;$D$46&amp;"'!C9")&lt;1965, 0),
    INDIRECT("'"&amp;$D$46&amp;"'!GO_2022"),
    0
)
+IF(
    IFERROR(INDIRECT("'"&amp;$D$47&amp;"'!C9")&lt;1965, 0),
    INDIRECT("'"&amp;$D$47&amp;"'!GO_2022"),
    0
)
+IF(
    IFERROR(INDIRECT("'"&amp;$D$48&amp;"'!C9")&lt;1965, 0),
    INDIRECT("'"&amp;$D$48&amp;"'!GO_2022"),
    0
)
+IF(
    IFERROR(INDIRECT("'"&amp;$D$49&amp;"'!C9")&lt;1965, 0),
    INDIRECT("'"&amp;$D$49&amp;"'!GO_2022"),
    0
)
+IF(
    IFERROR(INDIRECT("'"&amp;$D$50&amp;"'!C9")&lt;1965, 0),
    INDIRECT("'"&amp;$D$50&amp;"'!GO_2022"),
    0
)
+IF(
    IFERROR(INDIRECT("'"&amp;$D$51&amp;"'!C9")&lt;1965, 0),
    INDIRECT("'"&amp;$D$51&amp;"'!GO_2022"),
    0
)
+IF(
    IFERROR(INDIRECT("'"&amp;$D$52&amp;"'!C9")&lt;1965, 0),
    INDIRECT("'"&amp;$D$52&amp;"'!GO_2022"),
    0
)
+IF(
    IFERROR(INDIRECT("'"&amp;$D$53&amp;"'!C9")&lt;1965, 0),
    INDIRECT("'"&amp;$D$53&amp;"'!GO_2022"),
    0
)
+IF(
    IFERROR(INDIRECT("'"&amp;$D$54&amp;"'!C9")&lt;1965, 0),
    INDIRECT("'"&amp;$D$54&amp;"'!GO_2022"),
    0
)</f>
        <v>3152.16</v>
      </c>
      <c r="M24" s="321">
        <f ca="1">IF(
    IFERROR(INDIRECT("'"&amp;$D$5&amp;"'!C9")&lt;1965, 0),
    INDIRECT("'"&amp;$D$5&amp;"'!GO_2023"),
    0
)
+IF(
    IFERROR(INDIRECT("'"&amp;$D$6&amp;"'!C9")&lt;1965, 0),
    INDIRECT("'"&amp;$D$6&amp;"'!GO_2023"),
    0
)
+IF(
    IFERROR(INDIRECT("'"&amp;$D$7&amp;"'!C9")&lt;1965, 0),
    INDIRECT("'"&amp;$D$7&amp;"'!GO_2023"),
    0
)
+IF(
    IFERROR(INDIRECT("'"&amp;$D$8&amp;"'!C9")&lt;1965, 0),
    INDIRECT("'"&amp;$D$8&amp;"'!GO_2023"),
    0
)
+IF(
    IFERROR(INDIRECT("'"&amp;$D$9&amp;"'!C9")&lt;1965, 0),
    INDIRECT("'"&amp;$D$9&amp;"'!GO_2023"),
    0
)
+IF(
    IFERROR(INDIRECT("'"&amp;$D$10&amp;"'!C9")&lt;1965, 0),
    INDIRECT("'"&amp;$D$10&amp;"'!GO_2023"),
    0
)
+IF(
    IFERROR(INDIRECT("'"&amp;$D$11&amp;"'!C9")&lt;1965, 0),
    INDIRECT("'"&amp;$D$11&amp;"'!GO_2023"),
    0
)
+IF(
    IFERROR(INDIRECT("'"&amp;$D$12&amp;"'!C9")&lt;1965, 0),
    INDIRECT("'"&amp;$D$12&amp;"'!GO_2023"),
    0
)
+IF(
    IFERROR(INDIRECT("'"&amp;$D$13&amp;"'!C9")&lt;1965, 0),
    INDIRECT("'"&amp;$D$13&amp;"'!GO_2023"),
    0
)
+IF(
    IFERROR(INDIRECT("'"&amp;$D$14&amp;"'!C9")&lt;1965, 0),
    INDIRECT("'"&amp;$D$14&amp;"'!GO_2023"),
    0
)
+IF(
    IFERROR(INDIRECT("'"&amp;$D$15&amp;"'!C9")&lt;1965, 0),
    INDIRECT("'"&amp;$D$15&amp;"'!GO_2023"),
    0
)
+IF(
    IFERROR(INDIRECT("'"&amp;$D$16&amp;"'!C9")&lt;1965, 0),
    INDIRECT("'"&amp;$D$16&amp;"'!GO_2023"),
    0
)
+IF(
    IFERROR(INDIRECT("'"&amp;$D$17&amp;"'!C9")&lt;1965, 0),
    INDIRECT("'"&amp;$D$17&amp;"'!GO_2023"),
    0
)
+IF(
    IFERROR(INDIRECT("'"&amp;$D$18&amp;"'!C9")&lt;1965, 0),
    INDIRECT("'"&amp;$D$18&amp;"'!GO_2023"),
    0
)
+IF(
    IFERROR(INDIRECT("'"&amp;$D$19&amp;"'!C9")&lt;1965, 0),
    INDIRECT("'"&amp;$D$19&amp;"'!GO_2023"),
    0
)
+IF(
    IFERROR(INDIRECT("'"&amp;$D$20&amp;"'!C9")&lt;1965, 0),
    INDIRECT("'"&amp;$D$20&amp;"'!GO_2023"),
    0
)
+IF(
    IFERROR(INDIRECT("'"&amp;$D$21&amp;"'!C9")&lt;1965, 0),
    INDIRECT("'"&amp;$D$21&amp;"'!GO_2023"),
    0
)
+IF(
    IFERROR(INDIRECT("'"&amp;$D$22&amp;"'!C9")&lt;1965, 0),
    INDIRECT("'"&amp;$D$22&amp;"'!GO_2023"),
    0
)
+IF(
    IFERROR(INDIRECT("'"&amp;$D$23&amp;"'!C9")&lt;1965, 0),
    INDIRECT("'"&amp;$D$23&amp;"'!GO_2023"),
    0
)
+IF(
    IFERROR(INDIRECT("'"&amp;$D$24&amp;"'!C9")&lt;1965, 0),
    INDIRECT("'"&amp;$D$24&amp;"'!GO_2023"),
    0
)
+IF(
    IFERROR(INDIRECT("'"&amp;$D$25&amp;"'!C9")&lt;1965, 0),
    INDIRECT("'"&amp;$D$25&amp;"'!GO_2023"),
    0
)
+IF(
    IFERROR(INDIRECT("'"&amp;$D$26&amp;"'!C9")&lt;1965, 0),
    INDIRECT("'"&amp;$D$26&amp;"'!GO_2023"),
    0
)
+IF(
    IFERROR(INDIRECT("'"&amp;$D$27&amp;"'!C9")&lt;1965, 0),
    INDIRECT("'"&amp;$D$27&amp;"'!GO_2023"),
    0
)
+IF(
    IFERROR(INDIRECT("'"&amp;$D$28&amp;"'!C9")&lt;1965, 0),
    INDIRECT("'"&amp;$D$28&amp;"'!GO_2023"),
    0
)
+IF(
    IFERROR(INDIRECT("'"&amp;$D$29&amp;"'!C9")&lt;1965, 0),
    INDIRECT("'"&amp;$D$29&amp;"'!GO_2023"),
    0
)
+IF(
    IFERROR(INDIRECT("'"&amp;$D$30&amp;"'!C9")&lt;1965, 0),
    INDIRECT("'"&amp;$D$30&amp;"'!GO_2023"),
    0
)
+IF(
    IFERROR(INDIRECT("'"&amp;$D$31&amp;"'!C9")&lt;1965, 0),
    INDIRECT("'"&amp;$D$31&amp;"'!GO_2023"),
    0
)
+IF(
    IFERROR(INDIRECT("'"&amp;$D$32&amp;"'!C9")&lt;1965, 0),
    INDIRECT("'"&amp;$D$32&amp;"'!GO_2023"),
    0
)
+IF(
    IFERROR(INDIRECT("'"&amp;$D$33&amp;"'!C9")&lt;1965, 0),
    INDIRECT("'"&amp;$D$33&amp;"'!GO_2023"),
    0
)
+IF(
    IFERROR(INDIRECT("'"&amp;$D$34&amp;"'!C9")&lt;1965, 0),
    INDIRECT("'"&amp;$D$34&amp;"'!GO_2023"),
    0
)
+IF(
    IFERROR(INDIRECT("'"&amp;$D$35&amp;"'!C9")&lt;1965, 0),
    INDIRECT("'"&amp;$D$35&amp;"'!GO_2023"),
    0
)
+IF(
    IFERROR(INDIRECT("'"&amp;$D$36&amp;"'!C9")&lt;1965, 0),
    INDIRECT("'"&amp;$D$36&amp;"'!GO_2023"),
    0
)
+IF(
    IFERROR(INDIRECT("'"&amp;$D$37&amp;"'!C9")&lt;1965, 0),
    INDIRECT("'"&amp;$D$37&amp;"'!GO_2023"),
    0
)
+IF(
    IFERROR(INDIRECT("'"&amp;$D$38&amp;"'!C9")&lt;1965, 0),
    INDIRECT("'"&amp;$D$38&amp;"'!GO_2023"),
    0
)
+IF(
    IFERROR(INDIRECT("'"&amp;$D$39&amp;"'!C9")&lt;1965, 0),
    INDIRECT("'"&amp;$D$39&amp;"'!GO_2023"),
    0
)
+IF(
    IFERROR(INDIRECT("'"&amp;$D$40&amp;"'!C9")&lt;1965, 0),
    INDIRECT("'"&amp;$D$40&amp;"'!GO_2023"),
    0
)
+IF(
    IFERROR(INDIRECT("'"&amp;$D$41&amp;"'!C9")&lt;1965, 0),
    INDIRECT("'"&amp;$D$41&amp;"'!GO_2023"),
    0
)
+IF(
    IFERROR(INDIRECT("'"&amp;$D$42&amp;"'!C9")&lt;1965, 0),
    INDIRECT("'"&amp;$D$42&amp;"'!GO_2023"),
    0
)
+IF(
    IFERROR(INDIRECT("'"&amp;$D$43&amp;"'!C9")&lt;1965, 0),
    INDIRECT("'"&amp;$D$43&amp;"'!GO_2023"),
    0
)
+IF(
    IFERROR(INDIRECT("'"&amp;$D$44&amp;"'!C9")&lt;1965, 0),
    INDIRECT("'"&amp;$D$44&amp;"'!GO_2023"),
    0
)
+IF(
    IFERROR(INDIRECT("'"&amp;$D$45&amp;"'!C9")&lt;1965, 0),
    INDIRECT("'"&amp;$D$45&amp;"'!GO_2023"),
    0
)
+IF(
    IFERROR(INDIRECT("'"&amp;$D$46&amp;"'!C9")&lt;1965, 0),
    INDIRECT("'"&amp;$D$46&amp;"'!GO_2023"),
    0
)
+IF(
    IFERROR(INDIRECT("'"&amp;$D$47&amp;"'!C9")&lt;1965, 0),
    INDIRECT("'"&amp;$D$47&amp;"'!GO_2023"),
    0
)
+IF(
    IFERROR(INDIRECT("'"&amp;$D$48&amp;"'!C9")&lt;1965, 0),
    INDIRECT("'"&amp;$D$48&amp;"'!GO_2023"),
    0
)
+IF(
    IFERROR(INDIRECT("'"&amp;$D$49&amp;"'!C9")&lt;1965, 0),
    INDIRECT("'"&amp;$D$49&amp;"'!GO_2023"),
    0
)
+IF(
    IFERROR(INDIRECT("'"&amp;$D$50&amp;"'!C9")&lt;1965, 0),
    INDIRECT("'"&amp;$D$50&amp;"'!GO_2023"),
    0
)
+IF(
    IFERROR(INDIRECT("'"&amp;$D$51&amp;"'!C9")&lt;1965, 0),
    INDIRECT("'"&amp;$D$51&amp;"'!GO_2023"),
    0
)
+IF(
    IFERROR(INDIRECT("'"&amp;$D$52&amp;"'!C9")&lt;1965, 0),
    INDIRECT("'"&amp;$D$52&amp;"'!GO_2023"),
    0
)
+IF(
    IFERROR(INDIRECT("'"&amp;$D$53&amp;"'!C9")&lt;1965, 0),
    INDIRECT("'"&amp;$D$53&amp;"'!GO_2023"),
    0
)
+IF(
    IFERROR(INDIRECT("'"&amp;$D$54&amp;"'!C9")&lt;1965, 0),
    INDIRECT("'"&amp;$D$54&amp;"'!GO_2023"),
    0
)</f>
        <v>3152.16</v>
      </c>
      <c r="N24" s="321">
        <f ca="1">IF(
    IFERROR(INDIRECT("'"&amp;$D$5&amp;"'!C9")&lt;1965, 0),
    INDIRECT("'"&amp;$D$5&amp;"'!GO_2024"),
    0
)
+IF(
    IFERROR(INDIRECT("'"&amp;$D$6&amp;"'!C9")&lt;1965, 0),
    INDIRECT("'"&amp;$D$6&amp;"'!GO_2024"),
    0
)
+IF(
    IFERROR(INDIRECT("'"&amp;$D$7&amp;"'!C9")&lt;1965, 0),
    INDIRECT("'"&amp;$D$7&amp;"'!GO_2024"),
    0
)
+IF(
    IFERROR(INDIRECT("'"&amp;$D$8&amp;"'!C9")&lt;1965, 0),
    INDIRECT("'"&amp;$D$8&amp;"'!GO_2024"),
    0
)
+IF(
    IFERROR(INDIRECT("'"&amp;$D$9&amp;"'!C9")&lt;1965, 0),
    INDIRECT("'"&amp;$D$9&amp;"'!GO_2024"),
    0
)
+IF(
    IFERROR(INDIRECT("'"&amp;$D$10&amp;"'!C9")&lt;1965, 0),
    INDIRECT("'"&amp;$D$10&amp;"'!GO_2024"),
    0
)
+IF(
    IFERROR(INDIRECT("'"&amp;$D$11&amp;"'!C9")&lt;1965, 0),
    INDIRECT("'"&amp;$D$11&amp;"'!GO_2024"),
    0
)
+IF(
    IFERROR(INDIRECT("'"&amp;$D$12&amp;"'!C9")&lt;1965, 0),
    INDIRECT("'"&amp;$D$12&amp;"'!GO_2024"),
    0
)
+IF(
    IFERROR(INDIRECT("'"&amp;$D$13&amp;"'!C9")&lt;1965, 0),
    INDIRECT("'"&amp;$D$13&amp;"'!GO_2024"),
    0
)
+IF(
    IFERROR(INDIRECT("'"&amp;$D$14&amp;"'!C9")&lt;1965, 0),
    INDIRECT("'"&amp;$D$14&amp;"'!GO_2024"),
    0
)
+IF(
    IFERROR(INDIRECT("'"&amp;$D$15&amp;"'!C9")&lt;1965, 0),
    INDIRECT("'"&amp;$D$15&amp;"'!GO_2024"),
    0
)
+IF(
    IFERROR(INDIRECT("'"&amp;$D$16&amp;"'!C9")&lt;1965, 0),
    INDIRECT("'"&amp;$D$16&amp;"'!GO_2024"),
    0
)
+IF(
    IFERROR(INDIRECT("'"&amp;$D$17&amp;"'!C9")&lt;1965, 0),
    INDIRECT("'"&amp;$D$17&amp;"'!GO_2024"),
    0
)
+IF(
    IFERROR(INDIRECT("'"&amp;$D$18&amp;"'!C9")&lt;1965, 0),
    INDIRECT("'"&amp;$D$18&amp;"'!GO_2024"),
    0
)
+IF(
    IFERROR(INDIRECT("'"&amp;$D$19&amp;"'!C9")&lt;1965, 0),
    INDIRECT("'"&amp;$D$19&amp;"'!GO_2024"),
    0
)
+IF(
    IFERROR(INDIRECT("'"&amp;$D$20&amp;"'!C9")&lt;1965, 0),
    INDIRECT("'"&amp;$D$20&amp;"'!GO_2024"),
    0
)
+IF(
    IFERROR(INDIRECT("'"&amp;$D$21&amp;"'!C9")&lt;1965, 0),
    INDIRECT("'"&amp;$D$21&amp;"'!GO_2024"),
    0
)
+IF(
    IFERROR(INDIRECT("'"&amp;$D$22&amp;"'!C9")&lt;1965, 0),
    INDIRECT("'"&amp;$D$22&amp;"'!GO_2024"),
    0
)
+IF(
    IFERROR(INDIRECT("'"&amp;$D$23&amp;"'!C9")&lt;1965, 0),
    INDIRECT("'"&amp;$D$23&amp;"'!GO_2024"),
    0
)
+IF(
    IFERROR(INDIRECT("'"&amp;$D$24&amp;"'!C9")&lt;1965, 0),
    INDIRECT("'"&amp;$D$24&amp;"'!GO_2024"),
    0
)
+IF(
    IFERROR(INDIRECT("'"&amp;$D$25&amp;"'!C9")&lt;1965, 0),
    INDIRECT("'"&amp;$D$25&amp;"'!GO_2024"),
    0
)
+IF(
    IFERROR(INDIRECT("'"&amp;$D$26&amp;"'!C9")&lt;1965, 0),
    INDIRECT("'"&amp;$D$26&amp;"'!GO_2024"),
    0
)
+IF(
    IFERROR(INDIRECT("'"&amp;$D$27&amp;"'!C9")&lt;1965, 0),
    INDIRECT("'"&amp;$D$27&amp;"'!GO_2024"),
    0
)
+IF(
    IFERROR(INDIRECT("'"&amp;$D$28&amp;"'!C9")&lt;1965, 0),
    INDIRECT("'"&amp;$D$28&amp;"'!GO_2024"),
    0
)
+IF(
    IFERROR(INDIRECT("'"&amp;$D$29&amp;"'!C9")&lt;1965, 0),
    INDIRECT("'"&amp;$D$29&amp;"'!GO_2024"),
    0
)
+IF(
    IFERROR(INDIRECT("'"&amp;$D$30&amp;"'!C9")&lt;1965, 0),
    INDIRECT("'"&amp;$D$30&amp;"'!GO_2024"),
    0
)
+IF(
    IFERROR(INDIRECT("'"&amp;$D$31&amp;"'!C9")&lt;1965, 0),
    INDIRECT("'"&amp;$D$31&amp;"'!GO_2024"),
    0
)
+IF(
    IFERROR(INDIRECT("'"&amp;$D$32&amp;"'!C9")&lt;1965, 0),
    INDIRECT("'"&amp;$D$32&amp;"'!GO_2024"),
    0
)
+IF(
    IFERROR(INDIRECT("'"&amp;$D$33&amp;"'!C9")&lt;1965, 0),
    INDIRECT("'"&amp;$D$33&amp;"'!GO_2024"),
    0
)
+IF(
    IFERROR(INDIRECT("'"&amp;$D$34&amp;"'!C9")&lt;1965, 0),
    INDIRECT("'"&amp;$D$34&amp;"'!GO_2024"),
    0
)
+IF(
    IFERROR(INDIRECT("'"&amp;$D$35&amp;"'!C9")&lt;1965, 0),
    INDIRECT("'"&amp;$D$35&amp;"'!GO_2024"),
    0
)
+IF(
    IFERROR(INDIRECT("'"&amp;$D$36&amp;"'!C9")&lt;1965, 0),
    INDIRECT("'"&amp;$D$36&amp;"'!GO_2024"),
    0
)
+IF(
    IFERROR(INDIRECT("'"&amp;$D$37&amp;"'!C9")&lt;1965, 0),
    INDIRECT("'"&amp;$D$37&amp;"'!GO_2024"),
    0
)
+IF(
    IFERROR(INDIRECT("'"&amp;$D$38&amp;"'!C9")&lt;1965, 0),
    INDIRECT("'"&amp;$D$38&amp;"'!GO_2024"),
    0
)
+IF(
    IFERROR(INDIRECT("'"&amp;$D$39&amp;"'!C9")&lt;1965, 0),
    INDIRECT("'"&amp;$D$39&amp;"'!GO_2024"),
    0
)
+IF(
    IFERROR(INDIRECT("'"&amp;$D$40&amp;"'!C9")&lt;1965, 0),
    INDIRECT("'"&amp;$D$40&amp;"'!GO_2024"),
    0
)
+IF(
    IFERROR(INDIRECT("'"&amp;$D$41&amp;"'!C9")&lt;1965, 0),
    INDIRECT("'"&amp;$D$41&amp;"'!GO_2024"),
    0
)
+IF(
    IFERROR(INDIRECT("'"&amp;$D$42&amp;"'!C9")&lt;1965, 0),
    INDIRECT("'"&amp;$D$42&amp;"'!GO_2024"),
    0
)
+IF(
    IFERROR(INDIRECT("'"&amp;$D$43&amp;"'!C9")&lt;1965, 0),
    INDIRECT("'"&amp;$D$43&amp;"'!GO_2024"),
    0
)
+IF(
    IFERROR(INDIRECT("'"&amp;$D$44&amp;"'!C9")&lt;1965, 0),
    INDIRECT("'"&amp;$D$44&amp;"'!GO_2024"),
    0
)
+IF(
    IFERROR(INDIRECT("'"&amp;$D$45&amp;"'!C9")&lt;1965, 0),
    INDIRECT("'"&amp;$D$45&amp;"'!GO_2024"),
    0
)
+IF(
    IFERROR(INDIRECT("'"&amp;$D$46&amp;"'!C9")&lt;1965, 0),
    INDIRECT("'"&amp;$D$46&amp;"'!GO_2024"),
    0
)
+IF(
    IFERROR(INDIRECT("'"&amp;$D$47&amp;"'!C9")&lt;1965, 0),
    INDIRECT("'"&amp;$D$47&amp;"'!GO_2024"),
    0
)
+IF(
    IFERROR(INDIRECT("'"&amp;$D$48&amp;"'!C9")&lt;1965, 0),
    INDIRECT("'"&amp;$D$48&amp;"'!GO_2024"),
    0
)
+IF(
    IFERROR(INDIRECT("'"&amp;$D$49&amp;"'!C9")&lt;1965, 0),
    INDIRECT("'"&amp;$D$49&amp;"'!GO_2024"),
    0
)
+IF(
    IFERROR(INDIRECT("'"&amp;$D$50&amp;"'!C9")&lt;1965, 0),
    INDIRECT("'"&amp;$D$50&amp;"'!GO_2024"),
    0
)
+IF(
    IFERROR(INDIRECT("'"&amp;$D$51&amp;"'!C9")&lt;1965, 0),
    INDIRECT("'"&amp;$D$51&amp;"'!GO_2024"),
    0
)
+IF(
    IFERROR(INDIRECT("'"&amp;$D$52&amp;"'!C9")&lt;1965, 0),
    INDIRECT("'"&amp;$D$52&amp;"'!GO_2024"),
    0
)
+IF(
    IFERROR(INDIRECT("'"&amp;$D$53&amp;"'!C9")&lt;1965, 0),
    INDIRECT("'"&amp;$D$53&amp;"'!GO_2024"),
    0
)
+IF(
    IFERROR(INDIRECT("'"&amp;$D$54&amp;"'!C9")&lt;1965, 0),
    INDIRECT("'"&amp;$D$54&amp;"'!GO_2024"),
    0
)</f>
        <v>3152.16</v>
      </c>
      <c r="O24" s="321">
        <f ca="1">IF(
    IFERROR(INDIRECT("'"&amp;$D$5&amp;"'!C9")&lt;1965, 0),
    INDIRECT("'"&amp;$D$5&amp;"'!GO_2025"),
    0
)
+IF(
    IFERROR(INDIRECT("'"&amp;$D$6&amp;"'!C9")&lt;1965, 0),
    INDIRECT("'"&amp;$D$6&amp;"'!GO_2025"),
    0
)
+IF(
    IFERROR(INDIRECT("'"&amp;$D$7&amp;"'!C9")&lt;1965, 0),
    INDIRECT("'"&amp;$D$7&amp;"'!GO_2025"),
    0
)
+IF(
    IFERROR(INDIRECT("'"&amp;$D$8&amp;"'!C9")&lt;1965, 0),
    INDIRECT("'"&amp;$D$8&amp;"'!GO_2025"),
    0
)
+IF(
    IFERROR(INDIRECT("'"&amp;$D$9&amp;"'!C9")&lt;1965, 0),
    INDIRECT("'"&amp;$D$9&amp;"'!GO_2025"),
    0
)
+IF(
    IFERROR(INDIRECT("'"&amp;$D$10&amp;"'!C9")&lt;1965, 0),
    INDIRECT("'"&amp;$D$10&amp;"'!GO_2025"),
    0
)
+IF(
    IFERROR(INDIRECT("'"&amp;$D$11&amp;"'!C9")&lt;1965, 0),
    INDIRECT("'"&amp;$D$11&amp;"'!GO_2025"),
    0
)
+IF(
    IFERROR(INDIRECT("'"&amp;$D$12&amp;"'!C9")&lt;1965, 0),
    INDIRECT("'"&amp;$D$12&amp;"'!GO_2025"),
    0
)
+IF(
    IFERROR(INDIRECT("'"&amp;$D$13&amp;"'!C9")&lt;1965, 0),
    INDIRECT("'"&amp;$D$13&amp;"'!GO_2025"),
    0
)
+IF(
    IFERROR(INDIRECT("'"&amp;$D$14&amp;"'!C9")&lt;1965, 0),
    INDIRECT("'"&amp;$D$14&amp;"'!GO_2025"),
    0
)
+IF(
    IFERROR(INDIRECT("'"&amp;$D$15&amp;"'!C9")&lt;1965, 0),
    INDIRECT("'"&amp;$D$15&amp;"'!GO_2025"),
    0
)
+IF(
    IFERROR(INDIRECT("'"&amp;$D$16&amp;"'!C9")&lt;1965, 0),
    INDIRECT("'"&amp;$D$16&amp;"'!GO_2025"),
    0
)
+IF(
    IFERROR(INDIRECT("'"&amp;$D$17&amp;"'!C9")&lt;1965, 0),
    INDIRECT("'"&amp;$D$17&amp;"'!GO_2025"),
    0
)
+IF(
    IFERROR(INDIRECT("'"&amp;$D$18&amp;"'!C9")&lt;1965, 0),
    INDIRECT("'"&amp;$D$18&amp;"'!GO_2025"),
    0
)
+IF(
    IFERROR(INDIRECT("'"&amp;$D$19&amp;"'!C9")&lt;1965, 0),
    INDIRECT("'"&amp;$D$19&amp;"'!GO_2025"),
    0
)
+IF(
    IFERROR(INDIRECT("'"&amp;$D$20&amp;"'!C9")&lt;1965, 0),
    INDIRECT("'"&amp;$D$20&amp;"'!GO_2025"),
    0
)
+IF(
    IFERROR(INDIRECT("'"&amp;$D$21&amp;"'!C9")&lt;1965, 0),
    INDIRECT("'"&amp;$D$21&amp;"'!GO_2025"),
    0
)
+IF(
    IFERROR(INDIRECT("'"&amp;$D$22&amp;"'!C9")&lt;1965, 0),
    INDIRECT("'"&amp;$D$22&amp;"'!GO_2025"),
    0
)
+IF(
    IFERROR(INDIRECT("'"&amp;$D$23&amp;"'!C9")&lt;1965, 0),
    INDIRECT("'"&amp;$D$23&amp;"'!GO_2025"),
    0
)
+IF(
    IFERROR(INDIRECT("'"&amp;$D$24&amp;"'!C9")&lt;1965, 0),
    INDIRECT("'"&amp;$D$24&amp;"'!GO_2025"),
    0
)
+IF(
    IFERROR(INDIRECT("'"&amp;$D$25&amp;"'!C9")&lt;1965, 0),
    INDIRECT("'"&amp;$D$25&amp;"'!GO_2025"),
    0
)
+IF(
    IFERROR(INDIRECT("'"&amp;$D$26&amp;"'!C9")&lt;1965, 0),
    INDIRECT("'"&amp;$D$26&amp;"'!GO_2025"),
    0
)
+IF(
    IFERROR(INDIRECT("'"&amp;$D$27&amp;"'!C9")&lt;1965, 0),
    INDIRECT("'"&amp;$D$27&amp;"'!GO_2025"),
    0
)
+IF(
    IFERROR(INDIRECT("'"&amp;$D$28&amp;"'!C9")&lt;1965, 0),
    INDIRECT("'"&amp;$D$28&amp;"'!GO_2025"),
    0
)
+IF(
    IFERROR(INDIRECT("'"&amp;$D$29&amp;"'!C9")&lt;1965, 0),
    INDIRECT("'"&amp;$D$29&amp;"'!GO_2025"),
    0
)
+IF(
    IFERROR(INDIRECT("'"&amp;$D$30&amp;"'!C9")&lt;1965, 0),
    INDIRECT("'"&amp;$D$30&amp;"'!GO_2025"),
    0
)
+IF(
    IFERROR(INDIRECT("'"&amp;$D$31&amp;"'!C9")&lt;1965, 0),
    INDIRECT("'"&amp;$D$31&amp;"'!GO_2025"),
    0
)
+IF(
    IFERROR(INDIRECT("'"&amp;$D$32&amp;"'!C9")&lt;1965, 0),
    INDIRECT("'"&amp;$D$32&amp;"'!GO_2025"),
    0
)
+IF(
    IFERROR(INDIRECT("'"&amp;$D$33&amp;"'!C9")&lt;1965, 0),
    INDIRECT("'"&amp;$D$33&amp;"'!GO_2025"),
    0
)
+IF(
    IFERROR(INDIRECT("'"&amp;$D$34&amp;"'!C9")&lt;1965, 0),
    INDIRECT("'"&amp;$D$34&amp;"'!GO_2025"),
    0
)
+IF(
    IFERROR(INDIRECT("'"&amp;$D$35&amp;"'!C9")&lt;1965, 0),
    INDIRECT("'"&amp;$D$35&amp;"'!GO_2025"),
    0
)
+IF(
    IFERROR(INDIRECT("'"&amp;$D$36&amp;"'!C9")&lt;1965, 0),
    INDIRECT("'"&amp;$D$36&amp;"'!GO_2025"),
    0
)
+IF(
    IFERROR(INDIRECT("'"&amp;$D$37&amp;"'!C9")&lt;1965, 0),
    INDIRECT("'"&amp;$D$37&amp;"'!GO_2025"),
    0
)
+IF(
    IFERROR(INDIRECT("'"&amp;$D$38&amp;"'!C9")&lt;1965, 0),
    INDIRECT("'"&amp;$D$38&amp;"'!GO_2025"),
    0
)
+IF(
    IFERROR(INDIRECT("'"&amp;$D$39&amp;"'!C9")&lt;1965, 0),
    INDIRECT("'"&amp;$D$39&amp;"'!GO_2025"),
    0
)
+IF(
    IFERROR(INDIRECT("'"&amp;$D$40&amp;"'!C9")&lt;1965, 0),
    INDIRECT("'"&amp;$D$40&amp;"'!GO_2025"),
    0
)
+IF(
    IFERROR(INDIRECT("'"&amp;$D$41&amp;"'!C9")&lt;1965, 0),
    INDIRECT("'"&amp;$D$41&amp;"'!GO_2025"),
    0
)
+IF(
    IFERROR(INDIRECT("'"&amp;$D$42&amp;"'!C9")&lt;1965, 0),
    INDIRECT("'"&amp;$D$42&amp;"'!GO_2025"),
    0
)
+IF(
    IFERROR(INDIRECT("'"&amp;$D$43&amp;"'!C9")&lt;1965, 0),
    INDIRECT("'"&amp;$D$43&amp;"'!GO_2025"),
    0
)
+IF(
    IFERROR(INDIRECT("'"&amp;$D$44&amp;"'!C9")&lt;1965, 0),
    INDIRECT("'"&amp;$D$44&amp;"'!GO_2025"),
    0
)
+IF(
    IFERROR(INDIRECT("'"&amp;$D$45&amp;"'!C9")&lt;1965, 0),
    INDIRECT("'"&amp;$D$45&amp;"'!GO_2025"),
    0
)
+IF(
    IFERROR(INDIRECT("'"&amp;$D$46&amp;"'!C9")&lt;1965, 0),
    INDIRECT("'"&amp;$D$46&amp;"'!GO_2025"),
    0
)
+IF(
    IFERROR(INDIRECT("'"&amp;$D$47&amp;"'!C9")&lt;1965, 0),
    INDIRECT("'"&amp;$D$47&amp;"'!GO_2025"),
    0
)
+IF(
    IFERROR(INDIRECT("'"&amp;$D$48&amp;"'!C9")&lt;1965, 0),
    INDIRECT("'"&amp;$D$48&amp;"'!GO_2025"),
    0
)
+IF(
    IFERROR(INDIRECT("'"&amp;$D$49&amp;"'!C9")&lt;1965, 0),
    INDIRECT("'"&amp;$D$49&amp;"'!GO_2025"),
    0
)
+IF(
    IFERROR(INDIRECT("'"&amp;$D$50&amp;"'!C9")&lt;1965, 0),
    INDIRECT("'"&amp;$D$50&amp;"'!GO_2025"),
    0
)
+IF(
    IFERROR(INDIRECT("'"&amp;$D$51&amp;"'!C9")&lt;1965, 0),
    INDIRECT("'"&amp;$D$51&amp;"'!GO_2025"),
    0
)
+IF(
    IFERROR(INDIRECT("'"&amp;$D$52&amp;"'!C9")&lt;1965, 0),
    INDIRECT("'"&amp;$D$52&amp;"'!GO_2025"),
    0
)
+IF(
    IFERROR(INDIRECT("'"&amp;$D$53&amp;"'!C9")&lt;1965, 0),
    INDIRECT("'"&amp;$D$53&amp;"'!GO_2025"),
    0
)
+IF(
    IFERROR(INDIRECT("'"&amp;$D$54&amp;"'!C9")&lt;1965, 0),
    INDIRECT("'"&amp;$D$54&amp;"'!GO_2025"),
    0
)</f>
        <v>3152.16</v>
      </c>
      <c r="P24" s="321">
        <f ca="1">IF(
    IFERROR(INDIRECT("'"&amp;$D$5&amp;"'!C9")&lt;1965, 0),
    INDIRECT("'"&amp;$D$5&amp;"'!GO_2026"),
    0
)
+IF(
    IFERROR(INDIRECT("'"&amp;$D$6&amp;"'!C9")&lt;1965, 0),
    INDIRECT("'"&amp;$D$6&amp;"'!GO_2026"),
    0
)
+IF(
    IFERROR(INDIRECT("'"&amp;$D$7&amp;"'!C9")&lt;1965, 0),
    INDIRECT("'"&amp;$D$7&amp;"'!GO_2026"),
    0
)
+IF(
    IFERROR(INDIRECT("'"&amp;$D$8&amp;"'!C9")&lt;1965, 0),
    INDIRECT("'"&amp;$D$8&amp;"'!GO_2026"),
    0
)
+IF(
    IFERROR(INDIRECT("'"&amp;$D$9&amp;"'!C9")&lt;1965, 0),
    INDIRECT("'"&amp;$D$9&amp;"'!GO_2026"),
    0
)
+IF(
    IFERROR(INDIRECT("'"&amp;$D$10&amp;"'!C9")&lt;1965, 0),
    INDIRECT("'"&amp;$D$10&amp;"'!GO_2026"),
    0
)
+IF(
    IFERROR(INDIRECT("'"&amp;$D$11&amp;"'!C9")&lt;1965, 0),
    INDIRECT("'"&amp;$D$11&amp;"'!GO_2026"),
    0
)
+IF(
    IFERROR(INDIRECT("'"&amp;$D$12&amp;"'!C9")&lt;1965, 0),
    INDIRECT("'"&amp;$D$12&amp;"'!GO_2026"),
    0
)
+IF(
    IFERROR(INDIRECT("'"&amp;$D$13&amp;"'!C9")&lt;1965, 0),
    INDIRECT("'"&amp;$D$13&amp;"'!GO_2026"),
    0
)
+IF(
    IFERROR(INDIRECT("'"&amp;$D$14&amp;"'!C9")&lt;1965, 0),
    INDIRECT("'"&amp;$D$14&amp;"'!GO_2026"),
    0
)
+IF(
    IFERROR(INDIRECT("'"&amp;$D$15&amp;"'!C9")&lt;1965, 0),
    INDIRECT("'"&amp;$D$15&amp;"'!GO_2026"),
    0
)
+IF(
    IFERROR(INDIRECT("'"&amp;$D$16&amp;"'!C9")&lt;1965, 0),
    INDIRECT("'"&amp;$D$16&amp;"'!GO_2026"),
    0
)
+IF(
    IFERROR(INDIRECT("'"&amp;$D$17&amp;"'!C9")&lt;1965, 0),
    INDIRECT("'"&amp;$D$17&amp;"'!GO_2026"),
    0
)
+IF(
    IFERROR(INDIRECT("'"&amp;$D$18&amp;"'!C9")&lt;1965, 0),
    INDIRECT("'"&amp;$D$18&amp;"'!GO_2026"),
    0
)
+IF(
    IFERROR(INDIRECT("'"&amp;$D$19&amp;"'!C9")&lt;1965, 0),
    INDIRECT("'"&amp;$D$19&amp;"'!GO_2026"),
    0
)
+IF(
    IFERROR(INDIRECT("'"&amp;$D$20&amp;"'!C9")&lt;1965, 0),
    INDIRECT("'"&amp;$D$20&amp;"'!GO_2026"),
    0
)
+IF(
    IFERROR(INDIRECT("'"&amp;$D$21&amp;"'!C9")&lt;1965, 0),
    INDIRECT("'"&amp;$D$21&amp;"'!GO_2026"),
    0
)
+IF(
    IFERROR(INDIRECT("'"&amp;$D$22&amp;"'!C9")&lt;1965, 0),
    INDIRECT("'"&amp;$D$22&amp;"'!GO_2026"),
    0
)
+IF(
    IFERROR(INDIRECT("'"&amp;$D$23&amp;"'!C9")&lt;1965, 0),
    INDIRECT("'"&amp;$D$23&amp;"'!GO_2026"),
    0
)
+IF(
    IFERROR(INDIRECT("'"&amp;$D$24&amp;"'!C9")&lt;1965, 0),
    INDIRECT("'"&amp;$D$24&amp;"'!GO_2026"),
    0
)
+IF(
    IFERROR(INDIRECT("'"&amp;$D$25&amp;"'!C9")&lt;1965, 0),
    INDIRECT("'"&amp;$D$25&amp;"'!GO_2026"),
    0
)
+IF(
    IFERROR(INDIRECT("'"&amp;$D$26&amp;"'!C9")&lt;1965, 0),
    INDIRECT("'"&amp;$D$26&amp;"'!GO_2026"),
    0
)
+IF(
    IFERROR(INDIRECT("'"&amp;$D$27&amp;"'!C9")&lt;1965, 0),
    INDIRECT("'"&amp;$D$27&amp;"'!GO_2026"),
    0
)
+IF(
    IFERROR(INDIRECT("'"&amp;$D$28&amp;"'!C9")&lt;1965, 0),
    INDIRECT("'"&amp;$D$28&amp;"'!GO_2026"),
    0
)
+IF(
    IFERROR(INDIRECT("'"&amp;$D$29&amp;"'!C9")&lt;1965, 0),
    INDIRECT("'"&amp;$D$29&amp;"'!GO_2026"),
    0
)
+IF(
    IFERROR(INDIRECT("'"&amp;$D$30&amp;"'!C9")&lt;1965, 0),
    INDIRECT("'"&amp;$D$30&amp;"'!GO_2026"),
    0
)
+IF(
    IFERROR(INDIRECT("'"&amp;$D$31&amp;"'!C9")&lt;1965, 0),
    INDIRECT("'"&amp;$D$31&amp;"'!GO_2026"),
    0
)
+IF(
    IFERROR(INDIRECT("'"&amp;$D$32&amp;"'!C9")&lt;1965, 0),
    INDIRECT("'"&amp;$D$32&amp;"'!GO_2026"),
    0
)
+IF(
    IFERROR(INDIRECT("'"&amp;$D$33&amp;"'!C9")&lt;1965, 0),
    INDIRECT("'"&amp;$D$33&amp;"'!GO_2026"),
    0
)
+IF(
    IFERROR(INDIRECT("'"&amp;$D$34&amp;"'!C9")&lt;1965, 0),
    INDIRECT("'"&amp;$D$34&amp;"'!GO_2026"),
    0
)
+IF(
    IFERROR(INDIRECT("'"&amp;$D$35&amp;"'!C9")&lt;1965, 0),
    INDIRECT("'"&amp;$D$35&amp;"'!GO_2026"),
    0
)
+IF(
    IFERROR(INDIRECT("'"&amp;$D$36&amp;"'!C9")&lt;1965, 0),
    INDIRECT("'"&amp;$D$36&amp;"'!GO_2026"),
    0
)
+IF(
    IFERROR(INDIRECT("'"&amp;$D$37&amp;"'!C9")&lt;1965, 0),
    INDIRECT("'"&amp;$D$37&amp;"'!GO_2026"),
    0
)
+IF(
    IFERROR(INDIRECT("'"&amp;$D$38&amp;"'!C9")&lt;1965, 0),
    INDIRECT("'"&amp;$D$38&amp;"'!GO_2026"),
    0
)
+IF(
    IFERROR(INDIRECT("'"&amp;$D$39&amp;"'!C9")&lt;1965, 0),
    INDIRECT("'"&amp;$D$39&amp;"'!GO_2026"),
    0
)
+IF(
    IFERROR(INDIRECT("'"&amp;$D$40&amp;"'!C9")&lt;1965, 0),
    INDIRECT("'"&amp;$D$40&amp;"'!GO_2026"),
    0
)
+IF(
    IFERROR(INDIRECT("'"&amp;$D$41&amp;"'!C9")&lt;1965, 0),
    INDIRECT("'"&amp;$D$41&amp;"'!GO_2026"),
    0
)
+IF(
    IFERROR(INDIRECT("'"&amp;$D$42&amp;"'!C9")&lt;1965, 0),
    INDIRECT("'"&amp;$D$42&amp;"'!GO_2026"),
    0
)
+IF(
    IFERROR(INDIRECT("'"&amp;$D$43&amp;"'!C9")&lt;1965, 0),
    INDIRECT("'"&amp;$D$43&amp;"'!GO_2026"),
    0
)
+IF(
    IFERROR(INDIRECT("'"&amp;$D$44&amp;"'!C9")&lt;1965, 0),
    INDIRECT("'"&amp;$D$44&amp;"'!GO_2026"),
    0
)
+IF(
    IFERROR(INDIRECT("'"&amp;$D$45&amp;"'!C9")&lt;1965, 0),
    INDIRECT("'"&amp;$D$45&amp;"'!GO_2026"),
    0
)
+IF(
    IFERROR(INDIRECT("'"&amp;$D$46&amp;"'!C9")&lt;1965, 0),
    INDIRECT("'"&amp;$D$46&amp;"'!GO_2026"),
    0
)
+IF(
    IFERROR(INDIRECT("'"&amp;$D$47&amp;"'!C9")&lt;1965, 0),
    INDIRECT("'"&amp;$D$47&amp;"'!GO_2026"),
    0
)
+IF(
    IFERROR(INDIRECT("'"&amp;$D$48&amp;"'!C9")&lt;1965, 0),
    INDIRECT("'"&amp;$D$48&amp;"'!GO_2026"),
    0
)
+IF(
    IFERROR(INDIRECT("'"&amp;$D$49&amp;"'!C9")&lt;1965, 0),
    INDIRECT("'"&amp;$D$49&amp;"'!GO_2026"),
    0
)
+IF(
    IFERROR(INDIRECT("'"&amp;$D$50&amp;"'!C9")&lt;1965, 0),
    INDIRECT("'"&amp;$D$50&amp;"'!GO_2026"),
    0
)
+IF(
    IFERROR(INDIRECT("'"&amp;$D$51&amp;"'!C9")&lt;1965, 0),
    INDIRECT("'"&amp;$D$51&amp;"'!GO_2026"),
    0
)
+IF(
    IFERROR(INDIRECT("'"&amp;$D$52&amp;"'!C9")&lt;1965, 0),
    INDIRECT("'"&amp;$D$52&amp;"'!GO_2026"),
    0
)
+IF(
    IFERROR(INDIRECT("'"&amp;$D$53&amp;"'!C9")&lt;1965, 0),
    INDIRECT("'"&amp;$D$53&amp;"'!GO_2026"),
    0
)
+IF(
    IFERROR(INDIRECT("'"&amp;$D$54&amp;"'!C9")&lt;1965, 0),
    INDIRECT("'"&amp;$D$54&amp;"'!GO_2026"),
    0
)</f>
        <v>3152.16</v>
      </c>
      <c r="Q24" s="321">
        <f ca="1">IF(
    IFERROR(INDIRECT("'"&amp;$D$5&amp;"'!C9")&lt;1965, 0),
    INDIRECT("'"&amp;$D$5&amp;"'!GO_2027"),
    0
)
+IF(
    IFERROR(INDIRECT("'"&amp;$D$6&amp;"'!C9")&lt;1965, 0),
    INDIRECT("'"&amp;$D$6&amp;"'!GO_2027"),
    0
)
+IF(
    IFERROR(INDIRECT("'"&amp;$D$7&amp;"'!C9")&lt;1965, 0),
    INDIRECT("'"&amp;$D$7&amp;"'!GO_2027"),
    0
)
+IF(
    IFERROR(INDIRECT("'"&amp;$D$8&amp;"'!C9")&lt;1965, 0),
    INDIRECT("'"&amp;$D$8&amp;"'!GO_2027"),
    0
)
+IF(
    IFERROR(INDIRECT("'"&amp;$D$9&amp;"'!C9")&lt;1965, 0),
    INDIRECT("'"&amp;$D$9&amp;"'!GO_2027"),
    0
)
+IF(
    IFERROR(INDIRECT("'"&amp;$D$10&amp;"'!C9")&lt;1965, 0),
    INDIRECT("'"&amp;$D$10&amp;"'!GO_2027"),
    0
)
+IF(
    IFERROR(INDIRECT("'"&amp;$D$11&amp;"'!C9")&lt;1965, 0),
    INDIRECT("'"&amp;$D$11&amp;"'!GO_2027"),
    0
)
+IF(
    IFERROR(INDIRECT("'"&amp;$D$12&amp;"'!C9")&lt;1965, 0),
    INDIRECT("'"&amp;$D$12&amp;"'!GO_2027"),
    0
)
+IF(
    IFERROR(INDIRECT("'"&amp;$D$13&amp;"'!C9")&lt;1965, 0),
    INDIRECT("'"&amp;$D$13&amp;"'!GO_2027"),
    0
)
+IF(
    IFERROR(INDIRECT("'"&amp;$D$14&amp;"'!C9")&lt;1965, 0),
    INDIRECT("'"&amp;$D$14&amp;"'!GO_2027"),
    0
)
+IF(
    IFERROR(INDIRECT("'"&amp;$D$15&amp;"'!C9")&lt;1965, 0),
    INDIRECT("'"&amp;$D$15&amp;"'!GO_2027"),
    0
)
+IF(
    IFERROR(INDIRECT("'"&amp;$D$16&amp;"'!C9")&lt;1965, 0),
    INDIRECT("'"&amp;$D$16&amp;"'!GO_2027"),
    0
)
+IF(
    IFERROR(INDIRECT("'"&amp;$D$17&amp;"'!C9")&lt;1965, 0),
    INDIRECT("'"&amp;$D$17&amp;"'!GO_2027"),
    0
)
+IF(
    IFERROR(INDIRECT("'"&amp;$D$18&amp;"'!C9")&lt;1965, 0),
    INDIRECT("'"&amp;$D$18&amp;"'!GO_2027"),
    0
)
+IF(
    IFERROR(INDIRECT("'"&amp;$D$19&amp;"'!C9")&lt;1965, 0),
    INDIRECT("'"&amp;$D$19&amp;"'!GO_2027"),
    0
)
+IF(
    IFERROR(INDIRECT("'"&amp;$D$20&amp;"'!C9")&lt;1965, 0),
    INDIRECT("'"&amp;$D$20&amp;"'!GO_2027"),
    0
)
+IF(
    IFERROR(INDIRECT("'"&amp;$D$21&amp;"'!C9")&lt;1965, 0),
    INDIRECT("'"&amp;$D$21&amp;"'!GO_2027"),
    0
)
+IF(
    IFERROR(INDIRECT("'"&amp;$D$22&amp;"'!C9")&lt;1965, 0),
    INDIRECT("'"&amp;$D$22&amp;"'!GO_2027"),
    0
)
+IF(
    IFERROR(INDIRECT("'"&amp;$D$23&amp;"'!C9")&lt;1965, 0),
    INDIRECT("'"&amp;$D$23&amp;"'!GO_2027"),
    0
)
+IF(
    IFERROR(INDIRECT("'"&amp;$D$24&amp;"'!C9")&lt;1965, 0),
    INDIRECT("'"&amp;$D$24&amp;"'!GO_2027"),
    0
)
+IF(
    IFERROR(INDIRECT("'"&amp;$D$25&amp;"'!C9")&lt;1965, 0),
    INDIRECT("'"&amp;$D$25&amp;"'!GO_2027"),
    0
)
+IF(
    IFERROR(INDIRECT("'"&amp;$D$26&amp;"'!C9")&lt;1965, 0),
    INDIRECT("'"&amp;$D$26&amp;"'!GO_2027"),
    0
)
+IF(
    IFERROR(INDIRECT("'"&amp;$D$27&amp;"'!C9")&lt;1965, 0),
    INDIRECT("'"&amp;$D$27&amp;"'!GO_2027"),
    0
)
+IF(
    IFERROR(INDIRECT("'"&amp;$D$28&amp;"'!C9")&lt;1965, 0),
    INDIRECT("'"&amp;$D$28&amp;"'!GO_2027"),
    0
)
+IF(
    IFERROR(INDIRECT("'"&amp;$D$29&amp;"'!C9")&lt;1965, 0),
    INDIRECT("'"&amp;$D$29&amp;"'!GO_2027"),
    0
)
+IF(
    IFERROR(INDIRECT("'"&amp;$D$30&amp;"'!C9")&lt;1965, 0),
    INDIRECT("'"&amp;$D$30&amp;"'!GO_2027"),
    0
)
+IF(
    IFERROR(INDIRECT("'"&amp;$D$31&amp;"'!C9")&lt;1965, 0),
    INDIRECT("'"&amp;$D$31&amp;"'!GO_2027"),
    0
)
+IF(
    IFERROR(INDIRECT("'"&amp;$D$32&amp;"'!C9")&lt;1965, 0),
    INDIRECT("'"&amp;$D$32&amp;"'!GO_2027"),
    0
)
+IF(
    IFERROR(INDIRECT("'"&amp;$D$33&amp;"'!C9")&lt;1965, 0),
    INDIRECT("'"&amp;$D$33&amp;"'!GO_2027"),
    0
)
+IF(
    IFERROR(INDIRECT("'"&amp;$D$34&amp;"'!C9")&lt;1965, 0),
    INDIRECT("'"&amp;$D$34&amp;"'!GO_2027"),
    0
)
+IF(
    IFERROR(INDIRECT("'"&amp;$D$35&amp;"'!C9")&lt;1965, 0),
    INDIRECT("'"&amp;$D$35&amp;"'!GO_2027"),
    0
)
+IF(
    IFERROR(INDIRECT("'"&amp;$D$36&amp;"'!C9")&lt;1965, 0),
    INDIRECT("'"&amp;$D$36&amp;"'!GO_2027"),
    0
)
+IF(
    IFERROR(INDIRECT("'"&amp;$D$37&amp;"'!C9")&lt;1965, 0),
    INDIRECT("'"&amp;$D$37&amp;"'!GO_2027"),
    0
)
+IF(
    IFERROR(INDIRECT("'"&amp;$D$38&amp;"'!C9")&lt;1965, 0),
    INDIRECT("'"&amp;$D$38&amp;"'!GO_2027"),
    0
)
+IF(
    IFERROR(INDIRECT("'"&amp;$D$39&amp;"'!C9")&lt;1965, 0),
    INDIRECT("'"&amp;$D$39&amp;"'!GO_2027"),
    0
)
+IF(
    IFERROR(INDIRECT("'"&amp;$D$40&amp;"'!C9")&lt;1965, 0),
    INDIRECT("'"&amp;$D$40&amp;"'!GO_2027"),
    0
)
+IF(
    IFERROR(INDIRECT("'"&amp;$D$41&amp;"'!C9")&lt;1965, 0),
    INDIRECT("'"&amp;$D$41&amp;"'!GO_2027"),
    0
)
+IF(
    IFERROR(INDIRECT("'"&amp;$D$42&amp;"'!C9")&lt;1965, 0),
    INDIRECT("'"&amp;$D$42&amp;"'!GO_2027"),
    0
)
+IF(
    IFERROR(INDIRECT("'"&amp;$D$43&amp;"'!C9")&lt;1965, 0),
    INDIRECT("'"&amp;$D$43&amp;"'!GO_2027"),
    0
)
+IF(
    IFERROR(INDIRECT("'"&amp;$D$44&amp;"'!C9")&lt;1965, 0),
    INDIRECT("'"&amp;$D$44&amp;"'!GO_2027"),
    0
)
+IF(
    IFERROR(INDIRECT("'"&amp;$D$45&amp;"'!C9")&lt;1965, 0),
    INDIRECT("'"&amp;$D$45&amp;"'!GO_2027"),
    0
)
+IF(
    IFERROR(INDIRECT("'"&amp;$D$46&amp;"'!C9")&lt;1965, 0),
    INDIRECT("'"&amp;$D$46&amp;"'!GO_2027"),
    0
)
+IF(
    IFERROR(INDIRECT("'"&amp;$D$47&amp;"'!C9")&lt;1965, 0),
    INDIRECT("'"&amp;$D$47&amp;"'!GO_2027"),
    0
)
+IF(
    IFERROR(INDIRECT("'"&amp;$D$48&amp;"'!C9")&lt;1965, 0),
    INDIRECT("'"&amp;$D$48&amp;"'!GO_2027"),
    0
)
+IF(
    IFERROR(INDIRECT("'"&amp;$D$49&amp;"'!C9")&lt;1965, 0),
    INDIRECT("'"&amp;$D$49&amp;"'!GO_2027"),
    0
)
+IF(
    IFERROR(INDIRECT("'"&amp;$D$50&amp;"'!C9")&lt;1965, 0),
    INDIRECT("'"&amp;$D$50&amp;"'!GO_2027"),
    0
)
+IF(
    IFERROR(INDIRECT("'"&amp;$D$51&amp;"'!C9")&lt;1965, 0),
    INDIRECT("'"&amp;$D$51&amp;"'!GO_2027"),
    0
)
+IF(
    IFERROR(INDIRECT("'"&amp;$D$52&amp;"'!C9")&lt;1965, 0),
    INDIRECT("'"&amp;$D$52&amp;"'!GO_2027"),
    0
)
+IF(
    IFERROR(INDIRECT("'"&amp;$D$53&amp;"'!C9")&lt;1965, 0),
    INDIRECT("'"&amp;$D$53&amp;"'!GO_2027"),
    0
)
+IF(
    IFERROR(INDIRECT("'"&amp;$D$54&amp;"'!C9")&lt;1965, 0),
    INDIRECT("'"&amp;$D$54&amp;"'!GO_2027"),
    0
)</f>
        <v>3152.16</v>
      </c>
      <c r="R24" s="321">
        <f ca="1">IF(
    IFERROR(INDIRECT("'"&amp;$D$5&amp;"'!C9")&lt;1965, 0),
    INDIRECT("'"&amp;$D$5&amp;"'!GO_2028"),
    0
)
+IF(
    IFERROR(INDIRECT("'"&amp;$D$6&amp;"'!C9")&lt;1965, 0),
    INDIRECT("'"&amp;$D$6&amp;"'!GO_2028"),
    0
)
+IF(
    IFERROR(INDIRECT("'"&amp;$D$7&amp;"'!C9")&lt;1965, 0),
    INDIRECT("'"&amp;$D$7&amp;"'!GO_2028"),
    0
)
+IF(
    IFERROR(INDIRECT("'"&amp;$D$8&amp;"'!C9")&lt;1965, 0),
    INDIRECT("'"&amp;$D$8&amp;"'!GO_2028"),
    0
)
+IF(
    IFERROR(INDIRECT("'"&amp;$D$9&amp;"'!C9")&lt;1965, 0),
    INDIRECT("'"&amp;$D$9&amp;"'!GO_2028"),
    0
)
+IF(
    IFERROR(INDIRECT("'"&amp;$D$10&amp;"'!C9")&lt;1965, 0),
    INDIRECT("'"&amp;$D$10&amp;"'!GO_2028"),
    0
)
+IF(
    IFERROR(INDIRECT("'"&amp;$D$11&amp;"'!C9")&lt;1965, 0),
    INDIRECT("'"&amp;$D$11&amp;"'!GO_2028"),
    0
)
+IF(
    IFERROR(INDIRECT("'"&amp;$D$12&amp;"'!C9")&lt;1965, 0),
    INDIRECT("'"&amp;$D$12&amp;"'!GO_2028"),
    0
)
+IF(
    IFERROR(INDIRECT("'"&amp;$D$13&amp;"'!C9")&lt;1965, 0),
    INDIRECT("'"&amp;$D$13&amp;"'!GO_2028"),
    0
)
+IF(
    IFERROR(INDIRECT("'"&amp;$D$14&amp;"'!C9")&lt;1965, 0),
    INDIRECT("'"&amp;$D$14&amp;"'!GO_2028"),
    0
)
+IF(
    IFERROR(INDIRECT("'"&amp;$D$15&amp;"'!C9")&lt;1965, 0),
    INDIRECT("'"&amp;$D$15&amp;"'!GO_2028"),
    0
)
+IF(
    IFERROR(INDIRECT("'"&amp;$D$16&amp;"'!C9")&lt;1965, 0),
    INDIRECT("'"&amp;$D$16&amp;"'!GO_2028"),
    0
)
+IF(
    IFERROR(INDIRECT("'"&amp;$D$17&amp;"'!C9")&lt;1965, 0),
    INDIRECT("'"&amp;$D$17&amp;"'!GO_2028"),
    0
)
+IF(
    IFERROR(INDIRECT("'"&amp;$D$18&amp;"'!C9")&lt;1965, 0),
    INDIRECT("'"&amp;$D$18&amp;"'!GO_2028"),
    0
)
+IF(
    IFERROR(INDIRECT("'"&amp;$D$19&amp;"'!C9")&lt;1965, 0),
    INDIRECT("'"&amp;$D$19&amp;"'!GO_2028"),
    0
)
+IF(
    IFERROR(INDIRECT("'"&amp;$D$20&amp;"'!C9")&lt;1965, 0),
    INDIRECT("'"&amp;$D$20&amp;"'!GO_2028"),
    0
)
+IF(
    IFERROR(INDIRECT("'"&amp;$D$21&amp;"'!C9")&lt;1965, 0),
    INDIRECT("'"&amp;$D$21&amp;"'!GO_2028"),
    0
)
+IF(
    IFERROR(INDIRECT("'"&amp;$D$22&amp;"'!C9")&lt;1965, 0),
    INDIRECT("'"&amp;$D$22&amp;"'!GO_2028"),
    0
)
+IF(
    IFERROR(INDIRECT("'"&amp;$D$23&amp;"'!C9")&lt;1965, 0),
    INDIRECT("'"&amp;$D$23&amp;"'!GO_2028"),
    0
)
+IF(
    IFERROR(INDIRECT("'"&amp;$D$24&amp;"'!C9")&lt;1965, 0),
    INDIRECT("'"&amp;$D$24&amp;"'!GO_2028"),
    0
)
+IF(
    IFERROR(INDIRECT("'"&amp;$D$25&amp;"'!C9")&lt;1965, 0),
    INDIRECT("'"&amp;$D$25&amp;"'!GO_2028"),
    0
)
+IF(
    IFERROR(INDIRECT("'"&amp;$D$26&amp;"'!C9")&lt;1965, 0),
    INDIRECT("'"&amp;$D$26&amp;"'!GO_2028"),
    0
)
+IF(
    IFERROR(INDIRECT("'"&amp;$D$27&amp;"'!C9")&lt;1965, 0),
    INDIRECT("'"&amp;$D$27&amp;"'!GO_2028"),
    0
)
+IF(
    IFERROR(INDIRECT("'"&amp;$D$28&amp;"'!C9")&lt;1965, 0),
    INDIRECT("'"&amp;$D$28&amp;"'!GO_2028"),
    0
)
+IF(
    IFERROR(INDIRECT("'"&amp;$D$29&amp;"'!C9")&lt;1965, 0),
    INDIRECT("'"&amp;$D$29&amp;"'!GO_2028"),
    0
)
+IF(
    IFERROR(INDIRECT("'"&amp;$D$30&amp;"'!C9")&lt;1965, 0),
    INDIRECT("'"&amp;$D$30&amp;"'!GO_2028"),
    0
)
+IF(
    IFERROR(INDIRECT("'"&amp;$D$31&amp;"'!C9")&lt;1965, 0),
    INDIRECT("'"&amp;$D$31&amp;"'!GO_2028"),
    0
)
+IF(
    IFERROR(INDIRECT("'"&amp;$D$32&amp;"'!C9")&lt;1965, 0),
    INDIRECT("'"&amp;$D$32&amp;"'!GO_2028"),
    0
)
+IF(
    IFERROR(INDIRECT("'"&amp;$D$33&amp;"'!C9")&lt;1965, 0),
    INDIRECT("'"&amp;$D$33&amp;"'!GO_2028"),
    0
)
+IF(
    IFERROR(INDIRECT("'"&amp;$D$34&amp;"'!C9")&lt;1965, 0),
    INDIRECT("'"&amp;$D$34&amp;"'!GO_2028"),
    0
)
+IF(
    IFERROR(INDIRECT("'"&amp;$D$35&amp;"'!C9")&lt;1965, 0),
    INDIRECT("'"&amp;$D$35&amp;"'!GO_2028"),
    0
)
+IF(
    IFERROR(INDIRECT("'"&amp;$D$36&amp;"'!C9")&lt;1965, 0),
    INDIRECT("'"&amp;$D$36&amp;"'!GO_2028"),
    0
)
+IF(
    IFERROR(INDIRECT("'"&amp;$D$37&amp;"'!C9")&lt;1965, 0),
    INDIRECT("'"&amp;$D$37&amp;"'!GO_2028"),
    0
)
+IF(
    IFERROR(INDIRECT("'"&amp;$D$38&amp;"'!C9")&lt;1965, 0),
    INDIRECT("'"&amp;$D$38&amp;"'!GO_2028"),
    0
)
+IF(
    IFERROR(INDIRECT("'"&amp;$D$39&amp;"'!C9")&lt;1965, 0),
    INDIRECT("'"&amp;$D$39&amp;"'!GO_2028"),
    0
)
+IF(
    IFERROR(INDIRECT("'"&amp;$D$40&amp;"'!C9")&lt;1965, 0),
    INDIRECT("'"&amp;$D$40&amp;"'!GO_2028"),
    0
)
+IF(
    IFERROR(INDIRECT("'"&amp;$D$41&amp;"'!C9")&lt;1965, 0),
    INDIRECT("'"&amp;$D$41&amp;"'!GO_2028"),
    0
)
+IF(
    IFERROR(INDIRECT("'"&amp;$D$42&amp;"'!C9")&lt;1965, 0),
    INDIRECT("'"&amp;$D$42&amp;"'!GO_2028"),
    0
)
+IF(
    IFERROR(INDIRECT("'"&amp;$D$43&amp;"'!C9")&lt;1965, 0),
    INDIRECT("'"&amp;$D$43&amp;"'!GO_2028"),
    0
)
+IF(
    IFERROR(INDIRECT("'"&amp;$D$44&amp;"'!C9")&lt;1965, 0),
    INDIRECT("'"&amp;$D$44&amp;"'!GO_2028"),
    0
)
+IF(
    IFERROR(INDIRECT("'"&amp;$D$45&amp;"'!C9")&lt;1965, 0),
    INDIRECT("'"&amp;$D$45&amp;"'!GO_2028"),
    0
)
+IF(
    IFERROR(INDIRECT("'"&amp;$D$46&amp;"'!C9")&lt;1965, 0),
    INDIRECT("'"&amp;$D$46&amp;"'!GO_2028"),
    0
)
+IF(
    IFERROR(INDIRECT("'"&amp;$D$47&amp;"'!C9")&lt;1965, 0),
    INDIRECT("'"&amp;$D$47&amp;"'!GO_2028"),
    0
)
+IF(
    IFERROR(INDIRECT("'"&amp;$D$48&amp;"'!C9")&lt;1965, 0),
    INDIRECT("'"&amp;$D$48&amp;"'!GO_2028"),
    0
)
+IF(
    IFERROR(INDIRECT("'"&amp;$D$49&amp;"'!C9")&lt;1965, 0),
    INDIRECT("'"&amp;$D$49&amp;"'!GO_2028"),
    0
)
+IF(
    IFERROR(INDIRECT("'"&amp;$D$50&amp;"'!C9")&lt;1965, 0),
    INDIRECT("'"&amp;$D$50&amp;"'!GO_2028"),
    0
)
+IF(
    IFERROR(INDIRECT("'"&amp;$D$51&amp;"'!C9")&lt;1965, 0),
    INDIRECT("'"&amp;$D$51&amp;"'!GO_2028"),
    0
)
+IF(
    IFERROR(INDIRECT("'"&amp;$D$52&amp;"'!C9")&lt;1965, 0),
    INDIRECT("'"&amp;$D$52&amp;"'!GO_2028"),
    0
)
+IF(
    IFERROR(INDIRECT("'"&amp;$D$53&amp;"'!C9")&lt;1965, 0),
    INDIRECT("'"&amp;$D$53&amp;"'!GO_2028"),
    0
)
+IF(
    IFERROR(INDIRECT("'"&amp;$D$54&amp;"'!C9")&lt;1965, 0),
    INDIRECT("'"&amp;$D$54&amp;"'!GO_2028"),
    0
)</f>
        <v>3152.16</v>
      </c>
      <c r="S24" s="321">
        <f ca="1">IF(
    IFERROR(INDIRECT("'"&amp;$D$5&amp;"'!C9")&lt;1965, 0),
    INDIRECT("'"&amp;$D$5&amp;"'!GO_2029"),
    0
)
+IF(
    IFERROR(INDIRECT("'"&amp;$D$6&amp;"'!C9")&lt;1965, 0),
    INDIRECT("'"&amp;$D$6&amp;"'!GO_2029"),
    0
)
+IF(
    IFERROR(INDIRECT("'"&amp;$D$7&amp;"'!C9")&lt;1965, 0),
    INDIRECT("'"&amp;$D$7&amp;"'!GO_2029"),
    0
)
+IF(
    IFERROR(INDIRECT("'"&amp;$D$8&amp;"'!C9")&lt;1965, 0),
    INDIRECT("'"&amp;$D$8&amp;"'!GO_2029"),
    0
)
+IF(
    IFERROR(INDIRECT("'"&amp;$D$9&amp;"'!C9")&lt;1965, 0),
    INDIRECT("'"&amp;$D$9&amp;"'!GO_2029"),
    0
)
+IF(
    IFERROR(INDIRECT("'"&amp;$D$10&amp;"'!C9")&lt;1965, 0),
    INDIRECT("'"&amp;$D$10&amp;"'!GO_2029"),
    0
)
+IF(
    IFERROR(INDIRECT("'"&amp;$D$11&amp;"'!C9")&lt;1965, 0),
    INDIRECT("'"&amp;$D$11&amp;"'!GO_2029"),
    0
)
+IF(
    IFERROR(INDIRECT("'"&amp;$D$12&amp;"'!C9")&lt;1965, 0),
    INDIRECT("'"&amp;$D$12&amp;"'!GO_2029"),
    0
)
+IF(
    IFERROR(INDIRECT("'"&amp;$D$13&amp;"'!C9")&lt;1965, 0),
    INDIRECT("'"&amp;$D$13&amp;"'!GO_2029"),
    0
)
+IF(
    IFERROR(INDIRECT("'"&amp;$D$14&amp;"'!C9")&lt;1965, 0),
    INDIRECT("'"&amp;$D$14&amp;"'!GO_2029"),
    0
)
+IF(
    IFERROR(INDIRECT("'"&amp;$D$15&amp;"'!C9")&lt;1965, 0),
    INDIRECT("'"&amp;$D$15&amp;"'!GO_2029"),
    0
)
+IF(
    IFERROR(INDIRECT("'"&amp;$D$16&amp;"'!C9")&lt;1965, 0),
    INDIRECT("'"&amp;$D$16&amp;"'!GO_2029"),
    0
)
+IF(
    IFERROR(INDIRECT("'"&amp;$D$17&amp;"'!C9")&lt;1965, 0),
    INDIRECT("'"&amp;$D$17&amp;"'!GO_2029"),
    0
)
+IF(
    IFERROR(INDIRECT("'"&amp;$D$18&amp;"'!C9")&lt;1965, 0),
    INDIRECT("'"&amp;$D$18&amp;"'!GO_2029"),
    0
)
+IF(
    IFERROR(INDIRECT("'"&amp;$D$19&amp;"'!C9")&lt;1965, 0),
    INDIRECT("'"&amp;$D$19&amp;"'!GO_2029"),
    0
)
+IF(
    IFERROR(INDIRECT("'"&amp;$D$20&amp;"'!C9")&lt;1965, 0),
    INDIRECT("'"&amp;$D$20&amp;"'!GO_2029"),
    0
)
+IF(
    IFERROR(INDIRECT("'"&amp;$D$21&amp;"'!C9")&lt;1965, 0),
    INDIRECT("'"&amp;$D$21&amp;"'!GO_2029"),
    0
)
+IF(
    IFERROR(INDIRECT("'"&amp;$D$22&amp;"'!C9")&lt;1965, 0),
    INDIRECT("'"&amp;$D$22&amp;"'!GO_2029"),
    0
)
+IF(
    IFERROR(INDIRECT("'"&amp;$D$23&amp;"'!C9")&lt;1965, 0),
    INDIRECT("'"&amp;$D$23&amp;"'!GO_2029"),
    0
)
+IF(
    IFERROR(INDIRECT("'"&amp;$D$24&amp;"'!C9")&lt;1965, 0),
    INDIRECT("'"&amp;$D$24&amp;"'!GO_2029"),
    0
)
+IF(
    IFERROR(INDIRECT("'"&amp;$D$25&amp;"'!C9")&lt;1965, 0),
    INDIRECT("'"&amp;$D$25&amp;"'!GO_2029"),
    0
)
+IF(
    IFERROR(INDIRECT("'"&amp;$D$26&amp;"'!C9")&lt;1965, 0),
    INDIRECT("'"&amp;$D$26&amp;"'!GO_2029"),
    0
)
+IF(
    IFERROR(INDIRECT("'"&amp;$D$27&amp;"'!C9")&lt;1965, 0),
    INDIRECT("'"&amp;$D$27&amp;"'!GO_2029"),
    0
)
+IF(
    IFERROR(INDIRECT("'"&amp;$D$28&amp;"'!C9")&lt;1965, 0),
    INDIRECT("'"&amp;$D$28&amp;"'!GO_2029"),
    0
)
+IF(
    IFERROR(INDIRECT("'"&amp;$D$29&amp;"'!C9")&lt;1965, 0),
    INDIRECT("'"&amp;$D$29&amp;"'!GO_2029"),
    0
)
+IF(
    IFERROR(INDIRECT("'"&amp;$D$30&amp;"'!C9")&lt;1965, 0),
    INDIRECT("'"&amp;$D$30&amp;"'!GO_2029"),
    0
)
+IF(
    IFERROR(INDIRECT("'"&amp;$D$31&amp;"'!C9")&lt;1965, 0),
    INDIRECT("'"&amp;$D$31&amp;"'!GO_2029"),
    0
)
+IF(
    IFERROR(INDIRECT("'"&amp;$D$32&amp;"'!C9")&lt;1965, 0),
    INDIRECT("'"&amp;$D$32&amp;"'!GO_2029"),
    0
)
+IF(
    IFERROR(INDIRECT("'"&amp;$D$33&amp;"'!C9")&lt;1965, 0),
    INDIRECT("'"&amp;$D$33&amp;"'!GO_2029"),
    0
)
+IF(
    IFERROR(INDIRECT("'"&amp;$D$34&amp;"'!C9")&lt;1965, 0),
    INDIRECT("'"&amp;$D$34&amp;"'!GO_2029"),
    0
)
+IF(
    IFERROR(INDIRECT("'"&amp;$D$35&amp;"'!C9")&lt;1965, 0),
    INDIRECT("'"&amp;$D$35&amp;"'!GO_2029"),
    0
)
+IF(
    IFERROR(INDIRECT("'"&amp;$D$36&amp;"'!C9")&lt;1965, 0),
    INDIRECT("'"&amp;$D$36&amp;"'!GO_2029"),
    0
)
+IF(
    IFERROR(INDIRECT("'"&amp;$D$37&amp;"'!C9")&lt;1965, 0),
    INDIRECT("'"&amp;$D$37&amp;"'!GO_2029"),
    0
)
+IF(
    IFERROR(INDIRECT("'"&amp;$D$38&amp;"'!C9")&lt;1965, 0),
    INDIRECT("'"&amp;$D$38&amp;"'!GO_2029"),
    0
)
+IF(
    IFERROR(INDIRECT("'"&amp;$D$39&amp;"'!C9")&lt;1965, 0),
    INDIRECT("'"&amp;$D$39&amp;"'!GO_2029"),
    0
)
+IF(
    IFERROR(INDIRECT("'"&amp;$D$40&amp;"'!C9")&lt;1965, 0),
    INDIRECT("'"&amp;$D$40&amp;"'!GO_2029"),
    0
)
+IF(
    IFERROR(INDIRECT("'"&amp;$D$41&amp;"'!C9")&lt;1965, 0),
    INDIRECT("'"&amp;$D$41&amp;"'!GO_2029"),
    0
)
+IF(
    IFERROR(INDIRECT("'"&amp;$D$42&amp;"'!C9")&lt;1965, 0),
    INDIRECT("'"&amp;$D$42&amp;"'!GO_2029"),
    0
)
+IF(
    IFERROR(INDIRECT("'"&amp;$D$43&amp;"'!C9")&lt;1965, 0),
    INDIRECT("'"&amp;$D$43&amp;"'!GO_2029"),
    0
)
+IF(
    IFERROR(INDIRECT("'"&amp;$D$44&amp;"'!C9")&lt;1965, 0),
    INDIRECT("'"&amp;$D$44&amp;"'!GO_2029"),
    0
)
+IF(
    IFERROR(INDIRECT("'"&amp;$D$45&amp;"'!C9")&lt;1965, 0),
    INDIRECT("'"&amp;$D$45&amp;"'!GO_2029"),
    0
)
+IF(
    IFERROR(INDIRECT("'"&amp;$D$46&amp;"'!C9")&lt;1965, 0),
    INDIRECT("'"&amp;$D$46&amp;"'!GO_2029"),
    0
)
+IF(
    IFERROR(INDIRECT("'"&amp;$D$47&amp;"'!C9")&lt;1965, 0),
    INDIRECT("'"&amp;$D$47&amp;"'!GO_2029"),
    0
)
+IF(
    IFERROR(INDIRECT("'"&amp;$D$48&amp;"'!C9")&lt;1965, 0),
    INDIRECT("'"&amp;$D$48&amp;"'!GO_2029"),
    0
)
+IF(
    IFERROR(INDIRECT("'"&amp;$D$49&amp;"'!C9")&lt;1965, 0),
    INDIRECT("'"&amp;$D$49&amp;"'!GO_2029"),
    0
)
+IF(
    IFERROR(INDIRECT("'"&amp;$D$50&amp;"'!C9")&lt;1965, 0),
    INDIRECT("'"&amp;$D$50&amp;"'!GO_2029"),
    0
)
+IF(
    IFERROR(INDIRECT("'"&amp;$D$51&amp;"'!C9")&lt;1965, 0),
    INDIRECT("'"&amp;$D$51&amp;"'!GO_2029"),
    0
)
+IF(
    IFERROR(INDIRECT("'"&amp;$D$52&amp;"'!C9")&lt;1965, 0),
    INDIRECT("'"&amp;$D$52&amp;"'!GO_2029"),
    0
)
+IF(
    IFERROR(INDIRECT("'"&amp;$D$53&amp;"'!C9")&lt;1965, 0),
    INDIRECT("'"&amp;$D$53&amp;"'!GO_2029"),
    0
)
+IF(
    IFERROR(INDIRECT("'"&amp;$D$54&amp;"'!C9")&lt;1965, 0),
    INDIRECT("'"&amp;$D$54&amp;"'!GO_2029"),
    0
)</f>
        <v>3152.16</v>
      </c>
      <c r="T24" s="321">
        <f ca="1">IF(
    IFERROR(INDIRECT("'"&amp;$D$5&amp;"'!C9")&lt;1965, 0),
    INDIRECT("'"&amp;$D$5&amp;"'!GO_2030"),
    0
)
+IF(
    IFERROR(INDIRECT("'"&amp;$D$6&amp;"'!C9")&lt;1965, 0),
    INDIRECT("'"&amp;$D$6&amp;"'!GO_2030"),
    0
)
+IF(
    IFERROR(INDIRECT("'"&amp;$D$7&amp;"'!C9")&lt;1965, 0),
    INDIRECT("'"&amp;$D$7&amp;"'!GO_2030"),
    0
)
+IF(
    IFERROR(INDIRECT("'"&amp;$D$8&amp;"'!C9")&lt;1965, 0),
    INDIRECT("'"&amp;$D$8&amp;"'!GO_2030"),
    0
)
+IF(
    IFERROR(INDIRECT("'"&amp;$D$9&amp;"'!C9")&lt;1965, 0),
    INDIRECT("'"&amp;$D$9&amp;"'!GO_2030"),
    0
)
+IF(
    IFERROR(INDIRECT("'"&amp;$D$10&amp;"'!C9")&lt;1965, 0),
    INDIRECT("'"&amp;$D$10&amp;"'!GO_2030"),
    0
)
+IF(
    IFERROR(INDIRECT("'"&amp;$D$11&amp;"'!C9")&lt;1965, 0),
    INDIRECT("'"&amp;$D$11&amp;"'!GO_2030"),
    0
)
+IF(
    IFERROR(INDIRECT("'"&amp;$D$12&amp;"'!C9")&lt;1965, 0),
    INDIRECT("'"&amp;$D$12&amp;"'!GO_2030"),
    0
)
+IF(
    IFERROR(INDIRECT("'"&amp;$D$13&amp;"'!C9")&lt;1965, 0),
    INDIRECT("'"&amp;$D$13&amp;"'!GO_2030"),
    0
)
+IF(
    IFERROR(INDIRECT("'"&amp;$D$14&amp;"'!C9")&lt;1965, 0),
    INDIRECT("'"&amp;$D$14&amp;"'!GO_2030"),
    0
)
+IF(
    IFERROR(INDIRECT("'"&amp;$D$15&amp;"'!C9")&lt;1965, 0),
    INDIRECT("'"&amp;$D$15&amp;"'!GO_2030"),
    0
)
+IF(
    IFERROR(INDIRECT("'"&amp;$D$16&amp;"'!C9")&lt;1965, 0),
    INDIRECT("'"&amp;$D$16&amp;"'!GO_2030"),
    0
)
+IF(
    IFERROR(INDIRECT("'"&amp;$D$17&amp;"'!C9")&lt;1965, 0),
    INDIRECT("'"&amp;$D$17&amp;"'!GO_2030"),
    0
)
+IF(
    IFERROR(INDIRECT("'"&amp;$D$18&amp;"'!C9")&lt;1965, 0),
    INDIRECT("'"&amp;$D$18&amp;"'!GO_2030"),
    0
)
+IF(
    IFERROR(INDIRECT("'"&amp;$D$19&amp;"'!C9")&lt;1965, 0),
    INDIRECT("'"&amp;$D$19&amp;"'!GO_2030"),
    0
)
+IF(
    IFERROR(INDIRECT("'"&amp;$D$20&amp;"'!C9")&lt;1965, 0),
    INDIRECT("'"&amp;$D$20&amp;"'!GO_2030"),
    0
)
+IF(
    IFERROR(INDIRECT("'"&amp;$D$21&amp;"'!C9")&lt;1965, 0),
    INDIRECT("'"&amp;$D$21&amp;"'!GO_2030"),
    0
)
+IF(
    IFERROR(INDIRECT("'"&amp;$D$22&amp;"'!C9")&lt;1965, 0),
    INDIRECT("'"&amp;$D$22&amp;"'!GO_2030"),
    0
)
+IF(
    IFERROR(INDIRECT("'"&amp;$D$23&amp;"'!C9")&lt;1965, 0),
    INDIRECT("'"&amp;$D$23&amp;"'!GO_2030"),
    0
)
+IF(
    IFERROR(INDIRECT("'"&amp;$D$24&amp;"'!C9")&lt;1965, 0),
    INDIRECT("'"&amp;$D$24&amp;"'!GO_2030"),
    0
)
+IF(
    IFERROR(INDIRECT("'"&amp;$D$25&amp;"'!C9")&lt;1965, 0),
    INDIRECT("'"&amp;$D$25&amp;"'!GO_2030"),
    0
)
+IF(
    IFERROR(INDIRECT("'"&amp;$D$26&amp;"'!C9")&lt;1965, 0),
    INDIRECT("'"&amp;$D$26&amp;"'!GO_2030"),
    0
)
+IF(
    IFERROR(INDIRECT("'"&amp;$D$27&amp;"'!C9")&lt;1965, 0),
    INDIRECT("'"&amp;$D$27&amp;"'!GO_2030"),
    0
)
+IF(
    IFERROR(INDIRECT("'"&amp;$D$28&amp;"'!C9")&lt;1965, 0),
    INDIRECT("'"&amp;$D$28&amp;"'!GO_2030"),
    0
)
+IF(
    IFERROR(INDIRECT("'"&amp;$D$29&amp;"'!C9")&lt;1965, 0),
    INDIRECT("'"&amp;$D$29&amp;"'!GO_2030"),
    0
)
+IF(
    IFERROR(INDIRECT("'"&amp;$D$30&amp;"'!C9")&lt;1965, 0),
    INDIRECT("'"&amp;$D$30&amp;"'!GO_2030"),
    0
)
+IF(
    IFERROR(INDIRECT("'"&amp;$D$31&amp;"'!C9")&lt;1965, 0),
    INDIRECT("'"&amp;$D$31&amp;"'!GO_2030"),
    0
)
+IF(
    IFERROR(INDIRECT("'"&amp;$D$32&amp;"'!C9")&lt;1965, 0),
    INDIRECT("'"&amp;$D$32&amp;"'!GO_2030"),
    0
)
+IF(
    IFERROR(INDIRECT("'"&amp;$D$33&amp;"'!C9")&lt;1965, 0),
    INDIRECT("'"&amp;$D$33&amp;"'!GO_2030"),
    0
)
+IF(
    IFERROR(INDIRECT("'"&amp;$D$34&amp;"'!C9")&lt;1965, 0),
    INDIRECT("'"&amp;$D$34&amp;"'!GO_2030"),
    0
)
+IF(
    IFERROR(INDIRECT("'"&amp;$D$35&amp;"'!C9")&lt;1965, 0),
    INDIRECT("'"&amp;$D$35&amp;"'!GO_2030"),
    0
)
+IF(
    IFERROR(INDIRECT("'"&amp;$D$36&amp;"'!C9")&lt;1965, 0),
    INDIRECT("'"&amp;$D$36&amp;"'!GO_2030"),
    0
)
+IF(
    IFERROR(INDIRECT("'"&amp;$D$37&amp;"'!C9")&lt;1965, 0),
    INDIRECT("'"&amp;$D$37&amp;"'!GO_2030"),
    0
)
+IF(
    IFERROR(INDIRECT("'"&amp;$D$38&amp;"'!C9")&lt;1965, 0),
    INDIRECT("'"&amp;$D$38&amp;"'!GO_2030"),
    0
)
+IF(
    IFERROR(INDIRECT("'"&amp;$D$39&amp;"'!C9")&lt;1965, 0),
    INDIRECT("'"&amp;$D$39&amp;"'!GO_2030"),
    0
)
+IF(
    IFERROR(INDIRECT("'"&amp;$D$40&amp;"'!C9")&lt;1965, 0),
    INDIRECT("'"&amp;$D$40&amp;"'!GO_2030"),
    0
)
+IF(
    IFERROR(INDIRECT("'"&amp;$D$41&amp;"'!C9")&lt;1965, 0),
    INDIRECT("'"&amp;$D$41&amp;"'!GO_2030"),
    0
)
+IF(
    IFERROR(INDIRECT("'"&amp;$D$42&amp;"'!C9")&lt;1965, 0),
    INDIRECT("'"&amp;$D$42&amp;"'!GO_2030"),
    0
)
+IF(
    IFERROR(INDIRECT("'"&amp;$D$43&amp;"'!C9")&lt;1965, 0),
    INDIRECT("'"&amp;$D$43&amp;"'!GO_2030"),
    0
)
+IF(
    IFERROR(INDIRECT("'"&amp;$D$44&amp;"'!C9")&lt;1965, 0),
    INDIRECT("'"&amp;$D$44&amp;"'!GO_2030"),
    0
)
+IF(
    IFERROR(INDIRECT("'"&amp;$D$45&amp;"'!C9")&lt;1965, 0),
    INDIRECT("'"&amp;$D$45&amp;"'!GO_2030"),
    0
)
+IF(
    IFERROR(INDIRECT("'"&amp;$D$46&amp;"'!C9")&lt;1965, 0),
    INDIRECT("'"&amp;$D$46&amp;"'!GO_2030"),
    0
)
+IF(
    IFERROR(INDIRECT("'"&amp;$D$47&amp;"'!C9")&lt;1965, 0),
    INDIRECT("'"&amp;$D$47&amp;"'!GO_2030"),
    0
)
+IF(
    IFERROR(INDIRECT("'"&amp;$D$48&amp;"'!C9")&lt;1965, 0),
    INDIRECT("'"&amp;$D$48&amp;"'!GO_2030"),
    0
)
+IF(
    IFERROR(INDIRECT("'"&amp;$D$49&amp;"'!C9")&lt;1965, 0),
    INDIRECT("'"&amp;$D$49&amp;"'!GO_2030"),
    0
)
+IF(
    IFERROR(INDIRECT("'"&amp;$D$50&amp;"'!C9")&lt;1965, 0),
    INDIRECT("'"&amp;$D$50&amp;"'!GO_2030"),
    0
)
+IF(
    IFERROR(INDIRECT("'"&amp;$D$51&amp;"'!C9")&lt;1965, 0),
    INDIRECT("'"&amp;$D$51&amp;"'!GO_2030"),
    0
)
+IF(
    IFERROR(INDIRECT("'"&amp;$D$52&amp;"'!C9")&lt;1965, 0),
    INDIRECT("'"&amp;$D$52&amp;"'!GO_2030"),
    0
)
+IF(
    IFERROR(INDIRECT("'"&amp;$D$53&amp;"'!C9")&lt;1965, 0),
    INDIRECT("'"&amp;$D$53&amp;"'!GO_2030"),
    0
)
+IF(
    IFERROR(INDIRECT("'"&amp;$D$54&amp;"'!C9")&lt;1965, 0),
    INDIRECT("'"&amp;$D$54&amp;"'!GO_2030"),
    0
)</f>
        <v>3152.16</v>
      </c>
      <c r="U24" s="321">
        <f ca="1">IF(
    IFERROR(INDIRECT("'"&amp;$D$5&amp;"'!C9")&lt;1965, 0),
    INDIRECT("'"&amp;$D$5&amp;"'!GO_2031"),
    0
)
+IF(
    IFERROR(INDIRECT("'"&amp;$D$6&amp;"'!C9")&lt;1965, 0),
    INDIRECT("'"&amp;$D$6&amp;"'!GO_2031"),
    0
)
+IF(
    IFERROR(INDIRECT("'"&amp;$D$7&amp;"'!C9")&lt;1965, 0),
    INDIRECT("'"&amp;$D$7&amp;"'!GO_2031"),
    0
)
+IF(
    IFERROR(INDIRECT("'"&amp;$D$8&amp;"'!C9")&lt;1965, 0),
    INDIRECT("'"&amp;$D$8&amp;"'!GO_2031"),
    0
)
+IF(
    IFERROR(INDIRECT("'"&amp;$D$9&amp;"'!C9")&lt;1965, 0),
    INDIRECT("'"&amp;$D$9&amp;"'!GO_2031"),
    0
)
+IF(
    IFERROR(INDIRECT("'"&amp;$D$10&amp;"'!C9")&lt;1965, 0),
    INDIRECT("'"&amp;$D$10&amp;"'!GO_2031"),
    0
)
+IF(
    IFERROR(INDIRECT("'"&amp;$D$11&amp;"'!C9")&lt;1965, 0),
    INDIRECT("'"&amp;$D$11&amp;"'!GO_2031"),
    0
)
+IF(
    IFERROR(INDIRECT("'"&amp;$D$12&amp;"'!C9")&lt;1965, 0),
    INDIRECT("'"&amp;$D$12&amp;"'!GO_2031"),
    0
)
+IF(
    IFERROR(INDIRECT("'"&amp;$D$13&amp;"'!C9")&lt;1965, 0),
    INDIRECT("'"&amp;$D$13&amp;"'!GO_2031"),
    0
)
+IF(
    IFERROR(INDIRECT("'"&amp;$D$14&amp;"'!C9")&lt;1965, 0),
    INDIRECT("'"&amp;$D$14&amp;"'!GO_2031"),
    0
)
+IF(
    IFERROR(INDIRECT("'"&amp;$D$15&amp;"'!C9")&lt;1965, 0),
    INDIRECT("'"&amp;$D$15&amp;"'!GO_2031"),
    0
)
+IF(
    IFERROR(INDIRECT("'"&amp;$D$16&amp;"'!C9")&lt;1965, 0),
    INDIRECT("'"&amp;$D$16&amp;"'!GO_2031"),
    0
)
+IF(
    IFERROR(INDIRECT("'"&amp;$D$17&amp;"'!C9")&lt;1965, 0),
    INDIRECT("'"&amp;$D$17&amp;"'!GO_2031"),
    0
)
+IF(
    IFERROR(INDIRECT("'"&amp;$D$18&amp;"'!C9")&lt;1965, 0),
    INDIRECT("'"&amp;$D$18&amp;"'!GO_2031"),
    0
)
+IF(
    IFERROR(INDIRECT("'"&amp;$D$19&amp;"'!C9")&lt;1965, 0),
    INDIRECT("'"&amp;$D$19&amp;"'!GO_2031"),
    0
)
+IF(
    IFERROR(INDIRECT("'"&amp;$D$20&amp;"'!C9")&lt;1965, 0),
    INDIRECT("'"&amp;$D$20&amp;"'!GO_2031"),
    0
)
+IF(
    IFERROR(INDIRECT("'"&amp;$D$21&amp;"'!C9")&lt;1965, 0),
    INDIRECT("'"&amp;$D$21&amp;"'!GO_2031"),
    0
)
+IF(
    IFERROR(INDIRECT("'"&amp;$D$22&amp;"'!C9")&lt;1965, 0),
    INDIRECT("'"&amp;$D$22&amp;"'!GO_2031"),
    0
)
+IF(
    IFERROR(INDIRECT("'"&amp;$D$23&amp;"'!C9")&lt;1965, 0),
    INDIRECT("'"&amp;$D$23&amp;"'!GO_2031"),
    0
)
+IF(
    IFERROR(INDIRECT("'"&amp;$D$24&amp;"'!C9")&lt;1965, 0),
    INDIRECT("'"&amp;$D$24&amp;"'!GO_2031"),
    0
)
+IF(
    IFERROR(INDIRECT("'"&amp;$D$25&amp;"'!C9")&lt;1965, 0),
    INDIRECT("'"&amp;$D$25&amp;"'!GO_2031"),
    0
)
+IF(
    IFERROR(INDIRECT("'"&amp;$D$26&amp;"'!C9")&lt;1965, 0),
    INDIRECT("'"&amp;$D$26&amp;"'!GO_2031"),
    0
)
+IF(
    IFERROR(INDIRECT("'"&amp;$D$27&amp;"'!C9")&lt;1965, 0),
    INDIRECT("'"&amp;$D$27&amp;"'!GO_2031"),
    0
)
+IF(
    IFERROR(INDIRECT("'"&amp;$D$28&amp;"'!C9")&lt;1965, 0),
    INDIRECT("'"&amp;$D$28&amp;"'!GO_2031"),
    0
)
+IF(
    IFERROR(INDIRECT("'"&amp;$D$29&amp;"'!C9")&lt;1965, 0),
    INDIRECT("'"&amp;$D$29&amp;"'!GO_2031"),
    0
)
+IF(
    IFERROR(INDIRECT("'"&amp;$D$30&amp;"'!C9")&lt;1965, 0),
    INDIRECT("'"&amp;$D$30&amp;"'!GO_2031"),
    0
)
+IF(
    IFERROR(INDIRECT("'"&amp;$D$31&amp;"'!C9")&lt;1965, 0),
    INDIRECT("'"&amp;$D$31&amp;"'!GO_2031"),
    0
)
+IF(
    IFERROR(INDIRECT("'"&amp;$D$32&amp;"'!C9")&lt;1965, 0),
    INDIRECT("'"&amp;$D$32&amp;"'!GO_2031"),
    0
)
+IF(
    IFERROR(INDIRECT("'"&amp;$D$33&amp;"'!C9")&lt;1965, 0),
    INDIRECT("'"&amp;$D$33&amp;"'!GO_2031"),
    0
)
+IF(
    IFERROR(INDIRECT("'"&amp;$D$34&amp;"'!C9")&lt;1965, 0),
    INDIRECT("'"&amp;$D$34&amp;"'!GO_2031"),
    0
)
+IF(
    IFERROR(INDIRECT("'"&amp;$D$35&amp;"'!C9")&lt;1965, 0),
    INDIRECT("'"&amp;$D$35&amp;"'!GO_2031"),
    0
)
+IF(
    IFERROR(INDIRECT("'"&amp;$D$36&amp;"'!C9")&lt;1965, 0),
    INDIRECT("'"&amp;$D$36&amp;"'!GO_2031"),
    0
)
+IF(
    IFERROR(INDIRECT("'"&amp;$D$37&amp;"'!C9")&lt;1965, 0),
    INDIRECT("'"&amp;$D$37&amp;"'!GO_2031"),
    0
)
+IF(
    IFERROR(INDIRECT("'"&amp;$D$38&amp;"'!C9")&lt;1965, 0),
    INDIRECT("'"&amp;$D$38&amp;"'!GO_2031"),
    0
)
+IF(
    IFERROR(INDIRECT("'"&amp;$D$39&amp;"'!C9")&lt;1965, 0),
    INDIRECT("'"&amp;$D$39&amp;"'!GO_2031"),
    0
)
+IF(
    IFERROR(INDIRECT("'"&amp;$D$40&amp;"'!C9")&lt;1965, 0),
    INDIRECT("'"&amp;$D$40&amp;"'!GO_2031"),
    0
)
+IF(
    IFERROR(INDIRECT("'"&amp;$D$41&amp;"'!C9")&lt;1965, 0),
    INDIRECT("'"&amp;$D$41&amp;"'!GO_2031"),
    0
)
+IF(
    IFERROR(INDIRECT("'"&amp;$D$42&amp;"'!C9")&lt;1965, 0),
    INDIRECT("'"&amp;$D$42&amp;"'!GO_2031"),
    0
)
+IF(
    IFERROR(INDIRECT("'"&amp;$D$43&amp;"'!C9")&lt;1965, 0),
    INDIRECT("'"&amp;$D$43&amp;"'!GO_2031"),
    0
)
+IF(
    IFERROR(INDIRECT("'"&amp;$D$44&amp;"'!C9")&lt;1965, 0),
    INDIRECT("'"&amp;$D$44&amp;"'!GO_2031"),
    0
)
+IF(
    IFERROR(INDIRECT("'"&amp;$D$45&amp;"'!C9")&lt;1965, 0),
    INDIRECT("'"&amp;$D$45&amp;"'!GO_2031"),
    0
)
+IF(
    IFERROR(INDIRECT("'"&amp;$D$46&amp;"'!C9")&lt;1965, 0),
    INDIRECT("'"&amp;$D$46&amp;"'!GO_2031"),
    0
)
+IF(
    IFERROR(INDIRECT("'"&amp;$D$47&amp;"'!C9")&lt;1965, 0),
    INDIRECT("'"&amp;$D$47&amp;"'!GO_2031"),
    0
)
+IF(
    IFERROR(INDIRECT("'"&amp;$D$48&amp;"'!C9")&lt;1965, 0),
    INDIRECT("'"&amp;$D$48&amp;"'!GO_2031"),
    0
)
+IF(
    IFERROR(INDIRECT("'"&amp;$D$49&amp;"'!C9")&lt;1965, 0),
    INDIRECT("'"&amp;$D$49&amp;"'!GO_2031"),
    0
)
+IF(
    IFERROR(INDIRECT("'"&amp;$D$50&amp;"'!C9")&lt;1965, 0),
    INDIRECT("'"&amp;$D$50&amp;"'!GO_2031"),
    0
)
+IF(
    IFERROR(INDIRECT("'"&amp;$D$51&amp;"'!C9")&lt;1965, 0),
    INDIRECT("'"&amp;$D$51&amp;"'!GO_2031"),
    0
)
+IF(
    IFERROR(INDIRECT("'"&amp;$D$52&amp;"'!C9")&lt;1965, 0),
    INDIRECT("'"&amp;$D$52&amp;"'!GO_2031"),
    0
)
+IF(
    IFERROR(INDIRECT("'"&amp;$D$53&amp;"'!C9")&lt;1965, 0),
    INDIRECT("'"&amp;$D$53&amp;"'!GO_2031"),
    0
)
+IF(
    IFERROR(INDIRECT("'"&amp;$D$54&amp;"'!C9")&lt;1965, 0),
    INDIRECT("'"&amp;$D$54&amp;"'!GO_2031"),
    0
)</f>
        <v>3152.16</v>
      </c>
      <c r="V24" s="321">
        <f ca="1">IF(
    IFERROR(INDIRECT("'"&amp;$D$5&amp;"'!C9")&lt;1965, 0),
    INDIRECT("'"&amp;$D$5&amp;"'!GO_2032"),
    0
)
+IF(
    IFERROR(INDIRECT("'"&amp;$D$6&amp;"'!C9")&lt;1965, 0),
    INDIRECT("'"&amp;$D$6&amp;"'!GO_2032"),
    0
)
+IF(
    IFERROR(INDIRECT("'"&amp;$D$7&amp;"'!C9")&lt;1965, 0),
    INDIRECT("'"&amp;$D$7&amp;"'!GO_2032"),
    0
)
+IF(
    IFERROR(INDIRECT("'"&amp;$D$8&amp;"'!C9")&lt;1965, 0),
    INDIRECT("'"&amp;$D$8&amp;"'!GO_2032"),
    0
)
+IF(
    IFERROR(INDIRECT("'"&amp;$D$9&amp;"'!C9")&lt;1965, 0),
    INDIRECT("'"&amp;$D$9&amp;"'!GO_2032"),
    0
)
+IF(
    IFERROR(INDIRECT("'"&amp;$D$10&amp;"'!C9")&lt;1965, 0),
    INDIRECT("'"&amp;$D$10&amp;"'!GO_2032"),
    0
)
+IF(
    IFERROR(INDIRECT("'"&amp;$D$11&amp;"'!C9")&lt;1965, 0),
    INDIRECT("'"&amp;$D$11&amp;"'!GO_2032"),
    0
)
+IF(
    IFERROR(INDIRECT("'"&amp;$D$12&amp;"'!C9")&lt;1965, 0),
    INDIRECT("'"&amp;$D$12&amp;"'!GO_2032"),
    0
)
+IF(
    IFERROR(INDIRECT("'"&amp;$D$13&amp;"'!C9")&lt;1965, 0),
    INDIRECT("'"&amp;$D$13&amp;"'!GO_2032"),
    0
)
+IF(
    IFERROR(INDIRECT("'"&amp;$D$14&amp;"'!C9")&lt;1965, 0),
    INDIRECT("'"&amp;$D$14&amp;"'!GO_2032"),
    0
)
+IF(
    IFERROR(INDIRECT("'"&amp;$D$15&amp;"'!C9")&lt;1965, 0),
    INDIRECT("'"&amp;$D$15&amp;"'!GO_2032"),
    0
)
+IF(
    IFERROR(INDIRECT("'"&amp;$D$16&amp;"'!C9")&lt;1965, 0),
    INDIRECT("'"&amp;$D$16&amp;"'!GO_2032"),
    0
)
+IF(
    IFERROR(INDIRECT("'"&amp;$D$17&amp;"'!C9")&lt;1965, 0),
    INDIRECT("'"&amp;$D$17&amp;"'!GO_2032"),
    0
)
+IF(
    IFERROR(INDIRECT("'"&amp;$D$18&amp;"'!C9")&lt;1965, 0),
    INDIRECT("'"&amp;$D$18&amp;"'!GO_2032"),
    0
)
+IF(
    IFERROR(INDIRECT("'"&amp;$D$19&amp;"'!C9")&lt;1965, 0),
    INDIRECT("'"&amp;$D$19&amp;"'!GO_2032"),
    0
)
+IF(
    IFERROR(INDIRECT("'"&amp;$D$20&amp;"'!C9")&lt;1965, 0),
    INDIRECT("'"&amp;$D$20&amp;"'!GO_2032"),
    0
)
+IF(
    IFERROR(INDIRECT("'"&amp;$D$21&amp;"'!C9")&lt;1965, 0),
    INDIRECT("'"&amp;$D$21&amp;"'!GO_2032"),
    0
)
+IF(
    IFERROR(INDIRECT("'"&amp;$D$22&amp;"'!C9")&lt;1965, 0),
    INDIRECT("'"&amp;$D$22&amp;"'!GO_2032"),
    0
)
+IF(
    IFERROR(INDIRECT("'"&amp;$D$23&amp;"'!C9")&lt;1965, 0),
    INDIRECT("'"&amp;$D$23&amp;"'!GO_2032"),
    0
)
+IF(
    IFERROR(INDIRECT("'"&amp;$D$24&amp;"'!C9")&lt;1965, 0),
    INDIRECT("'"&amp;$D$24&amp;"'!GO_2032"),
    0
)
+IF(
    IFERROR(INDIRECT("'"&amp;$D$25&amp;"'!C9")&lt;1965, 0),
    INDIRECT("'"&amp;$D$25&amp;"'!GO_2032"),
    0
)
+IF(
    IFERROR(INDIRECT("'"&amp;$D$26&amp;"'!C9")&lt;1965, 0),
    INDIRECT("'"&amp;$D$26&amp;"'!GO_2032"),
    0
)
+IF(
    IFERROR(INDIRECT("'"&amp;$D$27&amp;"'!C9")&lt;1965, 0),
    INDIRECT("'"&amp;$D$27&amp;"'!GO_2032"),
    0
)
+IF(
    IFERROR(INDIRECT("'"&amp;$D$28&amp;"'!C9")&lt;1965, 0),
    INDIRECT("'"&amp;$D$28&amp;"'!GO_2032"),
    0
)
+IF(
    IFERROR(INDIRECT("'"&amp;$D$29&amp;"'!C9")&lt;1965, 0),
    INDIRECT("'"&amp;$D$29&amp;"'!GO_2032"),
    0
)
+IF(
    IFERROR(INDIRECT("'"&amp;$D$30&amp;"'!C9")&lt;1965, 0),
    INDIRECT("'"&amp;$D$30&amp;"'!GO_2032"),
    0
)
+IF(
    IFERROR(INDIRECT("'"&amp;$D$31&amp;"'!C9")&lt;1965, 0),
    INDIRECT("'"&amp;$D$31&amp;"'!GO_2032"),
    0
)
+IF(
    IFERROR(INDIRECT("'"&amp;$D$32&amp;"'!C9")&lt;1965, 0),
    INDIRECT("'"&amp;$D$32&amp;"'!GO_2032"),
    0
)
+IF(
    IFERROR(INDIRECT("'"&amp;$D$33&amp;"'!C9")&lt;1965, 0),
    INDIRECT("'"&amp;$D$33&amp;"'!GO_2032"),
    0
)
+IF(
    IFERROR(INDIRECT("'"&amp;$D$34&amp;"'!C9")&lt;1965, 0),
    INDIRECT("'"&amp;$D$34&amp;"'!GO_2032"),
    0
)
+IF(
    IFERROR(INDIRECT("'"&amp;$D$35&amp;"'!C9")&lt;1965, 0),
    INDIRECT("'"&amp;$D$35&amp;"'!GO_2032"),
    0
)
+IF(
    IFERROR(INDIRECT("'"&amp;$D$36&amp;"'!C9")&lt;1965, 0),
    INDIRECT("'"&amp;$D$36&amp;"'!GO_2032"),
    0
)
+IF(
    IFERROR(INDIRECT("'"&amp;$D$37&amp;"'!C9")&lt;1965, 0),
    INDIRECT("'"&amp;$D$37&amp;"'!GO_2032"),
    0
)
+IF(
    IFERROR(INDIRECT("'"&amp;$D$38&amp;"'!C9")&lt;1965, 0),
    INDIRECT("'"&amp;$D$38&amp;"'!GO_2032"),
    0
)
+IF(
    IFERROR(INDIRECT("'"&amp;$D$39&amp;"'!C9")&lt;1965, 0),
    INDIRECT("'"&amp;$D$39&amp;"'!GO_2032"),
    0
)
+IF(
    IFERROR(INDIRECT("'"&amp;$D$40&amp;"'!C9")&lt;1965, 0),
    INDIRECT("'"&amp;$D$40&amp;"'!GO_2032"),
    0
)
+IF(
    IFERROR(INDIRECT("'"&amp;$D$41&amp;"'!C9")&lt;1965, 0),
    INDIRECT("'"&amp;$D$41&amp;"'!GO_2032"),
    0
)
+IF(
    IFERROR(INDIRECT("'"&amp;$D$42&amp;"'!C9")&lt;1965, 0),
    INDIRECT("'"&amp;$D$42&amp;"'!GO_2032"),
    0
)
+IF(
    IFERROR(INDIRECT("'"&amp;$D$43&amp;"'!C9")&lt;1965, 0),
    INDIRECT("'"&amp;$D$43&amp;"'!GO_2032"),
    0
)
+IF(
    IFERROR(INDIRECT("'"&amp;$D$44&amp;"'!C9")&lt;1965, 0),
    INDIRECT("'"&amp;$D$44&amp;"'!GO_2032"),
    0
)
+IF(
    IFERROR(INDIRECT("'"&amp;$D$45&amp;"'!C9")&lt;1965, 0),
    INDIRECT("'"&amp;$D$45&amp;"'!GO_2032"),
    0
)
+IF(
    IFERROR(INDIRECT("'"&amp;$D$46&amp;"'!C9")&lt;1965, 0),
    INDIRECT("'"&amp;$D$46&amp;"'!GO_2032"),
    0
)
+IF(
    IFERROR(INDIRECT("'"&amp;$D$47&amp;"'!C9")&lt;1965, 0),
    INDIRECT("'"&amp;$D$47&amp;"'!GO_2032"),
    0
)
+IF(
    IFERROR(INDIRECT("'"&amp;$D$48&amp;"'!C9")&lt;1965, 0),
    INDIRECT("'"&amp;$D$48&amp;"'!GO_2032"),
    0
)
+IF(
    IFERROR(INDIRECT("'"&amp;$D$49&amp;"'!C9")&lt;1965, 0),
    INDIRECT("'"&amp;$D$49&amp;"'!GO_2032"),
    0
)
+IF(
    IFERROR(INDIRECT("'"&amp;$D$50&amp;"'!C9")&lt;1965, 0),
    INDIRECT("'"&amp;$D$50&amp;"'!GO_2032"),
    0
)
+IF(
    IFERROR(INDIRECT("'"&amp;$D$51&amp;"'!C9")&lt;1965, 0),
    INDIRECT("'"&amp;$D$51&amp;"'!GO_2032"),
    0
)
+IF(
    IFERROR(INDIRECT("'"&amp;$D$52&amp;"'!C9")&lt;1965, 0),
    INDIRECT("'"&amp;$D$52&amp;"'!GO_2032"),
    0
)
+IF(
    IFERROR(INDIRECT("'"&amp;$D$53&amp;"'!C9")&lt;1965, 0),
    INDIRECT("'"&amp;$D$53&amp;"'!GO_2032"),
    0
)
+IF(
    IFERROR(INDIRECT("'"&amp;$D$54&amp;"'!C9")&lt;1965, 0),
    INDIRECT("'"&amp;$D$54&amp;"'!GO_2032"),
    0
)</f>
        <v>3152.16</v>
      </c>
      <c r="W24" s="321">
        <f ca="1">IF(
    IFERROR(INDIRECT("'"&amp;$D$5&amp;"'!C9")&lt;1965, 0),
    INDIRECT("'"&amp;$D$5&amp;"'!GO_2033"),
    0
)
+IF(
    IFERROR(INDIRECT("'"&amp;$D$6&amp;"'!C9")&lt;1965, 0),
    INDIRECT("'"&amp;$D$6&amp;"'!GO_2033"),
    0
)
+IF(
    IFERROR(INDIRECT("'"&amp;$D$7&amp;"'!C9")&lt;1965, 0),
    INDIRECT("'"&amp;$D$7&amp;"'!GO_2033"),
    0
)
+IF(
    IFERROR(INDIRECT("'"&amp;$D$8&amp;"'!C9")&lt;1965, 0),
    INDIRECT("'"&amp;$D$8&amp;"'!GO_2033"),
    0
)
+IF(
    IFERROR(INDIRECT("'"&amp;$D$9&amp;"'!C9")&lt;1965, 0),
    INDIRECT("'"&amp;$D$9&amp;"'!GO_2033"),
    0
)
+IF(
    IFERROR(INDIRECT("'"&amp;$D$10&amp;"'!C9")&lt;1965, 0),
    INDIRECT("'"&amp;$D$10&amp;"'!GO_2033"),
    0
)
+IF(
    IFERROR(INDIRECT("'"&amp;$D$11&amp;"'!C9")&lt;1965, 0),
    INDIRECT("'"&amp;$D$11&amp;"'!GO_2033"),
    0
)
+IF(
    IFERROR(INDIRECT("'"&amp;$D$12&amp;"'!C9")&lt;1965, 0),
    INDIRECT("'"&amp;$D$12&amp;"'!GO_2033"),
    0
)
+IF(
    IFERROR(INDIRECT("'"&amp;$D$13&amp;"'!C9")&lt;1965, 0),
    INDIRECT("'"&amp;$D$13&amp;"'!GO_2033"),
    0
)
+IF(
    IFERROR(INDIRECT("'"&amp;$D$14&amp;"'!C9")&lt;1965, 0),
    INDIRECT("'"&amp;$D$14&amp;"'!GO_2033"),
    0
)
+IF(
    IFERROR(INDIRECT("'"&amp;$D$15&amp;"'!C9")&lt;1965, 0),
    INDIRECT("'"&amp;$D$15&amp;"'!GO_2033"),
    0
)
+IF(
    IFERROR(INDIRECT("'"&amp;$D$16&amp;"'!C9")&lt;1965, 0),
    INDIRECT("'"&amp;$D$16&amp;"'!GO_2033"),
    0
)
+IF(
    IFERROR(INDIRECT("'"&amp;$D$17&amp;"'!C9")&lt;1965, 0),
    INDIRECT("'"&amp;$D$17&amp;"'!GO_2033"),
    0
)
+IF(
    IFERROR(INDIRECT("'"&amp;$D$18&amp;"'!C9")&lt;1965, 0),
    INDIRECT("'"&amp;$D$18&amp;"'!GO_2033"),
    0
)
+IF(
    IFERROR(INDIRECT("'"&amp;$D$19&amp;"'!C9")&lt;1965, 0),
    INDIRECT("'"&amp;$D$19&amp;"'!GO_2033"),
    0
)
+IF(
    IFERROR(INDIRECT("'"&amp;$D$20&amp;"'!C9")&lt;1965, 0),
    INDIRECT("'"&amp;$D$20&amp;"'!GO_2033"),
    0
)
+IF(
    IFERROR(INDIRECT("'"&amp;$D$21&amp;"'!C9")&lt;1965, 0),
    INDIRECT("'"&amp;$D$21&amp;"'!GO_2033"),
    0
)
+IF(
    IFERROR(INDIRECT("'"&amp;$D$22&amp;"'!C9")&lt;1965, 0),
    INDIRECT("'"&amp;$D$22&amp;"'!GO_2033"),
    0
)
+IF(
    IFERROR(INDIRECT("'"&amp;$D$23&amp;"'!C9")&lt;1965, 0),
    INDIRECT("'"&amp;$D$23&amp;"'!GO_2033"),
    0
)
+IF(
    IFERROR(INDIRECT("'"&amp;$D$24&amp;"'!C9")&lt;1965, 0),
    INDIRECT("'"&amp;$D$24&amp;"'!GO_2033"),
    0
)
+IF(
    IFERROR(INDIRECT("'"&amp;$D$25&amp;"'!C9")&lt;1965, 0),
    INDIRECT("'"&amp;$D$25&amp;"'!GO_2033"),
    0
)
+IF(
    IFERROR(INDIRECT("'"&amp;$D$26&amp;"'!C9")&lt;1965, 0),
    INDIRECT("'"&amp;$D$26&amp;"'!GO_2033"),
    0
)
+IF(
    IFERROR(INDIRECT("'"&amp;$D$27&amp;"'!C9")&lt;1965, 0),
    INDIRECT("'"&amp;$D$27&amp;"'!GO_2033"),
    0
)
+IF(
    IFERROR(INDIRECT("'"&amp;$D$28&amp;"'!C9")&lt;1965, 0),
    INDIRECT("'"&amp;$D$28&amp;"'!GO_2033"),
    0
)
+IF(
    IFERROR(INDIRECT("'"&amp;$D$29&amp;"'!C9")&lt;1965, 0),
    INDIRECT("'"&amp;$D$29&amp;"'!GO_2033"),
    0
)
+IF(
    IFERROR(INDIRECT("'"&amp;$D$30&amp;"'!C9")&lt;1965, 0),
    INDIRECT("'"&amp;$D$30&amp;"'!GO_2033"),
    0
)
+IF(
    IFERROR(INDIRECT("'"&amp;$D$31&amp;"'!C9")&lt;1965, 0),
    INDIRECT("'"&amp;$D$31&amp;"'!GO_2033"),
    0
)
+IF(
    IFERROR(INDIRECT("'"&amp;$D$32&amp;"'!C9")&lt;1965, 0),
    INDIRECT("'"&amp;$D$32&amp;"'!GO_2033"),
    0
)
+IF(
    IFERROR(INDIRECT("'"&amp;$D$33&amp;"'!C9")&lt;1965, 0),
    INDIRECT("'"&amp;$D$33&amp;"'!GO_2033"),
    0
)
+IF(
    IFERROR(INDIRECT("'"&amp;$D$34&amp;"'!C9")&lt;1965, 0),
    INDIRECT("'"&amp;$D$34&amp;"'!GO_2033"),
    0
)
+IF(
    IFERROR(INDIRECT("'"&amp;$D$35&amp;"'!C9")&lt;1965, 0),
    INDIRECT("'"&amp;$D$35&amp;"'!GO_2033"),
    0
)
+IF(
    IFERROR(INDIRECT("'"&amp;$D$36&amp;"'!C9")&lt;1965, 0),
    INDIRECT("'"&amp;$D$36&amp;"'!GO_2033"),
    0
)
+IF(
    IFERROR(INDIRECT("'"&amp;$D$37&amp;"'!C9")&lt;1965, 0),
    INDIRECT("'"&amp;$D$37&amp;"'!GO_2033"),
    0
)
+IF(
    IFERROR(INDIRECT("'"&amp;$D$38&amp;"'!C9")&lt;1965, 0),
    INDIRECT("'"&amp;$D$38&amp;"'!GO_2033"),
    0
)
+IF(
    IFERROR(INDIRECT("'"&amp;$D$39&amp;"'!C9")&lt;1965, 0),
    INDIRECT("'"&amp;$D$39&amp;"'!GO_2033"),
    0
)
+IF(
    IFERROR(INDIRECT("'"&amp;$D$40&amp;"'!C9")&lt;1965, 0),
    INDIRECT("'"&amp;$D$40&amp;"'!GO_2033"),
    0
)
+IF(
    IFERROR(INDIRECT("'"&amp;$D$41&amp;"'!C9")&lt;1965, 0),
    INDIRECT("'"&amp;$D$41&amp;"'!GO_2033"),
    0
)
+IF(
    IFERROR(INDIRECT("'"&amp;$D$42&amp;"'!C9")&lt;1965, 0),
    INDIRECT("'"&amp;$D$42&amp;"'!GO_2033"),
    0
)
+IF(
    IFERROR(INDIRECT("'"&amp;$D$43&amp;"'!C9")&lt;1965, 0),
    INDIRECT("'"&amp;$D$43&amp;"'!GO_2033"),
    0
)
+IF(
    IFERROR(INDIRECT("'"&amp;$D$44&amp;"'!C9")&lt;1965, 0),
    INDIRECT("'"&amp;$D$44&amp;"'!GO_2033"),
    0
)
+IF(
    IFERROR(INDIRECT("'"&amp;$D$45&amp;"'!C9")&lt;1965, 0),
    INDIRECT("'"&amp;$D$45&amp;"'!GO_2033"),
    0
)
+IF(
    IFERROR(INDIRECT("'"&amp;$D$46&amp;"'!C9")&lt;1965, 0),
    INDIRECT("'"&amp;$D$46&amp;"'!GO_2033"),
    0
)
+IF(
    IFERROR(INDIRECT("'"&amp;$D$47&amp;"'!C9")&lt;1965, 0),
    INDIRECT("'"&amp;$D$47&amp;"'!GO_2033"),
    0
)
+IF(
    IFERROR(INDIRECT("'"&amp;$D$48&amp;"'!C9")&lt;1965, 0),
    INDIRECT("'"&amp;$D$48&amp;"'!GO_2033"),
    0
)
+IF(
    IFERROR(INDIRECT("'"&amp;$D$49&amp;"'!C9")&lt;1965, 0),
    INDIRECT("'"&amp;$D$49&amp;"'!GO_2033"),
    0
)
+IF(
    IFERROR(INDIRECT("'"&amp;$D$50&amp;"'!C9")&lt;1965, 0),
    INDIRECT("'"&amp;$D$50&amp;"'!GO_2033"),
    0
)
+IF(
    IFERROR(INDIRECT("'"&amp;$D$51&amp;"'!C9")&lt;1965, 0),
    INDIRECT("'"&amp;$D$51&amp;"'!GO_2033"),
    0
)
+IF(
    IFERROR(INDIRECT("'"&amp;$D$52&amp;"'!C9")&lt;1965, 0),
    INDIRECT("'"&amp;$D$52&amp;"'!GO_2033"),
    0
)
+IF(
    IFERROR(INDIRECT("'"&amp;$D$53&amp;"'!C9")&lt;1965, 0),
    INDIRECT("'"&amp;$D$53&amp;"'!GO_2033"),
    0
)
+IF(
    IFERROR(INDIRECT("'"&amp;$D$54&amp;"'!C9")&lt;1965, 0),
    INDIRECT("'"&amp;$D$54&amp;"'!GO_2033"),
    0
)</f>
        <v>3152.16</v>
      </c>
      <c r="X24" s="321">
        <f ca="1">IF(
    IFERROR(INDIRECT("'"&amp;$D$5&amp;"'!C9")&lt;1965, 0),
    INDIRECT("'"&amp;$D$5&amp;"'!GO_2034"),
    0
)
+IF(
    IFERROR(INDIRECT("'"&amp;$D$6&amp;"'!C9")&lt;1965, 0),
    INDIRECT("'"&amp;$D$6&amp;"'!GO_2034"),
    0
)
+IF(
    IFERROR(INDIRECT("'"&amp;$D$7&amp;"'!C9")&lt;1965, 0),
    INDIRECT("'"&amp;$D$7&amp;"'!GO_2034"),
    0
)
+IF(
    IFERROR(INDIRECT("'"&amp;$D$8&amp;"'!C9")&lt;1965, 0),
    INDIRECT("'"&amp;$D$8&amp;"'!GO_2034"),
    0
)
+IF(
    IFERROR(INDIRECT("'"&amp;$D$9&amp;"'!C9")&lt;1965, 0),
    INDIRECT("'"&amp;$D$9&amp;"'!GO_2034"),
    0
)
+IF(
    IFERROR(INDIRECT("'"&amp;$D$10&amp;"'!C9")&lt;1965, 0),
    INDIRECT("'"&amp;$D$10&amp;"'!GO_2034"),
    0
)
+IF(
    IFERROR(INDIRECT("'"&amp;$D$11&amp;"'!C9")&lt;1965, 0),
    INDIRECT("'"&amp;$D$11&amp;"'!GO_2034"),
    0
)
+IF(
    IFERROR(INDIRECT("'"&amp;$D$12&amp;"'!C9")&lt;1965, 0),
    INDIRECT("'"&amp;$D$12&amp;"'!GO_2034"),
    0
)
+IF(
    IFERROR(INDIRECT("'"&amp;$D$13&amp;"'!C9")&lt;1965, 0),
    INDIRECT("'"&amp;$D$13&amp;"'!GO_2034"),
    0
)
+IF(
    IFERROR(INDIRECT("'"&amp;$D$14&amp;"'!C9")&lt;1965, 0),
    INDIRECT("'"&amp;$D$14&amp;"'!GO_2034"),
    0
)
+IF(
    IFERROR(INDIRECT("'"&amp;$D$15&amp;"'!C9")&lt;1965, 0),
    INDIRECT("'"&amp;$D$15&amp;"'!GO_2034"),
    0
)
+IF(
    IFERROR(INDIRECT("'"&amp;$D$16&amp;"'!C9")&lt;1965, 0),
    INDIRECT("'"&amp;$D$16&amp;"'!GO_2034"),
    0
)
+IF(
    IFERROR(INDIRECT("'"&amp;$D$17&amp;"'!C9")&lt;1965, 0),
    INDIRECT("'"&amp;$D$17&amp;"'!GO_2034"),
    0
)
+IF(
    IFERROR(INDIRECT("'"&amp;$D$18&amp;"'!C9")&lt;1965, 0),
    INDIRECT("'"&amp;$D$18&amp;"'!GO_2034"),
    0
)
+IF(
    IFERROR(INDIRECT("'"&amp;$D$19&amp;"'!C9")&lt;1965, 0),
    INDIRECT("'"&amp;$D$19&amp;"'!GO_2034"),
    0
)
+IF(
    IFERROR(INDIRECT("'"&amp;$D$20&amp;"'!C9")&lt;1965, 0),
    INDIRECT("'"&amp;$D$20&amp;"'!GO_2034"),
    0
)
+IF(
    IFERROR(INDIRECT("'"&amp;$D$21&amp;"'!C9")&lt;1965, 0),
    INDIRECT("'"&amp;$D$21&amp;"'!GO_2034"),
    0
)
+IF(
    IFERROR(INDIRECT("'"&amp;$D$22&amp;"'!C9")&lt;1965, 0),
    INDIRECT("'"&amp;$D$22&amp;"'!GO_2034"),
    0
)
+IF(
    IFERROR(INDIRECT("'"&amp;$D$23&amp;"'!C9")&lt;1965, 0),
    INDIRECT("'"&amp;$D$23&amp;"'!GO_2034"),
    0
)
+IF(
    IFERROR(INDIRECT("'"&amp;$D$24&amp;"'!C9")&lt;1965, 0),
    INDIRECT("'"&amp;$D$24&amp;"'!GO_2034"),
    0
)
+IF(
    IFERROR(INDIRECT("'"&amp;$D$25&amp;"'!C9")&lt;1965, 0),
    INDIRECT("'"&amp;$D$25&amp;"'!GO_2034"),
    0
)
+IF(
    IFERROR(INDIRECT("'"&amp;$D$26&amp;"'!C9")&lt;1965, 0),
    INDIRECT("'"&amp;$D$26&amp;"'!GO_2034"),
    0
)
+IF(
    IFERROR(INDIRECT("'"&amp;$D$27&amp;"'!C9")&lt;1965, 0),
    INDIRECT("'"&amp;$D$27&amp;"'!GO_2034"),
    0
)
+IF(
    IFERROR(INDIRECT("'"&amp;$D$28&amp;"'!C9")&lt;1965, 0),
    INDIRECT("'"&amp;$D$28&amp;"'!GO_2034"),
    0
)
+IF(
    IFERROR(INDIRECT("'"&amp;$D$29&amp;"'!C9")&lt;1965, 0),
    INDIRECT("'"&amp;$D$29&amp;"'!GO_2034"),
    0
)
+IF(
    IFERROR(INDIRECT("'"&amp;$D$30&amp;"'!C9")&lt;1965, 0),
    INDIRECT("'"&amp;$D$30&amp;"'!GO_2034"),
    0
)
+IF(
    IFERROR(INDIRECT("'"&amp;$D$31&amp;"'!C9")&lt;1965, 0),
    INDIRECT("'"&amp;$D$31&amp;"'!GO_2034"),
    0
)
+IF(
    IFERROR(INDIRECT("'"&amp;$D$32&amp;"'!C9")&lt;1965, 0),
    INDIRECT("'"&amp;$D$32&amp;"'!GO_2034"),
    0
)
+IF(
    IFERROR(INDIRECT("'"&amp;$D$33&amp;"'!C9")&lt;1965, 0),
    INDIRECT("'"&amp;$D$33&amp;"'!GO_2034"),
    0
)
+IF(
    IFERROR(INDIRECT("'"&amp;$D$34&amp;"'!C9")&lt;1965, 0),
    INDIRECT("'"&amp;$D$34&amp;"'!GO_2034"),
    0
)
+IF(
    IFERROR(INDIRECT("'"&amp;$D$35&amp;"'!C9")&lt;1965, 0),
    INDIRECT("'"&amp;$D$35&amp;"'!GO_2034"),
    0
)
+IF(
    IFERROR(INDIRECT("'"&amp;$D$36&amp;"'!C9")&lt;1965, 0),
    INDIRECT("'"&amp;$D$36&amp;"'!GO_2034"),
    0
)
+IF(
    IFERROR(INDIRECT("'"&amp;$D$37&amp;"'!C9")&lt;1965, 0),
    INDIRECT("'"&amp;$D$37&amp;"'!GO_2034"),
    0
)
+IF(
    IFERROR(INDIRECT("'"&amp;$D$38&amp;"'!C9")&lt;1965, 0),
    INDIRECT("'"&amp;$D$38&amp;"'!GO_2034"),
    0
)
+IF(
    IFERROR(INDIRECT("'"&amp;$D$39&amp;"'!C9")&lt;1965, 0),
    INDIRECT("'"&amp;$D$39&amp;"'!GO_2034"),
    0
)
+IF(
    IFERROR(INDIRECT("'"&amp;$D$40&amp;"'!C9")&lt;1965, 0),
    INDIRECT("'"&amp;$D$40&amp;"'!GO_2034"),
    0
)
+IF(
    IFERROR(INDIRECT("'"&amp;$D$41&amp;"'!C9")&lt;1965, 0),
    INDIRECT("'"&amp;$D$41&amp;"'!GO_2034"),
    0
)
+IF(
    IFERROR(INDIRECT("'"&amp;$D$42&amp;"'!C9")&lt;1965, 0),
    INDIRECT("'"&amp;$D$42&amp;"'!GO_2034"),
    0
)
+IF(
    IFERROR(INDIRECT("'"&amp;$D$43&amp;"'!C9")&lt;1965, 0),
    INDIRECT("'"&amp;$D$43&amp;"'!GO_2034"),
    0
)
+IF(
    IFERROR(INDIRECT("'"&amp;$D$44&amp;"'!C9")&lt;1965, 0),
    INDIRECT("'"&amp;$D$44&amp;"'!GO_2034"),
    0
)
+IF(
    IFERROR(INDIRECT("'"&amp;$D$45&amp;"'!C9")&lt;1965, 0),
    INDIRECT("'"&amp;$D$45&amp;"'!GO_2034"),
    0
)
+IF(
    IFERROR(INDIRECT("'"&amp;$D$46&amp;"'!C9")&lt;1965, 0),
    INDIRECT("'"&amp;$D$46&amp;"'!GO_2034"),
    0
)
+IF(
    IFERROR(INDIRECT("'"&amp;$D$47&amp;"'!C9")&lt;1965, 0),
    INDIRECT("'"&amp;$D$47&amp;"'!GO_2034"),
    0
)
+IF(
    IFERROR(INDIRECT("'"&amp;$D$48&amp;"'!C9")&lt;1965, 0),
    INDIRECT("'"&amp;$D$48&amp;"'!GO_2034"),
    0
)
+IF(
    IFERROR(INDIRECT("'"&amp;$D$49&amp;"'!C9")&lt;1965, 0),
    INDIRECT("'"&amp;$D$49&amp;"'!GO_2034"),
    0
)
+IF(
    IFERROR(INDIRECT("'"&amp;$D$50&amp;"'!C9")&lt;1965, 0),
    INDIRECT("'"&amp;$D$50&amp;"'!GO_2034"),
    0
)
+IF(
    IFERROR(INDIRECT("'"&amp;$D$51&amp;"'!C9")&lt;1965, 0),
    INDIRECT("'"&amp;$D$51&amp;"'!GO_2034"),
    0
)
+IF(
    IFERROR(INDIRECT("'"&amp;$D$52&amp;"'!C9")&lt;1965, 0),
    INDIRECT("'"&amp;$D$52&amp;"'!GO_2034"),
    0
)
+IF(
    IFERROR(INDIRECT("'"&amp;$D$53&amp;"'!C9")&lt;1965, 0),
    INDIRECT("'"&amp;$D$53&amp;"'!GO_2034"),
    0
)
+IF(
    IFERROR(INDIRECT("'"&amp;$D$54&amp;"'!C9")&lt;1965, 0),
    INDIRECT("'"&amp;$D$54&amp;"'!GO_2034"),
    0
)</f>
        <v>3152.16</v>
      </c>
      <c r="Y24" s="321">
        <f ca="1">IF(
    IFERROR(INDIRECT("'"&amp;$D$5&amp;"'!C9")&lt;1965, 0),
    INDIRECT("'"&amp;$D$5&amp;"'!GO_2035"),
    0
)
+IF(
    IFERROR(INDIRECT("'"&amp;$D$6&amp;"'!C9")&lt;1965, 0),
    INDIRECT("'"&amp;$D$6&amp;"'!GO_2035"),
    0
)
+IF(
    IFERROR(INDIRECT("'"&amp;$D$7&amp;"'!C9")&lt;1965, 0),
    INDIRECT("'"&amp;$D$7&amp;"'!GO_2035"),
    0
)
+IF(
    IFERROR(INDIRECT("'"&amp;$D$8&amp;"'!C9")&lt;1965, 0),
    INDIRECT("'"&amp;$D$8&amp;"'!GO_2035"),
    0
)
+IF(
    IFERROR(INDIRECT("'"&amp;$D$9&amp;"'!C9")&lt;1965, 0),
    INDIRECT("'"&amp;$D$9&amp;"'!GO_2035"),
    0
)
+IF(
    IFERROR(INDIRECT("'"&amp;$D$10&amp;"'!C9")&lt;1965, 0),
    INDIRECT("'"&amp;$D$10&amp;"'!GO_2035"),
    0
)
+IF(
    IFERROR(INDIRECT("'"&amp;$D$11&amp;"'!C9")&lt;1965, 0),
    INDIRECT("'"&amp;$D$11&amp;"'!GO_2035"),
    0
)
+IF(
    IFERROR(INDIRECT("'"&amp;$D$12&amp;"'!C9")&lt;1965, 0),
    INDIRECT("'"&amp;$D$12&amp;"'!GO_2035"),
    0
)
+IF(
    IFERROR(INDIRECT("'"&amp;$D$13&amp;"'!C9")&lt;1965, 0),
    INDIRECT("'"&amp;$D$13&amp;"'!GO_2035"),
    0
)
+IF(
    IFERROR(INDIRECT("'"&amp;$D$14&amp;"'!C9")&lt;1965, 0),
    INDIRECT("'"&amp;$D$14&amp;"'!GO_2035"),
    0
)
+IF(
    IFERROR(INDIRECT("'"&amp;$D$15&amp;"'!C9")&lt;1965, 0),
    INDIRECT("'"&amp;$D$15&amp;"'!GO_2035"),
    0
)
+IF(
    IFERROR(INDIRECT("'"&amp;$D$16&amp;"'!C9")&lt;1965, 0),
    INDIRECT("'"&amp;$D$16&amp;"'!GO_2035"),
    0
)
+IF(
    IFERROR(INDIRECT("'"&amp;$D$17&amp;"'!C9")&lt;1965, 0),
    INDIRECT("'"&amp;$D$17&amp;"'!GO_2035"),
    0
)
+IF(
    IFERROR(INDIRECT("'"&amp;$D$18&amp;"'!C9")&lt;1965, 0),
    INDIRECT("'"&amp;$D$18&amp;"'!GO_2035"),
    0
)
+IF(
    IFERROR(INDIRECT("'"&amp;$D$19&amp;"'!C9")&lt;1965, 0),
    INDIRECT("'"&amp;$D$19&amp;"'!GO_2035"),
    0
)
+IF(
    IFERROR(INDIRECT("'"&amp;$D$20&amp;"'!C9")&lt;1965, 0),
    INDIRECT("'"&amp;$D$20&amp;"'!GO_2035"),
    0
)
+IF(
    IFERROR(INDIRECT("'"&amp;$D$21&amp;"'!C9")&lt;1965, 0),
    INDIRECT("'"&amp;$D$21&amp;"'!GO_2035"),
    0
)
+IF(
    IFERROR(INDIRECT("'"&amp;$D$22&amp;"'!C9")&lt;1965, 0),
    INDIRECT("'"&amp;$D$22&amp;"'!GO_2035"),
    0
)
+IF(
    IFERROR(INDIRECT("'"&amp;$D$23&amp;"'!C9")&lt;1965, 0),
    INDIRECT("'"&amp;$D$23&amp;"'!GO_2035"),
    0
)
+IF(
    IFERROR(INDIRECT("'"&amp;$D$24&amp;"'!C9")&lt;1965, 0),
    INDIRECT("'"&amp;$D$24&amp;"'!GO_2035"),
    0
)
+IF(
    IFERROR(INDIRECT("'"&amp;$D$25&amp;"'!C9")&lt;1965, 0),
    INDIRECT("'"&amp;$D$25&amp;"'!GO_2035"),
    0
)
+IF(
    IFERROR(INDIRECT("'"&amp;$D$26&amp;"'!C9")&lt;1965, 0),
    INDIRECT("'"&amp;$D$26&amp;"'!GO_2035"),
    0
)
+IF(
    IFERROR(INDIRECT("'"&amp;$D$27&amp;"'!C9")&lt;1965, 0),
    INDIRECT("'"&amp;$D$27&amp;"'!GO_2035"),
    0
)
+IF(
    IFERROR(INDIRECT("'"&amp;$D$28&amp;"'!C9")&lt;1965, 0),
    INDIRECT("'"&amp;$D$28&amp;"'!GO_2035"),
    0
)
+IF(
    IFERROR(INDIRECT("'"&amp;$D$29&amp;"'!C9")&lt;1965, 0),
    INDIRECT("'"&amp;$D$29&amp;"'!GO_2035"),
    0
)
+IF(
    IFERROR(INDIRECT("'"&amp;$D$30&amp;"'!C9")&lt;1965, 0),
    INDIRECT("'"&amp;$D$30&amp;"'!GO_2035"),
    0
)
+IF(
    IFERROR(INDIRECT("'"&amp;$D$31&amp;"'!C9")&lt;1965, 0),
    INDIRECT("'"&amp;$D$31&amp;"'!GO_2035"),
    0
)
+IF(
    IFERROR(INDIRECT("'"&amp;$D$32&amp;"'!C9")&lt;1965, 0),
    INDIRECT("'"&amp;$D$32&amp;"'!GO_2035"),
    0
)
+IF(
    IFERROR(INDIRECT("'"&amp;$D$33&amp;"'!C9")&lt;1965, 0),
    INDIRECT("'"&amp;$D$33&amp;"'!GO_2035"),
    0
)
+IF(
    IFERROR(INDIRECT("'"&amp;$D$34&amp;"'!C9")&lt;1965, 0),
    INDIRECT("'"&amp;$D$34&amp;"'!GO_2035"),
    0
)
+IF(
    IFERROR(INDIRECT("'"&amp;$D$35&amp;"'!C9")&lt;1965, 0),
    INDIRECT("'"&amp;$D$35&amp;"'!GO_2035"),
    0
)
+IF(
    IFERROR(INDIRECT("'"&amp;$D$36&amp;"'!C9")&lt;1965, 0),
    INDIRECT("'"&amp;$D$36&amp;"'!GO_2035"),
    0
)
+IF(
    IFERROR(INDIRECT("'"&amp;$D$37&amp;"'!C9")&lt;1965, 0),
    INDIRECT("'"&amp;$D$37&amp;"'!GO_2035"),
    0
)
+IF(
    IFERROR(INDIRECT("'"&amp;$D$38&amp;"'!C9")&lt;1965, 0),
    INDIRECT("'"&amp;$D$38&amp;"'!GO_2035"),
    0
)
+IF(
    IFERROR(INDIRECT("'"&amp;$D$39&amp;"'!C9")&lt;1965, 0),
    INDIRECT("'"&amp;$D$39&amp;"'!GO_2035"),
    0
)
+IF(
    IFERROR(INDIRECT("'"&amp;$D$40&amp;"'!C9")&lt;1965, 0),
    INDIRECT("'"&amp;$D$40&amp;"'!GO_2035"),
    0
)
+IF(
    IFERROR(INDIRECT("'"&amp;$D$41&amp;"'!C9")&lt;1965, 0),
    INDIRECT("'"&amp;$D$41&amp;"'!GO_2035"),
    0
)
+IF(
    IFERROR(INDIRECT("'"&amp;$D$42&amp;"'!C9")&lt;1965, 0),
    INDIRECT("'"&amp;$D$42&amp;"'!GO_2035"),
    0
)
+IF(
    IFERROR(INDIRECT("'"&amp;$D$43&amp;"'!C9")&lt;1965, 0),
    INDIRECT("'"&amp;$D$43&amp;"'!GO_2035"),
    0
)
+IF(
    IFERROR(INDIRECT("'"&amp;$D$44&amp;"'!C9")&lt;1965, 0),
    INDIRECT("'"&amp;$D$44&amp;"'!GO_2035"),
    0
)
+IF(
    IFERROR(INDIRECT("'"&amp;$D$45&amp;"'!C9")&lt;1965, 0),
    INDIRECT("'"&amp;$D$45&amp;"'!GO_2035"),
    0
)
+IF(
    IFERROR(INDIRECT("'"&amp;$D$46&amp;"'!C9")&lt;1965, 0),
    INDIRECT("'"&amp;$D$46&amp;"'!GO_2035"),
    0
)
+IF(
    IFERROR(INDIRECT("'"&amp;$D$47&amp;"'!C9")&lt;1965, 0),
    INDIRECT("'"&amp;$D$47&amp;"'!GO_2035"),
    0
)
+IF(
    IFERROR(INDIRECT("'"&amp;$D$48&amp;"'!C9")&lt;1965, 0),
    INDIRECT("'"&amp;$D$48&amp;"'!GO_2035"),
    0
)
+IF(
    IFERROR(INDIRECT("'"&amp;$D$49&amp;"'!C9")&lt;1965, 0),
    INDIRECT("'"&amp;$D$49&amp;"'!GO_2035"),
    0
)
+IF(
    IFERROR(INDIRECT("'"&amp;$D$50&amp;"'!C9")&lt;1965, 0),
    INDIRECT("'"&amp;$D$50&amp;"'!GO_2035"),
    0
)
+IF(
    IFERROR(INDIRECT("'"&amp;$D$51&amp;"'!C9")&lt;1965, 0),
    INDIRECT("'"&amp;$D$51&amp;"'!GO_2035"),
    0
)
+IF(
    IFERROR(INDIRECT("'"&amp;$D$52&amp;"'!C9")&lt;1965, 0),
    INDIRECT("'"&amp;$D$52&amp;"'!GO_2035"),
    0
)
+IF(
    IFERROR(INDIRECT("'"&amp;$D$53&amp;"'!C9")&lt;1965, 0),
    INDIRECT("'"&amp;$D$53&amp;"'!GO_2035"),
    0
)
+IF(
    IFERROR(INDIRECT("'"&amp;$D$54&amp;"'!C9")&lt;1965, 0),
    INDIRECT("'"&amp;$D$54&amp;"'!GO_2035"),
    0
)</f>
        <v>3152.16</v>
      </c>
      <c r="Z24" s="321">
        <f ca="1">IF(
    IFERROR(INDIRECT("'"&amp;$D$5&amp;"'!C9")&lt;1965, 0),
    INDIRECT("'"&amp;$D$5&amp;"'!GO_2036"),
    0
)
+IF(
    IFERROR(INDIRECT("'"&amp;$D$6&amp;"'!C9")&lt;1965, 0),
    INDIRECT("'"&amp;$D$6&amp;"'!GO_2036"),
    0
)
+IF(
    IFERROR(INDIRECT("'"&amp;$D$7&amp;"'!C9")&lt;1965, 0),
    INDIRECT("'"&amp;$D$7&amp;"'!GO_2036"),
    0
)
+IF(
    IFERROR(INDIRECT("'"&amp;$D$8&amp;"'!C9")&lt;1965, 0),
    INDIRECT("'"&amp;$D$8&amp;"'!GO_2036"),
    0
)
+IF(
    IFERROR(INDIRECT("'"&amp;$D$9&amp;"'!C9")&lt;1965, 0),
    INDIRECT("'"&amp;$D$9&amp;"'!GO_2036"),
    0
)
+IF(
    IFERROR(INDIRECT("'"&amp;$D$10&amp;"'!C9")&lt;1965, 0),
    INDIRECT("'"&amp;$D$10&amp;"'!GO_2036"),
    0
)
+IF(
    IFERROR(INDIRECT("'"&amp;$D$11&amp;"'!C9")&lt;1965, 0),
    INDIRECT("'"&amp;$D$11&amp;"'!GO_2036"),
    0
)
+IF(
    IFERROR(INDIRECT("'"&amp;$D$12&amp;"'!C9")&lt;1965, 0),
    INDIRECT("'"&amp;$D$12&amp;"'!GO_2036"),
    0
)
+IF(
    IFERROR(INDIRECT("'"&amp;$D$13&amp;"'!C9")&lt;1965, 0),
    INDIRECT("'"&amp;$D$13&amp;"'!GO_2036"),
    0
)
+IF(
    IFERROR(INDIRECT("'"&amp;$D$14&amp;"'!C9")&lt;1965, 0),
    INDIRECT("'"&amp;$D$14&amp;"'!GO_2036"),
    0
)
+IF(
    IFERROR(INDIRECT("'"&amp;$D$15&amp;"'!C9")&lt;1965, 0),
    INDIRECT("'"&amp;$D$15&amp;"'!GO_2036"),
    0
)
+IF(
    IFERROR(INDIRECT("'"&amp;$D$16&amp;"'!C9")&lt;1965, 0),
    INDIRECT("'"&amp;$D$16&amp;"'!GO_2036"),
    0
)
+IF(
    IFERROR(INDIRECT("'"&amp;$D$17&amp;"'!C9")&lt;1965, 0),
    INDIRECT("'"&amp;$D$17&amp;"'!GO_2036"),
    0
)
+IF(
    IFERROR(INDIRECT("'"&amp;$D$18&amp;"'!C9")&lt;1965, 0),
    INDIRECT("'"&amp;$D$18&amp;"'!GO_2036"),
    0
)
+IF(
    IFERROR(INDIRECT("'"&amp;$D$19&amp;"'!C9")&lt;1965, 0),
    INDIRECT("'"&amp;$D$19&amp;"'!GO_2036"),
    0
)
+IF(
    IFERROR(INDIRECT("'"&amp;$D$20&amp;"'!C9")&lt;1965, 0),
    INDIRECT("'"&amp;$D$20&amp;"'!GO_2036"),
    0
)
+IF(
    IFERROR(INDIRECT("'"&amp;$D$21&amp;"'!C9")&lt;1965, 0),
    INDIRECT("'"&amp;$D$21&amp;"'!GO_2036"),
    0
)
+IF(
    IFERROR(INDIRECT("'"&amp;$D$22&amp;"'!C9")&lt;1965, 0),
    INDIRECT("'"&amp;$D$22&amp;"'!GO_2036"),
    0
)
+IF(
    IFERROR(INDIRECT("'"&amp;$D$23&amp;"'!C9")&lt;1965, 0),
    INDIRECT("'"&amp;$D$23&amp;"'!GO_2036"),
    0
)
+IF(
    IFERROR(INDIRECT("'"&amp;$D$24&amp;"'!C9")&lt;1965, 0),
    INDIRECT("'"&amp;$D$24&amp;"'!GO_2036"),
    0
)
+IF(
    IFERROR(INDIRECT("'"&amp;$D$25&amp;"'!C9")&lt;1965, 0),
    INDIRECT("'"&amp;$D$25&amp;"'!GO_2036"),
    0
)
+IF(
    IFERROR(INDIRECT("'"&amp;$D$26&amp;"'!C9")&lt;1965, 0),
    INDIRECT("'"&amp;$D$26&amp;"'!GO_2036"),
    0
)
+IF(
    IFERROR(INDIRECT("'"&amp;$D$27&amp;"'!C9")&lt;1965, 0),
    INDIRECT("'"&amp;$D$27&amp;"'!GO_2036"),
    0
)
+IF(
    IFERROR(INDIRECT("'"&amp;$D$28&amp;"'!C9")&lt;1965, 0),
    INDIRECT("'"&amp;$D$28&amp;"'!GO_2036"),
    0
)
+IF(
    IFERROR(INDIRECT("'"&amp;$D$29&amp;"'!C9")&lt;1965, 0),
    INDIRECT("'"&amp;$D$29&amp;"'!GO_2036"),
    0
)
+IF(
    IFERROR(INDIRECT("'"&amp;$D$30&amp;"'!C9")&lt;1965, 0),
    INDIRECT("'"&amp;$D$30&amp;"'!GO_2036"),
    0
)
+IF(
    IFERROR(INDIRECT("'"&amp;$D$31&amp;"'!C9")&lt;1965, 0),
    INDIRECT("'"&amp;$D$31&amp;"'!GO_2036"),
    0
)
+IF(
    IFERROR(INDIRECT("'"&amp;$D$32&amp;"'!C9")&lt;1965, 0),
    INDIRECT("'"&amp;$D$32&amp;"'!GO_2036"),
    0
)
+IF(
    IFERROR(INDIRECT("'"&amp;$D$33&amp;"'!C9")&lt;1965, 0),
    INDIRECT("'"&amp;$D$33&amp;"'!GO_2036"),
    0
)
+IF(
    IFERROR(INDIRECT("'"&amp;$D$34&amp;"'!C9")&lt;1965, 0),
    INDIRECT("'"&amp;$D$34&amp;"'!GO_2036"),
    0
)
+IF(
    IFERROR(INDIRECT("'"&amp;$D$35&amp;"'!C9")&lt;1965, 0),
    INDIRECT("'"&amp;$D$35&amp;"'!GO_2036"),
    0
)
+IF(
    IFERROR(INDIRECT("'"&amp;$D$36&amp;"'!C9")&lt;1965, 0),
    INDIRECT("'"&amp;$D$36&amp;"'!GO_2036"),
    0
)
+IF(
    IFERROR(INDIRECT("'"&amp;$D$37&amp;"'!C9")&lt;1965, 0),
    INDIRECT("'"&amp;$D$37&amp;"'!GO_2036"),
    0
)
+IF(
    IFERROR(INDIRECT("'"&amp;$D$38&amp;"'!C9")&lt;1965, 0),
    INDIRECT("'"&amp;$D$38&amp;"'!GO_2036"),
    0
)
+IF(
    IFERROR(INDIRECT("'"&amp;$D$39&amp;"'!C9")&lt;1965, 0),
    INDIRECT("'"&amp;$D$39&amp;"'!GO_2036"),
    0
)
+IF(
    IFERROR(INDIRECT("'"&amp;$D$40&amp;"'!C9")&lt;1965, 0),
    INDIRECT("'"&amp;$D$40&amp;"'!GO_2036"),
    0
)
+IF(
    IFERROR(INDIRECT("'"&amp;$D$41&amp;"'!C9")&lt;1965, 0),
    INDIRECT("'"&amp;$D$41&amp;"'!GO_2036"),
    0
)
+IF(
    IFERROR(INDIRECT("'"&amp;$D$42&amp;"'!C9")&lt;1965, 0),
    INDIRECT("'"&amp;$D$42&amp;"'!GO_2036"),
    0
)
+IF(
    IFERROR(INDIRECT("'"&amp;$D$43&amp;"'!C9")&lt;1965, 0),
    INDIRECT("'"&amp;$D$43&amp;"'!GO_2036"),
    0
)
+IF(
    IFERROR(INDIRECT("'"&amp;$D$44&amp;"'!C9")&lt;1965, 0),
    INDIRECT("'"&amp;$D$44&amp;"'!GO_2036"),
    0
)
+IF(
    IFERROR(INDIRECT("'"&amp;$D$45&amp;"'!C9")&lt;1965, 0),
    INDIRECT("'"&amp;$D$45&amp;"'!GO_2036"),
    0
)
+IF(
    IFERROR(INDIRECT("'"&amp;$D$46&amp;"'!C9")&lt;1965, 0),
    INDIRECT("'"&amp;$D$46&amp;"'!GO_2036"),
    0
)
+IF(
    IFERROR(INDIRECT("'"&amp;$D$47&amp;"'!C9")&lt;1965, 0),
    INDIRECT("'"&amp;$D$47&amp;"'!GO_2036"),
    0
)
+IF(
    IFERROR(INDIRECT("'"&amp;$D$48&amp;"'!C9")&lt;1965, 0),
    INDIRECT("'"&amp;$D$48&amp;"'!GO_2036"),
    0
)
+IF(
    IFERROR(INDIRECT("'"&amp;$D$49&amp;"'!C9")&lt;1965, 0),
    INDIRECT("'"&amp;$D$49&amp;"'!GO_2036"),
    0
)
+IF(
    IFERROR(INDIRECT("'"&amp;$D$50&amp;"'!C9")&lt;1965, 0),
    INDIRECT("'"&amp;$D$50&amp;"'!GO_2036"),
    0
)
+IF(
    IFERROR(INDIRECT("'"&amp;$D$51&amp;"'!C9")&lt;1965, 0),
    INDIRECT("'"&amp;$D$51&amp;"'!GO_2036"),
    0
)
+IF(
    IFERROR(INDIRECT("'"&amp;$D$52&amp;"'!C9")&lt;1965, 0),
    INDIRECT("'"&amp;$D$52&amp;"'!GO_2036"),
    0
)
+IF(
    IFERROR(INDIRECT("'"&amp;$D$53&amp;"'!C9")&lt;1965, 0),
    INDIRECT("'"&amp;$D$53&amp;"'!GO_2036"),
    0
)
+IF(
    IFERROR(INDIRECT("'"&amp;$D$54&amp;"'!C9")&lt;1965, 0),
    INDIRECT("'"&amp;$D$54&amp;"'!GO_2036"),
    0
)</f>
        <v>3152.16</v>
      </c>
      <c r="AA24" s="321">
        <f ca="1">IF(
    IFERROR(INDIRECT("'"&amp;$D$5&amp;"'!C9")&lt;1965, 0),
    INDIRECT("'"&amp;$D$5&amp;"'!GO_2037"),
    0
)
+IF(
    IFERROR(INDIRECT("'"&amp;$D$6&amp;"'!C9")&lt;1965, 0),
    INDIRECT("'"&amp;$D$6&amp;"'!GO_2037"),
    0
)
+IF(
    IFERROR(INDIRECT("'"&amp;$D$7&amp;"'!C9")&lt;1965, 0),
    INDIRECT("'"&amp;$D$7&amp;"'!GO_2037"),
    0
)
+IF(
    IFERROR(INDIRECT("'"&amp;$D$8&amp;"'!C9")&lt;1965, 0),
    INDIRECT("'"&amp;$D$8&amp;"'!GO_2037"),
    0
)
+IF(
    IFERROR(INDIRECT("'"&amp;$D$9&amp;"'!C9")&lt;1965, 0),
    INDIRECT("'"&amp;$D$9&amp;"'!GO_2037"),
    0
)
+IF(
    IFERROR(INDIRECT("'"&amp;$D$10&amp;"'!C9")&lt;1965, 0),
    INDIRECT("'"&amp;$D$10&amp;"'!GO_2037"),
    0
)
+IF(
    IFERROR(INDIRECT("'"&amp;$D$11&amp;"'!C9")&lt;1965, 0),
    INDIRECT("'"&amp;$D$11&amp;"'!GO_2037"),
    0
)
+IF(
    IFERROR(INDIRECT("'"&amp;$D$12&amp;"'!C9")&lt;1965, 0),
    INDIRECT("'"&amp;$D$12&amp;"'!GO_2037"),
    0
)
+IF(
    IFERROR(INDIRECT("'"&amp;$D$13&amp;"'!C9")&lt;1965, 0),
    INDIRECT("'"&amp;$D$13&amp;"'!GO_2037"),
    0
)
+IF(
    IFERROR(INDIRECT("'"&amp;$D$14&amp;"'!C9")&lt;1965, 0),
    INDIRECT("'"&amp;$D$14&amp;"'!GO_2037"),
    0
)
+IF(
    IFERROR(INDIRECT("'"&amp;$D$15&amp;"'!C9")&lt;1965, 0),
    INDIRECT("'"&amp;$D$15&amp;"'!GO_2037"),
    0
)
+IF(
    IFERROR(INDIRECT("'"&amp;$D$16&amp;"'!C9")&lt;1965, 0),
    INDIRECT("'"&amp;$D$16&amp;"'!GO_2037"),
    0
)
+IF(
    IFERROR(INDIRECT("'"&amp;$D$17&amp;"'!C9")&lt;1965, 0),
    INDIRECT("'"&amp;$D$17&amp;"'!GO_2037"),
    0
)
+IF(
    IFERROR(INDIRECT("'"&amp;$D$18&amp;"'!C9")&lt;1965, 0),
    INDIRECT("'"&amp;$D$18&amp;"'!GO_2037"),
    0
)
+IF(
    IFERROR(INDIRECT("'"&amp;$D$19&amp;"'!C9")&lt;1965, 0),
    INDIRECT("'"&amp;$D$19&amp;"'!GO_2037"),
    0
)
+IF(
    IFERROR(INDIRECT("'"&amp;$D$20&amp;"'!C9")&lt;1965, 0),
    INDIRECT("'"&amp;$D$20&amp;"'!GO_2037"),
    0
)
+IF(
    IFERROR(INDIRECT("'"&amp;$D$21&amp;"'!C9")&lt;1965, 0),
    INDIRECT("'"&amp;$D$21&amp;"'!GO_2037"),
    0
)
+IF(
    IFERROR(INDIRECT("'"&amp;$D$22&amp;"'!C9")&lt;1965, 0),
    INDIRECT("'"&amp;$D$22&amp;"'!GO_2037"),
    0
)
+IF(
    IFERROR(INDIRECT("'"&amp;$D$23&amp;"'!C9")&lt;1965, 0),
    INDIRECT("'"&amp;$D$23&amp;"'!GO_2037"),
    0
)
+IF(
    IFERROR(INDIRECT("'"&amp;$D$24&amp;"'!C9")&lt;1965, 0),
    INDIRECT("'"&amp;$D$24&amp;"'!GO_2037"),
    0
)
+IF(
    IFERROR(INDIRECT("'"&amp;$D$25&amp;"'!C9")&lt;1965, 0),
    INDIRECT("'"&amp;$D$25&amp;"'!GO_2037"),
    0
)
+IF(
    IFERROR(INDIRECT("'"&amp;$D$26&amp;"'!C9")&lt;1965, 0),
    INDIRECT("'"&amp;$D$26&amp;"'!GO_2037"),
    0
)
+IF(
    IFERROR(INDIRECT("'"&amp;$D$27&amp;"'!C9")&lt;1965, 0),
    INDIRECT("'"&amp;$D$27&amp;"'!GO_2037"),
    0
)
+IF(
    IFERROR(INDIRECT("'"&amp;$D$28&amp;"'!C9")&lt;1965, 0),
    INDIRECT("'"&amp;$D$28&amp;"'!GO_2037"),
    0
)
+IF(
    IFERROR(INDIRECT("'"&amp;$D$29&amp;"'!C9")&lt;1965, 0),
    INDIRECT("'"&amp;$D$29&amp;"'!GO_2037"),
    0
)
+IF(
    IFERROR(INDIRECT("'"&amp;$D$30&amp;"'!C9")&lt;1965, 0),
    INDIRECT("'"&amp;$D$30&amp;"'!GO_2037"),
    0
)
+IF(
    IFERROR(INDIRECT("'"&amp;$D$31&amp;"'!C9")&lt;1965, 0),
    INDIRECT("'"&amp;$D$31&amp;"'!GO_2037"),
    0
)
+IF(
    IFERROR(INDIRECT("'"&amp;$D$32&amp;"'!C9")&lt;1965, 0),
    INDIRECT("'"&amp;$D$32&amp;"'!GO_2037"),
    0
)
+IF(
    IFERROR(INDIRECT("'"&amp;$D$33&amp;"'!C9")&lt;1965, 0),
    INDIRECT("'"&amp;$D$33&amp;"'!GO_2037"),
    0
)
+IF(
    IFERROR(INDIRECT("'"&amp;$D$34&amp;"'!C9")&lt;1965, 0),
    INDIRECT("'"&amp;$D$34&amp;"'!GO_2037"),
    0
)
+IF(
    IFERROR(INDIRECT("'"&amp;$D$35&amp;"'!C9")&lt;1965, 0),
    INDIRECT("'"&amp;$D$35&amp;"'!GO_2037"),
    0
)
+IF(
    IFERROR(INDIRECT("'"&amp;$D$36&amp;"'!C9")&lt;1965, 0),
    INDIRECT("'"&amp;$D$36&amp;"'!GO_2037"),
    0
)
+IF(
    IFERROR(INDIRECT("'"&amp;$D$37&amp;"'!C9")&lt;1965, 0),
    INDIRECT("'"&amp;$D$37&amp;"'!GO_2037"),
    0
)
+IF(
    IFERROR(INDIRECT("'"&amp;$D$38&amp;"'!C9")&lt;1965, 0),
    INDIRECT("'"&amp;$D$38&amp;"'!GO_2037"),
    0
)
+IF(
    IFERROR(INDIRECT("'"&amp;$D$39&amp;"'!C9")&lt;1965, 0),
    INDIRECT("'"&amp;$D$39&amp;"'!GO_2037"),
    0
)
+IF(
    IFERROR(INDIRECT("'"&amp;$D$40&amp;"'!C9")&lt;1965, 0),
    INDIRECT("'"&amp;$D$40&amp;"'!GO_2037"),
    0
)
+IF(
    IFERROR(INDIRECT("'"&amp;$D$41&amp;"'!C9")&lt;1965, 0),
    INDIRECT("'"&amp;$D$41&amp;"'!GO_2037"),
    0
)
+IF(
    IFERROR(INDIRECT("'"&amp;$D$42&amp;"'!C9")&lt;1965, 0),
    INDIRECT("'"&amp;$D$42&amp;"'!GO_2037"),
    0
)
+IF(
    IFERROR(INDIRECT("'"&amp;$D$43&amp;"'!C9")&lt;1965, 0),
    INDIRECT("'"&amp;$D$43&amp;"'!GO_2037"),
    0
)
+IF(
    IFERROR(INDIRECT("'"&amp;$D$44&amp;"'!C9")&lt;1965, 0),
    INDIRECT("'"&amp;$D$44&amp;"'!GO_2037"),
    0
)
+IF(
    IFERROR(INDIRECT("'"&amp;$D$45&amp;"'!C9")&lt;1965, 0),
    INDIRECT("'"&amp;$D$45&amp;"'!GO_2037"),
    0
)
+IF(
    IFERROR(INDIRECT("'"&amp;$D$46&amp;"'!C9")&lt;1965, 0),
    INDIRECT("'"&amp;$D$46&amp;"'!GO_2037"),
    0
)
+IF(
    IFERROR(INDIRECT("'"&amp;$D$47&amp;"'!C9")&lt;1965, 0),
    INDIRECT("'"&amp;$D$47&amp;"'!GO_2037"),
    0
)
+IF(
    IFERROR(INDIRECT("'"&amp;$D$48&amp;"'!C9")&lt;1965, 0),
    INDIRECT("'"&amp;$D$48&amp;"'!GO_2037"),
    0
)
+IF(
    IFERROR(INDIRECT("'"&amp;$D$49&amp;"'!C9")&lt;1965, 0),
    INDIRECT("'"&amp;$D$49&amp;"'!GO_2037"),
    0
)
+IF(
    IFERROR(INDIRECT("'"&amp;$D$50&amp;"'!C9")&lt;1965, 0),
    INDIRECT("'"&amp;$D$50&amp;"'!GO_2037"),
    0
)
+IF(
    IFERROR(INDIRECT("'"&amp;$D$51&amp;"'!C9")&lt;1965, 0),
    INDIRECT("'"&amp;$D$51&amp;"'!GO_2037"),
    0
)
+IF(
    IFERROR(INDIRECT("'"&amp;$D$52&amp;"'!C9")&lt;1965, 0),
    INDIRECT("'"&amp;$D$52&amp;"'!GO_2037"),
    0
)
+IF(
    IFERROR(INDIRECT("'"&amp;$D$53&amp;"'!C9")&lt;1965, 0),
    INDIRECT("'"&amp;$D$53&amp;"'!GO_2037"),
    0
)
+IF(
    IFERROR(INDIRECT("'"&amp;$D$54&amp;"'!C9")&lt;1965, 0),
    INDIRECT("'"&amp;$D$54&amp;"'!GO_2037"),
    0
)</f>
        <v>3152.16</v>
      </c>
      <c r="AB24" s="321">
        <f ca="1">IF(
    IFERROR(INDIRECT("'"&amp;$D$5&amp;"'!C9")&lt;1965, 0),
    INDIRECT("'"&amp;$D$5&amp;"'!GO_2038"),
    0
)
+IF(
    IFERROR(INDIRECT("'"&amp;$D$6&amp;"'!C9")&lt;1965, 0),
    INDIRECT("'"&amp;$D$6&amp;"'!GO_2038"),
    0
)
+IF(
    IFERROR(INDIRECT("'"&amp;$D$7&amp;"'!C9")&lt;1965, 0),
    INDIRECT("'"&amp;$D$7&amp;"'!GO_2038"),
    0
)
+IF(
    IFERROR(INDIRECT("'"&amp;$D$8&amp;"'!C9")&lt;1965, 0),
    INDIRECT("'"&amp;$D$8&amp;"'!GO_2038"),
    0
)
+IF(
    IFERROR(INDIRECT("'"&amp;$D$9&amp;"'!C9")&lt;1965, 0),
    INDIRECT("'"&amp;$D$9&amp;"'!GO_2038"),
    0
)
+IF(
    IFERROR(INDIRECT("'"&amp;$D$10&amp;"'!C9")&lt;1965, 0),
    INDIRECT("'"&amp;$D$10&amp;"'!GO_2038"),
    0
)
+IF(
    IFERROR(INDIRECT("'"&amp;$D$11&amp;"'!C9")&lt;1965, 0),
    INDIRECT("'"&amp;$D$11&amp;"'!GO_2038"),
    0
)
+IF(
    IFERROR(INDIRECT("'"&amp;$D$12&amp;"'!C9")&lt;1965, 0),
    INDIRECT("'"&amp;$D$12&amp;"'!GO_2038"),
    0
)
+IF(
    IFERROR(INDIRECT("'"&amp;$D$13&amp;"'!C9")&lt;1965, 0),
    INDIRECT("'"&amp;$D$13&amp;"'!GO_2038"),
    0
)
+IF(
    IFERROR(INDIRECT("'"&amp;$D$14&amp;"'!C9")&lt;1965, 0),
    INDIRECT("'"&amp;$D$14&amp;"'!GO_2038"),
    0
)
+IF(
    IFERROR(INDIRECT("'"&amp;$D$15&amp;"'!C9")&lt;1965, 0),
    INDIRECT("'"&amp;$D$15&amp;"'!GO_2038"),
    0
)
+IF(
    IFERROR(INDIRECT("'"&amp;$D$16&amp;"'!C9")&lt;1965, 0),
    INDIRECT("'"&amp;$D$16&amp;"'!GO_2038"),
    0
)
+IF(
    IFERROR(INDIRECT("'"&amp;$D$17&amp;"'!C9")&lt;1965, 0),
    INDIRECT("'"&amp;$D$17&amp;"'!GO_2038"),
    0
)
+IF(
    IFERROR(INDIRECT("'"&amp;$D$18&amp;"'!C9")&lt;1965, 0),
    INDIRECT("'"&amp;$D$18&amp;"'!GO_2038"),
    0
)
+IF(
    IFERROR(INDIRECT("'"&amp;$D$19&amp;"'!C9")&lt;1965, 0),
    INDIRECT("'"&amp;$D$19&amp;"'!GO_2038"),
    0
)
+IF(
    IFERROR(INDIRECT("'"&amp;$D$20&amp;"'!C9")&lt;1965, 0),
    INDIRECT("'"&amp;$D$20&amp;"'!GO_2038"),
    0
)
+IF(
    IFERROR(INDIRECT("'"&amp;$D$21&amp;"'!C9")&lt;1965, 0),
    INDIRECT("'"&amp;$D$21&amp;"'!GO_2038"),
    0
)
+IF(
    IFERROR(INDIRECT("'"&amp;$D$22&amp;"'!C9")&lt;1965, 0),
    INDIRECT("'"&amp;$D$22&amp;"'!GO_2038"),
    0
)
+IF(
    IFERROR(INDIRECT("'"&amp;$D$23&amp;"'!C9")&lt;1965, 0),
    INDIRECT("'"&amp;$D$23&amp;"'!GO_2038"),
    0
)
+IF(
    IFERROR(INDIRECT("'"&amp;$D$24&amp;"'!C9")&lt;1965, 0),
    INDIRECT("'"&amp;$D$24&amp;"'!GO_2038"),
    0
)
+IF(
    IFERROR(INDIRECT("'"&amp;$D$25&amp;"'!C9")&lt;1965, 0),
    INDIRECT("'"&amp;$D$25&amp;"'!GO_2038"),
    0
)
+IF(
    IFERROR(INDIRECT("'"&amp;$D$26&amp;"'!C9")&lt;1965, 0),
    INDIRECT("'"&amp;$D$26&amp;"'!GO_2038"),
    0
)
+IF(
    IFERROR(INDIRECT("'"&amp;$D$27&amp;"'!C9")&lt;1965, 0),
    INDIRECT("'"&amp;$D$27&amp;"'!GO_2038"),
    0
)
+IF(
    IFERROR(INDIRECT("'"&amp;$D$28&amp;"'!C9")&lt;1965, 0),
    INDIRECT("'"&amp;$D$28&amp;"'!GO_2038"),
    0
)
+IF(
    IFERROR(INDIRECT("'"&amp;$D$29&amp;"'!C9")&lt;1965, 0),
    INDIRECT("'"&amp;$D$29&amp;"'!GO_2038"),
    0
)
+IF(
    IFERROR(INDIRECT("'"&amp;$D$30&amp;"'!C9")&lt;1965, 0),
    INDIRECT("'"&amp;$D$30&amp;"'!GO_2038"),
    0
)
+IF(
    IFERROR(INDIRECT("'"&amp;$D$31&amp;"'!C9")&lt;1965, 0),
    INDIRECT("'"&amp;$D$31&amp;"'!GO_2038"),
    0
)
+IF(
    IFERROR(INDIRECT("'"&amp;$D$32&amp;"'!C9")&lt;1965, 0),
    INDIRECT("'"&amp;$D$32&amp;"'!GO_2038"),
    0
)
+IF(
    IFERROR(INDIRECT("'"&amp;$D$33&amp;"'!C9")&lt;1965, 0),
    INDIRECT("'"&amp;$D$33&amp;"'!GO_2038"),
    0
)
+IF(
    IFERROR(INDIRECT("'"&amp;$D$34&amp;"'!C9")&lt;1965, 0),
    INDIRECT("'"&amp;$D$34&amp;"'!GO_2038"),
    0
)
+IF(
    IFERROR(INDIRECT("'"&amp;$D$35&amp;"'!C9")&lt;1965, 0),
    INDIRECT("'"&amp;$D$35&amp;"'!GO_2038"),
    0
)
+IF(
    IFERROR(INDIRECT("'"&amp;$D$36&amp;"'!C9")&lt;1965, 0),
    INDIRECT("'"&amp;$D$36&amp;"'!GO_2038"),
    0
)
+IF(
    IFERROR(INDIRECT("'"&amp;$D$37&amp;"'!C9")&lt;1965, 0),
    INDIRECT("'"&amp;$D$37&amp;"'!GO_2038"),
    0
)
+IF(
    IFERROR(INDIRECT("'"&amp;$D$38&amp;"'!C9")&lt;1965, 0),
    INDIRECT("'"&amp;$D$38&amp;"'!GO_2038"),
    0
)
+IF(
    IFERROR(INDIRECT("'"&amp;$D$39&amp;"'!C9")&lt;1965, 0),
    INDIRECT("'"&amp;$D$39&amp;"'!GO_2038"),
    0
)
+IF(
    IFERROR(INDIRECT("'"&amp;$D$40&amp;"'!C9")&lt;1965, 0),
    INDIRECT("'"&amp;$D$40&amp;"'!GO_2038"),
    0
)
+IF(
    IFERROR(INDIRECT("'"&amp;$D$41&amp;"'!C9")&lt;1965, 0),
    INDIRECT("'"&amp;$D$41&amp;"'!GO_2038"),
    0
)
+IF(
    IFERROR(INDIRECT("'"&amp;$D$42&amp;"'!C9")&lt;1965, 0),
    INDIRECT("'"&amp;$D$42&amp;"'!GO_2038"),
    0
)
+IF(
    IFERROR(INDIRECT("'"&amp;$D$43&amp;"'!C9")&lt;1965, 0),
    INDIRECT("'"&amp;$D$43&amp;"'!GO_2038"),
    0
)
+IF(
    IFERROR(INDIRECT("'"&amp;$D$44&amp;"'!C9")&lt;1965, 0),
    INDIRECT("'"&amp;$D$44&amp;"'!GO_2038"),
    0
)
+IF(
    IFERROR(INDIRECT("'"&amp;$D$45&amp;"'!C9")&lt;1965, 0),
    INDIRECT("'"&amp;$D$45&amp;"'!GO_2038"),
    0
)
+IF(
    IFERROR(INDIRECT("'"&amp;$D$46&amp;"'!C9")&lt;1965, 0),
    INDIRECT("'"&amp;$D$46&amp;"'!GO_2038"),
    0
)
+IF(
    IFERROR(INDIRECT("'"&amp;$D$47&amp;"'!C9")&lt;1965, 0),
    INDIRECT("'"&amp;$D$47&amp;"'!GO_2038"),
    0
)
+IF(
    IFERROR(INDIRECT("'"&amp;$D$48&amp;"'!C9")&lt;1965, 0),
    INDIRECT("'"&amp;$D$48&amp;"'!GO_2038"),
    0
)
+IF(
    IFERROR(INDIRECT("'"&amp;$D$49&amp;"'!C9")&lt;1965, 0),
    INDIRECT("'"&amp;$D$49&amp;"'!GO_2038"),
    0
)
+IF(
    IFERROR(INDIRECT("'"&amp;$D$50&amp;"'!C9")&lt;1965, 0),
    INDIRECT("'"&amp;$D$50&amp;"'!GO_2038"),
    0
)
+IF(
    IFERROR(INDIRECT("'"&amp;$D$51&amp;"'!C9")&lt;1965, 0),
    INDIRECT("'"&amp;$D$51&amp;"'!GO_2038"),
    0
)
+IF(
    IFERROR(INDIRECT("'"&amp;$D$52&amp;"'!C9")&lt;1965, 0),
    INDIRECT("'"&amp;$D$52&amp;"'!GO_2038"),
    0
)
+IF(
    IFERROR(INDIRECT("'"&amp;$D$53&amp;"'!C9")&lt;1965, 0),
    INDIRECT("'"&amp;$D$53&amp;"'!GO_2038"),
    0
)
+IF(
    IFERROR(INDIRECT("'"&amp;$D$54&amp;"'!C9")&lt;1965, 0),
    INDIRECT("'"&amp;$D$54&amp;"'!GO_2038"),
    0
)</f>
        <v>3152.16</v>
      </c>
      <c r="AC24" s="321">
        <f ca="1">IF(
    IFERROR(INDIRECT("'"&amp;$D$5&amp;"'!C9")&lt;1965, 0),
    INDIRECT("'"&amp;$D$5&amp;"'!GO_2039"),
    0
)
+IF(
    IFERROR(INDIRECT("'"&amp;$D$6&amp;"'!C9")&lt;1965, 0),
    INDIRECT("'"&amp;$D$6&amp;"'!GO_2039"),
    0
)
+IF(
    IFERROR(INDIRECT("'"&amp;$D$7&amp;"'!C9")&lt;1965, 0),
    INDIRECT("'"&amp;$D$7&amp;"'!GO_2039"),
    0
)
+IF(
    IFERROR(INDIRECT("'"&amp;$D$8&amp;"'!C9")&lt;1965, 0),
    INDIRECT("'"&amp;$D$8&amp;"'!GO_2039"),
    0
)
+IF(
    IFERROR(INDIRECT("'"&amp;$D$9&amp;"'!C9")&lt;1965, 0),
    INDIRECT("'"&amp;$D$9&amp;"'!GO_2039"),
    0
)
+IF(
    IFERROR(INDIRECT("'"&amp;$D$10&amp;"'!C9")&lt;1965, 0),
    INDIRECT("'"&amp;$D$10&amp;"'!GO_2039"),
    0
)
+IF(
    IFERROR(INDIRECT("'"&amp;$D$11&amp;"'!C9")&lt;1965, 0),
    INDIRECT("'"&amp;$D$11&amp;"'!GO_2039"),
    0
)
+IF(
    IFERROR(INDIRECT("'"&amp;$D$12&amp;"'!C9")&lt;1965, 0),
    INDIRECT("'"&amp;$D$12&amp;"'!GO_2039"),
    0
)
+IF(
    IFERROR(INDIRECT("'"&amp;$D$13&amp;"'!C9")&lt;1965, 0),
    INDIRECT("'"&amp;$D$13&amp;"'!GO_2039"),
    0
)
+IF(
    IFERROR(INDIRECT("'"&amp;$D$14&amp;"'!C9")&lt;1965, 0),
    INDIRECT("'"&amp;$D$14&amp;"'!GO_2039"),
    0
)
+IF(
    IFERROR(INDIRECT("'"&amp;$D$15&amp;"'!C9")&lt;1965, 0),
    INDIRECT("'"&amp;$D$15&amp;"'!GO_2039"),
    0
)
+IF(
    IFERROR(INDIRECT("'"&amp;$D$16&amp;"'!C9")&lt;1965, 0),
    INDIRECT("'"&amp;$D$16&amp;"'!GO_2039"),
    0
)
+IF(
    IFERROR(INDIRECT("'"&amp;$D$17&amp;"'!C9")&lt;1965, 0),
    INDIRECT("'"&amp;$D$17&amp;"'!GO_2039"),
    0
)
+IF(
    IFERROR(INDIRECT("'"&amp;$D$18&amp;"'!C9")&lt;1965, 0),
    INDIRECT("'"&amp;$D$18&amp;"'!GO_2039"),
    0
)
+IF(
    IFERROR(INDIRECT("'"&amp;$D$19&amp;"'!C9")&lt;1965, 0),
    INDIRECT("'"&amp;$D$19&amp;"'!GO_2039"),
    0
)
+IF(
    IFERROR(INDIRECT("'"&amp;$D$20&amp;"'!C9")&lt;1965, 0),
    INDIRECT("'"&amp;$D$20&amp;"'!GO_2039"),
    0
)
+IF(
    IFERROR(INDIRECT("'"&amp;$D$21&amp;"'!C9")&lt;1965, 0),
    INDIRECT("'"&amp;$D$21&amp;"'!GO_2039"),
    0
)
+IF(
    IFERROR(INDIRECT("'"&amp;$D$22&amp;"'!C9")&lt;1965, 0),
    INDIRECT("'"&amp;$D$22&amp;"'!GO_2039"),
    0
)
+IF(
    IFERROR(INDIRECT("'"&amp;$D$23&amp;"'!C9")&lt;1965, 0),
    INDIRECT("'"&amp;$D$23&amp;"'!GO_2039"),
    0
)
+IF(
    IFERROR(INDIRECT("'"&amp;$D$24&amp;"'!C9")&lt;1965, 0),
    INDIRECT("'"&amp;$D$24&amp;"'!GO_2039"),
    0
)
+IF(
    IFERROR(INDIRECT("'"&amp;$D$25&amp;"'!C9")&lt;1965, 0),
    INDIRECT("'"&amp;$D$25&amp;"'!GO_2039"),
    0
)
+IF(
    IFERROR(INDIRECT("'"&amp;$D$26&amp;"'!C9")&lt;1965, 0),
    INDIRECT("'"&amp;$D$26&amp;"'!GO_2039"),
    0
)
+IF(
    IFERROR(INDIRECT("'"&amp;$D$27&amp;"'!C9")&lt;1965, 0),
    INDIRECT("'"&amp;$D$27&amp;"'!GO_2039"),
    0
)
+IF(
    IFERROR(INDIRECT("'"&amp;$D$28&amp;"'!C9")&lt;1965, 0),
    INDIRECT("'"&amp;$D$28&amp;"'!GO_2039"),
    0
)
+IF(
    IFERROR(INDIRECT("'"&amp;$D$29&amp;"'!C9")&lt;1965, 0),
    INDIRECT("'"&amp;$D$29&amp;"'!GO_2039"),
    0
)
+IF(
    IFERROR(INDIRECT("'"&amp;$D$30&amp;"'!C9")&lt;1965, 0),
    INDIRECT("'"&amp;$D$30&amp;"'!GO_2039"),
    0
)
+IF(
    IFERROR(INDIRECT("'"&amp;$D$31&amp;"'!C9")&lt;1965, 0),
    INDIRECT("'"&amp;$D$31&amp;"'!GO_2039"),
    0
)
+IF(
    IFERROR(INDIRECT("'"&amp;$D$32&amp;"'!C9")&lt;1965, 0),
    INDIRECT("'"&amp;$D$32&amp;"'!GO_2039"),
    0
)
+IF(
    IFERROR(INDIRECT("'"&amp;$D$33&amp;"'!C9")&lt;1965, 0),
    INDIRECT("'"&amp;$D$33&amp;"'!GO_2039"),
    0
)
+IF(
    IFERROR(INDIRECT("'"&amp;$D$34&amp;"'!C9")&lt;1965, 0),
    INDIRECT("'"&amp;$D$34&amp;"'!GO_2039"),
    0
)
+IF(
    IFERROR(INDIRECT("'"&amp;$D$35&amp;"'!C9")&lt;1965, 0),
    INDIRECT("'"&amp;$D$35&amp;"'!GO_2039"),
    0
)
+IF(
    IFERROR(INDIRECT("'"&amp;$D$36&amp;"'!C9")&lt;1965, 0),
    INDIRECT("'"&amp;$D$36&amp;"'!GO_2039"),
    0
)
+IF(
    IFERROR(INDIRECT("'"&amp;$D$37&amp;"'!C9")&lt;1965, 0),
    INDIRECT("'"&amp;$D$37&amp;"'!GO_2039"),
    0
)
+IF(
    IFERROR(INDIRECT("'"&amp;$D$38&amp;"'!C9")&lt;1965, 0),
    INDIRECT("'"&amp;$D$38&amp;"'!GO_2039"),
    0
)
+IF(
    IFERROR(INDIRECT("'"&amp;$D$39&amp;"'!C9")&lt;1965, 0),
    INDIRECT("'"&amp;$D$39&amp;"'!GO_2039"),
    0
)
+IF(
    IFERROR(INDIRECT("'"&amp;$D$40&amp;"'!C9")&lt;1965, 0),
    INDIRECT("'"&amp;$D$40&amp;"'!GO_2039"),
    0
)
+IF(
    IFERROR(INDIRECT("'"&amp;$D$41&amp;"'!C9")&lt;1965, 0),
    INDIRECT("'"&amp;$D$41&amp;"'!GO_2039"),
    0
)
+IF(
    IFERROR(INDIRECT("'"&amp;$D$42&amp;"'!C9")&lt;1965, 0),
    INDIRECT("'"&amp;$D$42&amp;"'!GO_2039"),
    0
)
+IF(
    IFERROR(INDIRECT("'"&amp;$D$43&amp;"'!C9")&lt;1965, 0),
    INDIRECT("'"&amp;$D$43&amp;"'!GO_2039"),
    0
)
+IF(
    IFERROR(INDIRECT("'"&amp;$D$44&amp;"'!C9")&lt;1965, 0),
    INDIRECT("'"&amp;$D$44&amp;"'!GO_2039"),
    0
)
+IF(
    IFERROR(INDIRECT("'"&amp;$D$45&amp;"'!C9")&lt;1965, 0),
    INDIRECT("'"&amp;$D$45&amp;"'!GO_2039"),
    0
)
+IF(
    IFERROR(INDIRECT("'"&amp;$D$46&amp;"'!C9")&lt;1965, 0),
    INDIRECT("'"&amp;$D$46&amp;"'!GO_2039"),
    0
)
+IF(
    IFERROR(INDIRECT("'"&amp;$D$47&amp;"'!C9")&lt;1965, 0),
    INDIRECT("'"&amp;$D$47&amp;"'!GO_2039"),
    0
)
+IF(
    IFERROR(INDIRECT("'"&amp;$D$48&amp;"'!C9")&lt;1965, 0),
    INDIRECT("'"&amp;$D$48&amp;"'!GO_2039"),
    0
)
+IF(
    IFERROR(INDIRECT("'"&amp;$D$49&amp;"'!C9")&lt;1965, 0),
    INDIRECT("'"&amp;$D$49&amp;"'!GO_2039"),
    0
)
+IF(
    IFERROR(INDIRECT("'"&amp;$D$50&amp;"'!C9")&lt;1965, 0),
    INDIRECT("'"&amp;$D$50&amp;"'!GO_2039"),
    0
)
+IF(
    IFERROR(INDIRECT("'"&amp;$D$51&amp;"'!C9")&lt;1965, 0),
    INDIRECT("'"&amp;$D$51&amp;"'!GO_2039"),
    0
)
+IF(
    IFERROR(INDIRECT("'"&amp;$D$52&amp;"'!C9")&lt;1965, 0),
    INDIRECT("'"&amp;$D$52&amp;"'!GO_2039"),
    0
)
+IF(
    IFERROR(INDIRECT("'"&amp;$D$53&amp;"'!C9")&lt;1965, 0),
    INDIRECT("'"&amp;$D$53&amp;"'!GO_2039"),
    0
)
+IF(
    IFERROR(INDIRECT("'"&amp;$D$54&amp;"'!C9")&lt;1965, 0),
    INDIRECT("'"&amp;$D$54&amp;"'!GO_2039"),
    0
)</f>
        <v>3152.16</v>
      </c>
      <c r="AD24" s="321">
        <f ca="1">IF(
    IFERROR(INDIRECT("'"&amp;$D$5&amp;"'!C9")&lt;1965, 0),
    INDIRECT("'"&amp;$D$5&amp;"'!GO_2040"),
    0
)
+IF(
    IFERROR(INDIRECT("'"&amp;$D$6&amp;"'!C9")&lt;1965, 0),
    INDIRECT("'"&amp;$D$6&amp;"'!GO_2040"),
    0
)
+IF(
    IFERROR(INDIRECT("'"&amp;$D$7&amp;"'!C9")&lt;1965, 0),
    INDIRECT("'"&amp;$D$7&amp;"'!GO_2040"),
    0
)
+IF(
    IFERROR(INDIRECT("'"&amp;$D$8&amp;"'!C9")&lt;1965, 0),
    INDIRECT("'"&amp;$D$8&amp;"'!GO_2040"),
    0
)
+IF(
    IFERROR(INDIRECT("'"&amp;$D$9&amp;"'!C9")&lt;1965, 0),
    INDIRECT("'"&amp;$D$9&amp;"'!GO_2040"),
    0
)
+IF(
    IFERROR(INDIRECT("'"&amp;$D$10&amp;"'!C9")&lt;1965, 0),
    INDIRECT("'"&amp;$D$10&amp;"'!GO_2040"),
    0
)
+IF(
    IFERROR(INDIRECT("'"&amp;$D$11&amp;"'!C9")&lt;1965, 0),
    INDIRECT("'"&amp;$D$11&amp;"'!GO_2040"),
    0
)
+IF(
    IFERROR(INDIRECT("'"&amp;$D$12&amp;"'!C9")&lt;1965, 0),
    INDIRECT("'"&amp;$D$12&amp;"'!GO_2040"),
    0
)
+IF(
    IFERROR(INDIRECT("'"&amp;$D$13&amp;"'!C9")&lt;1965, 0),
    INDIRECT("'"&amp;$D$13&amp;"'!GO_2040"),
    0
)
+IF(
    IFERROR(INDIRECT("'"&amp;$D$14&amp;"'!C9")&lt;1965, 0),
    INDIRECT("'"&amp;$D$14&amp;"'!GO_2040"),
    0
)
+IF(
    IFERROR(INDIRECT("'"&amp;$D$15&amp;"'!C9")&lt;1965, 0),
    INDIRECT("'"&amp;$D$15&amp;"'!GO_2040"),
    0
)
+IF(
    IFERROR(INDIRECT("'"&amp;$D$16&amp;"'!C9")&lt;1965, 0),
    INDIRECT("'"&amp;$D$16&amp;"'!GO_2040"),
    0
)
+IF(
    IFERROR(INDIRECT("'"&amp;$D$17&amp;"'!C9")&lt;1965, 0),
    INDIRECT("'"&amp;$D$17&amp;"'!GO_2040"),
    0
)
+IF(
    IFERROR(INDIRECT("'"&amp;$D$18&amp;"'!C9")&lt;1965, 0),
    INDIRECT("'"&amp;$D$18&amp;"'!GO_2040"),
    0
)
+IF(
    IFERROR(INDIRECT("'"&amp;$D$19&amp;"'!C9")&lt;1965, 0),
    INDIRECT("'"&amp;$D$19&amp;"'!GO_2040"),
    0
)
+IF(
    IFERROR(INDIRECT("'"&amp;$D$20&amp;"'!C9")&lt;1965, 0),
    INDIRECT("'"&amp;$D$20&amp;"'!GO_2040"),
    0
)
+IF(
    IFERROR(INDIRECT("'"&amp;$D$21&amp;"'!C9")&lt;1965, 0),
    INDIRECT("'"&amp;$D$21&amp;"'!GO_2040"),
    0
)
+IF(
    IFERROR(INDIRECT("'"&amp;$D$22&amp;"'!C9")&lt;1965, 0),
    INDIRECT("'"&amp;$D$22&amp;"'!GO_2040"),
    0
)
+IF(
    IFERROR(INDIRECT("'"&amp;$D$23&amp;"'!C9")&lt;1965, 0),
    INDIRECT("'"&amp;$D$23&amp;"'!GO_2040"),
    0
)
+IF(
    IFERROR(INDIRECT("'"&amp;$D$24&amp;"'!C9")&lt;1965, 0),
    INDIRECT("'"&amp;$D$24&amp;"'!GO_2040"),
    0
)
+IF(
    IFERROR(INDIRECT("'"&amp;$D$25&amp;"'!C9")&lt;1965, 0),
    INDIRECT("'"&amp;$D$25&amp;"'!GO_2040"),
    0
)
+IF(
    IFERROR(INDIRECT("'"&amp;$D$26&amp;"'!C9")&lt;1965, 0),
    INDIRECT("'"&amp;$D$26&amp;"'!GO_2040"),
    0
)
+IF(
    IFERROR(INDIRECT("'"&amp;$D$27&amp;"'!C9")&lt;1965, 0),
    INDIRECT("'"&amp;$D$27&amp;"'!GO_2040"),
    0
)
+IF(
    IFERROR(INDIRECT("'"&amp;$D$28&amp;"'!C9")&lt;1965, 0),
    INDIRECT("'"&amp;$D$28&amp;"'!GO_2040"),
    0
)
+IF(
    IFERROR(INDIRECT("'"&amp;$D$29&amp;"'!C9")&lt;1965, 0),
    INDIRECT("'"&amp;$D$29&amp;"'!GO_2040"),
    0
)
+IF(
    IFERROR(INDIRECT("'"&amp;$D$30&amp;"'!C9")&lt;1965, 0),
    INDIRECT("'"&amp;$D$30&amp;"'!GO_2040"),
    0
)
+IF(
    IFERROR(INDIRECT("'"&amp;$D$31&amp;"'!C9")&lt;1965, 0),
    INDIRECT("'"&amp;$D$31&amp;"'!GO_2040"),
    0
)
+IF(
    IFERROR(INDIRECT("'"&amp;$D$32&amp;"'!C9")&lt;1965, 0),
    INDIRECT("'"&amp;$D$32&amp;"'!GO_2040"),
    0
)
+IF(
    IFERROR(INDIRECT("'"&amp;$D$33&amp;"'!C9")&lt;1965, 0),
    INDIRECT("'"&amp;$D$33&amp;"'!GO_2040"),
    0
)
+IF(
    IFERROR(INDIRECT("'"&amp;$D$34&amp;"'!C9")&lt;1965, 0),
    INDIRECT("'"&amp;$D$34&amp;"'!GO_2040"),
    0
)
+IF(
    IFERROR(INDIRECT("'"&amp;$D$35&amp;"'!C9")&lt;1965, 0),
    INDIRECT("'"&amp;$D$35&amp;"'!GO_2040"),
    0
)
+IF(
    IFERROR(INDIRECT("'"&amp;$D$36&amp;"'!C9")&lt;1965, 0),
    INDIRECT("'"&amp;$D$36&amp;"'!GO_2040"),
    0
)
+IF(
    IFERROR(INDIRECT("'"&amp;$D$37&amp;"'!C9")&lt;1965, 0),
    INDIRECT("'"&amp;$D$37&amp;"'!GO_2040"),
    0
)
+IF(
    IFERROR(INDIRECT("'"&amp;$D$38&amp;"'!C9")&lt;1965, 0),
    INDIRECT("'"&amp;$D$38&amp;"'!GO_2040"),
    0
)
+IF(
    IFERROR(INDIRECT("'"&amp;$D$39&amp;"'!C9")&lt;1965, 0),
    INDIRECT("'"&amp;$D$39&amp;"'!GO_2040"),
    0
)
+IF(
    IFERROR(INDIRECT("'"&amp;$D$40&amp;"'!C9")&lt;1965, 0),
    INDIRECT("'"&amp;$D$40&amp;"'!GO_2040"),
    0
)
+IF(
    IFERROR(INDIRECT("'"&amp;$D$41&amp;"'!C9")&lt;1965, 0),
    INDIRECT("'"&amp;$D$41&amp;"'!GO_2040"),
    0
)
+IF(
    IFERROR(INDIRECT("'"&amp;$D$42&amp;"'!C9")&lt;1965, 0),
    INDIRECT("'"&amp;$D$42&amp;"'!GO_2040"),
    0
)
+IF(
    IFERROR(INDIRECT("'"&amp;$D$43&amp;"'!C9")&lt;1965, 0),
    INDIRECT("'"&amp;$D$43&amp;"'!GO_2040"),
    0
)
+IF(
    IFERROR(INDIRECT("'"&amp;$D$44&amp;"'!C9")&lt;1965, 0),
    INDIRECT("'"&amp;$D$44&amp;"'!GO_2040"),
    0
)
+IF(
    IFERROR(INDIRECT("'"&amp;$D$45&amp;"'!C9")&lt;1965, 0),
    INDIRECT("'"&amp;$D$45&amp;"'!GO_2040"),
    0
)
+IF(
    IFERROR(INDIRECT("'"&amp;$D$46&amp;"'!C9")&lt;1965, 0),
    INDIRECT("'"&amp;$D$46&amp;"'!GO_2040"),
    0
)
+IF(
    IFERROR(INDIRECT("'"&amp;$D$47&amp;"'!C9")&lt;1965, 0),
    INDIRECT("'"&amp;$D$47&amp;"'!GO_2040"),
    0
)
+IF(
    IFERROR(INDIRECT("'"&amp;$D$48&amp;"'!C9")&lt;1965, 0),
    INDIRECT("'"&amp;$D$48&amp;"'!GO_2040"),
    0
)
+IF(
    IFERROR(INDIRECT("'"&amp;$D$49&amp;"'!C9")&lt;1965, 0),
    INDIRECT("'"&amp;$D$49&amp;"'!GO_2040"),
    0
)
+IF(
    IFERROR(INDIRECT("'"&amp;$D$50&amp;"'!C9")&lt;1965, 0),
    INDIRECT("'"&amp;$D$50&amp;"'!GO_2040"),
    0
)
+IF(
    IFERROR(INDIRECT("'"&amp;$D$51&amp;"'!C9")&lt;1965, 0),
    INDIRECT("'"&amp;$D$51&amp;"'!GO_2040"),
    0
)
+IF(
    IFERROR(INDIRECT("'"&amp;$D$52&amp;"'!C9")&lt;1965, 0),
    INDIRECT("'"&amp;$D$52&amp;"'!GO_2040"),
    0
)
+IF(
    IFERROR(INDIRECT("'"&amp;$D$53&amp;"'!C9")&lt;1965, 0),
    INDIRECT("'"&amp;$D$53&amp;"'!GO_2040"),
    0
)
+IF(
    IFERROR(INDIRECT("'"&amp;$D$54&amp;"'!C9")&lt;1965, 0),
    INDIRECT("'"&amp;$D$54&amp;"'!GO_2040"),
    0
)</f>
        <v>3152.16</v>
      </c>
      <c r="AE24" s="321">
        <f ca="1">IF(
    IFERROR(INDIRECT("'"&amp;$D$5&amp;"'!C9")&lt;1965, 0),
    INDIRECT("'"&amp;$D$5&amp;"'!GO_2041"),
    0
)
+IF(
    IFERROR(INDIRECT("'"&amp;$D$6&amp;"'!C9")&lt;1965, 0),
    INDIRECT("'"&amp;$D$6&amp;"'!GO_2041"),
    0
)
+IF(
    IFERROR(INDIRECT("'"&amp;$D$7&amp;"'!C9")&lt;1965, 0),
    INDIRECT("'"&amp;$D$7&amp;"'!GO_2041"),
    0
)
+IF(
    IFERROR(INDIRECT("'"&amp;$D$8&amp;"'!C9")&lt;1965, 0),
    INDIRECT("'"&amp;$D$8&amp;"'!GO_2041"),
    0
)
+IF(
    IFERROR(INDIRECT("'"&amp;$D$9&amp;"'!C9")&lt;1965, 0),
    INDIRECT("'"&amp;$D$9&amp;"'!GO_2041"),
    0
)
+IF(
    IFERROR(INDIRECT("'"&amp;$D$10&amp;"'!C9")&lt;1965, 0),
    INDIRECT("'"&amp;$D$10&amp;"'!GO_2041"),
    0
)
+IF(
    IFERROR(INDIRECT("'"&amp;$D$11&amp;"'!C9")&lt;1965, 0),
    INDIRECT("'"&amp;$D$11&amp;"'!GO_2041"),
    0
)
+IF(
    IFERROR(INDIRECT("'"&amp;$D$12&amp;"'!C9")&lt;1965, 0),
    INDIRECT("'"&amp;$D$12&amp;"'!GO_2041"),
    0
)
+IF(
    IFERROR(INDIRECT("'"&amp;$D$13&amp;"'!C9")&lt;1965, 0),
    INDIRECT("'"&amp;$D$13&amp;"'!GO_2041"),
    0
)
+IF(
    IFERROR(INDIRECT("'"&amp;$D$14&amp;"'!C9")&lt;1965, 0),
    INDIRECT("'"&amp;$D$14&amp;"'!GO_2041"),
    0
)
+IF(
    IFERROR(INDIRECT("'"&amp;$D$15&amp;"'!C9")&lt;1965, 0),
    INDIRECT("'"&amp;$D$15&amp;"'!GO_2041"),
    0
)
+IF(
    IFERROR(INDIRECT("'"&amp;$D$16&amp;"'!C9")&lt;1965, 0),
    INDIRECT("'"&amp;$D$16&amp;"'!GO_2041"),
    0
)
+IF(
    IFERROR(INDIRECT("'"&amp;$D$17&amp;"'!C9")&lt;1965, 0),
    INDIRECT("'"&amp;$D$17&amp;"'!GO_2041"),
    0
)
+IF(
    IFERROR(INDIRECT("'"&amp;$D$18&amp;"'!C9")&lt;1965, 0),
    INDIRECT("'"&amp;$D$18&amp;"'!GO_2041"),
    0
)
+IF(
    IFERROR(INDIRECT("'"&amp;$D$19&amp;"'!C9")&lt;1965, 0),
    INDIRECT("'"&amp;$D$19&amp;"'!GO_2041"),
    0
)
+IF(
    IFERROR(INDIRECT("'"&amp;$D$20&amp;"'!C9")&lt;1965, 0),
    INDIRECT("'"&amp;$D$20&amp;"'!GO_2041"),
    0
)
+IF(
    IFERROR(INDIRECT("'"&amp;$D$21&amp;"'!C9")&lt;1965, 0),
    INDIRECT("'"&amp;$D$21&amp;"'!GO_2041"),
    0
)
+IF(
    IFERROR(INDIRECT("'"&amp;$D$22&amp;"'!C9")&lt;1965, 0),
    INDIRECT("'"&amp;$D$22&amp;"'!GO_2041"),
    0
)
+IF(
    IFERROR(INDIRECT("'"&amp;$D$23&amp;"'!C9")&lt;1965, 0),
    INDIRECT("'"&amp;$D$23&amp;"'!GO_2041"),
    0
)
+IF(
    IFERROR(INDIRECT("'"&amp;$D$24&amp;"'!C9")&lt;1965, 0),
    INDIRECT("'"&amp;$D$24&amp;"'!GO_2041"),
    0
)
+IF(
    IFERROR(INDIRECT("'"&amp;$D$25&amp;"'!C9")&lt;1965, 0),
    INDIRECT("'"&amp;$D$25&amp;"'!GO_2041"),
    0
)
+IF(
    IFERROR(INDIRECT("'"&amp;$D$26&amp;"'!C9")&lt;1965, 0),
    INDIRECT("'"&amp;$D$26&amp;"'!GO_2041"),
    0
)
+IF(
    IFERROR(INDIRECT("'"&amp;$D$27&amp;"'!C9")&lt;1965, 0),
    INDIRECT("'"&amp;$D$27&amp;"'!GO_2041"),
    0
)
+IF(
    IFERROR(INDIRECT("'"&amp;$D$28&amp;"'!C9")&lt;1965, 0),
    INDIRECT("'"&amp;$D$28&amp;"'!GO_2041"),
    0
)
+IF(
    IFERROR(INDIRECT("'"&amp;$D$29&amp;"'!C9")&lt;1965, 0),
    INDIRECT("'"&amp;$D$29&amp;"'!GO_2041"),
    0
)
+IF(
    IFERROR(INDIRECT("'"&amp;$D$30&amp;"'!C9")&lt;1965, 0),
    INDIRECT("'"&amp;$D$30&amp;"'!GO_2041"),
    0
)
+IF(
    IFERROR(INDIRECT("'"&amp;$D$31&amp;"'!C9")&lt;1965, 0),
    INDIRECT("'"&amp;$D$31&amp;"'!GO_2041"),
    0
)
+IF(
    IFERROR(INDIRECT("'"&amp;$D$32&amp;"'!C9")&lt;1965, 0),
    INDIRECT("'"&amp;$D$32&amp;"'!GO_2041"),
    0
)
+IF(
    IFERROR(INDIRECT("'"&amp;$D$33&amp;"'!C9")&lt;1965, 0),
    INDIRECT("'"&amp;$D$33&amp;"'!GO_2041"),
    0
)
+IF(
    IFERROR(INDIRECT("'"&amp;$D$34&amp;"'!C9")&lt;1965, 0),
    INDIRECT("'"&amp;$D$34&amp;"'!GO_2041"),
    0
)
+IF(
    IFERROR(INDIRECT("'"&amp;$D$35&amp;"'!C9")&lt;1965, 0),
    INDIRECT("'"&amp;$D$35&amp;"'!GO_2041"),
    0
)
+IF(
    IFERROR(INDIRECT("'"&amp;$D$36&amp;"'!C9")&lt;1965, 0),
    INDIRECT("'"&amp;$D$36&amp;"'!GO_2041"),
    0
)
+IF(
    IFERROR(INDIRECT("'"&amp;$D$37&amp;"'!C9")&lt;1965, 0),
    INDIRECT("'"&amp;$D$37&amp;"'!GO_2041"),
    0
)
+IF(
    IFERROR(INDIRECT("'"&amp;$D$38&amp;"'!C9")&lt;1965, 0),
    INDIRECT("'"&amp;$D$38&amp;"'!GO_2041"),
    0
)
+IF(
    IFERROR(INDIRECT("'"&amp;$D$39&amp;"'!C9")&lt;1965, 0),
    INDIRECT("'"&amp;$D$39&amp;"'!GO_2041"),
    0
)
+IF(
    IFERROR(INDIRECT("'"&amp;$D$40&amp;"'!C9")&lt;1965, 0),
    INDIRECT("'"&amp;$D$40&amp;"'!GO_2041"),
    0
)
+IF(
    IFERROR(INDIRECT("'"&amp;$D$41&amp;"'!C9")&lt;1965, 0),
    INDIRECT("'"&amp;$D$41&amp;"'!GO_2041"),
    0
)
+IF(
    IFERROR(INDIRECT("'"&amp;$D$42&amp;"'!C9")&lt;1965, 0),
    INDIRECT("'"&amp;$D$42&amp;"'!GO_2041"),
    0
)
+IF(
    IFERROR(INDIRECT("'"&amp;$D$43&amp;"'!C9")&lt;1965, 0),
    INDIRECT("'"&amp;$D$43&amp;"'!GO_2041"),
    0
)
+IF(
    IFERROR(INDIRECT("'"&amp;$D$44&amp;"'!C9")&lt;1965, 0),
    INDIRECT("'"&amp;$D$44&amp;"'!GO_2041"),
    0
)
+IF(
    IFERROR(INDIRECT("'"&amp;$D$45&amp;"'!C9")&lt;1965, 0),
    INDIRECT("'"&amp;$D$45&amp;"'!GO_2041"),
    0
)
+IF(
    IFERROR(INDIRECT("'"&amp;$D$46&amp;"'!C9")&lt;1965, 0),
    INDIRECT("'"&amp;$D$46&amp;"'!GO_2041"),
    0
)
+IF(
    IFERROR(INDIRECT("'"&amp;$D$47&amp;"'!C9")&lt;1965, 0),
    INDIRECT("'"&amp;$D$47&amp;"'!GO_2041"),
    0
)
+IF(
    IFERROR(INDIRECT("'"&amp;$D$48&amp;"'!C9")&lt;1965, 0),
    INDIRECT("'"&amp;$D$48&amp;"'!GO_2041"),
    0
)
+IF(
    IFERROR(INDIRECT("'"&amp;$D$49&amp;"'!C9")&lt;1965, 0),
    INDIRECT("'"&amp;$D$49&amp;"'!GO_2041"),
    0
)
+IF(
    IFERROR(INDIRECT("'"&amp;$D$50&amp;"'!C9")&lt;1965, 0),
    INDIRECT("'"&amp;$D$50&amp;"'!GO_2041"),
    0
)
+IF(
    IFERROR(INDIRECT("'"&amp;$D$51&amp;"'!C9")&lt;1965, 0),
    INDIRECT("'"&amp;$D$51&amp;"'!GO_2041"),
    0
)
+IF(
    IFERROR(INDIRECT("'"&amp;$D$52&amp;"'!C9")&lt;1965, 0),
    INDIRECT("'"&amp;$D$52&amp;"'!GO_2041"),
    0
)
+IF(
    IFERROR(INDIRECT("'"&amp;$D$53&amp;"'!C9")&lt;1965, 0),
    INDIRECT("'"&amp;$D$53&amp;"'!GO_2041"),
    0
)
+IF(
    IFERROR(INDIRECT("'"&amp;$D$54&amp;"'!C9")&lt;1965, 0),
    INDIRECT("'"&amp;$D$54&amp;"'!GO_2041"),
    0
)</f>
        <v>3152.16</v>
      </c>
      <c r="AF24" s="321">
        <f ca="1">IF(
    IFERROR(INDIRECT("'"&amp;$D$5&amp;"'!C9")&lt;1965, 0),
    INDIRECT("'"&amp;$D$5&amp;"'!GO_2042"),
    0
)
+IF(
    IFERROR(INDIRECT("'"&amp;$D$6&amp;"'!C9")&lt;1965, 0),
    INDIRECT("'"&amp;$D$6&amp;"'!GO_2042"),
    0
)
+IF(
    IFERROR(INDIRECT("'"&amp;$D$7&amp;"'!C9")&lt;1965, 0),
    INDIRECT("'"&amp;$D$7&amp;"'!GO_2042"),
    0
)
+IF(
    IFERROR(INDIRECT("'"&amp;$D$8&amp;"'!C9")&lt;1965, 0),
    INDIRECT("'"&amp;$D$8&amp;"'!GO_2042"),
    0
)
+IF(
    IFERROR(INDIRECT("'"&amp;$D$9&amp;"'!C9")&lt;1965, 0),
    INDIRECT("'"&amp;$D$9&amp;"'!GO_2042"),
    0
)
+IF(
    IFERROR(INDIRECT("'"&amp;$D$10&amp;"'!C9")&lt;1965, 0),
    INDIRECT("'"&amp;$D$10&amp;"'!GO_2042"),
    0
)
+IF(
    IFERROR(INDIRECT("'"&amp;$D$11&amp;"'!C9")&lt;1965, 0),
    INDIRECT("'"&amp;$D$11&amp;"'!GO_2042"),
    0
)
+IF(
    IFERROR(INDIRECT("'"&amp;$D$12&amp;"'!C9")&lt;1965, 0),
    INDIRECT("'"&amp;$D$12&amp;"'!GO_2042"),
    0
)
+IF(
    IFERROR(INDIRECT("'"&amp;$D$13&amp;"'!C9")&lt;1965, 0),
    INDIRECT("'"&amp;$D$13&amp;"'!GO_2042"),
    0
)
+IF(
    IFERROR(INDIRECT("'"&amp;$D$14&amp;"'!C9")&lt;1965, 0),
    INDIRECT("'"&amp;$D$14&amp;"'!GO_2042"),
    0
)
+IF(
    IFERROR(INDIRECT("'"&amp;$D$15&amp;"'!C9")&lt;1965, 0),
    INDIRECT("'"&amp;$D$15&amp;"'!GO_2042"),
    0
)
+IF(
    IFERROR(INDIRECT("'"&amp;$D$16&amp;"'!C9")&lt;1965, 0),
    INDIRECT("'"&amp;$D$16&amp;"'!GO_2042"),
    0
)
+IF(
    IFERROR(INDIRECT("'"&amp;$D$17&amp;"'!C9")&lt;1965, 0),
    INDIRECT("'"&amp;$D$17&amp;"'!GO_2042"),
    0
)
+IF(
    IFERROR(INDIRECT("'"&amp;$D$18&amp;"'!C9")&lt;1965, 0),
    INDIRECT("'"&amp;$D$18&amp;"'!GO_2042"),
    0
)
+IF(
    IFERROR(INDIRECT("'"&amp;$D$19&amp;"'!C9")&lt;1965, 0),
    INDIRECT("'"&amp;$D$19&amp;"'!GO_2042"),
    0
)
+IF(
    IFERROR(INDIRECT("'"&amp;$D$20&amp;"'!C9")&lt;1965, 0),
    INDIRECT("'"&amp;$D$20&amp;"'!GO_2042"),
    0
)
+IF(
    IFERROR(INDIRECT("'"&amp;$D$21&amp;"'!C9")&lt;1965, 0),
    INDIRECT("'"&amp;$D$21&amp;"'!GO_2042"),
    0
)
+IF(
    IFERROR(INDIRECT("'"&amp;$D$22&amp;"'!C9")&lt;1965, 0),
    INDIRECT("'"&amp;$D$22&amp;"'!GO_2042"),
    0
)
+IF(
    IFERROR(INDIRECT("'"&amp;$D$23&amp;"'!C9")&lt;1965, 0),
    INDIRECT("'"&amp;$D$23&amp;"'!GO_2042"),
    0
)
+IF(
    IFERROR(INDIRECT("'"&amp;$D$24&amp;"'!C9")&lt;1965, 0),
    INDIRECT("'"&amp;$D$24&amp;"'!GO_2042"),
    0
)
+IF(
    IFERROR(INDIRECT("'"&amp;$D$25&amp;"'!C9")&lt;1965, 0),
    INDIRECT("'"&amp;$D$25&amp;"'!GO_2042"),
    0
)
+IF(
    IFERROR(INDIRECT("'"&amp;$D$26&amp;"'!C9")&lt;1965, 0),
    INDIRECT("'"&amp;$D$26&amp;"'!GO_2042"),
    0
)
+IF(
    IFERROR(INDIRECT("'"&amp;$D$27&amp;"'!C9")&lt;1965, 0),
    INDIRECT("'"&amp;$D$27&amp;"'!GO_2042"),
    0
)
+IF(
    IFERROR(INDIRECT("'"&amp;$D$28&amp;"'!C9")&lt;1965, 0),
    INDIRECT("'"&amp;$D$28&amp;"'!GO_2042"),
    0
)
+IF(
    IFERROR(INDIRECT("'"&amp;$D$29&amp;"'!C9")&lt;1965, 0),
    INDIRECT("'"&amp;$D$29&amp;"'!GO_2042"),
    0
)
+IF(
    IFERROR(INDIRECT("'"&amp;$D$30&amp;"'!C9")&lt;1965, 0),
    INDIRECT("'"&amp;$D$30&amp;"'!GO_2042"),
    0
)
+IF(
    IFERROR(INDIRECT("'"&amp;$D$31&amp;"'!C9")&lt;1965, 0),
    INDIRECT("'"&amp;$D$31&amp;"'!GO_2042"),
    0
)
+IF(
    IFERROR(INDIRECT("'"&amp;$D$32&amp;"'!C9")&lt;1965, 0),
    INDIRECT("'"&amp;$D$32&amp;"'!GO_2042"),
    0
)
+IF(
    IFERROR(INDIRECT("'"&amp;$D$33&amp;"'!C9")&lt;1965, 0),
    INDIRECT("'"&amp;$D$33&amp;"'!GO_2042"),
    0
)
+IF(
    IFERROR(INDIRECT("'"&amp;$D$34&amp;"'!C9")&lt;1965, 0),
    INDIRECT("'"&amp;$D$34&amp;"'!GO_2042"),
    0
)
+IF(
    IFERROR(INDIRECT("'"&amp;$D$35&amp;"'!C9")&lt;1965, 0),
    INDIRECT("'"&amp;$D$35&amp;"'!GO_2042"),
    0
)
+IF(
    IFERROR(INDIRECT("'"&amp;$D$36&amp;"'!C9")&lt;1965, 0),
    INDIRECT("'"&amp;$D$36&amp;"'!GO_2042"),
    0
)
+IF(
    IFERROR(INDIRECT("'"&amp;$D$37&amp;"'!C9")&lt;1965, 0),
    INDIRECT("'"&amp;$D$37&amp;"'!GO_2042"),
    0
)
+IF(
    IFERROR(INDIRECT("'"&amp;$D$38&amp;"'!C9")&lt;1965, 0),
    INDIRECT("'"&amp;$D$38&amp;"'!GO_2042"),
    0
)
+IF(
    IFERROR(INDIRECT("'"&amp;$D$39&amp;"'!C9")&lt;1965, 0),
    INDIRECT("'"&amp;$D$39&amp;"'!GO_2042"),
    0
)
+IF(
    IFERROR(INDIRECT("'"&amp;$D$40&amp;"'!C9")&lt;1965, 0),
    INDIRECT("'"&amp;$D$40&amp;"'!GO_2042"),
    0
)
+IF(
    IFERROR(INDIRECT("'"&amp;$D$41&amp;"'!C9")&lt;1965, 0),
    INDIRECT("'"&amp;$D$41&amp;"'!GO_2042"),
    0
)
+IF(
    IFERROR(INDIRECT("'"&amp;$D$42&amp;"'!C9")&lt;1965, 0),
    INDIRECT("'"&amp;$D$42&amp;"'!GO_2042"),
    0
)
+IF(
    IFERROR(INDIRECT("'"&amp;$D$43&amp;"'!C9")&lt;1965, 0),
    INDIRECT("'"&amp;$D$43&amp;"'!GO_2042"),
    0
)
+IF(
    IFERROR(INDIRECT("'"&amp;$D$44&amp;"'!C9")&lt;1965, 0),
    INDIRECT("'"&amp;$D$44&amp;"'!GO_2042"),
    0
)
+IF(
    IFERROR(INDIRECT("'"&amp;$D$45&amp;"'!C9")&lt;1965, 0),
    INDIRECT("'"&amp;$D$45&amp;"'!GO_2042"),
    0
)
+IF(
    IFERROR(INDIRECT("'"&amp;$D$46&amp;"'!C9")&lt;1965, 0),
    INDIRECT("'"&amp;$D$46&amp;"'!GO_2042"),
    0
)
+IF(
    IFERROR(INDIRECT("'"&amp;$D$47&amp;"'!C9")&lt;1965, 0),
    INDIRECT("'"&amp;$D$47&amp;"'!GO_2042"),
    0
)
+IF(
    IFERROR(INDIRECT("'"&amp;$D$48&amp;"'!C9")&lt;1965, 0),
    INDIRECT("'"&amp;$D$48&amp;"'!GO_2042"),
    0
)
+IF(
    IFERROR(INDIRECT("'"&amp;$D$49&amp;"'!C9")&lt;1965, 0),
    INDIRECT("'"&amp;$D$49&amp;"'!GO_2042"),
    0
)
+IF(
    IFERROR(INDIRECT("'"&amp;$D$50&amp;"'!C9")&lt;1965, 0),
    INDIRECT("'"&amp;$D$50&amp;"'!GO_2042"),
    0
)
+IF(
    IFERROR(INDIRECT("'"&amp;$D$51&amp;"'!C9")&lt;1965, 0),
    INDIRECT("'"&amp;$D$51&amp;"'!GO_2042"),
    0
)
+IF(
    IFERROR(INDIRECT("'"&amp;$D$52&amp;"'!C9")&lt;1965, 0),
    INDIRECT("'"&amp;$D$52&amp;"'!GO_2042"),
    0
)
+IF(
    IFERROR(INDIRECT("'"&amp;$D$53&amp;"'!C9")&lt;1965, 0),
    INDIRECT("'"&amp;$D$53&amp;"'!GO_2042"),
    0
)
+IF(
    IFERROR(INDIRECT("'"&amp;$D$54&amp;"'!C9")&lt;1965, 0),
    INDIRECT("'"&amp;$D$54&amp;"'!GO_2042"),
    0
)</f>
        <v>3152.16</v>
      </c>
      <c r="AG24" s="321">
        <f ca="1">IF(
    IFERROR(INDIRECT("'"&amp;$D$5&amp;"'!C9")&lt;1965, 0),
    INDIRECT("'"&amp;$D$5&amp;"'!GO_2043"),
    0
)
+IF(
    IFERROR(INDIRECT("'"&amp;$D$6&amp;"'!C9")&lt;1965, 0),
    INDIRECT("'"&amp;$D$6&amp;"'!GO_2043"),
    0
)
+IF(
    IFERROR(INDIRECT("'"&amp;$D$7&amp;"'!C9")&lt;1965, 0),
    INDIRECT("'"&amp;$D$7&amp;"'!GO_2043"),
    0
)
+IF(
    IFERROR(INDIRECT("'"&amp;$D$8&amp;"'!C9")&lt;1965, 0),
    INDIRECT("'"&amp;$D$8&amp;"'!GO_2043"),
    0
)
+IF(
    IFERROR(INDIRECT("'"&amp;$D$9&amp;"'!C9")&lt;1965, 0),
    INDIRECT("'"&amp;$D$9&amp;"'!GO_2043"),
    0
)
+IF(
    IFERROR(INDIRECT("'"&amp;$D$10&amp;"'!C9")&lt;1965, 0),
    INDIRECT("'"&amp;$D$10&amp;"'!GO_2043"),
    0
)
+IF(
    IFERROR(INDIRECT("'"&amp;$D$11&amp;"'!C9")&lt;1965, 0),
    INDIRECT("'"&amp;$D$11&amp;"'!GO_2043"),
    0
)
+IF(
    IFERROR(INDIRECT("'"&amp;$D$12&amp;"'!C9")&lt;1965, 0),
    INDIRECT("'"&amp;$D$12&amp;"'!GO_2043"),
    0
)
+IF(
    IFERROR(INDIRECT("'"&amp;$D$13&amp;"'!C9")&lt;1965, 0),
    INDIRECT("'"&amp;$D$13&amp;"'!GO_2043"),
    0
)
+IF(
    IFERROR(INDIRECT("'"&amp;$D$14&amp;"'!C9")&lt;1965, 0),
    INDIRECT("'"&amp;$D$14&amp;"'!GO_2043"),
    0
)
+IF(
    IFERROR(INDIRECT("'"&amp;$D$15&amp;"'!C9")&lt;1965, 0),
    INDIRECT("'"&amp;$D$15&amp;"'!GO_2043"),
    0
)
+IF(
    IFERROR(INDIRECT("'"&amp;$D$16&amp;"'!C9")&lt;1965, 0),
    INDIRECT("'"&amp;$D$16&amp;"'!GO_2043"),
    0
)
+IF(
    IFERROR(INDIRECT("'"&amp;$D$17&amp;"'!C9")&lt;1965, 0),
    INDIRECT("'"&amp;$D$17&amp;"'!GO_2043"),
    0
)
+IF(
    IFERROR(INDIRECT("'"&amp;$D$18&amp;"'!C9")&lt;1965, 0),
    INDIRECT("'"&amp;$D$18&amp;"'!GO_2043"),
    0
)
+IF(
    IFERROR(INDIRECT("'"&amp;$D$19&amp;"'!C9")&lt;1965, 0),
    INDIRECT("'"&amp;$D$19&amp;"'!GO_2043"),
    0
)
+IF(
    IFERROR(INDIRECT("'"&amp;$D$20&amp;"'!C9")&lt;1965, 0),
    INDIRECT("'"&amp;$D$20&amp;"'!GO_2043"),
    0
)
+IF(
    IFERROR(INDIRECT("'"&amp;$D$21&amp;"'!C9")&lt;1965, 0),
    INDIRECT("'"&amp;$D$21&amp;"'!GO_2043"),
    0
)
+IF(
    IFERROR(INDIRECT("'"&amp;$D$22&amp;"'!C9")&lt;1965, 0),
    INDIRECT("'"&amp;$D$22&amp;"'!GO_2043"),
    0
)
+IF(
    IFERROR(INDIRECT("'"&amp;$D$23&amp;"'!C9")&lt;1965, 0),
    INDIRECT("'"&amp;$D$23&amp;"'!GO_2043"),
    0
)
+IF(
    IFERROR(INDIRECT("'"&amp;$D$24&amp;"'!C9")&lt;1965, 0),
    INDIRECT("'"&amp;$D$24&amp;"'!GO_2043"),
    0
)
+IF(
    IFERROR(INDIRECT("'"&amp;$D$25&amp;"'!C9")&lt;1965, 0),
    INDIRECT("'"&amp;$D$25&amp;"'!GO_2043"),
    0
)
+IF(
    IFERROR(INDIRECT("'"&amp;$D$26&amp;"'!C9")&lt;1965, 0),
    INDIRECT("'"&amp;$D$26&amp;"'!GO_2043"),
    0
)
+IF(
    IFERROR(INDIRECT("'"&amp;$D$27&amp;"'!C9")&lt;1965, 0),
    INDIRECT("'"&amp;$D$27&amp;"'!GO_2043"),
    0
)
+IF(
    IFERROR(INDIRECT("'"&amp;$D$28&amp;"'!C9")&lt;1965, 0),
    INDIRECT("'"&amp;$D$28&amp;"'!GO_2043"),
    0
)
+IF(
    IFERROR(INDIRECT("'"&amp;$D$29&amp;"'!C9")&lt;1965, 0),
    INDIRECT("'"&amp;$D$29&amp;"'!GO_2043"),
    0
)
+IF(
    IFERROR(INDIRECT("'"&amp;$D$30&amp;"'!C9")&lt;1965, 0),
    INDIRECT("'"&amp;$D$30&amp;"'!GO_2043"),
    0
)
+IF(
    IFERROR(INDIRECT("'"&amp;$D$31&amp;"'!C9")&lt;1965, 0),
    INDIRECT("'"&amp;$D$31&amp;"'!GO_2043"),
    0
)
+IF(
    IFERROR(INDIRECT("'"&amp;$D$32&amp;"'!C9")&lt;1965, 0),
    INDIRECT("'"&amp;$D$32&amp;"'!GO_2043"),
    0
)
+IF(
    IFERROR(INDIRECT("'"&amp;$D$33&amp;"'!C9")&lt;1965, 0),
    INDIRECT("'"&amp;$D$33&amp;"'!GO_2043"),
    0
)
+IF(
    IFERROR(INDIRECT("'"&amp;$D$34&amp;"'!C9")&lt;1965, 0),
    INDIRECT("'"&amp;$D$34&amp;"'!GO_2043"),
    0
)
+IF(
    IFERROR(INDIRECT("'"&amp;$D$35&amp;"'!C9")&lt;1965, 0),
    INDIRECT("'"&amp;$D$35&amp;"'!GO_2043"),
    0
)
+IF(
    IFERROR(INDIRECT("'"&amp;$D$36&amp;"'!C9")&lt;1965, 0),
    INDIRECT("'"&amp;$D$36&amp;"'!GO_2043"),
    0
)
+IF(
    IFERROR(INDIRECT("'"&amp;$D$37&amp;"'!C9")&lt;1965, 0),
    INDIRECT("'"&amp;$D$37&amp;"'!GO_2043"),
    0
)
+IF(
    IFERROR(INDIRECT("'"&amp;$D$38&amp;"'!C9")&lt;1965, 0),
    INDIRECT("'"&amp;$D$38&amp;"'!GO_2043"),
    0
)
+IF(
    IFERROR(INDIRECT("'"&amp;$D$39&amp;"'!C9")&lt;1965, 0),
    INDIRECT("'"&amp;$D$39&amp;"'!GO_2043"),
    0
)
+IF(
    IFERROR(INDIRECT("'"&amp;$D$40&amp;"'!C9")&lt;1965, 0),
    INDIRECT("'"&amp;$D$40&amp;"'!GO_2043"),
    0
)
+IF(
    IFERROR(INDIRECT("'"&amp;$D$41&amp;"'!C9")&lt;1965, 0),
    INDIRECT("'"&amp;$D$41&amp;"'!GO_2043"),
    0
)
+IF(
    IFERROR(INDIRECT("'"&amp;$D$42&amp;"'!C9")&lt;1965, 0),
    INDIRECT("'"&amp;$D$42&amp;"'!GO_2043"),
    0
)
+IF(
    IFERROR(INDIRECT("'"&amp;$D$43&amp;"'!C9")&lt;1965, 0),
    INDIRECT("'"&amp;$D$43&amp;"'!GO_2043"),
    0
)
+IF(
    IFERROR(INDIRECT("'"&amp;$D$44&amp;"'!C9")&lt;1965, 0),
    INDIRECT("'"&amp;$D$44&amp;"'!GO_2043"),
    0
)
+IF(
    IFERROR(INDIRECT("'"&amp;$D$45&amp;"'!C9")&lt;1965, 0),
    INDIRECT("'"&amp;$D$45&amp;"'!GO_2043"),
    0
)
+IF(
    IFERROR(INDIRECT("'"&amp;$D$46&amp;"'!C9")&lt;1965, 0),
    INDIRECT("'"&amp;$D$46&amp;"'!GO_2043"),
    0
)
+IF(
    IFERROR(INDIRECT("'"&amp;$D$47&amp;"'!C9")&lt;1965, 0),
    INDIRECT("'"&amp;$D$47&amp;"'!GO_2043"),
    0
)
+IF(
    IFERROR(INDIRECT("'"&amp;$D$48&amp;"'!C9")&lt;1965, 0),
    INDIRECT("'"&amp;$D$48&amp;"'!GO_2043"),
    0
)
+IF(
    IFERROR(INDIRECT("'"&amp;$D$49&amp;"'!C9")&lt;1965, 0),
    INDIRECT("'"&amp;$D$49&amp;"'!GO_2043"),
    0
)
+IF(
    IFERROR(INDIRECT("'"&amp;$D$50&amp;"'!C9")&lt;1965, 0),
    INDIRECT("'"&amp;$D$50&amp;"'!GO_2043"),
    0
)
+IF(
    IFERROR(INDIRECT("'"&amp;$D$51&amp;"'!C9")&lt;1965, 0),
    INDIRECT("'"&amp;$D$51&amp;"'!GO_2043"),
    0
)
+IF(
    IFERROR(INDIRECT("'"&amp;$D$52&amp;"'!C9")&lt;1965, 0),
    INDIRECT("'"&amp;$D$52&amp;"'!GO_2043"),
    0
)
+IF(
    IFERROR(INDIRECT("'"&amp;$D$53&amp;"'!C9")&lt;1965, 0),
    INDIRECT("'"&amp;$D$53&amp;"'!GO_2043"),
    0
)
+IF(
    IFERROR(INDIRECT("'"&amp;$D$54&amp;"'!C9")&lt;1965, 0),
    INDIRECT("'"&amp;$D$54&amp;"'!GO_2043"),
    0
)</f>
        <v>3152.16</v>
      </c>
      <c r="AH24" s="321">
        <f ca="1">IF(
    IFERROR(INDIRECT("'"&amp;$D$5&amp;"'!C9")&lt;1965, 0),
    INDIRECT("'"&amp;$D$5&amp;"'!GO_2044"),
    0
)
+IF(
    IFERROR(INDIRECT("'"&amp;$D$6&amp;"'!C9")&lt;1965, 0),
    INDIRECT("'"&amp;$D$6&amp;"'!GO_2044"),
    0
)
+IF(
    IFERROR(INDIRECT("'"&amp;$D$7&amp;"'!C9")&lt;1965, 0),
    INDIRECT("'"&amp;$D$7&amp;"'!GO_2044"),
    0
)
+IF(
    IFERROR(INDIRECT("'"&amp;$D$8&amp;"'!C9")&lt;1965, 0),
    INDIRECT("'"&amp;$D$8&amp;"'!GO_2044"),
    0
)
+IF(
    IFERROR(INDIRECT("'"&amp;$D$9&amp;"'!C9")&lt;1965, 0),
    INDIRECT("'"&amp;$D$9&amp;"'!GO_2044"),
    0
)
+IF(
    IFERROR(INDIRECT("'"&amp;$D$10&amp;"'!C9")&lt;1965, 0),
    INDIRECT("'"&amp;$D$10&amp;"'!GO_2044"),
    0
)
+IF(
    IFERROR(INDIRECT("'"&amp;$D$11&amp;"'!C9")&lt;1965, 0),
    INDIRECT("'"&amp;$D$11&amp;"'!GO_2044"),
    0
)
+IF(
    IFERROR(INDIRECT("'"&amp;$D$12&amp;"'!C9")&lt;1965, 0),
    INDIRECT("'"&amp;$D$12&amp;"'!GO_2044"),
    0
)
+IF(
    IFERROR(INDIRECT("'"&amp;$D$13&amp;"'!C9")&lt;1965, 0),
    INDIRECT("'"&amp;$D$13&amp;"'!GO_2044"),
    0
)
+IF(
    IFERROR(INDIRECT("'"&amp;$D$14&amp;"'!C9")&lt;1965, 0),
    INDIRECT("'"&amp;$D$14&amp;"'!GO_2044"),
    0
)
+IF(
    IFERROR(INDIRECT("'"&amp;$D$15&amp;"'!C9")&lt;1965, 0),
    INDIRECT("'"&amp;$D$15&amp;"'!GO_2044"),
    0
)
+IF(
    IFERROR(INDIRECT("'"&amp;$D$16&amp;"'!C9")&lt;1965, 0),
    INDIRECT("'"&amp;$D$16&amp;"'!GO_2044"),
    0
)
+IF(
    IFERROR(INDIRECT("'"&amp;$D$17&amp;"'!C9")&lt;1965, 0),
    INDIRECT("'"&amp;$D$17&amp;"'!GO_2044"),
    0
)
+IF(
    IFERROR(INDIRECT("'"&amp;$D$18&amp;"'!C9")&lt;1965, 0),
    INDIRECT("'"&amp;$D$18&amp;"'!GO_2044"),
    0
)
+IF(
    IFERROR(INDIRECT("'"&amp;$D$19&amp;"'!C9")&lt;1965, 0),
    INDIRECT("'"&amp;$D$19&amp;"'!GO_2044"),
    0
)
+IF(
    IFERROR(INDIRECT("'"&amp;$D$20&amp;"'!C9")&lt;1965, 0),
    INDIRECT("'"&amp;$D$20&amp;"'!GO_2044"),
    0
)
+IF(
    IFERROR(INDIRECT("'"&amp;$D$21&amp;"'!C9")&lt;1965, 0),
    INDIRECT("'"&amp;$D$21&amp;"'!GO_2044"),
    0
)
+IF(
    IFERROR(INDIRECT("'"&amp;$D$22&amp;"'!C9")&lt;1965, 0),
    INDIRECT("'"&amp;$D$22&amp;"'!GO_2044"),
    0
)
+IF(
    IFERROR(INDIRECT("'"&amp;$D$23&amp;"'!C9")&lt;1965, 0),
    INDIRECT("'"&amp;$D$23&amp;"'!GO_2044"),
    0
)
+IF(
    IFERROR(INDIRECT("'"&amp;$D$24&amp;"'!C9")&lt;1965, 0),
    INDIRECT("'"&amp;$D$24&amp;"'!GO_2044"),
    0
)
+IF(
    IFERROR(INDIRECT("'"&amp;$D$25&amp;"'!C9")&lt;1965, 0),
    INDIRECT("'"&amp;$D$25&amp;"'!GO_2044"),
    0
)
+IF(
    IFERROR(INDIRECT("'"&amp;$D$26&amp;"'!C9")&lt;1965, 0),
    INDIRECT("'"&amp;$D$26&amp;"'!GO_2044"),
    0
)
+IF(
    IFERROR(INDIRECT("'"&amp;$D$27&amp;"'!C9")&lt;1965, 0),
    INDIRECT("'"&amp;$D$27&amp;"'!GO_2044"),
    0
)
+IF(
    IFERROR(INDIRECT("'"&amp;$D$28&amp;"'!C9")&lt;1965, 0),
    INDIRECT("'"&amp;$D$28&amp;"'!GO_2044"),
    0
)
+IF(
    IFERROR(INDIRECT("'"&amp;$D$29&amp;"'!C9")&lt;1965, 0),
    INDIRECT("'"&amp;$D$29&amp;"'!GO_2044"),
    0
)
+IF(
    IFERROR(INDIRECT("'"&amp;$D$30&amp;"'!C9")&lt;1965, 0),
    INDIRECT("'"&amp;$D$30&amp;"'!GO_2044"),
    0
)
+IF(
    IFERROR(INDIRECT("'"&amp;$D$31&amp;"'!C9")&lt;1965, 0),
    INDIRECT("'"&amp;$D$31&amp;"'!GO_2044"),
    0
)
+IF(
    IFERROR(INDIRECT("'"&amp;$D$32&amp;"'!C9")&lt;1965, 0),
    INDIRECT("'"&amp;$D$32&amp;"'!GO_2044"),
    0
)
+IF(
    IFERROR(INDIRECT("'"&amp;$D$33&amp;"'!C9")&lt;1965, 0),
    INDIRECT("'"&amp;$D$33&amp;"'!GO_2044"),
    0
)
+IF(
    IFERROR(INDIRECT("'"&amp;$D$34&amp;"'!C9")&lt;1965, 0),
    INDIRECT("'"&amp;$D$34&amp;"'!GO_2044"),
    0
)
+IF(
    IFERROR(INDIRECT("'"&amp;$D$35&amp;"'!C9")&lt;1965, 0),
    INDIRECT("'"&amp;$D$35&amp;"'!GO_2044"),
    0
)
+IF(
    IFERROR(INDIRECT("'"&amp;$D$36&amp;"'!C9")&lt;1965, 0),
    INDIRECT("'"&amp;$D$36&amp;"'!GO_2044"),
    0
)
+IF(
    IFERROR(INDIRECT("'"&amp;$D$37&amp;"'!C9")&lt;1965, 0),
    INDIRECT("'"&amp;$D$37&amp;"'!GO_2044"),
    0
)
+IF(
    IFERROR(INDIRECT("'"&amp;$D$38&amp;"'!C9")&lt;1965, 0),
    INDIRECT("'"&amp;$D$38&amp;"'!GO_2044"),
    0
)
+IF(
    IFERROR(INDIRECT("'"&amp;$D$39&amp;"'!C9")&lt;1965, 0),
    INDIRECT("'"&amp;$D$39&amp;"'!GO_2044"),
    0
)
+IF(
    IFERROR(INDIRECT("'"&amp;$D$40&amp;"'!C9")&lt;1965, 0),
    INDIRECT("'"&amp;$D$40&amp;"'!GO_2044"),
    0
)
+IF(
    IFERROR(INDIRECT("'"&amp;$D$41&amp;"'!C9")&lt;1965, 0),
    INDIRECT("'"&amp;$D$41&amp;"'!GO_2044"),
    0
)
+IF(
    IFERROR(INDIRECT("'"&amp;$D$42&amp;"'!C9")&lt;1965, 0),
    INDIRECT("'"&amp;$D$42&amp;"'!GO_2044"),
    0
)
+IF(
    IFERROR(INDIRECT("'"&amp;$D$43&amp;"'!C9")&lt;1965, 0),
    INDIRECT("'"&amp;$D$43&amp;"'!GO_2044"),
    0
)
+IF(
    IFERROR(INDIRECT("'"&amp;$D$44&amp;"'!C9")&lt;1965, 0),
    INDIRECT("'"&amp;$D$44&amp;"'!GO_2044"),
    0
)
+IF(
    IFERROR(INDIRECT("'"&amp;$D$45&amp;"'!C9")&lt;1965, 0),
    INDIRECT("'"&amp;$D$45&amp;"'!GO_2044"),
    0
)
+IF(
    IFERROR(INDIRECT("'"&amp;$D$46&amp;"'!C9")&lt;1965, 0),
    INDIRECT("'"&amp;$D$46&amp;"'!GO_2044"),
    0
)
+IF(
    IFERROR(INDIRECT("'"&amp;$D$47&amp;"'!C9")&lt;1965, 0),
    INDIRECT("'"&amp;$D$47&amp;"'!GO_2044"),
    0
)
+IF(
    IFERROR(INDIRECT("'"&amp;$D$48&amp;"'!C9")&lt;1965, 0),
    INDIRECT("'"&amp;$D$48&amp;"'!GO_2044"),
    0
)
+IF(
    IFERROR(INDIRECT("'"&amp;$D$49&amp;"'!C9")&lt;1965, 0),
    INDIRECT("'"&amp;$D$49&amp;"'!GO_2044"),
    0
)
+IF(
    IFERROR(INDIRECT("'"&amp;$D$50&amp;"'!C9")&lt;1965, 0),
    INDIRECT("'"&amp;$D$50&amp;"'!GO_2044"),
    0
)
+IF(
    IFERROR(INDIRECT("'"&amp;$D$51&amp;"'!C9")&lt;1965, 0),
    INDIRECT("'"&amp;$D$51&amp;"'!GO_2044"),
    0
)
+IF(
    IFERROR(INDIRECT("'"&amp;$D$52&amp;"'!C9")&lt;1965, 0),
    INDIRECT("'"&amp;$D$52&amp;"'!GO_2044"),
    0
)
+IF(
    IFERROR(INDIRECT("'"&amp;$D$53&amp;"'!C9")&lt;1965, 0),
    INDIRECT("'"&amp;$D$53&amp;"'!GO_2044"),
    0
)
+IF(
    IFERROR(INDIRECT("'"&amp;$D$54&amp;"'!C9")&lt;1965, 0),
    INDIRECT("'"&amp;$D$54&amp;"'!GO_2044"),
    0
)</f>
        <v>3152.16</v>
      </c>
      <c r="AI24" s="321">
        <f ca="1">IF(
    IFERROR(INDIRECT("'"&amp;$D$5&amp;"'!C9")&lt;1965, 0),
    INDIRECT("'"&amp;$D$5&amp;"'!GO_2045"),
    0
)
+IF(
    IFERROR(INDIRECT("'"&amp;$D$6&amp;"'!C9")&lt;1965, 0),
    INDIRECT("'"&amp;$D$6&amp;"'!GO_2045"),
    0
)
+IF(
    IFERROR(INDIRECT("'"&amp;$D$7&amp;"'!C9")&lt;1965, 0),
    INDIRECT("'"&amp;$D$7&amp;"'!GO_2045"),
    0
)
+IF(
    IFERROR(INDIRECT("'"&amp;$D$8&amp;"'!C9")&lt;1965, 0),
    INDIRECT("'"&amp;$D$8&amp;"'!GO_2045"),
    0
)
+IF(
    IFERROR(INDIRECT("'"&amp;$D$9&amp;"'!C9")&lt;1965, 0),
    INDIRECT("'"&amp;$D$9&amp;"'!GO_2045"),
    0
)
+IF(
    IFERROR(INDIRECT("'"&amp;$D$10&amp;"'!C9")&lt;1965, 0),
    INDIRECT("'"&amp;$D$10&amp;"'!GO_2045"),
    0
)
+IF(
    IFERROR(INDIRECT("'"&amp;$D$11&amp;"'!C9")&lt;1965, 0),
    INDIRECT("'"&amp;$D$11&amp;"'!GO_2045"),
    0
)
+IF(
    IFERROR(INDIRECT("'"&amp;$D$12&amp;"'!C9")&lt;1965, 0),
    INDIRECT("'"&amp;$D$12&amp;"'!GO_2045"),
    0
)
+IF(
    IFERROR(INDIRECT("'"&amp;$D$13&amp;"'!C9")&lt;1965, 0),
    INDIRECT("'"&amp;$D$13&amp;"'!GO_2045"),
    0
)
+IF(
    IFERROR(INDIRECT("'"&amp;$D$14&amp;"'!C9")&lt;1965, 0),
    INDIRECT("'"&amp;$D$14&amp;"'!GO_2045"),
    0
)
+IF(
    IFERROR(INDIRECT("'"&amp;$D$15&amp;"'!C9")&lt;1965, 0),
    INDIRECT("'"&amp;$D$15&amp;"'!GO_2045"),
    0
)
+IF(
    IFERROR(INDIRECT("'"&amp;$D$16&amp;"'!C9")&lt;1965, 0),
    INDIRECT("'"&amp;$D$16&amp;"'!GO_2045"),
    0
)
+IF(
    IFERROR(INDIRECT("'"&amp;$D$17&amp;"'!C9")&lt;1965, 0),
    INDIRECT("'"&amp;$D$17&amp;"'!GO_2045"),
    0
)
+IF(
    IFERROR(INDIRECT("'"&amp;$D$18&amp;"'!C9")&lt;1965, 0),
    INDIRECT("'"&amp;$D$18&amp;"'!GO_2045"),
    0
)
+IF(
    IFERROR(INDIRECT("'"&amp;$D$19&amp;"'!C9")&lt;1965, 0),
    INDIRECT("'"&amp;$D$19&amp;"'!GO_2045"),
    0
)
+IF(
    IFERROR(INDIRECT("'"&amp;$D$20&amp;"'!C9")&lt;1965, 0),
    INDIRECT("'"&amp;$D$20&amp;"'!GO_2045"),
    0
)
+IF(
    IFERROR(INDIRECT("'"&amp;$D$21&amp;"'!C9")&lt;1965, 0),
    INDIRECT("'"&amp;$D$21&amp;"'!GO_2045"),
    0
)
+IF(
    IFERROR(INDIRECT("'"&amp;$D$22&amp;"'!C9")&lt;1965, 0),
    INDIRECT("'"&amp;$D$22&amp;"'!GO_2045"),
    0
)
+IF(
    IFERROR(INDIRECT("'"&amp;$D$23&amp;"'!C9")&lt;1965, 0),
    INDIRECT("'"&amp;$D$23&amp;"'!GO_2045"),
    0
)
+IF(
    IFERROR(INDIRECT("'"&amp;$D$24&amp;"'!C9")&lt;1965, 0),
    INDIRECT("'"&amp;$D$24&amp;"'!GO_2045"),
    0
)
+IF(
    IFERROR(INDIRECT("'"&amp;$D$25&amp;"'!C9")&lt;1965, 0),
    INDIRECT("'"&amp;$D$25&amp;"'!GO_2045"),
    0
)
+IF(
    IFERROR(INDIRECT("'"&amp;$D$26&amp;"'!C9")&lt;1965, 0),
    INDIRECT("'"&amp;$D$26&amp;"'!GO_2045"),
    0
)
+IF(
    IFERROR(INDIRECT("'"&amp;$D$27&amp;"'!C9")&lt;1965, 0),
    INDIRECT("'"&amp;$D$27&amp;"'!GO_2045"),
    0
)
+IF(
    IFERROR(INDIRECT("'"&amp;$D$28&amp;"'!C9")&lt;1965, 0),
    INDIRECT("'"&amp;$D$28&amp;"'!GO_2045"),
    0
)
+IF(
    IFERROR(INDIRECT("'"&amp;$D$29&amp;"'!C9")&lt;1965, 0),
    INDIRECT("'"&amp;$D$29&amp;"'!GO_2045"),
    0
)
+IF(
    IFERROR(INDIRECT("'"&amp;$D$30&amp;"'!C9")&lt;1965, 0),
    INDIRECT("'"&amp;$D$30&amp;"'!GO_2045"),
    0
)
+IF(
    IFERROR(INDIRECT("'"&amp;$D$31&amp;"'!C9")&lt;1965, 0),
    INDIRECT("'"&amp;$D$31&amp;"'!GO_2045"),
    0
)
+IF(
    IFERROR(INDIRECT("'"&amp;$D$32&amp;"'!C9")&lt;1965, 0),
    INDIRECT("'"&amp;$D$32&amp;"'!GO_2045"),
    0
)
+IF(
    IFERROR(INDIRECT("'"&amp;$D$33&amp;"'!C9")&lt;1965, 0),
    INDIRECT("'"&amp;$D$33&amp;"'!GO_2045"),
    0
)
+IF(
    IFERROR(INDIRECT("'"&amp;$D$34&amp;"'!C9")&lt;1965, 0),
    INDIRECT("'"&amp;$D$34&amp;"'!GO_2045"),
    0
)
+IF(
    IFERROR(INDIRECT("'"&amp;$D$35&amp;"'!C9")&lt;1965, 0),
    INDIRECT("'"&amp;$D$35&amp;"'!GO_2045"),
    0
)
+IF(
    IFERROR(INDIRECT("'"&amp;$D$36&amp;"'!C9")&lt;1965, 0),
    INDIRECT("'"&amp;$D$36&amp;"'!GO_2045"),
    0
)
+IF(
    IFERROR(INDIRECT("'"&amp;$D$37&amp;"'!C9")&lt;1965, 0),
    INDIRECT("'"&amp;$D$37&amp;"'!GO_2045"),
    0
)
+IF(
    IFERROR(INDIRECT("'"&amp;$D$38&amp;"'!C9")&lt;1965, 0),
    INDIRECT("'"&amp;$D$38&amp;"'!GO_2045"),
    0
)
+IF(
    IFERROR(INDIRECT("'"&amp;$D$39&amp;"'!C9")&lt;1965, 0),
    INDIRECT("'"&amp;$D$39&amp;"'!GO_2045"),
    0
)
+IF(
    IFERROR(INDIRECT("'"&amp;$D$40&amp;"'!C9")&lt;1965, 0),
    INDIRECT("'"&amp;$D$40&amp;"'!GO_2045"),
    0
)
+IF(
    IFERROR(INDIRECT("'"&amp;$D$41&amp;"'!C9")&lt;1965, 0),
    INDIRECT("'"&amp;$D$41&amp;"'!GO_2045"),
    0
)
+IF(
    IFERROR(INDIRECT("'"&amp;$D$42&amp;"'!C9")&lt;1965, 0),
    INDIRECT("'"&amp;$D$42&amp;"'!GO_2045"),
    0
)
+IF(
    IFERROR(INDIRECT("'"&amp;$D$43&amp;"'!C9")&lt;1965, 0),
    INDIRECT("'"&amp;$D$43&amp;"'!GO_2045"),
    0
)
+IF(
    IFERROR(INDIRECT("'"&amp;$D$44&amp;"'!C9")&lt;1965, 0),
    INDIRECT("'"&amp;$D$44&amp;"'!GO_2045"),
    0
)
+IF(
    IFERROR(INDIRECT("'"&amp;$D$45&amp;"'!C9")&lt;1965, 0),
    INDIRECT("'"&amp;$D$45&amp;"'!GO_2045"),
    0
)
+IF(
    IFERROR(INDIRECT("'"&amp;$D$46&amp;"'!C9")&lt;1965, 0),
    INDIRECT("'"&amp;$D$46&amp;"'!GO_2045"),
    0
)
+IF(
    IFERROR(INDIRECT("'"&amp;$D$47&amp;"'!C9")&lt;1965, 0),
    INDIRECT("'"&amp;$D$47&amp;"'!GO_2045"),
    0
)
+IF(
    IFERROR(INDIRECT("'"&amp;$D$48&amp;"'!C9")&lt;1965, 0),
    INDIRECT("'"&amp;$D$48&amp;"'!GO_2045"),
    0
)
+IF(
    IFERROR(INDIRECT("'"&amp;$D$49&amp;"'!C9")&lt;1965, 0),
    INDIRECT("'"&amp;$D$49&amp;"'!GO_2045"),
    0
)
+IF(
    IFERROR(INDIRECT("'"&amp;$D$50&amp;"'!C9")&lt;1965, 0),
    INDIRECT("'"&amp;$D$50&amp;"'!GO_2045"),
    0
)
+IF(
    IFERROR(INDIRECT("'"&amp;$D$51&amp;"'!C9")&lt;1965, 0),
    INDIRECT("'"&amp;$D$51&amp;"'!GO_2045"),
    0
)
+IF(
    IFERROR(INDIRECT("'"&amp;$D$52&amp;"'!C9")&lt;1965, 0),
    INDIRECT("'"&amp;$D$52&amp;"'!GO_2045"),
    0
)
+IF(
    IFERROR(INDIRECT("'"&amp;$D$53&amp;"'!C9")&lt;1965, 0),
    INDIRECT("'"&amp;$D$53&amp;"'!GO_2045"),
    0
)
+IF(
    IFERROR(INDIRECT("'"&amp;$D$54&amp;"'!C9")&lt;1965, 0),
    INDIRECT("'"&amp;$D$54&amp;"'!GO_2045"),
    0
)</f>
        <v>3152.16</v>
      </c>
      <c r="AJ24" s="321">
        <f ca="1">IF(
    IFERROR(INDIRECT("'"&amp;$D$5&amp;"'!C9")&lt;1965, 0),
    INDIRECT("'"&amp;$D$5&amp;"'!GO_2046"),
    0
)
+IF(
    IFERROR(INDIRECT("'"&amp;$D$6&amp;"'!C9")&lt;1965, 0),
    INDIRECT("'"&amp;$D$6&amp;"'!GO_2046"),
    0
)
+IF(
    IFERROR(INDIRECT("'"&amp;$D$7&amp;"'!C9")&lt;1965, 0),
    INDIRECT("'"&amp;$D$7&amp;"'!GO_2046"),
    0
)
+IF(
    IFERROR(INDIRECT("'"&amp;$D$8&amp;"'!C9")&lt;1965, 0),
    INDIRECT("'"&amp;$D$8&amp;"'!GO_2046"),
    0
)
+IF(
    IFERROR(INDIRECT("'"&amp;$D$9&amp;"'!C9")&lt;1965, 0),
    INDIRECT("'"&amp;$D$9&amp;"'!GO_2046"),
    0
)
+IF(
    IFERROR(INDIRECT("'"&amp;$D$10&amp;"'!C9")&lt;1965, 0),
    INDIRECT("'"&amp;$D$10&amp;"'!GO_2046"),
    0
)
+IF(
    IFERROR(INDIRECT("'"&amp;$D$11&amp;"'!C9")&lt;1965, 0),
    INDIRECT("'"&amp;$D$11&amp;"'!GO_2046"),
    0
)
+IF(
    IFERROR(INDIRECT("'"&amp;$D$12&amp;"'!C9")&lt;1965, 0),
    INDIRECT("'"&amp;$D$12&amp;"'!GO_2046"),
    0
)
+IF(
    IFERROR(INDIRECT("'"&amp;$D$13&amp;"'!C9")&lt;1965, 0),
    INDIRECT("'"&amp;$D$13&amp;"'!GO_2046"),
    0
)
+IF(
    IFERROR(INDIRECT("'"&amp;$D$14&amp;"'!C9")&lt;1965, 0),
    INDIRECT("'"&amp;$D$14&amp;"'!GO_2046"),
    0
)
+IF(
    IFERROR(INDIRECT("'"&amp;$D$15&amp;"'!C9")&lt;1965, 0),
    INDIRECT("'"&amp;$D$15&amp;"'!GO_2046"),
    0
)
+IF(
    IFERROR(INDIRECT("'"&amp;$D$16&amp;"'!C9")&lt;1965, 0),
    INDIRECT("'"&amp;$D$16&amp;"'!GO_2046"),
    0
)
+IF(
    IFERROR(INDIRECT("'"&amp;$D$17&amp;"'!C9")&lt;1965, 0),
    INDIRECT("'"&amp;$D$17&amp;"'!GO_2046"),
    0
)
+IF(
    IFERROR(INDIRECT("'"&amp;$D$18&amp;"'!C9")&lt;1965, 0),
    INDIRECT("'"&amp;$D$18&amp;"'!GO_2046"),
    0
)
+IF(
    IFERROR(INDIRECT("'"&amp;$D$19&amp;"'!C9")&lt;1965, 0),
    INDIRECT("'"&amp;$D$19&amp;"'!GO_2046"),
    0
)
+IF(
    IFERROR(INDIRECT("'"&amp;$D$20&amp;"'!C9")&lt;1965, 0),
    INDIRECT("'"&amp;$D$20&amp;"'!GO_2046"),
    0
)
+IF(
    IFERROR(INDIRECT("'"&amp;$D$21&amp;"'!C9")&lt;1965, 0),
    INDIRECT("'"&amp;$D$21&amp;"'!GO_2046"),
    0
)
+IF(
    IFERROR(INDIRECT("'"&amp;$D$22&amp;"'!C9")&lt;1965, 0),
    INDIRECT("'"&amp;$D$22&amp;"'!GO_2046"),
    0
)
+IF(
    IFERROR(INDIRECT("'"&amp;$D$23&amp;"'!C9")&lt;1965, 0),
    INDIRECT("'"&amp;$D$23&amp;"'!GO_2046"),
    0
)
+IF(
    IFERROR(INDIRECT("'"&amp;$D$24&amp;"'!C9")&lt;1965, 0),
    INDIRECT("'"&amp;$D$24&amp;"'!GO_2046"),
    0
)
+IF(
    IFERROR(INDIRECT("'"&amp;$D$25&amp;"'!C9")&lt;1965, 0),
    INDIRECT("'"&amp;$D$25&amp;"'!GO_2046"),
    0
)
+IF(
    IFERROR(INDIRECT("'"&amp;$D$26&amp;"'!C9")&lt;1965, 0),
    INDIRECT("'"&amp;$D$26&amp;"'!GO_2046"),
    0
)
+IF(
    IFERROR(INDIRECT("'"&amp;$D$27&amp;"'!C9")&lt;1965, 0),
    INDIRECT("'"&amp;$D$27&amp;"'!GO_2046"),
    0
)
+IF(
    IFERROR(INDIRECT("'"&amp;$D$28&amp;"'!C9")&lt;1965, 0),
    INDIRECT("'"&amp;$D$28&amp;"'!GO_2046"),
    0
)
+IF(
    IFERROR(INDIRECT("'"&amp;$D$29&amp;"'!C9")&lt;1965, 0),
    INDIRECT("'"&amp;$D$29&amp;"'!GO_2046"),
    0
)
+IF(
    IFERROR(INDIRECT("'"&amp;$D$30&amp;"'!C9")&lt;1965, 0),
    INDIRECT("'"&amp;$D$30&amp;"'!GO_2046"),
    0
)
+IF(
    IFERROR(INDIRECT("'"&amp;$D$31&amp;"'!C9")&lt;1965, 0),
    INDIRECT("'"&amp;$D$31&amp;"'!GO_2046"),
    0
)
+IF(
    IFERROR(INDIRECT("'"&amp;$D$32&amp;"'!C9")&lt;1965, 0),
    INDIRECT("'"&amp;$D$32&amp;"'!GO_2046"),
    0
)
+IF(
    IFERROR(INDIRECT("'"&amp;$D$33&amp;"'!C9")&lt;1965, 0),
    INDIRECT("'"&amp;$D$33&amp;"'!GO_2046"),
    0
)
+IF(
    IFERROR(INDIRECT("'"&amp;$D$34&amp;"'!C9")&lt;1965, 0),
    INDIRECT("'"&amp;$D$34&amp;"'!GO_2046"),
    0
)
+IF(
    IFERROR(INDIRECT("'"&amp;$D$35&amp;"'!C9")&lt;1965, 0),
    INDIRECT("'"&amp;$D$35&amp;"'!GO_2046"),
    0
)
+IF(
    IFERROR(INDIRECT("'"&amp;$D$36&amp;"'!C9")&lt;1965, 0),
    INDIRECT("'"&amp;$D$36&amp;"'!GO_2046"),
    0
)
+IF(
    IFERROR(INDIRECT("'"&amp;$D$37&amp;"'!C9")&lt;1965, 0),
    INDIRECT("'"&amp;$D$37&amp;"'!GO_2046"),
    0
)
+IF(
    IFERROR(INDIRECT("'"&amp;$D$38&amp;"'!C9")&lt;1965, 0),
    INDIRECT("'"&amp;$D$38&amp;"'!GO_2046"),
    0
)
+IF(
    IFERROR(INDIRECT("'"&amp;$D$39&amp;"'!C9")&lt;1965, 0),
    INDIRECT("'"&amp;$D$39&amp;"'!GO_2046"),
    0
)
+IF(
    IFERROR(INDIRECT("'"&amp;$D$40&amp;"'!C9")&lt;1965, 0),
    INDIRECT("'"&amp;$D$40&amp;"'!GO_2046"),
    0
)
+IF(
    IFERROR(INDIRECT("'"&amp;$D$41&amp;"'!C9")&lt;1965, 0),
    INDIRECT("'"&amp;$D$41&amp;"'!GO_2046"),
    0
)
+IF(
    IFERROR(INDIRECT("'"&amp;$D$42&amp;"'!C9")&lt;1965, 0),
    INDIRECT("'"&amp;$D$42&amp;"'!GO_2046"),
    0
)
+IF(
    IFERROR(INDIRECT("'"&amp;$D$43&amp;"'!C9")&lt;1965, 0),
    INDIRECT("'"&amp;$D$43&amp;"'!GO_2046"),
    0
)
+IF(
    IFERROR(INDIRECT("'"&amp;$D$44&amp;"'!C9")&lt;1965, 0),
    INDIRECT("'"&amp;$D$44&amp;"'!GO_2046"),
    0
)
+IF(
    IFERROR(INDIRECT("'"&amp;$D$45&amp;"'!C9")&lt;1965, 0),
    INDIRECT("'"&amp;$D$45&amp;"'!GO_2046"),
    0
)
+IF(
    IFERROR(INDIRECT("'"&amp;$D$46&amp;"'!C9")&lt;1965, 0),
    INDIRECT("'"&amp;$D$46&amp;"'!GO_2046"),
    0
)
+IF(
    IFERROR(INDIRECT("'"&amp;$D$47&amp;"'!C9")&lt;1965, 0),
    INDIRECT("'"&amp;$D$47&amp;"'!GO_2046"),
    0
)
+IF(
    IFERROR(INDIRECT("'"&amp;$D$48&amp;"'!C9")&lt;1965, 0),
    INDIRECT("'"&amp;$D$48&amp;"'!GO_2046"),
    0
)
+IF(
    IFERROR(INDIRECT("'"&amp;$D$49&amp;"'!C9")&lt;1965, 0),
    INDIRECT("'"&amp;$D$49&amp;"'!GO_2046"),
    0
)
+IF(
    IFERROR(INDIRECT("'"&amp;$D$50&amp;"'!C9")&lt;1965, 0),
    INDIRECT("'"&amp;$D$50&amp;"'!GO_2046"),
    0
)
+IF(
    IFERROR(INDIRECT("'"&amp;$D$51&amp;"'!C9")&lt;1965, 0),
    INDIRECT("'"&amp;$D$51&amp;"'!GO_2046"),
    0
)
+IF(
    IFERROR(INDIRECT("'"&amp;$D$52&amp;"'!C9")&lt;1965, 0),
    INDIRECT("'"&amp;$D$52&amp;"'!GO_2046"),
    0
)
+IF(
    IFERROR(INDIRECT("'"&amp;$D$53&amp;"'!C9")&lt;1965, 0),
    INDIRECT("'"&amp;$D$53&amp;"'!GO_2046"),
    0
)
+IF(
    IFERROR(INDIRECT("'"&amp;$D$54&amp;"'!C9")&lt;1965, 0),
    INDIRECT("'"&amp;$D$54&amp;"'!GO_2046"),
    0
)</f>
        <v>3152.16</v>
      </c>
      <c r="AK24" s="321">
        <f ca="1">IF(
    IFERROR(INDIRECT("'"&amp;$D$5&amp;"'!C9")&lt;1965, 0),
    INDIRECT("'"&amp;$D$5&amp;"'!GO_2047"),
    0
)
+IF(
    IFERROR(INDIRECT("'"&amp;$D$6&amp;"'!C9")&lt;1965, 0),
    INDIRECT("'"&amp;$D$6&amp;"'!GO_2047"),
    0
)
+IF(
    IFERROR(INDIRECT("'"&amp;$D$7&amp;"'!C9")&lt;1965, 0),
    INDIRECT("'"&amp;$D$7&amp;"'!GO_2047"),
    0
)
+IF(
    IFERROR(INDIRECT("'"&amp;$D$8&amp;"'!C9")&lt;1965, 0),
    INDIRECT("'"&amp;$D$8&amp;"'!GO_2047"),
    0
)
+IF(
    IFERROR(INDIRECT("'"&amp;$D$9&amp;"'!C9")&lt;1965, 0),
    INDIRECT("'"&amp;$D$9&amp;"'!GO_2047"),
    0
)
+IF(
    IFERROR(INDIRECT("'"&amp;$D$10&amp;"'!C9")&lt;1965, 0),
    INDIRECT("'"&amp;$D$10&amp;"'!GO_2047"),
    0
)
+IF(
    IFERROR(INDIRECT("'"&amp;$D$11&amp;"'!C9")&lt;1965, 0),
    INDIRECT("'"&amp;$D$11&amp;"'!GO_2047"),
    0
)
+IF(
    IFERROR(INDIRECT("'"&amp;$D$12&amp;"'!C9")&lt;1965, 0),
    INDIRECT("'"&amp;$D$12&amp;"'!GO_2047"),
    0
)
+IF(
    IFERROR(INDIRECT("'"&amp;$D$13&amp;"'!C9")&lt;1965, 0),
    INDIRECT("'"&amp;$D$13&amp;"'!GO_2047"),
    0
)
+IF(
    IFERROR(INDIRECT("'"&amp;$D$14&amp;"'!C9")&lt;1965, 0),
    INDIRECT("'"&amp;$D$14&amp;"'!GO_2047"),
    0
)
+IF(
    IFERROR(INDIRECT("'"&amp;$D$15&amp;"'!C9")&lt;1965, 0),
    INDIRECT("'"&amp;$D$15&amp;"'!GO_2047"),
    0
)
+IF(
    IFERROR(INDIRECT("'"&amp;$D$16&amp;"'!C9")&lt;1965, 0),
    INDIRECT("'"&amp;$D$16&amp;"'!GO_2047"),
    0
)
+IF(
    IFERROR(INDIRECT("'"&amp;$D$17&amp;"'!C9")&lt;1965, 0),
    INDIRECT("'"&amp;$D$17&amp;"'!GO_2047"),
    0
)
+IF(
    IFERROR(INDIRECT("'"&amp;$D$18&amp;"'!C9")&lt;1965, 0),
    INDIRECT("'"&amp;$D$18&amp;"'!GO_2047"),
    0
)
+IF(
    IFERROR(INDIRECT("'"&amp;$D$19&amp;"'!C9")&lt;1965, 0),
    INDIRECT("'"&amp;$D$19&amp;"'!GO_2047"),
    0
)
+IF(
    IFERROR(INDIRECT("'"&amp;$D$20&amp;"'!C9")&lt;1965, 0),
    INDIRECT("'"&amp;$D$20&amp;"'!GO_2047"),
    0
)
+IF(
    IFERROR(INDIRECT("'"&amp;$D$21&amp;"'!C9")&lt;1965, 0),
    INDIRECT("'"&amp;$D$21&amp;"'!GO_2047"),
    0
)
+IF(
    IFERROR(INDIRECT("'"&amp;$D$22&amp;"'!C9")&lt;1965, 0),
    INDIRECT("'"&amp;$D$22&amp;"'!GO_2047"),
    0
)
+IF(
    IFERROR(INDIRECT("'"&amp;$D$23&amp;"'!C9")&lt;1965, 0),
    INDIRECT("'"&amp;$D$23&amp;"'!GO_2047"),
    0
)
+IF(
    IFERROR(INDIRECT("'"&amp;$D$24&amp;"'!C9")&lt;1965, 0),
    INDIRECT("'"&amp;$D$24&amp;"'!GO_2047"),
    0
)
+IF(
    IFERROR(INDIRECT("'"&amp;$D$25&amp;"'!C9")&lt;1965, 0),
    INDIRECT("'"&amp;$D$25&amp;"'!GO_2047"),
    0
)
+IF(
    IFERROR(INDIRECT("'"&amp;$D$26&amp;"'!C9")&lt;1965, 0),
    INDIRECT("'"&amp;$D$26&amp;"'!GO_2047"),
    0
)
+IF(
    IFERROR(INDIRECT("'"&amp;$D$27&amp;"'!C9")&lt;1965, 0),
    INDIRECT("'"&amp;$D$27&amp;"'!GO_2047"),
    0
)
+IF(
    IFERROR(INDIRECT("'"&amp;$D$28&amp;"'!C9")&lt;1965, 0),
    INDIRECT("'"&amp;$D$28&amp;"'!GO_2047"),
    0
)
+IF(
    IFERROR(INDIRECT("'"&amp;$D$29&amp;"'!C9")&lt;1965, 0),
    INDIRECT("'"&amp;$D$29&amp;"'!GO_2047"),
    0
)
+IF(
    IFERROR(INDIRECT("'"&amp;$D$30&amp;"'!C9")&lt;1965, 0),
    INDIRECT("'"&amp;$D$30&amp;"'!GO_2047"),
    0
)
+IF(
    IFERROR(INDIRECT("'"&amp;$D$31&amp;"'!C9")&lt;1965, 0),
    INDIRECT("'"&amp;$D$31&amp;"'!GO_2047"),
    0
)
+IF(
    IFERROR(INDIRECT("'"&amp;$D$32&amp;"'!C9")&lt;1965, 0),
    INDIRECT("'"&amp;$D$32&amp;"'!GO_2047"),
    0
)
+IF(
    IFERROR(INDIRECT("'"&amp;$D$33&amp;"'!C9")&lt;1965, 0),
    INDIRECT("'"&amp;$D$33&amp;"'!GO_2047"),
    0
)
+IF(
    IFERROR(INDIRECT("'"&amp;$D$34&amp;"'!C9")&lt;1965, 0),
    INDIRECT("'"&amp;$D$34&amp;"'!GO_2047"),
    0
)
+IF(
    IFERROR(INDIRECT("'"&amp;$D$35&amp;"'!C9")&lt;1965, 0),
    INDIRECT("'"&amp;$D$35&amp;"'!GO_2047"),
    0
)
+IF(
    IFERROR(INDIRECT("'"&amp;$D$36&amp;"'!C9")&lt;1965, 0),
    INDIRECT("'"&amp;$D$36&amp;"'!GO_2047"),
    0
)
+IF(
    IFERROR(INDIRECT("'"&amp;$D$37&amp;"'!C9")&lt;1965, 0),
    INDIRECT("'"&amp;$D$37&amp;"'!GO_2047"),
    0
)
+IF(
    IFERROR(INDIRECT("'"&amp;$D$38&amp;"'!C9")&lt;1965, 0),
    INDIRECT("'"&amp;$D$38&amp;"'!GO_2047"),
    0
)
+IF(
    IFERROR(INDIRECT("'"&amp;$D$39&amp;"'!C9")&lt;1965, 0),
    INDIRECT("'"&amp;$D$39&amp;"'!GO_2047"),
    0
)
+IF(
    IFERROR(INDIRECT("'"&amp;$D$40&amp;"'!C9")&lt;1965, 0),
    INDIRECT("'"&amp;$D$40&amp;"'!GO_2047"),
    0
)
+IF(
    IFERROR(INDIRECT("'"&amp;$D$41&amp;"'!C9")&lt;1965, 0),
    INDIRECT("'"&amp;$D$41&amp;"'!GO_2047"),
    0
)
+IF(
    IFERROR(INDIRECT("'"&amp;$D$42&amp;"'!C9")&lt;1965, 0),
    INDIRECT("'"&amp;$D$42&amp;"'!GO_2047"),
    0
)
+IF(
    IFERROR(INDIRECT("'"&amp;$D$43&amp;"'!C9")&lt;1965, 0),
    INDIRECT("'"&amp;$D$43&amp;"'!GO_2047"),
    0
)
+IF(
    IFERROR(INDIRECT("'"&amp;$D$44&amp;"'!C9")&lt;1965, 0),
    INDIRECT("'"&amp;$D$44&amp;"'!GO_2047"),
    0
)
+IF(
    IFERROR(INDIRECT("'"&amp;$D$45&amp;"'!C9")&lt;1965, 0),
    INDIRECT("'"&amp;$D$45&amp;"'!GO_2047"),
    0
)
+IF(
    IFERROR(INDIRECT("'"&amp;$D$46&amp;"'!C9")&lt;1965, 0),
    INDIRECT("'"&amp;$D$46&amp;"'!GO_2047"),
    0
)
+IF(
    IFERROR(INDIRECT("'"&amp;$D$47&amp;"'!C9")&lt;1965, 0),
    INDIRECT("'"&amp;$D$47&amp;"'!GO_2047"),
    0
)
+IF(
    IFERROR(INDIRECT("'"&amp;$D$48&amp;"'!C9")&lt;1965, 0),
    INDIRECT("'"&amp;$D$48&amp;"'!GO_2047"),
    0
)
+IF(
    IFERROR(INDIRECT("'"&amp;$D$49&amp;"'!C9")&lt;1965, 0),
    INDIRECT("'"&amp;$D$49&amp;"'!GO_2047"),
    0
)
+IF(
    IFERROR(INDIRECT("'"&amp;$D$50&amp;"'!C9")&lt;1965, 0),
    INDIRECT("'"&amp;$D$50&amp;"'!GO_2047"),
    0
)
+IF(
    IFERROR(INDIRECT("'"&amp;$D$51&amp;"'!C9")&lt;1965, 0),
    INDIRECT("'"&amp;$D$51&amp;"'!GO_2047"),
    0
)
+IF(
    IFERROR(INDIRECT("'"&amp;$D$52&amp;"'!C9")&lt;1965, 0),
    INDIRECT("'"&amp;$D$52&amp;"'!GO_2047"),
    0
)
+IF(
    IFERROR(INDIRECT("'"&amp;$D$53&amp;"'!C9")&lt;1965, 0),
    INDIRECT("'"&amp;$D$53&amp;"'!GO_2047"),
    0
)
+IF(
    IFERROR(INDIRECT("'"&amp;$D$54&amp;"'!C9")&lt;1965, 0),
    INDIRECT("'"&amp;$D$54&amp;"'!GO_2047"),
    0
)</f>
        <v>3152.16</v>
      </c>
      <c r="AL24" s="321">
        <f ca="1">IF(
    IFERROR(INDIRECT("'"&amp;$D$5&amp;"'!C9")&lt;1965, 0),
    INDIRECT("'"&amp;$D$5&amp;"'!GO_2048"),
    0
)
+IF(
    IFERROR(INDIRECT("'"&amp;$D$6&amp;"'!C9")&lt;1965, 0),
    INDIRECT("'"&amp;$D$6&amp;"'!GO_2048"),
    0
)
+IF(
    IFERROR(INDIRECT("'"&amp;$D$7&amp;"'!C9")&lt;1965, 0),
    INDIRECT("'"&amp;$D$7&amp;"'!GO_2048"),
    0
)
+IF(
    IFERROR(INDIRECT("'"&amp;$D$8&amp;"'!C9")&lt;1965, 0),
    INDIRECT("'"&amp;$D$8&amp;"'!GO_2048"),
    0
)
+IF(
    IFERROR(INDIRECT("'"&amp;$D$9&amp;"'!C9")&lt;1965, 0),
    INDIRECT("'"&amp;$D$9&amp;"'!GO_2048"),
    0
)
+IF(
    IFERROR(INDIRECT("'"&amp;$D$10&amp;"'!C9")&lt;1965, 0),
    INDIRECT("'"&amp;$D$10&amp;"'!GO_2048"),
    0
)
+IF(
    IFERROR(INDIRECT("'"&amp;$D$11&amp;"'!C9")&lt;1965, 0),
    INDIRECT("'"&amp;$D$11&amp;"'!GO_2048"),
    0
)
+IF(
    IFERROR(INDIRECT("'"&amp;$D$12&amp;"'!C9")&lt;1965, 0),
    INDIRECT("'"&amp;$D$12&amp;"'!GO_2048"),
    0
)
+IF(
    IFERROR(INDIRECT("'"&amp;$D$13&amp;"'!C9")&lt;1965, 0),
    INDIRECT("'"&amp;$D$13&amp;"'!GO_2048"),
    0
)
+IF(
    IFERROR(INDIRECT("'"&amp;$D$14&amp;"'!C9")&lt;1965, 0),
    INDIRECT("'"&amp;$D$14&amp;"'!GO_2048"),
    0
)
+IF(
    IFERROR(INDIRECT("'"&amp;$D$15&amp;"'!C9")&lt;1965, 0),
    INDIRECT("'"&amp;$D$15&amp;"'!GO_2048"),
    0
)
+IF(
    IFERROR(INDIRECT("'"&amp;$D$16&amp;"'!C9")&lt;1965, 0),
    INDIRECT("'"&amp;$D$16&amp;"'!GO_2048"),
    0
)
+IF(
    IFERROR(INDIRECT("'"&amp;$D$17&amp;"'!C9")&lt;1965, 0),
    INDIRECT("'"&amp;$D$17&amp;"'!GO_2048"),
    0
)
+IF(
    IFERROR(INDIRECT("'"&amp;$D$18&amp;"'!C9")&lt;1965, 0),
    INDIRECT("'"&amp;$D$18&amp;"'!GO_2048"),
    0
)
+IF(
    IFERROR(INDIRECT("'"&amp;$D$19&amp;"'!C9")&lt;1965, 0),
    INDIRECT("'"&amp;$D$19&amp;"'!GO_2048"),
    0
)
+IF(
    IFERROR(INDIRECT("'"&amp;$D$20&amp;"'!C9")&lt;1965, 0),
    INDIRECT("'"&amp;$D$20&amp;"'!GO_2048"),
    0
)
+IF(
    IFERROR(INDIRECT("'"&amp;$D$21&amp;"'!C9")&lt;1965, 0),
    INDIRECT("'"&amp;$D$21&amp;"'!GO_2048"),
    0
)
+IF(
    IFERROR(INDIRECT("'"&amp;$D$22&amp;"'!C9")&lt;1965, 0),
    INDIRECT("'"&amp;$D$22&amp;"'!GO_2048"),
    0
)
+IF(
    IFERROR(INDIRECT("'"&amp;$D$23&amp;"'!C9")&lt;1965, 0),
    INDIRECT("'"&amp;$D$23&amp;"'!GO_2048"),
    0
)
+IF(
    IFERROR(INDIRECT("'"&amp;$D$24&amp;"'!C9")&lt;1965, 0),
    INDIRECT("'"&amp;$D$24&amp;"'!GO_2048"),
    0
)
+IF(
    IFERROR(INDIRECT("'"&amp;$D$25&amp;"'!C9")&lt;1965, 0),
    INDIRECT("'"&amp;$D$25&amp;"'!GO_2048"),
    0
)
+IF(
    IFERROR(INDIRECT("'"&amp;$D$26&amp;"'!C9")&lt;1965, 0),
    INDIRECT("'"&amp;$D$26&amp;"'!GO_2048"),
    0
)
+IF(
    IFERROR(INDIRECT("'"&amp;$D$27&amp;"'!C9")&lt;1965, 0),
    INDIRECT("'"&amp;$D$27&amp;"'!GO_2048"),
    0
)
+IF(
    IFERROR(INDIRECT("'"&amp;$D$28&amp;"'!C9")&lt;1965, 0),
    INDIRECT("'"&amp;$D$28&amp;"'!GO_2048"),
    0
)
+IF(
    IFERROR(INDIRECT("'"&amp;$D$29&amp;"'!C9")&lt;1965, 0),
    INDIRECT("'"&amp;$D$29&amp;"'!GO_2048"),
    0
)
+IF(
    IFERROR(INDIRECT("'"&amp;$D$30&amp;"'!C9")&lt;1965, 0),
    INDIRECT("'"&amp;$D$30&amp;"'!GO_2048"),
    0
)
+IF(
    IFERROR(INDIRECT("'"&amp;$D$31&amp;"'!C9")&lt;1965, 0),
    INDIRECT("'"&amp;$D$31&amp;"'!GO_2048"),
    0
)
+IF(
    IFERROR(INDIRECT("'"&amp;$D$32&amp;"'!C9")&lt;1965, 0),
    INDIRECT("'"&amp;$D$32&amp;"'!GO_2048"),
    0
)
+IF(
    IFERROR(INDIRECT("'"&amp;$D$33&amp;"'!C9")&lt;1965, 0),
    INDIRECT("'"&amp;$D$33&amp;"'!GO_2048"),
    0
)
+IF(
    IFERROR(INDIRECT("'"&amp;$D$34&amp;"'!C9")&lt;1965, 0),
    INDIRECT("'"&amp;$D$34&amp;"'!GO_2048"),
    0
)
+IF(
    IFERROR(INDIRECT("'"&amp;$D$35&amp;"'!C9")&lt;1965, 0),
    INDIRECT("'"&amp;$D$35&amp;"'!GO_2048"),
    0
)
+IF(
    IFERROR(INDIRECT("'"&amp;$D$36&amp;"'!C9")&lt;1965, 0),
    INDIRECT("'"&amp;$D$36&amp;"'!GO_2048"),
    0
)
+IF(
    IFERROR(INDIRECT("'"&amp;$D$37&amp;"'!C9")&lt;1965, 0),
    INDIRECT("'"&amp;$D$37&amp;"'!GO_2048"),
    0
)
+IF(
    IFERROR(INDIRECT("'"&amp;$D$38&amp;"'!C9")&lt;1965, 0),
    INDIRECT("'"&amp;$D$38&amp;"'!GO_2048"),
    0
)
+IF(
    IFERROR(INDIRECT("'"&amp;$D$39&amp;"'!C9")&lt;1965, 0),
    INDIRECT("'"&amp;$D$39&amp;"'!GO_2048"),
    0
)
+IF(
    IFERROR(INDIRECT("'"&amp;$D$40&amp;"'!C9")&lt;1965, 0),
    INDIRECT("'"&amp;$D$40&amp;"'!GO_2048"),
    0
)
+IF(
    IFERROR(INDIRECT("'"&amp;$D$41&amp;"'!C9")&lt;1965, 0),
    INDIRECT("'"&amp;$D$41&amp;"'!GO_2048"),
    0
)
+IF(
    IFERROR(INDIRECT("'"&amp;$D$42&amp;"'!C9")&lt;1965, 0),
    INDIRECT("'"&amp;$D$42&amp;"'!GO_2048"),
    0
)
+IF(
    IFERROR(INDIRECT("'"&amp;$D$43&amp;"'!C9")&lt;1965, 0),
    INDIRECT("'"&amp;$D$43&amp;"'!GO_2048"),
    0
)
+IF(
    IFERROR(INDIRECT("'"&amp;$D$44&amp;"'!C9")&lt;1965, 0),
    INDIRECT("'"&amp;$D$44&amp;"'!GO_2048"),
    0
)
+IF(
    IFERROR(INDIRECT("'"&amp;$D$45&amp;"'!C9")&lt;1965, 0),
    INDIRECT("'"&amp;$D$45&amp;"'!GO_2048"),
    0
)
+IF(
    IFERROR(INDIRECT("'"&amp;$D$46&amp;"'!C9")&lt;1965, 0),
    INDIRECT("'"&amp;$D$46&amp;"'!GO_2048"),
    0
)
+IF(
    IFERROR(INDIRECT("'"&amp;$D$47&amp;"'!C9")&lt;1965, 0),
    INDIRECT("'"&amp;$D$47&amp;"'!GO_2048"),
    0
)
+IF(
    IFERROR(INDIRECT("'"&amp;$D$48&amp;"'!C9")&lt;1965, 0),
    INDIRECT("'"&amp;$D$48&amp;"'!GO_2048"),
    0
)
+IF(
    IFERROR(INDIRECT("'"&amp;$D$49&amp;"'!C9")&lt;1965, 0),
    INDIRECT("'"&amp;$D$49&amp;"'!GO_2048"),
    0
)
+IF(
    IFERROR(INDIRECT("'"&amp;$D$50&amp;"'!C9")&lt;1965, 0),
    INDIRECT("'"&amp;$D$50&amp;"'!GO_2048"),
    0
)
+IF(
    IFERROR(INDIRECT("'"&amp;$D$51&amp;"'!C9")&lt;1965, 0),
    INDIRECT("'"&amp;$D$51&amp;"'!GO_2048"),
    0
)
+IF(
    IFERROR(INDIRECT("'"&amp;$D$52&amp;"'!C9")&lt;1965, 0),
    INDIRECT("'"&amp;$D$52&amp;"'!GO_2048"),
    0
)
+IF(
    IFERROR(INDIRECT("'"&amp;$D$53&amp;"'!C9")&lt;1965, 0),
    INDIRECT("'"&amp;$D$53&amp;"'!GO_2048"),
    0
)
+IF(
    IFERROR(INDIRECT("'"&amp;$D$54&amp;"'!C9")&lt;1965, 0),
    INDIRECT("'"&amp;$D$54&amp;"'!GO_2048"),
    0
)</f>
        <v>3152.16</v>
      </c>
      <c r="AM24" s="321">
        <f ca="1">IF(
    IFERROR(INDIRECT("'"&amp;$D$5&amp;"'!C9")&lt;1965, 0),
    INDIRECT("'"&amp;$D$5&amp;"'!GO_2049"),
    0
)
+IF(
    IFERROR(INDIRECT("'"&amp;$D$6&amp;"'!C9")&lt;1965, 0),
    INDIRECT("'"&amp;$D$6&amp;"'!GO_2049"),
    0
)
+IF(
    IFERROR(INDIRECT("'"&amp;$D$7&amp;"'!C9")&lt;1965, 0),
    INDIRECT("'"&amp;$D$7&amp;"'!GO_2049"),
    0
)
+IF(
    IFERROR(INDIRECT("'"&amp;$D$8&amp;"'!C9")&lt;1965, 0),
    INDIRECT("'"&amp;$D$8&amp;"'!GO_2049"),
    0
)
+IF(
    IFERROR(INDIRECT("'"&amp;$D$9&amp;"'!C9")&lt;1965, 0),
    INDIRECT("'"&amp;$D$9&amp;"'!GO_2049"),
    0
)
+IF(
    IFERROR(INDIRECT("'"&amp;$D$10&amp;"'!C9")&lt;1965, 0),
    INDIRECT("'"&amp;$D$10&amp;"'!GO_2049"),
    0
)
+IF(
    IFERROR(INDIRECT("'"&amp;$D$11&amp;"'!C9")&lt;1965, 0),
    INDIRECT("'"&amp;$D$11&amp;"'!GO_2049"),
    0
)
+IF(
    IFERROR(INDIRECT("'"&amp;$D$12&amp;"'!C9")&lt;1965, 0),
    INDIRECT("'"&amp;$D$12&amp;"'!GO_2049"),
    0
)
+IF(
    IFERROR(INDIRECT("'"&amp;$D$13&amp;"'!C9")&lt;1965, 0),
    INDIRECT("'"&amp;$D$13&amp;"'!GO_2049"),
    0
)
+IF(
    IFERROR(INDIRECT("'"&amp;$D$14&amp;"'!C9")&lt;1965, 0),
    INDIRECT("'"&amp;$D$14&amp;"'!GO_2049"),
    0
)
+IF(
    IFERROR(INDIRECT("'"&amp;$D$15&amp;"'!C9")&lt;1965, 0),
    INDIRECT("'"&amp;$D$15&amp;"'!GO_2049"),
    0
)
+IF(
    IFERROR(INDIRECT("'"&amp;$D$16&amp;"'!C9")&lt;1965, 0),
    INDIRECT("'"&amp;$D$16&amp;"'!GO_2049"),
    0
)
+IF(
    IFERROR(INDIRECT("'"&amp;$D$17&amp;"'!C9")&lt;1965, 0),
    INDIRECT("'"&amp;$D$17&amp;"'!GO_2049"),
    0
)
+IF(
    IFERROR(INDIRECT("'"&amp;$D$18&amp;"'!C9")&lt;1965, 0),
    INDIRECT("'"&amp;$D$18&amp;"'!GO_2049"),
    0
)
+IF(
    IFERROR(INDIRECT("'"&amp;$D$19&amp;"'!C9")&lt;1965, 0),
    INDIRECT("'"&amp;$D$19&amp;"'!GO_2049"),
    0
)
+IF(
    IFERROR(INDIRECT("'"&amp;$D$20&amp;"'!C9")&lt;1965, 0),
    INDIRECT("'"&amp;$D$20&amp;"'!GO_2049"),
    0
)
+IF(
    IFERROR(INDIRECT("'"&amp;$D$21&amp;"'!C9")&lt;1965, 0),
    INDIRECT("'"&amp;$D$21&amp;"'!GO_2049"),
    0
)
+IF(
    IFERROR(INDIRECT("'"&amp;$D$22&amp;"'!C9")&lt;1965, 0),
    INDIRECT("'"&amp;$D$22&amp;"'!GO_2049"),
    0
)
+IF(
    IFERROR(INDIRECT("'"&amp;$D$23&amp;"'!C9")&lt;1965, 0),
    INDIRECT("'"&amp;$D$23&amp;"'!GO_2049"),
    0
)
+IF(
    IFERROR(INDIRECT("'"&amp;$D$24&amp;"'!C9")&lt;1965, 0),
    INDIRECT("'"&amp;$D$24&amp;"'!GO_2049"),
    0
)
+IF(
    IFERROR(INDIRECT("'"&amp;$D$25&amp;"'!C9")&lt;1965, 0),
    INDIRECT("'"&amp;$D$25&amp;"'!GO_2049"),
    0
)
+IF(
    IFERROR(INDIRECT("'"&amp;$D$26&amp;"'!C9")&lt;1965, 0),
    INDIRECT("'"&amp;$D$26&amp;"'!GO_2049"),
    0
)
+IF(
    IFERROR(INDIRECT("'"&amp;$D$27&amp;"'!C9")&lt;1965, 0),
    INDIRECT("'"&amp;$D$27&amp;"'!GO_2049"),
    0
)
+IF(
    IFERROR(INDIRECT("'"&amp;$D$28&amp;"'!C9")&lt;1965, 0),
    INDIRECT("'"&amp;$D$28&amp;"'!GO_2049"),
    0
)
+IF(
    IFERROR(INDIRECT("'"&amp;$D$29&amp;"'!C9")&lt;1965, 0),
    INDIRECT("'"&amp;$D$29&amp;"'!GO_2049"),
    0
)
+IF(
    IFERROR(INDIRECT("'"&amp;$D$30&amp;"'!C9")&lt;1965, 0),
    INDIRECT("'"&amp;$D$30&amp;"'!GO_2049"),
    0
)
+IF(
    IFERROR(INDIRECT("'"&amp;$D$31&amp;"'!C9")&lt;1965, 0),
    INDIRECT("'"&amp;$D$31&amp;"'!GO_2049"),
    0
)
+IF(
    IFERROR(INDIRECT("'"&amp;$D$32&amp;"'!C9")&lt;1965, 0),
    INDIRECT("'"&amp;$D$32&amp;"'!GO_2049"),
    0
)
+IF(
    IFERROR(INDIRECT("'"&amp;$D$33&amp;"'!C9")&lt;1965, 0),
    INDIRECT("'"&amp;$D$33&amp;"'!GO_2049"),
    0
)
+IF(
    IFERROR(INDIRECT("'"&amp;$D$34&amp;"'!C9")&lt;1965, 0),
    INDIRECT("'"&amp;$D$34&amp;"'!GO_2049"),
    0
)
+IF(
    IFERROR(INDIRECT("'"&amp;$D$35&amp;"'!C9")&lt;1965, 0),
    INDIRECT("'"&amp;$D$35&amp;"'!GO_2049"),
    0
)
+IF(
    IFERROR(INDIRECT("'"&amp;$D$36&amp;"'!C9")&lt;1965, 0),
    INDIRECT("'"&amp;$D$36&amp;"'!GO_2049"),
    0
)
+IF(
    IFERROR(INDIRECT("'"&amp;$D$37&amp;"'!C9")&lt;1965, 0),
    INDIRECT("'"&amp;$D$37&amp;"'!GO_2049"),
    0
)
+IF(
    IFERROR(INDIRECT("'"&amp;$D$38&amp;"'!C9")&lt;1965, 0),
    INDIRECT("'"&amp;$D$38&amp;"'!GO_2049"),
    0
)
+IF(
    IFERROR(INDIRECT("'"&amp;$D$39&amp;"'!C9")&lt;1965, 0),
    INDIRECT("'"&amp;$D$39&amp;"'!GO_2049"),
    0
)
+IF(
    IFERROR(INDIRECT("'"&amp;$D$40&amp;"'!C9")&lt;1965, 0),
    INDIRECT("'"&amp;$D$40&amp;"'!GO_2049"),
    0
)
+IF(
    IFERROR(INDIRECT("'"&amp;$D$41&amp;"'!C9")&lt;1965, 0),
    INDIRECT("'"&amp;$D$41&amp;"'!GO_2049"),
    0
)
+IF(
    IFERROR(INDIRECT("'"&amp;$D$42&amp;"'!C9")&lt;1965, 0),
    INDIRECT("'"&amp;$D$42&amp;"'!GO_2049"),
    0
)
+IF(
    IFERROR(INDIRECT("'"&amp;$D$43&amp;"'!C9")&lt;1965, 0),
    INDIRECT("'"&amp;$D$43&amp;"'!GO_2049"),
    0
)
+IF(
    IFERROR(INDIRECT("'"&amp;$D$44&amp;"'!C9")&lt;1965, 0),
    INDIRECT("'"&amp;$D$44&amp;"'!GO_2049"),
    0
)
+IF(
    IFERROR(INDIRECT("'"&amp;$D$45&amp;"'!C9")&lt;1965, 0),
    INDIRECT("'"&amp;$D$45&amp;"'!GO_2049"),
    0
)
+IF(
    IFERROR(INDIRECT("'"&amp;$D$46&amp;"'!C9")&lt;1965, 0),
    INDIRECT("'"&amp;$D$46&amp;"'!GO_2049"),
    0
)
+IF(
    IFERROR(INDIRECT("'"&amp;$D$47&amp;"'!C9")&lt;1965, 0),
    INDIRECT("'"&amp;$D$47&amp;"'!GO_2049"),
    0
)
+IF(
    IFERROR(INDIRECT("'"&amp;$D$48&amp;"'!C9")&lt;1965, 0),
    INDIRECT("'"&amp;$D$48&amp;"'!GO_2049"),
    0
)
+IF(
    IFERROR(INDIRECT("'"&amp;$D$49&amp;"'!C9")&lt;1965, 0),
    INDIRECT("'"&amp;$D$49&amp;"'!GO_2049"),
    0
)
+IF(
    IFERROR(INDIRECT("'"&amp;$D$50&amp;"'!C9")&lt;1965, 0),
    INDIRECT("'"&amp;$D$50&amp;"'!GO_2049"),
    0
)
+IF(
    IFERROR(INDIRECT("'"&amp;$D$51&amp;"'!C9")&lt;1965, 0),
    INDIRECT("'"&amp;$D$51&amp;"'!GO_2049"),
    0
)
+IF(
    IFERROR(INDIRECT("'"&amp;$D$52&amp;"'!C9")&lt;1965, 0),
    INDIRECT("'"&amp;$D$52&amp;"'!GO_2049"),
    0
)
+IF(
    IFERROR(INDIRECT("'"&amp;$D$53&amp;"'!C9")&lt;1965, 0),
    INDIRECT("'"&amp;$D$53&amp;"'!GO_2049"),
    0
)
+IF(
    IFERROR(INDIRECT("'"&amp;$D$54&amp;"'!C9")&lt;1965, 0),
    INDIRECT("'"&amp;$D$54&amp;"'!GO_2049"),
    0
)</f>
        <v>3152.16</v>
      </c>
      <c r="AN24" s="321">
        <f ca="1">IF(
    IFERROR(INDIRECT("'"&amp;$D$5&amp;"'!C9")&lt;1965, 0),
    INDIRECT("'"&amp;$D$5&amp;"'!GO_2050"),
    0
)
+IF(
    IFERROR(INDIRECT("'"&amp;$D$6&amp;"'!C9")&lt;1965, 0),
    INDIRECT("'"&amp;$D$6&amp;"'!GO_2050"),
    0
)
+IF(
    IFERROR(INDIRECT("'"&amp;$D$7&amp;"'!C9")&lt;1965, 0),
    INDIRECT("'"&amp;$D$7&amp;"'!GO_2050"),
    0
)
+IF(
    IFERROR(INDIRECT("'"&amp;$D$8&amp;"'!C9")&lt;1965, 0),
    INDIRECT("'"&amp;$D$8&amp;"'!GO_2050"),
    0
)
+IF(
    IFERROR(INDIRECT("'"&amp;$D$9&amp;"'!C9")&lt;1965, 0),
    INDIRECT("'"&amp;$D$9&amp;"'!GO_2050"),
    0
)
+IF(
    IFERROR(INDIRECT("'"&amp;$D$10&amp;"'!C9")&lt;1965, 0),
    INDIRECT("'"&amp;$D$10&amp;"'!GO_2050"),
    0
)
+IF(
    IFERROR(INDIRECT("'"&amp;$D$11&amp;"'!C9")&lt;1965, 0),
    INDIRECT("'"&amp;$D$11&amp;"'!GO_2050"),
    0
)
+IF(
    IFERROR(INDIRECT("'"&amp;$D$12&amp;"'!C9")&lt;1965, 0),
    INDIRECT("'"&amp;$D$12&amp;"'!GO_2050"),
    0
)
+IF(
    IFERROR(INDIRECT("'"&amp;$D$13&amp;"'!C9")&lt;1965, 0),
    INDIRECT("'"&amp;$D$13&amp;"'!GO_2050"),
    0
)
+IF(
    IFERROR(INDIRECT("'"&amp;$D$14&amp;"'!C9")&lt;1965, 0),
    INDIRECT("'"&amp;$D$14&amp;"'!GO_2050"),
    0
)
+IF(
    IFERROR(INDIRECT("'"&amp;$D$15&amp;"'!C9")&lt;1965, 0),
    INDIRECT("'"&amp;$D$15&amp;"'!GO_2050"),
    0
)
+IF(
    IFERROR(INDIRECT("'"&amp;$D$16&amp;"'!C9")&lt;1965, 0),
    INDIRECT("'"&amp;$D$16&amp;"'!GO_2050"),
    0
)
+IF(
    IFERROR(INDIRECT("'"&amp;$D$17&amp;"'!C9")&lt;1965, 0),
    INDIRECT("'"&amp;$D$17&amp;"'!GO_2050"),
    0
)
+IF(
    IFERROR(INDIRECT("'"&amp;$D$18&amp;"'!C9")&lt;1965, 0),
    INDIRECT("'"&amp;$D$18&amp;"'!GO_2050"),
    0
)
+IF(
    IFERROR(INDIRECT("'"&amp;$D$19&amp;"'!C9")&lt;1965, 0),
    INDIRECT("'"&amp;$D$19&amp;"'!GO_2050"),
    0
)
+IF(
    IFERROR(INDIRECT("'"&amp;$D$20&amp;"'!C9")&lt;1965, 0),
    INDIRECT("'"&amp;$D$20&amp;"'!GO_2050"),
    0
)
+IF(
    IFERROR(INDIRECT("'"&amp;$D$21&amp;"'!C9")&lt;1965, 0),
    INDIRECT("'"&amp;$D$21&amp;"'!GO_2050"),
    0
)
+IF(
    IFERROR(INDIRECT("'"&amp;$D$22&amp;"'!C9")&lt;1965, 0),
    INDIRECT("'"&amp;$D$22&amp;"'!GO_2050"),
    0
)
+IF(
    IFERROR(INDIRECT("'"&amp;$D$23&amp;"'!C9")&lt;1965, 0),
    INDIRECT("'"&amp;$D$23&amp;"'!GO_2050"),
    0
)
+IF(
    IFERROR(INDIRECT("'"&amp;$D$24&amp;"'!C9")&lt;1965, 0),
    INDIRECT("'"&amp;$D$24&amp;"'!GO_2050"),
    0
)
+IF(
    IFERROR(INDIRECT("'"&amp;$D$25&amp;"'!C9")&lt;1965, 0),
    INDIRECT("'"&amp;$D$25&amp;"'!GO_2050"),
    0
)
+IF(
    IFERROR(INDIRECT("'"&amp;$D$26&amp;"'!C9")&lt;1965, 0),
    INDIRECT("'"&amp;$D$26&amp;"'!GO_2050"),
    0
)
+IF(
    IFERROR(INDIRECT("'"&amp;$D$27&amp;"'!C9")&lt;1965, 0),
    INDIRECT("'"&amp;$D$27&amp;"'!GO_2050"),
    0
)
+IF(
    IFERROR(INDIRECT("'"&amp;$D$28&amp;"'!C9")&lt;1965, 0),
    INDIRECT("'"&amp;$D$28&amp;"'!GO_2050"),
    0
)
+IF(
    IFERROR(INDIRECT("'"&amp;$D$29&amp;"'!C9")&lt;1965, 0),
    INDIRECT("'"&amp;$D$29&amp;"'!GO_2050"),
    0
)
+IF(
    IFERROR(INDIRECT("'"&amp;$D$30&amp;"'!C9")&lt;1965, 0),
    INDIRECT("'"&amp;$D$30&amp;"'!GO_2050"),
    0
)
+IF(
    IFERROR(INDIRECT("'"&amp;$D$31&amp;"'!C9")&lt;1965, 0),
    INDIRECT("'"&amp;$D$31&amp;"'!GO_2050"),
    0
)
+IF(
    IFERROR(INDIRECT("'"&amp;$D$32&amp;"'!C9")&lt;1965, 0),
    INDIRECT("'"&amp;$D$32&amp;"'!GO_2050"),
    0
)
+IF(
    IFERROR(INDIRECT("'"&amp;$D$33&amp;"'!C9")&lt;1965, 0),
    INDIRECT("'"&amp;$D$33&amp;"'!GO_2050"),
    0
)
+IF(
    IFERROR(INDIRECT("'"&amp;$D$34&amp;"'!C9")&lt;1965, 0),
    INDIRECT("'"&amp;$D$34&amp;"'!GO_2050"),
    0
)
+IF(
    IFERROR(INDIRECT("'"&amp;$D$35&amp;"'!C9")&lt;1965, 0),
    INDIRECT("'"&amp;$D$35&amp;"'!GO_2050"),
    0
)
+IF(
    IFERROR(INDIRECT("'"&amp;$D$36&amp;"'!C9")&lt;1965, 0),
    INDIRECT("'"&amp;$D$36&amp;"'!GO_2050"),
    0
)
+IF(
    IFERROR(INDIRECT("'"&amp;$D$37&amp;"'!C9")&lt;1965, 0),
    INDIRECT("'"&amp;$D$37&amp;"'!GO_2050"),
    0
)
+IF(
    IFERROR(INDIRECT("'"&amp;$D$38&amp;"'!C9")&lt;1965, 0),
    INDIRECT("'"&amp;$D$38&amp;"'!GO_2050"),
    0
)
+IF(
    IFERROR(INDIRECT("'"&amp;$D$39&amp;"'!C9")&lt;1965, 0),
    INDIRECT("'"&amp;$D$39&amp;"'!GO_2050"),
    0
)
+IF(
    IFERROR(INDIRECT("'"&amp;$D$40&amp;"'!C9")&lt;1965, 0),
    INDIRECT("'"&amp;$D$40&amp;"'!GO_2050"),
    0
)
+IF(
    IFERROR(INDIRECT("'"&amp;$D$41&amp;"'!C9")&lt;1965, 0),
    INDIRECT("'"&amp;$D$41&amp;"'!GO_2050"),
    0
)
+IF(
    IFERROR(INDIRECT("'"&amp;$D$42&amp;"'!C9")&lt;1965, 0),
    INDIRECT("'"&amp;$D$42&amp;"'!GO_2050"),
    0
)
+IF(
    IFERROR(INDIRECT("'"&amp;$D$43&amp;"'!C9")&lt;1965, 0),
    INDIRECT("'"&amp;$D$43&amp;"'!GO_2050"),
    0
)
+IF(
    IFERROR(INDIRECT("'"&amp;$D$44&amp;"'!C9")&lt;1965, 0),
    INDIRECT("'"&amp;$D$44&amp;"'!GO_2050"),
    0
)
+IF(
    IFERROR(INDIRECT("'"&amp;$D$45&amp;"'!C9")&lt;1965, 0),
    INDIRECT("'"&amp;$D$45&amp;"'!GO_2050"),
    0
)
+IF(
    IFERROR(INDIRECT("'"&amp;$D$46&amp;"'!C9")&lt;1965, 0),
    INDIRECT("'"&amp;$D$46&amp;"'!GO_2050"),
    0
)
+IF(
    IFERROR(INDIRECT("'"&amp;$D$47&amp;"'!C9")&lt;1965, 0),
    INDIRECT("'"&amp;$D$47&amp;"'!GO_2050"),
    0
)
+IF(
    IFERROR(INDIRECT("'"&amp;$D$48&amp;"'!C9")&lt;1965, 0),
    INDIRECT("'"&amp;$D$48&amp;"'!GO_2050"),
    0
)
+IF(
    IFERROR(INDIRECT("'"&amp;$D$49&amp;"'!C9")&lt;1965, 0),
    INDIRECT("'"&amp;$D$49&amp;"'!GO_2050"),
    0
)
+IF(
    IFERROR(INDIRECT("'"&amp;$D$50&amp;"'!C9")&lt;1965, 0),
    INDIRECT("'"&amp;$D$50&amp;"'!GO_2050"),
    0
)
+IF(
    IFERROR(INDIRECT("'"&amp;$D$51&amp;"'!C9")&lt;1965, 0),
    INDIRECT("'"&amp;$D$51&amp;"'!GO_2050"),
    0
)
+IF(
    IFERROR(INDIRECT("'"&amp;$D$52&amp;"'!C9")&lt;1965, 0),
    INDIRECT("'"&amp;$D$52&amp;"'!GO_2050"),
    0
)
+IF(
    IFERROR(INDIRECT("'"&amp;$D$53&amp;"'!C9")&lt;1965, 0),
    INDIRECT("'"&amp;$D$53&amp;"'!GO_2050"),
    0
)
+IF(
    IFERROR(INDIRECT("'"&amp;$D$54&amp;"'!C9")&lt;1965, 0),
    INDIRECT("'"&amp;$D$54&amp;"'!GO_2050"),
    0
)</f>
        <v>3152.16</v>
      </c>
      <c r="AO24" s="123"/>
    </row>
    <row r="25" spans="2:41" ht="18.75">
      <c r="B25" s="8"/>
      <c r="C25" s="279" t="s">
        <v>62</v>
      </c>
      <c r="D25" s="115"/>
      <c r="E25" s="8"/>
      <c r="F25" s="8"/>
      <c r="G25" s="297" t="s">
        <v>35</v>
      </c>
      <c r="H25" s="321">
        <f ca="1">IF(AND(IFERROR(INDIRECT("'"&amp;$D$5&amp;"'!C9")&gt;1964,0),IFERROR(INDIRECT("'"&amp;$D$5&amp;"'!C9")&lt;1975,0)),INDIRECT("'"&amp;$D$5&amp;"'!GO_2018"),0)
+IF(AND(IFERROR(INDIRECT("'"&amp;$D$6&amp;"'!C9")&gt;1964,0),IFERROR(INDIRECT("'"&amp;$D$6&amp;"'!C9")&lt;1975,0)),INDIRECT("'"&amp;$D$6&amp;"'!GO_2018"),0)
+IF(AND(IFERROR(INDIRECT("'"&amp;$D$7&amp;"'!C9")&gt;1964,0),IFERROR(INDIRECT("'"&amp;$D$7&amp;"'!C9")&lt;1975,0)),INDIRECT("'"&amp;$D$7&amp;"'!GO_2018"),0)
+IF(AND(IFERROR(INDIRECT("'"&amp;$D$8&amp;"'!C9")&gt;1964,0),IFERROR(INDIRECT("'"&amp;$D$8&amp;"'!C9")&lt;1975,0)),INDIRECT("'"&amp;$D$8&amp;"'!GO_2018"),0)
+IF(AND(IFERROR(INDIRECT("'"&amp;$D$9&amp;"'!C9")&gt;1964,0),IFERROR(INDIRECT("'"&amp;$D$9&amp;"'!C9")&lt;1975,0)),INDIRECT("'"&amp;$D$9&amp;"'!GO_2018"),0)
+IF(AND(IFERROR(INDIRECT("'"&amp;$D$10&amp;"'!C9")&gt;1964,0),IFERROR(INDIRECT("'"&amp;$D$10&amp;"'!C9")&lt;1975,0)),INDIRECT("'"&amp;$D$10&amp;"'!GO_2018"),0)
+IF(AND(IFERROR(INDIRECT("'"&amp;$D$11&amp;"'!C9")&gt;1964,0),IFERROR(INDIRECT("'"&amp;$D$11&amp;"'!C9")&lt;1975,0)),INDIRECT("'"&amp;$D$11&amp;"'!GO_2018"),0)
+IF(AND(IFERROR(INDIRECT("'"&amp;$D$12&amp;"'!C9")&gt;1964,0),IFERROR(INDIRECT("'"&amp;$D$12&amp;"'!C9")&lt;1975,0)),INDIRECT("'"&amp;$D$12&amp;"'!GO_2018"),0)
+IF(AND(IFERROR(INDIRECT("'"&amp;$D$13&amp;"'!C9")&gt;1964,0),IFERROR(INDIRECT("'"&amp;$D$13&amp;"'!C9")&lt;1975,0)),INDIRECT("'"&amp;$D$13&amp;"'!GO_2018"),0)
+IF(AND(IFERROR(INDIRECT("'"&amp;$D$14&amp;"'!C9")&gt;1964,0),IFERROR(INDIRECT("'"&amp;$D$14&amp;"'!C9")&lt;1975,0)),INDIRECT("'"&amp;$D$14&amp;"'!GO_2018"),0)
+IF(AND(IFERROR(INDIRECT("'"&amp;$D$15&amp;"'!C9")&gt;1964,0),IFERROR(INDIRECT("'"&amp;$D$15&amp;"'!C9")&lt;1975,0)),INDIRECT("'"&amp;$D$15&amp;"'!GO_2018"),0)
+IF(AND(IFERROR(INDIRECT("'"&amp;$D$16&amp;"'!C9")&gt;1964,0),IFERROR(INDIRECT("'"&amp;$D$16&amp;"'!C9")&lt;1975,0)),INDIRECT("'"&amp;$D$16&amp;"'!GO_2018"),0)
+IF(AND(IFERROR(INDIRECT("'"&amp;$D$17&amp;"'!C9")&gt;1964,0),IFERROR(INDIRECT("'"&amp;$D$17&amp;"'!C9")&lt;1975,0)),INDIRECT("'"&amp;$D$17&amp;"'!GO_2018"),0)
+IF(AND(IFERROR(INDIRECT("'"&amp;$D$18&amp;"'!C9")&gt;1964,0),IFERROR(INDIRECT("'"&amp;$D$18&amp;"'!C9")&lt;1975,0)),INDIRECT("'"&amp;$D$18&amp;"'!GO_2018"),0)
+IF(AND(IFERROR(INDIRECT("'"&amp;$D$19&amp;"'!C9")&gt;1964,0),IFERROR(INDIRECT("'"&amp;$D$19&amp;"'!C9")&lt;1975,0)),INDIRECT("'"&amp;$D$19&amp;"'!GO_2018"),0)
+IF(AND(IFERROR(INDIRECT("'"&amp;$D$20&amp;"'!C9")&gt;1964,0),IFERROR(INDIRECT("'"&amp;$D$20&amp;"'!C9")&lt;1975,0)),INDIRECT("'"&amp;$D$20&amp;"'!GO_2018"),0)
+IF(AND(IFERROR(INDIRECT("'"&amp;$D$21&amp;"'!C9")&gt;1964,0),IFERROR(INDIRECT("'"&amp;$D$21&amp;"'!C9")&lt;1975,0)),INDIRECT("'"&amp;$D$21&amp;"'!GO_2018"),0)
+IF(AND(IFERROR(INDIRECT("'"&amp;$D$22&amp;"'!C9")&gt;1964,0),IFERROR(INDIRECT("'"&amp;$D$22&amp;"'!C9")&lt;1975,0)),INDIRECT("'"&amp;$D$22&amp;"'!GO_2018"),0)
+IF(AND(IFERROR(INDIRECT("'"&amp;$D$23&amp;"'!C9")&gt;1964,0),IFERROR(INDIRECT("'"&amp;$D$23&amp;"'!C9")&lt;1975,0)),INDIRECT("'"&amp;$D$23&amp;"'!GO_2018"),0)
+IF(AND(IFERROR(INDIRECT("'"&amp;$D$24&amp;"'!C9")&gt;1964,0),IFERROR(INDIRECT("'"&amp;$D$24&amp;"'!C9")&lt;1975,0)),INDIRECT("'"&amp;$D$24&amp;"'!GO_2018"),0)
+IF(AND(IFERROR(INDIRECT("'"&amp;$D$25&amp;"'!C9")&gt;1964,0),IFERROR(INDIRECT("'"&amp;$D$25&amp;"'!C9")&lt;1975,0)),INDIRECT("'"&amp;$D$25&amp;"'!GO_2018"),0)
+IF(AND(IFERROR(INDIRECT("'"&amp;$D$26&amp;"'!C9")&gt;1964,0),IFERROR(INDIRECT("'"&amp;$D$26&amp;"'!C9")&lt;1975,0)),INDIRECT("'"&amp;$D$26&amp;"'!GO_2018"),0)
+IF(AND(IFERROR(INDIRECT("'"&amp;$D$27&amp;"'!C9")&gt;1964,0),IFERROR(INDIRECT("'"&amp;$D$27&amp;"'!C9")&lt;1975,0)),INDIRECT("'"&amp;$D$27&amp;"'!GO_2018"),0)
+IF(AND(IFERROR(INDIRECT("'"&amp;$D$28&amp;"'!C9")&gt;1964,0),IFERROR(INDIRECT("'"&amp;$D$28&amp;"'!C9")&lt;1975,0)),INDIRECT("'"&amp;$D$28&amp;"'!GO_2018"),0)
+IF(AND(IFERROR(INDIRECT("'"&amp;$D$29&amp;"'!C9")&gt;1964,0),IFERROR(INDIRECT("'"&amp;$D$29&amp;"'!C9")&lt;1975,0)),INDIRECT("'"&amp;$D$29&amp;"'!GO_2018"),0)
+IF(AND(IFERROR(INDIRECT("'"&amp;$D$30&amp;"'!C9")&gt;1964,0),IFERROR(INDIRECT("'"&amp;$D$30&amp;"'!C9")&lt;1975,0)),INDIRECT("'"&amp;$D$30&amp;"'!GO_2018"),0)
+IF(AND(IFERROR(INDIRECT("'"&amp;$D$31&amp;"'!C9")&gt;1964,0),IFERROR(INDIRECT("'"&amp;$D$31&amp;"'!C9")&lt;1975,0)),INDIRECT("'"&amp;$D$31&amp;"'!GO_2018"),0)
+IF(AND(IFERROR(INDIRECT("'"&amp;$D$32&amp;"'!C9")&gt;1964,0),IFERROR(INDIRECT("'"&amp;$D$32&amp;"'!C9")&lt;1975,0)),INDIRECT("'"&amp;$D$32&amp;"'!GO_2018"),0)
+IF(AND(IFERROR(INDIRECT("'"&amp;$D$33&amp;"'!C9")&gt;1964,0),IFERROR(INDIRECT("'"&amp;$D$33&amp;"'!C9")&lt;1975,0)),INDIRECT("'"&amp;$D$33&amp;"'!GO_2018"),0)
+IF(AND(IFERROR(INDIRECT("'"&amp;$D$34&amp;"'!C9")&gt;1964,0),IFERROR(INDIRECT("'"&amp;$D$34&amp;"'!C9")&lt;1975,0)),INDIRECT("'"&amp;$D$34&amp;"'!GO_2018"),0)
+IF(AND(IFERROR(INDIRECT("'"&amp;$D$35&amp;"'!C9")&gt;1964,0),IFERROR(INDIRECT("'"&amp;$D$35&amp;"'!C9")&lt;1975,0)),INDIRECT("'"&amp;$D$35&amp;"'!GO_2018"),0)
+IF(AND(IFERROR(INDIRECT("'"&amp;$D$36&amp;"'!C9")&gt;1964,0),IFERROR(INDIRECT("'"&amp;$D$36&amp;"'!C9")&lt;1975,0)),INDIRECT("'"&amp;$D$36&amp;"'!GO_2018"),0)
+IF(AND(IFERROR(INDIRECT("'"&amp;$D$37&amp;"'!C9")&gt;1964,0),IFERROR(INDIRECT("'"&amp;$D$37&amp;"'!C9")&lt;1975,0)),INDIRECT("'"&amp;$D$37&amp;"'!GO_2018"),0)
+IF(AND(IFERROR(INDIRECT("'"&amp;$D$38&amp;"'!C9")&gt;1964,0),IFERROR(INDIRECT("'"&amp;$D$38&amp;"'!C9")&lt;1975,0)),INDIRECT("'"&amp;$D$38&amp;"'!GO_2018"),0)
+IF(AND(IFERROR(INDIRECT("'"&amp;$D$39&amp;"'!C9")&gt;1964,0),IFERROR(INDIRECT("'"&amp;$D$39&amp;"'!C9")&lt;1975,0)),INDIRECT("'"&amp;$D$39&amp;"'!GO_2018"),0)
+IF(AND(IFERROR(INDIRECT("'"&amp;$D$40&amp;"'!C9")&gt;1964,0),IFERROR(INDIRECT("'"&amp;$D$40&amp;"'!C9")&lt;1975,0)),INDIRECT("'"&amp;$D$40&amp;"'!GO_2018"),0)
+IF(AND(IFERROR(INDIRECT("'"&amp;$D$41&amp;"'!C9")&gt;1964,0),IFERROR(INDIRECT("'"&amp;$D$41&amp;"'!C9")&lt;1975,0)),INDIRECT("'"&amp;$D$41&amp;"'!GO_2018"),0)
+IF(AND(IFERROR(INDIRECT("'"&amp;$D$42&amp;"'!C9")&gt;1964,0),IFERROR(INDIRECT("'"&amp;$D$42&amp;"'!C9")&lt;1975,0)),INDIRECT("'"&amp;$D$42&amp;"'!GO_2018"),0)
+IF(AND(IFERROR(INDIRECT("'"&amp;$D$43&amp;"'!C9")&gt;1964,0),IFERROR(INDIRECT("'"&amp;$D$43&amp;"'!C9")&lt;1975,0)),INDIRECT("'"&amp;$D$43&amp;"'!GO_2018"),0)
+IF(AND(IFERROR(INDIRECT("'"&amp;$D$44&amp;"'!C9")&gt;1964,0),IFERROR(INDIRECT("'"&amp;$D$44&amp;"'!C9")&lt;1975,0)),INDIRECT("'"&amp;$D$44&amp;"'!GO_2018"),0)
+IF(AND(IFERROR(INDIRECT("'"&amp;$D$45&amp;"'!C9")&gt;1964,0),IFERROR(INDIRECT("'"&amp;$D$45&amp;"'!C9")&lt;1975,0)),INDIRECT("'"&amp;$D$45&amp;"'!GO_2018"),0)
+IF(AND(IFERROR(INDIRECT("'"&amp;$D$46&amp;"'!C9")&gt;1964,0),IFERROR(INDIRECT("'"&amp;$D$46&amp;"'!C9")&lt;1975,0)),INDIRECT("'"&amp;$D$46&amp;"'!GO_2018"),0)
+IF(AND(IFERROR(INDIRECT("'"&amp;$D$47&amp;"'!C9")&gt;1964,0),IFERROR(INDIRECT("'"&amp;$D$47&amp;"'!C9")&lt;1975,0)),INDIRECT("'"&amp;$D$47&amp;"'!GO_2018"),0)
+IF(AND(IFERROR(INDIRECT("'"&amp;$D$48&amp;"'!C9")&gt;1964,0),IFERROR(INDIRECT("'"&amp;$D$48&amp;"'!C9")&lt;1975,0)),INDIRECT("'"&amp;$D$48&amp;"'!GO_2018"),0)
+IF(AND(IFERROR(INDIRECT("'"&amp;$D$49&amp;"'!C9")&gt;1964,0),IFERROR(INDIRECT("'"&amp;$D$49&amp;"'!C9")&lt;1975,0)),INDIRECT("'"&amp;$D$49&amp;"'!GO_2018"),0)
+IF(AND(IFERROR(INDIRECT("'"&amp;$D$50&amp;"'!C9")&gt;1964,0),IFERROR(INDIRECT("'"&amp;$D$50&amp;"'!C9")&lt;1975,0)),INDIRECT("'"&amp;$D$50&amp;"'!GO_2018"),0)
+IF(AND(IFERROR(INDIRECT("'"&amp;$D$51&amp;"'!C9")&gt;1964,0),IFERROR(INDIRECT("'"&amp;$D$51&amp;"'!C9")&lt;1975,0)),INDIRECT("'"&amp;$D$51&amp;"'!GO_2018"),0)
+IF(AND(IFERROR(INDIRECT("'"&amp;$D$52&amp;"'!C9")&gt;1964,0),IFERROR(INDIRECT("'"&amp;$D$52&amp;"'!C9")&lt;1975,0)),INDIRECT("'"&amp;$D$52&amp;"'!GO_2018"),0)
+IF(AND(IFERROR(INDIRECT("'"&amp;$D$53&amp;"'!C9")&gt;1964,0),IFERROR(INDIRECT("'"&amp;$D$53&amp;"'!C9")&lt;1975,0)),INDIRECT("'"&amp;$D$53&amp;"'!GO_2018"),0)
+IF(AND(IFERROR(INDIRECT("'"&amp;$D$54&amp;"'!C9")&gt;1964,0),IFERROR(INDIRECT("'"&amp;$D$54&amp;"'!C9")&lt;1975,0)),INDIRECT("'"&amp;$D$54&amp;"'!GO_2018"),0)</f>
        <v>0</v>
      </c>
      <c r="I25" s="321">
        <f ca="1">IF(AND(IFERROR(INDIRECT("'"&amp;$D$5&amp;"'!C9")&gt;1964,0),IFERROR(INDIRECT("'"&amp;$D$5&amp;"'!C9")&lt;1975,0)),INDIRECT("'"&amp;$D$5&amp;"'!GO_2019"),0)
+IF(AND(IFERROR(INDIRECT("'"&amp;$D$6&amp;"'!C9")&gt;1964,0),IFERROR(INDIRECT("'"&amp;$D$6&amp;"'!C9")&lt;1975,0)),INDIRECT("'"&amp;$D$6&amp;"'!GO_2019"),0)
+IF(AND(IFERROR(INDIRECT("'"&amp;$D$7&amp;"'!C9")&gt;1964,0),IFERROR(INDIRECT("'"&amp;$D$7&amp;"'!C9")&lt;1975,0)),INDIRECT("'"&amp;$D$7&amp;"'!GO_2019"),0)
+IF(AND(IFERROR(INDIRECT("'"&amp;$D$8&amp;"'!C9")&gt;1964,0),IFERROR(INDIRECT("'"&amp;$D$8&amp;"'!C9")&lt;1975,0)),INDIRECT("'"&amp;$D$8&amp;"'!GO_2019"),0)
+IF(AND(IFERROR(INDIRECT("'"&amp;$D$9&amp;"'!C9")&gt;1964,0),IFERROR(INDIRECT("'"&amp;$D$9&amp;"'!C9")&lt;1975,0)),INDIRECT("'"&amp;$D$9&amp;"'!GO_2019"),0)
+IF(AND(IFERROR(INDIRECT("'"&amp;$D$10&amp;"'!C9")&gt;1964,0),IFERROR(INDIRECT("'"&amp;$D$10&amp;"'!C9")&lt;1975,0)),INDIRECT("'"&amp;$D$10&amp;"'!GO_2019"),0)
+IF(AND(IFERROR(INDIRECT("'"&amp;$D$11&amp;"'!C9")&gt;1964,0),IFERROR(INDIRECT("'"&amp;$D$11&amp;"'!C9")&lt;1975,0)),INDIRECT("'"&amp;$D$11&amp;"'!GO_2019"),0)
+IF(AND(IFERROR(INDIRECT("'"&amp;$D$12&amp;"'!C9")&gt;1964,0),IFERROR(INDIRECT("'"&amp;$D$12&amp;"'!C9")&lt;1975,0)),INDIRECT("'"&amp;$D$12&amp;"'!GO_2019"),0)
+IF(AND(IFERROR(INDIRECT("'"&amp;$D$13&amp;"'!C9")&gt;1964,0),IFERROR(INDIRECT("'"&amp;$D$13&amp;"'!C9")&lt;1975,0)),INDIRECT("'"&amp;$D$13&amp;"'!GO_2019"),0)
+IF(AND(IFERROR(INDIRECT("'"&amp;$D$14&amp;"'!C9")&gt;1964,0),IFERROR(INDIRECT("'"&amp;$D$14&amp;"'!C9")&lt;1975,0)),INDIRECT("'"&amp;$D$14&amp;"'!GO_2019"),0)
+IF(AND(IFERROR(INDIRECT("'"&amp;$D$15&amp;"'!C9")&gt;1964,0),IFERROR(INDIRECT("'"&amp;$D$15&amp;"'!C9")&lt;1975,0)),INDIRECT("'"&amp;$D$15&amp;"'!GO_2019"),0)
+IF(AND(IFERROR(INDIRECT("'"&amp;$D$16&amp;"'!C9")&gt;1964,0),IFERROR(INDIRECT("'"&amp;$D$16&amp;"'!C9")&lt;1975,0)),INDIRECT("'"&amp;$D$16&amp;"'!GO_2019"),0)
+IF(AND(IFERROR(INDIRECT("'"&amp;$D$17&amp;"'!C9")&gt;1964,0),IFERROR(INDIRECT("'"&amp;$D$17&amp;"'!C9")&lt;1975,0)),INDIRECT("'"&amp;$D$17&amp;"'!GO_2019"),0)
+IF(AND(IFERROR(INDIRECT("'"&amp;$D$18&amp;"'!C9")&gt;1964,0),IFERROR(INDIRECT("'"&amp;$D$18&amp;"'!C9")&lt;1975,0)),INDIRECT("'"&amp;$D$18&amp;"'!GO_2019"),0)
+IF(AND(IFERROR(INDIRECT("'"&amp;$D$19&amp;"'!C9")&gt;1964,0),IFERROR(INDIRECT("'"&amp;$D$19&amp;"'!C9")&lt;1975,0)),INDIRECT("'"&amp;$D$19&amp;"'!GO_2019"),0)
+IF(AND(IFERROR(INDIRECT("'"&amp;$D$20&amp;"'!C9")&gt;1964,0),IFERROR(INDIRECT("'"&amp;$D$20&amp;"'!C9")&lt;1975,0)),INDIRECT("'"&amp;$D$20&amp;"'!GO_2019"),0)
+IF(AND(IFERROR(INDIRECT("'"&amp;$D$21&amp;"'!C9")&gt;1964,0),IFERROR(INDIRECT("'"&amp;$D$21&amp;"'!C9")&lt;1975,0)),INDIRECT("'"&amp;$D$21&amp;"'!GO_2019"),0)
+IF(AND(IFERROR(INDIRECT("'"&amp;$D$22&amp;"'!C9")&gt;1964,0),IFERROR(INDIRECT("'"&amp;$D$22&amp;"'!C9")&lt;1975,0)),INDIRECT("'"&amp;$D$22&amp;"'!GO_2019"),0)
+IF(AND(IFERROR(INDIRECT("'"&amp;$D$23&amp;"'!C9")&gt;1964,0),IFERROR(INDIRECT("'"&amp;$D$23&amp;"'!C9")&lt;1975,0)),INDIRECT("'"&amp;$D$23&amp;"'!GO_2019"),0)
+IF(AND(IFERROR(INDIRECT("'"&amp;$D$24&amp;"'!C9")&gt;1964,0),IFERROR(INDIRECT("'"&amp;$D$24&amp;"'!C9")&lt;1975,0)),INDIRECT("'"&amp;$D$24&amp;"'!GO_2019"),0)
+IF(AND(IFERROR(INDIRECT("'"&amp;$D$25&amp;"'!C9")&gt;1964,0),IFERROR(INDIRECT("'"&amp;$D$25&amp;"'!C9")&lt;1975,0)),INDIRECT("'"&amp;$D$25&amp;"'!GO_2019"),0)
+IF(AND(IFERROR(INDIRECT("'"&amp;$D$26&amp;"'!C9")&gt;1964,0),IFERROR(INDIRECT("'"&amp;$D$26&amp;"'!C9")&lt;1975,0)),INDIRECT("'"&amp;$D$26&amp;"'!GO_2019"),0)
+IF(AND(IFERROR(INDIRECT("'"&amp;$D$27&amp;"'!C9")&gt;1964,0),IFERROR(INDIRECT("'"&amp;$D$27&amp;"'!C9")&lt;1975,0)),INDIRECT("'"&amp;$D$27&amp;"'!GO_2019"),0)
+IF(AND(IFERROR(INDIRECT("'"&amp;$D$28&amp;"'!C9")&gt;1964,0),IFERROR(INDIRECT("'"&amp;$D$28&amp;"'!C9")&lt;1975,0)),INDIRECT("'"&amp;$D$28&amp;"'!GO_2019"),0)
+IF(AND(IFERROR(INDIRECT("'"&amp;$D$29&amp;"'!C9")&gt;1964,0),IFERROR(INDIRECT("'"&amp;$D$29&amp;"'!C9")&lt;1975,0)),INDIRECT("'"&amp;$D$29&amp;"'!GO_2019"),0)
+IF(AND(IFERROR(INDIRECT("'"&amp;$D$30&amp;"'!C9")&gt;1964,0),IFERROR(INDIRECT("'"&amp;$D$30&amp;"'!C9")&lt;1975,0)),INDIRECT("'"&amp;$D$30&amp;"'!GO_2019"),0)
+IF(AND(IFERROR(INDIRECT("'"&amp;$D$31&amp;"'!C9")&gt;1964,0),IFERROR(INDIRECT("'"&amp;$D$31&amp;"'!C9")&lt;1975,0)),INDIRECT("'"&amp;$D$31&amp;"'!GO_2019"),0)
+IF(AND(IFERROR(INDIRECT("'"&amp;$D$32&amp;"'!C9")&gt;1964,0),IFERROR(INDIRECT("'"&amp;$D$32&amp;"'!C9")&lt;1975,0)),INDIRECT("'"&amp;$D$32&amp;"'!GO_2019"),0)
+IF(AND(IFERROR(INDIRECT("'"&amp;$D$33&amp;"'!C9")&gt;1964,0),IFERROR(INDIRECT("'"&amp;$D$33&amp;"'!C9")&lt;1975,0)),INDIRECT("'"&amp;$D$33&amp;"'!GO_2019"),0)
+IF(AND(IFERROR(INDIRECT("'"&amp;$D$34&amp;"'!C9")&gt;1964,0),IFERROR(INDIRECT("'"&amp;$D$34&amp;"'!C9")&lt;1975,0)),INDIRECT("'"&amp;$D$34&amp;"'!GO_2019"),0)
+IF(AND(IFERROR(INDIRECT("'"&amp;$D$35&amp;"'!C9")&gt;1964,0),IFERROR(INDIRECT("'"&amp;$D$35&amp;"'!C9")&lt;1975,0)),INDIRECT("'"&amp;$D$35&amp;"'!GO_2019"),0)
+IF(AND(IFERROR(INDIRECT("'"&amp;$D$36&amp;"'!C9")&gt;1964,0),IFERROR(INDIRECT("'"&amp;$D$36&amp;"'!C9")&lt;1975,0)),INDIRECT("'"&amp;$D$36&amp;"'!GO_2019"),0)
+IF(AND(IFERROR(INDIRECT("'"&amp;$D$37&amp;"'!C9")&gt;1964,0),IFERROR(INDIRECT("'"&amp;$D$37&amp;"'!C9")&lt;1975,0)),INDIRECT("'"&amp;$D$37&amp;"'!GO_2019"),0)
+IF(AND(IFERROR(INDIRECT("'"&amp;$D$38&amp;"'!C9")&gt;1964,0),IFERROR(INDIRECT("'"&amp;$D$38&amp;"'!C9")&lt;1975,0)),INDIRECT("'"&amp;$D$38&amp;"'!GO_2019"),0)
+IF(AND(IFERROR(INDIRECT("'"&amp;$D$39&amp;"'!C9")&gt;1964,0),IFERROR(INDIRECT("'"&amp;$D$39&amp;"'!C9")&lt;1975,0)),INDIRECT("'"&amp;$D$39&amp;"'!GO_2019"),0)
+IF(AND(IFERROR(INDIRECT("'"&amp;$D$40&amp;"'!C9")&gt;1964,0),IFERROR(INDIRECT("'"&amp;$D$40&amp;"'!C9")&lt;1975,0)),INDIRECT("'"&amp;$D$40&amp;"'!GO_2019"),0)
+IF(AND(IFERROR(INDIRECT("'"&amp;$D$41&amp;"'!C9")&gt;1964,0),IFERROR(INDIRECT("'"&amp;$D$41&amp;"'!C9")&lt;1975,0)),INDIRECT("'"&amp;$D$41&amp;"'!GO_2019"),0)
+IF(AND(IFERROR(INDIRECT("'"&amp;$D$42&amp;"'!C9")&gt;1964,0),IFERROR(INDIRECT("'"&amp;$D$42&amp;"'!C9")&lt;1975,0)),INDIRECT("'"&amp;$D$42&amp;"'!GO_2019"),0)
+IF(AND(IFERROR(INDIRECT("'"&amp;$D$43&amp;"'!C9")&gt;1964,0),IFERROR(INDIRECT("'"&amp;$D$43&amp;"'!C9")&lt;1975,0)),INDIRECT("'"&amp;$D$43&amp;"'!GO_2019"),0)
+IF(AND(IFERROR(INDIRECT("'"&amp;$D$44&amp;"'!C9")&gt;1964,0),IFERROR(INDIRECT("'"&amp;$D$44&amp;"'!C9")&lt;1975,0)),INDIRECT("'"&amp;$D$44&amp;"'!GO_2019"),0)
+IF(AND(IFERROR(INDIRECT("'"&amp;$D$45&amp;"'!C9")&gt;1964,0),IFERROR(INDIRECT("'"&amp;$D$45&amp;"'!C9")&lt;1975,0)),INDIRECT("'"&amp;$D$45&amp;"'!GO_2019"),0)
+IF(AND(IFERROR(INDIRECT("'"&amp;$D$46&amp;"'!C9")&gt;1964,0),IFERROR(INDIRECT("'"&amp;$D$46&amp;"'!C9")&lt;1975,0)),INDIRECT("'"&amp;$D$46&amp;"'!GO_2019"),0)
+IF(AND(IFERROR(INDIRECT("'"&amp;$D$47&amp;"'!C9")&gt;1964,0),IFERROR(INDIRECT("'"&amp;$D$47&amp;"'!C9")&lt;1975,0)),INDIRECT("'"&amp;$D$47&amp;"'!GO_2019"),0)
+IF(AND(IFERROR(INDIRECT("'"&amp;$D$48&amp;"'!C9")&gt;1964,0),IFERROR(INDIRECT("'"&amp;$D$48&amp;"'!C9")&lt;1975,0)),INDIRECT("'"&amp;$D$48&amp;"'!GO_2019"),0)
+IF(AND(IFERROR(INDIRECT("'"&amp;$D$49&amp;"'!C9")&gt;1964,0),IFERROR(INDIRECT("'"&amp;$D$49&amp;"'!C9")&lt;1975,0)),INDIRECT("'"&amp;$D$49&amp;"'!GO_2019"),0)
+IF(AND(IFERROR(INDIRECT("'"&amp;$D$50&amp;"'!C9")&gt;1964,0),IFERROR(INDIRECT("'"&amp;$D$50&amp;"'!C9")&lt;1975,0)),INDIRECT("'"&amp;$D$50&amp;"'!GO_2019"),0)
+IF(AND(IFERROR(INDIRECT("'"&amp;$D$51&amp;"'!C9")&gt;1964,0),IFERROR(INDIRECT("'"&amp;$D$51&amp;"'!C9")&lt;1975,0)),INDIRECT("'"&amp;$D$51&amp;"'!GO_2019"),0)
+IF(AND(IFERROR(INDIRECT("'"&amp;$D$52&amp;"'!C9")&gt;1964,0),IFERROR(INDIRECT("'"&amp;$D$52&amp;"'!C9")&lt;1975,0)),INDIRECT("'"&amp;$D$52&amp;"'!GO_2019"),0)
+IF(AND(IFERROR(INDIRECT("'"&amp;$D$53&amp;"'!C9")&gt;1964,0),IFERROR(INDIRECT("'"&amp;$D$53&amp;"'!C9")&lt;1975,0)),INDIRECT("'"&amp;$D$53&amp;"'!GO_2019"),0)
+IF(AND(IFERROR(INDIRECT("'"&amp;$D$54&amp;"'!C9")&gt;1964,0),IFERROR(INDIRECT("'"&amp;$D$54&amp;"'!C9")&lt;1975,0)),INDIRECT("'"&amp;$D$54&amp;"'!GO_2019"),0)</f>
        <v>0</v>
      </c>
      <c r="J25" s="321">
        <f ca="1">IF(AND(IFERROR(INDIRECT("'"&amp;$D$5&amp;"'!C9")&gt;1964,0),IFERROR(INDIRECT("'"&amp;$D$5&amp;"'!C9")&lt;1975,0)),INDIRECT("'"&amp;$D$5&amp;"'!GO_2020"),0)
+IF(AND(IFERROR(INDIRECT("'"&amp;$D$6&amp;"'!C9")&gt;1964,0),IFERROR(INDIRECT("'"&amp;$D$6&amp;"'!C9")&lt;1975,0)),INDIRECT("'"&amp;$D$6&amp;"'!GO_2020"),0)
+IF(AND(IFERROR(INDIRECT("'"&amp;$D$7&amp;"'!C9")&gt;1964,0),IFERROR(INDIRECT("'"&amp;$D$7&amp;"'!C9")&lt;1975,0)),INDIRECT("'"&amp;$D$7&amp;"'!GO_2020"),0)
+IF(AND(IFERROR(INDIRECT("'"&amp;$D$8&amp;"'!C9")&gt;1964,0),IFERROR(INDIRECT("'"&amp;$D$8&amp;"'!C9")&lt;1975,0)),INDIRECT("'"&amp;$D$8&amp;"'!GO_2020"),0)
+IF(AND(IFERROR(INDIRECT("'"&amp;$D$9&amp;"'!C9")&gt;1964,0),IFERROR(INDIRECT("'"&amp;$D$9&amp;"'!C9")&lt;1975,0)),INDIRECT("'"&amp;$D$9&amp;"'!GO_2020"),0)
+IF(AND(IFERROR(INDIRECT("'"&amp;$D$10&amp;"'!C9")&gt;1964,0),IFERROR(INDIRECT("'"&amp;$D$10&amp;"'!C9")&lt;1975,0)),INDIRECT("'"&amp;$D$10&amp;"'!GO_2020"),0)
+IF(AND(IFERROR(INDIRECT("'"&amp;$D$11&amp;"'!C9")&gt;1964,0),IFERROR(INDIRECT("'"&amp;$D$11&amp;"'!C9")&lt;1975,0)),INDIRECT("'"&amp;$D$11&amp;"'!GO_2020"),0)
+IF(AND(IFERROR(INDIRECT("'"&amp;$D$12&amp;"'!C9")&gt;1964,0),IFERROR(INDIRECT("'"&amp;$D$12&amp;"'!C9")&lt;1975,0)),INDIRECT("'"&amp;$D$12&amp;"'!GO_2020"),0)
+IF(AND(IFERROR(INDIRECT("'"&amp;$D$13&amp;"'!C9")&gt;1964,0),IFERROR(INDIRECT("'"&amp;$D$13&amp;"'!C9")&lt;1975,0)),INDIRECT("'"&amp;$D$13&amp;"'!GO_2020"),0)
+IF(AND(IFERROR(INDIRECT("'"&amp;$D$14&amp;"'!C9")&gt;1964,0),IFERROR(INDIRECT("'"&amp;$D$14&amp;"'!C9")&lt;1975,0)),INDIRECT("'"&amp;$D$14&amp;"'!GO_2020"),0)
+IF(AND(IFERROR(INDIRECT("'"&amp;$D$15&amp;"'!C9")&gt;1964,0),IFERROR(INDIRECT("'"&amp;$D$15&amp;"'!C9")&lt;1975,0)),INDIRECT("'"&amp;$D$15&amp;"'!GO_2020"),0)
+IF(AND(IFERROR(INDIRECT("'"&amp;$D$16&amp;"'!C9")&gt;1964,0),IFERROR(INDIRECT("'"&amp;$D$16&amp;"'!C9")&lt;1975,0)),INDIRECT("'"&amp;$D$16&amp;"'!GO_2020"),0)
+IF(AND(IFERROR(INDIRECT("'"&amp;$D$17&amp;"'!C9")&gt;1964,0),IFERROR(INDIRECT("'"&amp;$D$17&amp;"'!C9")&lt;1975,0)),INDIRECT("'"&amp;$D$17&amp;"'!GO_2020"),0)
+IF(AND(IFERROR(INDIRECT("'"&amp;$D$18&amp;"'!C9")&gt;1964,0),IFERROR(INDIRECT("'"&amp;$D$18&amp;"'!C9")&lt;1975,0)),INDIRECT("'"&amp;$D$18&amp;"'!GO_2020"),0)
+IF(AND(IFERROR(INDIRECT("'"&amp;$D$19&amp;"'!C9")&gt;1964,0),IFERROR(INDIRECT("'"&amp;$D$19&amp;"'!C9")&lt;1975,0)),INDIRECT("'"&amp;$D$19&amp;"'!GO_2020"),0)
+IF(AND(IFERROR(INDIRECT("'"&amp;$D$20&amp;"'!C9")&gt;1964,0),IFERROR(INDIRECT("'"&amp;$D$20&amp;"'!C9")&lt;1975,0)),INDIRECT("'"&amp;$D$20&amp;"'!GO_2020"),0)
+IF(AND(IFERROR(INDIRECT("'"&amp;$D$21&amp;"'!C9")&gt;1964,0),IFERROR(INDIRECT("'"&amp;$D$21&amp;"'!C9")&lt;1975,0)),INDIRECT("'"&amp;$D$21&amp;"'!GO_2020"),0)
+IF(AND(IFERROR(INDIRECT("'"&amp;$D$22&amp;"'!C9")&gt;1964,0),IFERROR(INDIRECT("'"&amp;$D$22&amp;"'!C9")&lt;1975,0)),INDIRECT("'"&amp;$D$22&amp;"'!GO_2020"),0)
+IF(AND(IFERROR(INDIRECT("'"&amp;$D$23&amp;"'!C9")&gt;1964,0),IFERROR(INDIRECT("'"&amp;$D$23&amp;"'!C9")&lt;1975,0)),INDIRECT("'"&amp;$D$23&amp;"'!GO_2020"),0)
+IF(AND(IFERROR(INDIRECT("'"&amp;$D$24&amp;"'!C9")&gt;1964,0),IFERROR(INDIRECT("'"&amp;$D$24&amp;"'!C9")&lt;1975,0)),INDIRECT("'"&amp;$D$24&amp;"'!GO_2020"),0)
+IF(AND(IFERROR(INDIRECT("'"&amp;$D$25&amp;"'!C9")&gt;1964,0),IFERROR(INDIRECT("'"&amp;$D$25&amp;"'!C9")&lt;1975,0)),INDIRECT("'"&amp;$D$25&amp;"'!GO_2020"),0)
+IF(AND(IFERROR(INDIRECT("'"&amp;$D$26&amp;"'!C9")&gt;1964,0),IFERROR(INDIRECT("'"&amp;$D$26&amp;"'!C9")&lt;1975,0)),INDIRECT("'"&amp;$D$26&amp;"'!GO_2020"),0)
+IF(AND(IFERROR(INDIRECT("'"&amp;$D$27&amp;"'!C9")&gt;1964,0),IFERROR(INDIRECT("'"&amp;$D$27&amp;"'!C9")&lt;1975,0)),INDIRECT("'"&amp;$D$27&amp;"'!GO_2020"),0)
+IF(AND(IFERROR(INDIRECT("'"&amp;$D$28&amp;"'!C9")&gt;1964,0),IFERROR(INDIRECT("'"&amp;$D$28&amp;"'!C9")&lt;1975,0)),INDIRECT("'"&amp;$D$28&amp;"'!GO_2020"),0)
+IF(AND(IFERROR(INDIRECT("'"&amp;$D$29&amp;"'!C9")&gt;1964,0),IFERROR(INDIRECT("'"&amp;$D$29&amp;"'!C9")&lt;1975,0)),INDIRECT("'"&amp;$D$29&amp;"'!GO_2020"),0)
+IF(AND(IFERROR(INDIRECT("'"&amp;$D$30&amp;"'!C9")&gt;1964,0),IFERROR(INDIRECT("'"&amp;$D$30&amp;"'!C9")&lt;1975,0)),INDIRECT("'"&amp;$D$30&amp;"'!GO_2020"),0)
+IF(AND(IFERROR(INDIRECT("'"&amp;$D$31&amp;"'!C9")&gt;1964,0),IFERROR(INDIRECT("'"&amp;$D$31&amp;"'!C9")&lt;1975,0)),INDIRECT("'"&amp;$D$31&amp;"'!GO_2020"),0)
+IF(AND(IFERROR(INDIRECT("'"&amp;$D$32&amp;"'!C9")&gt;1964,0),IFERROR(INDIRECT("'"&amp;$D$32&amp;"'!C9")&lt;1975,0)),INDIRECT("'"&amp;$D$32&amp;"'!GO_2020"),0)
+IF(AND(IFERROR(INDIRECT("'"&amp;$D$33&amp;"'!C9")&gt;1964,0),IFERROR(INDIRECT("'"&amp;$D$33&amp;"'!C9")&lt;1975,0)),INDIRECT("'"&amp;$D$33&amp;"'!GO_2020"),0)
+IF(AND(IFERROR(INDIRECT("'"&amp;$D$34&amp;"'!C9")&gt;1964,0),IFERROR(INDIRECT("'"&amp;$D$34&amp;"'!C9")&lt;1975,0)),INDIRECT("'"&amp;$D$34&amp;"'!GO_2020"),0)
+IF(AND(IFERROR(INDIRECT("'"&amp;$D$35&amp;"'!C9")&gt;1964,0),IFERROR(INDIRECT("'"&amp;$D$35&amp;"'!C9")&lt;1975,0)),INDIRECT("'"&amp;$D$35&amp;"'!GO_2020"),0)
+IF(AND(IFERROR(INDIRECT("'"&amp;$D$36&amp;"'!C9")&gt;1964,0),IFERROR(INDIRECT("'"&amp;$D$36&amp;"'!C9")&lt;1975,0)),INDIRECT("'"&amp;$D$36&amp;"'!GO_2020"),0)
+IF(AND(IFERROR(INDIRECT("'"&amp;$D$37&amp;"'!C9")&gt;1964,0),IFERROR(INDIRECT("'"&amp;$D$37&amp;"'!C9")&lt;1975,0)),INDIRECT("'"&amp;$D$37&amp;"'!GO_2020"),0)
+IF(AND(IFERROR(INDIRECT("'"&amp;$D$38&amp;"'!C9")&gt;1964,0),IFERROR(INDIRECT("'"&amp;$D$38&amp;"'!C9")&lt;1975,0)),INDIRECT("'"&amp;$D$38&amp;"'!GO_2020"),0)
+IF(AND(IFERROR(INDIRECT("'"&amp;$D$39&amp;"'!C9")&gt;1964,0),IFERROR(INDIRECT("'"&amp;$D$39&amp;"'!C9")&lt;1975,0)),INDIRECT("'"&amp;$D$39&amp;"'!GO_2020"),0)
+IF(AND(IFERROR(INDIRECT("'"&amp;$D$40&amp;"'!C9")&gt;1964,0),IFERROR(INDIRECT("'"&amp;$D$40&amp;"'!C9")&lt;1975,0)),INDIRECT("'"&amp;$D$40&amp;"'!GO_2020"),0)
+IF(AND(IFERROR(INDIRECT("'"&amp;$D$41&amp;"'!C9")&gt;1964,0),IFERROR(INDIRECT("'"&amp;$D$41&amp;"'!C9")&lt;1975,0)),INDIRECT("'"&amp;$D$41&amp;"'!GO_2020"),0)
+IF(AND(IFERROR(INDIRECT("'"&amp;$D$42&amp;"'!C9")&gt;1964,0),IFERROR(INDIRECT("'"&amp;$D$42&amp;"'!C9")&lt;1975,0)),INDIRECT("'"&amp;$D$42&amp;"'!GO_2020"),0)
+IF(AND(IFERROR(INDIRECT("'"&amp;$D$43&amp;"'!C9")&gt;1964,0),IFERROR(INDIRECT("'"&amp;$D$43&amp;"'!C9")&lt;1975,0)),INDIRECT("'"&amp;$D$43&amp;"'!GO_2020"),0)
+IF(AND(IFERROR(INDIRECT("'"&amp;$D$44&amp;"'!C9")&gt;1964,0),IFERROR(INDIRECT("'"&amp;$D$44&amp;"'!C9")&lt;1975,0)),INDIRECT("'"&amp;$D$44&amp;"'!GO_2020"),0)
+IF(AND(IFERROR(INDIRECT("'"&amp;$D$45&amp;"'!C9")&gt;1964,0),IFERROR(INDIRECT("'"&amp;$D$45&amp;"'!C9")&lt;1975,0)),INDIRECT("'"&amp;$D$45&amp;"'!GO_2020"),0)
+IF(AND(IFERROR(INDIRECT("'"&amp;$D$46&amp;"'!C9")&gt;1964,0),IFERROR(INDIRECT("'"&amp;$D$46&amp;"'!C9")&lt;1975,0)),INDIRECT("'"&amp;$D$46&amp;"'!GO_2020"),0)
+IF(AND(IFERROR(INDIRECT("'"&amp;$D$47&amp;"'!C9")&gt;1964,0),IFERROR(INDIRECT("'"&amp;$D$47&amp;"'!C9")&lt;1975,0)),INDIRECT("'"&amp;$D$47&amp;"'!GO_2020"),0)
+IF(AND(IFERROR(INDIRECT("'"&amp;$D$48&amp;"'!C9")&gt;1964,0),IFERROR(INDIRECT("'"&amp;$D$48&amp;"'!C9")&lt;1975,0)),INDIRECT("'"&amp;$D$48&amp;"'!GO_2020"),0)
+IF(AND(IFERROR(INDIRECT("'"&amp;$D$49&amp;"'!C9")&gt;1964,0),IFERROR(INDIRECT("'"&amp;$D$49&amp;"'!C9")&lt;1975,0)),INDIRECT("'"&amp;$D$49&amp;"'!GO_2020"),0)
+IF(AND(IFERROR(INDIRECT("'"&amp;$D$50&amp;"'!C9")&gt;1964,0),IFERROR(INDIRECT("'"&amp;$D$50&amp;"'!C9")&lt;1975,0)),INDIRECT("'"&amp;$D$50&amp;"'!GO_2020"),0)
+IF(AND(IFERROR(INDIRECT("'"&amp;$D$51&amp;"'!C9")&gt;1964,0),IFERROR(INDIRECT("'"&amp;$D$51&amp;"'!C9")&lt;1975,0)),INDIRECT("'"&amp;$D$51&amp;"'!GO_2020"),0)
+IF(AND(IFERROR(INDIRECT("'"&amp;$D$52&amp;"'!C9")&gt;1964,0),IFERROR(INDIRECT("'"&amp;$D$52&amp;"'!C9")&lt;1975,0)),INDIRECT("'"&amp;$D$52&amp;"'!GO_2020"),0)
+IF(AND(IFERROR(INDIRECT("'"&amp;$D$53&amp;"'!C9")&gt;1964,0),IFERROR(INDIRECT("'"&amp;$D$53&amp;"'!C9")&lt;1975,0)),INDIRECT("'"&amp;$D$53&amp;"'!GO_2020"),0)
+IF(AND(IFERROR(INDIRECT("'"&amp;$D$54&amp;"'!C9")&gt;1964,0),IFERROR(INDIRECT("'"&amp;$D$54&amp;"'!C9")&lt;1975,0)),INDIRECT("'"&amp;$D$54&amp;"'!GO_2020"),0)</f>
        <v>0</v>
      </c>
      <c r="K25" s="321">
        <f ca="1">IF(AND(IFERROR(INDIRECT("'"&amp;$D$5&amp;"'!C9")&gt;1964,0),IFERROR(INDIRECT("'"&amp;$D$5&amp;"'!C9")&lt;1975,0)),INDIRECT("'"&amp;$D$5&amp;"'!GO_2021"),0)
+IF(AND(IFERROR(INDIRECT("'"&amp;$D$6&amp;"'!C9")&gt;1964,0),IFERROR(INDIRECT("'"&amp;$D$6&amp;"'!C9")&lt;1975,0)),INDIRECT("'"&amp;$D$6&amp;"'!GO_2021"),0)
+IF(AND(IFERROR(INDIRECT("'"&amp;$D$7&amp;"'!C9")&gt;1964,0),IFERROR(INDIRECT("'"&amp;$D$7&amp;"'!C9")&lt;1975,0)),INDIRECT("'"&amp;$D$7&amp;"'!GO_2021"),0)
+IF(AND(IFERROR(INDIRECT("'"&amp;$D$8&amp;"'!C9")&gt;1964,0),IFERROR(INDIRECT("'"&amp;$D$8&amp;"'!C9")&lt;1975,0)),INDIRECT("'"&amp;$D$8&amp;"'!GO_2021"),0)
+IF(AND(IFERROR(INDIRECT("'"&amp;$D$9&amp;"'!C9")&gt;1964,0),IFERROR(INDIRECT("'"&amp;$D$9&amp;"'!C9")&lt;1975,0)),INDIRECT("'"&amp;$D$9&amp;"'!GO_2021"),0)
+IF(AND(IFERROR(INDIRECT("'"&amp;$D$10&amp;"'!C9")&gt;1964,0),IFERROR(INDIRECT("'"&amp;$D$10&amp;"'!C9")&lt;1975,0)),INDIRECT("'"&amp;$D$10&amp;"'!GO_2021"),0)
+IF(AND(IFERROR(INDIRECT("'"&amp;$D$11&amp;"'!C9")&gt;1964,0),IFERROR(INDIRECT("'"&amp;$D$11&amp;"'!C9")&lt;1975,0)),INDIRECT("'"&amp;$D$11&amp;"'!GO_2021"),0)
+IF(AND(IFERROR(INDIRECT("'"&amp;$D$12&amp;"'!C9")&gt;1964,0),IFERROR(INDIRECT("'"&amp;$D$12&amp;"'!C9")&lt;1975,0)),INDIRECT("'"&amp;$D$12&amp;"'!GO_2021"),0)
+IF(AND(IFERROR(INDIRECT("'"&amp;$D$13&amp;"'!C9")&gt;1964,0),IFERROR(INDIRECT("'"&amp;$D$13&amp;"'!C9")&lt;1975,0)),INDIRECT("'"&amp;$D$13&amp;"'!GO_2021"),0)
+IF(AND(IFERROR(INDIRECT("'"&amp;$D$14&amp;"'!C9")&gt;1964,0),IFERROR(INDIRECT("'"&amp;$D$14&amp;"'!C9")&lt;1975,0)),INDIRECT("'"&amp;$D$14&amp;"'!GO_2021"),0)
+IF(AND(IFERROR(INDIRECT("'"&amp;$D$15&amp;"'!C9")&gt;1964,0),IFERROR(INDIRECT("'"&amp;$D$15&amp;"'!C9")&lt;1975,0)),INDIRECT("'"&amp;$D$15&amp;"'!GO_2021"),0)
+IF(AND(IFERROR(INDIRECT("'"&amp;$D$16&amp;"'!C9")&gt;1964,0),IFERROR(INDIRECT("'"&amp;$D$16&amp;"'!C9")&lt;1975,0)),INDIRECT("'"&amp;$D$16&amp;"'!GO_2021"),0)
+IF(AND(IFERROR(INDIRECT("'"&amp;$D$17&amp;"'!C9")&gt;1964,0),IFERROR(INDIRECT("'"&amp;$D$17&amp;"'!C9")&lt;1975,0)),INDIRECT("'"&amp;$D$17&amp;"'!GO_2021"),0)
+IF(AND(IFERROR(INDIRECT("'"&amp;$D$18&amp;"'!C9")&gt;1964,0),IFERROR(INDIRECT("'"&amp;$D$18&amp;"'!C9")&lt;1975,0)),INDIRECT("'"&amp;$D$18&amp;"'!GO_2021"),0)
+IF(AND(IFERROR(INDIRECT("'"&amp;$D$19&amp;"'!C9")&gt;1964,0),IFERROR(INDIRECT("'"&amp;$D$19&amp;"'!C9")&lt;1975,0)),INDIRECT("'"&amp;$D$19&amp;"'!GO_2021"),0)
+IF(AND(IFERROR(INDIRECT("'"&amp;$D$20&amp;"'!C9")&gt;1964,0),IFERROR(INDIRECT("'"&amp;$D$20&amp;"'!C9")&lt;1975,0)),INDIRECT("'"&amp;$D$20&amp;"'!GO_2021"),0)
+IF(AND(IFERROR(INDIRECT("'"&amp;$D$21&amp;"'!C9")&gt;1964,0),IFERROR(INDIRECT("'"&amp;$D$21&amp;"'!C9")&lt;1975,0)),INDIRECT("'"&amp;$D$21&amp;"'!GO_2021"),0)
+IF(AND(IFERROR(INDIRECT("'"&amp;$D$22&amp;"'!C9")&gt;1964,0),IFERROR(INDIRECT("'"&amp;$D$22&amp;"'!C9")&lt;1975,0)),INDIRECT("'"&amp;$D$22&amp;"'!GO_2021"),0)
+IF(AND(IFERROR(INDIRECT("'"&amp;$D$23&amp;"'!C9")&gt;1964,0),IFERROR(INDIRECT("'"&amp;$D$23&amp;"'!C9")&lt;1975,0)),INDIRECT("'"&amp;$D$23&amp;"'!GO_2021"),0)
+IF(AND(IFERROR(INDIRECT("'"&amp;$D$24&amp;"'!C9")&gt;1964,0),IFERROR(INDIRECT("'"&amp;$D$24&amp;"'!C9")&lt;1975,0)),INDIRECT("'"&amp;$D$24&amp;"'!GO_2021"),0)
+IF(AND(IFERROR(INDIRECT("'"&amp;$D$25&amp;"'!C9")&gt;1964,0),IFERROR(INDIRECT("'"&amp;$D$25&amp;"'!C9")&lt;1975,0)),INDIRECT("'"&amp;$D$25&amp;"'!GO_2021"),0)
+IF(AND(IFERROR(INDIRECT("'"&amp;$D$26&amp;"'!C9")&gt;1964,0),IFERROR(INDIRECT("'"&amp;$D$26&amp;"'!C9")&lt;1975,0)),INDIRECT("'"&amp;$D$26&amp;"'!GO_2021"),0)
+IF(AND(IFERROR(INDIRECT("'"&amp;$D$27&amp;"'!C9")&gt;1964,0),IFERROR(INDIRECT("'"&amp;$D$27&amp;"'!C9")&lt;1975,0)),INDIRECT("'"&amp;$D$27&amp;"'!GO_2021"),0)
+IF(AND(IFERROR(INDIRECT("'"&amp;$D$28&amp;"'!C9")&gt;1964,0),IFERROR(INDIRECT("'"&amp;$D$28&amp;"'!C9")&lt;1975,0)),INDIRECT("'"&amp;$D$28&amp;"'!GO_2021"),0)
+IF(AND(IFERROR(INDIRECT("'"&amp;$D$29&amp;"'!C9")&gt;1964,0),IFERROR(INDIRECT("'"&amp;$D$29&amp;"'!C9")&lt;1975,0)),INDIRECT("'"&amp;$D$29&amp;"'!GO_2021"),0)
+IF(AND(IFERROR(INDIRECT("'"&amp;$D$30&amp;"'!C9")&gt;1964,0),IFERROR(INDIRECT("'"&amp;$D$30&amp;"'!C9")&lt;1975,0)),INDIRECT("'"&amp;$D$30&amp;"'!GO_2021"),0)
+IF(AND(IFERROR(INDIRECT("'"&amp;$D$31&amp;"'!C9")&gt;1964,0),IFERROR(INDIRECT("'"&amp;$D$31&amp;"'!C9")&lt;1975,0)),INDIRECT("'"&amp;$D$31&amp;"'!GO_2021"),0)
+IF(AND(IFERROR(INDIRECT("'"&amp;$D$32&amp;"'!C9")&gt;1964,0),IFERROR(INDIRECT("'"&amp;$D$32&amp;"'!C9")&lt;1975,0)),INDIRECT("'"&amp;$D$32&amp;"'!GO_2021"),0)
+IF(AND(IFERROR(INDIRECT("'"&amp;$D$33&amp;"'!C9")&gt;1964,0),IFERROR(INDIRECT("'"&amp;$D$33&amp;"'!C9")&lt;1975,0)),INDIRECT("'"&amp;$D$33&amp;"'!GO_2021"),0)
+IF(AND(IFERROR(INDIRECT("'"&amp;$D$34&amp;"'!C9")&gt;1964,0),IFERROR(INDIRECT("'"&amp;$D$34&amp;"'!C9")&lt;1975,0)),INDIRECT("'"&amp;$D$34&amp;"'!GO_2021"),0)
+IF(AND(IFERROR(INDIRECT("'"&amp;$D$35&amp;"'!C9")&gt;1964,0),IFERROR(INDIRECT("'"&amp;$D$35&amp;"'!C9")&lt;1975,0)),INDIRECT("'"&amp;$D$35&amp;"'!GO_2021"),0)
+IF(AND(IFERROR(INDIRECT("'"&amp;$D$36&amp;"'!C9")&gt;1964,0),IFERROR(INDIRECT("'"&amp;$D$36&amp;"'!C9")&lt;1975,0)),INDIRECT("'"&amp;$D$36&amp;"'!GO_2021"),0)
+IF(AND(IFERROR(INDIRECT("'"&amp;$D$37&amp;"'!C9")&gt;1964,0),IFERROR(INDIRECT("'"&amp;$D$37&amp;"'!C9")&lt;1975,0)),INDIRECT("'"&amp;$D$37&amp;"'!GO_2021"),0)
+IF(AND(IFERROR(INDIRECT("'"&amp;$D$38&amp;"'!C9")&gt;1964,0),IFERROR(INDIRECT("'"&amp;$D$38&amp;"'!C9")&lt;1975,0)),INDIRECT("'"&amp;$D$38&amp;"'!GO_2021"),0)
+IF(AND(IFERROR(INDIRECT("'"&amp;$D$39&amp;"'!C9")&gt;1964,0),IFERROR(INDIRECT("'"&amp;$D$39&amp;"'!C9")&lt;1975,0)),INDIRECT("'"&amp;$D$39&amp;"'!GO_2021"),0)
+IF(AND(IFERROR(INDIRECT("'"&amp;$D$40&amp;"'!C9")&gt;1964,0),IFERROR(INDIRECT("'"&amp;$D$40&amp;"'!C9")&lt;1975,0)),INDIRECT("'"&amp;$D$40&amp;"'!GO_2021"),0)
+IF(AND(IFERROR(INDIRECT("'"&amp;$D$41&amp;"'!C9")&gt;1964,0),IFERROR(INDIRECT("'"&amp;$D$41&amp;"'!C9")&lt;1975,0)),INDIRECT("'"&amp;$D$41&amp;"'!GO_2021"),0)
+IF(AND(IFERROR(INDIRECT("'"&amp;$D$42&amp;"'!C9")&gt;1964,0),IFERROR(INDIRECT("'"&amp;$D$42&amp;"'!C9")&lt;1975,0)),INDIRECT("'"&amp;$D$42&amp;"'!GO_2021"),0)
+IF(AND(IFERROR(INDIRECT("'"&amp;$D$43&amp;"'!C9")&gt;1964,0),IFERROR(INDIRECT("'"&amp;$D$43&amp;"'!C9")&lt;1975,0)),INDIRECT("'"&amp;$D$43&amp;"'!GO_2021"),0)
+IF(AND(IFERROR(INDIRECT("'"&amp;$D$44&amp;"'!C9")&gt;1964,0),IFERROR(INDIRECT("'"&amp;$D$44&amp;"'!C9")&lt;1975,0)),INDIRECT("'"&amp;$D$44&amp;"'!GO_2021"),0)
+IF(AND(IFERROR(INDIRECT("'"&amp;$D$45&amp;"'!C9")&gt;1964,0),IFERROR(INDIRECT("'"&amp;$D$45&amp;"'!C9")&lt;1975,0)),INDIRECT("'"&amp;$D$45&amp;"'!GO_2021"),0)
+IF(AND(IFERROR(INDIRECT("'"&amp;$D$46&amp;"'!C9")&gt;1964,0),IFERROR(INDIRECT("'"&amp;$D$46&amp;"'!C9")&lt;1975,0)),INDIRECT("'"&amp;$D$46&amp;"'!GO_2021"),0)
+IF(AND(IFERROR(INDIRECT("'"&amp;$D$47&amp;"'!C9")&gt;1964,0),IFERROR(INDIRECT("'"&amp;$D$47&amp;"'!C9")&lt;1975,0)),INDIRECT("'"&amp;$D$47&amp;"'!GO_2021"),0)
+IF(AND(IFERROR(INDIRECT("'"&amp;$D$48&amp;"'!C9")&gt;1964,0),IFERROR(INDIRECT("'"&amp;$D$48&amp;"'!C9")&lt;1975,0)),INDIRECT("'"&amp;$D$48&amp;"'!GO_2021"),0)
+IF(AND(IFERROR(INDIRECT("'"&amp;$D$49&amp;"'!C9")&gt;1964,0),IFERROR(INDIRECT("'"&amp;$D$49&amp;"'!C9")&lt;1975,0)),INDIRECT("'"&amp;$D$49&amp;"'!GO_2021"),0)
+IF(AND(IFERROR(INDIRECT("'"&amp;$D$50&amp;"'!C9")&gt;1964,0),IFERROR(INDIRECT("'"&amp;$D$50&amp;"'!C9")&lt;1975,0)),INDIRECT("'"&amp;$D$50&amp;"'!GO_2021"),0)
+IF(AND(IFERROR(INDIRECT("'"&amp;$D$51&amp;"'!C9")&gt;1964,0),IFERROR(INDIRECT("'"&amp;$D$51&amp;"'!C9")&lt;1975,0)),INDIRECT("'"&amp;$D$51&amp;"'!GO_2021"),0)
+IF(AND(IFERROR(INDIRECT("'"&amp;$D$52&amp;"'!C9")&gt;1964,0),IFERROR(INDIRECT("'"&amp;$D$52&amp;"'!C9")&lt;1975,0)),INDIRECT("'"&amp;$D$52&amp;"'!GO_2021"),0)
+IF(AND(IFERROR(INDIRECT("'"&amp;$D$53&amp;"'!C9")&gt;1964,0),IFERROR(INDIRECT("'"&amp;$D$53&amp;"'!C9")&lt;1975,0)),INDIRECT("'"&amp;$D$53&amp;"'!GO_2021"),0)
+IF(AND(IFERROR(INDIRECT("'"&amp;$D$54&amp;"'!C9")&gt;1964,0),IFERROR(INDIRECT("'"&amp;$D$54&amp;"'!C9")&lt;1975,0)),INDIRECT("'"&amp;$D$54&amp;"'!GO_2021"),0)</f>
        <v>0</v>
      </c>
      <c r="L25" s="321">
        <f ca="1">IF(AND(IFERROR(INDIRECT("'"&amp;$D$5&amp;"'!C9")&gt;1964,0),IFERROR(INDIRECT("'"&amp;$D$5&amp;"'!C9")&lt;1975,0)),INDIRECT("'"&amp;$D$5&amp;"'!GO_2022"),0)
+IF(AND(IFERROR(INDIRECT("'"&amp;$D$6&amp;"'!C9")&gt;1964,0),IFERROR(INDIRECT("'"&amp;$D$6&amp;"'!C9")&lt;1975,0)),INDIRECT("'"&amp;$D$6&amp;"'!GO_2022"),0)
+IF(AND(IFERROR(INDIRECT("'"&amp;$D$7&amp;"'!C9")&gt;1964,0),IFERROR(INDIRECT("'"&amp;$D$7&amp;"'!C9")&lt;1975,0)),INDIRECT("'"&amp;$D$7&amp;"'!GO_2022"),0)
+IF(AND(IFERROR(INDIRECT("'"&amp;$D$8&amp;"'!C9")&gt;1964,0),IFERROR(INDIRECT("'"&amp;$D$8&amp;"'!C9")&lt;1975,0)),INDIRECT("'"&amp;$D$8&amp;"'!GO_2022"),0)
+IF(AND(IFERROR(INDIRECT("'"&amp;$D$9&amp;"'!C9")&gt;1964,0),IFERROR(INDIRECT("'"&amp;$D$9&amp;"'!C9")&lt;1975,0)),INDIRECT("'"&amp;$D$9&amp;"'!GO_2022"),0)
+IF(AND(IFERROR(INDIRECT("'"&amp;$D$10&amp;"'!C9")&gt;1964,0),IFERROR(INDIRECT("'"&amp;$D$10&amp;"'!C9")&lt;1975,0)),INDIRECT("'"&amp;$D$10&amp;"'!GO_2022"),0)
+IF(AND(IFERROR(INDIRECT("'"&amp;$D$11&amp;"'!C9")&gt;1964,0),IFERROR(INDIRECT("'"&amp;$D$11&amp;"'!C9")&lt;1975,0)),INDIRECT("'"&amp;$D$11&amp;"'!GO_2022"),0)
+IF(AND(IFERROR(INDIRECT("'"&amp;$D$12&amp;"'!C9")&gt;1964,0),IFERROR(INDIRECT("'"&amp;$D$12&amp;"'!C9")&lt;1975,0)),INDIRECT("'"&amp;$D$12&amp;"'!GO_2022"),0)
+IF(AND(IFERROR(INDIRECT("'"&amp;$D$13&amp;"'!C9")&gt;1964,0),IFERROR(INDIRECT("'"&amp;$D$13&amp;"'!C9")&lt;1975,0)),INDIRECT("'"&amp;$D$13&amp;"'!GO_2022"),0)
+IF(AND(IFERROR(INDIRECT("'"&amp;$D$14&amp;"'!C9")&gt;1964,0),IFERROR(INDIRECT("'"&amp;$D$14&amp;"'!C9")&lt;1975,0)),INDIRECT("'"&amp;$D$14&amp;"'!GO_2022"),0)
+IF(AND(IFERROR(INDIRECT("'"&amp;$D$15&amp;"'!C9")&gt;1964,0),IFERROR(INDIRECT("'"&amp;$D$15&amp;"'!C9")&lt;1975,0)),INDIRECT("'"&amp;$D$15&amp;"'!GO_2022"),0)
+IF(AND(IFERROR(INDIRECT("'"&amp;$D$16&amp;"'!C9")&gt;1964,0),IFERROR(INDIRECT("'"&amp;$D$16&amp;"'!C9")&lt;1975,0)),INDIRECT("'"&amp;$D$16&amp;"'!GO_2022"),0)
+IF(AND(IFERROR(INDIRECT("'"&amp;$D$17&amp;"'!C9")&gt;1964,0),IFERROR(INDIRECT("'"&amp;$D$17&amp;"'!C9")&lt;1975,0)),INDIRECT("'"&amp;$D$17&amp;"'!GO_2022"),0)
+IF(AND(IFERROR(INDIRECT("'"&amp;$D$18&amp;"'!C9")&gt;1964,0),IFERROR(INDIRECT("'"&amp;$D$18&amp;"'!C9")&lt;1975,0)),INDIRECT("'"&amp;$D$18&amp;"'!GO_2022"),0)
+IF(AND(IFERROR(INDIRECT("'"&amp;$D$19&amp;"'!C9")&gt;1964,0),IFERROR(INDIRECT("'"&amp;$D$19&amp;"'!C9")&lt;1975,0)),INDIRECT("'"&amp;$D$19&amp;"'!GO_2022"),0)
+IF(AND(IFERROR(INDIRECT("'"&amp;$D$20&amp;"'!C9")&gt;1964,0),IFERROR(INDIRECT("'"&amp;$D$20&amp;"'!C9")&lt;1975,0)),INDIRECT("'"&amp;$D$20&amp;"'!GO_2022"),0)
+IF(AND(IFERROR(INDIRECT("'"&amp;$D$21&amp;"'!C9")&gt;1964,0),IFERROR(INDIRECT("'"&amp;$D$21&amp;"'!C9")&lt;1975,0)),INDIRECT("'"&amp;$D$21&amp;"'!GO_2022"),0)
+IF(AND(IFERROR(INDIRECT("'"&amp;$D$22&amp;"'!C9")&gt;1964,0),IFERROR(INDIRECT("'"&amp;$D$22&amp;"'!C9")&lt;1975,0)),INDIRECT("'"&amp;$D$22&amp;"'!GO_2022"),0)
+IF(AND(IFERROR(INDIRECT("'"&amp;$D$23&amp;"'!C9")&gt;1964,0),IFERROR(INDIRECT("'"&amp;$D$23&amp;"'!C9")&lt;1975,0)),INDIRECT("'"&amp;$D$23&amp;"'!GO_2022"),0)
+IF(AND(IFERROR(INDIRECT("'"&amp;$D$24&amp;"'!C9")&gt;1964,0),IFERROR(INDIRECT("'"&amp;$D$24&amp;"'!C9")&lt;1975,0)),INDIRECT("'"&amp;$D$24&amp;"'!GO_2022"),0)
+IF(AND(IFERROR(INDIRECT("'"&amp;$D$25&amp;"'!C9")&gt;1964,0),IFERROR(INDIRECT("'"&amp;$D$25&amp;"'!C9")&lt;1975,0)),INDIRECT("'"&amp;$D$25&amp;"'!GO_2022"),0)
+IF(AND(IFERROR(INDIRECT("'"&amp;$D$26&amp;"'!C9")&gt;1964,0),IFERROR(INDIRECT("'"&amp;$D$26&amp;"'!C9")&lt;1975,0)),INDIRECT("'"&amp;$D$26&amp;"'!GO_2022"),0)
+IF(AND(IFERROR(INDIRECT("'"&amp;$D$27&amp;"'!C9")&gt;1964,0),IFERROR(INDIRECT("'"&amp;$D$27&amp;"'!C9")&lt;1975,0)),INDIRECT("'"&amp;$D$27&amp;"'!GO_2022"),0)
+IF(AND(IFERROR(INDIRECT("'"&amp;$D$28&amp;"'!C9")&gt;1964,0),IFERROR(INDIRECT("'"&amp;$D$28&amp;"'!C9")&lt;1975,0)),INDIRECT("'"&amp;$D$28&amp;"'!GO_2022"),0)
+IF(AND(IFERROR(INDIRECT("'"&amp;$D$29&amp;"'!C9")&gt;1964,0),IFERROR(INDIRECT("'"&amp;$D$29&amp;"'!C9")&lt;1975,0)),INDIRECT("'"&amp;$D$29&amp;"'!GO_2022"),0)
+IF(AND(IFERROR(INDIRECT("'"&amp;$D$30&amp;"'!C9")&gt;1964,0),IFERROR(INDIRECT("'"&amp;$D$30&amp;"'!C9")&lt;1975,0)),INDIRECT("'"&amp;$D$30&amp;"'!GO_2022"),0)
+IF(AND(IFERROR(INDIRECT("'"&amp;$D$31&amp;"'!C9")&gt;1964,0),IFERROR(INDIRECT("'"&amp;$D$31&amp;"'!C9")&lt;1975,0)),INDIRECT("'"&amp;$D$31&amp;"'!GO_2022"),0)
+IF(AND(IFERROR(INDIRECT("'"&amp;$D$32&amp;"'!C9")&gt;1964,0),IFERROR(INDIRECT("'"&amp;$D$32&amp;"'!C9")&lt;1975,0)),INDIRECT("'"&amp;$D$32&amp;"'!GO_2022"),0)
+IF(AND(IFERROR(INDIRECT("'"&amp;$D$33&amp;"'!C9")&gt;1964,0),IFERROR(INDIRECT("'"&amp;$D$33&amp;"'!C9")&lt;1975,0)),INDIRECT("'"&amp;$D$33&amp;"'!GO_2022"),0)
+IF(AND(IFERROR(INDIRECT("'"&amp;$D$34&amp;"'!C9")&gt;1964,0),IFERROR(INDIRECT("'"&amp;$D$34&amp;"'!C9")&lt;1975,0)),INDIRECT("'"&amp;$D$34&amp;"'!GO_2022"),0)
+IF(AND(IFERROR(INDIRECT("'"&amp;$D$35&amp;"'!C9")&gt;1964,0),IFERROR(INDIRECT("'"&amp;$D$35&amp;"'!C9")&lt;1975,0)),INDIRECT("'"&amp;$D$35&amp;"'!GO_2022"),0)
+IF(AND(IFERROR(INDIRECT("'"&amp;$D$36&amp;"'!C9")&gt;1964,0),IFERROR(INDIRECT("'"&amp;$D$36&amp;"'!C9")&lt;1975,0)),INDIRECT("'"&amp;$D$36&amp;"'!GO_2022"),0)
+IF(AND(IFERROR(INDIRECT("'"&amp;$D$37&amp;"'!C9")&gt;1964,0),IFERROR(INDIRECT("'"&amp;$D$37&amp;"'!C9")&lt;1975,0)),INDIRECT("'"&amp;$D$37&amp;"'!GO_2022"),0)
+IF(AND(IFERROR(INDIRECT("'"&amp;$D$38&amp;"'!C9")&gt;1964,0),IFERROR(INDIRECT("'"&amp;$D$38&amp;"'!C9")&lt;1975,0)),INDIRECT("'"&amp;$D$38&amp;"'!GO_2022"),0)
+IF(AND(IFERROR(INDIRECT("'"&amp;$D$39&amp;"'!C9")&gt;1964,0),IFERROR(INDIRECT("'"&amp;$D$39&amp;"'!C9")&lt;1975,0)),INDIRECT("'"&amp;$D$39&amp;"'!GO_2022"),0)
+IF(AND(IFERROR(INDIRECT("'"&amp;$D$40&amp;"'!C9")&gt;1964,0),IFERROR(INDIRECT("'"&amp;$D$40&amp;"'!C9")&lt;1975,0)),INDIRECT("'"&amp;$D$40&amp;"'!GO_2022"),0)
+IF(AND(IFERROR(INDIRECT("'"&amp;$D$41&amp;"'!C9")&gt;1964,0),IFERROR(INDIRECT("'"&amp;$D$41&amp;"'!C9")&lt;1975,0)),INDIRECT("'"&amp;$D$41&amp;"'!GO_2022"),0)
+IF(AND(IFERROR(INDIRECT("'"&amp;$D$42&amp;"'!C9")&gt;1964,0),IFERROR(INDIRECT("'"&amp;$D$42&amp;"'!C9")&lt;1975,0)),INDIRECT("'"&amp;$D$42&amp;"'!GO_2022"),0)
+IF(AND(IFERROR(INDIRECT("'"&amp;$D$43&amp;"'!C9")&gt;1964,0),IFERROR(INDIRECT("'"&amp;$D$43&amp;"'!C9")&lt;1975,0)),INDIRECT("'"&amp;$D$43&amp;"'!GO_2022"),0)
+IF(AND(IFERROR(INDIRECT("'"&amp;$D$44&amp;"'!C9")&gt;1964,0),IFERROR(INDIRECT("'"&amp;$D$44&amp;"'!C9")&lt;1975,0)),INDIRECT("'"&amp;$D$44&amp;"'!GO_2022"),0)
+IF(AND(IFERROR(INDIRECT("'"&amp;$D$45&amp;"'!C9")&gt;1964,0),IFERROR(INDIRECT("'"&amp;$D$45&amp;"'!C9")&lt;1975,0)),INDIRECT("'"&amp;$D$45&amp;"'!GO_2022"),0)
+IF(AND(IFERROR(INDIRECT("'"&amp;$D$46&amp;"'!C9")&gt;1964,0),IFERROR(INDIRECT("'"&amp;$D$46&amp;"'!C9")&lt;1975,0)),INDIRECT("'"&amp;$D$46&amp;"'!GO_2022"),0)
+IF(AND(IFERROR(INDIRECT("'"&amp;$D$47&amp;"'!C9")&gt;1964,0),IFERROR(INDIRECT("'"&amp;$D$47&amp;"'!C9")&lt;1975,0)),INDIRECT("'"&amp;$D$47&amp;"'!GO_2022"),0)
+IF(AND(IFERROR(INDIRECT("'"&amp;$D$48&amp;"'!C9")&gt;1964,0),IFERROR(INDIRECT("'"&amp;$D$48&amp;"'!C9")&lt;1975,0)),INDIRECT("'"&amp;$D$48&amp;"'!GO_2022"),0)
+IF(AND(IFERROR(INDIRECT("'"&amp;$D$49&amp;"'!C9")&gt;1964,0),IFERROR(INDIRECT("'"&amp;$D$49&amp;"'!C9")&lt;1975,0)),INDIRECT("'"&amp;$D$49&amp;"'!GO_2022"),0)
+IF(AND(IFERROR(INDIRECT("'"&amp;$D$50&amp;"'!C9")&gt;1964,0),IFERROR(INDIRECT("'"&amp;$D$50&amp;"'!C9")&lt;1975,0)),INDIRECT("'"&amp;$D$50&amp;"'!GO_2022"),0)
+IF(AND(IFERROR(INDIRECT("'"&amp;$D$51&amp;"'!C9")&gt;1964,0),IFERROR(INDIRECT("'"&amp;$D$51&amp;"'!C9")&lt;1975,0)),INDIRECT("'"&amp;$D$51&amp;"'!GO_2022"),0)
+IF(AND(IFERROR(INDIRECT("'"&amp;$D$52&amp;"'!C9")&gt;1964,0),IFERROR(INDIRECT("'"&amp;$D$52&amp;"'!C9")&lt;1975,0)),INDIRECT("'"&amp;$D$52&amp;"'!GO_2022"),0)
+IF(AND(IFERROR(INDIRECT("'"&amp;$D$53&amp;"'!C9")&gt;1964,0),IFERROR(INDIRECT("'"&amp;$D$53&amp;"'!C9")&lt;1975,0)),INDIRECT("'"&amp;$D$53&amp;"'!GO_2022"),0)
+IF(AND(IFERROR(INDIRECT("'"&amp;$D$54&amp;"'!C9")&gt;1964,0),IFERROR(INDIRECT("'"&amp;$D$54&amp;"'!C9")&lt;1975,0)),INDIRECT("'"&amp;$D$54&amp;"'!GO_2022"),0)</f>
        <v>0</v>
      </c>
      <c r="M25" s="321">
        <f ca="1">IF(AND(IFERROR(INDIRECT("'"&amp;$D$5&amp;"'!C9")&gt;1964,0),IFERROR(INDIRECT("'"&amp;$D$5&amp;"'!C9")&lt;1975,0)),INDIRECT("'"&amp;$D$5&amp;"'!GO_2023"),0)
+IF(AND(IFERROR(INDIRECT("'"&amp;$D$6&amp;"'!C9")&gt;1964,0),IFERROR(INDIRECT("'"&amp;$D$6&amp;"'!C9")&lt;1975,0)),INDIRECT("'"&amp;$D$6&amp;"'!GO_2023"),0)
+IF(AND(IFERROR(INDIRECT("'"&amp;$D$7&amp;"'!C9")&gt;1964,0),IFERROR(INDIRECT("'"&amp;$D$7&amp;"'!C9")&lt;1975,0)),INDIRECT("'"&amp;$D$7&amp;"'!GO_2023"),0)
+IF(AND(IFERROR(INDIRECT("'"&amp;$D$8&amp;"'!C9")&gt;1964,0),IFERROR(INDIRECT("'"&amp;$D$8&amp;"'!C9")&lt;1975,0)),INDIRECT("'"&amp;$D$8&amp;"'!GO_2023"),0)
+IF(AND(IFERROR(INDIRECT("'"&amp;$D$9&amp;"'!C9")&gt;1964,0),IFERROR(INDIRECT("'"&amp;$D$9&amp;"'!C9")&lt;1975,0)),INDIRECT("'"&amp;$D$9&amp;"'!GO_2023"),0)
+IF(AND(IFERROR(INDIRECT("'"&amp;$D$10&amp;"'!C9")&gt;1964,0),IFERROR(INDIRECT("'"&amp;$D$10&amp;"'!C9")&lt;1975,0)),INDIRECT("'"&amp;$D$10&amp;"'!GO_2023"),0)
+IF(AND(IFERROR(INDIRECT("'"&amp;$D$11&amp;"'!C9")&gt;1964,0),IFERROR(INDIRECT("'"&amp;$D$11&amp;"'!C9")&lt;1975,0)),INDIRECT("'"&amp;$D$11&amp;"'!GO_2023"),0)
+IF(AND(IFERROR(INDIRECT("'"&amp;$D$12&amp;"'!C9")&gt;1964,0),IFERROR(INDIRECT("'"&amp;$D$12&amp;"'!C9")&lt;1975,0)),INDIRECT("'"&amp;$D$12&amp;"'!GO_2023"),0)
+IF(AND(IFERROR(INDIRECT("'"&amp;$D$13&amp;"'!C9")&gt;1964,0),IFERROR(INDIRECT("'"&amp;$D$13&amp;"'!C9")&lt;1975,0)),INDIRECT("'"&amp;$D$13&amp;"'!GO_2023"),0)
+IF(AND(IFERROR(INDIRECT("'"&amp;$D$14&amp;"'!C9")&gt;1964,0),IFERROR(INDIRECT("'"&amp;$D$14&amp;"'!C9")&lt;1975,0)),INDIRECT("'"&amp;$D$14&amp;"'!GO_2023"),0)
+IF(AND(IFERROR(INDIRECT("'"&amp;$D$15&amp;"'!C9")&gt;1964,0),IFERROR(INDIRECT("'"&amp;$D$15&amp;"'!C9")&lt;1975,0)),INDIRECT("'"&amp;$D$15&amp;"'!GO_2023"),0)
+IF(AND(IFERROR(INDIRECT("'"&amp;$D$16&amp;"'!C9")&gt;1964,0),IFERROR(INDIRECT("'"&amp;$D$16&amp;"'!C9")&lt;1975,0)),INDIRECT("'"&amp;$D$16&amp;"'!GO_2023"),0)
+IF(AND(IFERROR(INDIRECT("'"&amp;$D$17&amp;"'!C9")&gt;1964,0),IFERROR(INDIRECT("'"&amp;$D$17&amp;"'!C9")&lt;1975,0)),INDIRECT("'"&amp;$D$17&amp;"'!GO_2023"),0)
+IF(AND(IFERROR(INDIRECT("'"&amp;$D$18&amp;"'!C9")&gt;1964,0),IFERROR(INDIRECT("'"&amp;$D$18&amp;"'!C9")&lt;1975,0)),INDIRECT("'"&amp;$D$18&amp;"'!GO_2023"),0)
+IF(AND(IFERROR(INDIRECT("'"&amp;$D$19&amp;"'!C9")&gt;1964,0),IFERROR(INDIRECT("'"&amp;$D$19&amp;"'!C9")&lt;1975,0)),INDIRECT("'"&amp;$D$19&amp;"'!GO_2023"),0)
+IF(AND(IFERROR(INDIRECT("'"&amp;$D$20&amp;"'!C9")&gt;1964,0),IFERROR(INDIRECT("'"&amp;$D$20&amp;"'!C9")&lt;1975,0)),INDIRECT("'"&amp;$D$20&amp;"'!GO_2023"),0)
+IF(AND(IFERROR(INDIRECT("'"&amp;$D$21&amp;"'!C9")&gt;1964,0),IFERROR(INDIRECT("'"&amp;$D$21&amp;"'!C9")&lt;1975,0)),INDIRECT("'"&amp;$D$21&amp;"'!GO_2023"),0)
+IF(AND(IFERROR(INDIRECT("'"&amp;$D$22&amp;"'!C9")&gt;1964,0),IFERROR(INDIRECT("'"&amp;$D$22&amp;"'!C9")&lt;1975,0)),INDIRECT("'"&amp;$D$22&amp;"'!GO_2023"),0)
+IF(AND(IFERROR(INDIRECT("'"&amp;$D$23&amp;"'!C9")&gt;1964,0),IFERROR(INDIRECT("'"&amp;$D$23&amp;"'!C9")&lt;1975,0)),INDIRECT("'"&amp;$D$23&amp;"'!GO_2023"),0)
+IF(AND(IFERROR(INDIRECT("'"&amp;$D$24&amp;"'!C9")&gt;1964,0),IFERROR(INDIRECT("'"&amp;$D$24&amp;"'!C9")&lt;1975,0)),INDIRECT("'"&amp;$D$24&amp;"'!GO_2023"),0)
+IF(AND(IFERROR(INDIRECT("'"&amp;$D$25&amp;"'!C9")&gt;1964,0),IFERROR(INDIRECT("'"&amp;$D$25&amp;"'!C9")&lt;1975,0)),INDIRECT("'"&amp;$D$25&amp;"'!GO_2023"),0)
+IF(AND(IFERROR(INDIRECT("'"&amp;$D$26&amp;"'!C9")&gt;1964,0),IFERROR(INDIRECT("'"&amp;$D$26&amp;"'!C9")&lt;1975,0)),INDIRECT("'"&amp;$D$26&amp;"'!GO_2023"),0)
+IF(AND(IFERROR(INDIRECT("'"&amp;$D$27&amp;"'!C9")&gt;1964,0),IFERROR(INDIRECT("'"&amp;$D$27&amp;"'!C9")&lt;1975,0)),INDIRECT("'"&amp;$D$27&amp;"'!GO_2023"),0)
+IF(AND(IFERROR(INDIRECT("'"&amp;$D$28&amp;"'!C9")&gt;1964,0),IFERROR(INDIRECT("'"&amp;$D$28&amp;"'!C9")&lt;1975,0)),INDIRECT("'"&amp;$D$28&amp;"'!GO_2023"),0)
+IF(AND(IFERROR(INDIRECT("'"&amp;$D$29&amp;"'!C9")&gt;1964,0),IFERROR(INDIRECT("'"&amp;$D$29&amp;"'!C9")&lt;1975,0)),INDIRECT("'"&amp;$D$29&amp;"'!GO_2023"),0)
+IF(AND(IFERROR(INDIRECT("'"&amp;$D$30&amp;"'!C9")&gt;1964,0),IFERROR(INDIRECT("'"&amp;$D$30&amp;"'!C9")&lt;1975,0)),INDIRECT("'"&amp;$D$30&amp;"'!GO_2023"),0)
+IF(AND(IFERROR(INDIRECT("'"&amp;$D$31&amp;"'!C9")&gt;1964,0),IFERROR(INDIRECT("'"&amp;$D$31&amp;"'!C9")&lt;1975,0)),INDIRECT("'"&amp;$D$31&amp;"'!GO_2023"),0)
+IF(AND(IFERROR(INDIRECT("'"&amp;$D$32&amp;"'!C9")&gt;1964,0),IFERROR(INDIRECT("'"&amp;$D$32&amp;"'!C9")&lt;1975,0)),INDIRECT("'"&amp;$D$32&amp;"'!GO_2023"),0)
+IF(AND(IFERROR(INDIRECT("'"&amp;$D$33&amp;"'!C9")&gt;1964,0),IFERROR(INDIRECT("'"&amp;$D$33&amp;"'!C9")&lt;1975,0)),INDIRECT("'"&amp;$D$33&amp;"'!GO_2023"),0)
+IF(AND(IFERROR(INDIRECT("'"&amp;$D$34&amp;"'!C9")&gt;1964,0),IFERROR(INDIRECT("'"&amp;$D$34&amp;"'!C9")&lt;1975,0)),INDIRECT("'"&amp;$D$34&amp;"'!GO_2023"),0)
+IF(AND(IFERROR(INDIRECT("'"&amp;$D$35&amp;"'!C9")&gt;1964,0),IFERROR(INDIRECT("'"&amp;$D$35&amp;"'!C9")&lt;1975,0)),INDIRECT("'"&amp;$D$35&amp;"'!GO_2023"),0)
+IF(AND(IFERROR(INDIRECT("'"&amp;$D$36&amp;"'!C9")&gt;1964,0),IFERROR(INDIRECT("'"&amp;$D$36&amp;"'!C9")&lt;1975,0)),INDIRECT("'"&amp;$D$36&amp;"'!GO_2023"),0)
+IF(AND(IFERROR(INDIRECT("'"&amp;$D$37&amp;"'!C9")&gt;1964,0),IFERROR(INDIRECT("'"&amp;$D$37&amp;"'!C9")&lt;1975,0)),INDIRECT("'"&amp;$D$37&amp;"'!GO_2023"),0)
+IF(AND(IFERROR(INDIRECT("'"&amp;$D$38&amp;"'!C9")&gt;1964,0),IFERROR(INDIRECT("'"&amp;$D$38&amp;"'!C9")&lt;1975,0)),INDIRECT("'"&amp;$D$38&amp;"'!GO_2023"),0)
+IF(AND(IFERROR(INDIRECT("'"&amp;$D$39&amp;"'!C9")&gt;1964,0),IFERROR(INDIRECT("'"&amp;$D$39&amp;"'!C9")&lt;1975,0)),INDIRECT("'"&amp;$D$39&amp;"'!GO_2023"),0)
+IF(AND(IFERROR(INDIRECT("'"&amp;$D$40&amp;"'!C9")&gt;1964,0),IFERROR(INDIRECT("'"&amp;$D$40&amp;"'!C9")&lt;1975,0)),INDIRECT("'"&amp;$D$40&amp;"'!GO_2023"),0)
+IF(AND(IFERROR(INDIRECT("'"&amp;$D$41&amp;"'!C9")&gt;1964,0),IFERROR(INDIRECT("'"&amp;$D$41&amp;"'!C9")&lt;1975,0)),INDIRECT("'"&amp;$D$41&amp;"'!GO_2023"),0)
+IF(AND(IFERROR(INDIRECT("'"&amp;$D$42&amp;"'!C9")&gt;1964,0),IFERROR(INDIRECT("'"&amp;$D$42&amp;"'!C9")&lt;1975,0)),INDIRECT("'"&amp;$D$42&amp;"'!GO_2023"),0)
+IF(AND(IFERROR(INDIRECT("'"&amp;$D$43&amp;"'!C9")&gt;1964,0),IFERROR(INDIRECT("'"&amp;$D$43&amp;"'!C9")&lt;1975,0)),INDIRECT("'"&amp;$D$43&amp;"'!GO_2023"),0)
+IF(AND(IFERROR(INDIRECT("'"&amp;$D$44&amp;"'!C9")&gt;1964,0),IFERROR(INDIRECT("'"&amp;$D$44&amp;"'!C9")&lt;1975,0)),INDIRECT("'"&amp;$D$44&amp;"'!GO_2023"),0)
+IF(AND(IFERROR(INDIRECT("'"&amp;$D$45&amp;"'!C9")&gt;1964,0),IFERROR(INDIRECT("'"&amp;$D$45&amp;"'!C9")&lt;1975,0)),INDIRECT("'"&amp;$D$45&amp;"'!GO_2023"),0)
+IF(AND(IFERROR(INDIRECT("'"&amp;$D$46&amp;"'!C9")&gt;1964,0),IFERROR(INDIRECT("'"&amp;$D$46&amp;"'!C9")&lt;1975,0)),INDIRECT("'"&amp;$D$46&amp;"'!GO_2023"),0)
+IF(AND(IFERROR(INDIRECT("'"&amp;$D$47&amp;"'!C9")&gt;1964,0),IFERROR(INDIRECT("'"&amp;$D$47&amp;"'!C9")&lt;1975,0)),INDIRECT("'"&amp;$D$47&amp;"'!GO_2023"),0)
+IF(AND(IFERROR(INDIRECT("'"&amp;$D$48&amp;"'!C9")&gt;1964,0),IFERROR(INDIRECT("'"&amp;$D$48&amp;"'!C9")&lt;1975,0)),INDIRECT("'"&amp;$D$48&amp;"'!GO_2023"),0)
+IF(AND(IFERROR(INDIRECT("'"&amp;$D$49&amp;"'!C9")&gt;1964,0),IFERROR(INDIRECT("'"&amp;$D$49&amp;"'!C9")&lt;1975,0)),INDIRECT("'"&amp;$D$49&amp;"'!GO_2023"),0)
+IF(AND(IFERROR(INDIRECT("'"&amp;$D$50&amp;"'!C9")&gt;1964,0),IFERROR(INDIRECT("'"&amp;$D$50&amp;"'!C9")&lt;1975,0)),INDIRECT("'"&amp;$D$50&amp;"'!GO_2023"),0)
+IF(AND(IFERROR(INDIRECT("'"&amp;$D$51&amp;"'!C9")&gt;1964,0),IFERROR(INDIRECT("'"&amp;$D$51&amp;"'!C9")&lt;1975,0)),INDIRECT("'"&amp;$D$51&amp;"'!GO_2023"),0)
+IF(AND(IFERROR(INDIRECT("'"&amp;$D$52&amp;"'!C9")&gt;1964,0),IFERROR(INDIRECT("'"&amp;$D$52&amp;"'!C9")&lt;1975,0)),INDIRECT("'"&amp;$D$52&amp;"'!GO_2023"),0)
+IF(AND(IFERROR(INDIRECT("'"&amp;$D$53&amp;"'!C9")&gt;1964,0),IFERROR(INDIRECT("'"&amp;$D$53&amp;"'!C9")&lt;1975,0)),INDIRECT("'"&amp;$D$53&amp;"'!GO_2023"),0)
+IF(AND(IFERROR(INDIRECT("'"&amp;$D$54&amp;"'!C9")&gt;1964,0),IFERROR(INDIRECT("'"&amp;$D$54&amp;"'!C9")&lt;1975,0)),INDIRECT("'"&amp;$D$54&amp;"'!GO_2023"),0)</f>
        <v>0</v>
      </c>
      <c r="N25" s="321">
        <f ca="1">IF(AND(IFERROR(INDIRECT("'"&amp;$D$5&amp;"'!C9")&gt;1964,0),IFERROR(INDIRECT("'"&amp;$D$5&amp;"'!C9")&lt;1975,0)),INDIRECT("'"&amp;$D$5&amp;"'!GO_2024"),0)
+IF(AND(IFERROR(INDIRECT("'"&amp;$D$6&amp;"'!C9")&gt;1964,0),IFERROR(INDIRECT("'"&amp;$D$6&amp;"'!C9")&lt;1975,0)),INDIRECT("'"&amp;$D$6&amp;"'!GO_2024"),0)
+IF(AND(IFERROR(INDIRECT("'"&amp;$D$7&amp;"'!C9")&gt;1964,0),IFERROR(INDIRECT("'"&amp;$D$7&amp;"'!C9")&lt;1975,0)),INDIRECT("'"&amp;$D$7&amp;"'!GO_2024"),0)
+IF(AND(IFERROR(INDIRECT("'"&amp;$D$8&amp;"'!C9")&gt;1964,0),IFERROR(INDIRECT("'"&amp;$D$8&amp;"'!C9")&lt;1975,0)),INDIRECT("'"&amp;$D$8&amp;"'!GO_2024"),0)
+IF(AND(IFERROR(INDIRECT("'"&amp;$D$9&amp;"'!C9")&gt;1964,0),IFERROR(INDIRECT("'"&amp;$D$9&amp;"'!C9")&lt;1975,0)),INDIRECT("'"&amp;$D$9&amp;"'!GO_2024"),0)
+IF(AND(IFERROR(INDIRECT("'"&amp;$D$10&amp;"'!C9")&gt;1964,0),IFERROR(INDIRECT("'"&amp;$D$10&amp;"'!C9")&lt;1975,0)),INDIRECT("'"&amp;$D$10&amp;"'!GO_2024"),0)
+IF(AND(IFERROR(INDIRECT("'"&amp;$D$11&amp;"'!C9")&gt;1964,0),IFERROR(INDIRECT("'"&amp;$D$11&amp;"'!C9")&lt;1975,0)),INDIRECT("'"&amp;$D$11&amp;"'!GO_2024"),0)
+IF(AND(IFERROR(INDIRECT("'"&amp;$D$12&amp;"'!C9")&gt;1964,0),IFERROR(INDIRECT("'"&amp;$D$12&amp;"'!C9")&lt;1975,0)),INDIRECT("'"&amp;$D$12&amp;"'!GO_2024"),0)
+IF(AND(IFERROR(INDIRECT("'"&amp;$D$13&amp;"'!C9")&gt;1964,0),IFERROR(INDIRECT("'"&amp;$D$13&amp;"'!C9")&lt;1975,0)),INDIRECT("'"&amp;$D$13&amp;"'!GO_2024"),0)
+IF(AND(IFERROR(INDIRECT("'"&amp;$D$14&amp;"'!C9")&gt;1964,0),IFERROR(INDIRECT("'"&amp;$D$14&amp;"'!C9")&lt;1975,0)),INDIRECT("'"&amp;$D$14&amp;"'!GO_2024"),0)
+IF(AND(IFERROR(INDIRECT("'"&amp;$D$15&amp;"'!C9")&gt;1964,0),IFERROR(INDIRECT("'"&amp;$D$15&amp;"'!C9")&lt;1975,0)),INDIRECT("'"&amp;$D$15&amp;"'!GO_2024"),0)
+IF(AND(IFERROR(INDIRECT("'"&amp;$D$16&amp;"'!C9")&gt;1964,0),IFERROR(INDIRECT("'"&amp;$D$16&amp;"'!C9")&lt;1975,0)),INDIRECT("'"&amp;$D$16&amp;"'!GO_2024"),0)
+IF(AND(IFERROR(INDIRECT("'"&amp;$D$17&amp;"'!C9")&gt;1964,0),IFERROR(INDIRECT("'"&amp;$D$17&amp;"'!C9")&lt;1975,0)),INDIRECT("'"&amp;$D$17&amp;"'!GO_2024"),0)
+IF(AND(IFERROR(INDIRECT("'"&amp;$D$18&amp;"'!C9")&gt;1964,0),IFERROR(INDIRECT("'"&amp;$D$18&amp;"'!C9")&lt;1975,0)),INDIRECT("'"&amp;$D$18&amp;"'!GO_2024"),0)
+IF(AND(IFERROR(INDIRECT("'"&amp;$D$19&amp;"'!C9")&gt;1964,0),IFERROR(INDIRECT("'"&amp;$D$19&amp;"'!C9")&lt;1975,0)),INDIRECT("'"&amp;$D$19&amp;"'!GO_2024"),0)
+IF(AND(IFERROR(INDIRECT("'"&amp;$D$20&amp;"'!C9")&gt;1964,0),IFERROR(INDIRECT("'"&amp;$D$20&amp;"'!C9")&lt;1975,0)),INDIRECT("'"&amp;$D$20&amp;"'!GO_2024"),0)
+IF(AND(IFERROR(INDIRECT("'"&amp;$D$21&amp;"'!C9")&gt;1964,0),IFERROR(INDIRECT("'"&amp;$D$21&amp;"'!C9")&lt;1975,0)),INDIRECT("'"&amp;$D$21&amp;"'!GO_2024"),0)
+IF(AND(IFERROR(INDIRECT("'"&amp;$D$22&amp;"'!C9")&gt;1964,0),IFERROR(INDIRECT("'"&amp;$D$22&amp;"'!C9")&lt;1975,0)),INDIRECT("'"&amp;$D$22&amp;"'!GO_2024"),0)
+IF(AND(IFERROR(INDIRECT("'"&amp;$D$23&amp;"'!C9")&gt;1964,0),IFERROR(INDIRECT("'"&amp;$D$23&amp;"'!C9")&lt;1975,0)),INDIRECT("'"&amp;$D$23&amp;"'!GO_2024"),0)
+IF(AND(IFERROR(INDIRECT("'"&amp;$D$24&amp;"'!C9")&gt;1964,0),IFERROR(INDIRECT("'"&amp;$D$24&amp;"'!C9")&lt;1975,0)),INDIRECT("'"&amp;$D$24&amp;"'!GO_2024"),0)
+IF(AND(IFERROR(INDIRECT("'"&amp;$D$25&amp;"'!C9")&gt;1964,0),IFERROR(INDIRECT("'"&amp;$D$25&amp;"'!C9")&lt;1975,0)),INDIRECT("'"&amp;$D$25&amp;"'!GO_2024"),0)
+IF(AND(IFERROR(INDIRECT("'"&amp;$D$26&amp;"'!C9")&gt;1964,0),IFERROR(INDIRECT("'"&amp;$D$26&amp;"'!C9")&lt;1975,0)),INDIRECT("'"&amp;$D$26&amp;"'!GO_2024"),0)
+IF(AND(IFERROR(INDIRECT("'"&amp;$D$27&amp;"'!C9")&gt;1964,0),IFERROR(INDIRECT("'"&amp;$D$27&amp;"'!C9")&lt;1975,0)),INDIRECT("'"&amp;$D$27&amp;"'!GO_2024"),0)
+IF(AND(IFERROR(INDIRECT("'"&amp;$D$28&amp;"'!C9")&gt;1964,0),IFERROR(INDIRECT("'"&amp;$D$28&amp;"'!C9")&lt;1975,0)),INDIRECT("'"&amp;$D$28&amp;"'!GO_2024"),0)
+IF(AND(IFERROR(INDIRECT("'"&amp;$D$29&amp;"'!C9")&gt;1964,0),IFERROR(INDIRECT("'"&amp;$D$29&amp;"'!C9")&lt;1975,0)),INDIRECT("'"&amp;$D$29&amp;"'!GO_2024"),0)
+IF(AND(IFERROR(INDIRECT("'"&amp;$D$30&amp;"'!C9")&gt;1964,0),IFERROR(INDIRECT("'"&amp;$D$30&amp;"'!C9")&lt;1975,0)),INDIRECT("'"&amp;$D$30&amp;"'!GO_2024"),0)
+IF(AND(IFERROR(INDIRECT("'"&amp;$D$31&amp;"'!C9")&gt;1964,0),IFERROR(INDIRECT("'"&amp;$D$31&amp;"'!C9")&lt;1975,0)),INDIRECT("'"&amp;$D$31&amp;"'!GO_2024"),0)
+IF(AND(IFERROR(INDIRECT("'"&amp;$D$32&amp;"'!C9")&gt;1964,0),IFERROR(INDIRECT("'"&amp;$D$32&amp;"'!C9")&lt;1975,0)),INDIRECT("'"&amp;$D$32&amp;"'!GO_2024"),0)
+IF(AND(IFERROR(INDIRECT("'"&amp;$D$33&amp;"'!C9")&gt;1964,0),IFERROR(INDIRECT("'"&amp;$D$33&amp;"'!C9")&lt;1975,0)),INDIRECT("'"&amp;$D$33&amp;"'!GO_2024"),0)
+IF(AND(IFERROR(INDIRECT("'"&amp;$D$34&amp;"'!C9")&gt;1964,0),IFERROR(INDIRECT("'"&amp;$D$34&amp;"'!C9")&lt;1975,0)),INDIRECT("'"&amp;$D$34&amp;"'!GO_2024"),0)
+IF(AND(IFERROR(INDIRECT("'"&amp;$D$35&amp;"'!C9")&gt;1964,0),IFERROR(INDIRECT("'"&amp;$D$35&amp;"'!C9")&lt;1975,0)),INDIRECT("'"&amp;$D$35&amp;"'!GO_2024"),0)
+IF(AND(IFERROR(INDIRECT("'"&amp;$D$36&amp;"'!C9")&gt;1964,0),IFERROR(INDIRECT("'"&amp;$D$36&amp;"'!C9")&lt;1975,0)),INDIRECT("'"&amp;$D$36&amp;"'!GO_2024"),0)
+IF(AND(IFERROR(INDIRECT("'"&amp;$D$37&amp;"'!C9")&gt;1964,0),IFERROR(INDIRECT("'"&amp;$D$37&amp;"'!C9")&lt;1975,0)),INDIRECT("'"&amp;$D$37&amp;"'!GO_2024"),0)
+IF(AND(IFERROR(INDIRECT("'"&amp;$D$38&amp;"'!C9")&gt;1964,0),IFERROR(INDIRECT("'"&amp;$D$38&amp;"'!C9")&lt;1975,0)),INDIRECT("'"&amp;$D$38&amp;"'!GO_2024"),0)
+IF(AND(IFERROR(INDIRECT("'"&amp;$D$39&amp;"'!C9")&gt;1964,0),IFERROR(INDIRECT("'"&amp;$D$39&amp;"'!C9")&lt;1975,0)),INDIRECT("'"&amp;$D$39&amp;"'!GO_2024"),0)
+IF(AND(IFERROR(INDIRECT("'"&amp;$D$40&amp;"'!C9")&gt;1964,0),IFERROR(INDIRECT("'"&amp;$D$40&amp;"'!C9")&lt;1975,0)),INDIRECT("'"&amp;$D$40&amp;"'!GO_2024"),0)
+IF(AND(IFERROR(INDIRECT("'"&amp;$D$41&amp;"'!C9")&gt;1964,0),IFERROR(INDIRECT("'"&amp;$D$41&amp;"'!C9")&lt;1975,0)),INDIRECT("'"&amp;$D$41&amp;"'!GO_2024"),0)
+IF(AND(IFERROR(INDIRECT("'"&amp;$D$42&amp;"'!C9")&gt;1964,0),IFERROR(INDIRECT("'"&amp;$D$42&amp;"'!C9")&lt;1975,0)),INDIRECT("'"&amp;$D$42&amp;"'!GO_2024"),0)
+IF(AND(IFERROR(INDIRECT("'"&amp;$D$43&amp;"'!C9")&gt;1964,0),IFERROR(INDIRECT("'"&amp;$D$43&amp;"'!C9")&lt;1975,0)),INDIRECT("'"&amp;$D$43&amp;"'!GO_2024"),0)
+IF(AND(IFERROR(INDIRECT("'"&amp;$D$44&amp;"'!C9")&gt;1964,0),IFERROR(INDIRECT("'"&amp;$D$44&amp;"'!C9")&lt;1975,0)),INDIRECT("'"&amp;$D$44&amp;"'!GO_2024"),0)
+IF(AND(IFERROR(INDIRECT("'"&amp;$D$45&amp;"'!C9")&gt;1964,0),IFERROR(INDIRECT("'"&amp;$D$45&amp;"'!C9")&lt;1975,0)),INDIRECT("'"&amp;$D$45&amp;"'!GO_2024"),0)
+IF(AND(IFERROR(INDIRECT("'"&amp;$D$46&amp;"'!C9")&gt;1964,0),IFERROR(INDIRECT("'"&amp;$D$46&amp;"'!C9")&lt;1975,0)),INDIRECT("'"&amp;$D$46&amp;"'!GO_2024"),0)
+IF(AND(IFERROR(INDIRECT("'"&amp;$D$47&amp;"'!C9")&gt;1964,0),IFERROR(INDIRECT("'"&amp;$D$47&amp;"'!C9")&lt;1975,0)),INDIRECT("'"&amp;$D$47&amp;"'!GO_2024"),0)
+IF(AND(IFERROR(INDIRECT("'"&amp;$D$48&amp;"'!C9")&gt;1964,0),IFERROR(INDIRECT("'"&amp;$D$48&amp;"'!C9")&lt;1975,0)),INDIRECT("'"&amp;$D$48&amp;"'!GO_2024"),0)
+IF(AND(IFERROR(INDIRECT("'"&amp;$D$49&amp;"'!C9")&gt;1964,0),IFERROR(INDIRECT("'"&amp;$D$49&amp;"'!C9")&lt;1975,0)),INDIRECT("'"&amp;$D$49&amp;"'!GO_2024"),0)
+IF(AND(IFERROR(INDIRECT("'"&amp;$D$50&amp;"'!C9")&gt;1964,0),IFERROR(INDIRECT("'"&amp;$D$50&amp;"'!C9")&lt;1975,0)),INDIRECT("'"&amp;$D$50&amp;"'!GO_2024"),0)
+IF(AND(IFERROR(INDIRECT("'"&amp;$D$51&amp;"'!C9")&gt;1964,0),IFERROR(INDIRECT("'"&amp;$D$51&amp;"'!C9")&lt;1975,0)),INDIRECT("'"&amp;$D$51&amp;"'!GO_2024"),0)
+IF(AND(IFERROR(INDIRECT("'"&amp;$D$52&amp;"'!C9")&gt;1964,0),IFERROR(INDIRECT("'"&amp;$D$52&amp;"'!C9")&lt;1975,0)),INDIRECT("'"&amp;$D$52&amp;"'!GO_2024"),0)
+IF(AND(IFERROR(INDIRECT("'"&amp;$D$53&amp;"'!C9")&gt;1964,0),IFERROR(INDIRECT("'"&amp;$D$53&amp;"'!C9")&lt;1975,0)),INDIRECT("'"&amp;$D$53&amp;"'!GO_2024"),0)
+IF(AND(IFERROR(INDIRECT("'"&amp;$D$54&amp;"'!C9")&gt;1964,0),IFERROR(INDIRECT("'"&amp;$D$54&amp;"'!C9")&lt;1975,0)),INDIRECT("'"&amp;$D$54&amp;"'!GO_2024"),0)</f>
        <v>0</v>
      </c>
      <c r="O25" s="321">
        <f ca="1">IF(AND(IFERROR(INDIRECT("'"&amp;$D$5&amp;"'!C9")&gt;1964,0),IFERROR(INDIRECT("'"&amp;$D$5&amp;"'!C9")&lt;1975,0)),INDIRECT("'"&amp;$D$5&amp;"'!GO_2025"),0)
+IF(AND(IFERROR(INDIRECT("'"&amp;$D$6&amp;"'!C9")&gt;1964,0),IFERROR(INDIRECT("'"&amp;$D$6&amp;"'!C9")&lt;1975,0)),INDIRECT("'"&amp;$D$6&amp;"'!GO_2025"),0)
+IF(AND(IFERROR(INDIRECT("'"&amp;$D$7&amp;"'!C9")&gt;1964,0),IFERROR(INDIRECT("'"&amp;$D$7&amp;"'!C9")&lt;1975,0)),INDIRECT("'"&amp;$D$7&amp;"'!GO_2025"),0)
+IF(AND(IFERROR(INDIRECT("'"&amp;$D$8&amp;"'!C9")&gt;1964,0),IFERROR(INDIRECT("'"&amp;$D$8&amp;"'!C9")&lt;1975,0)),INDIRECT("'"&amp;$D$8&amp;"'!GO_2025"),0)
+IF(AND(IFERROR(INDIRECT("'"&amp;$D$9&amp;"'!C9")&gt;1964,0),IFERROR(INDIRECT("'"&amp;$D$9&amp;"'!C9")&lt;1975,0)),INDIRECT("'"&amp;$D$9&amp;"'!GO_2025"),0)
+IF(AND(IFERROR(INDIRECT("'"&amp;$D$10&amp;"'!C9")&gt;1964,0),IFERROR(INDIRECT("'"&amp;$D$10&amp;"'!C9")&lt;1975,0)),INDIRECT("'"&amp;$D$10&amp;"'!GO_2025"),0)
+IF(AND(IFERROR(INDIRECT("'"&amp;$D$11&amp;"'!C9")&gt;1964,0),IFERROR(INDIRECT("'"&amp;$D$11&amp;"'!C9")&lt;1975,0)),INDIRECT("'"&amp;$D$11&amp;"'!GO_2025"),0)
+IF(AND(IFERROR(INDIRECT("'"&amp;$D$12&amp;"'!C9")&gt;1964,0),IFERROR(INDIRECT("'"&amp;$D$12&amp;"'!C9")&lt;1975,0)),INDIRECT("'"&amp;$D$12&amp;"'!GO_2025"),0)
+IF(AND(IFERROR(INDIRECT("'"&amp;$D$13&amp;"'!C9")&gt;1964,0),IFERROR(INDIRECT("'"&amp;$D$13&amp;"'!C9")&lt;1975,0)),INDIRECT("'"&amp;$D$13&amp;"'!GO_2025"),0)
+IF(AND(IFERROR(INDIRECT("'"&amp;$D$14&amp;"'!C9")&gt;1964,0),IFERROR(INDIRECT("'"&amp;$D$14&amp;"'!C9")&lt;1975,0)),INDIRECT("'"&amp;$D$14&amp;"'!GO_2025"),0)
+IF(AND(IFERROR(INDIRECT("'"&amp;$D$15&amp;"'!C9")&gt;1964,0),IFERROR(INDIRECT("'"&amp;$D$15&amp;"'!C9")&lt;1975,0)),INDIRECT("'"&amp;$D$15&amp;"'!GO_2025"),0)
+IF(AND(IFERROR(INDIRECT("'"&amp;$D$16&amp;"'!C9")&gt;1964,0),IFERROR(INDIRECT("'"&amp;$D$16&amp;"'!C9")&lt;1975,0)),INDIRECT("'"&amp;$D$16&amp;"'!GO_2025"),0)
+IF(AND(IFERROR(INDIRECT("'"&amp;$D$17&amp;"'!C9")&gt;1964,0),IFERROR(INDIRECT("'"&amp;$D$17&amp;"'!C9")&lt;1975,0)),INDIRECT("'"&amp;$D$17&amp;"'!GO_2025"),0)
+IF(AND(IFERROR(INDIRECT("'"&amp;$D$18&amp;"'!C9")&gt;1964,0),IFERROR(INDIRECT("'"&amp;$D$18&amp;"'!C9")&lt;1975,0)),INDIRECT("'"&amp;$D$18&amp;"'!GO_2025"),0)
+IF(AND(IFERROR(INDIRECT("'"&amp;$D$19&amp;"'!C9")&gt;1964,0),IFERROR(INDIRECT("'"&amp;$D$19&amp;"'!C9")&lt;1975,0)),INDIRECT("'"&amp;$D$19&amp;"'!GO_2025"),0)
+IF(AND(IFERROR(INDIRECT("'"&amp;$D$20&amp;"'!C9")&gt;1964,0),IFERROR(INDIRECT("'"&amp;$D$20&amp;"'!C9")&lt;1975,0)),INDIRECT("'"&amp;$D$20&amp;"'!GO_2025"),0)
+IF(AND(IFERROR(INDIRECT("'"&amp;$D$21&amp;"'!C9")&gt;1964,0),IFERROR(INDIRECT("'"&amp;$D$21&amp;"'!C9")&lt;1975,0)),INDIRECT("'"&amp;$D$21&amp;"'!GO_2025"),0)
+IF(AND(IFERROR(INDIRECT("'"&amp;$D$22&amp;"'!C9")&gt;1964,0),IFERROR(INDIRECT("'"&amp;$D$22&amp;"'!C9")&lt;1975,0)),INDIRECT("'"&amp;$D$22&amp;"'!GO_2025"),0)
+IF(AND(IFERROR(INDIRECT("'"&amp;$D$23&amp;"'!C9")&gt;1964,0),IFERROR(INDIRECT("'"&amp;$D$23&amp;"'!C9")&lt;1975,0)),INDIRECT("'"&amp;$D$23&amp;"'!GO_2025"),0)
+IF(AND(IFERROR(INDIRECT("'"&amp;$D$24&amp;"'!C9")&gt;1964,0),IFERROR(INDIRECT("'"&amp;$D$24&amp;"'!C9")&lt;1975,0)),INDIRECT("'"&amp;$D$24&amp;"'!GO_2025"),0)
+IF(AND(IFERROR(INDIRECT("'"&amp;$D$25&amp;"'!C9")&gt;1964,0),IFERROR(INDIRECT("'"&amp;$D$25&amp;"'!C9")&lt;1975,0)),INDIRECT("'"&amp;$D$25&amp;"'!GO_2025"),0)
+IF(AND(IFERROR(INDIRECT("'"&amp;$D$26&amp;"'!C9")&gt;1964,0),IFERROR(INDIRECT("'"&amp;$D$26&amp;"'!C9")&lt;1975,0)),INDIRECT("'"&amp;$D$26&amp;"'!GO_2025"),0)
+IF(AND(IFERROR(INDIRECT("'"&amp;$D$27&amp;"'!C9")&gt;1964,0),IFERROR(INDIRECT("'"&amp;$D$27&amp;"'!C9")&lt;1975,0)),INDIRECT("'"&amp;$D$27&amp;"'!GO_2025"),0)
+IF(AND(IFERROR(INDIRECT("'"&amp;$D$28&amp;"'!C9")&gt;1964,0),IFERROR(INDIRECT("'"&amp;$D$28&amp;"'!C9")&lt;1975,0)),INDIRECT("'"&amp;$D$28&amp;"'!GO_2025"),0)
+IF(AND(IFERROR(INDIRECT("'"&amp;$D$29&amp;"'!C9")&gt;1964,0),IFERROR(INDIRECT("'"&amp;$D$29&amp;"'!C9")&lt;1975,0)),INDIRECT("'"&amp;$D$29&amp;"'!GO_2025"),0)
+IF(AND(IFERROR(INDIRECT("'"&amp;$D$30&amp;"'!C9")&gt;1964,0),IFERROR(INDIRECT("'"&amp;$D$30&amp;"'!C9")&lt;1975,0)),INDIRECT("'"&amp;$D$30&amp;"'!GO_2025"),0)
+IF(AND(IFERROR(INDIRECT("'"&amp;$D$31&amp;"'!C9")&gt;1964,0),IFERROR(INDIRECT("'"&amp;$D$31&amp;"'!C9")&lt;1975,0)),INDIRECT("'"&amp;$D$31&amp;"'!GO_2025"),0)
+IF(AND(IFERROR(INDIRECT("'"&amp;$D$32&amp;"'!C9")&gt;1964,0),IFERROR(INDIRECT("'"&amp;$D$32&amp;"'!C9")&lt;1975,0)),INDIRECT("'"&amp;$D$32&amp;"'!GO_2025"),0)
+IF(AND(IFERROR(INDIRECT("'"&amp;$D$33&amp;"'!C9")&gt;1964,0),IFERROR(INDIRECT("'"&amp;$D$33&amp;"'!C9")&lt;1975,0)),INDIRECT("'"&amp;$D$33&amp;"'!GO_2025"),0)
+IF(AND(IFERROR(INDIRECT("'"&amp;$D$34&amp;"'!C9")&gt;1964,0),IFERROR(INDIRECT("'"&amp;$D$34&amp;"'!C9")&lt;1975,0)),INDIRECT("'"&amp;$D$34&amp;"'!GO_2025"),0)
+IF(AND(IFERROR(INDIRECT("'"&amp;$D$35&amp;"'!C9")&gt;1964,0),IFERROR(INDIRECT("'"&amp;$D$35&amp;"'!C9")&lt;1975,0)),INDIRECT("'"&amp;$D$35&amp;"'!GO_2025"),0)
+IF(AND(IFERROR(INDIRECT("'"&amp;$D$36&amp;"'!C9")&gt;1964,0),IFERROR(INDIRECT("'"&amp;$D$36&amp;"'!C9")&lt;1975,0)),INDIRECT("'"&amp;$D$36&amp;"'!GO_2025"),0)
+IF(AND(IFERROR(INDIRECT("'"&amp;$D$37&amp;"'!C9")&gt;1964,0),IFERROR(INDIRECT("'"&amp;$D$37&amp;"'!C9")&lt;1975,0)),INDIRECT("'"&amp;$D$37&amp;"'!GO_2025"),0)
+IF(AND(IFERROR(INDIRECT("'"&amp;$D$38&amp;"'!C9")&gt;1964,0),IFERROR(INDIRECT("'"&amp;$D$38&amp;"'!C9")&lt;1975,0)),INDIRECT("'"&amp;$D$38&amp;"'!GO_2025"),0)
+IF(AND(IFERROR(INDIRECT("'"&amp;$D$39&amp;"'!C9")&gt;1964,0),IFERROR(INDIRECT("'"&amp;$D$39&amp;"'!C9")&lt;1975,0)),INDIRECT("'"&amp;$D$39&amp;"'!GO_2025"),0)
+IF(AND(IFERROR(INDIRECT("'"&amp;$D$40&amp;"'!C9")&gt;1964,0),IFERROR(INDIRECT("'"&amp;$D$40&amp;"'!C9")&lt;1975,0)),INDIRECT("'"&amp;$D$40&amp;"'!GO_2025"),0)
+IF(AND(IFERROR(INDIRECT("'"&amp;$D$41&amp;"'!C9")&gt;1964,0),IFERROR(INDIRECT("'"&amp;$D$41&amp;"'!C9")&lt;1975,0)),INDIRECT("'"&amp;$D$41&amp;"'!GO_2025"),0)
+IF(AND(IFERROR(INDIRECT("'"&amp;$D$42&amp;"'!C9")&gt;1964,0),IFERROR(INDIRECT("'"&amp;$D$42&amp;"'!C9")&lt;1975,0)),INDIRECT("'"&amp;$D$42&amp;"'!GO_2025"),0)
+IF(AND(IFERROR(INDIRECT("'"&amp;$D$43&amp;"'!C9")&gt;1964,0),IFERROR(INDIRECT("'"&amp;$D$43&amp;"'!C9")&lt;1975,0)),INDIRECT("'"&amp;$D$43&amp;"'!GO_2025"),0)
+IF(AND(IFERROR(INDIRECT("'"&amp;$D$44&amp;"'!C9")&gt;1964,0),IFERROR(INDIRECT("'"&amp;$D$44&amp;"'!C9")&lt;1975,0)),INDIRECT("'"&amp;$D$44&amp;"'!GO_2025"),0)
+IF(AND(IFERROR(INDIRECT("'"&amp;$D$45&amp;"'!C9")&gt;1964,0),IFERROR(INDIRECT("'"&amp;$D$45&amp;"'!C9")&lt;1975,0)),INDIRECT("'"&amp;$D$45&amp;"'!GO_2025"),0)
+IF(AND(IFERROR(INDIRECT("'"&amp;$D$46&amp;"'!C9")&gt;1964,0),IFERROR(INDIRECT("'"&amp;$D$46&amp;"'!C9")&lt;1975,0)),INDIRECT("'"&amp;$D$46&amp;"'!GO_2025"),0)
+IF(AND(IFERROR(INDIRECT("'"&amp;$D$47&amp;"'!C9")&gt;1964,0),IFERROR(INDIRECT("'"&amp;$D$47&amp;"'!C9")&lt;1975,0)),INDIRECT("'"&amp;$D$47&amp;"'!GO_2025"),0)
+IF(AND(IFERROR(INDIRECT("'"&amp;$D$48&amp;"'!C9")&gt;1964,0),IFERROR(INDIRECT("'"&amp;$D$48&amp;"'!C9")&lt;1975,0)),INDIRECT("'"&amp;$D$48&amp;"'!GO_2025"),0)
+IF(AND(IFERROR(INDIRECT("'"&amp;$D$49&amp;"'!C9")&gt;1964,0),IFERROR(INDIRECT("'"&amp;$D$49&amp;"'!C9")&lt;1975,0)),INDIRECT("'"&amp;$D$49&amp;"'!GO_2025"),0)
+IF(AND(IFERROR(INDIRECT("'"&amp;$D$50&amp;"'!C9")&gt;1964,0),IFERROR(INDIRECT("'"&amp;$D$50&amp;"'!C9")&lt;1975,0)),INDIRECT("'"&amp;$D$50&amp;"'!GO_2025"),0)
+IF(AND(IFERROR(INDIRECT("'"&amp;$D$51&amp;"'!C9")&gt;1964,0),IFERROR(INDIRECT("'"&amp;$D$51&amp;"'!C9")&lt;1975,0)),INDIRECT("'"&amp;$D$51&amp;"'!GO_2025"),0)
+IF(AND(IFERROR(INDIRECT("'"&amp;$D$52&amp;"'!C9")&gt;1964,0),IFERROR(INDIRECT("'"&amp;$D$52&amp;"'!C9")&lt;1975,0)),INDIRECT("'"&amp;$D$52&amp;"'!GO_2025"),0)
+IF(AND(IFERROR(INDIRECT("'"&amp;$D$53&amp;"'!C9")&gt;1964,0),IFERROR(INDIRECT("'"&amp;$D$53&amp;"'!C9")&lt;1975,0)),INDIRECT("'"&amp;$D$53&amp;"'!GO_2025"),0)
+IF(AND(IFERROR(INDIRECT("'"&amp;$D$54&amp;"'!C9")&gt;1964,0),IFERROR(INDIRECT("'"&amp;$D$54&amp;"'!C9")&lt;1975,0)),INDIRECT("'"&amp;$D$54&amp;"'!GO_2025"),0)</f>
        <v>0</v>
      </c>
      <c r="P25" s="321">
        <f ca="1">IF(AND(IFERROR(INDIRECT("'"&amp;$D$5&amp;"'!C9")&gt;1964,0),IFERROR(INDIRECT("'"&amp;$D$5&amp;"'!C9")&lt;1975,0)),INDIRECT("'"&amp;$D$5&amp;"'!GO_2026"),0)
+IF(AND(IFERROR(INDIRECT("'"&amp;$D$6&amp;"'!C9")&gt;1964,0),IFERROR(INDIRECT("'"&amp;$D$6&amp;"'!C9")&lt;1975,0)),INDIRECT("'"&amp;$D$6&amp;"'!GO_2026"),0)
+IF(AND(IFERROR(INDIRECT("'"&amp;$D$7&amp;"'!C9")&gt;1964,0),IFERROR(INDIRECT("'"&amp;$D$7&amp;"'!C9")&lt;1975,0)),INDIRECT("'"&amp;$D$7&amp;"'!GO_2026"),0)
+IF(AND(IFERROR(INDIRECT("'"&amp;$D$8&amp;"'!C9")&gt;1964,0),IFERROR(INDIRECT("'"&amp;$D$8&amp;"'!C9")&lt;1975,0)),INDIRECT("'"&amp;$D$8&amp;"'!GO_2026"),0)
+IF(AND(IFERROR(INDIRECT("'"&amp;$D$9&amp;"'!C9")&gt;1964,0),IFERROR(INDIRECT("'"&amp;$D$9&amp;"'!C9")&lt;1975,0)),INDIRECT("'"&amp;$D$9&amp;"'!GO_2026"),0)
+IF(AND(IFERROR(INDIRECT("'"&amp;$D$10&amp;"'!C9")&gt;1964,0),IFERROR(INDIRECT("'"&amp;$D$10&amp;"'!C9")&lt;1975,0)),INDIRECT("'"&amp;$D$10&amp;"'!GO_2026"),0)
+IF(AND(IFERROR(INDIRECT("'"&amp;$D$11&amp;"'!C9")&gt;1964,0),IFERROR(INDIRECT("'"&amp;$D$11&amp;"'!C9")&lt;1975,0)),INDIRECT("'"&amp;$D$11&amp;"'!GO_2026"),0)
+IF(AND(IFERROR(INDIRECT("'"&amp;$D$12&amp;"'!C9")&gt;1964,0),IFERROR(INDIRECT("'"&amp;$D$12&amp;"'!C9")&lt;1975,0)),INDIRECT("'"&amp;$D$12&amp;"'!GO_2026"),0)
+IF(AND(IFERROR(INDIRECT("'"&amp;$D$13&amp;"'!C9")&gt;1964,0),IFERROR(INDIRECT("'"&amp;$D$13&amp;"'!C9")&lt;1975,0)),INDIRECT("'"&amp;$D$13&amp;"'!GO_2026"),0)
+IF(AND(IFERROR(INDIRECT("'"&amp;$D$14&amp;"'!C9")&gt;1964,0),IFERROR(INDIRECT("'"&amp;$D$14&amp;"'!C9")&lt;1975,0)),INDIRECT("'"&amp;$D$14&amp;"'!GO_2026"),0)
+IF(AND(IFERROR(INDIRECT("'"&amp;$D$15&amp;"'!C9")&gt;1964,0),IFERROR(INDIRECT("'"&amp;$D$15&amp;"'!C9")&lt;1975,0)),INDIRECT("'"&amp;$D$15&amp;"'!GO_2026"),0)
+IF(AND(IFERROR(INDIRECT("'"&amp;$D$16&amp;"'!C9")&gt;1964,0),IFERROR(INDIRECT("'"&amp;$D$16&amp;"'!C9")&lt;1975,0)),INDIRECT("'"&amp;$D$16&amp;"'!GO_2026"),0)
+IF(AND(IFERROR(INDIRECT("'"&amp;$D$17&amp;"'!C9")&gt;1964,0),IFERROR(INDIRECT("'"&amp;$D$17&amp;"'!C9")&lt;1975,0)),INDIRECT("'"&amp;$D$17&amp;"'!GO_2026"),0)
+IF(AND(IFERROR(INDIRECT("'"&amp;$D$18&amp;"'!C9")&gt;1964,0),IFERROR(INDIRECT("'"&amp;$D$18&amp;"'!C9")&lt;1975,0)),INDIRECT("'"&amp;$D$18&amp;"'!GO_2026"),0)
+IF(AND(IFERROR(INDIRECT("'"&amp;$D$19&amp;"'!C9")&gt;1964,0),IFERROR(INDIRECT("'"&amp;$D$19&amp;"'!C9")&lt;1975,0)),INDIRECT("'"&amp;$D$19&amp;"'!GO_2026"),0)
+IF(AND(IFERROR(INDIRECT("'"&amp;$D$20&amp;"'!C9")&gt;1964,0),IFERROR(INDIRECT("'"&amp;$D$20&amp;"'!C9")&lt;1975,0)),INDIRECT("'"&amp;$D$20&amp;"'!GO_2026"),0)
+IF(AND(IFERROR(INDIRECT("'"&amp;$D$21&amp;"'!C9")&gt;1964,0),IFERROR(INDIRECT("'"&amp;$D$21&amp;"'!C9")&lt;1975,0)),INDIRECT("'"&amp;$D$21&amp;"'!GO_2026"),0)
+IF(AND(IFERROR(INDIRECT("'"&amp;$D$22&amp;"'!C9")&gt;1964,0),IFERROR(INDIRECT("'"&amp;$D$22&amp;"'!C9")&lt;1975,0)),INDIRECT("'"&amp;$D$22&amp;"'!GO_2026"),0)
+IF(AND(IFERROR(INDIRECT("'"&amp;$D$23&amp;"'!C9")&gt;1964,0),IFERROR(INDIRECT("'"&amp;$D$23&amp;"'!C9")&lt;1975,0)),INDIRECT("'"&amp;$D$23&amp;"'!GO_2026"),0)
+IF(AND(IFERROR(INDIRECT("'"&amp;$D$24&amp;"'!C9")&gt;1964,0),IFERROR(INDIRECT("'"&amp;$D$24&amp;"'!C9")&lt;1975,0)),INDIRECT("'"&amp;$D$24&amp;"'!GO_2026"),0)
+IF(AND(IFERROR(INDIRECT("'"&amp;$D$25&amp;"'!C9")&gt;1964,0),IFERROR(INDIRECT("'"&amp;$D$25&amp;"'!C9")&lt;1975,0)),INDIRECT("'"&amp;$D$25&amp;"'!GO_2026"),0)
+IF(AND(IFERROR(INDIRECT("'"&amp;$D$26&amp;"'!C9")&gt;1964,0),IFERROR(INDIRECT("'"&amp;$D$26&amp;"'!C9")&lt;1975,0)),INDIRECT("'"&amp;$D$26&amp;"'!GO_2026"),0)
+IF(AND(IFERROR(INDIRECT("'"&amp;$D$27&amp;"'!C9")&gt;1964,0),IFERROR(INDIRECT("'"&amp;$D$27&amp;"'!C9")&lt;1975,0)),INDIRECT("'"&amp;$D$27&amp;"'!GO_2026"),0)
+IF(AND(IFERROR(INDIRECT("'"&amp;$D$28&amp;"'!C9")&gt;1964,0),IFERROR(INDIRECT("'"&amp;$D$28&amp;"'!C9")&lt;1975,0)),INDIRECT("'"&amp;$D$28&amp;"'!GO_2026"),0)
+IF(AND(IFERROR(INDIRECT("'"&amp;$D$29&amp;"'!C9")&gt;1964,0),IFERROR(INDIRECT("'"&amp;$D$29&amp;"'!C9")&lt;1975,0)),INDIRECT("'"&amp;$D$29&amp;"'!GO_2026"),0)
+IF(AND(IFERROR(INDIRECT("'"&amp;$D$30&amp;"'!C9")&gt;1964,0),IFERROR(INDIRECT("'"&amp;$D$30&amp;"'!C9")&lt;1975,0)),INDIRECT("'"&amp;$D$30&amp;"'!GO_2026"),0)
+IF(AND(IFERROR(INDIRECT("'"&amp;$D$31&amp;"'!C9")&gt;1964,0),IFERROR(INDIRECT("'"&amp;$D$31&amp;"'!C9")&lt;1975,0)),INDIRECT("'"&amp;$D$31&amp;"'!GO_2026"),0)
+IF(AND(IFERROR(INDIRECT("'"&amp;$D$32&amp;"'!C9")&gt;1964,0),IFERROR(INDIRECT("'"&amp;$D$32&amp;"'!C9")&lt;1975,0)),INDIRECT("'"&amp;$D$32&amp;"'!GO_2026"),0)
+IF(AND(IFERROR(INDIRECT("'"&amp;$D$33&amp;"'!C9")&gt;1964,0),IFERROR(INDIRECT("'"&amp;$D$33&amp;"'!C9")&lt;1975,0)),INDIRECT("'"&amp;$D$33&amp;"'!GO_2026"),0)
+IF(AND(IFERROR(INDIRECT("'"&amp;$D$34&amp;"'!C9")&gt;1964,0),IFERROR(INDIRECT("'"&amp;$D$34&amp;"'!C9")&lt;1975,0)),INDIRECT("'"&amp;$D$34&amp;"'!GO_2026"),0)
+IF(AND(IFERROR(INDIRECT("'"&amp;$D$35&amp;"'!C9")&gt;1964,0),IFERROR(INDIRECT("'"&amp;$D$35&amp;"'!C9")&lt;1975,0)),INDIRECT("'"&amp;$D$35&amp;"'!GO_2026"),0)
+IF(AND(IFERROR(INDIRECT("'"&amp;$D$36&amp;"'!C9")&gt;1964,0),IFERROR(INDIRECT("'"&amp;$D$36&amp;"'!C9")&lt;1975,0)),INDIRECT("'"&amp;$D$36&amp;"'!GO_2026"),0)
+IF(AND(IFERROR(INDIRECT("'"&amp;$D$37&amp;"'!C9")&gt;1964,0),IFERROR(INDIRECT("'"&amp;$D$37&amp;"'!C9")&lt;1975,0)),INDIRECT("'"&amp;$D$37&amp;"'!GO_2026"),0)
+IF(AND(IFERROR(INDIRECT("'"&amp;$D$38&amp;"'!C9")&gt;1964,0),IFERROR(INDIRECT("'"&amp;$D$38&amp;"'!C9")&lt;1975,0)),INDIRECT("'"&amp;$D$38&amp;"'!GO_2026"),0)
+IF(AND(IFERROR(INDIRECT("'"&amp;$D$39&amp;"'!C9")&gt;1964,0),IFERROR(INDIRECT("'"&amp;$D$39&amp;"'!C9")&lt;1975,0)),INDIRECT("'"&amp;$D$39&amp;"'!GO_2026"),0)
+IF(AND(IFERROR(INDIRECT("'"&amp;$D$40&amp;"'!C9")&gt;1964,0),IFERROR(INDIRECT("'"&amp;$D$40&amp;"'!C9")&lt;1975,0)),INDIRECT("'"&amp;$D$40&amp;"'!GO_2026"),0)
+IF(AND(IFERROR(INDIRECT("'"&amp;$D$41&amp;"'!C9")&gt;1964,0),IFERROR(INDIRECT("'"&amp;$D$41&amp;"'!C9")&lt;1975,0)),INDIRECT("'"&amp;$D$41&amp;"'!GO_2026"),0)
+IF(AND(IFERROR(INDIRECT("'"&amp;$D$42&amp;"'!C9")&gt;1964,0),IFERROR(INDIRECT("'"&amp;$D$42&amp;"'!C9")&lt;1975,0)),INDIRECT("'"&amp;$D$42&amp;"'!GO_2026"),0)
+IF(AND(IFERROR(INDIRECT("'"&amp;$D$43&amp;"'!C9")&gt;1964,0),IFERROR(INDIRECT("'"&amp;$D$43&amp;"'!C9")&lt;1975,0)),INDIRECT("'"&amp;$D$43&amp;"'!GO_2026"),0)
+IF(AND(IFERROR(INDIRECT("'"&amp;$D$44&amp;"'!C9")&gt;1964,0),IFERROR(INDIRECT("'"&amp;$D$44&amp;"'!C9")&lt;1975,0)),INDIRECT("'"&amp;$D$44&amp;"'!GO_2026"),0)
+IF(AND(IFERROR(INDIRECT("'"&amp;$D$45&amp;"'!C9")&gt;1964,0),IFERROR(INDIRECT("'"&amp;$D$45&amp;"'!C9")&lt;1975,0)),INDIRECT("'"&amp;$D$45&amp;"'!GO_2026"),0)
+IF(AND(IFERROR(INDIRECT("'"&amp;$D$46&amp;"'!C9")&gt;1964,0),IFERROR(INDIRECT("'"&amp;$D$46&amp;"'!C9")&lt;1975,0)),INDIRECT("'"&amp;$D$46&amp;"'!GO_2026"),0)
+IF(AND(IFERROR(INDIRECT("'"&amp;$D$47&amp;"'!C9")&gt;1964,0),IFERROR(INDIRECT("'"&amp;$D$47&amp;"'!C9")&lt;1975,0)),INDIRECT("'"&amp;$D$47&amp;"'!GO_2026"),0)
+IF(AND(IFERROR(INDIRECT("'"&amp;$D$48&amp;"'!C9")&gt;1964,0),IFERROR(INDIRECT("'"&amp;$D$48&amp;"'!C9")&lt;1975,0)),INDIRECT("'"&amp;$D$48&amp;"'!GO_2026"),0)
+IF(AND(IFERROR(INDIRECT("'"&amp;$D$49&amp;"'!C9")&gt;1964,0),IFERROR(INDIRECT("'"&amp;$D$49&amp;"'!C9")&lt;1975,0)),INDIRECT("'"&amp;$D$49&amp;"'!GO_2026"),0)
+IF(AND(IFERROR(INDIRECT("'"&amp;$D$50&amp;"'!C9")&gt;1964,0),IFERROR(INDIRECT("'"&amp;$D$50&amp;"'!C9")&lt;1975,0)),INDIRECT("'"&amp;$D$50&amp;"'!GO_2026"),0)
+IF(AND(IFERROR(INDIRECT("'"&amp;$D$51&amp;"'!C9")&gt;1964,0),IFERROR(INDIRECT("'"&amp;$D$51&amp;"'!C9")&lt;1975,0)),INDIRECT("'"&amp;$D$51&amp;"'!GO_2026"),0)
+IF(AND(IFERROR(INDIRECT("'"&amp;$D$52&amp;"'!C9")&gt;1964,0),IFERROR(INDIRECT("'"&amp;$D$52&amp;"'!C9")&lt;1975,0)),INDIRECT("'"&amp;$D$52&amp;"'!GO_2026"),0)
+IF(AND(IFERROR(INDIRECT("'"&amp;$D$53&amp;"'!C9")&gt;1964,0),IFERROR(INDIRECT("'"&amp;$D$53&amp;"'!C9")&lt;1975,0)),INDIRECT("'"&amp;$D$53&amp;"'!GO_2026"),0)
+IF(AND(IFERROR(INDIRECT("'"&amp;$D$54&amp;"'!C9")&gt;1964,0),IFERROR(INDIRECT("'"&amp;$D$54&amp;"'!C9")&lt;1975,0)),INDIRECT("'"&amp;$D$54&amp;"'!GO_2026"),0)</f>
        <v>0</v>
      </c>
      <c r="Q25" s="321">
        <f ca="1">IF(AND(IFERROR(INDIRECT("'"&amp;$D$5&amp;"'!C9")&gt;1964,0),IFERROR(INDIRECT("'"&amp;$D$5&amp;"'!C9")&lt;1975,0)),INDIRECT("'"&amp;$D$5&amp;"'!GO_2027"),0)
+IF(AND(IFERROR(INDIRECT("'"&amp;$D$6&amp;"'!C9")&gt;1964,0),IFERROR(INDIRECT("'"&amp;$D$6&amp;"'!C9")&lt;1975,0)),INDIRECT("'"&amp;$D$6&amp;"'!GO_2027"),0)
+IF(AND(IFERROR(INDIRECT("'"&amp;$D$7&amp;"'!C9")&gt;1964,0),IFERROR(INDIRECT("'"&amp;$D$7&amp;"'!C9")&lt;1975,0)),INDIRECT("'"&amp;$D$7&amp;"'!GO_2027"),0)
+IF(AND(IFERROR(INDIRECT("'"&amp;$D$8&amp;"'!C9")&gt;1964,0),IFERROR(INDIRECT("'"&amp;$D$8&amp;"'!C9")&lt;1975,0)),INDIRECT("'"&amp;$D$8&amp;"'!GO_2027"),0)
+IF(AND(IFERROR(INDIRECT("'"&amp;$D$9&amp;"'!C9")&gt;1964,0),IFERROR(INDIRECT("'"&amp;$D$9&amp;"'!C9")&lt;1975,0)),INDIRECT("'"&amp;$D$9&amp;"'!GO_2027"),0)
+IF(AND(IFERROR(INDIRECT("'"&amp;$D$10&amp;"'!C9")&gt;1964,0),IFERROR(INDIRECT("'"&amp;$D$10&amp;"'!C9")&lt;1975,0)),INDIRECT("'"&amp;$D$10&amp;"'!GO_2027"),0)
+IF(AND(IFERROR(INDIRECT("'"&amp;$D$11&amp;"'!C9")&gt;1964,0),IFERROR(INDIRECT("'"&amp;$D$11&amp;"'!C9")&lt;1975,0)),INDIRECT("'"&amp;$D$11&amp;"'!GO_2027"),0)
+IF(AND(IFERROR(INDIRECT("'"&amp;$D$12&amp;"'!C9")&gt;1964,0),IFERROR(INDIRECT("'"&amp;$D$12&amp;"'!C9")&lt;1975,0)),INDIRECT("'"&amp;$D$12&amp;"'!GO_2027"),0)
+IF(AND(IFERROR(INDIRECT("'"&amp;$D$13&amp;"'!C9")&gt;1964,0),IFERROR(INDIRECT("'"&amp;$D$13&amp;"'!C9")&lt;1975,0)),INDIRECT("'"&amp;$D$13&amp;"'!GO_2027"),0)
+IF(AND(IFERROR(INDIRECT("'"&amp;$D$14&amp;"'!C9")&gt;1964,0),IFERROR(INDIRECT("'"&amp;$D$14&amp;"'!C9")&lt;1975,0)),INDIRECT("'"&amp;$D$14&amp;"'!GO_2027"),0)
+IF(AND(IFERROR(INDIRECT("'"&amp;$D$15&amp;"'!C9")&gt;1964,0),IFERROR(INDIRECT("'"&amp;$D$15&amp;"'!C9")&lt;1975,0)),INDIRECT("'"&amp;$D$15&amp;"'!GO_2027"),0)
+IF(AND(IFERROR(INDIRECT("'"&amp;$D$16&amp;"'!C9")&gt;1964,0),IFERROR(INDIRECT("'"&amp;$D$16&amp;"'!C9")&lt;1975,0)),INDIRECT("'"&amp;$D$16&amp;"'!GO_2027"),0)
+IF(AND(IFERROR(INDIRECT("'"&amp;$D$17&amp;"'!C9")&gt;1964,0),IFERROR(INDIRECT("'"&amp;$D$17&amp;"'!C9")&lt;1975,0)),INDIRECT("'"&amp;$D$17&amp;"'!GO_2027"),0)
+IF(AND(IFERROR(INDIRECT("'"&amp;$D$18&amp;"'!C9")&gt;1964,0),IFERROR(INDIRECT("'"&amp;$D$18&amp;"'!C9")&lt;1975,0)),INDIRECT("'"&amp;$D$18&amp;"'!GO_2027"),0)
+IF(AND(IFERROR(INDIRECT("'"&amp;$D$19&amp;"'!C9")&gt;1964,0),IFERROR(INDIRECT("'"&amp;$D$19&amp;"'!C9")&lt;1975,0)),INDIRECT("'"&amp;$D$19&amp;"'!GO_2027"),0)
+IF(AND(IFERROR(INDIRECT("'"&amp;$D$20&amp;"'!C9")&gt;1964,0),IFERROR(INDIRECT("'"&amp;$D$20&amp;"'!C9")&lt;1975,0)),INDIRECT("'"&amp;$D$20&amp;"'!GO_2027"),0)
+IF(AND(IFERROR(INDIRECT("'"&amp;$D$21&amp;"'!C9")&gt;1964,0),IFERROR(INDIRECT("'"&amp;$D$21&amp;"'!C9")&lt;1975,0)),INDIRECT("'"&amp;$D$21&amp;"'!GO_2027"),0)
+IF(AND(IFERROR(INDIRECT("'"&amp;$D$22&amp;"'!C9")&gt;1964,0),IFERROR(INDIRECT("'"&amp;$D$22&amp;"'!C9")&lt;1975,0)),INDIRECT("'"&amp;$D$22&amp;"'!GO_2027"),0)
+IF(AND(IFERROR(INDIRECT("'"&amp;$D$23&amp;"'!C9")&gt;1964,0),IFERROR(INDIRECT("'"&amp;$D$23&amp;"'!C9")&lt;1975,0)),INDIRECT("'"&amp;$D$23&amp;"'!GO_2027"),0)
+IF(AND(IFERROR(INDIRECT("'"&amp;$D$24&amp;"'!C9")&gt;1964,0),IFERROR(INDIRECT("'"&amp;$D$24&amp;"'!C9")&lt;1975,0)),INDIRECT("'"&amp;$D$24&amp;"'!GO_2027"),0)
+IF(AND(IFERROR(INDIRECT("'"&amp;$D$25&amp;"'!C9")&gt;1964,0),IFERROR(INDIRECT("'"&amp;$D$25&amp;"'!C9")&lt;1975,0)),INDIRECT("'"&amp;$D$25&amp;"'!GO_2027"),0)
+IF(AND(IFERROR(INDIRECT("'"&amp;$D$26&amp;"'!C9")&gt;1964,0),IFERROR(INDIRECT("'"&amp;$D$26&amp;"'!C9")&lt;1975,0)),INDIRECT("'"&amp;$D$26&amp;"'!GO_2027"),0)
+IF(AND(IFERROR(INDIRECT("'"&amp;$D$27&amp;"'!C9")&gt;1964,0),IFERROR(INDIRECT("'"&amp;$D$27&amp;"'!C9")&lt;1975,0)),INDIRECT("'"&amp;$D$27&amp;"'!GO_2027"),0)
+IF(AND(IFERROR(INDIRECT("'"&amp;$D$28&amp;"'!C9")&gt;1964,0),IFERROR(INDIRECT("'"&amp;$D$28&amp;"'!C9")&lt;1975,0)),INDIRECT("'"&amp;$D$28&amp;"'!GO_2027"),0)
+IF(AND(IFERROR(INDIRECT("'"&amp;$D$29&amp;"'!C9")&gt;1964,0),IFERROR(INDIRECT("'"&amp;$D$29&amp;"'!C9")&lt;1975,0)),INDIRECT("'"&amp;$D$29&amp;"'!GO_2027"),0)
+IF(AND(IFERROR(INDIRECT("'"&amp;$D$30&amp;"'!C9")&gt;1964,0),IFERROR(INDIRECT("'"&amp;$D$30&amp;"'!C9")&lt;1975,0)),INDIRECT("'"&amp;$D$30&amp;"'!GO_2027"),0)
+IF(AND(IFERROR(INDIRECT("'"&amp;$D$31&amp;"'!C9")&gt;1964,0),IFERROR(INDIRECT("'"&amp;$D$31&amp;"'!C9")&lt;1975,0)),INDIRECT("'"&amp;$D$31&amp;"'!GO_2027"),0)
+IF(AND(IFERROR(INDIRECT("'"&amp;$D$32&amp;"'!C9")&gt;1964,0),IFERROR(INDIRECT("'"&amp;$D$32&amp;"'!C9")&lt;1975,0)),INDIRECT("'"&amp;$D$32&amp;"'!GO_2027"),0)
+IF(AND(IFERROR(INDIRECT("'"&amp;$D$33&amp;"'!C9")&gt;1964,0),IFERROR(INDIRECT("'"&amp;$D$33&amp;"'!C9")&lt;1975,0)),INDIRECT("'"&amp;$D$33&amp;"'!GO_2027"),0)
+IF(AND(IFERROR(INDIRECT("'"&amp;$D$34&amp;"'!C9")&gt;1964,0),IFERROR(INDIRECT("'"&amp;$D$34&amp;"'!C9")&lt;1975,0)),INDIRECT("'"&amp;$D$34&amp;"'!GO_2027"),0)
+IF(AND(IFERROR(INDIRECT("'"&amp;$D$35&amp;"'!C9")&gt;1964,0),IFERROR(INDIRECT("'"&amp;$D$35&amp;"'!C9")&lt;1975,0)),INDIRECT("'"&amp;$D$35&amp;"'!GO_2027"),0)
+IF(AND(IFERROR(INDIRECT("'"&amp;$D$36&amp;"'!C9")&gt;1964,0),IFERROR(INDIRECT("'"&amp;$D$36&amp;"'!C9")&lt;1975,0)),INDIRECT("'"&amp;$D$36&amp;"'!GO_2027"),0)
+IF(AND(IFERROR(INDIRECT("'"&amp;$D$37&amp;"'!C9")&gt;1964,0),IFERROR(INDIRECT("'"&amp;$D$37&amp;"'!C9")&lt;1975,0)),INDIRECT("'"&amp;$D$37&amp;"'!GO_2027"),0)
+IF(AND(IFERROR(INDIRECT("'"&amp;$D$38&amp;"'!C9")&gt;1964,0),IFERROR(INDIRECT("'"&amp;$D$38&amp;"'!C9")&lt;1975,0)),INDIRECT("'"&amp;$D$38&amp;"'!GO_2027"),0)
+IF(AND(IFERROR(INDIRECT("'"&amp;$D$39&amp;"'!C9")&gt;1964,0),IFERROR(INDIRECT("'"&amp;$D$39&amp;"'!C9")&lt;1975,0)),INDIRECT("'"&amp;$D$39&amp;"'!GO_2027"),0)
+IF(AND(IFERROR(INDIRECT("'"&amp;$D$40&amp;"'!C9")&gt;1964,0),IFERROR(INDIRECT("'"&amp;$D$40&amp;"'!C9")&lt;1975,0)),INDIRECT("'"&amp;$D$40&amp;"'!GO_2027"),0)
+IF(AND(IFERROR(INDIRECT("'"&amp;$D$41&amp;"'!C9")&gt;1964,0),IFERROR(INDIRECT("'"&amp;$D$41&amp;"'!C9")&lt;1975,0)),INDIRECT("'"&amp;$D$41&amp;"'!GO_2027"),0)
+IF(AND(IFERROR(INDIRECT("'"&amp;$D$42&amp;"'!C9")&gt;1964,0),IFERROR(INDIRECT("'"&amp;$D$42&amp;"'!C9")&lt;1975,0)),INDIRECT("'"&amp;$D$42&amp;"'!GO_2027"),0)
+IF(AND(IFERROR(INDIRECT("'"&amp;$D$43&amp;"'!C9")&gt;1964,0),IFERROR(INDIRECT("'"&amp;$D$43&amp;"'!C9")&lt;1975,0)),INDIRECT("'"&amp;$D$43&amp;"'!GO_2027"),0)
+IF(AND(IFERROR(INDIRECT("'"&amp;$D$44&amp;"'!C9")&gt;1964,0),IFERROR(INDIRECT("'"&amp;$D$44&amp;"'!C9")&lt;1975,0)),INDIRECT("'"&amp;$D$44&amp;"'!GO_2027"),0)
+IF(AND(IFERROR(INDIRECT("'"&amp;$D$45&amp;"'!C9")&gt;1964,0),IFERROR(INDIRECT("'"&amp;$D$45&amp;"'!C9")&lt;1975,0)),INDIRECT("'"&amp;$D$45&amp;"'!GO_2027"),0)
+IF(AND(IFERROR(INDIRECT("'"&amp;$D$46&amp;"'!C9")&gt;1964,0),IFERROR(INDIRECT("'"&amp;$D$46&amp;"'!C9")&lt;1975,0)),INDIRECT("'"&amp;$D$46&amp;"'!GO_2027"),0)
+IF(AND(IFERROR(INDIRECT("'"&amp;$D$47&amp;"'!C9")&gt;1964,0),IFERROR(INDIRECT("'"&amp;$D$47&amp;"'!C9")&lt;1975,0)),INDIRECT("'"&amp;$D$47&amp;"'!GO_2027"),0)
+IF(AND(IFERROR(INDIRECT("'"&amp;$D$48&amp;"'!C9")&gt;1964,0),IFERROR(INDIRECT("'"&amp;$D$48&amp;"'!C9")&lt;1975,0)),INDIRECT("'"&amp;$D$48&amp;"'!GO_2027"),0)
+IF(AND(IFERROR(INDIRECT("'"&amp;$D$49&amp;"'!C9")&gt;1964,0),IFERROR(INDIRECT("'"&amp;$D$49&amp;"'!C9")&lt;1975,0)),INDIRECT("'"&amp;$D$49&amp;"'!GO_2027"),0)
+IF(AND(IFERROR(INDIRECT("'"&amp;$D$50&amp;"'!C9")&gt;1964,0),IFERROR(INDIRECT("'"&amp;$D$50&amp;"'!C9")&lt;1975,0)),INDIRECT("'"&amp;$D$50&amp;"'!GO_2027"),0)
+IF(AND(IFERROR(INDIRECT("'"&amp;$D$51&amp;"'!C9")&gt;1964,0),IFERROR(INDIRECT("'"&amp;$D$51&amp;"'!C9")&lt;1975,0)),INDIRECT("'"&amp;$D$51&amp;"'!GO_2027"),0)
+IF(AND(IFERROR(INDIRECT("'"&amp;$D$52&amp;"'!C9")&gt;1964,0),IFERROR(INDIRECT("'"&amp;$D$52&amp;"'!C9")&lt;1975,0)),INDIRECT("'"&amp;$D$52&amp;"'!GO_2027"),0)
+IF(AND(IFERROR(INDIRECT("'"&amp;$D$53&amp;"'!C9")&gt;1964,0),IFERROR(INDIRECT("'"&amp;$D$53&amp;"'!C9")&lt;1975,0)),INDIRECT("'"&amp;$D$53&amp;"'!GO_2027"),0)
+IF(AND(IFERROR(INDIRECT("'"&amp;$D$54&amp;"'!C9")&gt;1964,0),IFERROR(INDIRECT("'"&amp;$D$54&amp;"'!C9")&lt;1975,0)),INDIRECT("'"&amp;$D$54&amp;"'!GO_2027"),0)</f>
        <v>0</v>
      </c>
      <c r="R25" s="321">
        <f ca="1">IF(AND(IFERROR(INDIRECT("'"&amp;$D$5&amp;"'!C9")&gt;1964,0),IFERROR(INDIRECT("'"&amp;$D$5&amp;"'!C9")&lt;1975,0)),INDIRECT("'"&amp;$D$5&amp;"'!GO_2028"),0)
+IF(AND(IFERROR(INDIRECT("'"&amp;$D$6&amp;"'!C9")&gt;1964,0),IFERROR(INDIRECT("'"&amp;$D$6&amp;"'!C9")&lt;1975,0)),INDIRECT("'"&amp;$D$6&amp;"'!GO_2028"),0)
+IF(AND(IFERROR(INDIRECT("'"&amp;$D$7&amp;"'!C9")&gt;1964,0),IFERROR(INDIRECT("'"&amp;$D$7&amp;"'!C9")&lt;1975,0)),INDIRECT("'"&amp;$D$7&amp;"'!GO_2028"),0)
+IF(AND(IFERROR(INDIRECT("'"&amp;$D$8&amp;"'!C9")&gt;1964,0),IFERROR(INDIRECT("'"&amp;$D$8&amp;"'!C9")&lt;1975,0)),INDIRECT("'"&amp;$D$8&amp;"'!GO_2028"),0)
+IF(AND(IFERROR(INDIRECT("'"&amp;$D$9&amp;"'!C9")&gt;1964,0),IFERROR(INDIRECT("'"&amp;$D$9&amp;"'!C9")&lt;1975,0)),INDIRECT("'"&amp;$D$9&amp;"'!GO_2028"),0)
+IF(AND(IFERROR(INDIRECT("'"&amp;$D$10&amp;"'!C9")&gt;1964,0),IFERROR(INDIRECT("'"&amp;$D$10&amp;"'!C9")&lt;1975,0)),INDIRECT("'"&amp;$D$10&amp;"'!GO_2028"),0)
+IF(AND(IFERROR(INDIRECT("'"&amp;$D$11&amp;"'!C9")&gt;1964,0),IFERROR(INDIRECT("'"&amp;$D$11&amp;"'!C9")&lt;1975,0)),INDIRECT("'"&amp;$D$11&amp;"'!GO_2028"),0)
+IF(AND(IFERROR(INDIRECT("'"&amp;$D$12&amp;"'!C9")&gt;1964,0),IFERROR(INDIRECT("'"&amp;$D$12&amp;"'!C9")&lt;1975,0)),INDIRECT("'"&amp;$D$12&amp;"'!GO_2028"),0)
+IF(AND(IFERROR(INDIRECT("'"&amp;$D$13&amp;"'!C9")&gt;1964,0),IFERROR(INDIRECT("'"&amp;$D$13&amp;"'!C9")&lt;1975,0)),INDIRECT("'"&amp;$D$13&amp;"'!GO_2028"),0)
+IF(AND(IFERROR(INDIRECT("'"&amp;$D$14&amp;"'!C9")&gt;1964,0),IFERROR(INDIRECT("'"&amp;$D$14&amp;"'!C9")&lt;1975,0)),INDIRECT("'"&amp;$D$14&amp;"'!GO_2028"),0)
+IF(AND(IFERROR(INDIRECT("'"&amp;$D$15&amp;"'!C9")&gt;1964,0),IFERROR(INDIRECT("'"&amp;$D$15&amp;"'!C9")&lt;1975,0)),INDIRECT("'"&amp;$D$15&amp;"'!GO_2028"),0)
+IF(AND(IFERROR(INDIRECT("'"&amp;$D$16&amp;"'!C9")&gt;1964,0),IFERROR(INDIRECT("'"&amp;$D$16&amp;"'!C9")&lt;1975,0)),INDIRECT("'"&amp;$D$16&amp;"'!GO_2028"),0)
+IF(AND(IFERROR(INDIRECT("'"&amp;$D$17&amp;"'!C9")&gt;1964,0),IFERROR(INDIRECT("'"&amp;$D$17&amp;"'!C9")&lt;1975,0)),INDIRECT("'"&amp;$D$17&amp;"'!GO_2028"),0)
+IF(AND(IFERROR(INDIRECT("'"&amp;$D$18&amp;"'!C9")&gt;1964,0),IFERROR(INDIRECT("'"&amp;$D$18&amp;"'!C9")&lt;1975,0)),INDIRECT("'"&amp;$D$18&amp;"'!GO_2028"),0)
+IF(AND(IFERROR(INDIRECT("'"&amp;$D$19&amp;"'!C9")&gt;1964,0),IFERROR(INDIRECT("'"&amp;$D$19&amp;"'!C9")&lt;1975,0)),INDIRECT("'"&amp;$D$19&amp;"'!GO_2028"),0)
+IF(AND(IFERROR(INDIRECT("'"&amp;$D$20&amp;"'!C9")&gt;1964,0),IFERROR(INDIRECT("'"&amp;$D$20&amp;"'!C9")&lt;1975,0)),INDIRECT("'"&amp;$D$20&amp;"'!GO_2028"),0)
+IF(AND(IFERROR(INDIRECT("'"&amp;$D$21&amp;"'!C9")&gt;1964,0),IFERROR(INDIRECT("'"&amp;$D$21&amp;"'!C9")&lt;1975,0)),INDIRECT("'"&amp;$D$21&amp;"'!GO_2028"),0)
+IF(AND(IFERROR(INDIRECT("'"&amp;$D$22&amp;"'!C9")&gt;1964,0),IFERROR(INDIRECT("'"&amp;$D$22&amp;"'!C9")&lt;1975,0)),INDIRECT("'"&amp;$D$22&amp;"'!GO_2028"),0)
+IF(AND(IFERROR(INDIRECT("'"&amp;$D$23&amp;"'!C9")&gt;1964,0),IFERROR(INDIRECT("'"&amp;$D$23&amp;"'!C9")&lt;1975,0)),INDIRECT("'"&amp;$D$23&amp;"'!GO_2028"),0)
+IF(AND(IFERROR(INDIRECT("'"&amp;$D$24&amp;"'!C9")&gt;1964,0),IFERROR(INDIRECT("'"&amp;$D$24&amp;"'!C9")&lt;1975,0)),INDIRECT("'"&amp;$D$24&amp;"'!GO_2028"),0)
+IF(AND(IFERROR(INDIRECT("'"&amp;$D$25&amp;"'!C9")&gt;1964,0),IFERROR(INDIRECT("'"&amp;$D$25&amp;"'!C9")&lt;1975,0)),INDIRECT("'"&amp;$D$25&amp;"'!GO_2028"),0)
+IF(AND(IFERROR(INDIRECT("'"&amp;$D$26&amp;"'!C9")&gt;1964,0),IFERROR(INDIRECT("'"&amp;$D$26&amp;"'!C9")&lt;1975,0)),INDIRECT("'"&amp;$D$26&amp;"'!GO_2028"),0)
+IF(AND(IFERROR(INDIRECT("'"&amp;$D$27&amp;"'!C9")&gt;1964,0),IFERROR(INDIRECT("'"&amp;$D$27&amp;"'!C9")&lt;1975,0)),INDIRECT("'"&amp;$D$27&amp;"'!GO_2028"),0)
+IF(AND(IFERROR(INDIRECT("'"&amp;$D$28&amp;"'!C9")&gt;1964,0),IFERROR(INDIRECT("'"&amp;$D$28&amp;"'!C9")&lt;1975,0)),INDIRECT("'"&amp;$D$28&amp;"'!GO_2028"),0)
+IF(AND(IFERROR(INDIRECT("'"&amp;$D$29&amp;"'!C9")&gt;1964,0),IFERROR(INDIRECT("'"&amp;$D$29&amp;"'!C9")&lt;1975,0)),INDIRECT("'"&amp;$D$29&amp;"'!GO_2028"),0)
+IF(AND(IFERROR(INDIRECT("'"&amp;$D$30&amp;"'!C9")&gt;1964,0),IFERROR(INDIRECT("'"&amp;$D$30&amp;"'!C9")&lt;1975,0)),INDIRECT("'"&amp;$D$30&amp;"'!GO_2028"),0)
+IF(AND(IFERROR(INDIRECT("'"&amp;$D$31&amp;"'!C9")&gt;1964,0),IFERROR(INDIRECT("'"&amp;$D$31&amp;"'!C9")&lt;1975,0)),INDIRECT("'"&amp;$D$31&amp;"'!GO_2028"),0)
+IF(AND(IFERROR(INDIRECT("'"&amp;$D$32&amp;"'!C9")&gt;1964,0),IFERROR(INDIRECT("'"&amp;$D$32&amp;"'!C9")&lt;1975,0)),INDIRECT("'"&amp;$D$32&amp;"'!GO_2028"),0)
+IF(AND(IFERROR(INDIRECT("'"&amp;$D$33&amp;"'!C9")&gt;1964,0),IFERROR(INDIRECT("'"&amp;$D$33&amp;"'!C9")&lt;1975,0)),INDIRECT("'"&amp;$D$33&amp;"'!GO_2028"),0)
+IF(AND(IFERROR(INDIRECT("'"&amp;$D$34&amp;"'!C9")&gt;1964,0),IFERROR(INDIRECT("'"&amp;$D$34&amp;"'!C9")&lt;1975,0)),INDIRECT("'"&amp;$D$34&amp;"'!GO_2028"),0)
+IF(AND(IFERROR(INDIRECT("'"&amp;$D$35&amp;"'!C9")&gt;1964,0),IFERROR(INDIRECT("'"&amp;$D$35&amp;"'!C9")&lt;1975,0)),INDIRECT("'"&amp;$D$35&amp;"'!GO_2028"),0)
+IF(AND(IFERROR(INDIRECT("'"&amp;$D$36&amp;"'!C9")&gt;1964,0),IFERROR(INDIRECT("'"&amp;$D$36&amp;"'!C9")&lt;1975,0)),INDIRECT("'"&amp;$D$36&amp;"'!GO_2028"),0)
+IF(AND(IFERROR(INDIRECT("'"&amp;$D$37&amp;"'!C9")&gt;1964,0),IFERROR(INDIRECT("'"&amp;$D$37&amp;"'!C9")&lt;1975,0)),INDIRECT("'"&amp;$D$37&amp;"'!GO_2028"),0)
+IF(AND(IFERROR(INDIRECT("'"&amp;$D$38&amp;"'!C9")&gt;1964,0),IFERROR(INDIRECT("'"&amp;$D$38&amp;"'!C9")&lt;1975,0)),INDIRECT("'"&amp;$D$38&amp;"'!GO_2028"),0)
+IF(AND(IFERROR(INDIRECT("'"&amp;$D$39&amp;"'!C9")&gt;1964,0),IFERROR(INDIRECT("'"&amp;$D$39&amp;"'!C9")&lt;1975,0)),INDIRECT("'"&amp;$D$39&amp;"'!GO_2028"),0)
+IF(AND(IFERROR(INDIRECT("'"&amp;$D$40&amp;"'!C9")&gt;1964,0),IFERROR(INDIRECT("'"&amp;$D$40&amp;"'!C9")&lt;1975,0)),INDIRECT("'"&amp;$D$40&amp;"'!GO_2028"),0)
+IF(AND(IFERROR(INDIRECT("'"&amp;$D$41&amp;"'!C9")&gt;1964,0),IFERROR(INDIRECT("'"&amp;$D$41&amp;"'!C9")&lt;1975,0)),INDIRECT("'"&amp;$D$41&amp;"'!GO_2028"),0)
+IF(AND(IFERROR(INDIRECT("'"&amp;$D$42&amp;"'!C9")&gt;1964,0),IFERROR(INDIRECT("'"&amp;$D$42&amp;"'!C9")&lt;1975,0)),INDIRECT("'"&amp;$D$42&amp;"'!GO_2028"),0)
+IF(AND(IFERROR(INDIRECT("'"&amp;$D$43&amp;"'!C9")&gt;1964,0),IFERROR(INDIRECT("'"&amp;$D$43&amp;"'!C9")&lt;1975,0)),INDIRECT("'"&amp;$D$43&amp;"'!GO_2028"),0)
+IF(AND(IFERROR(INDIRECT("'"&amp;$D$44&amp;"'!C9")&gt;1964,0),IFERROR(INDIRECT("'"&amp;$D$44&amp;"'!C9")&lt;1975,0)),INDIRECT("'"&amp;$D$44&amp;"'!GO_2028"),0)
+IF(AND(IFERROR(INDIRECT("'"&amp;$D$45&amp;"'!C9")&gt;1964,0),IFERROR(INDIRECT("'"&amp;$D$45&amp;"'!C9")&lt;1975,0)),INDIRECT("'"&amp;$D$45&amp;"'!GO_2028"),0)
+IF(AND(IFERROR(INDIRECT("'"&amp;$D$46&amp;"'!C9")&gt;1964,0),IFERROR(INDIRECT("'"&amp;$D$46&amp;"'!C9")&lt;1975,0)),INDIRECT("'"&amp;$D$46&amp;"'!GO_2028"),0)
+IF(AND(IFERROR(INDIRECT("'"&amp;$D$47&amp;"'!C9")&gt;1964,0),IFERROR(INDIRECT("'"&amp;$D$47&amp;"'!C9")&lt;1975,0)),INDIRECT("'"&amp;$D$47&amp;"'!GO_2028"),0)
+IF(AND(IFERROR(INDIRECT("'"&amp;$D$48&amp;"'!C9")&gt;1964,0),IFERROR(INDIRECT("'"&amp;$D$48&amp;"'!C9")&lt;1975,0)),INDIRECT("'"&amp;$D$48&amp;"'!GO_2028"),0)
+IF(AND(IFERROR(INDIRECT("'"&amp;$D$49&amp;"'!C9")&gt;1964,0),IFERROR(INDIRECT("'"&amp;$D$49&amp;"'!C9")&lt;1975,0)),INDIRECT("'"&amp;$D$49&amp;"'!GO_2028"),0)
+IF(AND(IFERROR(INDIRECT("'"&amp;$D$50&amp;"'!C9")&gt;1964,0),IFERROR(INDIRECT("'"&amp;$D$50&amp;"'!C9")&lt;1975,0)),INDIRECT("'"&amp;$D$50&amp;"'!GO_2028"),0)
+IF(AND(IFERROR(INDIRECT("'"&amp;$D$51&amp;"'!C9")&gt;1964,0),IFERROR(INDIRECT("'"&amp;$D$51&amp;"'!C9")&lt;1975,0)),INDIRECT("'"&amp;$D$51&amp;"'!GO_2028"),0)
+IF(AND(IFERROR(INDIRECT("'"&amp;$D$52&amp;"'!C9")&gt;1964,0),IFERROR(INDIRECT("'"&amp;$D$52&amp;"'!C9")&lt;1975,0)),INDIRECT("'"&amp;$D$52&amp;"'!GO_2028"),0)
+IF(AND(IFERROR(INDIRECT("'"&amp;$D$53&amp;"'!C9")&gt;1964,0),IFERROR(INDIRECT("'"&amp;$D$53&amp;"'!C9")&lt;1975,0)),INDIRECT("'"&amp;$D$53&amp;"'!GO_2028"),0)
+IF(AND(IFERROR(INDIRECT("'"&amp;$D$54&amp;"'!C9")&gt;1964,0),IFERROR(INDIRECT("'"&amp;$D$54&amp;"'!C9")&lt;1975,0)),INDIRECT("'"&amp;$D$54&amp;"'!GO_2028"),0)</f>
        <v>0</v>
      </c>
      <c r="S25" s="321">
        <f ca="1">IF(AND(IFERROR(INDIRECT("'"&amp;$D$5&amp;"'!C9")&gt;1964,0),IFERROR(INDIRECT("'"&amp;$D$5&amp;"'!C9")&lt;1975,0)),INDIRECT("'"&amp;$D$5&amp;"'!GO_2029"),0)
+IF(AND(IFERROR(INDIRECT("'"&amp;$D$6&amp;"'!C9")&gt;1964,0),IFERROR(INDIRECT("'"&amp;$D$6&amp;"'!C9")&lt;1975,0)),INDIRECT("'"&amp;$D$6&amp;"'!GO_2029"),0)
+IF(AND(IFERROR(INDIRECT("'"&amp;$D$7&amp;"'!C9")&gt;1964,0),IFERROR(INDIRECT("'"&amp;$D$7&amp;"'!C9")&lt;1975,0)),INDIRECT("'"&amp;$D$7&amp;"'!GO_2029"),0)
+IF(AND(IFERROR(INDIRECT("'"&amp;$D$8&amp;"'!C9")&gt;1964,0),IFERROR(INDIRECT("'"&amp;$D$8&amp;"'!C9")&lt;1975,0)),INDIRECT("'"&amp;$D$8&amp;"'!GO_2029"),0)
+IF(AND(IFERROR(INDIRECT("'"&amp;$D$9&amp;"'!C9")&gt;1964,0),IFERROR(INDIRECT("'"&amp;$D$9&amp;"'!C9")&lt;1975,0)),INDIRECT("'"&amp;$D$9&amp;"'!GO_2029"),0)
+IF(AND(IFERROR(INDIRECT("'"&amp;$D$10&amp;"'!C9")&gt;1964,0),IFERROR(INDIRECT("'"&amp;$D$10&amp;"'!C9")&lt;1975,0)),INDIRECT("'"&amp;$D$10&amp;"'!GO_2029"),0)
+IF(AND(IFERROR(INDIRECT("'"&amp;$D$11&amp;"'!C9")&gt;1964,0),IFERROR(INDIRECT("'"&amp;$D$11&amp;"'!C9")&lt;1975,0)),INDIRECT("'"&amp;$D$11&amp;"'!GO_2029"),0)
+IF(AND(IFERROR(INDIRECT("'"&amp;$D$12&amp;"'!C9")&gt;1964,0),IFERROR(INDIRECT("'"&amp;$D$12&amp;"'!C9")&lt;1975,0)),INDIRECT("'"&amp;$D$12&amp;"'!GO_2029"),0)
+IF(AND(IFERROR(INDIRECT("'"&amp;$D$13&amp;"'!C9")&gt;1964,0),IFERROR(INDIRECT("'"&amp;$D$13&amp;"'!C9")&lt;1975,0)),INDIRECT("'"&amp;$D$13&amp;"'!GO_2029"),0)
+IF(AND(IFERROR(INDIRECT("'"&amp;$D$14&amp;"'!C9")&gt;1964,0),IFERROR(INDIRECT("'"&amp;$D$14&amp;"'!C9")&lt;1975,0)),INDIRECT("'"&amp;$D$14&amp;"'!GO_2029"),0)
+IF(AND(IFERROR(INDIRECT("'"&amp;$D$15&amp;"'!C9")&gt;1964,0),IFERROR(INDIRECT("'"&amp;$D$15&amp;"'!C9")&lt;1975,0)),INDIRECT("'"&amp;$D$15&amp;"'!GO_2029"),0)
+IF(AND(IFERROR(INDIRECT("'"&amp;$D$16&amp;"'!C9")&gt;1964,0),IFERROR(INDIRECT("'"&amp;$D$16&amp;"'!C9")&lt;1975,0)),INDIRECT("'"&amp;$D$16&amp;"'!GO_2029"),0)
+IF(AND(IFERROR(INDIRECT("'"&amp;$D$17&amp;"'!C9")&gt;1964,0),IFERROR(INDIRECT("'"&amp;$D$17&amp;"'!C9")&lt;1975,0)),INDIRECT("'"&amp;$D$17&amp;"'!GO_2029"),0)
+IF(AND(IFERROR(INDIRECT("'"&amp;$D$18&amp;"'!C9")&gt;1964,0),IFERROR(INDIRECT("'"&amp;$D$18&amp;"'!C9")&lt;1975,0)),INDIRECT("'"&amp;$D$18&amp;"'!GO_2029"),0)
+IF(AND(IFERROR(INDIRECT("'"&amp;$D$19&amp;"'!C9")&gt;1964,0),IFERROR(INDIRECT("'"&amp;$D$19&amp;"'!C9")&lt;1975,0)),INDIRECT("'"&amp;$D$19&amp;"'!GO_2029"),0)
+IF(AND(IFERROR(INDIRECT("'"&amp;$D$20&amp;"'!C9")&gt;1964,0),IFERROR(INDIRECT("'"&amp;$D$20&amp;"'!C9")&lt;1975,0)),INDIRECT("'"&amp;$D$20&amp;"'!GO_2029"),0)
+IF(AND(IFERROR(INDIRECT("'"&amp;$D$21&amp;"'!C9")&gt;1964,0),IFERROR(INDIRECT("'"&amp;$D$21&amp;"'!C9")&lt;1975,0)),INDIRECT("'"&amp;$D$21&amp;"'!GO_2029"),0)
+IF(AND(IFERROR(INDIRECT("'"&amp;$D$22&amp;"'!C9")&gt;1964,0),IFERROR(INDIRECT("'"&amp;$D$22&amp;"'!C9")&lt;1975,0)),INDIRECT("'"&amp;$D$22&amp;"'!GO_2029"),0)
+IF(AND(IFERROR(INDIRECT("'"&amp;$D$23&amp;"'!C9")&gt;1964,0),IFERROR(INDIRECT("'"&amp;$D$23&amp;"'!C9")&lt;1975,0)),INDIRECT("'"&amp;$D$23&amp;"'!GO_2029"),0)
+IF(AND(IFERROR(INDIRECT("'"&amp;$D$24&amp;"'!C9")&gt;1964,0),IFERROR(INDIRECT("'"&amp;$D$24&amp;"'!C9")&lt;1975,0)),INDIRECT("'"&amp;$D$24&amp;"'!GO_2029"),0)
+IF(AND(IFERROR(INDIRECT("'"&amp;$D$25&amp;"'!C9")&gt;1964,0),IFERROR(INDIRECT("'"&amp;$D$25&amp;"'!C9")&lt;1975,0)),INDIRECT("'"&amp;$D$25&amp;"'!GO_2029"),0)
+IF(AND(IFERROR(INDIRECT("'"&amp;$D$26&amp;"'!C9")&gt;1964,0),IFERROR(INDIRECT("'"&amp;$D$26&amp;"'!C9")&lt;1975,0)),INDIRECT("'"&amp;$D$26&amp;"'!GO_2029"),0)
+IF(AND(IFERROR(INDIRECT("'"&amp;$D$27&amp;"'!C9")&gt;1964,0),IFERROR(INDIRECT("'"&amp;$D$27&amp;"'!C9")&lt;1975,0)),INDIRECT("'"&amp;$D$27&amp;"'!GO_2029"),0)
+IF(AND(IFERROR(INDIRECT("'"&amp;$D$28&amp;"'!C9")&gt;1964,0),IFERROR(INDIRECT("'"&amp;$D$28&amp;"'!C9")&lt;1975,0)),INDIRECT("'"&amp;$D$28&amp;"'!GO_2029"),0)
+IF(AND(IFERROR(INDIRECT("'"&amp;$D$29&amp;"'!C9")&gt;1964,0),IFERROR(INDIRECT("'"&amp;$D$29&amp;"'!C9")&lt;1975,0)),INDIRECT("'"&amp;$D$29&amp;"'!GO_2029"),0)
+IF(AND(IFERROR(INDIRECT("'"&amp;$D$30&amp;"'!C9")&gt;1964,0),IFERROR(INDIRECT("'"&amp;$D$30&amp;"'!C9")&lt;1975,0)),INDIRECT("'"&amp;$D$30&amp;"'!GO_2029"),0)
+IF(AND(IFERROR(INDIRECT("'"&amp;$D$31&amp;"'!C9")&gt;1964,0),IFERROR(INDIRECT("'"&amp;$D$31&amp;"'!C9")&lt;1975,0)),INDIRECT("'"&amp;$D$31&amp;"'!GO_2029"),0)
+IF(AND(IFERROR(INDIRECT("'"&amp;$D$32&amp;"'!C9")&gt;1964,0),IFERROR(INDIRECT("'"&amp;$D$32&amp;"'!C9")&lt;1975,0)),INDIRECT("'"&amp;$D$32&amp;"'!GO_2029"),0)
+IF(AND(IFERROR(INDIRECT("'"&amp;$D$33&amp;"'!C9")&gt;1964,0),IFERROR(INDIRECT("'"&amp;$D$33&amp;"'!C9")&lt;1975,0)),INDIRECT("'"&amp;$D$33&amp;"'!GO_2029"),0)
+IF(AND(IFERROR(INDIRECT("'"&amp;$D$34&amp;"'!C9")&gt;1964,0),IFERROR(INDIRECT("'"&amp;$D$34&amp;"'!C9")&lt;1975,0)),INDIRECT("'"&amp;$D$34&amp;"'!GO_2029"),0)
+IF(AND(IFERROR(INDIRECT("'"&amp;$D$35&amp;"'!C9")&gt;1964,0),IFERROR(INDIRECT("'"&amp;$D$35&amp;"'!C9")&lt;1975,0)),INDIRECT("'"&amp;$D$35&amp;"'!GO_2029"),0)
+IF(AND(IFERROR(INDIRECT("'"&amp;$D$36&amp;"'!C9")&gt;1964,0),IFERROR(INDIRECT("'"&amp;$D$36&amp;"'!C9")&lt;1975,0)),INDIRECT("'"&amp;$D$36&amp;"'!GO_2029"),0)
+IF(AND(IFERROR(INDIRECT("'"&amp;$D$37&amp;"'!C9")&gt;1964,0),IFERROR(INDIRECT("'"&amp;$D$37&amp;"'!C9")&lt;1975,0)),INDIRECT("'"&amp;$D$37&amp;"'!GO_2029"),0)
+IF(AND(IFERROR(INDIRECT("'"&amp;$D$38&amp;"'!C9")&gt;1964,0),IFERROR(INDIRECT("'"&amp;$D$38&amp;"'!C9")&lt;1975,0)),INDIRECT("'"&amp;$D$38&amp;"'!GO_2029"),0)
+IF(AND(IFERROR(INDIRECT("'"&amp;$D$39&amp;"'!C9")&gt;1964,0),IFERROR(INDIRECT("'"&amp;$D$39&amp;"'!C9")&lt;1975,0)),INDIRECT("'"&amp;$D$39&amp;"'!GO_2029"),0)
+IF(AND(IFERROR(INDIRECT("'"&amp;$D$40&amp;"'!C9")&gt;1964,0),IFERROR(INDIRECT("'"&amp;$D$40&amp;"'!C9")&lt;1975,0)),INDIRECT("'"&amp;$D$40&amp;"'!GO_2029"),0)
+IF(AND(IFERROR(INDIRECT("'"&amp;$D$41&amp;"'!C9")&gt;1964,0),IFERROR(INDIRECT("'"&amp;$D$41&amp;"'!C9")&lt;1975,0)),INDIRECT("'"&amp;$D$41&amp;"'!GO_2029"),0)
+IF(AND(IFERROR(INDIRECT("'"&amp;$D$42&amp;"'!C9")&gt;1964,0),IFERROR(INDIRECT("'"&amp;$D$42&amp;"'!C9")&lt;1975,0)),INDIRECT("'"&amp;$D$42&amp;"'!GO_2029"),0)
+IF(AND(IFERROR(INDIRECT("'"&amp;$D$43&amp;"'!C9")&gt;1964,0),IFERROR(INDIRECT("'"&amp;$D$43&amp;"'!C9")&lt;1975,0)),INDIRECT("'"&amp;$D$43&amp;"'!GO_2029"),0)
+IF(AND(IFERROR(INDIRECT("'"&amp;$D$44&amp;"'!C9")&gt;1964,0),IFERROR(INDIRECT("'"&amp;$D$44&amp;"'!C9")&lt;1975,0)),INDIRECT("'"&amp;$D$44&amp;"'!GO_2029"),0)
+IF(AND(IFERROR(INDIRECT("'"&amp;$D$45&amp;"'!C9")&gt;1964,0),IFERROR(INDIRECT("'"&amp;$D$45&amp;"'!C9")&lt;1975,0)),INDIRECT("'"&amp;$D$45&amp;"'!GO_2029"),0)
+IF(AND(IFERROR(INDIRECT("'"&amp;$D$46&amp;"'!C9")&gt;1964,0),IFERROR(INDIRECT("'"&amp;$D$46&amp;"'!C9")&lt;1975,0)),INDIRECT("'"&amp;$D$46&amp;"'!GO_2029"),0)
+IF(AND(IFERROR(INDIRECT("'"&amp;$D$47&amp;"'!C9")&gt;1964,0),IFERROR(INDIRECT("'"&amp;$D$47&amp;"'!C9")&lt;1975,0)),INDIRECT("'"&amp;$D$47&amp;"'!GO_2029"),0)
+IF(AND(IFERROR(INDIRECT("'"&amp;$D$48&amp;"'!C9")&gt;1964,0),IFERROR(INDIRECT("'"&amp;$D$48&amp;"'!C9")&lt;1975,0)),INDIRECT("'"&amp;$D$48&amp;"'!GO_2029"),0)
+IF(AND(IFERROR(INDIRECT("'"&amp;$D$49&amp;"'!C9")&gt;1964,0),IFERROR(INDIRECT("'"&amp;$D$49&amp;"'!C9")&lt;1975,0)),INDIRECT("'"&amp;$D$49&amp;"'!GO_2029"),0)
+IF(AND(IFERROR(INDIRECT("'"&amp;$D$50&amp;"'!C9")&gt;1964,0),IFERROR(INDIRECT("'"&amp;$D$50&amp;"'!C9")&lt;1975,0)),INDIRECT("'"&amp;$D$50&amp;"'!GO_2029"),0)
+IF(AND(IFERROR(INDIRECT("'"&amp;$D$51&amp;"'!C9")&gt;1964,0),IFERROR(INDIRECT("'"&amp;$D$51&amp;"'!C9")&lt;1975,0)),INDIRECT("'"&amp;$D$51&amp;"'!GO_2029"),0)
+IF(AND(IFERROR(INDIRECT("'"&amp;$D$52&amp;"'!C9")&gt;1964,0),IFERROR(INDIRECT("'"&amp;$D$52&amp;"'!C9")&lt;1975,0)),INDIRECT("'"&amp;$D$52&amp;"'!GO_2029"),0)
+IF(AND(IFERROR(INDIRECT("'"&amp;$D$53&amp;"'!C9")&gt;1964,0),IFERROR(INDIRECT("'"&amp;$D$53&amp;"'!C9")&lt;1975,0)),INDIRECT("'"&amp;$D$53&amp;"'!GO_2029"),0)
+IF(AND(IFERROR(INDIRECT("'"&amp;$D$54&amp;"'!C9")&gt;1964,0),IFERROR(INDIRECT("'"&amp;$D$54&amp;"'!C9")&lt;1975,0)),INDIRECT("'"&amp;$D$54&amp;"'!GO_2029"),0)</f>
        <v>0</v>
      </c>
      <c r="T25" s="321">
        <f ca="1">IF(AND(IFERROR(INDIRECT("'"&amp;$D$5&amp;"'!C9")&gt;1964,0),IFERROR(INDIRECT("'"&amp;$D$5&amp;"'!C9")&lt;1975,0)),INDIRECT("'"&amp;$D$5&amp;"'!GO_2030"),0)
+IF(AND(IFERROR(INDIRECT("'"&amp;$D$6&amp;"'!C9")&gt;1964,0),IFERROR(INDIRECT("'"&amp;$D$6&amp;"'!C9")&lt;1975,0)),INDIRECT("'"&amp;$D$6&amp;"'!GO_2030"),0)
+IF(AND(IFERROR(INDIRECT("'"&amp;$D$7&amp;"'!C9")&gt;1964,0),IFERROR(INDIRECT("'"&amp;$D$7&amp;"'!C9")&lt;1975,0)),INDIRECT("'"&amp;$D$7&amp;"'!GO_2030"),0)
+IF(AND(IFERROR(INDIRECT("'"&amp;$D$8&amp;"'!C9")&gt;1964,0),IFERROR(INDIRECT("'"&amp;$D$8&amp;"'!C9")&lt;1975,0)),INDIRECT("'"&amp;$D$8&amp;"'!GO_2030"),0)
+IF(AND(IFERROR(INDIRECT("'"&amp;$D$9&amp;"'!C9")&gt;1964,0),IFERROR(INDIRECT("'"&amp;$D$9&amp;"'!C9")&lt;1975,0)),INDIRECT("'"&amp;$D$9&amp;"'!GO_2030"),0)
+IF(AND(IFERROR(INDIRECT("'"&amp;$D$10&amp;"'!C9")&gt;1964,0),IFERROR(INDIRECT("'"&amp;$D$10&amp;"'!C9")&lt;1975,0)),INDIRECT("'"&amp;$D$10&amp;"'!GO_2030"),0)
+IF(AND(IFERROR(INDIRECT("'"&amp;$D$11&amp;"'!C9")&gt;1964,0),IFERROR(INDIRECT("'"&amp;$D$11&amp;"'!C9")&lt;1975,0)),INDIRECT("'"&amp;$D$11&amp;"'!GO_2030"),0)
+IF(AND(IFERROR(INDIRECT("'"&amp;$D$12&amp;"'!C9")&gt;1964,0),IFERROR(INDIRECT("'"&amp;$D$12&amp;"'!C9")&lt;1975,0)),INDIRECT("'"&amp;$D$12&amp;"'!GO_2030"),0)
+IF(AND(IFERROR(INDIRECT("'"&amp;$D$13&amp;"'!C9")&gt;1964,0),IFERROR(INDIRECT("'"&amp;$D$13&amp;"'!C9")&lt;1975,0)),INDIRECT("'"&amp;$D$13&amp;"'!GO_2030"),0)
+IF(AND(IFERROR(INDIRECT("'"&amp;$D$14&amp;"'!C9")&gt;1964,0),IFERROR(INDIRECT("'"&amp;$D$14&amp;"'!C9")&lt;1975,0)),INDIRECT("'"&amp;$D$14&amp;"'!GO_2030"),0)
+IF(AND(IFERROR(INDIRECT("'"&amp;$D$15&amp;"'!C9")&gt;1964,0),IFERROR(INDIRECT("'"&amp;$D$15&amp;"'!C9")&lt;1975,0)),INDIRECT("'"&amp;$D$15&amp;"'!GO_2030"),0)
+IF(AND(IFERROR(INDIRECT("'"&amp;$D$16&amp;"'!C9")&gt;1964,0),IFERROR(INDIRECT("'"&amp;$D$16&amp;"'!C9")&lt;1975,0)),INDIRECT("'"&amp;$D$16&amp;"'!GO_2030"),0)
+IF(AND(IFERROR(INDIRECT("'"&amp;$D$17&amp;"'!C9")&gt;1964,0),IFERROR(INDIRECT("'"&amp;$D$17&amp;"'!C9")&lt;1975,0)),INDIRECT("'"&amp;$D$17&amp;"'!GO_2030"),0)
+IF(AND(IFERROR(INDIRECT("'"&amp;$D$18&amp;"'!C9")&gt;1964,0),IFERROR(INDIRECT("'"&amp;$D$18&amp;"'!C9")&lt;1975,0)),INDIRECT("'"&amp;$D$18&amp;"'!GO_2030"),0)
+IF(AND(IFERROR(INDIRECT("'"&amp;$D$19&amp;"'!C9")&gt;1964,0),IFERROR(INDIRECT("'"&amp;$D$19&amp;"'!C9")&lt;1975,0)),INDIRECT("'"&amp;$D$19&amp;"'!GO_2030"),0)
+IF(AND(IFERROR(INDIRECT("'"&amp;$D$20&amp;"'!C9")&gt;1964,0),IFERROR(INDIRECT("'"&amp;$D$20&amp;"'!C9")&lt;1975,0)),INDIRECT("'"&amp;$D$20&amp;"'!GO_2030"),0)
+IF(AND(IFERROR(INDIRECT("'"&amp;$D$21&amp;"'!C9")&gt;1964,0),IFERROR(INDIRECT("'"&amp;$D$21&amp;"'!C9")&lt;1975,0)),INDIRECT("'"&amp;$D$21&amp;"'!GO_2030"),0)
+IF(AND(IFERROR(INDIRECT("'"&amp;$D$22&amp;"'!C9")&gt;1964,0),IFERROR(INDIRECT("'"&amp;$D$22&amp;"'!C9")&lt;1975,0)),INDIRECT("'"&amp;$D$22&amp;"'!GO_2030"),0)
+IF(AND(IFERROR(INDIRECT("'"&amp;$D$23&amp;"'!C9")&gt;1964,0),IFERROR(INDIRECT("'"&amp;$D$23&amp;"'!C9")&lt;1975,0)),INDIRECT("'"&amp;$D$23&amp;"'!GO_2030"),0)
+IF(AND(IFERROR(INDIRECT("'"&amp;$D$24&amp;"'!C9")&gt;1964,0),IFERROR(INDIRECT("'"&amp;$D$24&amp;"'!C9")&lt;1975,0)),INDIRECT("'"&amp;$D$24&amp;"'!GO_2030"),0)
+IF(AND(IFERROR(INDIRECT("'"&amp;$D$25&amp;"'!C9")&gt;1964,0),IFERROR(INDIRECT("'"&amp;$D$25&amp;"'!C9")&lt;1975,0)),INDIRECT("'"&amp;$D$25&amp;"'!GO_2030"),0)
+IF(AND(IFERROR(INDIRECT("'"&amp;$D$26&amp;"'!C9")&gt;1964,0),IFERROR(INDIRECT("'"&amp;$D$26&amp;"'!C9")&lt;1975,0)),INDIRECT("'"&amp;$D$26&amp;"'!GO_2030"),0)
+IF(AND(IFERROR(INDIRECT("'"&amp;$D$27&amp;"'!C9")&gt;1964,0),IFERROR(INDIRECT("'"&amp;$D$27&amp;"'!C9")&lt;1975,0)),INDIRECT("'"&amp;$D$27&amp;"'!GO_2030"),0)
+IF(AND(IFERROR(INDIRECT("'"&amp;$D$28&amp;"'!C9")&gt;1964,0),IFERROR(INDIRECT("'"&amp;$D$28&amp;"'!C9")&lt;1975,0)),INDIRECT("'"&amp;$D$28&amp;"'!GO_2030"),0)
+IF(AND(IFERROR(INDIRECT("'"&amp;$D$29&amp;"'!C9")&gt;1964,0),IFERROR(INDIRECT("'"&amp;$D$29&amp;"'!C9")&lt;1975,0)),INDIRECT("'"&amp;$D$29&amp;"'!GO_2030"),0)
+IF(AND(IFERROR(INDIRECT("'"&amp;$D$30&amp;"'!C9")&gt;1964,0),IFERROR(INDIRECT("'"&amp;$D$30&amp;"'!C9")&lt;1975,0)),INDIRECT("'"&amp;$D$30&amp;"'!GO_2030"),0)
+IF(AND(IFERROR(INDIRECT("'"&amp;$D$31&amp;"'!C9")&gt;1964,0),IFERROR(INDIRECT("'"&amp;$D$31&amp;"'!C9")&lt;1975,0)),INDIRECT("'"&amp;$D$31&amp;"'!GO_2030"),0)
+IF(AND(IFERROR(INDIRECT("'"&amp;$D$32&amp;"'!C9")&gt;1964,0),IFERROR(INDIRECT("'"&amp;$D$32&amp;"'!C9")&lt;1975,0)),INDIRECT("'"&amp;$D$32&amp;"'!GO_2030"),0)
+IF(AND(IFERROR(INDIRECT("'"&amp;$D$33&amp;"'!C9")&gt;1964,0),IFERROR(INDIRECT("'"&amp;$D$33&amp;"'!C9")&lt;1975,0)),INDIRECT("'"&amp;$D$33&amp;"'!GO_2030"),0)
+IF(AND(IFERROR(INDIRECT("'"&amp;$D$34&amp;"'!C9")&gt;1964,0),IFERROR(INDIRECT("'"&amp;$D$34&amp;"'!C9")&lt;1975,0)),INDIRECT("'"&amp;$D$34&amp;"'!GO_2030"),0)
+IF(AND(IFERROR(INDIRECT("'"&amp;$D$35&amp;"'!C9")&gt;1964,0),IFERROR(INDIRECT("'"&amp;$D$35&amp;"'!C9")&lt;1975,0)),INDIRECT("'"&amp;$D$35&amp;"'!GO_2030"),0)
+IF(AND(IFERROR(INDIRECT("'"&amp;$D$36&amp;"'!C9")&gt;1964,0),IFERROR(INDIRECT("'"&amp;$D$36&amp;"'!C9")&lt;1975,0)),INDIRECT("'"&amp;$D$36&amp;"'!GO_2030"),0)
+IF(AND(IFERROR(INDIRECT("'"&amp;$D$37&amp;"'!C9")&gt;1964,0),IFERROR(INDIRECT("'"&amp;$D$37&amp;"'!C9")&lt;1975,0)),INDIRECT("'"&amp;$D$37&amp;"'!GO_2030"),0)
+IF(AND(IFERROR(INDIRECT("'"&amp;$D$38&amp;"'!C9")&gt;1964,0),IFERROR(INDIRECT("'"&amp;$D$38&amp;"'!C9")&lt;1975,0)),INDIRECT("'"&amp;$D$38&amp;"'!GO_2030"),0)
+IF(AND(IFERROR(INDIRECT("'"&amp;$D$39&amp;"'!C9")&gt;1964,0),IFERROR(INDIRECT("'"&amp;$D$39&amp;"'!C9")&lt;1975,0)),INDIRECT("'"&amp;$D$39&amp;"'!GO_2030"),0)
+IF(AND(IFERROR(INDIRECT("'"&amp;$D$40&amp;"'!C9")&gt;1964,0),IFERROR(INDIRECT("'"&amp;$D$40&amp;"'!C9")&lt;1975,0)),INDIRECT("'"&amp;$D$40&amp;"'!GO_2030"),0)
+IF(AND(IFERROR(INDIRECT("'"&amp;$D$41&amp;"'!C9")&gt;1964,0),IFERROR(INDIRECT("'"&amp;$D$41&amp;"'!C9")&lt;1975,0)),INDIRECT("'"&amp;$D$41&amp;"'!GO_2030"),0)
+IF(AND(IFERROR(INDIRECT("'"&amp;$D$42&amp;"'!C9")&gt;1964,0),IFERROR(INDIRECT("'"&amp;$D$42&amp;"'!C9")&lt;1975,0)),INDIRECT("'"&amp;$D$42&amp;"'!GO_2030"),0)
+IF(AND(IFERROR(INDIRECT("'"&amp;$D$43&amp;"'!C9")&gt;1964,0),IFERROR(INDIRECT("'"&amp;$D$43&amp;"'!C9")&lt;1975,0)),INDIRECT("'"&amp;$D$43&amp;"'!GO_2030"),0)
+IF(AND(IFERROR(INDIRECT("'"&amp;$D$44&amp;"'!C9")&gt;1964,0),IFERROR(INDIRECT("'"&amp;$D$44&amp;"'!C9")&lt;1975,0)),INDIRECT("'"&amp;$D$44&amp;"'!GO_2030"),0)
+IF(AND(IFERROR(INDIRECT("'"&amp;$D$45&amp;"'!C9")&gt;1964,0),IFERROR(INDIRECT("'"&amp;$D$45&amp;"'!C9")&lt;1975,0)),INDIRECT("'"&amp;$D$45&amp;"'!GO_2030"),0)
+IF(AND(IFERROR(INDIRECT("'"&amp;$D$46&amp;"'!C9")&gt;1964,0),IFERROR(INDIRECT("'"&amp;$D$46&amp;"'!C9")&lt;1975,0)),INDIRECT("'"&amp;$D$46&amp;"'!GO_2030"),0)
+IF(AND(IFERROR(INDIRECT("'"&amp;$D$47&amp;"'!C9")&gt;1964,0),IFERROR(INDIRECT("'"&amp;$D$47&amp;"'!C9")&lt;1975,0)),INDIRECT("'"&amp;$D$47&amp;"'!GO_2030"),0)
+IF(AND(IFERROR(INDIRECT("'"&amp;$D$48&amp;"'!C9")&gt;1964,0),IFERROR(INDIRECT("'"&amp;$D$48&amp;"'!C9")&lt;1975,0)),INDIRECT("'"&amp;$D$48&amp;"'!GO_2030"),0)
+IF(AND(IFERROR(INDIRECT("'"&amp;$D$49&amp;"'!C9")&gt;1964,0),IFERROR(INDIRECT("'"&amp;$D$49&amp;"'!C9")&lt;1975,0)),INDIRECT("'"&amp;$D$49&amp;"'!GO_2030"),0)
+IF(AND(IFERROR(INDIRECT("'"&amp;$D$50&amp;"'!C9")&gt;1964,0),IFERROR(INDIRECT("'"&amp;$D$50&amp;"'!C9")&lt;1975,0)),INDIRECT("'"&amp;$D$50&amp;"'!GO_2030"),0)
+IF(AND(IFERROR(INDIRECT("'"&amp;$D$51&amp;"'!C9")&gt;1964,0),IFERROR(INDIRECT("'"&amp;$D$51&amp;"'!C9")&lt;1975,0)),INDIRECT("'"&amp;$D$51&amp;"'!GO_2030"),0)
+IF(AND(IFERROR(INDIRECT("'"&amp;$D$52&amp;"'!C9")&gt;1964,0),IFERROR(INDIRECT("'"&amp;$D$52&amp;"'!C9")&lt;1975,0)),INDIRECT("'"&amp;$D$52&amp;"'!GO_2030"),0)
+IF(AND(IFERROR(INDIRECT("'"&amp;$D$53&amp;"'!C9")&gt;1964,0),IFERROR(INDIRECT("'"&amp;$D$53&amp;"'!C9")&lt;1975,0)),INDIRECT("'"&amp;$D$53&amp;"'!GO_2030"),0)
+IF(AND(IFERROR(INDIRECT("'"&amp;$D$54&amp;"'!C9")&gt;1964,0),IFERROR(INDIRECT("'"&amp;$D$54&amp;"'!C9")&lt;1975,0)),INDIRECT("'"&amp;$D$54&amp;"'!GO_2030"),0)</f>
        <v>0</v>
      </c>
      <c r="U25" s="321">
        <f ca="1">IF(AND(IFERROR(INDIRECT("'"&amp;$D$5&amp;"'!C9")&gt;1964,0),IFERROR(INDIRECT("'"&amp;$D$5&amp;"'!C9")&lt;1975,0)),INDIRECT("'"&amp;$D$5&amp;"'!GO_2031"),0)
+IF(AND(IFERROR(INDIRECT("'"&amp;$D$6&amp;"'!C9")&gt;1964,0),IFERROR(INDIRECT("'"&amp;$D$6&amp;"'!C9")&lt;1975,0)),INDIRECT("'"&amp;$D$6&amp;"'!GO_2031"),0)
+IF(AND(IFERROR(INDIRECT("'"&amp;$D$7&amp;"'!C9")&gt;1964,0),IFERROR(INDIRECT("'"&amp;$D$7&amp;"'!C9")&lt;1975,0)),INDIRECT("'"&amp;$D$7&amp;"'!GO_2031"),0)
+IF(AND(IFERROR(INDIRECT("'"&amp;$D$8&amp;"'!C9")&gt;1964,0),IFERROR(INDIRECT("'"&amp;$D$8&amp;"'!C9")&lt;1975,0)),INDIRECT("'"&amp;$D$8&amp;"'!GO_2031"),0)
+IF(AND(IFERROR(INDIRECT("'"&amp;$D$9&amp;"'!C9")&gt;1964,0),IFERROR(INDIRECT("'"&amp;$D$9&amp;"'!C9")&lt;1975,0)),INDIRECT("'"&amp;$D$9&amp;"'!GO_2031"),0)
+IF(AND(IFERROR(INDIRECT("'"&amp;$D$10&amp;"'!C9")&gt;1964,0),IFERROR(INDIRECT("'"&amp;$D$10&amp;"'!C9")&lt;1975,0)),INDIRECT("'"&amp;$D$10&amp;"'!GO_2031"),0)
+IF(AND(IFERROR(INDIRECT("'"&amp;$D$11&amp;"'!C9")&gt;1964,0),IFERROR(INDIRECT("'"&amp;$D$11&amp;"'!C9")&lt;1975,0)),INDIRECT("'"&amp;$D$11&amp;"'!GO_2031"),0)
+IF(AND(IFERROR(INDIRECT("'"&amp;$D$12&amp;"'!C9")&gt;1964,0),IFERROR(INDIRECT("'"&amp;$D$12&amp;"'!C9")&lt;1975,0)),INDIRECT("'"&amp;$D$12&amp;"'!GO_2031"),0)
+IF(AND(IFERROR(INDIRECT("'"&amp;$D$13&amp;"'!C9")&gt;1964,0),IFERROR(INDIRECT("'"&amp;$D$13&amp;"'!C9")&lt;1975,0)),INDIRECT("'"&amp;$D$13&amp;"'!GO_2031"),0)
+IF(AND(IFERROR(INDIRECT("'"&amp;$D$14&amp;"'!C9")&gt;1964,0),IFERROR(INDIRECT("'"&amp;$D$14&amp;"'!C9")&lt;1975,0)),INDIRECT("'"&amp;$D$14&amp;"'!GO_2031"),0)
+IF(AND(IFERROR(INDIRECT("'"&amp;$D$15&amp;"'!C9")&gt;1964,0),IFERROR(INDIRECT("'"&amp;$D$15&amp;"'!C9")&lt;1975,0)),INDIRECT("'"&amp;$D$15&amp;"'!GO_2031"),0)
+IF(AND(IFERROR(INDIRECT("'"&amp;$D$16&amp;"'!C9")&gt;1964,0),IFERROR(INDIRECT("'"&amp;$D$16&amp;"'!C9")&lt;1975,0)),INDIRECT("'"&amp;$D$16&amp;"'!GO_2031"),0)
+IF(AND(IFERROR(INDIRECT("'"&amp;$D$17&amp;"'!C9")&gt;1964,0),IFERROR(INDIRECT("'"&amp;$D$17&amp;"'!C9")&lt;1975,0)),INDIRECT("'"&amp;$D$17&amp;"'!GO_2031"),0)
+IF(AND(IFERROR(INDIRECT("'"&amp;$D$18&amp;"'!C9")&gt;1964,0),IFERROR(INDIRECT("'"&amp;$D$18&amp;"'!C9")&lt;1975,0)),INDIRECT("'"&amp;$D$18&amp;"'!GO_2031"),0)
+IF(AND(IFERROR(INDIRECT("'"&amp;$D$19&amp;"'!C9")&gt;1964,0),IFERROR(INDIRECT("'"&amp;$D$19&amp;"'!C9")&lt;1975,0)),INDIRECT("'"&amp;$D$19&amp;"'!GO_2031"),0)
+IF(AND(IFERROR(INDIRECT("'"&amp;$D$20&amp;"'!C9")&gt;1964,0),IFERROR(INDIRECT("'"&amp;$D$20&amp;"'!C9")&lt;1975,0)),INDIRECT("'"&amp;$D$20&amp;"'!GO_2031"),0)
+IF(AND(IFERROR(INDIRECT("'"&amp;$D$21&amp;"'!C9")&gt;1964,0),IFERROR(INDIRECT("'"&amp;$D$21&amp;"'!C9")&lt;1975,0)),INDIRECT("'"&amp;$D$21&amp;"'!GO_2031"),0)
+IF(AND(IFERROR(INDIRECT("'"&amp;$D$22&amp;"'!C9")&gt;1964,0),IFERROR(INDIRECT("'"&amp;$D$22&amp;"'!C9")&lt;1975,0)),INDIRECT("'"&amp;$D$22&amp;"'!GO_2031"),0)
+IF(AND(IFERROR(INDIRECT("'"&amp;$D$23&amp;"'!C9")&gt;1964,0),IFERROR(INDIRECT("'"&amp;$D$23&amp;"'!C9")&lt;1975,0)),INDIRECT("'"&amp;$D$23&amp;"'!GO_2031"),0)
+IF(AND(IFERROR(INDIRECT("'"&amp;$D$24&amp;"'!C9")&gt;1964,0),IFERROR(INDIRECT("'"&amp;$D$24&amp;"'!C9")&lt;1975,0)),INDIRECT("'"&amp;$D$24&amp;"'!GO_2031"),0)
+IF(AND(IFERROR(INDIRECT("'"&amp;$D$25&amp;"'!C9")&gt;1964,0),IFERROR(INDIRECT("'"&amp;$D$25&amp;"'!C9")&lt;1975,0)),INDIRECT("'"&amp;$D$25&amp;"'!GO_2031"),0)
+IF(AND(IFERROR(INDIRECT("'"&amp;$D$26&amp;"'!C9")&gt;1964,0),IFERROR(INDIRECT("'"&amp;$D$26&amp;"'!C9")&lt;1975,0)),INDIRECT("'"&amp;$D$26&amp;"'!GO_2031"),0)
+IF(AND(IFERROR(INDIRECT("'"&amp;$D$27&amp;"'!C9")&gt;1964,0),IFERROR(INDIRECT("'"&amp;$D$27&amp;"'!C9")&lt;1975,0)),INDIRECT("'"&amp;$D$27&amp;"'!GO_2031"),0)
+IF(AND(IFERROR(INDIRECT("'"&amp;$D$28&amp;"'!C9")&gt;1964,0),IFERROR(INDIRECT("'"&amp;$D$28&amp;"'!C9")&lt;1975,0)),INDIRECT("'"&amp;$D$28&amp;"'!GO_2031"),0)
+IF(AND(IFERROR(INDIRECT("'"&amp;$D$29&amp;"'!C9")&gt;1964,0),IFERROR(INDIRECT("'"&amp;$D$29&amp;"'!C9")&lt;1975,0)),INDIRECT("'"&amp;$D$29&amp;"'!GO_2031"),0)
+IF(AND(IFERROR(INDIRECT("'"&amp;$D$30&amp;"'!C9")&gt;1964,0),IFERROR(INDIRECT("'"&amp;$D$30&amp;"'!C9")&lt;1975,0)),INDIRECT("'"&amp;$D$30&amp;"'!GO_2031"),0)
+IF(AND(IFERROR(INDIRECT("'"&amp;$D$31&amp;"'!C9")&gt;1964,0),IFERROR(INDIRECT("'"&amp;$D$31&amp;"'!C9")&lt;1975,0)),INDIRECT("'"&amp;$D$31&amp;"'!GO_2031"),0)
+IF(AND(IFERROR(INDIRECT("'"&amp;$D$32&amp;"'!C9")&gt;1964,0),IFERROR(INDIRECT("'"&amp;$D$32&amp;"'!C9")&lt;1975,0)),INDIRECT("'"&amp;$D$32&amp;"'!GO_2031"),0)
+IF(AND(IFERROR(INDIRECT("'"&amp;$D$33&amp;"'!C9")&gt;1964,0),IFERROR(INDIRECT("'"&amp;$D$33&amp;"'!C9")&lt;1975,0)),INDIRECT("'"&amp;$D$33&amp;"'!GO_2031"),0)
+IF(AND(IFERROR(INDIRECT("'"&amp;$D$34&amp;"'!C9")&gt;1964,0),IFERROR(INDIRECT("'"&amp;$D$34&amp;"'!C9")&lt;1975,0)),INDIRECT("'"&amp;$D$34&amp;"'!GO_2031"),0)
+IF(AND(IFERROR(INDIRECT("'"&amp;$D$35&amp;"'!C9")&gt;1964,0),IFERROR(INDIRECT("'"&amp;$D$35&amp;"'!C9")&lt;1975,0)),INDIRECT("'"&amp;$D$35&amp;"'!GO_2031"),0)
+IF(AND(IFERROR(INDIRECT("'"&amp;$D$36&amp;"'!C9")&gt;1964,0),IFERROR(INDIRECT("'"&amp;$D$36&amp;"'!C9")&lt;1975,0)),INDIRECT("'"&amp;$D$36&amp;"'!GO_2031"),0)
+IF(AND(IFERROR(INDIRECT("'"&amp;$D$37&amp;"'!C9")&gt;1964,0),IFERROR(INDIRECT("'"&amp;$D$37&amp;"'!C9")&lt;1975,0)),INDIRECT("'"&amp;$D$37&amp;"'!GO_2031"),0)
+IF(AND(IFERROR(INDIRECT("'"&amp;$D$38&amp;"'!C9")&gt;1964,0),IFERROR(INDIRECT("'"&amp;$D$38&amp;"'!C9")&lt;1975,0)),INDIRECT("'"&amp;$D$38&amp;"'!GO_2031"),0)
+IF(AND(IFERROR(INDIRECT("'"&amp;$D$39&amp;"'!C9")&gt;1964,0),IFERROR(INDIRECT("'"&amp;$D$39&amp;"'!C9")&lt;1975,0)),INDIRECT("'"&amp;$D$39&amp;"'!GO_2031"),0)
+IF(AND(IFERROR(INDIRECT("'"&amp;$D$40&amp;"'!C9")&gt;1964,0),IFERROR(INDIRECT("'"&amp;$D$40&amp;"'!C9")&lt;1975,0)),INDIRECT("'"&amp;$D$40&amp;"'!GO_2031"),0)
+IF(AND(IFERROR(INDIRECT("'"&amp;$D$41&amp;"'!C9")&gt;1964,0),IFERROR(INDIRECT("'"&amp;$D$41&amp;"'!C9")&lt;1975,0)),INDIRECT("'"&amp;$D$41&amp;"'!GO_2031"),0)
+IF(AND(IFERROR(INDIRECT("'"&amp;$D$42&amp;"'!C9")&gt;1964,0),IFERROR(INDIRECT("'"&amp;$D$42&amp;"'!C9")&lt;1975,0)),INDIRECT("'"&amp;$D$42&amp;"'!GO_2031"),0)
+IF(AND(IFERROR(INDIRECT("'"&amp;$D$43&amp;"'!C9")&gt;1964,0),IFERROR(INDIRECT("'"&amp;$D$43&amp;"'!C9")&lt;1975,0)),INDIRECT("'"&amp;$D$43&amp;"'!GO_2031"),0)
+IF(AND(IFERROR(INDIRECT("'"&amp;$D$44&amp;"'!C9")&gt;1964,0),IFERROR(INDIRECT("'"&amp;$D$44&amp;"'!C9")&lt;1975,0)),INDIRECT("'"&amp;$D$44&amp;"'!GO_2031"),0)
+IF(AND(IFERROR(INDIRECT("'"&amp;$D$45&amp;"'!C9")&gt;1964,0),IFERROR(INDIRECT("'"&amp;$D$45&amp;"'!C9")&lt;1975,0)),INDIRECT("'"&amp;$D$45&amp;"'!GO_2031"),0)
+IF(AND(IFERROR(INDIRECT("'"&amp;$D$46&amp;"'!C9")&gt;1964,0),IFERROR(INDIRECT("'"&amp;$D$46&amp;"'!C9")&lt;1975,0)),INDIRECT("'"&amp;$D$46&amp;"'!GO_2031"),0)
+IF(AND(IFERROR(INDIRECT("'"&amp;$D$47&amp;"'!C9")&gt;1964,0),IFERROR(INDIRECT("'"&amp;$D$47&amp;"'!C9")&lt;1975,0)),INDIRECT("'"&amp;$D$47&amp;"'!GO_2031"),0)
+IF(AND(IFERROR(INDIRECT("'"&amp;$D$48&amp;"'!C9")&gt;1964,0),IFERROR(INDIRECT("'"&amp;$D$48&amp;"'!C9")&lt;1975,0)),INDIRECT("'"&amp;$D$48&amp;"'!GO_2031"),0)
+IF(AND(IFERROR(INDIRECT("'"&amp;$D$49&amp;"'!C9")&gt;1964,0),IFERROR(INDIRECT("'"&amp;$D$49&amp;"'!C9")&lt;1975,0)),INDIRECT("'"&amp;$D$49&amp;"'!GO_2031"),0)
+IF(AND(IFERROR(INDIRECT("'"&amp;$D$50&amp;"'!C9")&gt;1964,0),IFERROR(INDIRECT("'"&amp;$D$50&amp;"'!C9")&lt;1975,0)),INDIRECT("'"&amp;$D$50&amp;"'!GO_2031"),0)
+IF(AND(IFERROR(INDIRECT("'"&amp;$D$51&amp;"'!C9")&gt;1964,0),IFERROR(INDIRECT("'"&amp;$D$51&amp;"'!C9")&lt;1975,0)),INDIRECT("'"&amp;$D$51&amp;"'!GO_2031"),0)
+IF(AND(IFERROR(INDIRECT("'"&amp;$D$52&amp;"'!C9")&gt;1964,0),IFERROR(INDIRECT("'"&amp;$D$52&amp;"'!C9")&lt;1975,0)),INDIRECT("'"&amp;$D$52&amp;"'!GO_2031"),0)
+IF(AND(IFERROR(INDIRECT("'"&amp;$D$53&amp;"'!C9")&gt;1964,0),IFERROR(INDIRECT("'"&amp;$D$53&amp;"'!C9")&lt;1975,0)),INDIRECT("'"&amp;$D$53&amp;"'!GO_2031"),0)
+IF(AND(IFERROR(INDIRECT("'"&amp;$D$54&amp;"'!C9")&gt;1964,0),IFERROR(INDIRECT("'"&amp;$D$54&amp;"'!C9")&lt;1975,0)),INDIRECT("'"&amp;$D$54&amp;"'!GO_2031"),0)</f>
        <v>0</v>
      </c>
      <c r="V25" s="321">
        <f ca="1">IF(AND(IFERROR(INDIRECT("'"&amp;$D$5&amp;"'!C9")&gt;1964,0),IFERROR(INDIRECT("'"&amp;$D$5&amp;"'!C9")&lt;1975,0)),INDIRECT("'"&amp;$D$5&amp;"'!GO_2032"),0)
+IF(AND(IFERROR(INDIRECT("'"&amp;$D$6&amp;"'!C9")&gt;1964,0),IFERROR(INDIRECT("'"&amp;$D$6&amp;"'!C9")&lt;1975,0)),INDIRECT("'"&amp;$D$6&amp;"'!GO_2032"),0)
+IF(AND(IFERROR(INDIRECT("'"&amp;$D$7&amp;"'!C9")&gt;1964,0),IFERROR(INDIRECT("'"&amp;$D$7&amp;"'!C9")&lt;1975,0)),INDIRECT("'"&amp;$D$7&amp;"'!GO_2032"),0)
+IF(AND(IFERROR(INDIRECT("'"&amp;$D$8&amp;"'!C9")&gt;1964,0),IFERROR(INDIRECT("'"&amp;$D$8&amp;"'!C9")&lt;1975,0)),INDIRECT("'"&amp;$D$8&amp;"'!GO_2032"),0)
+IF(AND(IFERROR(INDIRECT("'"&amp;$D$9&amp;"'!C9")&gt;1964,0),IFERROR(INDIRECT("'"&amp;$D$9&amp;"'!C9")&lt;1975,0)),INDIRECT("'"&amp;$D$9&amp;"'!GO_2032"),0)
+IF(AND(IFERROR(INDIRECT("'"&amp;$D$10&amp;"'!C9")&gt;1964,0),IFERROR(INDIRECT("'"&amp;$D$10&amp;"'!C9")&lt;1975,0)),INDIRECT("'"&amp;$D$10&amp;"'!GO_2032"),0)
+IF(AND(IFERROR(INDIRECT("'"&amp;$D$11&amp;"'!C9")&gt;1964,0),IFERROR(INDIRECT("'"&amp;$D$11&amp;"'!C9")&lt;1975,0)),INDIRECT("'"&amp;$D$11&amp;"'!GO_2032"),0)
+IF(AND(IFERROR(INDIRECT("'"&amp;$D$12&amp;"'!C9")&gt;1964,0),IFERROR(INDIRECT("'"&amp;$D$12&amp;"'!C9")&lt;1975,0)),INDIRECT("'"&amp;$D$12&amp;"'!GO_2032"),0)
+IF(AND(IFERROR(INDIRECT("'"&amp;$D$13&amp;"'!C9")&gt;1964,0),IFERROR(INDIRECT("'"&amp;$D$13&amp;"'!C9")&lt;1975,0)),INDIRECT("'"&amp;$D$13&amp;"'!GO_2032"),0)
+IF(AND(IFERROR(INDIRECT("'"&amp;$D$14&amp;"'!C9")&gt;1964,0),IFERROR(INDIRECT("'"&amp;$D$14&amp;"'!C9")&lt;1975,0)),INDIRECT("'"&amp;$D$14&amp;"'!GO_2032"),0)
+IF(AND(IFERROR(INDIRECT("'"&amp;$D$15&amp;"'!C9")&gt;1964,0),IFERROR(INDIRECT("'"&amp;$D$15&amp;"'!C9")&lt;1975,0)),INDIRECT("'"&amp;$D$15&amp;"'!GO_2032"),0)
+IF(AND(IFERROR(INDIRECT("'"&amp;$D$16&amp;"'!C9")&gt;1964,0),IFERROR(INDIRECT("'"&amp;$D$16&amp;"'!C9")&lt;1975,0)),INDIRECT("'"&amp;$D$16&amp;"'!GO_2032"),0)
+IF(AND(IFERROR(INDIRECT("'"&amp;$D$17&amp;"'!C9")&gt;1964,0),IFERROR(INDIRECT("'"&amp;$D$17&amp;"'!C9")&lt;1975,0)),INDIRECT("'"&amp;$D$17&amp;"'!GO_2032"),0)
+IF(AND(IFERROR(INDIRECT("'"&amp;$D$18&amp;"'!C9")&gt;1964,0),IFERROR(INDIRECT("'"&amp;$D$18&amp;"'!C9")&lt;1975,0)),INDIRECT("'"&amp;$D$18&amp;"'!GO_2032"),0)
+IF(AND(IFERROR(INDIRECT("'"&amp;$D$19&amp;"'!C9")&gt;1964,0),IFERROR(INDIRECT("'"&amp;$D$19&amp;"'!C9")&lt;1975,0)),INDIRECT("'"&amp;$D$19&amp;"'!GO_2032"),0)
+IF(AND(IFERROR(INDIRECT("'"&amp;$D$20&amp;"'!C9")&gt;1964,0),IFERROR(INDIRECT("'"&amp;$D$20&amp;"'!C9")&lt;1975,0)),INDIRECT("'"&amp;$D$20&amp;"'!GO_2032"),0)
+IF(AND(IFERROR(INDIRECT("'"&amp;$D$21&amp;"'!C9")&gt;1964,0),IFERROR(INDIRECT("'"&amp;$D$21&amp;"'!C9")&lt;1975,0)),INDIRECT("'"&amp;$D$21&amp;"'!GO_2032"),0)
+IF(AND(IFERROR(INDIRECT("'"&amp;$D$22&amp;"'!C9")&gt;1964,0),IFERROR(INDIRECT("'"&amp;$D$22&amp;"'!C9")&lt;1975,0)),INDIRECT("'"&amp;$D$22&amp;"'!GO_2032"),0)
+IF(AND(IFERROR(INDIRECT("'"&amp;$D$23&amp;"'!C9")&gt;1964,0),IFERROR(INDIRECT("'"&amp;$D$23&amp;"'!C9")&lt;1975,0)),INDIRECT("'"&amp;$D$23&amp;"'!GO_2032"),0)
+IF(AND(IFERROR(INDIRECT("'"&amp;$D$24&amp;"'!C9")&gt;1964,0),IFERROR(INDIRECT("'"&amp;$D$24&amp;"'!C9")&lt;1975,0)),INDIRECT("'"&amp;$D$24&amp;"'!GO_2032"),0)
+IF(AND(IFERROR(INDIRECT("'"&amp;$D$25&amp;"'!C9")&gt;1964,0),IFERROR(INDIRECT("'"&amp;$D$25&amp;"'!C9")&lt;1975,0)),INDIRECT("'"&amp;$D$25&amp;"'!GO_2032"),0)
+IF(AND(IFERROR(INDIRECT("'"&amp;$D$26&amp;"'!C9")&gt;1964,0),IFERROR(INDIRECT("'"&amp;$D$26&amp;"'!C9")&lt;1975,0)),INDIRECT("'"&amp;$D$26&amp;"'!GO_2032"),0)
+IF(AND(IFERROR(INDIRECT("'"&amp;$D$27&amp;"'!C9")&gt;1964,0),IFERROR(INDIRECT("'"&amp;$D$27&amp;"'!C9")&lt;1975,0)),INDIRECT("'"&amp;$D$27&amp;"'!GO_2032"),0)
+IF(AND(IFERROR(INDIRECT("'"&amp;$D$28&amp;"'!C9")&gt;1964,0),IFERROR(INDIRECT("'"&amp;$D$28&amp;"'!C9")&lt;1975,0)),INDIRECT("'"&amp;$D$28&amp;"'!GO_2032"),0)
+IF(AND(IFERROR(INDIRECT("'"&amp;$D$29&amp;"'!C9")&gt;1964,0),IFERROR(INDIRECT("'"&amp;$D$29&amp;"'!C9")&lt;1975,0)),INDIRECT("'"&amp;$D$29&amp;"'!GO_2032"),0)
+IF(AND(IFERROR(INDIRECT("'"&amp;$D$30&amp;"'!C9")&gt;1964,0),IFERROR(INDIRECT("'"&amp;$D$30&amp;"'!C9")&lt;1975,0)),INDIRECT("'"&amp;$D$30&amp;"'!GO_2032"),0)
+IF(AND(IFERROR(INDIRECT("'"&amp;$D$31&amp;"'!C9")&gt;1964,0),IFERROR(INDIRECT("'"&amp;$D$31&amp;"'!C9")&lt;1975,0)),INDIRECT("'"&amp;$D$31&amp;"'!GO_2032"),0)
+IF(AND(IFERROR(INDIRECT("'"&amp;$D$32&amp;"'!C9")&gt;1964,0),IFERROR(INDIRECT("'"&amp;$D$32&amp;"'!C9")&lt;1975,0)),INDIRECT("'"&amp;$D$32&amp;"'!GO_2032"),0)
+IF(AND(IFERROR(INDIRECT("'"&amp;$D$33&amp;"'!C9")&gt;1964,0),IFERROR(INDIRECT("'"&amp;$D$33&amp;"'!C9")&lt;1975,0)),INDIRECT("'"&amp;$D$33&amp;"'!GO_2032"),0)
+IF(AND(IFERROR(INDIRECT("'"&amp;$D$34&amp;"'!C9")&gt;1964,0),IFERROR(INDIRECT("'"&amp;$D$34&amp;"'!C9")&lt;1975,0)),INDIRECT("'"&amp;$D$34&amp;"'!GO_2032"),0)
+IF(AND(IFERROR(INDIRECT("'"&amp;$D$35&amp;"'!C9")&gt;1964,0),IFERROR(INDIRECT("'"&amp;$D$35&amp;"'!C9")&lt;1975,0)),INDIRECT("'"&amp;$D$35&amp;"'!GO_2032"),0)
+IF(AND(IFERROR(INDIRECT("'"&amp;$D$36&amp;"'!C9")&gt;1964,0),IFERROR(INDIRECT("'"&amp;$D$36&amp;"'!C9")&lt;1975,0)),INDIRECT("'"&amp;$D$36&amp;"'!GO_2032"),0)
+IF(AND(IFERROR(INDIRECT("'"&amp;$D$37&amp;"'!C9")&gt;1964,0),IFERROR(INDIRECT("'"&amp;$D$37&amp;"'!C9")&lt;1975,0)),INDIRECT("'"&amp;$D$37&amp;"'!GO_2032"),0)
+IF(AND(IFERROR(INDIRECT("'"&amp;$D$38&amp;"'!C9")&gt;1964,0),IFERROR(INDIRECT("'"&amp;$D$38&amp;"'!C9")&lt;1975,0)),INDIRECT("'"&amp;$D$38&amp;"'!GO_2032"),0)
+IF(AND(IFERROR(INDIRECT("'"&amp;$D$39&amp;"'!C9")&gt;1964,0),IFERROR(INDIRECT("'"&amp;$D$39&amp;"'!C9")&lt;1975,0)),INDIRECT("'"&amp;$D$39&amp;"'!GO_2032"),0)
+IF(AND(IFERROR(INDIRECT("'"&amp;$D$40&amp;"'!C9")&gt;1964,0),IFERROR(INDIRECT("'"&amp;$D$40&amp;"'!C9")&lt;1975,0)),INDIRECT("'"&amp;$D$40&amp;"'!GO_2032"),0)
+IF(AND(IFERROR(INDIRECT("'"&amp;$D$41&amp;"'!C9")&gt;1964,0),IFERROR(INDIRECT("'"&amp;$D$41&amp;"'!C9")&lt;1975,0)),INDIRECT("'"&amp;$D$41&amp;"'!GO_2032"),0)
+IF(AND(IFERROR(INDIRECT("'"&amp;$D$42&amp;"'!C9")&gt;1964,0),IFERROR(INDIRECT("'"&amp;$D$42&amp;"'!C9")&lt;1975,0)),INDIRECT("'"&amp;$D$42&amp;"'!GO_2032"),0)
+IF(AND(IFERROR(INDIRECT("'"&amp;$D$43&amp;"'!C9")&gt;1964,0),IFERROR(INDIRECT("'"&amp;$D$43&amp;"'!C9")&lt;1975,0)),INDIRECT("'"&amp;$D$43&amp;"'!GO_2032"),0)
+IF(AND(IFERROR(INDIRECT("'"&amp;$D$44&amp;"'!C9")&gt;1964,0),IFERROR(INDIRECT("'"&amp;$D$44&amp;"'!C9")&lt;1975,0)),INDIRECT("'"&amp;$D$44&amp;"'!GO_2032"),0)
+IF(AND(IFERROR(INDIRECT("'"&amp;$D$45&amp;"'!C9")&gt;1964,0),IFERROR(INDIRECT("'"&amp;$D$45&amp;"'!C9")&lt;1975,0)),INDIRECT("'"&amp;$D$45&amp;"'!GO_2032"),0)
+IF(AND(IFERROR(INDIRECT("'"&amp;$D$46&amp;"'!C9")&gt;1964,0),IFERROR(INDIRECT("'"&amp;$D$46&amp;"'!C9")&lt;1975,0)),INDIRECT("'"&amp;$D$46&amp;"'!GO_2032"),0)
+IF(AND(IFERROR(INDIRECT("'"&amp;$D$47&amp;"'!C9")&gt;1964,0),IFERROR(INDIRECT("'"&amp;$D$47&amp;"'!C9")&lt;1975,0)),INDIRECT("'"&amp;$D$47&amp;"'!GO_2032"),0)
+IF(AND(IFERROR(INDIRECT("'"&amp;$D$48&amp;"'!C9")&gt;1964,0),IFERROR(INDIRECT("'"&amp;$D$48&amp;"'!C9")&lt;1975,0)),INDIRECT("'"&amp;$D$48&amp;"'!GO_2032"),0)
+IF(AND(IFERROR(INDIRECT("'"&amp;$D$49&amp;"'!C9")&gt;1964,0),IFERROR(INDIRECT("'"&amp;$D$49&amp;"'!C9")&lt;1975,0)),INDIRECT("'"&amp;$D$49&amp;"'!GO_2032"),0)
+IF(AND(IFERROR(INDIRECT("'"&amp;$D$50&amp;"'!C9")&gt;1964,0),IFERROR(INDIRECT("'"&amp;$D$50&amp;"'!C9")&lt;1975,0)),INDIRECT("'"&amp;$D$50&amp;"'!GO_2032"),0)
+IF(AND(IFERROR(INDIRECT("'"&amp;$D$51&amp;"'!C9")&gt;1964,0),IFERROR(INDIRECT("'"&amp;$D$51&amp;"'!C9")&lt;1975,0)),INDIRECT("'"&amp;$D$51&amp;"'!GO_2032"),0)
+IF(AND(IFERROR(INDIRECT("'"&amp;$D$52&amp;"'!C9")&gt;1964,0),IFERROR(INDIRECT("'"&amp;$D$52&amp;"'!C9")&lt;1975,0)),INDIRECT("'"&amp;$D$52&amp;"'!GO_2032"),0)
+IF(AND(IFERROR(INDIRECT("'"&amp;$D$53&amp;"'!C9")&gt;1964,0),IFERROR(INDIRECT("'"&amp;$D$53&amp;"'!C9")&lt;1975,0)),INDIRECT("'"&amp;$D$53&amp;"'!GO_2032"),0)
+IF(AND(IFERROR(INDIRECT("'"&amp;$D$54&amp;"'!C9")&gt;1964,0),IFERROR(INDIRECT("'"&amp;$D$54&amp;"'!C9")&lt;1975,0)),INDIRECT("'"&amp;$D$54&amp;"'!GO_2032"),0)</f>
        <v>0</v>
      </c>
      <c r="W25" s="321">
        <f ca="1">IF(AND(IFERROR(INDIRECT("'"&amp;$D$5&amp;"'!C9")&gt;1964,0),IFERROR(INDIRECT("'"&amp;$D$5&amp;"'!C9")&lt;1975,0)),INDIRECT("'"&amp;$D$5&amp;"'!GO_2033"),0)
+IF(AND(IFERROR(INDIRECT("'"&amp;$D$6&amp;"'!C9")&gt;1964,0),IFERROR(INDIRECT("'"&amp;$D$6&amp;"'!C9")&lt;1975,0)),INDIRECT("'"&amp;$D$6&amp;"'!GO_2033"),0)
+IF(AND(IFERROR(INDIRECT("'"&amp;$D$7&amp;"'!C9")&gt;1964,0),IFERROR(INDIRECT("'"&amp;$D$7&amp;"'!C9")&lt;1975,0)),INDIRECT("'"&amp;$D$7&amp;"'!GO_2033"),0)
+IF(AND(IFERROR(INDIRECT("'"&amp;$D$8&amp;"'!C9")&gt;1964,0),IFERROR(INDIRECT("'"&amp;$D$8&amp;"'!C9")&lt;1975,0)),INDIRECT("'"&amp;$D$8&amp;"'!GO_2033"),0)
+IF(AND(IFERROR(INDIRECT("'"&amp;$D$9&amp;"'!C9")&gt;1964,0),IFERROR(INDIRECT("'"&amp;$D$9&amp;"'!C9")&lt;1975,0)),INDIRECT("'"&amp;$D$9&amp;"'!GO_2033"),0)
+IF(AND(IFERROR(INDIRECT("'"&amp;$D$10&amp;"'!C9")&gt;1964,0),IFERROR(INDIRECT("'"&amp;$D$10&amp;"'!C9")&lt;1975,0)),INDIRECT("'"&amp;$D$10&amp;"'!GO_2033"),0)
+IF(AND(IFERROR(INDIRECT("'"&amp;$D$11&amp;"'!C9")&gt;1964,0),IFERROR(INDIRECT("'"&amp;$D$11&amp;"'!C9")&lt;1975,0)),INDIRECT("'"&amp;$D$11&amp;"'!GO_2033"),0)
+IF(AND(IFERROR(INDIRECT("'"&amp;$D$12&amp;"'!C9")&gt;1964,0),IFERROR(INDIRECT("'"&amp;$D$12&amp;"'!C9")&lt;1975,0)),INDIRECT("'"&amp;$D$12&amp;"'!GO_2033"),0)
+IF(AND(IFERROR(INDIRECT("'"&amp;$D$13&amp;"'!C9")&gt;1964,0),IFERROR(INDIRECT("'"&amp;$D$13&amp;"'!C9")&lt;1975,0)),INDIRECT("'"&amp;$D$13&amp;"'!GO_2033"),0)
+IF(AND(IFERROR(INDIRECT("'"&amp;$D$14&amp;"'!C9")&gt;1964,0),IFERROR(INDIRECT("'"&amp;$D$14&amp;"'!C9")&lt;1975,0)),INDIRECT("'"&amp;$D$14&amp;"'!GO_2033"),0)
+IF(AND(IFERROR(INDIRECT("'"&amp;$D$15&amp;"'!C9")&gt;1964,0),IFERROR(INDIRECT("'"&amp;$D$15&amp;"'!C9")&lt;1975,0)),INDIRECT("'"&amp;$D$15&amp;"'!GO_2033"),0)
+IF(AND(IFERROR(INDIRECT("'"&amp;$D$16&amp;"'!C9")&gt;1964,0),IFERROR(INDIRECT("'"&amp;$D$16&amp;"'!C9")&lt;1975,0)),INDIRECT("'"&amp;$D$16&amp;"'!GO_2033"),0)
+IF(AND(IFERROR(INDIRECT("'"&amp;$D$17&amp;"'!C9")&gt;1964,0),IFERROR(INDIRECT("'"&amp;$D$17&amp;"'!C9")&lt;1975,0)),INDIRECT("'"&amp;$D$17&amp;"'!GO_2033"),0)
+IF(AND(IFERROR(INDIRECT("'"&amp;$D$18&amp;"'!C9")&gt;1964,0),IFERROR(INDIRECT("'"&amp;$D$18&amp;"'!C9")&lt;1975,0)),INDIRECT("'"&amp;$D$18&amp;"'!GO_2033"),0)
+IF(AND(IFERROR(INDIRECT("'"&amp;$D$19&amp;"'!C9")&gt;1964,0),IFERROR(INDIRECT("'"&amp;$D$19&amp;"'!C9")&lt;1975,0)),INDIRECT("'"&amp;$D$19&amp;"'!GO_2033"),0)
+IF(AND(IFERROR(INDIRECT("'"&amp;$D$20&amp;"'!C9")&gt;1964,0),IFERROR(INDIRECT("'"&amp;$D$20&amp;"'!C9")&lt;1975,0)),INDIRECT("'"&amp;$D$20&amp;"'!GO_2033"),0)
+IF(AND(IFERROR(INDIRECT("'"&amp;$D$21&amp;"'!C9")&gt;1964,0),IFERROR(INDIRECT("'"&amp;$D$21&amp;"'!C9")&lt;1975,0)),INDIRECT("'"&amp;$D$21&amp;"'!GO_2033"),0)
+IF(AND(IFERROR(INDIRECT("'"&amp;$D$22&amp;"'!C9")&gt;1964,0),IFERROR(INDIRECT("'"&amp;$D$22&amp;"'!C9")&lt;1975,0)),INDIRECT("'"&amp;$D$22&amp;"'!GO_2033"),0)
+IF(AND(IFERROR(INDIRECT("'"&amp;$D$23&amp;"'!C9")&gt;1964,0),IFERROR(INDIRECT("'"&amp;$D$23&amp;"'!C9")&lt;1975,0)),INDIRECT("'"&amp;$D$23&amp;"'!GO_2033"),0)
+IF(AND(IFERROR(INDIRECT("'"&amp;$D$24&amp;"'!C9")&gt;1964,0),IFERROR(INDIRECT("'"&amp;$D$24&amp;"'!C9")&lt;1975,0)),INDIRECT("'"&amp;$D$24&amp;"'!GO_2033"),0)
+IF(AND(IFERROR(INDIRECT("'"&amp;$D$25&amp;"'!C9")&gt;1964,0),IFERROR(INDIRECT("'"&amp;$D$25&amp;"'!C9")&lt;1975,0)),INDIRECT("'"&amp;$D$25&amp;"'!GO_2033"),0)
+IF(AND(IFERROR(INDIRECT("'"&amp;$D$26&amp;"'!C9")&gt;1964,0),IFERROR(INDIRECT("'"&amp;$D$26&amp;"'!C9")&lt;1975,0)),INDIRECT("'"&amp;$D$26&amp;"'!GO_2033"),0)
+IF(AND(IFERROR(INDIRECT("'"&amp;$D$27&amp;"'!C9")&gt;1964,0),IFERROR(INDIRECT("'"&amp;$D$27&amp;"'!C9")&lt;1975,0)),INDIRECT("'"&amp;$D$27&amp;"'!GO_2033"),0)
+IF(AND(IFERROR(INDIRECT("'"&amp;$D$28&amp;"'!C9")&gt;1964,0),IFERROR(INDIRECT("'"&amp;$D$28&amp;"'!C9")&lt;1975,0)),INDIRECT("'"&amp;$D$28&amp;"'!GO_2033"),0)
+IF(AND(IFERROR(INDIRECT("'"&amp;$D$29&amp;"'!C9")&gt;1964,0),IFERROR(INDIRECT("'"&amp;$D$29&amp;"'!C9")&lt;1975,0)),INDIRECT("'"&amp;$D$29&amp;"'!GO_2033"),0)
+IF(AND(IFERROR(INDIRECT("'"&amp;$D$30&amp;"'!C9")&gt;1964,0),IFERROR(INDIRECT("'"&amp;$D$30&amp;"'!C9")&lt;1975,0)),INDIRECT("'"&amp;$D$30&amp;"'!GO_2033"),0)
+IF(AND(IFERROR(INDIRECT("'"&amp;$D$31&amp;"'!C9")&gt;1964,0),IFERROR(INDIRECT("'"&amp;$D$31&amp;"'!C9")&lt;1975,0)),INDIRECT("'"&amp;$D$31&amp;"'!GO_2033"),0)
+IF(AND(IFERROR(INDIRECT("'"&amp;$D$32&amp;"'!C9")&gt;1964,0),IFERROR(INDIRECT("'"&amp;$D$32&amp;"'!C9")&lt;1975,0)),INDIRECT("'"&amp;$D$32&amp;"'!GO_2033"),0)
+IF(AND(IFERROR(INDIRECT("'"&amp;$D$33&amp;"'!C9")&gt;1964,0),IFERROR(INDIRECT("'"&amp;$D$33&amp;"'!C9")&lt;1975,0)),INDIRECT("'"&amp;$D$33&amp;"'!GO_2033"),0)
+IF(AND(IFERROR(INDIRECT("'"&amp;$D$34&amp;"'!C9")&gt;1964,0),IFERROR(INDIRECT("'"&amp;$D$34&amp;"'!C9")&lt;1975,0)),INDIRECT("'"&amp;$D$34&amp;"'!GO_2033"),0)
+IF(AND(IFERROR(INDIRECT("'"&amp;$D$35&amp;"'!C9")&gt;1964,0),IFERROR(INDIRECT("'"&amp;$D$35&amp;"'!C9")&lt;1975,0)),INDIRECT("'"&amp;$D$35&amp;"'!GO_2033"),0)
+IF(AND(IFERROR(INDIRECT("'"&amp;$D$36&amp;"'!C9")&gt;1964,0),IFERROR(INDIRECT("'"&amp;$D$36&amp;"'!C9")&lt;1975,0)),INDIRECT("'"&amp;$D$36&amp;"'!GO_2033"),0)
+IF(AND(IFERROR(INDIRECT("'"&amp;$D$37&amp;"'!C9")&gt;1964,0),IFERROR(INDIRECT("'"&amp;$D$37&amp;"'!C9")&lt;1975,0)),INDIRECT("'"&amp;$D$37&amp;"'!GO_2033"),0)
+IF(AND(IFERROR(INDIRECT("'"&amp;$D$38&amp;"'!C9")&gt;1964,0),IFERROR(INDIRECT("'"&amp;$D$38&amp;"'!C9")&lt;1975,0)),INDIRECT("'"&amp;$D$38&amp;"'!GO_2033"),0)
+IF(AND(IFERROR(INDIRECT("'"&amp;$D$39&amp;"'!C9")&gt;1964,0),IFERROR(INDIRECT("'"&amp;$D$39&amp;"'!C9")&lt;1975,0)),INDIRECT("'"&amp;$D$39&amp;"'!GO_2033"),0)
+IF(AND(IFERROR(INDIRECT("'"&amp;$D$40&amp;"'!C9")&gt;1964,0),IFERROR(INDIRECT("'"&amp;$D$40&amp;"'!C9")&lt;1975,0)),INDIRECT("'"&amp;$D$40&amp;"'!GO_2033"),0)
+IF(AND(IFERROR(INDIRECT("'"&amp;$D$41&amp;"'!C9")&gt;1964,0),IFERROR(INDIRECT("'"&amp;$D$41&amp;"'!C9")&lt;1975,0)),INDIRECT("'"&amp;$D$41&amp;"'!GO_2033"),0)
+IF(AND(IFERROR(INDIRECT("'"&amp;$D$42&amp;"'!C9")&gt;1964,0),IFERROR(INDIRECT("'"&amp;$D$42&amp;"'!C9")&lt;1975,0)),INDIRECT("'"&amp;$D$42&amp;"'!GO_2033"),0)
+IF(AND(IFERROR(INDIRECT("'"&amp;$D$43&amp;"'!C9")&gt;1964,0),IFERROR(INDIRECT("'"&amp;$D$43&amp;"'!C9")&lt;1975,0)),INDIRECT("'"&amp;$D$43&amp;"'!GO_2033"),0)
+IF(AND(IFERROR(INDIRECT("'"&amp;$D$44&amp;"'!C9")&gt;1964,0),IFERROR(INDIRECT("'"&amp;$D$44&amp;"'!C9")&lt;1975,0)),INDIRECT("'"&amp;$D$44&amp;"'!GO_2033"),0)
+IF(AND(IFERROR(INDIRECT("'"&amp;$D$45&amp;"'!C9")&gt;1964,0),IFERROR(INDIRECT("'"&amp;$D$45&amp;"'!C9")&lt;1975,0)),INDIRECT("'"&amp;$D$45&amp;"'!GO_2033"),0)
+IF(AND(IFERROR(INDIRECT("'"&amp;$D$46&amp;"'!C9")&gt;1964,0),IFERROR(INDIRECT("'"&amp;$D$46&amp;"'!C9")&lt;1975,0)),INDIRECT("'"&amp;$D$46&amp;"'!GO_2033"),0)
+IF(AND(IFERROR(INDIRECT("'"&amp;$D$47&amp;"'!C9")&gt;1964,0),IFERROR(INDIRECT("'"&amp;$D$47&amp;"'!C9")&lt;1975,0)),INDIRECT("'"&amp;$D$47&amp;"'!GO_2033"),0)
+IF(AND(IFERROR(INDIRECT("'"&amp;$D$48&amp;"'!C9")&gt;1964,0),IFERROR(INDIRECT("'"&amp;$D$48&amp;"'!C9")&lt;1975,0)),INDIRECT("'"&amp;$D$48&amp;"'!GO_2033"),0)
+IF(AND(IFERROR(INDIRECT("'"&amp;$D$49&amp;"'!C9")&gt;1964,0),IFERROR(INDIRECT("'"&amp;$D$49&amp;"'!C9")&lt;1975,0)),INDIRECT("'"&amp;$D$49&amp;"'!GO_2033"),0)
+IF(AND(IFERROR(INDIRECT("'"&amp;$D$50&amp;"'!C9")&gt;1964,0),IFERROR(INDIRECT("'"&amp;$D$50&amp;"'!C9")&lt;1975,0)),INDIRECT("'"&amp;$D$50&amp;"'!GO_2033"),0)
+IF(AND(IFERROR(INDIRECT("'"&amp;$D$51&amp;"'!C9")&gt;1964,0),IFERROR(INDIRECT("'"&amp;$D$51&amp;"'!C9")&lt;1975,0)),INDIRECT("'"&amp;$D$51&amp;"'!GO_2033"),0)
+IF(AND(IFERROR(INDIRECT("'"&amp;$D$52&amp;"'!C9")&gt;1964,0),IFERROR(INDIRECT("'"&amp;$D$52&amp;"'!C9")&lt;1975,0)),INDIRECT("'"&amp;$D$52&amp;"'!GO_2033"),0)
+IF(AND(IFERROR(INDIRECT("'"&amp;$D$53&amp;"'!C9")&gt;1964,0),IFERROR(INDIRECT("'"&amp;$D$53&amp;"'!C9")&lt;1975,0)),INDIRECT("'"&amp;$D$53&amp;"'!GO_2033"),0)
+IF(AND(IFERROR(INDIRECT("'"&amp;$D$54&amp;"'!C9")&gt;1964,0),IFERROR(INDIRECT("'"&amp;$D$54&amp;"'!C9")&lt;1975,0)),INDIRECT("'"&amp;$D$54&amp;"'!GO_2033"),0)</f>
        <v>0</v>
      </c>
      <c r="X25" s="321">
        <f ca="1">IF(AND(IFERROR(INDIRECT("'"&amp;$D$5&amp;"'!C9")&gt;1964,0),IFERROR(INDIRECT("'"&amp;$D$5&amp;"'!C9")&lt;1975,0)),INDIRECT("'"&amp;$D$5&amp;"'!GO_2034"),0)
+IF(AND(IFERROR(INDIRECT("'"&amp;$D$6&amp;"'!C9")&gt;1964,0),IFERROR(INDIRECT("'"&amp;$D$6&amp;"'!C9")&lt;1975,0)),INDIRECT("'"&amp;$D$6&amp;"'!GO_2034"),0)
+IF(AND(IFERROR(INDIRECT("'"&amp;$D$7&amp;"'!C9")&gt;1964,0),IFERROR(INDIRECT("'"&amp;$D$7&amp;"'!C9")&lt;1975,0)),INDIRECT("'"&amp;$D$7&amp;"'!GO_2034"),0)
+IF(AND(IFERROR(INDIRECT("'"&amp;$D$8&amp;"'!C9")&gt;1964,0),IFERROR(INDIRECT("'"&amp;$D$8&amp;"'!C9")&lt;1975,0)),INDIRECT("'"&amp;$D$8&amp;"'!GO_2034"),0)
+IF(AND(IFERROR(INDIRECT("'"&amp;$D$9&amp;"'!C9")&gt;1964,0),IFERROR(INDIRECT("'"&amp;$D$9&amp;"'!C9")&lt;1975,0)),INDIRECT("'"&amp;$D$9&amp;"'!GO_2034"),0)
+IF(AND(IFERROR(INDIRECT("'"&amp;$D$10&amp;"'!C9")&gt;1964,0),IFERROR(INDIRECT("'"&amp;$D$10&amp;"'!C9")&lt;1975,0)),INDIRECT("'"&amp;$D$10&amp;"'!GO_2034"),0)
+IF(AND(IFERROR(INDIRECT("'"&amp;$D$11&amp;"'!C9")&gt;1964,0),IFERROR(INDIRECT("'"&amp;$D$11&amp;"'!C9")&lt;1975,0)),INDIRECT("'"&amp;$D$11&amp;"'!GO_2034"),0)
+IF(AND(IFERROR(INDIRECT("'"&amp;$D$12&amp;"'!C9")&gt;1964,0),IFERROR(INDIRECT("'"&amp;$D$12&amp;"'!C9")&lt;1975,0)),INDIRECT("'"&amp;$D$12&amp;"'!GO_2034"),0)
+IF(AND(IFERROR(INDIRECT("'"&amp;$D$13&amp;"'!C9")&gt;1964,0),IFERROR(INDIRECT("'"&amp;$D$13&amp;"'!C9")&lt;1975,0)),INDIRECT("'"&amp;$D$13&amp;"'!GO_2034"),0)
+IF(AND(IFERROR(INDIRECT("'"&amp;$D$14&amp;"'!C9")&gt;1964,0),IFERROR(INDIRECT("'"&amp;$D$14&amp;"'!C9")&lt;1975,0)),INDIRECT("'"&amp;$D$14&amp;"'!GO_2034"),0)
+IF(AND(IFERROR(INDIRECT("'"&amp;$D$15&amp;"'!C9")&gt;1964,0),IFERROR(INDIRECT("'"&amp;$D$15&amp;"'!C9")&lt;1975,0)),INDIRECT("'"&amp;$D$15&amp;"'!GO_2034"),0)
+IF(AND(IFERROR(INDIRECT("'"&amp;$D$16&amp;"'!C9")&gt;1964,0),IFERROR(INDIRECT("'"&amp;$D$16&amp;"'!C9")&lt;1975,0)),INDIRECT("'"&amp;$D$16&amp;"'!GO_2034"),0)
+IF(AND(IFERROR(INDIRECT("'"&amp;$D$17&amp;"'!C9")&gt;1964,0),IFERROR(INDIRECT("'"&amp;$D$17&amp;"'!C9")&lt;1975,0)),INDIRECT("'"&amp;$D$17&amp;"'!GO_2034"),0)
+IF(AND(IFERROR(INDIRECT("'"&amp;$D$18&amp;"'!C9")&gt;1964,0),IFERROR(INDIRECT("'"&amp;$D$18&amp;"'!C9")&lt;1975,0)),INDIRECT("'"&amp;$D$18&amp;"'!GO_2034"),0)
+IF(AND(IFERROR(INDIRECT("'"&amp;$D$19&amp;"'!C9")&gt;1964,0),IFERROR(INDIRECT("'"&amp;$D$19&amp;"'!C9")&lt;1975,0)),INDIRECT("'"&amp;$D$19&amp;"'!GO_2034"),0)
+IF(AND(IFERROR(INDIRECT("'"&amp;$D$20&amp;"'!C9")&gt;1964,0),IFERROR(INDIRECT("'"&amp;$D$20&amp;"'!C9")&lt;1975,0)),INDIRECT("'"&amp;$D$20&amp;"'!GO_2034"),0)
+IF(AND(IFERROR(INDIRECT("'"&amp;$D$21&amp;"'!C9")&gt;1964,0),IFERROR(INDIRECT("'"&amp;$D$21&amp;"'!C9")&lt;1975,0)),INDIRECT("'"&amp;$D$21&amp;"'!GO_2034"),0)
+IF(AND(IFERROR(INDIRECT("'"&amp;$D$22&amp;"'!C9")&gt;1964,0),IFERROR(INDIRECT("'"&amp;$D$22&amp;"'!C9")&lt;1975,0)),INDIRECT("'"&amp;$D$22&amp;"'!GO_2034"),0)
+IF(AND(IFERROR(INDIRECT("'"&amp;$D$23&amp;"'!C9")&gt;1964,0),IFERROR(INDIRECT("'"&amp;$D$23&amp;"'!C9")&lt;1975,0)),INDIRECT("'"&amp;$D$23&amp;"'!GO_2034"),0)
+IF(AND(IFERROR(INDIRECT("'"&amp;$D$24&amp;"'!C9")&gt;1964,0),IFERROR(INDIRECT("'"&amp;$D$24&amp;"'!C9")&lt;1975,0)),INDIRECT("'"&amp;$D$24&amp;"'!GO_2034"),0)
+IF(AND(IFERROR(INDIRECT("'"&amp;$D$25&amp;"'!C9")&gt;1964,0),IFERROR(INDIRECT("'"&amp;$D$25&amp;"'!C9")&lt;1975,0)),INDIRECT("'"&amp;$D$25&amp;"'!GO_2034"),0)
+IF(AND(IFERROR(INDIRECT("'"&amp;$D$26&amp;"'!C9")&gt;1964,0),IFERROR(INDIRECT("'"&amp;$D$26&amp;"'!C9")&lt;1975,0)),INDIRECT("'"&amp;$D$26&amp;"'!GO_2034"),0)
+IF(AND(IFERROR(INDIRECT("'"&amp;$D$27&amp;"'!C9")&gt;1964,0),IFERROR(INDIRECT("'"&amp;$D$27&amp;"'!C9")&lt;1975,0)),INDIRECT("'"&amp;$D$27&amp;"'!GO_2034"),0)
+IF(AND(IFERROR(INDIRECT("'"&amp;$D$28&amp;"'!C9")&gt;1964,0),IFERROR(INDIRECT("'"&amp;$D$28&amp;"'!C9")&lt;1975,0)),INDIRECT("'"&amp;$D$28&amp;"'!GO_2034"),0)
+IF(AND(IFERROR(INDIRECT("'"&amp;$D$29&amp;"'!C9")&gt;1964,0),IFERROR(INDIRECT("'"&amp;$D$29&amp;"'!C9")&lt;1975,0)),INDIRECT("'"&amp;$D$29&amp;"'!GO_2034"),0)
+IF(AND(IFERROR(INDIRECT("'"&amp;$D$30&amp;"'!C9")&gt;1964,0),IFERROR(INDIRECT("'"&amp;$D$30&amp;"'!C9")&lt;1975,0)),INDIRECT("'"&amp;$D$30&amp;"'!GO_2034"),0)
+IF(AND(IFERROR(INDIRECT("'"&amp;$D$31&amp;"'!C9")&gt;1964,0),IFERROR(INDIRECT("'"&amp;$D$31&amp;"'!C9")&lt;1975,0)),INDIRECT("'"&amp;$D$31&amp;"'!GO_2034"),0)
+IF(AND(IFERROR(INDIRECT("'"&amp;$D$32&amp;"'!C9")&gt;1964,0),IFERROR(INDIRECT("'"&amp;$D$32&amp;"'!C9")&lt;1975,0)),INDIRECT("'"&amp;$D$32&amp;"'!GO_2034"),0)
+IF(AND(IFERROR(INDIRECT("'"&amp;$D$33&amp;"'!C9")&gt;1964,0),IFERROR(INDIRECT("'"&amp;$D$33&amp;"'!C9")&lt;1975,0)),INDIRECT("'"&amp;$D$33&amp;"'!GO_2034"),0)
+IF(AND(IFERROR(INDIRECT("'"&amp;$D$34&amp;"'!C9")&gt;1964,0),IFERROR(INDIRECT("'"&amp;$D$34&amp;"'!C9")&lt;1975,0)),INDIRECT("'"&amp;$D$34&amp;"'!GO_2034"),0)
+IF(AND(IFERROR(INDIRECT("'"&amp;$D$35&amp;"'!C9")&gt;1964,0),IFERROR(INDIRECT("'"&amp;$D$35&amp;"'!C9")&lt;1975,0)),INDIRECT("'"&amp;$D$35&amp;"'!GO_2034"),0)
+IF(AND(IFERROR(INDIRECT("'"&amp;$D$36&amp;"'!C9")&gt;1964,0),IFERROR(INDIRECT("'"&amp;$D$36&amp;"'!C9")&lt;1975,0)),INDIRECT("'"&amp;$D$36&amp;"'!GO_2034"),0)
+IF(AND(IFERROR(INDIRECT("'"&amp;$D$37&amp;"'!C9")&gt;1964,0),IFERROR(INDIRECT("'"&amp;$D$37&amp;"'!C9")&lt;1975,0)),INDIRECT("'"&amp;$D$37&amp;"'!GO_2034"),0)
+IF(AND(IFERROR(INDIRECT("'"&amp;$D$38&amp;"'!C9")&gt;1964,0),IFERROR(INDIRECT("'"&amp;$D$38&amp;"'!C9")&lt;1975,0)),INDIRECT("'"&amp;$D$38&amp;"'!GO_2034"),0)
+IF(AND(IFERROR(INDIRECT("'"&amp;$D$39&amp;"'!C9")&gt;1964,0),IFERROR(INDIRECT("'"&amp;$D$39&amp;"'!C9")&lt;1975,0)),INDIRECT("'"&amp;$D$39&amp;"'!GO_2034"),0)
+IF(AND(IFERROR(INDIRECT("'"&amp;$D$40&amp;"'!C9")&gt;1964,0),IFERROR(INDIRECT("'"&amp;$D$40&amp;"'!C9")&lt;1975,0)),INDIRECT("'"&amp;$D$40&amp;"'!GO_2034"),0)
+IF(AND(IFERROR(INDIRECT("'"&amp;$D$41&amp;"'!C9")&gt;1964,0),IFERROR(INDIRECT("'"&amp;$D$41&amp;"'!C9")&lt;1975,0)),INDIRECT("'"&amp;$D$41&amp;"'!GO_2034"),0)
+IF(AND(IFERROR(INDIRECT("'"&amp;$D$42&amp;"'!C9")&gt;1964,0),IFERROR(INDIRECT("'"&amp;$D$42&amp;"'!C9")&lt;1975,0)),INDIRECT("'"&amp;$D$42&amp;"'!GO_2034"),0)
+IF(AND(IFERROR(INDIRECT("'"&amp;$D$43&amp;"'!C9")&gt;1964,0),IFERROR(INDIRECT("'"&amp;$D$43&amp;"'!C9")&lt;1975,0)),INDIRECT("'"&amp;$D$43&amp;"'!GO_2034"),0)
+IF(AND(IFERROR(INDIRECT("'"&amp;$D$44&amp;"'!C9")&gt;1964,0),IFERROR(INDIRECT("'"&amp;$D$44&amp;"'!C9")&lt;1975,0)),INDIRECT("'"&amp;$D$44&amp;"'!GO_2034"),0)
+IF(AND(IFERROR(INDIRECT("'"&amp;$D$45&amp;"'!C9")&gt;1964,0),IFERROR(INDIRECT("'"&amp;$D$45&amp;"'!C9")&lt;1975,0)),INDIRECT("'"&amp;$D$45&amp;"'!GO_2034"),0)
+IF(AND(IFERROR(INDIRECT("'"&amp;$D$46&amp;"'!C9")&gt;1964,0),IFERROR(INDIRECT("'"&amp;$D$46&amp;"'!C9")&lt;1975,0)),INDIRECT("'"&amp;$D$46&amp;"'!GO_2034"),0)
+IF(AND(IFERROR(INDIRECT("'"&amp;$D$47&amp;"'!C9")&gt;1964,0),IFERROR(INDIRECT("'"&amp;$D$47&amp;"'!C9")&lt;1975,0)),INDIRECT("'"&amp;$D$47&amp;"'!GO_2034"),0)
+IF(AND(IFERROR(INDIRECT("'"&amp;$D$48&amp;"'!C9")&gt;1964,0),IFERROR(INDIRECT("'"&amp;$D$48&amp;"'!C9")&lt;1975,0)),INDIRECT("'"&amp;$D$48&amp;"'!GO_2034"),0)
+IF(AND(IFERROR(INDIRECT("'"&amp;$D$49&amp;"'!C9")&gt;1964,0),IFERROR(INDIRECT("'"&amp;$D$49&amp;"'!C9")&lt;1975,0)),INDIRECT("'"&amp;$D$49&amp;"'!GO_2034"),0)
+IF(AND(IFERROR(INDIRECT("'"&amp;$D$50&amp;"'!C9")&gt;1964,0),IFERROR(INDIRECT("'"&amp;$D$50&amp;"'!C9")&lt;1975,0)),INDIRECT("'"&amp;$D$50&amp;"'!GO_2034"),0)
+IF(AND(IFERROR(INDIRECT("'"&amp;$D$51&amp;"'!C9")&gt;1964,0),IFERROR(INDIRECT("'"&amp;$D$51&amp;"'!C9")&lt;1975,0)),INDIRECT("'"&amp;$D$51&amp;"'!GO_2034"),0)
+IF(AND(IFERROR(INDIRECT("'"&amp;$D$52&amp;"'!C9")&gt;1964,0),IFERROR(INDIRECT("'"&amp;$D$52&amp;"'!C9")&lt;1975,0)),INDIRECT("'"&amp;$D$52&amp;"'!GO_2034"),0)
+IF(AND(IFERROR(INDIRECT("'"&amp;$D$53&amp;"'!C9")&gt;1964,0),IFERROR(INDIRECT("'"&amp;$D$53&amp;"'!C9")&lt;1975,0)),INDIRECT("'"&amp;$D$53&amp;"'!GO_2034"),0)
+IF(AND(IFERROR(INDIRECT("'"&amp;$D$54&amp;"'!C9")&gt;1964,0),IFERROR(INDIRECT("'"&amp;$D$54&amp;"'!C9")&lt;1975,0)),INDIRECT("'"&amp;$D$54&amp;"'!GO_2034"),0)</f>
        <v>0</v>
      </c>
      <c r="Y25" s="321">
        <f ca="1">IF(AND(IFERROR(INDIRECT("'"&amp;$D$5&amp;"'!C9")&gt;1964,0),IFERROR(INDIRECT("'"&amp;$D$5&amp;"'!C9")&lt;1975,0)),INDIRECT("'"&amp;$D$5&amp;"'!GO_2035"),0)
+IF(AND(IFERROR(INDIRECT("'"&amp;$D$6&amp;"'!C9")&gt;1964,0),IFERROR(INDIRECT("'"&amp;$D$6&amp;"'!C9")&lt;1975,0)),INDIRECT("'"&amp;$D$6&amp;"'!GO_2035"),0)
+IF(AND(IFERROR(INDIRECT("'"&amp;$D$7&amp;"'!C9")&gt;1964,0),IFERROR(INDIRECT("'"&amp;$D$7&amp;"'!C9")&lt;1975,0)),INDIRECT("'"&amp;$D$7&amp;"'!GO_2035"),0)
+IF(AND(IFERROR(INDIRECT("'"&amp;$D$8&amp;"'!C9")&gt;1964,0),IFERROR(INDIRECT("'"&amp;$D$8&amp;"'!C9")&lt;1975,0)),INDIRECT("'"&amp;$D$8&amp;"'!GO_2035"),0)
+IF(AND(IFERROR(INDIRECT("'"&amp;$D$9&amp;"'!C9")&gt;1964,0),IFERROR(INDIRECT("'"&amp;$D$9&amp;"'!C9")&lt;1975,0)),INDIRECT("'"&amp;$D$9&amp;"'!GO_2035"),0)
+IF(AND(IFERROR(INDIRECT("'"&amp;$D$10&amp;"'!C9")&gt;1964,0),IFERROR(INDIRECT("'"&amp;$D$10&amp;"'!C9")&lt;1975,0)),INDIRECT("'"&amp;$D$10&amp;"'!GO_2035"),0)
+IF(AND(IFERROR(INDIRECT("'"&amp;$D$11&amp;"'!C9")&gt;1964,0),IFERROR(INDIRECT("'"&amp;$D$11&amp;"'!C9")&lt;1975,0)),INDIRECT("'"&amp;$D$11&amp;"'!GO_2035"),0)
+IF(AND(IFERROR(INDIRECT("'"&amp;$D$12&amp;"'!C9")&gt;1964,0),IFERROR(INDIRECT("'"&amp;$D$12&amp;"'!C9")&lt;1975,0)),INDIRECT("'"&amp;$D$12&amp;"'!GO_2035"),0)
+IF(AND(IFERROR(INDIRECT("'"&amp;$D$13&amp;"'!C9")&gt;1964,0),IFERROR(INDIRECT("'"&amp;$D$13&amp;"'!C9")&lt;1975,0)),INDIRECT("'"&amp;$D$13&amp;"'!GO_2035"),0)
+IF(AND(IFERROR(INDIRECT("'"&amp;$D$14&amp;"'!C9")&gt;1964,0),IFERROR(INDIRECT("'"&amp;$D$14&amp;"'!C9")&lt;1975,0)),INDIRECT("'"&amp;$D$14&amp;"'!GO_2035"),0)
+IF(AND(IFERROR(INDIRECT("'"&amp;$D$15&amp;"'!C9")&gt;1964,0),IFERROR(INDIRECT("'"&amp;$D$15&amp;"'!C9")&lt;1975,0)),INDIRECT("'"&amp;$D$15&amp;"'!GO_2035"),0)
+IF(AND(IFERROR(INDIRECT("'"&amp;$D$16&amp;"'!C9")&gt;1964,0),IFERROR(INDIRECT("'"&amp;$D$16&amp;"'!C9")&lt;1975,0)),INDIRECT("'"&amp;$D$16&amp;"'!GO_2035"),0)
+IF(AND(IFERROR(INDIRECT("'"&amp;$D$17&amp;"'!C9")&gt;1964,0),IFERROR(INDIRECT("'"&amp;$D$17&amp;"'!C9")&lt;1975,0)),INDIRECT("'"&amp;$D$17&amp;"'!GO_2035"),0)
+IF(AND(IFERROR(INDIRECT("'"&amp;$D$18&amp;"'!C9")&gt;1964,0),IFERROR(INDIRECT("'"&amp;$D$18&amp;"'!C9")&lt;1975,0)),INDIRECT("'"&amp;$D$18&amp;"'!GO_2035"),0)
+IF(AND(IFERROR(INDIRECT("'"&amp;$D$19&amp;"'!C9")&gt;1964,0),IFERROR(INDIRECT("'"&amp;$D$19&amp;"'!C9")&lt;1975,0)),INDIRECT("'"&amp;$D$19&amp;"'!GO_2035"),0)
+IF(AND(IFERROR(INDIRECT("'"&amp;$D$20&amp;"'!C9")&gt;1964,0),IFERROR(INDIRECT("'"&amp;$D$20&amp;"'!C9")&lt;1975,0)),INDIRECT("'"&amp;$D$20&amp;"'!GO_2035"),0)
+IF(AND(IFERROR(INDIRECT("'"&amp;$D$21&amp;"'!C9")&gt;1964,0),IFERROR(INDIRECT("'"&amp;$D$21&amp;"'!C9")&lt;1975,0)),INDIRECT("'"&amp;$D$21&amp;"'!GO_2035"),0)
+IF(AND(IFERROR(INDIRECT("'"&amp;$D$22&amp;"'!C9")&gt;1964,0),IFERROR(INDIRECT("'"&amp;$D$22&amp;"'!C9")&lt;1975,0)),INDIRECT("'"&amp;$D$22&amp;"'!GO_2035"),0)
+IF(AND(IFERROR(INDIRECT("'"&amp;$D$23&amp;"'!C9")&gt;1964,0),IFERROR(INDIRECT("'"&amp;$D$23&amp;"'!C9")&lt;1975,0)),INDIRECT("'"&amp;$D$23&amp;"'!GO_2035"),0)
+IF(AND(IFERROR(INDIRECT("'"&amp;$D$24&amp;"'!C9")&gt;1964,0),IFERROR(INDIRECT("'"&amp;$D$24&amp;"'!C9")&lt;1975,0)),INDIRECT("'"&amp;$D$24&amp;"'!GO_2035"),0)
+IF(AND(IFERROR(INDIRECT("'"&amp;$D$25&amp;"'!C9")&gt;1964,0),IFERROR(INDIRECT("'"&amp;$D$25&amp;"'!C9")&lt;1975,0)),INDIRECT("'"&amp;$D$25&amp;"'!GO_2035"),0)
+IF(AND(IFERROR(INDIRECT("'"&amp;$D$26&amp;"'!C9")&gt;1964,0),IFERROR(INDIRECT("'"&amp;$D$26&amp;"'!C9")&lt;1975,0)),INDIRECT("'"&amp;$D$26&amp;"'!GO_2035"),0)
+IF(AND(IFERROR(INDIRECT("'"&amp;$D$27&amp;"'!C9")&gt;1964,0),IFERROR(INDIRECT("'"&amp;$D$27&amp;"'!C9")&lt;1975,0)),INDIRECT("'"&amp;$D$27&amp;"'!GO_2035"),0)
+IF(AND(IFERROR(INDIRECT("'"&amp;$D$28&amp;"'!C9")&gt;1964,0),IFERROR(INDIRECT("'"&amp;$D$28&amp;"'!C9")&lt;1975,0)),INDIRECT("'"&amp;$D$28&amp;"'!GO_2035"),0)
+IF(AND(IFERROR(INDIRECT("'"&amp;$D$29&amp;"'!C9")&gt;1964,0),IFERROR(INDIRECT("'"&amp;$D$29&amp;"'!C9")&lt;1975,0)),INDIRECT("'"&amp;$D$29&amp;"'!GO_2035"),0)
+IF(AND(IFERROR(INDIRECT("'"&amp;$D$30&amp;"'!C9")&gt;1964,0),IFERROR(INDIRECT("'"&amp;$D$30&amp;"'!C9")&lt;1975,0)),INDIRECT("'"&amp;$D$30&amp;"'!GO_2035"),0)
+IF(AND(IFERROR(INDIRECT("'"&amp;$D$31&amp;"'!C9")&gt;1964,0),IFERROR(INDIRECT("'"&amp;$D$31&amp;"'!C9")&lt;1975,0)),INDIRECT("'"&amp;$D$31&amp;"'!GO_2035"),0)
+IF(AND(IFERROR(INDIRECT("'"&amp;$D$32&amp;"'!C9")&gt;1964,0),IFERROR(INDIRECT("'"&amp;$D$32&amp;"'!C9")&lt;1975,0)),INDIRECT("'"&amp;$D$32&amp;"'!GO_2035"),0)
+IF(AND(IFERROR(INDIRECT("'"&amp;$D$33&amp;"'!C9")&gt;1964,0),IFERROR(INDIRECT("'"&amp;$D$33&amp;"'!C9")&lt;1975,0)),INDIRECT("'"&amp;$D$33&amp;"'!GO_2035"),0)
+IF(AND(IFERROR(INDIRECT("'"&amp;$D$34&amp;"'!C9")&gt;1964,0),IFERROR(INDIRECT("'"&amp;$D$34&amp;"'!C9")&lt;1975,0)),INDIRECT("'"&amp;$D$34&amp;"'!GO_2035"),0)
+IF(AND(IFERROR(INDIRECT("'"&amp;$D$35&amp;"'!C9")&gt;1964,0),IFERROR(INDIRECT("'"&amp;$D$35&amp;"'!C9")&lt;1975,0)),INDIRECT("'"&amp;$D$35&amp;"'!GO_2035"),0)
+IF(AND(IFERROR(INDIRECT("'"&amp;$D$36&amp;"'!C9")&gt;1964,0),IFERROR(INDIRECT("'"&amp;$D$36&amp;"'!C9")&lt;1975,0)),INDIRECT("'"&amp;$D$36&amp;"'!GO_2035"),0)
+IF(AND(IFERROR(INDIRECT("'"&amp;$D$37&amp;"'!C9")&gt;1964,0),IFERROR(INDIRECT("'"&amp;$D$37&amp;"'!C9")&lt;1975,0)),INDIRECT("'"&amp;$D$37&amp;"'!GO_2035"),0)
+IF(AND(IFERROR(INDIRECT("'"&amp;$D$38&amp;"'!C9")&gt;1964,0),IFERROR(INDIRECT("'"&amp;$D$38&amp;"'!C9")&lt;1975,0)),INDIRECT("'"&amp;$D$38&amp;"'!GO_2035"),0)
+IF(AND(IFERROR(INDIRECT("'"&amp;$D$39&amp;"'!C9")&gt;1964,0),IFERROR(INDIRECT("'"&amp;$D$39&amp;"'!C9")&lt;1975,0)),INDIRECT("'"&amp;$D$39&amp;"'!GO_2035"),0)
+IF(AND(IFERROR(INDIRECT("'"&amp;$D$40&amp;"'!C9")&gt;1964,0),IFERROR(INDIRECT("'"&amp;$D$40&amp;"'!C9")&lt;1975,0)),INDIRECT("'"&amp;$D$40&amp;"'!GO_2035"),0)
+IF(AND(IFERROR(INDIRECT("'"&amp;$D$41&amp;"'!C9")&gt;1964,0),IFERROR(INDIRECT("'"&amp;$D$41&amp;"'!C9")&lt;1975,0)),INDIRECT("'"&amp;$D$41&amp;"'!GO_2035"),0)
+IF(AND(IFERROR(INDIRECT("'"&amp;$D$42&amp;"'!C9")&gt;1964,0),IFERROR(INDIRECT("'"&amp;$D$42&amp;"'!C9")&lt;1975,0)),INDIRECT("'"&amp;$D$42&amp;"'!GO_2035"),0)
+IF(AND(IFERROR(INDIRECT("'"&amp;$D$43&amp;"'!C9")&gt;1964,0),IFERROR(INDIRECT("'"&amp;$D$43&amp;"'!C9")&lt;1975,0)),INDIRECT("'"&amp;$D$43&amp;"'!GO_2035"),0)
+IF(AND(IFERROR(INDIRECT("'"&amp;$D$44&amp;"'!C9")&gt;1964,0),IFERROR(INDIRECT("'"&amp;$D$44&amp;"'!C9")&lt;1975,0)),INDIRECT("'"&amp;$D$44&amp;"'!GO_2035"),0)
+IF(AND(IFERROR(INDIRECT("'"&amp;$D$45&amp;"'!C9")&gt;1964,0),IFERROR(INDIRECT("'"&amp;$D$45&amp;"'!C9")&lt;1975,0)),INDIRECT("'"&amp;$D$45&amp;"'!GO_2035"),0)
+IF(AND(IFERROR(INDIRECT("'"&amp;$D$46&amp;"'!C9")&gt;1964,0),IFERROR(INDIRECT("'"&amp;$D$46&amp;"'!C9")&lt;1975,0)),INDIRECT("'"&amp;$D$46&amp;"'!GO_2035"),0)
+IF(AND(IFERROR(INDIRECT("'"&amp;$D$47&amp;"'!C9")&gt;1964,0),IFERROR(INDIRECT("'"&amp;$D$47&amp;"'!C9")&lt;1975,0)),INDIRECT("'"&amp;$D$47&amp;"'!GO_2035"),0)
+IF(AND(IFERROR(INDIRECT("'"&amp;$D$48&amp;"'!C9")&gt;1964,0),IFERROR(INDIRECT("'"&amp;$D$48&amp;"'!C9")&lt;1975,0)),INDIRECT("'"&amp;$D$48&amp;"'!GO_2035"),0)
+IF(AND(IFERROR(INDIRECT("'"&amp;$D$49&amp;"'!C9")&gt;1964,0),IFERROR(INDIRECT("'"&amp;$D$49&amp;"'!C9")&lt;1975,0)),INDIRECT("'"&amp;$D$49&amp;"'!GO_2035"),0)
+IF(AND(IFERROR(INDIRECT("'"&amp;$D$50&amp;"'!C9")&gt;1964,0),IFERROR(INDIRECT("'"&amp;$D$50&amp;"'!C9")&lt;1975,0)),INDIRECT("'"&amp;$D$50&amp;"'!GO_2035"),0)
+IF(AND(IFERROR(INDIRECT("'"&amp;$D$51&amp;"'!C9")&gt;1964,0),IFERROR(INDIRECT("'"&amp;$D$51&amp;"'!C9")&lt;1975,0)),INDIRECT("'"&amp;$D$51&amp;"'!GO_2035"),0)
+IF(AND(IFERROR(INDIRECT("'"&amp;$D$52&amp;"'!C9")&gt;1964,0),IFERROR(INDIRECT("'"&amp;$D$52&amp;"'!C9")&lt;1975,0)),INDIRECT("'"&amp;$D$52&amp;"'!GO_2035"),0)
+IF(AND(IFERROR(INDIRECT("'"&amp;$D$53&amp;"'!C9")&gt;1964,0),IFERROR(INDIRECT("'"&amp;$D$53&amp;"'!C9")&lt;1975,0)),INDIRECT("'"&amp;$D$53&amp;"'!GO_2035"),0)
+IF(AND(IFERROR(INDIRECT("'"&amp;$D$54&amp;"'!C9")&gt;1964,0),IFERROR(INDIRECT("'"&amp;$D$54&amp;"'!C9")&lt;1975,0)),INDIRECT("'"&amp;$D$54&amp;"'!GO_2035"),0)</f>
        <v>0</v>
      </c>
      <c r="Z25" s="321">
        <f ca="1">IF(AND(IFERROR(INDIRECT("'"&amp;$D$5&amp;"'!C9")&gt;1964,0),IFERROR(INDIRECT("'"&amp;$D$5&amp;"'!C9")&lt;1975,0)),INDIRECT("'"&amp;$D$5&amp;"'!GO_2036"),0)
+IF(AND(IFERROR(INDIRECT("'"&amp;$D$6&amp;"'!C9")&gt;1964,0),IFERROR(INDIRECT("'"&amp;$D$6&amp;"'!C9")&lt;1975,0)),INDIRECT("'"&amp;$D$6&amp;"'!GO_2036"),0)
+IF(AND(IFERROR(INDIRECT("'"&amp;$D$7&amp;"'!C9")&gt;1964,0),IFERROR(INDIRECT("'"&amp;$D$7&amp;"'!C9")&lt;1975,0)),INDIRECT("'"&amp;$D$7&amp;"'!GO_2036"),0)
+IF(AND(IFERROR(INDIRECT("'"&amp;$D$8&amp;"'!C9")&gt;1964,0),IFERROR(INDIRECT("'"&amp;$D$8&amp;"'!C9")&lt;1975,0)),INDIRECT("'"&amp;$D$8&amp;"'!GO_2036"),0)
+IF(AND(IFERROR(INDIRECT("'"&amp;$D$9&amp;"'!C9")&gt;1964,0),IFERROR(INDIRECT("'"&amp;$D$9&amp;"'!C9")&lt;1975,0)),INDIRECT("'"&amp;$D$9&amp;"'!GO_2036"),0)
+IF(AND(IFERROR(INDIRECT("'"&amp;$D$10&amp;"'!C9")&gt;1964,0),IFERROR(INDIRECT("'"&amp;$D$10&amp;"'!C9")&lt;1975,0)),INDIRECT("'"&amp;$D$10&amp;"'!GO_2036"),0)
+IF(AND(IFERROR(INDIRECT("'"&amp;$D$11&amp;"'!C9")&gt;1964,0),IFERROR(INDIRECT("'"&amp;$D$11&amp;"'!C9")&lt;1975,0)),INDIRECT("'"&amp;$D$11&amp;"'!GO_2036"),0)
+IF(AND(IFERROR(INDIRECT("'"&amp;$D$12&amp;"'!C9")&gt;1964,0),IFERROR(INDIRECT("'"&amp;$D$12&amp;"'!C9")&lt;1975,0)),INDIRECT("'"&amp;$D$12&amp;"'!GO_2036"),0)
+IF(AND(IFERROR(INDIRECT("'"&amp;$D$13&amp;"'!C9")&gt;1964,0),IFERROR(INDIRECT("'"&amp;$D$13&amp;"'!C9")&lt;1975,0)),INDIRECT("'"&amp;$D$13&amp;"'!GO_2036"),0)
+IF(AND(IFERROR(INDIRECT("'"&amp;$D$14&amp;"'!C9")&gt;1964,0),IFERROR(INDIRECT("'"&amp;$D$14&amp;"'!C9")&lt;1975,0)),INDIRECT("'"&amp;$D$14&amp;"'!GO_2036"),0)
+IF(AND(IFERROR(INDIRECT("'"&amp;$D$15&amp;"'!C9")&gt;1964,0),IFERROR(INDIRECT("'"&amp;$D$15&amp;"'!C9")&lt;1975,0)),INDIRECT("'"&amp;$D$15&amp;"'!GO_2036"),0)
+IF(AND(IFERROR(INDIRECT("'"&amp;$D$16&amp;"'!C9")&gt;1964,0),IFERROR(INDIRECT("'"&amp;$D$16&amp;"'!C9")&lt;1975,0)),INDIRECT("'"&amp;$D$16&amp;"'!GO_2036"),0)
+IF(AND(IFERROR(INDIRECT("'"&amp;$D$17&amp;"'!C9")&gt;1964,0),IFERROR(INDIRECT("'"&amp;$D$17&amp;"'!C9")&lt;1975,0)),INDIRECT("'"&amp;$D$17&amp;"'!GO_2036"),0)
+IF(AND(IFERROR(INDIRECT("'"&amp;$D$18&amp;"'!C9")&gt;1964,0),IFERROR(INDIRECT("'"&amp;$D$18&amp;"'!C9")&lt;1975,0)),INDIRECT("'"&amp;$D$18&amp;"'!GO_2036"),0)
+IF(AND(IFERROR(INDIRECT("'"&amp;$D$19&amp;"'!C9")&gt;1964,0),IFERROR(INDIRECT("'"&amp;$D$19&amp;"'!C9")&lt;1975,0)),INDIRECT("'"&amp;$D$19&amp;"'!GO_2036"),0)
+IF(AND(IFERROR(INDIRECT("'"&amp;$D$20&amp;"'!C9")&gt;1964,0),IFERROR(INDIRECT("'"&amp;$D$20&amp;"'!C9")&lt;1975,0)),INDIRECT("'"&amp;$D$20&amp;"'!GO_2036"),0)
+IF(AND(IFERROR(INDIRECT("'"&amp;$D$21&amp;"'!C9")&gt;1964,0),IFERROR(INDIRECT("'"&amp;$D$21&amp;"'!C9")&lt;1975,0)),INDIRECT("'"&amp;$D$21&amp;"'!GO_2036"),0)
+IF(AND(IFERROR(INDIRECT("'"&amp;$D$22&amp;"'!C9")&gt;1964,0),IFERROR(INDIRECT("'"&amp;$D$22&amp;"'!C9")&lt;1975,0)),INDIRECT("'"&amp;$D$22&amp;"'!GO_2036"),0)
+IF(AND(IFERROR(INDIRECT("'"&amp;$D$23&amp;"'!C9")&gt;1964,0),IFERROR(INDIRECT("'"&amp;$D$23&amp;"'!C9")&lt;1975,0)),INDIRECT("'"&amp;$D$23&amp;"'!GO_2036"),0)
+IF(AND(IFERROR(INDIRECT("'"&amp;$D$24&amp;"'!C9")&gt;1964,0),IFERROR(INDIRECT("'"&amp;$D$24&amp;"'!C9")&lt;1975,0)),INDIRECT("'"&amp;$D$24&amp;"'!GO_2036"),0)
+IF(AND(IFERROR(INDIRECT("'"&amp;$D$25&amp;"'!C9")&gt;1964,0),IFERROR(INDIRECT("'"&amp;$D$25&amp;"'!C9")&lt;1975,0)),INDIRECT("'"&amp;$D$25&amp;"'!GO_2036"),0)
+IF(AND(IFERROR(INDIRECT("'"&amp;$D$26&amp;"'!C9")&gt;1964,0),IFERROR(INDIRECT("'"&amp;$D$26&amp;"'!C9")&lt;1975,0)),INDIRECT("'"&amp;$D$26&amp;"'!GO_2036"),0)
+IF(AND(IFERROR(INDIRECT("'"&amp;$D$27&amp;"'!C9")&gt;1964,0),IFERROR(INDIRECT("'"&amp;$D$27&amp;"'!C9")&lt;1975,0)),INDIRECT("'"&amp;$D$27&amp;"'!GO_2036"),0)
+IF(AND(IFERROR(INDIRECT("'"&amp;$D$28&amp;"'!C9")&gt;1964,0),IFERROR(INDIRECT("'"&amp;$D$28&amp;"'!C9")&lt;1975,0)),INDIRECT("'"&amp;$D$28&amp;"'!GO_2036"),0)
+IF(AND(IFERROR(INDIRECT("'"&amp;$D$29&amp;"'!C9")&gt;1964,0),IFERROR(INDIRECT("'"&amp;$D$29&amp;"'!C9")&lt;1975,0)),INDIRECT("'"&amp;$D$29&amp;"'!GO_2036"),0)
+IF(AND(IFERROR(INDIRECT("'"&amp;$D$30&amp;"'!C9")&gt;1964,0),IFERROR(INDIRECT("'"&amp;$D$30&amp;"'!C9")&lt;1975,0)),INDIRECT("'"&amp;$D$30&amp;"'!GO_2036"),0)
+IF(AND(IFERROR(INDIRECT("'"&amp;$D$31&amp;"'!C9")&gt;1964,0),IFERROR(INDIRECT("'"&amp;$D$31&amp;"'!C9")&lt;1975,0)),INDIRECT("'"&amp;$D$31&amp;"'!GO_2036"),0)
+IF(AND(IFERROR(INDIRECT("'"&amp;$D$32&amp;"'!C9")&gt;1964,0),IFERROR(INDIRECT("'"&amp;$D$32&amp;"'!C9")&lt;1975,0)),INDIRECT("'"&amp;$D$32&amp;"'!GO_2036"),0)
+IF(AND(IFERROR(INDIRECT("'"&amp;$D$33&amp;"'!C9")&gt;1964,0),IFERROR(INDIRECT("'"&amp;$D$33&amp;"'!C9")&lt;1975,0)),INDIRECT("'"&amp;$D$33&amp;"'!GO_2036"),0)
+IF(AND(IFERROR(INDIRECT("'"&amp;$D$34&amp;"'!C9")&gt;1964,0),IFERROR(INDIRECT("'"&amp;$D$34&amp;"'!C9")&lt;1975,0)),INDIRECT("'"&amp;$D$34&amp;"'!GO_2036"),0)
+IF(AND(IFERROR(INDIRECT("'"&amp;$D$35&amp;"'!C9")&gt;1964,0),IFERROR(INDIRECT("'"&amp;$D$35&amp;"'!C9")&lt;1975,0)),INDIRECT("'"&amp;$D$35&amp;"'!GO_2036"),0)
+IF(AND(IFERROR(INDIRECT("'"&amp;$D$36&amp;"'!C9")&gt;1964,0),IFERROR(INDIRECT("'"&amp;$D$36&amp;"'!C9")&lt;1975,0)),INDIRECT("'"&amp;$D$36&amp;"'!GO_2036"),0)
+IF(AND(IFERROR(INDIRECT("'"&amp;$D$37&amp;"'!C9")&gt;1964,0),IFERROR(INDIRECT("'"&amp;$D$37&amp;"'!C9")&lt;1975,0)),INDIRECT("'"&amp;$D$37&amp;"'!GO_2036"),0)
+IF(AND(IFERROR(INDIRECT("'"&amp;$D$38&amp;"'!C9")&gt;1964,0),IFERROR(INDIRECT("'"&amp;$D$38&amp;"'!C9")&lt;1975,0)),INDIRECT("'"&amp;$D$38&amp;"'!GO_2036"),0)
+IF(AND(IFERROR(INDIRECT("'"&amp;$D$39&amp;"'!C9")&gt;1964,0),IFERROR(INDIRECT("'"&amp;$D$39&amp;"'!C9")&lt;1975,0)),INDIRECT("'"&amp;$D$39&amp;"'!GO_2036"),0)
+IF(AND(IFERROR(INDIRECT("'"&amp;$D$40&amp;"'!C9")&gt;1964,0),IFERROR(INDIRECT("'"&amp;$D$40&amp;"'!C9")&lt;1975,0)),INDIRECT("'"&amp;$D$40&amp;"'!GO_2036"),0)
+IF(AND(IFERROR(INDIRECT("'"&amp;$D$41&amp;"'!C9")&gt;1964,0),IFERROR(INDIRECT("'"&amp;$D$41&amp;"'!C9")&lt;1975,0)),INDIRECT("'"&amp;$D$41&amp;"'!GO_2036"),0)
+IF(AND(IFERROR(INDIRECT("'"&amp;$D$42&amp;"'!C9")&gt;1964,0),IFERROR(INDIRECT("'"&amp;$D$42&amp;"'!C9")&lt;1975,0)),INDIRECT("'"&amp;$D$42&amp;"'!GO_2036"),0)
+IF(AND(IFERROR(INDIRECT("'"&amp;$D$43&amp;"'!C9")&gt;1964,0),IFERROR(INDIRECT("'"&amp;$D$43&amp;"'!C9")&lt;1975,0)),INDIRECT("'"&amp;$D$43&amp;"'!GO_2036"),0)
+IF(AND(IFERROR(INDIRECT("'"&amp;$D$44&amp;"'!C9")&gt;1964,0),IFERROR(INDIRECT("'"&amp;$D$44&amp;"'!C9")&lt;1975,0)),INDIRECT("'"&amp;$D$44&amp;"'!GO_2036"),0)
+IF(AND(IFERROR(INDIRECT("'"&amp;$D$45&amp;"'!C9")&gt;1964,0),IFERROR(INDIRECT("'"&amp;$D$45&amp;"'!C9")&lt;1975,0)),INDIRECT("'"&amp;$D$45&amp;"'!GO_2036"),0)
+IF(AND(IFERROR(INDIRECT("'"&amp;$D$46&amp;"'!C9")&gt;1964,0),IFERROR(INDIRECT("'"&amp;$D$46&amp;"'!C9")&lt;1975,0)),INDIRECT("'"&amp;$D$46&amp;"'!GO_2036"),0)
+IF(AND(IFERROR(INDIRECT("'"&amp;$D$47&amp;"'!C9")&gt;1964,0),IFERROR(INDIRECT("'"&amp;$D$47&amp;"'!C9")&lt;1975,0)),INDIRECT("'"&amp;$D$47&amp;"'!GO_2036"),0)
+IF(AND(IFERROR(INDIRECT("'"&amp;$D$48&amp;"'!C9")&gt;1964,0),IFERROR(INDIRECT("'"&amp;$D$48&amp;"'!C9")&lt;1975,0)),INDIRECT("'"&amp;$D$48&amp;"'!GO_2036"),0)
+IF(AND(IFERROR(INDIRECT("'"&amp;$D$49&amp;"'!C9")&gt;1964,0),IFERROR(INDIRECT("'"&amp;$D$49&amp;"'!C9")&lt;1975,0)),INDIRECT("'"&amp;$D$49&amp;"'!GO_2036"),0)
+IF(AND(IFERROR(INDIRECT("'"&amp;$D$50&amp;"'!C9")&gt;1964,0),IFERROR(INDIRECT("'"&amp;$D$50&amp;"'!C9")&lt;1975,0)),INDIRECT("'"&amp;$D$50&amp;"'!GO_2036"),0)
+IF(AND(IFERROR(INDIRECT("'"&amp;$D$51&amp;"'!C9")&gt;1964,0),IFERROR(INDIRECT("'"&amp;$D$51&amp;"'!C9")&lt;1975,0)),INDIRECT("'"&amp;$D$51&amp;"'!GO_2036"),0)
+IF(AND(IFERROR(INDIRECT("'"&amp;$D$52&amp;"'!C9")&gt;1964,0),IFERROR(INDIRECT("'"&amp;$D$52&amp;"'!C9")&lt;1975,0)),INDIRECT("'"&amp;$D$52&amp;"'!GO_2036"),0)
+IF(AND(IFERROR(INDIRECT("'"&amp;$D$53&amp;"'!C9")&gt;1964,0),IFERROR(INDIRECT("'"&amp;$D$53&amp;"'!C9")&lt;1975,0)),INDIRECT("'"&amp;$D$53&amp;"'!GO_2036"),0)
+IF(AND(IFERROR(INDIRECT("'"&amp;$D$54&amp;"'!C9")&gt;1964,0),IFERROR(INDIRECT("'"&amp;$D$54&amp;"'!C9")&lt;1975,0)),INDIRECT("'"&amp;$D$54&amp;"'!GO_2036"),0)</f>
        <v>0</v>
      </c>
      <c r="AA25" s="321">
        <f ca="1">IF(AND(IFERROR(INDIRECT("'"&amp;$D$5&amp;"'!C9")&gt;1964,0),IFERROR(INDIRECT("'"&amp;$D$5&amp;"'!C9")&lt;1975,0)),INDIRECT("'"&amp;$D$5&amp;"'!GO_2037"),0)
+IF(AND(IFERROR(INDIRECT("'"&amp;$D$6&amp;"'!C9")&gt;1964,0),IFERROR(INDIRECT("'"&amp;$D$6&amp;"'!C9")&lt;1975,0)),INDIRECT("'"&amp;$D$6&amp;"'!GO_2037"),0)
+IF(AND(IFERROR(INDIRECT("'"&amp;$D$7&amp;"'!C9")&gt;1964,0),IFERROR(INDIRECT("'"&amp;$D$7&amp;"'!C9")&lt;1975,0)),INDIRECT("'"&amp;$D$7&amp;"'!GO_2037"),0)
+IF(AND(IFERROR(INDIRECT("'"&amp;$D$8&amp;"'!C9")&gt;1964,0),IFERROR(INDIRECT("'"&amp;$D$8&amp;"'!C9")&lt;1975,0)),INDIRECT("'"&amp;$D$8&amp;"'!GO_2037"),0)
+IF(AND(IFERROR(INDIRECT("'"&amp;$D$9&amp;"'!C9")&gt;1964,0),IFERROR(INDIRECT("'"&amp;$D$9&amp;"'!C9")&lt;1975,0)),INDIRECT("'"&amp;$D$9&amp;"'!GO_2037"),0)
+IF(AND(IFERROR(INDIRECT("'"&amp;$D$10&amp;"'!C9")&gt;1964,0),IFERROR(INDIRECT("'"&amp;$D$10&amp;"'!C9")&lt;1975,0)),INDIRECT("'"&amp;$D$10&amp;"'!GO_2037"),0)
+IF(AND(IFERROR(INDIRECT("'"&amp;$D$11&amp;"'!C9")&gt;1964,0),IFERROR(INDIRECT("'"&amp;$D$11&amp;"'!C9")&lt;1975,0)),INDIRECT("'"&amp;$D$11&amp;"'!GO_2037"),0)
+IF(AND(IFERROR(INDIRECT("'"&amp;$D$12&amp;"'!C9")&gt;1964,0),IFERROR(INDIRECT("'"&amp;$D$12&amp;"'!C9")&lt;1975,0)),INDIRECT("'"&amp;$D$12&amp;"'!GO_2037"),0)
+IF(AND(IFERROR(INDIRECT("'"&amp;$D$13&amp;"'!C9")&gt;1964,0),IFERROR(INDIRECT("'"&amp;$D$13&amp;"'!C9")&lt;1975,0)),INDIRECT("'"&amp;$D$13&amp;"'!GO_2037"),0)
+IF(AND(IFERROR(INDIRECT("'"&amp;$D$14&amp;"'!C9")&gt;1964,0),IFERROR(INDIRECT("'"&amp;$D$14&amp;"'!C9")&lt;1975,0)),INDIRECT("'"&amp;$D$14&amp;"'!GO_2037"),0)
+IF(AND(IFERROR(INDIRECT("'"&amp;$D$15&amp;"'!C9")&gt;1964,0),IFERROR(INDIRECT("'"&amp;$D$15&amp;"'!C9")&lt;1975,0)),INDIRECT("'"&amp;$D$15&amp;"'!GO_2037"),0)
+IF(AND(IFERROR(INDIRECT("'"&amp;$D$16&amp;"'!C9")&gt;1964,0),IFERROR(INDIRECT("'"&amp;$D$16&amp;"'!C9")&lt;1975,0)),INDIRECT("'"&amp;$D$16&amp;"'!GO_2037"),0)
+IF(AND(IFERROR(INDIRECT("'"&amp;$D$17&amp;"'!C9")&gt;1964,0),IFERROR(INDIRECT("'"&amp;$D$17&amp;"'!C9")&lt;1975,0)),INDIRECT("'"&amp;$D$17&amp;"'!GO_2037"),0)
+IF(AND(IFERROR(INDIRECT("'"&amp;$D$18&amp;"'!C9")&gt;1964,0),IFERROR(INDIRECT("'"&amp;$D$18&amp;"'!C9")&lt;1975,0)),INDIRECT("'"&amp;$D$18&amp;"'!GO_2037"),0)
+IF(AND(IFERROR(INDIRECT("'"&amp;$D$19&amp;"'!C9")&gt;1964,0),IFERROR(INDIRECT("'"&amp;$D$19&amp;"'!C9")&lt;1975,0)),INDIRECT("'"&amp;$D$19&amp;"'!GO_2037"),0)
+IF(AND(IFERROR(INDIRECT("'"&amp;$D$20&amp;"'!C9")&gt;1964,0),IFERROR(INDIRECT("'"&amp;$D$20&amp;"'!C9")&lt;1975,0)),INDIRECT("'"&amp;$D$20&amp;"'!GO_2037"),0)
+IF(AND(IFERROR(INDIRECT("'"&amp;$D$21&amp;"'!C9")&gt;1964,0),IFERROR(INDIRECT("'"&amp;$D$21&amp;"'!C9")&lt;1975,0)),INDIRECT("'"&amp;$D$21&amp;"'!GO_2037"),0)
+IF(AND(IFERROR(INDIRECT("'"&amp;$D$22&amp;"'!C9")&gt;1964,0),IFERROR(INDIRECT("'"&amp;$D$22&amp;"'!C9")&lt;1975,0)),INDIRECT("'"&amp;$D$22&amp;"'!GO_2037"),0)
+IF(AND(IFERROR(INDIRECT("'"&amp;$D$23&amp;"'!C9")&gt;1964,0),IFERROR(INDIRECT("'"&amp;$D$23&amp;"'!C9")&lt;1975,0)),INDIRECT("'"&amp;$D$23&amp;"'!GO_2037"),0)
+IF(AND(IFERROR(INDIRECT("'"&amp;$D$24&amp;"'!C9")&gt;1964,0),IFERROR(INDIRECT("'"&amp;$D$24&amp;"'!C9")&lt;1975,0)),INDIRECT("'"&amp;$D$24&amp;"'!GO_2037"),0)
+IF(AND(IFERROR(INDIRECT("'"&amp;$D$25&amp;"'!C9")&gt;1964,0),IFERROR(INDIRECT("'"&amp;$D$25&amp;"'!C9")&lt;1975,0)),INDIRECT("'"&amp;$D$25&amp;"'!GO_2037"),0)
+IF(AND(IFERROR(INDIRECT("'"&amp;$D$26&amp;"'!C9")&gt;1964,0),IFERROR(INDIRECT("'"&amp;$D$26&amp;"'!C9")&lt;1975,0)),INDIRECT("'"&amp;$D$26&amp;"'!GO_2037"),0)
+IF(AND(IFERROR(INDIRECT("'"&amp;$D$27&amp;"'!C9")&gt;1964,0),IFERROR(INDIRECT("'"&amp;$D$27&amp;"'!C9")&lt;1975,0)),INDIRECT("'"&amp;$D$27&amp;"'!GO_2037"),0)
+IF(AND(IFERROR(INDIRECT("'"&amp;$D$28&amp;"'!C9")&gt;1964,0),IFERROR(INDIRECT("'"&amp;$D$28&amp;"'!C9")&lt;1975,0)),INDIRECT("'"&amp;$D$28&amp;"'!GO_2037"),0)
+IF(AND(IFERROR(INDIRECT("'"&amp;$D$29&amp;"'!C9")&gt;1964,0),IFERROR(INDIRECT("'"&amp;$D$29&amp;"'!C9")&lt;1975,0)),INDIRECT("'"&amp;$D$29&amp;"'!GO_2037"),0)
+IF(AND(IFERROR(INDIRECT("'"&amp;$D$30&amp;"'!C9")&gt;1964,0),IFERROR(INDIRECT("'"&amp;$D$30&amp;"'!C9")&lt;1975,0)),INDIRECT("'"&amp;$D$30&amp;"'!GO_2037"),0)
+IF(AND(IFERROR(INDIRECT("'"&amp;$D$31&amp;"'!C9")&gt;1964,0),IFERROR(INDIRECT("'"&amp;$D$31&amp;"'!C9")&lt;1975,0)),INDIRECT("'"&amp;$D$31&amp;"'!GO_2037"),0)
+IF(AND(IFERROR(INDIRECT("'"&amp;$D$32&amp;"'!C9")&gt;1964,0),IFERROR(INDIRECT("'"&amp;$D$32&amp;"'!C9")&lt;1975,0)),INDIRECT("'"&amp;$D$32&amp;"'!GO_2037"),0)
+IF(AND(IFERROR(INDIRECT("'"&amp;$D$33&amp;"'!C9")&gt;1964,0),IFERROR(INDIRECT("'"&amp;$D$33&amp;"'!C9")&lt;1975,0)),INDIRECT("'"&amp;$D$33&amp;"'!GO_2037"),0)
+IF(AND(IFERROR(INDIRECT("'"&amp;$D$34&amp;"'!C9")&gt;1964,0),IFERROR(INDIRECT("'"&amp;$D$34&amp;"'!C9")&lt;1975,0)),INDIRECT("'"&amp;$D$34&amp;"'!GO_2037"),0)
+IF(AND(IFERROR(INDIRECT("'"&amp;$D$35&amp;"'!C9")&gt;1964,0),IFERROR(INDIRECT("'"&amp;$D$35&amp;"'!C9")&lt;1975,0)),INDIRECT("'"&amp;$D$35&amp;"'!GO_2037"),0)
+IF(AND(IFERROR(INDIRECT("'"&amp;$D$36&amp;"'!C9")&gt;1964,0),IFERROR(INDIRECT("'"&amp;$D$36&amp;"'!C9")&lt;1975,0)),INDIRECT("'"&amp;$D$36&amp;"'!GO_2037"),0)
+IF(AND(IFERROR(INDIRECT("'"&amp;$D$37&amp;"'!C9")&gt;1964,0),IFERROR(INDIRECT("'"&amp;$D$37&amp;"'!C9")&lt;1975,0)),INDIRECT("'"&amp;$D$37&amp;"'!GO_2037"),0)
+IF(AND(IFERROR(INDIRECT("'"&amp;$D$38&amp;"'!C9")&gt;1964,0),IFERROR(INDIRECT("'"&amp;$D$38&amp;"'!C9")&lt;1975,0)),INDIRECT("'"&amp;$D$38&amp;"'!GO_2037"),0)
+IF(AND(IFERROR(INDIRECT("'"&amp;$D$39&amp;"'!C9")&gt;1964,0),IFERROR(INDIRECT("'"&amp;$D$39&amp;"'!C9")&lt;1975,0)),INDIRECT("'"&amp;$D$39&amp;"'!GO_2037"),0)
+IF(AND(IFERROR(INDIRECT("'"&amp;$D$40&amp;"'!C9")&gt;1964,0),IFERROR(INDIRECT("'"&amp;$D$40&amp;"'!C9")&lt;1975,0)),INDIRECT("'"&amp;$D$40&amp;"'!GO_2037"),0)
+IF(AND(IFERROR(INDIRECT("'"&amp;$D$41&amp;"'!C9")&gt;1964,0),IFERROR(INDIRECT("'"&amp;$D$41&amp;"'!C9")&lt;1975,0)),INDIRECT("'"&amp;$D$41&amp;"'!GO_2037"),0)
+IF(AND(IFERROR(INDIRECT("'"&amp;$D$42&amp;"'!C9")&gt;1964,0),IFERROR(INDIRECT("'"&amp;$D$42&amp;"'!C9")&lt;1975,0)),INDIRECT("'"&amp;$D$42&amp;"'!GO_2037"),0)
+IF(AND(IFERROR(INDIRECT("'"&amp;$D$43&amp;"'!C9")&gt;1964,0),IFERROR(INDIRECT("'"&amp;$D$43&amp;"'!C9")&lt;1975,0)),INDIRECT("'"&amp;$D$43&amp;"'!GO_2037"),0)
+IF(AND(IFERROR(INDIRECT("'"&amp;$D$44&amp;"'!C9")&gt;1964,0),IFERROR(INDIRECT("'"&amp;$D$44&amp;"'!C9")&lt;1975,0)),INDIRECT("'"&amp;$D$44&amp;"'!GO_2037"),0)
+IF(AND(IFERROR(INDIRECT("'"&amp;$D$45&amp;"'!C9")&gt;1964,0),IFERROR(INDIRECT("'"&amp;$D$45&amp;"'!C9")&lt;1975,0)),INDIRECT("'"&amp;$D$45&amp;"'!GO_2037"),0)
+IF(AND(IFERROR(INDIRECT("'"&amp;$D$46&amp;"'!C9")&gt;1964,0),IFERROR(INDIRECT("'"&amp;$D$46&amp;"'!C9")&lt;1975,0)),INDIRECT("'"&amp;$D$46&amp;"'!GO_2037"),0)
+IF(AND(IFERROR(INDIRECT("'"&amp;$D$47&amp;"'!C9")&gt;1964,0),IFERROR(INDIRECT("'"&amp;$D$47&amp;"'!C9")&lt;1975,0)),INDIRECT("'"&amp;$D$47&amp;"'!GO_2037"),0)
+IF(AND(IFERROR(INDIRECT("'"&amp;$D$48&amp;"'!C9")&gt;1964,0),IFERROR(INDIRECT("'"&amp;$D$48&amp;"'!C9")&lt;1975,0)),INDIRECT("'"&amp;$D$48&amp;"'!GO_2037"),0)
+IF(AND(IFERROR(INDIRECT("'"&amp;$D$49&amp;"'!C9")&gt;1964,0),IFERROR(INDIRECT("'"&amp;$D$49&amp;"'!C9")&lt;1975,0)),INDIRECT("'"&amp;$D$49&amp;"'!GO_2037"),0)
+IF(AND(IFERROR(INDIRECT("'"&amp;$D$50&amp;"'!C9")&gt;1964,0),IFERROR(INDIRECT("'"&amp;$D$50&amp;"'!C9")&lt;1975,0)),INDIRECT("'"&amp;$D$50&amp;"'!GO_2037"),0)
+IF(AND(IFERROR(INDIRECT("'"&amp;$D$51&amp;"'!C9")&gt;1964,0),IFERROR(INDIRECT("'"&amp;$D$51&amp;"'!C9")&lt;1975,0)),INDIRECT("'"&amp;$D$51&amp;"'!GO_2037"),0)
+IF(AND(IFERROR(INDIRECT("'"&amp;$D$52&amp;"'!C9")&gt;1964,0),IFERROR(INDIRECT("'"&amp;$D$52&amp;"'!C9")&lt;1975,0)),INDIRECT("'"&amp;$D$52&amp;"'!GO_2037"),0)
+IF(AND(IFERROR(INDIRECT("'"&amp;$D$53&amp;"'!C9")&gt;1964,0),IFERROR(INDIRECT("'"&amp;$D$53&amp;"'!C9")&lt;1975,0)),INDIRECT("'"&amp;$D$53&amp;"'!GO_2037"),0)
+IF(AND(IFERROR(INDIRECT("'"&amp;$D$54&amp;"'!C9")&gt;1964,0),IFERROR(INDIRECT("'"&amp;$D$54&amp;"'!C9")&lt;1975,0)),INDIRECT("'"&amp;$D$54&amp;"'!GO_2037"),0)</f>
        <v>0</v>
      </c>
      <c r="AB25" s="321">
        <f ca="1">IF(AND(IFERROR(INDIRECT("'"&amp;$D$5&amp;"'!C9")&gt;1964,0),IFERROR(INDIRECT("'"&amp;$D$5&amp;"'!C9")&lt;1975,0)),INDIRECT("'"&amp;$D$5&amp;"'!GO_2038"),0)
+IF(AND(IFERROR(INDIRECT("'"&amp;$D$6&amp;"'!C9")&gt;1964,0),IFERROR(INDIRECT("'"&amp;$D$6&amp;"'!C9")&lt;1975,0)),INDIRECT("'"&amp;$D$6&amp;"'!GO_2038"),0)
+IF(AND(IFERROR(INDIRECT("'"&amp;$D$7&amp;"'!C9")&gt;1964,0),IFERROR(INDIRECT("'"&amp;$D$7&amp;"'!C9")&lt;1975,0)),INDIRECT("'"&amp;$D$7&amp;"'!GO_2038"),0)
+IF(AND(IFERROR(INDIRECT("'"&amp;$D$8&amp;"'!C9")&gt;1964,0),IFERROR(INDIRECT("'"&amp;$D$8&amp;"'!C9")&lt;1975,0)),INDIRECT("'"&amp;$D$8&amp;"'!GO_2038"),0)
+IF(AND(IFERROR(INDIRECT("'"&amp;$D$9&amp;"'!C9")&gt;1964,0),IFERROR(INDIRECT("'"&amp;$D$9&amp;"'!C9")&lt;1975,0)),INDIRECT("'"&amp;$D$9&amp;"'!GO_2038"),0)
+IF(AND(IFERROR(INDIRECT("'"&amp;$D$10&amp;"'!C9")&gt;1964,0),IFERROR(INDIRECT("'"&amp;$D$10&amp;"'!C9")&lt;1975,0)),INDIRECT("'"&amp;$D$10&amp;"'!GO_2038"),0)
+IF(AND(IFERROR(INDIRECT("'"&amp;$D$11&amp;"'!C9")&gt;1964,0),IFERROR(INDIRECT("'"&amp;$D$11&amp;"'!C9")&lt;1975,0)),INDIRECT("'"&amp;$D$11&amp;"'!GO_2038"),0)
+IF(AND(IFERROR(INDIRECT("'"&amp;$D$12&amp;"'!C9")&gt;1964,0),IFERROR(INDIRECT("'"&amp;$D$12&amp;"'!C9")&lt;1975,0)),INDIRECT("'"&amp;$D$12&amp;"'!GO_2038"),0)
+IF(AND(IFERROR(INDIRECT("'"&amp;$D$13&amp;"'!C9")&gt;1964,0),IFERROR(INDIRECT("'"&amp;$D$13&amp;"'!C9")&lt;1975,0)),INDIRECT("'"&amp;$D$13&amp;"'!GO_2038"),0)
+IF(AND(IFERROR(INDIRECT("'"&amp;$D$14&amp;"'!C9")&gt;1964,0),IFERROR(INDIRECT("'"&amp;$D$14&amp;"'!C9")&lt;1975,0)),INDIRECT("'"&amp;$D$14&amp;"'!GO_2038"),0)
+IF(AND(IFERROR(INDIRECT("'"&amp;$D$15&amp;"'!C9")&gt;1964,0),IFERROR(INDIRECT("'"&amp;$D$15&amp;"'!C9")&lt;1975,0)),INDIRECT("'"&amp;$D$15&amp;"'!GO_2038"),0)
+IF(AND(IFERROR(INDIRECT("'"&amp;$D$16&amp;"'!C9")&gt;1964,0),IFERROR(INDIRECT("'"&amp;$D$16&amp;"'!C9")&lt;1975,0)),INDIRECT("'"&amp;$D$16&amp;"'!GO_2038"),0)
+IF(AND(IFERROR(INDIRECT("'"&amp;$D$17&amp;"'!C9")&gt;1964,0),IFERROR(INDIRECT("'"&amp;$D$17&amp;"'!C9")&lt;1975,0)),INDIRECT("'"&amp;$D$17&amp;"'!GO_2038"),0)
+IF(AND(IFERROR(INDIRECT("'"&amp;$D$18&amp;"'!C9")&gt;1964,0),IFERROR(INDIRECT("'"&amp;$D$18&amp;"'!C9")&lt;1975,0)),INDIRECT("'"&amp;$D$18&amp;"'!GO_2038"),0)
+IF(AND(IFERROR(INDIRECT("'"&amp;$D$19&amp;"'!C9")&gt;1964,0),IFERROR(INDIRECT("'"&amp;$D$19&amp;"'!C9")&lt;1975,0)),INDIRECT("'"&amp;$D$19&amp;"'!GO_2038"),0)
+IF(AND(IFERROR(INDIRECT("'"&amp;$D$20&amp;"'!C9")&gt;1964,0),IFERROR(INDIRECT("'"&amp;$D$20&amp;"'!C9")&lt;1975,0)),INDIRECT("'"&amp;$D$20&amp;"'!GO_2038"),0)
+IF(AND(IFERROR(INDIRECT("'"&amp;$D$21&amp;"'!C9")&gt;1964,0),IFERROR(INDIRECT("'"&amp;$D$21&amp;"'!C9")&lt;1975,0)),INDIRECT("'"&amp;$D$21&amp;"'!GO_2038"),0)
+IF(AND(IFERROR(INDIRECT("'"&amp;$D$22&amp;"'!C9")&gt;1964,0),IFERROR(INDIRECT("'"&amp;$D$22&amp;"'!C9")&lt;1975,0)),INDIRECT("'"&amp;$D$22&amp;"'!GO_2038"),0)
+IF(AND(IFERROR(INDIRECT("'"&amp;$D$23&amp;"'!C9")&gt;1964,0),IFERROR(INDIRECT("'"&amp;$D$23&amp;"'!C9")&lt;1975,0)),INDIRECT("'"&amp;$D$23&amp;"'!GO_2038"),0)
+IF(AND(IFERROR(INDIRECT("'"&amp;$D$24&amp;"'!C9")&gt;1964,0),IFERROR(INDIRECT("'"&amp;$D$24&amp;"'!C9")&lt;1975,0)),INDIRECT("'"&amp;$D$24&amp;"'!GO_2038"),0)
+IF(AND(IFERROR(INDIRECT("'"&amp;$D$25&amp;"'!C9")&gt;1964,0),IFERROR(INDIRECT("'"&amp;$D$25&amp;"'!C9")&lt;1975,0)),INDIRECT("'"&amp;$D$25&amp;"'!GO_2038"),0)
+IF(AND(IFERROR(INDIRECT("'"&amp;$D$26&amp;"'!C9")&gt;1964,0),IFERROR(INDIRECT("'"&amp;$D$26&amp;"'!C9")&lt;1975,0)),INDIRECT("'"&amp;$D$26&amp;"'!GO_2038"),0)
+IF(AND(IFERROR(INDIRECT("'"&amp;$D$27&amp;"'!C9")&gt;1964,0),IFERROR(INDIRECT("'"&amp;$D$27&amp;"'!C9")&lt;1975,0)),INDIRECT("'"&amp;$D$27&amp;"'!GO_2038"),0)
+IF(AND(IFERROR(INDIRECT("'"&amp;$D$28&amp;"'!C9")&gt;1964,0),IFERROR(INDIRECT("'"&amp;$D$28&amp;"'!C9")&lt;1975,0)),INDIRECT("'"&amp;$D$28&amp;"'!GO_2038"),0)
+IF(AND(IFERROR(INDIRECT("'"&amp;$D$29&amp;"'!C9")&gt;1964,0),IFERROR(INDIRECT("'"&amp;$D$29&amp;"'!C9")&lt;1975,0)),INDIRECT("'"&amp;$D$29&amp;"'!GO_2038"),0)
+IF(AND(IFERROR(INDIRECT("'"&amp;$D$30&amp;"'!C9")&gt;1964,0),IFERROR(INDIRECT("'"&amp;$D$30&amp;"'!C9")&lt;1975,0)),INDIRECT("'"&amp;$D$30&amp;"'!GO_2038"),0)
+IF(AND(IFERROR(INDIRECT("'"&amp;$D$31&amp;"'!C9")&gt;1964,0),IFERROR(INDIRECT("'"&amp;$D$31&amp;"'!C9")&lt;1975,0)),INDIRECT("'"&amp;$D$31&amp;"'!GO_2038"),0)
+IF(AND(IFERROR(INDIRECT("'"&amp;$D$32&amp;"'!C9")&gt;1964,0),IFERROR(INDIRECT("'"&amp;$D$32&amp;"'!C9")&lt;1975,0)),INDIRECT("'"&amp;$D$32&amp;"'!GO_2038"),0)
+IF(AND(IFERROR(INDIRECT("'"&amp;$D$33&amp;"'!C9")&gt;1964,0),IFERROR(INDIRECT("'"&amp;$D$33&amp;"'!C9")&lt;1975,0)),INDIRECT("'"&amp;$D$33&amp;"'!GO_2038"),0)
+IF(AND(IFERROR(INDIRECT("'"&amp;$D$34&amp;"'!C9")&gt;1964,0),IFERROR(INDIRECT("'"&amp;$D$34&amp;"'!C9")&lt;1975,0)),INDIRECT("'"&amp;$D$34&amp;"'!GO_2038"),0)
+IF(AND(IFERROR(INDIRECT("'"&amp;$D$35&amp;"'!C9")&gt;1964,0),IFERROR(INDIRECT("'"&amp;$D$35&amp;"'!C9")&lt;1975,0)),INDIRECT("'"&amp;$D$35&amp;"'!GO_2038"),0)
+IF(AND(IFERROR(INDIRECT("'"&amp;$D$36&amp;"'!C9")&gt;1964,0),IFERROR(INDIRECT("'"&amp;$D$36&amp;"'!C9")&lt;1975,0)),INDIRECT("'"&amp;$D$36&amp;"'!GO_2038"),0)
+IF(AND(IFERROR(INDIRECT("'"&amp;$D$37&amp;"'!C9")&gt;1964,0),IFERROR(INDIRECT("'"&amp;$D$37&amp;"'!C9")&lt;1975,0)),INDIRECT("'"&amp;$D$37&amp;"'!GO_2038"),0)
+IF(AND(IFERROR(INDIRECT("'"&amp;$D$38&amp;"'!C9")&gt;1964,0),IFERROR(INDIRECT("'"&amp;$D$38&amp;"'!C9")&lt;1975,0)),INDIRECT("'"&amp;$D$38&amp;"'!GO_2038"),0)
+IF(AND(IFERROR(INDIRECT("'"&amp;$D$39&amp;"'!C9")&gt;1964,0),IFERROR(INDIRECT("'"&amp;$D$39&amp;"'!C9")&lt;1975,0)),INDIRECT("'"&amp;$D$39&amp;"'!GO_2038"),0)
+IF(AND(IFERROR(INDIRECT("'"&amp;$D$40&amp;"'!C9")&gt;1964,0),IFERROR(INDIRECT("'"&amp;$D$40&amp;"'!C9")&lt;1975,0)),INDIRECT("'"&amp;$D$40&amp;"'!GO_2038"),0)
+IF(AND(IFERROR(INDIRECT("'"&amp;$D$41&amp;"'!C9")&gt;1964,0),IFERROR(INDIRECT("'"&amp;$D$41&amp;"'!C9")&lt;1975,0)),INDIRECT("'"&amp;$D$41&amp;"'!GO_2038"),0)
+IF(AND(IFERROR(INDIRECT("'"&amp;$D$42&amp;"'!C9")&gt;1964,0),IFERROR(INDIRECT("'"&amp;$D$42&amp;"'!C9")&lt;1975,0)),INDIRECT("'"&amp;$D$42&amp;"'!GO_2038"),0)
+IF(AND(IFERROR(INDIRECT("'"&amp;$D$43&amp;"'!C9")&gt;1964,0),IFERROR(INDIRECT("'"&amp;$D$43&amp;"'!C9")&lt;1975,0)),INDIRECT("'"&amp;$D$43&amp;"'!GO_2038"),0)
+IF(AND(IFERROR(INDIRECT("'"&amp;$D$44&amp;"'!C9")&gt;1964,0),IFERROR(INDIRECT("'"&amp;$D$44&amp;"'!C9")&lt;1975,0)),INDIRECT("'"&amp;$D$44&amp;"'!GO_2038"),0)
+IF(AND(IFERROR(INDIRECT("'"&amp;$D$45&amp;"'!C9")&gt;1964,0),IFERROR(INDIRECT("'"&amp;$D$45&amp;"'!C9")&lt;1975,0)),INDIRECT("'"&amp;$D$45&amp;"'!GO_2038"),0)
+IF(AND(IFERROR(INDIRECT("'"&amp;$D$46&amp;"'!C9")&gt;1964,0),IFERROR(INDIRECT("'"&amp;$D$46&amp;"'!C9")&lt;1975,0)),INDIRECT("'"&amp;$D$46&amp;"'!GO_2038"),0)
+IF(AND(IFERROR(INDIRECT("'"&amp;$D$47&amp;"'!C9")&gt;1964,0),IFERROR(INDIRECT("'"&amp;$D$47&amp;"'!C9")&lt;1975,0)),INDIRECT("'"&amp;$D$47&amp;"'!GO_2038"),0)
+IF(AND(IFERROR(INDIRECT("'"&amp;$D$48&amp;"'!C9")&gt;1964,0),IFERROR(INDIRECT("'"&amp;$D$48&amp;"'!C9")&lt;1975,0)),INDIRECT("'"&amp;$D$48&amp;"'!GO_2038"),0)
+IF(AND(IFERROR(INDIRECT("'"&amp;$D$49&amp;"'!C9")&gt;1964,0),IFERROR(INDIRECT("'"&amp;$D$49&amp;"'!C9")&lt;1975,0)),INDIRECT("'"&amp;$D$49&amp;"'!GO_2038"),0)
+IF(AND(IFERROR(INDIRECT("'"&amp;$D$50&amp;"'!C9")&gt;1964,0),IFERROR(INDIRECT("'"&amp;$D$50&amp;"'!C9")&lt;1975,0)),INDIRECT("'"&amp;$D$50&amp;"'!GO_2038"),0)
+IF(AND(IFERROR(INDIRECT("'"&amp;$D$51&amp;"'!C9")&gt;1964,0),IFERROR(INDIRECT("'"&amp;$D$51&amp;"'!C9")&lt;1975,0)),INDIRECT("'"&amp;$D$51&amp;"'!GO_2038"),0)
+IF(AND(IFERROR(INDIRECT("'"&amp;$D$52&amp;"'!C9")&gt;1964,0),IFERROR(INDIRECT("'"&amp;$D$52&amp;"'!C9")&lt;1975,0)),INDIRECT("'"&amp;$D$52&amp;"'!GO_2038"),0)
+IF(AND(IFERROR(INDIRECT("'"&amp;$D$53&amp;"'!C9")&gt;1964,0),IFERROR(INDIRECT("'"&amp;$D$53&amp;"'!C9")&lt;1975,0)),INDIRECT("'"&amp;$D$53&amp;"'!GO_2038"),0)
+IF(AND(IFERROR(INDIRECT("'"&amp;$D$54&amp;"'!C9")&gt;1964,0),IFERROR(INDIRECT("'"&amp;$D$54&amp;"'!C9")&lt;1975,0)),INDIRECT("'"&amp;$D$54&amp;"'!GO_2038"),0)</f>
        <v>0</v>
      </c>
      <c r="AC25" s="321">
        <f ca="1">IF(AND(IFERROR(INDIRECT("'"&amp;$D$5&amp;"'!C9")&gt;1964,0),IFERROR(INDIRECT("'"&amp;$D$5&amp;"'!C9")&lt;1975,0)),INDIRECT("'"&amp;$D$5&amp;"'!GO_2039"),0)
+IF(AND(IFERROR(INDIRECT("'"&amp;$D$6&amp;"'!C9")&gt;1964,0),IFERROR(INDIRECT("'"&amp;$D$6&amp;"'!C9")&lt;1975,0)),INDIRECT("'"&amp;$D$6&amp;"'!GO_2039"),0)
+IF(AND(IFERROR(INDIRECT("'"&amp;$D$7&amp;"'!C9")&gt;1964,0),IFERROR(INDIRECT("'"&amp;$D$7&amp;"'!C9")&lt;1975,0)),INDIRECT("'"&amp;$D$7&amp;"'!GO_2039"),0)
+IF(AND(IFERROR(INDIRECT("'"&amp;$D$8&amp;"'!C9")&gt;1964,0),IFERROR(INDIRECT("'"&amp;$D$8&amp;"'!C9")&lt;1975,0)),INDIRECT("'"&amp;$D$8&amp;"'!GO_2039"),0)
+IF(AND(IFERROR(INDIRECT("'"&amp;$D$9&amp;"'!C9")&gt;1964,0),IFERROR(INDIRECT("'"&amp;$D$9&amp;"'!C9")&lt;1975,0)),INDIRECT("'"&amp;$D$9&amp;"'!GO_2039"),0)
+IF(AND(IFERROR(INDIRECT("'"&amp;$D$10&amp;"'!C9")&gt;1964,0),IFERROR(INDIRECT("'"&amp;$D$10&amp;"'!C9")&lt;1975,0)),INDIRECT("'"&amp;$D$10&amp;"'!GO_2039"),0)
+IF(AND(IFERROR(INDIRECT("'"&amp;$D$11&amp;"'!C9")&gt;1964,0),IFERROR(INDIRECT("'"&amp;$D$11&amp;"'!C9")&lt;1975,0)),INDIRECT("'"&amp;$D$11&amp;"'!GO_2039"),0)
+IF(AND(IFERROR(INDIRECT("'"&amp;$D$12&amp;"'!C9")&gt;1964,0),IFERROR(INDIRECT("'"&amp;$D$12&amp;"'!C9")&lt;1975,0)),INDIRECT("'"&amp;$D$12&amp;"'!GO_2039"),0)
+IF(AND(IFERROR(INDIRECT("'"&amp;$D$13&amp;"'!C9")&gt;1964,0),IFERROR(INDIRECT("'"&amp;$D$13&amp;"'!C9")&lt;1975,0)),INDIRECT("'"&amp;$D$13&amp;"'!GO_2039"),0)
+IF(AND(IFERROR(INDIRECT("'"&amp;$D$14&amp;"'!C9")&gt;1964,0),IFERROR(INDIRECT("'"&amp;$D$14&amp;"'!C9")&lt;1975,0)),INDIRECT("'"&amp;$D$14&amp;"'!GO_2039"),0)
+IF(AND(IFERROR(INDIRECT("'"&amp;$D$15&amp;"'!C9")&gt;1964,0),IFERROR(INDIRECT("'"&amp;$D$15&amp;"'!C9")&lt;1975,0)),INDIRECT("'"&amp;$D$15&amp;"'!GO_2039"),0)
+IF(AND(IFERROR(INDIRECT("'"&amp;$D$16&amp;"'!C9")&gt;1964,0),IFERROR(INDIRECT("'"&amp;$D$16&amp;"'!C9")&lt;1975,0)),INDIRECT("'"&amp;$D$16&amp;"'!GO_2039"),0)
+IF(AND(IFERROR(INDIRECT("'"&amp;$D$17&amp;"'!C9")&gt;1964,0),IFERROR(INDIRECT("'"&amp;$D$17&amp;"'!C9")&lt;1975,0)),INDIRECT("'"&amp;$D$17&amp;"'!GO_2039"),0)
+IF(AND(IFERROR(INDIRECT("'"&amp;$D$18&amp;"'!C9")&gt;1964,0),IFERROR(INDIRECT("'"&amp;$D$18&amp;"'!C9")&lt;1975,0)),INDIRECT("'"&amp;$D$18&amp;"'!GO_2039"),0)
+IF(AND(IFERROR(INDIRECT("'"&amp;$D$19&amp;"'!C9")&gt;1964,0),IFERROR(INDIRECT("'"&amp;$D$19&amp;"'!C9")&lt;1975,0)),INDIRECT("'"&amp;$D$19&amp;"'!GO_2039"),0)
+IF(AND(IFERROR(INDIRECT("'"&amp;$D$20&amp;"'!C9")&gt;1964,0),IFERROR(INDIRECT("'"&amp;$D$20&amp;"'!C9")&lt;1975,0)),INDIRECT("'"&amp;$D$20&amp;"'!GO_2039"),0)
+IF(AND(IFERROR(INDIRECT("'"&amp;$D$21&amp;"'!C9")&gt;1964,0),IFERROR(INDIRECT("'"&amp;$D$21&amp;"'!C9")&lt;1975,0)),INDIRECT("'"&amp;$D$21&amp;"'!GO_2039"),0)
+IF(AND(IFERROR(INDIRECT("'"&amp;$D$22&amp;"'!C9")&gt;1964,0),IFERROR(INDIRECT("'"&amp;$D$22&amp;"'!C9")&lt;1975,0)),INDIRECT("'"&amp;$D$22&amp;"'!GO_2039"),0)
+IF(AND(IFERROR(INDIRECT("'"&amp;$D$23&amp;"'!C9")&gt;1964,0),IFERROR(INDIRECT("'"&amp;$D$23&amp;"'!C9")&lt;1975,0)),INDIRECT("'"&amp;$D$23&amp;"'!GO_2039"),0)
+IF(AND(IFERROR(INDIRECT("'"&amp;$D$24&amp;"'!C9")&gt;1964,0),IFERROR(INDIRECT("'"&amp;$D$24&amp;"'!C9")&lt;1975,0)),INDIRECT("'"&amp;$D$24&amp;"'!GO_2039"),0)
+IF(AND(IFERROR(INDIRECT("'"&amp;$D$25&amp;"'!C9")&gt;1964,0),IFERROR(INDIRECT("'"&amp;$D$25&amp;"'!C9")&lt;1975,0)),INDIRECT("'"&amp;$D$25&amp;"'!GO_2039"),0)
+IF(AND(IFERROR(INDIRECT("'"&amp;$D$26&amp;"'!C9")&gt;1964,0),IFERROR(INDIRECT("'"&amp;$D$26&amp;"'!C9")&lt;1975,0)),INDIRECT("'"&amp;$D$26&amp;"'!GO_2039"),0)
+IF(AND(IFERROR(INDIRECT("'"&amp;$D$27&amp;"'!C9")&gt;1964,0),IFERROR(INDIRECT("'"&amp;$D$27&amp;"'!C9")&lt;1975,0)),INDIRECT("'"&amp;$D$27&amp;"'!GO_2039"),0)
+IF(AND(IFERROR(INDIRECT("'"&amp;$D$28&amp;"'!C9")&gt;1964,0),IFERROR(INDIRECT("'"&amp;$D$28&amp;"'!C9")&lt;1975,0)),INDIRECT("'"&amp;$D$28&amp;"'!GO_2039"),0)
+IF(AND(IFERROR(INDIRECT("'"&amp;$D$29&amp;"'!C9")&gt;1964,0),IFERROR(INDIRECT("'"&amp;$D$29&amp;"'!C9")&lt;1975,0)),INDIRECT("'"&amp;$D$29&amp;"'!GO_2039"),0)
+IF(AND(IFERROR(INDIRECT("'"&amp;$D$30&amp;"'!C9")&gt;1964,0),IFERROR(INDIRECT("'"&amp;$D$30&amp;"'!C9")&lt;1975,0)),INDIRECT("'"&amp;$D$30&amp;"'!GO_2039"),0)
+IF(AND(IFERROR(INDIRECT("'"&amp;$D$31&amp;"'!C9")&gt;1964,0),IFERROR(INDIRECT("'"&amp;$D$31&amp;"'!C9")&lt;1975,0)),INDIRECT("'"&amp;$D$31&amp;"'!GO_2039"),0)
+IF(AND(IFERROR(INDIRECT("'"&amp;$D$32&amp;"'!C9")&gt;1964,0),IFERROR(INDIRECT("'"&amp;$D$32&amp;"'!C9")&lt;1975,0)),INDIRECT("'"&amp;$D$32&amp;"'!GO_2039"),0)
+IF(AND(IFERROR(INDIRECT("'"&amp;$D$33&amp;"'!C9")&gt;1964,0),IFERROR(INDIRECT("'"&amp;$D$33&amp;"'!C9")&lt;1975,0)),INDIRECT("'"&amp;$D$33&amp;"'!GO_2039"),0)
+IF(AND(IFERROR(INDIRECT("'"&amp;$D$34&amp;"'!C9")&gt;1964,0),IFERROR(INDIRECT("'"&amp;$D$34&amp;"'!C9")&lt;1975,0)),INDIRECT("'"&amp;$D$34&amp;"'!GO_2039"),0)
+IF(AND(IFERROR(INDIRECT("'"&amp;$D$35&amp;"'!C9")&gt;1964,0),IFERROR(INDIRECT("'"&amp;$D$35&amp;"'!C9")&lt;1975,0)),INDIRECT("'"&amp;$D$35&amp;"'!GO_2039"),0)
+IF(AND(IFERROR(INDIRECT("'"&amp;$D$36&amp;"'!C9")&gt;1964,0),IFERROR(INDIRECT("'"&amp;$D$36&amp;"'!C9")&lt;1975,0)),INDIRECT("'"&amp;$D$36&amp;"'!GO_2039"),0)
+IF(AND(IFERROR(INDIRECT("'"&amp;$D$37&amp;"'!C9")&gt;1964,0),IFERROR(INDIRECT("'"&amp;$D$37&amp;"'!C9")&lt;1975,0)),INDIRECT("'"&amp;$D$37&amp;"'!GO_2039"),0)
+IF(AND(IFERROR(INDIRECT("'"&amp;$D$38&amp;"'!C9")&gt;1964,0),IFERROR(INDIRECT("'"&amp;$D$38&amp;"'!C9")&lt;1975,0)),INDIRECT("'"&amp;$D$38&amp;"'!GO_2039"),0)
+IF(AND(IFERROR(INDIRECT("'"&amp;$D$39&amp;"'!C9")&gt;1964,0),IFERROR(INDIRECT("'"&amp;$D$39&amp;"'!C9")&lt;1975,0)),INDIRECT("'"&amp;$D$39&amp;"'!GO_2039"),0)
+IF(AND(IFERROR(INDIRECT("'"&amp;$D$40&amp;"'!C9")&gt;1964,0),IFERROR(INDIRECT("'"&amp;$D$40&amp;"'!C9")&lt;1975,0)),INDIRECT("'"&amp;$D$40&amp;"'!GO_2039"),0)
+IF(AND(IFERROR(INDIRECT("'"&amp;$D$41&amp;"'!C9")&gt;1964,0),IFERROR(INDIRECT("'"&amp;$D$41&amp;"'!C9")&lt;1975,0)),INDIRECT("'"&amp;$D$41&amp;"'!GO_2039"),0)
+IF(AND(IFERROR(INDIRECT("'"&amp;$D$42&amp;"'!C9")&gt;1964,0),IFERROR(INDIRECT("'"&amp;$D$42&amp;"'!C9")&lt;1975,0)),INDIRECT("'"&amp;$D$42&amp;"'!GO_2039"),0)
+IF(AND(IFERROR(INDIRECT("'"&amp;$D$43&amp;"'!C9")&gt;1964,0),IFERROR(INDIRECT("'"&amp;$D$43&amp;"'!C9")&lt;1975,0)),INDIRECT("'"&amp;$D$43&amp;"'!GO_2039"),0)
+IF(AND(IFERROR(INDIRECT("'"&amp;$D$44&amp;"'!C9")&gt;1964,0),IFERROR(INDIRECT("'"&amp;$D$44&amp;"'!C9")&lt;1975,0)),INDIRECT("'"&amp;$D$44&amp;"'!GO_2039"),0)
+IF(AND(IFERROR(INDIRECT("'"&amp;$D$45&amp;"'!C9")&gt;1964,0),IFERROR(INDIRECT("'"&amp;$D$45&amp;"'!C9")&lt;1975,0)),INDIRECT("'"&amp;$D$45&amp;"'!GO_2039"),0)
+IF(AND(IFERROR(INDIRECT("'"&amp;$D$46&amp;"'!C9")&gt;1964,0),IFERROR(INDIRECT("'"&amp;$D$46&amp;"'!C9")&lt;1975,0)),INDIRECT("'"&amp;$D$46&amp;"'!GO_2039"),0)
+IF(AND(IFERROR(INDIRECT("'"&amp;$D$47&amp;"'!C9")&gt;1964,0),IFERROR(INDIRECT("'"&amp;$D$47&amp;"'!C9")&lt;1975,0)),INDIRECT("'"&amp;$D$47&amp;"'!GO_2039"),0)
+IF(AND(IFERROR(INDIRECT("'"&amp;$D$48&amp;"'!C9")&gt;1964,0),IFERROR(INDIRECT("'"&amp;$D$48&amp;"'!C9")&lt;1975,0)),INDIRECT("'"&amp;$D$48&amp;"'!GO_2039"),0)
+IF(AND(IFERROR(INDIRECT("'"&amp;$D$49&amp;"'!C9")&gt;1964,0),IFERROR(INDIRECT("'"&amp;$D$49&amp;"'!C9")&lt;1975,0)),INDIRECT("'"&amp;$D$49&amp;"'!GO_2039"),0)
+IF(AND(IFERROR(INDIRECT("'"&amp;$D$50&amp;"'!C9")&gt;1964,0),IFERROR(INDIRECT("'"&amp;$D$50&amp;"'!C9")&lt;1975,0)),INDIRECT("'"&amp;$D$50&amp;"'!GO_2039"),0)
+IF(AND(IFERROR(INDIRECT("'"&amp;$D$51&amp;"'!C9")&gt;1964,0),IFERROR(INDIRECT("'"&amp;$D$51&amp;"'!C9")&lt;1975,0)),INDIRECT("'"&amp;$D$51&amp;"'!GO_2039"),0)
+IF(AND(IFERROR(INDIRECT("'"&amp;$D$52&amp;"'!C9")&gt;1964,0),IFERROR(INDIRECT("'"&amp;$D$52&amp;"'!C9")&lt;1975,0)),INDIRECT("'"&amp;$D$52&amp;"'!GO_2039"),0)
+IF(AND(IFERROR(INDIRECT("'"&amp;$D$53&amp;"'!C9")&gt;1964,0),IFERROR(INDIRECT("'"&amp;$D$53&amp;"'!C9")&lt;1975,0)),INDIRECT("'"&amp;$D$53&amp;"'!GO_2039"),0)
+IF(AND(IFERROR(INDIRECT("'"&amp;$D$54&amp;"'!C9")&gt;1964,0),IFERROR(INDIRECT("'"&amp;$D$54&amp;"'!C9")&lt;1975,0)),INDIRECT("'"&amp;$D$54&amp;"'!GO_2039"),0)</f>
        <v>0</v>
      </c>
      <c r="AD25" s="321">
        <f ca="1">IF(AND(IFERROR(INDIRECT("'"&amp;$D$5&amp;"'!C9")&gt;1964,0),IFERROR(INDIRECT("'"&amp;$D$5&amp;"'!C9")&lt;1975,0)),INDIRECT("'"&amp;$D$5&amp;"'!GO_2040"),0)
+IF(AND(IFERROR(INDIRECT("'"&amp;$D$6&amp;"'!C9")&gt;1964,0),IFERROR(INDIRECT("'"&amp;$D$6&amp;"'!C9")&lt;1975,0)),INDIRECT("'"&amp;$D$6&amp;"'!GO_2040"),0)
+IF(AND(IFERROR(INDIRECT("'"&amp;$D$7&amp;"'!C9")&gt;1964,0),IFERROR(INDIRECT("'"&amp;$D$7&amp;"'!C9")&lt;1975,0)),INDIRECT("'"&amp;$D$7&amp;"'!GO_2040"),0)
+IF(AND(IFERROR(INDIRECT("'"&amp;$D$8&amp;"'!C9")&gt;1964,0),IFERROR(INDIRECT("'"&amp;$D$8&amp;"'!C9")&lt;1975,0)),INDIRECT("'"&amp;$D$8&amp;"'!GO_2040"),0)
+IF(AND(IFERROR(INDIRECT("'"&amp;$D$9&amp;"'!C9")&gt;1964,0),IFERROR(INDIRECT("'"&amp;$D$9&amp;"'!C9")&lt;1975,0)),INDIRECT("'"&amp;$D$9&amp;"'!GO_2040"),0)
+IF(AND(IFERROR(INDIRECT("'"&amp;$D$10&amp;"'!C9")&gt;1964,0),IFERROR(INDIRECT("'"&amp;$D$10&amp;"'!C9")&lt;1975,0)),INDIRECT("'"&amp;$D$10&amp;"'!GO_2040"),0)
+IF(AND(IFERROR(INDIRECT("'"&amp;$D$11&amp;"'!C9")&gt;1964,0),IFERROR(INDIRECT("'"&amp;$D$11&amp;"'!C9")&lt;1975,0)),INDIRECT("'"&amp;$D$11&amp;"'!GO_2040"),0)
+IF(AND(IFERROR(INDIRECT("'"&amp;$D$12&amp;"'!C9")&gt;1964,0),IFERROR(INDIRECT("'"&amp;$D$12&amp;"'!C9")&lt;1975,0)),INDIRECT("'"&amp;$D$12&amp;"'!GO_2040"),0)
+IF(AND(IFERROR(INDIRECT("'"&amp;$D$13&amp;"'!C9")&gt;1964,0),IFERROR(INDIRECT("'"&amp;$D$13&amp;"'!C9")&lt;1975,0)),INDIRECT("'"&amp;$D$13&amp;"'!GO_2040"),0)
+IF(AND(IFERROR(INDIRECT("'"&amp;$D$14&amp;"'!C9")&gt;1964,0),IFERROR(INDIRECT("'"&amp;$D$14&amp;"'!C9")&lt;1975,0)),INDIRECT("'"&amp;$D$14&amp;"'!GO_2040"),0)
+IF(AND(IFERROR(INDIRECT("'"&amp;$D$15&amp;"'!C9")&gt;1964,0),IFERROR(INDIRECT("'"&amp;$D$15&amp;"'!C9")&lt;1975,0)),INDIRECT("'"&amp;$D$15&amp;"'!GO_2040"),0)
+IF(AND(IFERROR(INDIRECT("'"&amp;$D$16&amp;"'!C9")&gt;1964,0),IFERROR(INDIRECT("'"&amp;$D$16&amp;"'!C9")&lt;1975,0)),INDIRECT("'"&amp;$D$16&amp;"'!GO_2040"),0)
+IF(AND(IFERROR(INDIRECT("'"&amp;$D$17&amp;"'!C9")&gt;1964,0),IFERROR(INDIRECT("'"&amp;$D$17&amp;"'!C9")&lt;1975,0)),INDIRECT("'"&amp;$D$17&amp;"'!GO_2040"),0)
+IF(AND(IFERROR(INDIRECT("'"&amp;$D$18&amp;"'!C9")&gt;1964,0),IFERROR(INDIRECT("'"&amp;$D$18&amp;"'!C9")&lt;1975,0)),INDIRECT("'"&amp;$D$18&amp;"'!GO_2040"),0)
+IF(AND(IFERROR(INDIRECT("'"&amp;$D$19&amp;"'!C9")&gt;1964,0),IFERROR(INDIRECT("'"&amp;$D$19&amp;"'!C9")&lt;1975,0)),INDIRECT("'"&amp;$D$19&amp;"'!GO_2040"),0)
+IF(AND(IFERROR(INDIRECT("'"&amp;$D$20&amp;"'!C9")&gt;1964,0),IFERROR(INDIRECT("'"&amp;$D$20&amp;"'!C9")&lt;1975,0)),INDIRECT("'"&amp;$D$20&amp;"'!GO_2040"),0)
+IF(AND(IFERROR(INDIRECT("'"&amp;$D$21&amp;"'!C9")&gt;1964,0),IFERROR(INDIRECT("'"&amp;$D$21&amp;"'!C9")&lt;1975,0)),INDIRECT("'"&amp;$D$21&amp;"'!GO_2040"),0)
+IF(AND(IFERROR(INDIRECT("'"&amp;$D$22&amp;"'!C9")&gt;1964,0),IFERROR(INDIRECT("'"&amp;$D$22&amp;"'!C9")&lt;1975,0)),INDIRECT("'"&amp;$D$22&amp;"'!GO_2040"),0)
+IF(AND(IFERROR(INDIRECT("'"&amp;$D$23&amp;"'!C9")&gt;1964,0),IFERROR(INDIRECT("'"&amp;$D$23&amp;"'!C9")&lt;1975,0)),INDIRECT("'"&amp;$D$23&amp;"'!GO_2040"),0)
+IF(AND(IFERROR(INDIRECT("'"&amp;$D$24&amp;"'!C9")&gt;1964,0),IFERROR(INDIRECT("'"&amp;$D$24&amp;"'!C9")&lt;1975,0)),INDIRECT("'"&amp;$D$24&amp;"'!GO_2040"),0)
+IF(AND(IFERROR(INDIRECT("'"&amp;$D$25&amp;"'!C9")&gt;1964,0),IFERROR(INDIRECT("'"&amp;$D$25&amp;"'!C9")&lt;1975,0)),INDIRECT("'"&amp;$D$25&amp;"'!GO_2040"),0)
+IF(AND(IFERROR(INDIRECT("'"&amp;$D$26&amp;"'!C9")&gt;1964,0),IFERROR(INDIRECT("'"&amp;$D$26&amp;"'!C9")&lt;1975,0)),INDIRECT("'"&amp;$D$26&amp;"'!GO_2040"),0)
+IF(AND(IFERROR(INDIRECT("'"&amp;$D$27&amp;"'!C9")&gt;1964,0),IFERROR(INDIRECT("'"&amp;$D$27&amp;"'!C9")&lt;1975,0)),INDIRECT("'"&amp;$D$27&amp;"'!GO_2040"),0)
+IF(AND(IFERROR(INDIRECT("'"&amp;$D$28&amp;"'!C9")&gt;1964,0),IFERROR(INDIRECT("'"&amp;$D$28&amp;"'!C9")&lt;1975,0)),INDIRECT("'"&amp;$D$28&amp;"'!GO_2040"),0)
+IF(AND(IFERROR(INDIRECT("'"&amp;$D$29&amp;"'!C9")&gt;1964,0),IFERROR(INDIRECT("'"&amp;$D$29&amp;"'!C9")&lt;1975,0)),INDIRECT("'"&amp;$D$29&amp;"'!GO_2040"),0)
+IF(AND(IFERROR(INDIRECT("'"&amp;$D$30&amp;"'!C9")&gt;1964,0),IFERROR(INDIRECT("'"&amp;$D$30&amp;"'!C9")&lt;1975,0)),INDIRECT("'"&amp;$D$30&amp;"'!GO_2040"),0)
+IF(AND(IFERROR(INDIRECT("'"&amp;$D$31&amp;"'!C9")&gt;1964,0),IFERROR(INDIRECT("'"&amp;$D$31&amp;"'!C9")&lt;1975,0)),INDIRECT("'"&amp;$D$31&amp;"'!GO_2040"),0)
+IF(AND(IFERROR(INDIRECT("'"&amp;$D$32&amp;"'!C9")&gt;1964,0),IFERROR(INDIRECT("'"&amp;$D$32&amp;"'!C9")&lt;1975,0)),INDIRECT("'"&amp;$D$32&amp;"'!GO_2040"),0)
+IF(AND(IFERROR(INDIRECT("'"&amp;$D$33&amp;"'!C9")&gt;1964,0),IFERROR(INDIRECT("'"&amp;$D$33&amp;"'!C9")&lt;1975,0)),INDIRECT("'"&amp;$D$33&amp;"'!GO_2040"),0)
+IF(AND(IFERROR(INDIRECT("'"&amp;$D$34&amp;"'!C9")&gt;1964,0),IFERROR(INDIRECT("'"&amp;$D$34&amp;"'!C9")&lt;1975,0)),INDIRECT("'"&amp;$D$34&amp;"'!GO_2040"),0)
+IF(AND(IFERROR(INDIRECT("'"&amp;$D$35&amp;"'!C9")&gt;1964,0),IFERROR(INDIRECT("'"&amp;$D$35&amp;"'!C9")&lt;1975,0)),INDIRECT("'"&amp;$D$35&amp;"'!GO_2040"),0)
+IF(AND(IFERROR(INDIRECT("'"&amp;$D$36&amp;"'!C9")&gt;1964,0),IFERROR(INDIRECT("'"&amp;$D$36&amp;"'!C9")&lt;1975,0)),INDIRECT("'"&amp;$D$36&amp;"'!GO_2040"),0)
+IF(AND(IFERROR(INDIRECT("'"&amp;$D$37&amp;"'!C9")&gt;1964,0),IFERROR(INDIRECT("'"&amp;$D$37&amp;"'!C9")&lt;1975,0)),INDIRECT("'"&amp;$D$37&amp;"'!GO_2040"),0)
+IF(AND(IFERROR(INDIRECT("'"&amp;$D$38&amp;"'!C9")&gt;1964,0),IFERROR(INDIRECT("'"&amp;$D$38&amp;"'!C9")&lt;1975,0)),INDIRECT("'"&amp;$D$38&amp;"'!GO_2040"),0)
+IF(AND(IFERROR(INDIRECT("'"&amp;$D$39&amp;"'!C9")&gt;1964,0),IFERROR(INDIRECT("'"&amp;$D$39&amp;"'!C9")&lt;1975,0)),INDIRECT("'"&amp;$D$39&amp;"'!GO_2040"),0)
+IF(AND(IFERROR(INDIRECT("'"&amp;$D$40&amp;"'!C9")&gt;1964,0),IFERROR(INDIRECT("'"&amp;$D$40&amp;"'!C9")&lt;1975,0)),INDIRECT("'"&amp;$D$40&amp;"'!GO_2040"),0)
+IF(AND(IFERROR(INDIRECT("'"&amp;$D$41&amp;"'!C9")&gt;1964,0),IFERROR(INDIRECT("'"&amp;$D$41&amp;"'!C9")&lt;1975,0)),INDIRECT("'"&amp;$D$41&amp;"'!GO_2040"),0)
+IF(AND(IFERROR(INDIRECT("'"&amp;$D$42&amp;"'!C9")&gt;1964,0),IFERROR(INDIRECT("'"&amp;$D$42&amp;"'!C9")&lt;1975,0)),INDIRECT("'"&amp;$D$42&amp;"'!GO_2040"),0)
+IF(AND(IFERROR(INDIRECT("'"&amp;$D$43&amp;"'!C9")&gt;1964,0),IFERROR(INDIRECT("'"&amp;$D$43&amp;"'!C9")&lt;1975,0)),INDIRECT("'"&amp;$D$43&amp;"'!GO_2040"),0)
+IF(AND(IFERROR(INDIRECT("'"&amp;$D$44&amp;"'!C9")&gt;1964,0),IFERROR(INDIRECT("'"&amp;$D$44&amp;"'!C9")&lt;1975,0)),INDIRECT("'"&amp;$D$44&amp;"'!GO_2040"),0)
+IF(AND(IFERROR(INDIRECT("'"&amp;$D$45&amp;"'!C9")&gt;1964,0),IFERROR(INDIRECT("'"&amp;$D$45&amp;"'!C9")&lt;1975,0)),INDIRECT("'"&amp;$D$45&amp;"'!GO_2040"),0)
+IF(AND(IFERROR(INDIRECT("'"&amp;$D$46&amp;"'!C9")&gt;1964,0),IFERROR(INDIRECT("'"&amp;$D$46&amp;"'!C9")&lt;1975,0)),INDIRECT("'"&amp;$D$46&amp;"'!GO_2040"),0)
+IF(AND(IFERROR(INDIRECT("'"&amp;$D$47&amp;"'!C9")&gt;1964,0),IFERROR(INDIRECT("'"&amp;$D$47&amp;"'!C9")&lt;1975,0)),INDIRECT("'"&amp;$D$47&amp;"'!GO_2040"),0)
+IF(AND(IFERROR(INDIRECT("'"&amp;$D$48&amp;"'!C9")&gt;1964,0),IFERROR(INDIRECT("'"&amp;$D$48&amp;"'!C9")&lt;1975,0)),INDIRECT("'"&amp;$D$48&amp;"'!GO_2040"),0)
+IF(AND(IFERROR(INDIRECT("'"&amp;$D$49&amp;"'!C9")&gt;1964,0),IFERROR(INDIRECT("'"&amp;$D$49&amp;"'!C9")&lt;1975,0)),INDIRECT("'"&amp;$D$49&amp;"'!GO_2040"),0)
+IF(AND(IFERROR(INDIRECT("'"&amp;$D$50&amp;"'!C9")&gt;1964,0),IFERROR(INDIRECT("'"&amp;$D$50&amp;"'!C9")&lt;1975,0)),INDIRECT("'"&amp;$D$50&amp;"'!GO_2040"),0)
+IF(AND(IFERROR(INDIRECT("'"&amp;$D$51&amp;"'!C9")&gt;1964,0),IFERROR(INDIRECT("'"&amp;$D$51&amp;"'!C9")&lt;1975,0)),INDIRECT("'"&amp;$D$51&amp;"'!GO_2040"),0)
+IF(AND(IFERROR(INDIRECT("'"&amp;$D$52&amp;"'!C9")&gt;1964,0),IFERROR(INDIRECT("'"&amp;$D$52&amp;"'!C9")&lt;1975,0)),INDIRECT("'"&amp;$D$52&amp;"'!GO_2040"),0)
+IF(AND(IFERROR(INDIRECT("'"&amp;$D$53&amp;"'!C9")&gt;1964,0),IFERROR(INDIRECT("'"&amp;$D$53&amp;"'!C9")&lt;1975,0)),INDIRECT("'"&amp;$D$53&amp;"'!GO_2040"),0)
+IF(AND(IFERROR(INDIRECT("'"&amp;$D$54&amp;"'!C9")&gt;1964,0),IFERROR(INDIRECT("'"&amp;$D$54&amp;"'!C9")&lt;1975,0)),INDIRECT("'"&amp;$D$54&amp;"'!GO_2040"),0)</f>
        <v>0</v>
      </c>
      <c r="AE25" s="321">
        <f ca="1">IF(AND(IFERROR(INDIRECT("'"&amp;$D$5&amp;"'!C9")&gt;1964,0),IFERROR(INDIRECT("'"&amp;$D$5&amp;"'!C9")&lt;1975,0)),INDIRECT("'"&amp;$D$5&amp;"'!GO_2041"),0)
+IF(AND(IFERROR(INDIRECT("'"&amp;$D$6&amp;"'!C9")&gt;1964,0),IFERROR(INDIRECT("'"&amp;$D$6&amp;"'!C9")&lt;1975,0)),INDIRECT("'"&amp;$D$6&amp;"'!GO_2041"),0)
+IF(AND(IFERROR(INDIRECT("'"&amp;$D$7&amp;"'!C9")&gt;1964,0),IFERROR(INDIRECT("'"&amp;$D$7&amp;"'!C9")&lt;1975,0)),INDIRECT("'"&amp;$D$7&amp;"'!GO_2041"),0)
+IF(AND(IFERROR(INDIRECT("'"&amp;$D$8&amp;"'!C9")&gt;1964,0),IFERROR(INDIRECT("'"&amp;$D$8&amp;"'!C9")&lt;1975,0)),INDIRECT("'"&amp;$D$8&amp;"'!GO_2041"),0)
+IF(AND(IFERROR(INDIRECT("'"&amp;$D$9&amp;"'!C9")&gt;1964,0),IFERROR(INDIRECT("'"&amp;$D$9&amp;"'!C9")&lt;1975,0)),INDIRECT("'"&amp;$D$9&amp;"'!GO_2041"),0)
+IF(AND(IFERROR(INDIRECT("'"&amp;$D$10&amp;"'!C9")&gt;1964,0),IFERROR(INDIRECT("'"&amp;$D$10&amp;"'!C9")&lt;1975,0)),INDIRECT("'"&amp;$D$10&amp;"'!GO_2041"),0)
+IF(AND(IFERROR(INDIRECT("'"&amp;$D$11&amp;"'!C9")&gt;1964,0),IFERROR(INDIRECT("'"&amp;$D$11&amp;"'!C9")&lt;1975,0)),INDIRECT("'"&amp;$D$11&amp;"'!GO_2041"),0)
+IF(AND(IFERROR(INDIRECT("'"&amp;$D$12&amp;"'!C9")&gt;1964,0),IFERROR(INDIRECT("'"&amp;$D$12&amp;"'!C9")&lt;1975,0)),INDIRECT("'"&amp;$D$12&amp;"'!GO_2041"),0)
+IF(AND(IFERROR(INDIRECT("'"&amp;$D$13&amp;"'!C9")&gt;1964,0),IFERROR(INDIRECT("'"&amp;$D$13&amp;"'!C9")&lt;1975,0)),INDIRECT("'"&amp;$D$13&amp;"'!GO_2041"),0)
+IF(AND(IFERROR(INDIRECT("'"&amp;$D$14&amp;"'!C9")&gt;1964,0),IFERROR(INDIRECT("'"&amp;$D$14&amp;"'!C9")&lt;1975,0)),INDIRECT("'"&amp;$D$14&amp;"'!GO_2041"),0)
+IF(AND(IFERROR(INDIRECT("'"&amp;$D$15&amp;"'!C9")&gt;1964,0),IFERROR(INDIRECT("'"&amp;$D$15&amp;"'!C9")&lt;1975,0)),INDIRECT("'"&amp;$D$15&amp;"'!GO_2041"),0)
+IF(AND(IFERROR(INDIRECT("'"&amp;$D$16&amp;"'!C9")&gt;1964,0),IFERROR(INDIRECT("'"&amp;$D$16&amp;"'!C9")&lt;1975,0)),INDIRECT("'"&amp;$D$16&amp;"'!GO_2041"),0)
+IF(AND(IFERROR(INDIRECT("'"&amp;$D$17&amp;"'!C9")&gt;1964,0),IFERROR(INDIRECT("'"&amp;$D$17&amp;"'!C9")&lt;1975,0)),INDIRECT("'"&amp;$D$17&amp;"'!GO_2041"),0)
+IF(AND(IFERROR(INDIRECT("'"&amp;$D$18&amp;"'!C9")&gt;1964,0),IFERROR(INDIRECT("'"&amp;$D$18&amp;"'!C9")&lt;1975,0)),INDIRECT("'"&amp;$D$18&amp;"'!GO_2041"),0)
+IF(AND(IFERROR(INDIRECT("'"&amp;$D$19&amp;"'!C9")&gt;1964,0),IFERROR(INDIRECT("'"&amp;$D$19&amp;"'!C9")&lt;1975,0)),INDIRECT("'"&amp;$D$19&amp;"'!GO_2041"),0)
+IF(AND(IFERROR(INDIRECT("'"&amp;$D$20&amp;"'!C9")&gt;1964,0),IFERROR(INDIRECT("'"&amp;$D$20&amp;"'!C9")&lt;1975,0)),INDIRECT("'"&amp;$D$20&amp;"'!GO_2041"),0)
+IF(AND(IFERROR(INDIRECT("'"&amp;$D$21&amp;"'!C9")&gt;1964,0),IFERROR(INDIRECT("'"&amp;$D$21&amp;"'!C9")&lt;1975,0)),INDIRECT("'"&amp;$D$21&amp;"'!GO_2041"),0)
+IF(AND(IFERROR(INDIRECT("'"&amp;$D$22&amp;"'!C9")&gt;1964,0),IFERROR(INDIRECT("'"&amp;$D$22&amp;"'!C9")&lt;1975,0)),INDIRECT("'"&amp;$D$22&amp;"'!GO_2041"),0)
+IF(AND(IFERROR(INDIRECT("'"&amp;$D$23&amp;"'!C9")&gt;1964,0),IFERROR(INDIRECT("'"&amp;$D$23&amp;"'!C9")&lt;1975,0)),INDIRECT("'"&amp;$D$23&amp;"'!GO_2041"),0)
+IF(AND(IFERROR(INDIRECT("'"&amp;$D$24&amp;"'!C9")&gt;1964,0),IFERROR(INDIRECT("'"&amp;$D$24&amp;"'!C9")&lt;1975,0)),INDIRECT("'"&amp;$D$24&amp;"'!GO_2041"),0)
+IF(AND(IFERROR(INDIRECT("'"&amp;$D$25&amp;"'!C9")&gt;1964,0),IFERROR(INDIRECT("'"&amp;$D$25&amp;"'!C9")&lt;1975,0)),INDIRECT("'"&amp;$D$25&amp;"'!GO_2041"),0)
+IF(AND(IFERROR(INDIRECT("'"&amp;$D$26&amp;"'!C9")&gt;1964,0),IFERROR(INDIRECT("'"&amp;$D$26&amp;"'!C9")&lt;1975,0)),INDIRECT("'"&amp;$D$26&amp;"'!GO_2041"),0)
+IF(AND(IFERROR(INDIRECT("'"&amp;$D$27&amp;"'!C9")&gt;1964,0),IFERROR(INDIRECT("'"&amp;$D$27&amp;"'!C9")&lt;1975,0)),INDIRECT("'"&amp;$D$27&amp;"'!GO_2041"),0)
+IF(AND(IFERROR(INDIRECT("'"&amp;$D$28&amp;"'!C9")&gt;1964,0),IFERROR(INDIRECT("'"&amp;$D$28&amp;"'!C9")&lt;1975,0)),INDIRECT("'"&amp;$D$28&amp;"'!GO_2041"),0)
+IF(AND(IFERROR(INDIRECT("'"&amp;$D$29&amp;"'!C9")&gt;1964,0),IFERROR(INDIRECT("'"&amp;$D$29&amp;"'!C9")&lt;1975,0)),INDIRECT("'"&amp;$D$29&amp;"'!GO_2041"),0)
+IF(AND(IFERROR(INDIRECT("'"&amp;$D$30&amp;"'!C9")&gt;1964,0),IFERROR(INDIRECT("'"&amp;$D$30&amp;"'!C9")&lt;1975,0)),INDIRECT("'"&amp;$D$30&amp;"'!GO_2041"),0)
+IF(AND(IFERROR(INDIRECT("'"&amp;$D$31&amp;"'!C9")&gt;1964,0),IFERROR(INDIRECT("'"&amp;$D$31&amp;"'!C9")&lt;1975,0)),INDIRECT("'"&amp;$D$31&amp;"'!GO_2041"),0)
+IF(AND(IFERROR(INDIRECT("'"&amp;$D$32&amp;"'!C9")&gt;1964,0),IFERROR(INDIRECT("'"&amp;$D$32&amp;"'!C9")&lt;1975,0)),INDIRECT("'"&amp;$D$32&amp;"'!GO_2041"),0)
+IF(AND(IFERROR(INDIRECT("'"&amp;$D$33&amp;"'!C9")&gt;1964,0),IFERROR(INDIRECT("'"&amp;$D$33&amp;"'!C9")&lt;1975,0)),INDIRECT("'"&amp;$D$33&amp;"'!GO_2041"),0)
+IF(AND(IFERROR(INDIRECT("'"&amp;$D$34&amp;"'!C9")&gt;1964,0),IFERROR(INDIRECT("'"&amp;$D$34&amp;"'!C9")&lt;1975,0)),INDIRECT("'"&amp;$D$34&amp;"'!GO_2041"),0)
+IF(AND(IFERROR(INDIRECT("'"&amp;$D$35&amp;"'!C9")&gt;1964,0),IFERROR(INDIRECT("'"&amp;$D$35&amp;"'!C9")&lt;1975,0)),INDIRECT("'"&amp;$D$35&amp;"'!GO_2041"),0)
+IF(AND(IFERROR(INDIRECT("'"&amp;$D$36&amp;"'!C9")&gt;1964,0),IFERROR(INDIRECT("'"&amp;$D$36&amp;"'!C9")&lt;1975,0)),INDIRECT("'"&amp;$D$36&amp;"'!GO_2041"),0)
+IF(AND(IFERROR(INDIRECT("'"&amp;$D$37&amp;"'!C9")&gt;1964,0),IFERROR(INDIRECT("'"&amp;$D$37&amp;"'!C9")&lt;1975,0)),INDIRECT("'"&amp;$D$37&amp;"'!GO_2041"),0)
+IF(AND(IFERROR(INDIRECT("'"&amp;$D$38&amp;"'!C9")&gt;1964,0),IFERROR(INDIRECT("'"&amp;$D$38&amp;"'!C9")&lt;1975,0)),INDIRECT("'"&amp;$D$38&amp;"'!GO_2041"),0)
+IF(AND(IFERROR(INDIRECT("'"&amp;$D$39&amp;"'!C9")&gt;1964,0),IFERROR(INDIRECT("'"&amp;$D$39&amp;"'!C9")&lt;1975,0)),INDIRECT("'"&amp;$D$39&amp;"'!GO_2041"),0)
+IF(AND(IFERROR(INDIRECT("'"&amp;$D$40&amp;"'!C9")&gt;1964,0),IFERROR(INDIRECT("'"&amp;$D$40&amp;"'!C9")&lt;1975,0)),INDIRECT("'"&amp;$D$40&amp;"'!GO_2041"),0)
+IF(AND(IFERROR(INDIRECT("'"&amp;$D$41&amp;"'!C9")&gt;1964,0),IFERROR(INDIRECT("'"&amp;$D$41&amp;"'!C9")&lt;1975,0)),INDIRECT("'"&amp;$D$41&amp;"'!GO_2041"),0)
+IF(AND(IFERROR(INDIRECT("'"&amp;$D$42&amp;"'!C9")&gt;1964,0),IFERROR(INDIRECT("'"&amp;$D$42&amp;"'!C9")&lt;1975,0)),INDIRECT("'"&amp;$D$42&amp;"'!GO_2041"),0)
+IF(AND(IFERROR(INDIRECT("'"&amp;$D$43&amp;"'!C9")&gt;1964,0),IFERROR(INDIRECT("'"&amp;$D$43&amp;"'!C9")&lt;1975,0)),INDIRECT("'"&amp;$D$43&amp;"'!GO_2041"),0)
+IF(AND(IFERROR(INDIRECT("'"&amp;$D$44&amp;"'!C9")&gt;1964,0),IFERROR(INDIRECT("'"&amp;$D$44&amp;"'!C9")&lt;1975,0)),INDIRECT("'"&amp;$D$44&amp;"'!GO_2041"),0)
+IF(AND(IFERROR(INDIRECT("'"&amp;$D$45&amp;"'!C9")&gt;1964,0),IFERROR(INDIRECT("'"&amp;$D$45&amp;"'!C9")&lt;1975,0)),INDIRECT("'"&amp;$D$45&amp;"'!GO_2041"),0)
+IF(AND(IFERROR(INDIRECT("'"&amp;$D$46&amp;"'!C9")&gt;1964,0),IFERROR(INDIRECT("'"&amp;$D$46&amp;"'!C9")&lt;1975,0)),INDIRECT("'"&amp;$D$46&amp;"'!GO_2041"),0)
+IF(AND(IFERROR(INDIRECT("'"&amp;$D$47&amp;"'!C9")&gt;1964,0),IFERROR(INDIRECT("'"&amp;$D$47&amp;"'!C9")&lt;1975,0)),INDIRECT("'"&amp;$D$47&amp;"'!GO_2041"),0)
+IF(AND(IFERROR(INDIRECT("'"&amp;$D$48&amp;"'!C9")&gt;1964,0),IFERROR(INDIRECT("'"&amp;$D$48&amp;"'!C9")&lt;1975,0)),INDIRECT("'"&amp;$D$48&amp;"'!GO_2041"),0)
+IF(AND(IFERROR(INDIRECT("'"&amp;$D$49&amp;"'!C9")&gt;1964,0),IFERROR(INDIRECT("'"&amp;$D$49&amp;"'!C9")&lt;1975,0)),INDIRECT("'"&amp;$D$49&amp;"'!GO_2041"),0)
+IF(AND(IFERROR(INDIRECT("'"&amp;$D$50&amp;"'!C9")&gt;1964,0),IFERROR(INDIRECT("'"&amp;$D$50&amp;"'!C9")&lt;1975,0)),INDIRECT("'"&amp;$D$50&amp;"'!GO_2041"),0)
+IF(AND(IFERROR(INDIRECT("'"&amp;$D$51&amp;"'!C9")&gt;1964,0),IFERROR(INDIRECT("'"&amp;$D$51&amp;"'!C9")&lt;1975,0)),INDIRECT("'"&amp;$D$51&amp;"'!GO_2041"),0)
+IF(AND(IFERROR(INDIRECT("'"&amp;$D$52&amp;"'!C9")&gt;1964,0),IFERROR(INDIRECT("'"&amp;$D$52&amp;"'!C9")&lt;1975,0)),INDIRECT("'"&amp;$D$52&amp;"'!GO_2041"),0)
+IF(AND(IFERROR(INDIRECT("'"&amp;$D$53&amp;"'!C9")&gt;1964,0),IFERROR(INDIRECT("'"&amp;$D$53&amp;"'!C9")&lt;1975,0)),INDIRECT("'"&amp;$D$53&amp;"'!GO_2041"),0)
+IF(AND(IFERROR(INDIRECT("'"&amp;$D$54&amp;"'!C9")&gt;1964,0),IFERROR(INDIRECT("'"&amp;$D$54&amp;"'!C9")&lt;1975,0)),INDIRECT("'"&amp;$D$54&amp;"'!GO_2041"),0)</f>
        <v>0</v>
      </c>
      <c r="AF25" s="321">
        <f ca="1">IF(AND(IFERROR(INDIRECT("'"&amp;$D$5&amp;"'!C9")&gt;1964,0),IFERROR(INDIRECT("'"&amp;$D$5&amp;"'!C9")&lt;1975,0)),INDIRECT("'"&amp;$D$5&amp;"'!GO_2042"),0)
+IF(AND(IFERROR(INDIRECT("'"&amp;$D$6&amp;"'!C9")&gt;1964,0),IFERROR(INDIRECT("'"&amp;$D$6&amp;"'!C9")&lt;1975,0)),INDIRECT("'"&amp;$D$6&amp;"'!GO_2042"),0)
+IF(AND(IFERROR(INDIRECT("'"&amp;$D$7&amp;"'!C9")&gt;1964,0),IFERROR(INDIRECT("'"&amp;$D$7&amp;"'!C9")&lt;1975,0)),INDIRECT("'"&amp;$D$7&amp;"'!GO_2042"),0)
+IF(AND(IFERROR(INDIRECT("'"&amp;$D$8&amp;"'!C9")&gt;1964,0),IFERROR(INDIRECT("'"&amp;$D$8&amp;"'!C9")&lt;1975,0)),INDIRECT("'"&amp;$D$8&amp;"'!GO_2042"),0)
+IF(AND(IFERROR(INDIRECT("'"&amp;$D$9&amp;"'!C9")&gt;1964,0),IFERROR(INDIRECT("'"&amp;$D$9&amp;"'!C9")&lt;1975,0)),INDIRECT("'"&amp;$D$9&amp;"'!GO_2042"),0)
+IF(AND(IFERROR(INDIRECT("'"&amp;$D$10&amp;"'!C9")&gt;1964,0),IFERROR(INDIRECT("'"&amp;$D$10&amp;"'!C9")&lt;1975,0)),INDIRECT("'"&amp;$D$10&amp;"'!GO_2042"),0)
+IF(AND(IFERROR(INDIRECT("'"&amp;$D$11&amp;"'!C9")&gt;1964,0),IFERROR(INDIRECT("'"&amp;$D$11&amp;"'!C9")&lt;1975,0)),INDIRECT("'"&amp;$D$11&amp;"'!GO_2042"),0)
+IF(AND(IFERROR(INDIRECT("'"&amp;$D$12&amp;"'!C9")&gt;1964,0),IFERROR(INDIRECT("'"&amp;$D$12&amp;"'!C9")&lt;1975,0)),INDIRECT("'"&amp;$D$12&amp;"'!GO_2042"),0)
+IF(AND(IFERROR(INDIRECT("'"&amp;$D$13&amp;"'!C9")&gt;1964,0),IFERROR(INDIRECT("'"&amp;$D$13&amp;"'!C9")&lt;1975,0)),INDIRECT("'"&amp;$D$13&amp;"'!GO_2042"),0)
+IF(AND(IFERROR(INDIRECT("'"&amp;$D$14&amp;"'!C9")&gt;1964,0),IFERROR(INDIRECT("'"&amp;$D$14&amp;"'!C9")&lt;1975,0)),INDIRECT("'"&amp;$D$14&amp;"'!GO_2042"),0)
+IF(AND(IFERROR(INDIRECT("'"&amp;$D$15&amp;"'!C9")&gt;1964,0),IFERROR(INDIRECT("'"&amp;$D$15&amp;"'!C9")&lt;1975,0)),INDIRECT("'"&amp;$D$15&amp;"'!GO_2042"),0)
+IF(AND(IFERROR(INDIRECT("'"&amp;$D$16&amp;"'!C9")&gt;1964,0),IFERROR(INDIRECT("'"&amp;$D$16&amp;"'!C9")&lt;1975,0)),INDIRECT("'"&amp;$D$16&amp;"'!GO_2042"),0)
+IF(AND(IFERROR(INDIRECT("'"&amp;$D$17&amp;"'!C9")&gt;1964,0),IFERROR(INDIRECT("'"&amp;$D$17&amp;"'!C9")&lt;1975,0)),INDIRECT("'"&amp;$D$17&amp;"'!GO_2042"),0)
+IF(AND(IFERROR(INDIRECT("'"&amp;$D$18&amp;"'!C9")&gt;1964,0),IFERROR(INDIRECT("'"&amp;$D$18&amp;"'!C9")&lt;1975,0)),INDIRECT("'"&amp;$D$18&amp;"'!GO_2042"),0)
+IF(AND(IFERROR(INDIRECT("'"&amp;$D$19&amp;"'!C9")&gt;1964,0),IFERROR(INDIRECT("'"&amp;$D$19&amp;"'!C9")&lt;1975,0)),INDIRECT("'"&amp;$D$19&amp;"'!GO_2042"),0)
+IF(AND(IFERROR(INDIRECT("'"&amp;$D$20&amp;"'!C9")&gt;1964,0),IFERROR(INDIRECT("'"&amp;$D$20&amp;"'!C9")&lt;1975,0)),INDIRECT("'"&amp;$D$20&amp;"'!GO_2042"),0)
+IF(AND(IFERROR(INDIRECT("'"&amp;$D$21&amp;"'!C9")&gt;1964,0),IFERROR(INDIRECT("'"&amp;$D$21&amp;"'!C9")&lt;1975,0)),INDIRECT("'"&amp;$D$21&amp;"'!GO_2042"),0)
+IF(AND(IFERROR(INDIRECT("'"&amp;$D$22&amp;"'!C9")&gt;1964,0),IFERROR(INDIRECT("'"&amp;$D$22&amp;"'!C9")&lt;1975,0)),INDIRECT("'"&amp;$D$22&amp;"'!GO_2042"),0)
+IF(AND(IFERROR(INDIRECT("'"&amp;$D$23&amp;"'!C9")&gt;1964,0),IFERROR(INDIRECT("'"&amp;$D$23&amp;"'!C9")&lt;1975,0)),INDIRECT("'"&amp;$D$23&amp;"'!GO_2042"),0)
+IF(AND(IFERROR(INDIRECT("'"&amp;$D$24&amp;"'!C9")&gt;1964,0),IFERROR(INDIRECT("'"&amp;$D$24&amp;"'!C9")&lt;1975,0)),INDIRECT("'"&amp;$D$24&amp;"'!GO_2042"),0)
+IF(AND(IFERROR(INDIRECT("'"&amp;$D$25&amp;"'!C9")&gt;1964,0),IFERROR(INDIRECT("'"&amp;$D$25&amp;"'!C9")&lt;1975,0)),INDIRECT("'"&amp;$D$25&amp;"'!GO_2042"),0)
+IF(AND(IFERROR(INDIRECT("'"&amp;$D$26&amp;"'!C9")&gt;1964,0),IFERROR(INDIRECT("'"&amp;$D$26&amp;"'!C9")&lt;1975,0)),INDIRECT("'"&amp;$D$26&amp;"'!GO_2042"),0)
+IF(AND(IFERROR(INDIRECT("'"&amp;$D$27&amp;"'!C9")&gt;1964,0),IFERROR(INDIRECT("'"&amp;$D$27&amp;"'!C9")&lt;1975,0)),INDIRECT("'"&amp;$D$27&amp;"'!GO_2042"),0)
+IF(AND(IFERROR(INDIRECT("'"&amp;$D$28&amp;"'!C9")&gt;1964,0),IFERROR(INDIRECT("'"&amp;$D$28&amp;"'!C9")&lt;1975,0)),INDIRECT("'"&amp;$D$28&amp;"'!GO_2042"),0)
+IF(AND(IFERROR(INDIRECT("'"&amp;$D$29&amp;"'!C9")&gt;1964,0),IFERROR(INDIRECT("'"&amp;$D$29&amp;"'!C9")&lt;1975,0)),INDIRECT("'"&amp;$D$29&amp;"'!GO_2042"),0)
+IF(AND(IFERROR(INDIRECT("'"&amp;$D$30&amp;"'!C9")&gt;1964,0),IFERROR(INDIRECT("'"&amp;$D$30&amp;"'!C9")&lt;1975,0)),INDIRECT("'"&amp;$D$30&amp;"'!GO_2042"),0)
+IF(AND(IFERROR(INDIRECT("'"&amp;$D$31&amp;"'!C9")&gt;1964,0),IFERROR(INDIRECT("'"&amp;$D$31&amp;"'!C9")&lt;1975,0)),INDIRECT("'"&amp;$D$31&amp;"'!GO_2042"),0)
+IF(AND(IFERROR(INDIRECT("'"&amp;$D$32&amp;"'!C9")&gt;1964,0),IFERROR(INDIRECT("'"&amp;$D$32&amp;"'!C9")&lt;1975,0)),INDIRECT("'"&amp;$D$32&amp;"'!GO_2042"),0)
+IF(AND(IFERROR(INDIRECT("'"&amp;$D$33&amp;"'!C9")&gt;1964,0),IFERROR(INDIRECT("'"&amp;$D$33&amp;"'!C9")&lt;1975,0)),INDIRECT("'"&amp;$D$33&amp;"'!GO_2042"),0)
+IF(AND(IFERROR(INDIRECT("'"&amp;$D$34&amp;"'!C9")&gt;1964,0),IFERROR(INDIRECT("'"&amp;$D$34&amp;"'!C9")&lt;1975,0)),INDIRECT("'"&amp;$D$34&amp;"'!GO_2042"),0)
+IF(AND(IFERROR(INDIRECT("'"&amp;$D$35&amp;"'!C9")&gt;1964,0),IFERROR(INDIRECT("'"&amp;$D$35&amp;"'!C9")&lt;1975,0)),INDIRECT("'"&amp;$D$35&amp;"'!GO_2042"),0)
+IF(AND(IFERROR(INDIRECT("'"&amp;$D$36&amp;"'!C9")&gt;1964,0),IFERROR(INDIRECT("'"&amp;$D$36&amp;"'!C9")&lt;1975,0)),INDIRECT("'"&amp;$D$36&amp;"'!GO_2042"),0)
+IF(AND(IFERROR(INDIRECT("'"&amp;$D$37&amp;"'!C9")&gt;1964,0),IFERROR(INDIRECT("'"&amp;$D$37&amp;"'!C9")&lt;1975,0)),INDIRECT("'"&amp;$D$37&amp;"'!GO_2042"),0)
+IF(AND(IFERROR(INDIRECT("'"&amp;$D$38&amp;"'!C9")&gt;1964,0),IFERROR(INDIRECT("'"&amp;$D$38&amp;"'!C9")&lt;1975,0)),INDIRECT("'"&amp;$D$38&amp;"'!GO_2042"),0)
+IF(AND(IFERROR(INDIRECT("'"&amp;$D$39&amp;"'!C9")&gt;1964,0),IFERROR(INDIRECT("'"&amp;$D$39&amp;"'!C9")&lt;1975,0)),INDIRECT("'"&amp;$D$39&amp;"'!GO_2042"),0)
+IF(AND(IFERROR(INDIRECT("'"&amp;$D$40&amp;"'!C9")&gt;1964,0),IFERROR(INDIRECT("'"&amp;$D$40&amp;"'!C9")&lt;1975,0)),INDIRECT("'"&amp;$D$40&amp;"'!GO_2042"),0)
+IF(AND(IFERROR(INDIRECT("'"&amp;$D$41&amp;"'!C9")&gt;1964,0),IFERROR(INDIRECT("'"&amp;$D$41&amp;"'!C9")&lt;1975,0)),INDIRECT("'"&amp;$D$41&amp;"'!GO_2042"),0)
+IF(AND(IFERROR(INDIRECT("'"&amp;$D$42&amp;"'!C9")&gt;1964,0),IFERROR(INDIRECT("'"&amp;$D$42&amp;"'!C9")&lt;1975,0)),INDIRECT("'"&amp;$D$42&amp;"'!GO_2042"),0)
+IF(AND(IFERROR(INDIRECT("'"&amp;$D$43&amp;"'!C9")&gt;1964,0),IFERROR(INDIRECT("'"&amp;$D$43&amp;"'!C9")&lt;1975,0)),INDIRECT("'"&amp;$D$43&amp;"'!GO_2042"),0)
+IF(AND(IFERROR(INDIRECT("'"&amp;$D$44&amp;"'!C9")&gt;1964,0),IFERROR(INDIRECT("'"&amp;$D$44&amp;"'!C9")&lt;1975,0)),INDIRECT("'"&amp;$D$44&amp;"'!GO_2042"),0)
+IF(AND(IFERROR(INDIRECT("'"&amp;$D$45&amp;"'!C9")&gt;1964,0),IFERROR(INDIRECT("'"&amp;$D$45&amp;"'!C9")&lt;1975,0)),INDIRECT("'"&amp;$D$45&amp;"'!GO_2042"),0)
+IF(AND(IFERROR(INDIRECT("'"&amp;$D$46&amp;"'!C9")&gt;1964,0),IFERROR(INDIRECT("'"&amp;$D$46&amp;"'!C9")&lt;1975,0)),INDIRECT("'"&amp;$D$46&amp;"'!GO_2042"),0)
+IF(AND(IFERROR(INDIRECT("'"&amp;$D$47&amp;"'!C9")&gt;1964,0),IFERROR(INDIRECT("'"&amp;$D$47&amp;"'!C9")&lt;1975,0)),INDIRECT("'"&amp;$D$47&amp;"'!GO_2042"),0)
+IF(AND(IFERROR(INDIRECT("'"&amp;$D$48&amp;"'!C9")&gt;1964,0),IFERROR(INDIRECT("'"&amp;$D$48&amp;"'!C9")&lt;1975,0)),INDIRECT("'"&amp;$D$48&amp;"'!GO_2042"),0)
+IF(AND(IFERROR(INDIRECT("'"&amp;$D$49&amp;"'!C9")&gt;1964,0),IFERROR(INDIRECT("'"&amp;$D$49&amp;"'!C9")&lt;1975,0)),INDIRECT("'"&amp;$D$49&amp;"'!GO_2042"),0)
+IF(AND(IFERROR(INDIRECT("'"&amp;$D$50&amp;"'!C9")&gt;1964,0),IFERROR(INDIRECT("'"&amp;$D$50&amp;"'!C9")&lt;1975,0)),INDIRECT("'"&amp;$D$50&amp;"'!GO_2042"),0)
+IF(AND(IFERROR(INDIRECT("'"&amp;$D$51&amp;"'!C9")&gt;1964,0),IFERROR(INDIRECT("'"&amp;$D$51&amp;"'!C9")&lt;1975,0)),INDIRECT("'"&amp;$D$51&amp;"'!GO_2042"),0)
+IF(AND(IFERROR(INDIRECT("'"&amp;$D$52&amp;"'!C9")&gt;1964,0),IFERROR(INDIRECT("'"&amp;$D$52&amp;"'!C9")&lt;1975,0)),INDIRECT("'"&amp;$D$52&amp;"'!GO_2042"),0)
+IF(AND(IFERROR(INDIRECT("'"&amp;$D$53&amp;"'!C9")&gt;1964,0),IFERROR(INDIRECT("'"&amp;$D$53&amp;"'!C9")&lt;1975,0)),INDIRECT("'"&amp;$D$53&amp;"'!GO_2042"),0)
+IF(AND(IFERROR(INDIRECT("'"&amp;$D$54&amp;"'!C9")&gt;1964,0),IFERROR(INDIRECT("'"&amp;$D$54&amp;"'!C9")&lt;1975,0)),INDIRECT("'"&amp;$D$54&amp;"'!GO_2042"),0)</f>
        <v>0</v>
      </c>
      <c r="AG25" s="321">
        <f ca="1">IF(AND(IFERROR(INDIRECT("'"&amp;$D$5&amp;"'!C9")&gt;1964,0),IFERROR(INDIRECT("'"&amp;$D$5&amp;"'!C9")&lt;1975,0)),INDIRECT("'"&amp;$D$5&amp;"'!GO_2043"),0)
+IF(AND(IFERROR(INDIRECT("'"&amp;$D$6&amp;"'!C9")&gt;1964,0),IFERROR(INDIRECT("'"&amp;$D$6&amp;"'!C9")&lt;1975,0)),INDIRECT("'"&amp;$D$6&amp;"'!GO_2043"),0)
+IF(AND(IFERROR(INDIRECT("'"&amp;$D$7&amp;"'!C9")&gt;1964,0),IFERROR(INDIRECT("'"&amp;$D$7&amp;"'!C9")&lt;1975,0)),INDIRECT("'"&amp;$D$7&amp;"'!GO_2043"),0)
+IF(AND(IFERROR(INDIRECT("'"&amp;$D$8&amp;"'!C9")&gt;1964,0),IFERROR(INDIRECT("'"&amp;$D$8&amp;"'!C9")&lt;1975,0)),INDIRECT("'"&amp;$D$8&amp;"'!GO_2043"),0)
+IF(AND(IFERROR(INDIRECT("'"&amp;$D$9&amp;"'!C9")&gt;1964,0),IFERROR(INDIRECT("'"&amp;$D$9&amp;"'!C9")&lt;1975,0)),INDIRECT("'"&amp;$D$9&amp;"'!GO_2043"),0)
+IF(AND(IFERROR(INDIRECT("'"&amp;$D$10&amp;"'!C9")&gt;1964,0),IFERROR(INDIRECT("'"&amp;$D$10&amp;"'!C9")&lt;1975,0)),INDIRECT("'"&amp;$D$10&amp;"'!GO_2043"),0)
+IF(AND(IFERROR(INDIRECT("'"&amp;$D$11&amp;"'!C9")&gt;1964,0),IFERROR(INDIRECT("'"&amp;$D$11&amp;"'!C9")&lt;1975,0)),INDIRECT("'"&amp;$D$11&amp;"'!GO_2043"),0)
+IF(AND(IFERROR(INDIRECT("'"&amp;$D$12&amp;"'!C9")&gt;1964,0),IFERROR(INDIRECT("'"&amp;$D$12&amp;"'!C9")&lt;1975,0)),INDIRECT("'"&amp;$D$12&amp;"'!GO_2043"),0)
+IF(AND(IFERROR(INDIRECT("'"&amp;$D$13&amp;"'!C9")&gt;1964,0),IFERROR(INDIRECT("'"&amp;$D$13&amp;"'!C9")&lt;1975,0)),INDIRECT("'"&amp;$D$13&amp;"'!GO_2043"),0)
+IF(AND(IFERROR(INDIRECT("'"&amp;$D$14&amp;"'!C9")&gt;1964,0),IFERROR(INDIRECT("'"&amp;$D$14&amp;"'!C9")&lt;1975,0)),INDIRECT("'"&amp;$D$14&amp;"'!GO_2043"),0)
+IF(AND(IFERROR(INDIRECT("'"&amp;$D$15&amp;"'!C9")&gt;1964,0),IFERROR(INDIRECT("'"&amp;$D$15&amp;"'!C9")&lt;1975,0)),INDIRECT("'"&amp;$D$15&amp;"'!GO_2043"),0)
+IF(AND(IFERROR(INDIRECT("'"&amp;$D$16&amp;"'!C9")&gt;1964,0),IFERROR(INDIRECT("'"&amp;$D$16&amp;"'!C9")&lt;1975,0)),INDIRECT("'"&amp;$D$16&amp;"'!GO_2043"),0)
+IF(AND(IFERROR(INDIRECT("'"&amp;$D$17&amp;"'!C9")&gt;1964,0),IFERROR(INDIRECT("'"&amp;$D$17&amp;"'!C9")&lt;1975,0)),INDIRECT("'"&amp;$D$17&amp;"'!GO_2043"),0)
+IF(AND(IFERROR(INDIRECT("'"&amp;$D$18&amp;"'!C9")&gt;1964,0),IFERROR(INDIRECT("'"&amp;$D$18&amp;"'!C9")&lt;1975,0)),INDIRECT("'"&amp;$D$18&amp;"'!GO_2043"),0)
+IF(AND(IFERROR(INDIRECT("'"&amp;$D$19&amp;"'!C9")&gt;1964,0),IFERROR(INDIRECT("'"&amp;$D$19&amp;"'!C9")&lt;1975,0)),INDIRECT("'"&amp;$D$19&amp;"'!GO_2043"),0)
+IF(AND(IFERROR(INDIRECT("'"&amp;$D$20&amp;"'!C9")&gt;1964,0),IFERROR(INDIRECT("'"&amp;$D$20&amp;"'!C9")&lt;1975,0)),INDIRECT("'"&amp;$D$20&amp;"'!GO_2043"),0)
+IF(AND(IFERROR(INDIRECT("'"&amp;$D$21&amp;"'!C9")&gt;1964,0),IFERROR(INDIRECT("'"&amp;$D$21&amp;"'!C9")&lt;1975,0)),INDIRECT("'"&amp;$D$21&amp;"'!GO_2043"),0)
+IF(AND(IFERROR(INDIRECT("'"&amp;$D$22&amp;"'!C9")&gt;1964,0),IFERROR(INDIRECT("'"&amp;$D$22&amp;"'!C9")&lt;1975,0)),INDIRECT("'"&amp;$D$22&amp;"'!GO_2043"),0)
+IF(AND(IFERROR(INDIRECT("'"&amp;$D$23&amp;"'!C9")&gt;1964,0),IFERROR(INDIRECT("'"&amp;$D$23&amp;"'!C9")&lt;1975,0)),INDIRECT("'"&amp;$D$23&amp;"'!GO_2043"),0)
+IF(AND(IFERROR(INDIRECT("'"&amp;$D$24&amp;"'!C9")&gt;1964,0),IFERROR(INDIRECT("'"&amp;$D$24&amp;"'!C9")&lt;1975,0)),INDIRECT("'"&amp;$D$24&amp;"'!GO_2043"),0)
+IF(AND(IFERROR(INDIRECT("'"&amp;$D$25&amp;"'!C9")&gt;1964,0),IFERROR(INDIRECT("'"&amp;$D$25&amp;"'!C9")&lt;1975,0)),INDIRECT("'"&amp;$D$25&amp;"'!GO_2043"),0)
+IF(AND(IFERROR(INDIRECT("'"&amp;$D$26&amp;"'!C9")&gt;1964,0),IFERROR(INDIRECT("'"&amp;$D$26&amp;"'!C9")&lt;1975,0)),INDIRECT("'"&amp;$D$26&amp;"'!GO_2043"),0)
+IF(AND(IFERROR(INDIRECT("'"&amp;$D$27&amp;"'!C9")&gt;1964,0),IFERROR(INDIRECT("'"&amp;$D$27&amp;"'!C9")&lt;1975,0)),INDIRECT("'"&amp;$D$27&amp;"'!GO_2043"),0)
+IF(AND(IFERROR(INDIRECT("'"&amp;$D$28&amp;"'!C9")&gt;1964,0),IFERROR(INDIRECT("'"&amp;$D$28&amp;"'!C9")&lt;1975,0)),INDIRECT("'"&amp;$D$28&amp;"'!GO_2043"),0)
+IF(AND(IFERROR(INDIRECT("'"&amp;$D$29&amp;"'!C9")&gt;1964,0),IFERROR(INDIRECT("'"&amp;$D$29&amp;"'!C9")&lt;1975,0)),INDIRECT("'"&amp;$D$29&amp;"'!GO_2043"),0)
+IF(AND(IFERROR(INDIRECT("'"&amp;$D$30&amp;"'!C9")&gt;1964,0),IFERROR(INDIRECT("'"&amp;$D$30&amp;"'!C9")&lt;1975,0)),INDIRECT("'"&amp;$D$30&amp;"'!GO_2043"),0)
+IF(AND(IFERROR(INDIRECT("'"&amp;$D$31&amp;"'!C9")&gt;1964,0),IFERROR(INDIRECT("'"&amp;$D$31&amp;"'!C9")&lt;1975,0)),INDIRECT("'"&amp;$D$31&amp;"'!GO_2043"),0)
+IF(AND(IFERROR(INDIRECT("'"&amp;$D$32&amp;"'!C9")&gt;1964,0),IFERROR(INDIRECT("'"&amp;$D$32&amp;"'!C9")&lt;1975,0)),INDIRECT("'"&amp;$D$32&amp;"'!GO_2043"),0)
+IF(AND(IFERROR(INDIRECT("'"&amp;$D$33&amp;"'!C9")&gt;1964,0),IFERROR(INDIRECT("'"&amp;$D$33&amp;"'!C9")&lt;1975,0)),INDIRECT("'"&amp;$D$33&amp;"'!GO_2043"),0)
+IF(AND(IFERROR(INDIRECT("'"&amp;$D$34&amp;"'!C9")&gt;1964,0),IFERROR(INDIRECT("'"&amp;$D$34&amp;"'!C9")&lt;1975,0)),INDIRECT("'"&amp;$D$34&amp;"'!GO_2043"),0)
+IF(AND(IFERROR(INDIRECT("'"&amp;$D$35&amp;"'!C9")&gt;1964,0),IFERROR(INDIRECT("'"&amp;$D$35&amp;"'!C9")&lt;1975,0)),INDIRECT("'"&amp;$D$35&amp;"'!GO_2043"),0)
+IF(AND(IFERROR(INDIRECT("'"&amp;$D$36&amp;"'!C9")&gt;1964,0),IFERROR(INDIRECT("'"&amp;$D$36&amp;"'!C9")&lt;1975,0)),INDIRECT("'"&amp;$D$36&amp;"'!GO_2043"),0)
+IF(AND(IFERROR(INDIRECT("'"&amp;$D$37&amp;"'!C9")&gt;1964,0),IFERROR(INDIRECT("'"&amp;$D$37&amp;"'!C9")&lt;1975,0)),INDIRECT("'"&amp;$D$37&amp;"'!GO_2043"),0)
+IF(AND(IFERROR(INDIRECT("'"&amp;$D$38&amp;"'!C9")&gt;1964,0),IFERROR(INDIRECT("'"&amp;$D$38&amp;"'!C9")&lt;1975,0)),INDIRECT("'"&amp;$D$38&amp;"'!GO_2043"),0)
+IF(AND(IFERROR(INDIRECT("'"&amp;$D$39&amp;"'!C9")&gt;1964,0),IFERROR(INDIRECT("'"&amp;$D$39&amp;"'!C9")&lt;1975,0)),INDIRECT("'"&amp;$D$39&amp;"'!GO_2043"),0)
+IF(AND(IFERROR(INDIRECT("'"&amp;$D$40&amp;"'!C9")&gt;1964,0),IFERROR(INDIRECT("'"&amp;$D$40&amp;"'!C9")&lt;1975,0)),INDIRECT("'"&amp;$D$40&amp;"'!GO_2043"),0)
+IF(AND(IFERROR(INDIRECT("'"&amp;$D$41&amp;"'!C9")&gt;1964,0),IFERROR(INDIRECT("'"&amp;$D$41&amp;"'!C9")&lt;1975,0)),INDIRECT("'"&amp;$D$41&amp;"'!GO_2043"),0)
+IF(AND(IFERROR(INDIRECT("'"&amp;$D$42&amp;"'!C9")&gt;1964,0),IFERROR(INDIRECT("'"&amp;$D$42&amp;"'!C9")&lt;1975,0)),INDIRECT("'"&amp;$D$42&amp;"'!GO_2043"),0)
+IF(AND(IFERROR(INDIRECT("'"&amp;$D$43&amp;"'!C9")&gt;1964,0),IFERROR(INDIRECT("'"&amp;$D$43&amp;"'!C9")&lt;1975,0)),INDIRECT("'"&amp;$D$43&amp;"'!GO_2043"),0)
+IF(AND(IFERROR(INDIRECT("'"&amp;$D$44&amp;"'!C9")&gt;1964,0),IFERROR(INDIRECT("'"&amp;$D$44&amp;"'!C9")&lt;1975,0)),INDIRECT("'"&amp;$D$44&amp;"'!GO_2043"),0)
+IF(AND(IFERROR(INDIRECT("'"&amp;$D$45&amp;"'!C9")&gt;1964,0),IFERROR(INDIRECT("'"&amp;$D$45&amp;"'!C9")&lt;1975,0)),INDIRECT("'"&amp;$D$45&amp;"'!GO_2043"),0)
+IF(AND(IFERROR(INDIRECT("'"&amp;$D$46&amp;"'!C9")&gt;1964,0),IFERROR(INDIRECT("'"&amp;$D$46&amp;"'!C9")&lt;1975,0)),INDIRECT("'"&amp;$D$46&amp;"'!GO_2043"),0)
+IF(AND(IFERROR(INDIRECT("'"&amp;$D$47&amp;"'!C9")&gt;1964,0),IFERROR(INDIRECT("'"&amp;$D$47&amp;"'!C9")&lt;1975,0)),INDIRECT("'"&amp;$D$47&amp;"'!GO_2043"),0)
+IF(AND(IFERROR(INDIRECT("'"&amp;$D$48&amp;"'!C9")&gt;1964,0),IFERROR(INDIRECT("'"&amp;$D$48&amp;"'!C9")&lt;1975,0)),INDIRECT("'"&amp;$D$48&amp;"'!GO_2043"),0)
+IF(AND(IFERROR(INDIRECT("'"&amp;$D$49&amp;"'!C9")&gt;1964,0),IFERROR(INDIRECT("'"&amp;$D$49&amp;"'!C9")&lt;1975,0)),INDIRECT("'"&amp;$D$49&amp;"'!GO_2043"),0)
+IF(AND(IFERROR(INDIRECT("'"&amp;$D$50&amp;"'!C9")&gt;1964,0),IFERROR(INDIRECT("'"&amp;$D$50&amp;"'!C9")&lt;1975,0)),INDIRECT("'"&amp;$D$50&amp;"'!GO_2043"),0)
+IF(AND(IFERROR(INDIRECT("'"&amp;$D$51&amp;"'!C9")&gt;1964,0),IFERROR(INDIRECT("'"&amp;$D$51&amp;"'!C9")&lt;1975,0)),INDIRECT("'"&amp;$D$51&amp;"'!GO_2043"),0)
+IF(AND(IFERROR(INDIRECT("'"&amp;$D$52&amp;"'!C9")&gt;1964,0),IFERROR(INDIRECT("'"&amp;$D$52&amp;"'!C9")&lt;1975,0)),INDIRECT("'"&amp;$D$52&amp;"'!GO_2043"),0)
+IF(AND(IFERROR(INDIRECT("'"&amp;$D$53&amp;"'!C9")&gt;1964,0),IFERROR(INDIRECT("'"&amp;$D$53&amp;"'!C9")&lt;1975,0)),INDIRECT("'"&amp;$D$53&amp;"'!GO_2043"),0)
+IF(AND(IFERROR(INDIRECT("'"&amp;$D$54&amp;"'!C9")&gt;1964,0),IFERROR(INDIRECT("'"&amp;$D$54&amp;"'!C9")&lt;1975,0)),INDIRECT("'"&amp;$D$54&amp;"'!GO_2043"),0)</f>
        <v>0</v>
      </c>
      <c r="AH25" s="321">
        <f ca="1">IF(AND(IFERROR(INDIRECT("'"&amp;$D$5&amp;"'!C9")&gt;1964,0),IFERROR(INDIRECT("'"&amp;$D$5&amp;"'!C9")&lt;1975,0)),INDIRECT("'"&amp;$D$5&amp;"'!GO_2044"),0)
+IF(AND(IFERROR(INDIRECT("'"&amp;$D$6&amp;"'!C9")&gt;1964,0),IFERROR(INDIRECT("'"&amp;$D$6&amp;"'!C9")&lt;1975,0)),INDIRECT("'"&amp;$D$6&amp;"'!GO_2044"),0)
+IF(AND(IFERROR(INDIRECT("'"&amp;$D$7&amp;"'!C9")&gt;1964,0),IFERROR(INDIRECT("'"&amp;$D$7&amp;"'!C9")&lt;1975,0)),INDIRECT("'"&amp;$D$7&amp;"'!GO_2044"),0)
+IF(AND(IFERROR(INDIRECT("'"&amp;$D$8&amp;"'!C9")&gt;1964,0),IFERROR(INDIRECT("'"&amp;$D$8&amp;"'!C9")&lt;1975,0)),INDIRECT("'"&amp;$D$8&amp;"'!GO_2044"),0)
+IF(AND(IFERROR(INDIRECT("'"&amp;$D$9&amp;"'!C9")&gt;1964,0),IFERROR(INDIRECT("'"&amp;$D$9&amp;"'!C9")&lt;1975,0)),INDIRECT("'"&amp;$D$9&amp;"'!GO_2044"),0)
+IF(AND(IFERROR(INDIRECT("'"&amp;$D$10&amp;"'!C9")&gt;1964,0),IFERROR(INDIRECT("'"&amp;$D$10&amp;"'!C9")&lt;1975,0)),INDIRECT("'"&amp;$D$10&amp;"'!GO_2044"),0)
+IF(AND(IFERROR(INDIRECT("'"&amp;$D$11&amp;"'!C9")&gt;1964,0),IFERROR(INDIRECT("'"&amp;$D$11&amp;"'!C9")&lt;1975,0)),INDIRECT("'"&amp;$D$11&amp;"'!GO_2044"),0)
+IF(AND(IFERROR(INDIRECT("'"&amp;$D$12&amp;"'!C9")&gt;1964,0),IFERROR(INDIRECT("'"&amp;$D$12&amp;"'!C9")&lt;1975,0)),INDIRECT("'"&amp;$D$12&amp;"'!GO_2044"),0)
+IF(AND(IFERROR(INDIRECT("'"&amp;$D$13&amp;"'!C9")&gt;1964,0),IFERROR(INDIRECT("'"&amp;$D$13&amp;"'!C9")&lt;1975,0)),INDIRECT("'"&amp;$D$13&amp;"'!GO_2044"),0)
+IF(AND(IFERROR(INDIRECT("'"&amp;$D$14&amp;"'!C9")&gt;1964,0),IFERROR(INDIRECT("'"&amp;$D$14&amp;"'!C9")&lt;1975,0)),INDIRECT("'"&amp;$D$14&amp;"'!GO_2044"),0)
+IF(AND(IFERROR(INDIRECT("'"&amp;$D$15&amp;"'!C9")&gt;1964,0),IFERROR(INDIRECT("'"&amp;$D$15&amp;"'!C9")&lt;1975,0)),INDIRECT("'"&amp;$D$15&amp;"'!GO_2044"),0)
+IF(AND(IFERROR(INDIRECT("'"&amp;$D$16&amp;"'!C9")&gt;1964,0),IFERROR(INDIRECT("'"&amp;$D$16&amp;"'!C9")&lt;1975,0)),INDIRECT("'"&amp;$D$16&amp;"'!GO_2044"),0)
+IF(AND(IFERROR(INDIRECT("'"&amp;$D$17&amp;"'!C9")&gt;1964,0),IFERROR(INDIRECT("'"&amp;$D$17&amp;"'!C9")&lt;1975,0)),INDIRECT("'"&amp;$D$17&amp;"'!GO_2044"),0)
+IF(AND(IFERROR(INDIRECT("'"&amp;$D$18&amp;"'!C9")&gt;1964,0),IFERROR(INDIRECT("'"&amp;$D$18&amp;"'!C9")&lt;1975,0)),INDIRECT("'"&amp;$D$18&amp;"'!GO_2044"),0)
+IF(AND(IFERROR(INDIRECT("'"&amp;$D$19&amp;"'!C9")&gt;1964,0),IFERROR(INDIRECT("'"&amp;$D$19&amp;"'!C9")&lt;1975,0)),INDIRECT("'"&amp;$D$19&amp;"'!GO_2044"),0)
+IF(AND(IFERROR(INDIRECT("'"&amp;$D$20&amp;"'!C9")&gt;1964,0),IFERROR(INDIRECT("'"&amp;$D$20&amp;"'!C9")&lt;1975,0)),INDIRECT("'"&amp;$D$20&amp;"'!GO_2044"),0)
+IF(AND(IFERROR(INDIRECT("'"&amp;$D$21&amp;"'!C9")&gt;1964,0),IFERROR(INDIRECT("'"&amp;$D$21&amp;"'!C9")&lt;1975,0)),INDIRECT("'"&amp;$D$21&amp;"'!GO_2044"),0)
+IF(AND(IFERROR(INDIRECT("'"&amp;$D$22&amp;"'!C9")&gt;1964,0),IFERROR(INDIRECT("'"&amp;$D$22&amp;"'!C9")&lt;1975,0)),INDIRECT("'"&amp;$D$22&amp;"'!GO_2044"),0)
+IF(AND(IFERROR(INDIRECT("'"&amp;$D$23&amp;"'!C9")&gt;1964,0),IFERROR(INDIRECT("'"&amp;$D$23&amp;"'!C9")&lt;1975,0)),INDIRECT("'"&amp;$D$23&amp;"'!GO_2044"),0)
+IF(AND(IFERROR(INDIRECT("'"&amp;$D$24&amp;"'!C9")&gt;1964,0),IFERROR(INDIRECT("'"&amp;$D$24&amp;"'!C9")&lt;1975,0)),INDIRECT("'"&amp;$D$24&amp;"'!GO_2044"),0)
+IF(AND(IFERROR(INDIRECT("'"&amp;$D$25&amp;"'!C9")&gt;1964,0),IFERROR(INDIRECT("'"&amp;$D$25&amp;"'!C9")&lt;1975,0)),INDIRECT("'"&amp;$D$25&amp;"'!GO_2044"),0)
+IF(AND(IFERROR(INDIRECT("'"&amp;$D$26&amp;"'!C9")&gt;1964,0),IFERROR(INDIRECT("'"&amp;$D$26&amp;"'!C9")&lt;1975,0)),INDIRECT("'"&amp;$D$26&amp;"'!GO_2044"),0)
+IF(AND(IFERROR(INDIRECT("'"&amp;$D$27&amp;"'!C9")&gt;1964,0),IFERROR(INDIRECT("'"&amp;$D$27&amp;"'!C9")&lt;1975,0)),INDIRECT("'"&amp;$D$27&amp;"'!GO_2044"),0)
+IF(AND(IFERROR(INDIRECT("'"&amp;$D$28&amp;"'!C9")&gt;1964,0),IFERROR(INDIRECT("'"&amp;$D$28&amp;"'!C9")&lt;1975,0)),INDIRECT("'"&amp;$D$28&amp;"'!GO_2044"),0)
+IF(AND(IFERROR(INDIRECT("'"&amp;$D$29&amp;"'!C9")&gt;1964,0),IFERROR(INDIRECT("'"&amp;$D$29&amp;"'!C9")&lt;1975,0)),INDIRECT("'"&amp;$D$29&amp;"'!GO_2044"),0)
+IF(AND(IFERROR(INDIRECT("'"&amp;$D$30&amp;"'!C9")&gt;1964,0),IFERROR(INDIRECT("'"&amp;$D$30&amp;"'!C9")&lt;1975,0)),INDIRECT("'"&amp;$D$30&amp;"'!GO_2044"),0)
+IF(AND(IFERROR(INDIRECT("'"&amp;$D$31&amp;"'!C9")&gt;1964,0),IFERROR(INDIRECT("'"&amp;$D$31&amp;"'!C9")&lt;1975,0)),INDIRECT("'"&amp;$D$31&amp;"'!GO_2044"),0)
+IF(AND(IFERROR(INDIRECT("'"&amp;$D$32&amp;"'!C9")&gt;1964,0),IFERROR(INDIRECT("'"&amp;$D$32&amp;"'!C9")&lt;1975,0)),INDIRECT("'"&amp;$D$32&amp;"'!GO_2044"),0)
+IF(AND(IFERROR(INDIRECT("'"&amp;$D$33&amp;"'!C9")&gt;1964,0),IFERROR(INDIRECT("'"&amp;$D$33&amp;"'!C9")&lt;1975,0)),INDIRECT("'"&amp;$D$33&amp;"'!GO_2044"),0)
+IF(AND(IFERROR(INDIRECT("'"&amp;$D$34&amp;"'!C9")&gt;1964,0),IFERROR(INDIRECT("'"&amp;$D$34&amp;"'!C9")&lt;1975,0)),INDIRECT("'"&amp;$D$34&amp;"'!GO_2044"),0)
+IF(AND(IFERROR(INDIRECT("'"&amp;$D$35&amp;"'!C9")&gt;1964,0),IFERROR(INDIRECT("'"&amp;$D$35&amp;"'!C9")&lt;1975,0)),INDIRECT("'"&amp;$D$35&amp;"'!GO_2044"),0)
+IF(AND(IFERROR(INDIRECT("'"&amp;$D$36&amp;"'!C9")&gt;1964,0),IFERROR(INDIRECT("'"&amp;$D$36&amp;"'!C9")&lt;1975,0)),INDIRECT("'"&amp;$D$36&amp;"'!GO_2044"),0)
+IF(AND(IFERROR(INDIRECT("'"&amp;$D$37&amp;"'!C9")&gt;1964,0),IFERROR(INDIRECT("'"&amp;$D$37&amp;"'!C9")&lt;1975,0)),INDIRECT("'"&amp;$D$37&amp;"'!GO_2044"),0)
+IF(AND(IFERROR(INDIRECT("'"&amp;$D$38&amp;"'!C9")&gt;1964,0),IFERROR(INDIRECT("'"&amp;$D$38&amp;"'!C9")&lt;1975,0)),INDIRECT("'"&amp;$D$38&amp;"'!GO_2044"),0)
+IF(AND(IFERROR(INDIRECT("'"&amp;$D$39&amp;"'!C9")&gt;1964,0),IFERROR(INDIRECT("'"&amp;$D$39&amp;"'!C9")&lt;1975,0)),INDIRECT("'"&amp;$D$39&amp;"'!GO_2044"),0)
+IF(AND(IFERROR(INDIRECT("'"&amp;$D$40&amp;"'!C9")&gt;1964,0),IFERROR(INDIRECT("'"&amp;$D$40&amp;"'!C9")&lt;1975,0)),INDIRECT("'"&amp;$D$40&amp;"'!GO_2044"),0)
+IF(AND(IFERROR(INDIRECT("'"&amp;$D$41&amp;"'!C9")&gt;1964,0),IFERROR(INDIRECT("'"&amp;$D$41&amp;"'!C9")&lt;1975,0)),INDIRECT("'"&amp;$D$41&amp;"'!GO_2044"),0)
+IF(AND(IFERROR(INDIRECT("'"&amp;$D$42&amp;"'!C9")&gt;1964,0),IFERROR(INDIRECT("'"&amp;$D$42&amp;"'!C9")&lt;1975,0)),INDIRECT("'"&amp;$D$42&amp;"'!GO_2044"),0)
+IF(AND(IFERROR(INDIRECT("'"&amp;$D$43&amp;"'!C9")&gt;1964,0),IFERROR(INDIRECT("'"&amp;$D$43&amp;"'!C9")&lt;1975,0)),INDIRECT("'"&amp;$D$43&amp;"'!GO_2044"),0)
+IF(AND(IFERROR(INDIRECT("'"&amp;$D$44&amp;"'!C9")&gt;1964,0),IFERROR(INDIRECT("'"&amp;$D$44&amp;"'!C9")&lt;1975,0)),INDIRECT("'"&amp;$D$44&amp;"'!GO_2044"),0)
+IF(AND(IFERROR(INDIRECT("'"&amp;$D$45&amp;"'!C9")&gt;1964,0),IFERROR(INDIRECT("'"&amp;$D$45&amp;"'!C9")&lt;1975,0)),INDIRECT("'"&amp;$D$45&amp;"'!GO_2044"),0)
+IF(AND(IFERROR(INDIRECT("'"&amp;$D$46&amp;"'!C9")&gt;1964,0),IFERROR(INDIRECT("'"&amp;$D$46&amp;"'!C9")&lt;1975,0)),INDIRECT("'"&amp;$D$46&amp;"'!GO_2044"),0)
+IF(AND(IFERROR(INDIRECT("'"&amp;$D$47&amp;"'!C9")&gt;1964,0),IFERROR(INDIRECT("'"&amp;$D$47&amp;"'!C9")&lt;1975,0)),INDIRECT("'"&amp;$D$47&amp;"'!GO_2044"),0)
+IF(AND(IFERROR(INDIRECT("'"&amp;$D$48&amp;"'!C9")&gt;1964,0),IFERROR(INDIRECT("'"&amp;$D$48&amp;"'!C9")&lt;1975,0)),INDIRECT("'"&amp;$D$48&amp;"'!GO_2044"),0)
+IF(AND(IFERROR(INDIRECT("'"&amp;$D$49&amp;"'!C9")&gt;1964,0),IFERROR(INDIRECT("'"&amp;$D$49&amp;"'!C9")&lt;1975,0)),INDIRECT("'"&amp;$D$49&amp;"'!GO_2044"),0)
+IF(AND(IFERROR(INDIRECT("'"&amp;$D$50&amp;"'!C9")&gt;1964,0),IFERROR(INDIRECT("'"&amp;$D$50&amp;"'!C9")&lt;1975,0)),INDIRECT("'"&amp;$D$50&amp;"'!GO_2044"),0)
+IF(AND(IFERROR(INDIRECT("'"&amp;$D$51&amp;"'!C9")&gt;1964,0),IFERROR(INDIRECT("'"&amp;$D$51&amp;"'!C9")&lt;1975,0)),INDIRECT("'"&amp;$D$51&amp;"'!GO_2044"),0)
+IF(AND(IFERROR(INDIRECT("'"&amp;$D$52&amp;"'!C9")&gt;1964,0),IFERROR(INDIRECT("'"&amp;$D$52&amp;"'!C9")&lt;1975,0)),INDIRECT("'"&amp;$D$52&amp;"'!GO_2044"),0)
+IF(AND(IFERROR(INDIRECT("'"&amp;$D$53&amp;"'!C9")&gt;1964,0),IFERROR(INDIRECT("'"&amp;$D$53&amp;"'!C9")&lt;1975,0)),INDIRECT("'"&amp;$D$53&amp;"'!GO_2044"),0)
+IF(AND(IFERROR(INDIRECT("'"&amp;$D$54&amp;"'!C9")&gt;1964,0),IFERROR(INDIRECT("'"&amp;$D$54&amp;"'!C9")&lt;1975,0)),INDIRECT("'"&amp;$D$54&amp;"'!GO_2044"),0)</f>
        <v>0</v>
      </c>
      <c r="AI25" s="321">
        <f ca="1">IF(AND(IFERROR(INDIRECT("'"&amp;$D$5&amp;"'!C9")&gt;1964,0),IFERROR(INDIRECT("'"&amp;$D$5&amp;"'!C9")&lt;1975,0)),INDIRECT("'"&amp;$D$5&amp;"'!GO_2045"),0)
+IF(AND(IFERROR(INDIRECT("'"&amp;$D$6&amp;"'!C9")&gt;1964,0),IFERROR(INDIRECT("'"&amp;$D$6&amp;"'!C9")&lt;1975,0)),INDIRECT("'"&amp;$D$6&amp;"'!GO_2045"),0)
+IF(AND(IFERROR(INDIRECT("'"&amp;$D$7&amp;"'!C9")&gt;1964,0),IFERROR(INDIRECT("'"&amp;$D$7&amp;"'!C9")&lt;1975,0)),INDIRECT("'"&amp;$D$7&amp;"'!GO_2045"),0)
+IF(AND(IFERROR(INDIRECT("'"&amp;$D$8&amp;"'!C9")&gt;1964,0),IFERROR(INDIRECT("'"&amp;$D$8&amp;"'!C9")&lt;1975,0)),INDIRECT("'"&amp;$D$8&amp;"'!GO_2045"),0)
+IF(AND(IFERROR(INDIRECT("'"&amp;$D$9&amp;"'!C9")&gt;1964,0),IFERROR(INDIRECT("'"&amp;$D$9&amp;"'!C9")&lt;1975,0)),INDIRECT("'"&amp;$D$9&amp;"'!GO_2045"),0)
+IF(AND(IFERROR(INDIRECT("'"&amp;$D$10&amp;"'!C9")&gt;1964,0),IFERROR(INDIRECT("'"&amp;$D$10&amp;"'!C9")&lt;1975,0)),INDIRECT("'"&amp;$D$10&amp;"'!GO_2045"),0)
+IF(AND(IFERROR(INDIRECT("'"&amp;$D$11&amp;"'!C9")&gt;1964,0),IFERROR(INDIRECT("'"&amp;$D$11&amp;"'!C9")&lt;1975,0)),INDIRECT("'"&amp;$D$11&amp;"'!GO_2045"),0)
+IF(AND(IFERROR(INDIRECT("'"&amp;$D$12&amp;"'!C9")&gt;1964,0),IFERROR(INDIRECT("'"&amp;$D$12&amp;"'!C9")&lt;1975,0)),INDIRECT("'"&amp;$D$12&amp;"'!GO_2045"),0)
+IF(AND(IFERROR(INDIRECT("'"&amp;$D$13&amp;"'!C9")&gt;1964,0),IFERROR(INDIRECT("'"&amp;$D$13&amp;"'!C9")&lt;1975,0)),INDIRECT("'"&amp;$D$13&amp;"'!GO_2045"),0)
+IF(AND(IFERROR(INDIRECT("'"&amp;$D$14&amp;"'!C9")&gt;1964,0),IFERROR(INDIRECT("'"&amp;$D$14&amp;"'!C9")&lt;1975,0)),INDIRECT("'"&amp;$D$14&amp;"'!GO_2045"),0)
+IF(AND(IFERROR(INDIRECT("'"&amp;$D$15&amp;"'!C9")&gt;1964,0),IFERROR(INDIRECT("'"&amp;$D$15&amp;"'!C9")&lt;1975,0)),INDIRECT("'"&amp;$D$15&amp;"'!GO_2045"),0)
+IF(AND(IFERROR(INDIRECT("'"&amp;$D$16&amp;"'!C9")&gt;1964,0),IFERROR(INDIRECT("'"&amp;$D$16&amp;"'!C9")&lt;1975,0)),INDIRECT("'"&amp;$D$16&amp;"'!GO_2045"),0)
+IF(AND(IFERROR(INDIRECT("'"&amp;$D$17&amp;"'!C9")&gt;1964,0),IFERROR(INDIRECT("'"&amp;$D$17&amp;"'!C9")&lt;1975,0)),INDIRECT("'"&amp;$D$17&amp;"'!GO_2045"),0)
+IF(AND(IFERROR(INDIRECT("'"&amp;$D$18&amp;"'!C9")&gt;1964,0),IFERROR(INDIRECT("'"&amp;$D$18&amp;"'!C9")&lt;1975,0)),INDIRECT("'"&amp;$D$18&amp;"'!GO_2045"),0)
+IF(AND(IFERROR(INDIRECT("'"&amp;$D$19&amp;"'!C9")&gt;1964,0),IFERROR(INDIRECT("'"&amp;$D$19&amp;"'!C9")&lt;1975,0)),INDIRECT("'"&amp;$D$19&amp;"'!GO_2045"),0)
+IF(AND(IFERROR(INDIRECT("'"&amp;$D$20&amp;"'!C9")&gt;1964,0),IFERROR(INDIRECT("'"&amp;$D$20&amp;"'!C9")&lt;1975,0)),INDIRECT("'"&amp;$D$20&amp;"'!GO_2045"),0)
+IF(AND(IFERROR(INDIRECT("'"&amp;$D$21&amp;"'!C9")&gt;1964,0),IFERROR(INDIRECT("'"&amp;$D$21&amp;"'!C9")&lt;1975,0)),INDIRECT("'"&amp;$D$21&amp;"'!GO_2045"),0)
+IF(AND(IFERROR(INDIRECT("'"&amp;$D$22&amp;"'!C9")&gt;1964,0),IFERROR(INDIRECT("'"&amp;$D$22&amp;"'!C9")&lt;1975,0)),INDIRECT("'"&amp;$D$22&amp;"'!GO_2045"),0)
+IF(AND(IFERROR(INDIRECT("'"&amp;$D$23&amp;"'!C9")&gt;1964,0),IFERROR(INDIRECT("'"&amp;$D$23&amp;"'!C9")&lt;1975,0)),INDIRECT("'"&amp;$D$23&amp;"'!GO_2045"),0)
+IF(AND(IFERROR(INDIRECT("'"&amp;$D$24&amp;"'!C9")&gt;1964,0),IFERROR(INDIRECT("'"&amp;$D$24&amp;"'!C9")&lt;1975,0)),INDIRECT("'"&amp;$D$24&amp;"'!GO_2045"),0)
+IF(AND(IFERROR(INDIRECT("'"&amp;$D$25&amp;"'!C9")&gt;1964,0),IFERROR(INDIRECT("'"&amp;$D$25&amp;"'!C9")&lt;1975,0)),INDIRECT("'"&amp;$D$25&amp;"'!GO_2045"),0)
+IF(AND(IFERROR(INDIRECT("'"&amp;$D$26&amp;"'!C9")&gt;1964,0),IFERROR(INDIRECT("'"&amp;$D$26&amp;"'!C9")&lt;1975,0)),INDIRECT("'"&amp;$D$26&amp;"'!GO_2045"),0)
+IF(AND(IFERROR(INDIRECT("'"&amp;$D$27&amp;"'!C9")&gt;1964,0),IFERROR(INDIRECT("'"&amp;$D$27&amp;"'!C9")&lt;1975,0)),INDIRECT("'"&amp;$D$27&amp;"'!GO_2045"),0)
+IF(AND(IFERROR(INDIRECT("'"&amp;$D$28&amp;"'!C9")&gt;1964,0),IFERROR(INDIRECT("'"&amp;$D$28&amp;"'!C9")&lt;1975,0)),INDIRECT("'"&amp;$D$28&amp;"'!GO_2045"),0)
+IF(AND(IFERROR(INDIRECT("'"&amp;$D$29&amp;"'!C9")&gt;1964,0),IFERROR(INDIRECT("'"&amp;$D$29&amp;"'!C9")&lt;1975,0)),INDIRECT("'"&amp;$D$29&amp;"'!GO_2045"),0)
+IF(AND(IFERROR(INDIRECT("'"&amp;$D$30&amp;"'!C9")&gt;1964,0),IFERROR(INDIRECT("'"&amp;$D$30&amp;"'!C9")&lt;1975,0)),INDIRECT("'"&amp;$D$30&amp;"'!GO_2045"),0)
+IF(AND(IFERROR(INDIRECT("'"&amp;$D$31&amp;"'!C9")&gt;1964,0),IFERROR(INDIRECT("'"&amp;$D$31&amp;"'!C9")&lt;1975,0)),INDIRECT("'"&amp;$D$31&amp;"'!GO_2045"),0)
+IF(AND(IFERROR(INDIRECT("'"&amp;$D$32&amp;"'!C9")&gt;1964,0),IFERROR(INDIRECT("'"&amp;$D$32&amp;"'!C9")&lt;1975,0)),INDIRECT("'"&amp;$D$32&amp;"'!GO_2045"),0)
+IF(AND(IFERROR(INDIRECT("'"&amp;$D$33&amp;"'!C9")&gt;1964,0),IFERROR(INDIRECT("'"&amp;$D$33&amp;"'!C9")&lt;1975,0)),INDIRECT("'"&amp;$D$33&amp;"'!GO_2045"),0)
+IF(AND(IFERROR(INDIRECT("'"&amp;$D$34&amp;"'!C9")&gt;1964,0),IFERROR(INDIRECT("'"&amp;$D$34&amp;"'!C9")&lt;1975,0)),INDIRECT("'"&amp;$D$34&amp;"'!GO_2045"),0)
+IF(AND(IFERROR(INDIRECT("'"&amp;$D$35&amp;"'!C9")&gt;1964,0),IFERROR(INDIRECT("'"&amp;$D$35&amp;"'!C9")&lt;1975,0)),INDIRECT("'"&amp;$D$35&amp;"'!GO_2045"),0)
+IF(AND(IFERROR(INDIRECT("'"&amp;$D$36&amp;"'!C9")&gt;1964,0),IFERROR(INDIRECT("'"&amp;$D$36&amp;"'!C9")&lt;1975,0)),INDIRECT("'"&amp;$D$36&amp;"'!GO_2045"),0)
+IF(AND(IFERROR(INDIRECT("'"&amp;$D$37&amp;"'!C9")&gt;1964,0),IFERROR(INDIRECT("'"&amp;$D$37&amp;"'!C9")&lt;1975,0)),INDIRECT("'"&amp;$D$37&amp;"'!GO_2045"),0)
+IF(AND(IFERROR(INDIRECT("'"&amp;$D$38&amp;"'!C9")&gt;1964,0),IFERROR(INDIRECT("'"&amp;$D$38&amp;"'!C9")&lt;1975,0)),INDIRECT("'"&amp;$D$38&amp;"'!GO_2045"),0)
+IF(AND(IFERROR(INDIRECT("'"&amp;$D$39&amp;"'!C9")&gt;1964,0),IFERROR(INDIRECT("'"&amp;$D$39&amp;"'!C9")&lt;1975,0)),INDIRECT("'"&amp;$D$39&amp;"'!GO_2045"),0)
+IF(AND(IFERROR(INDIRECT("'"&amp;$D$40&amp;"'!C9")&gt;1964,0),IFERROR(INDIRECT("'"&amp;$D$40&amp;"'!C9")&lt;1975,0)),INDIRECT("'"&amp;$D$40&amp;"'!GO_2045"),0)
+IF(AND(IFERROR(INDIRECT("'"&amp;$D$41&amp;"'!C9")&gt;1964,0),IFERROR(INDIRECT("'"&amp;$D$41&amp;"'!C9")&lt;1975,0)),INDIRECT("'"&amp;$D$41&amp;"'!GO_2045"),0)
+IF(AND(IFERROR(INDIRECT("'"&amp;$D$42&amp;"'!C9")&gt;1964,0),IFERROR(INDIRECT("'"&amp;$D$42&amp;"'!C9")&lt;1975,0)),INDIRECT("'"&amp;$D$42&amp;"'!GO_2045"),0)
+IF(AND(IFERROR(INDIRECT("'"&amp;$D$43&amp;"'!C9")&gt;1964,0),IFERROR(INDIRECT("'"&amp;$D$43&amp;"'!C9")&lt;1975,0)),INDIRECT("'"&amp;$D$43&amp;"'!GO_2045"),0)
+IF(AND(IFERROR(INDIRECT("'"&amp;$D$44&amp;"'!C9")&gt;1964,0),IFERROR(INDIRECT("'"&amp;$D$44&amp;"'!C9")&lt;1975,0)),INDIRECT("'"&amp;$D$44&amp;"'!GO_2045"),0)
+IF(AND(IFERROR(INDIRECT("'"&amp;$D$45&amp;"'!C9")&gt;1964,0),IFERROR(INDIRECT("'"&amp;$D$45&amp;"'!C9")&lt;1975,0)),INDIRECT("'"&amp;$D$45&amp;"'!GO_2045"),0)
+IF(AND(IFERROR(INDIRECT("'"&amp;$D$46&amp;"'!C9")&gt;1964,0),IFERROR(INDIRECT("'"&amp;$D$46&amp;"'!C9")&lt;1975,0)),INDIRECT("'"&amp;$D$46&amp;"'!GO_2045"),0)
+IF(AND(IFERROR(INDIRECT("'"&amp;$D$47&amp;"'!C9")&gt;1964,0),IFERROR(INDIRECT("'"&amp;$D$47&amp;"'!C9")&lt;1975,0)),INDIRECT("'"&amp;$D$47&amp;"'!GO_2045"),0)
+IF(AND(IFERROR(INDIRECT("'"&amp;$D$48&amp;"'!C9")&gt;1964,0),IFERROR(INDIRECT("'"&amp;$D$48&amp;"'!C9")&lt;1975,0)),INDIRECT("'"&amp;$D$48&amp;"'!GO_2045"),0)
+IF(AND(IFERROR(INDIRECT("'"&amp;$D$49&amp;"'!C9")&gt;1964,0),IFERROR(INDIRECT("'"&amp;$D$49&amp;"'!C9")&lt;1975,0)),INDIRECT("'"&amp;$D$49&amp;"'!GO_2045"),0)
+IF(AND(IFERROR(INDIRECT("'"&amp;$D$50&amp;"'!C9")&gt;1964,0),IFERROR(INDIRECT("'"&amp;$D$50&amp;"'!C9")&lt;1975,0)),INDIRECT("'"&amp;$D$50&amp;"'!GO_2045"),0)
+IF(AND(IFERROR(INDIRECT("'"&amp;$D$51&amp;"'!C9")&gt;1964,0),IFERROR(INDIRECT("'"&amp;$D$51&amp;"'!C9")&lt;1975,0)),INDIRECT("'"&amp;$D$51&amp;"'!GO_2045"),0)
+IF(AND(IFERROR(INDIRECT("'"&amp;$D$52&amp;"'!C9")&gt;1964,0),IFERROR(INDIRECT("'"&amp;$D$52&amp;"'!C9")&lt;1975,0)),INDIRECT("'"&amp;$D$52&amp;"'!GO_2045"),0)
+IF(AND(IFERROR(INDIRECT("'"&amp;$D$53&amp;"'!C9")&gt;1964,0),IFERROR(INDIRECT("'"&amp;$D$53&amp;"'!C9")&lt;1975,0)),INDIRECT("'"&amp;$D$53&amp;"'!GO_2045"),0)
+IF(AND(IFERROR(INDIRECT("'"&amp;$D$54&amp;"'!C9")&gt;1964,0),IFERROR(INDIRECT("'"&amp;$D$54&amp;"'!C9")&lt;1975,0)),INDIRECT("'"&amp;$D$54&amp;"'!GO_2045"),0)</f>
        <v>0</v>
      </c>
      <c r="AJ25" s="321">
        <f ca="1">IF(AND(IFERROR(INDIRECT("'"&amp;$D$5&amp;"'!C9")&gt;1964,0),IFERROR(INDIRECT("'"&amp;$D$5&amp;"'!C9")&lt;1975,0)),INDIRECT("'"&amp;$D$5&amp;"'!GO_2046"),0)
+IF(AND(IFERROR(INDIRECT("'"&amp;$D$6&amp;"'!C9")&gt;1964,0),IFERROR(INDIRECT("'"&amp;$D$6&amp;"'!C9")&lt;1975,0)),INDIRECT("'"&amp;$D$6&amp;"'!GO_2046"),0)
+IF(AND(IFERROR(INDIRECT("'"&amp;$D$7&amp;"'!C9")&gt;1964,0),IFERROR(INDIRECT("'"&amp;$D$7&amp;"'!C9")&lt;1975,0)),INDIRECT("'"&amp;$D$7&amp;"'!GO_2046"),0)
+IF(AND(IFERROR(INDIRECT("'"&amp;$D$8&amp;"'!C9")&gt;1964,0),IFERROR(INDIRECT("'"&amp;$D$8&amp;"'!C9")&lt;1975,0)),INDIRECT("'"&amp;$D$8&amp;"'!GO_2046"),0)
+IF(AND(IFERROR(INDIRECT("'"&amp;$D$9&amp;"'!C9")&gt;1964,0),IFERROR(INDIRECT("'"&amp;$D$9&amp;"'!C9")&lt;1975,0)),INDIRECT("'"&amp;$D$9&amp;"'!GO_2046"),0)
+IF(AND(IFERROR(INDIRECT("'"&amp;$D$10&amp;"'!C9")&gt;1964,0),IFERROR(INDIRECT("'"&amp;$D$10&amp;"'!C9")&lt;1975,0)),INDIRECT("'"&amp;$D$10&amp;"'!GO_2046"),0)
+IF(AND(IFERROR(INDIRECT("'"&amp;$D$11&amp;"'!C9")&gt;1964,0),IFERROR(INDIRECT("'"&amp;$D$11&amp;"'!C9")&lt;1975,0)),INDIRECT("'"&amp;$D$11&amp;"'!GO_2046"),0)
+IF(AND(IFERROR(INDIRECT("'"&amp;$D$12&amp;"'!C9")&gt;1964,0),IFERROR(INDIRECT("'"&amp;$D$12&amp;"'!C9")&lt;1975,0)),INDIRECT("'"&amp;$D$12&amp;"'!GO_2046"),0)
+IF(AND(IFERROR(INDIRECT("'"&amp;$D$13&amp;"'!C9")&gt;1964,0),IFERROR(INDIRECT("'"&amp;$D$13&amp;"'!C9")&lt;1975,0)),INDIRECT("'"&amp;$D$13&amp;"'!GO_2046"),0)
+IF(AND(IFERROR(INDIRECT("'"&amp;$D$14&amp;"'!C9")&gt;1964,0),IFERROR(INDIRECT("'"&amp;$D$14&amp;"'!C9")&lt;1975,0)),INDIRECT("'"&amp;$D$14&amp;"'!GO_2046"),0)
+IF(AND(IFERROR(INDIRECT("'"&amp;$D$15&amp;"'!C9")&gt;1964,0),IFERROR(INDIRECT("'"&amp;$D$15&amp;"'!C9")&lt;1975,0)),INDIRECT("'"&amp;$D$15&amp;"'!GO_2046"),0)
+IF(AND(IFERROR(INDIRECT("'"&amp;$D$16&amp;"'!C9")&gt;1964,0),IFERROR(INDIRECT("'"&amp;$D$16&amp;"'!C9")&lt;1975,0)),INDIRECT("'"&amp;$D$16&amp;"'!GO_2046"),0)
+IF(AND(IFERROR(INDIRECT("'"&amp;$D$17&amp;"'!C9")&gt;1964,0),IFERROR(INDIRECT("'"&amp;$D$17&amp;"'!C9")&lt;1975,0)),INDIRECT("'"&amp;$D$17&amp;"'!GO_2046"),0)
+IF(AND(IFERROR(INDIRECT("'"&amp;$D$18&amp;"'!C9")&gt;1964,0),IFERROR(INDIRECT("'"&amp;$D$18&amp;"'!C9")&lt;1975,0)),INDIRECT("'"&amp;$D$18&amp;"'!GO_2046"),0)
+IF(AND(IFERROR(INDIRECT("'"&amp;$D$19&amp;"'!C9")&gt;1964,0),IFERROR(INDIRECT("'"&amp;$D$19&amp;"'!C9")&lt;1975,0)),INDIRECT("'"&amp;$D$19&amp;"'!GO_2046"),0)
+IF(AND(IFERROR(INDIRECT("'"&amp;$D$20&amp;"'!C9")&gt;1964,0),IFERROR(INDIRECT("'"&amp;$D$20&amp;"'!C9")&lt;1975,0)),INDIRECT("'"&amp;$D$20&amp;"'!GO_2046"),0)
+IF(AND(IFERROR(INDIRECT("'"&amp;$D$21&amp;"'!C9")&gt;1964,0),IFERROR(INDIRECT("'"&amp;$D$21&amp;"'!C9")&lt;1975,0)),INDIRECT("'"&amp;$D$21&amp;"'!GO_2046"),0)
+IF(AND(IFERROR(INDIRECT("'"&amp;$D$22&amp;"'!C9")&gt;1964,0),IFERROR(INDIRECT("'"&amp;$D$22&amp;"'!C9")&lt;1975,0)),INDIRECT("'"&amp;$D$22&amp;"'!GO_2046"),0)
+IF(AND(IFERROR(INDIRECT("'"&amp;$D$23&amp;"'!C9")&gt;1964,0),IFERROR(INDIRECT("'"&amp;$D$23&amp;"'!C9")&lt;1975,0)),INDIRECT("'"&amp;$D$23&amp;"'!GO_2046"),0)
+IF(AND(IFERROR(INDIRECT("'"&amp;$D$24&amp;"'!C9")&gt;1964,0),IFERROR(INDIRECT("'"&amp;$D$24&amp;"'!C9")&lt;1975,0)),INDIRECT("'"&amp;$D$24&amp;"'!GO_2046"),0)
+IF(AND(IFERROR(INDIRECT("'"&amp;$D$25&amp;"'!C9")&gt;1964,0),IFERROR(INDIRECT("'"&amp;$D$25&amp;"'!C9")&lt;1975,0)),INDIRECT("'"&amp;$D$25&amp;"'!GO_2046"),0)
+IF(AND(IFERROR(INDIRECT("'"&amp;$D$26&amp;"'!C9")&gt;1964,0),IFERROR(INDIRECT("'"&amp;$D$26&amp;"'!C9")&lt;1975,0)),INDIRECT("'"&amp;$D$26&amp;"'!GO_2046"),0)
+IF(AND(IFERROR(INDIRECT("'"&amp;$D$27&amp;"'!C9")&gt;1964,0),IFERROR(INDIRECT("'"&amp;$D$27&amp;"'!C9")&lt;1975,0)),INDIRECT("'"&amp;$D$27&amp;"'!GO_2046"),0)
+IF(AND(IFERROR(INDIRECT("'"&amp;$D$28&amp;"'!C9")&gt;1964,0),IFERROR(INDIRECT("'"&amp;$D$28&amp;"'!C9")&lt;1975,0)),INDIRECT("'"&amp;$D$28&amp;"'!GO_2046"),0)
+IF(AND(IFERROR(INDIRECT("'"&amp;$D$29&amp;"'!C9")&gt;1964,0),IFERROR(INDIRECT("'"&amp;$D$29&amp;"'!C9")&lt;1975,0)),INDIRECT("'"&amp;$D$29&amp;"'!GO_2046"),0)
+IF(AND(IFERROR(INDIRECT("'"&amp;$D$30&amp;"'!C9")&gt;1964,0),IFERROR(INDIRECT("'"&amp;$D$30&amp;"'!C9")&lt;1975,0)),INDIRECT("'"&amp;$D$30&amp;"'!GO_2046"),0)
+IF(AND(IFERROR(INDIRECT("'"&amp;$D$31&amp;"'!C9")&gt;1964,0),IFERROR(INDIRECT("'"&amp;$D$31&amp;"'!C9")&lt;1975,0)),INDIRECT("'"&amp;$D$31&amp;"'!GO_2046"),0)
+IF(AND(IFERROR(INDIRECT("'"&amp;$D$32&amp;"'!C9")&gt;1964,0),IFERROR(INDIRECT("'"&amp;$D$32&amp;"'!C9")&lt;1975,0)),INDIRECT("'"&amp;$D$32&amp;"'!GO_2046"),0)
+IF(AND(IFERROR(INDIRECT("'"&amp;$D$33&amp;"'!C9")&gt;1964,0),IFERROR(INDIRECT("'"&amp;$D$33&amp;"'!C9")&lt;1975,0)),INDIRECT("'"&amp;$D$33&amp;"'!GO_2046"),0)
+IF(AND(IFERROR(INDIRECT("'"&amp;$D$34&amp;"'!C9")&gt;1964,0),IFERROR(INDIRECT("'"&amp;$D$34&amp;"'!C9")&lt;1975,0)),INDIRECT("'"&amp;$D$34&amp;"'!GO_2046"),0)
+IF(AND(IFERROR(INDIRECT("'"&amp;$D$35&amp;"'!C9")&gt;1964,0),IFERROR(INDIRECT("'"&amp;$D$35&amp;"'!C9")&lt;1975,0)),INDIRECT("'"&amp;$D$35&amp;"'!GO_2046"),0)
+IF(AND(IFERROR(INDIRECT("'"&amp;$D$36&amp;"'!C9")&gt;1964,0),IFERROR(INDIRECT("'"&amp;$D$36&amp;"'!C9")&lt;1975,0)),INDIRECT("'"&amp;$D$36&amp;"'!GO_2046"),0)
+IF(AND(IFERROR(INDIRECT("'"&amp;$D$37&amp;"'!C9")&gt;1964,0),IFERROR(INDIRECT("'"&amp;$D$37&amp;"'!C9")&lt;1975,0)),INDIRECT("'"&amp;$D$37&amp;"'!GO_2046"),0)
+IF(AND(IFERROR(INDIRECT("'"&amp;$D$38&amp;"'!C9")&gt;1964,0),IFERROR(INDIRECT("'"&amp;$D$38&amp;"'!C9")&lt;1975,0)),INDIRECT("'"&amp;$D$38&amp;"'!GO_2046"),0)
+IF(AND(IFERROR(INDIRECT("'"&amp;$D$39&amp;"'!C9")&gt;1964,0),IFERROR(INDIRECT("'"&amp;$D$39&amp;"'!C9")&lt;1975,0)),INDIRECT("'"&amp;$D$39&amp;"'!GO_2046"),0)
+IF(AND(IFERROR(INDIRECT("'"&amp;$D$40&amp;"'!C9")&gt;1964,0),IFERROR(INDIRECT("'"&amp;$D$40&amp;"'!C9")&lt;1975,0)),INDIRECT("'"&amp;$D$40&amp;"'!GO_2046"),0)
+IF(AND(IFERROR(INDIRECT("'"&amp;$D$41&amp;"'!C9")&gt;1964,0),IFERROR(INDIRECT("'"&amp;$D$41&amp;"'!C9")&lt;1975,0)),INDIRECT("'"&amp;$D$41&amp;"'!GO_2046"),0)
+IF(AND(IFERROR(INDIRECT("'"&amp;$D$42&amp;"'!C9")&gt;1964,0),IFERROR(INDIRECT("'"&amp;$D$42&amp;"'!C9")&lt;1975,0)),INDIRECT("'"&amp;$D$42&amp;"'!GO_2046"),0)
+IF(AND(IFERROR(INDIRECT("'"&amp;$D$43&amp;"'!C9")&gt;1964,0),IFERROR(INDIRECT("'"&amp;$D$43&amp;"'!C9")&lt;1975,0)),INDIRECT("'"&amp;$D$43&amp;"'!GO_2046"),0)
+IF(AND(IFERROR(INDIRECT("'"&amp;$D$44&amp;"'!C9")&gt;1964,0),IFERROR(INDIRECT("'"&amp;$D$44&amp;"'!C9")&lt;1975,0)),INDIRECT("'"&amp;$D$44&amp;"'!GO_2046"),0)
+IF(AND(IFERROR(INDIRECT("'"&amp;$D$45&amp;"'!C9")&gt;1964,0),IFERROR(INDIRECT("'"&amp;$D$45&amp;"'!C9")&lt;1975,0)),INDIRECT("'"&amp;$D$45&amp;"'!GO_2046"),0)
+IF(AND(IFERROR(INDIRECT("'"&amp;$D$46&amp;"'!C9")&gt;1964,0),IFERROR(INDIRECT("'"&amp;$D$46&amp;"'!C9")&lt;1975,0)),INDIRECT("'"&amp;$D$46&amp;"'!GO_2046"),0)
+IF(AND(IFERROR(INDIRECT("'"&amp;$D$47&amp;"'!C9")&gt;1964,0),IFERROR(INDIRECT("'"&amp;$D$47&amp;"'!C9")&lt;1975,0)),INDIRECT("'"&amp;$D$47&amp;"'!GO_2046"),0)
+IF(AND(IFERROR(INDIRECT("'"&amp;$D$48&amp;"'!C9")&gt;1964,0),IFERROR(INDIRECT("'"&amp;$D$48&amp;"'!C9")&lt;1975,0)),INDIRECT("'"&amp;$D$48&amp;"'!GO_2046"),0)
+IF(AND(IFERROR(INDIRECT("'"&amp;$D$49&amp;"'!C9")&gt;1964,0),IFERROR(INDIRECT("'"&amp;$D$49&amp;"'!C9")&lt;1975,0)),INDIRECT("'"&amp;$D$49&amp;"'!GO_2046"),0)
+IF(AND(IFERROR(INDIRECT("'"&amp;$D$50&amp;"'!C9")&gt;1964,0),IFERROR(INDIRECT("'"&amp;$D$50&amp;"'!C9")&lt;1975,0)),INDIRECT("'"&amp;$D$50&amp;"'!GO_2046"),0)
+IF(AND(IFERROR(INDIRECT("'"&amp;$D$51&amp;"'!C9")&gt;1964,0),IFERROR(INDIRECT("'"&amp;$D$51&amp;"'!C9")&lt;1975,0)),INDIRECT("'"&amp;$D$51&amp;"'!GO_2046"),0)
+IF(AND(IFERROR(INDIRECT("'"&amp;$D$52&amp;"'!C9")&gt;1964,0),IFERROR(INDIRECT("'"&amp;$D$52&amp;"'!C9")&lt;1975,0)),INDIRECT("'"&amp;$D$52&amp;"'!GO_2046"),0)
+IF(AND(IFERROR(INDIRECT("'"&amp;$D$53&amp;"'!C9")&gt;1964,0),IFERROR(INDIRECT("'"&amp;$D$53&amp;"'!C9")&lt;1975,0)),INDIRECT("'"&amp;$D$53&amp;"'!GO_2046"),0)
+IF(AND(IFERROR(INDIRECT("'"&amp;$D$54&amp;"'!C9")&gt;1964,0),IFERROR(INDIRECT("'"&amp;$D$54&amp;"'!C9")&lt;1975,0)),INDIRECT("'"&amp;$D$54&amp;"'!GO_2046"),0)</f>
        <v>0</v>
      </c>
      <c r="AK25" s="321">
        <f ca="1">IF(AND(IFERROR(INDIRECT("'"&amp;$D$5&amp;"'!C9")&gt;1964,0),IFERROR(INDIRECT("'"&amp;$D$5&amp;"'!C9")&lt;1975,0)),INDIRECT("'"&amp;$D$5&amp;"'!GO_2047"),0)
+IF(AND(IFERROR(INDIRECT("'"&amp;$D$6&amp;"'!C9")&gt;1964,0),IFERROR(INDIRECT("'"&amp;$D$6&amp;"'!C9")&lt;1975,0)),INDIRECT("'"&amp;$D$6&amp;"'!GO_2047"),0)
+IF(AND(IFERROR(INDIRECT("'"&amp;$D$7&amp;"'!C9")&gt;1964,0),IFERROR(INDIRECT("'"&amp;$D$7&amp;"'!C9")&lt;1975,0)),INDIRECT("'"&amp;$D$7&amp;"'!GO_2047"),0)
+IF(AND(IFERROR(INDIRECT("'"&amp;$D$8&amp;"'!C9")&gt;1964,0),IFERROR(INDIRECT("'"&amp;$D$8&amp;"'!C9")&lt;1975,0)),INDIRECT("'"&amp;$D$8&amp;"'!GO_2047"),0)
+IF(AND(IFERROR(INDIRECT("'"&amp;$D$9&amp;"'!C9")&gt;1964,0),IFERROR(INDIRECT("'"&amp;$D$9&amp;"'!C9")&lt;1975,0)),INDIRECT("'"&amp;$D$9&amp;"'!GO_2047"),0)
+IF(AND(IFERROR(INDIRECT("'"&amp;$D$10&amp;"'!C9")&gt;1964,0),IFERROR(INDIRECT("'"&amp;$D$10&amp;"'!C9")&lt;1975,0)),INDIRECT("'"&amp;$D$10&amp;"'!GO_2047"),0)
+IF(AND(IFERROR(INDIRECT("'"&amp;$D$11&amp;"'!C9")&gt;1964,0),IFERROR(INDIRECT("'"&amp;$D$11&amp;"'!C9")&lt;1975,0)),INDIRECT("'"&amp;$D$11&amp;"'!GO_2047"),0)
+IF(AND(IFERROR(INDIRECT("'"&amp;$D$12&amp;"'!C9")&gt;1964,0),IFERROR(INDIRECT("'"&amp;$D$12&amp;"'!C9")&lt;1975,0)),INDIRECT("'"&amp;$D$12&amp;"'!GO_2047"),0)
+IF(AND(IFERROR(INDIRECT("'"&amp;$D$13&amp;"'!C9")&gt;1964,0),IFERROR(INDIRECT("'"&amp;$D$13&amp;"'!C9")&lt;1975,0)),INDIRECT("'"&amp;$D$13&amp;"'!GO_2047"),0)
+IF(AND(IFERROR(INDIRECT("'"&amp;$D$14&amp;"'!C9")&gt;1964,0),IFERROR(INDIRECT("'"&amp;$D$14&amp;"'!C9")&lt;1975,0)),INDIRECT("'"&amp;$D$14&amp;"'!GO_2047"),0)
+IF(AND(IFERROR(INDIRECT("'"&amp;$D$15&amp;"'!C9")&gt;1964,0),IFERROR(INDIRECT("'"&amp;$D$15&amp;"'!C9")&lt;1975,0)),INDIRECT("'"&amp;$D$15&amp;"'!GO_2047"),0)
+IF(AND(IFERROR(INDIRECT("'"&amp;$D$16&amp;"'!C9")&gt;1964,0),IFERROR(INDIRECT("'"&amp;$D$16&amp;"'!C9")&lt;1975,0)),INDIRECT("'"&amp;$D$16&amp;"'!GO_2047"),0)
+IF(AND(IFERROR(INDIRECT("'"&amp;$D$17&amp;"'!C9")&gt;1964,0),IFERROR(INDIRECT("'"&amp;$D$17&amp;"'!C9")&lt;1975,0)),INDIRECT("'"&amp;$D$17&amp;"'!GO_2047"),0)
+IF(AND(IFERROR(INDIRECT("'"&amp;$D$18&amp;"'!C9")&gt;1964,0),IFERROR(INDIRECT("'"&amp;$D$18&amp;"'!C9")&lt;1975,0)),INDIRECT("'"&amp;$D$18&amp;"'!GO_2047"),0)
+IF(AND(IFERROR(INDIRECT("'"&amp;$D$19&amp;"'!C9")&gt;1964,0),IFERROR(INDIRECT("'"&amp;$D$19&amp;"'!C9")&lt;1975,0)),INDIRECT("'"&amp;$D$19&amp;"'!GO_2047"),0)
+IF(AND(IFERROR(INDIRECT("'"&amp;$D$20&amp;"'!C9")&gt;1964,0),IFERROR(INDIRECT("'"&amp;$D$20&amp;"'!C9")&lt;1975,0)),INDIRECT("'"&amp;$D$20&amp;"'!GO_2047"),0)
+IF(AND(IFERROR(INDIRECT("'"&amp;$D$21&amp;"'!C9")&gt;1964,0),IFERROR(INDIRECT("'"&amp;$D$21&amp;"'!C9")&lt;1975,0)),INDIRECT("'"&amp;$D$21&amp;"'!GO_2047"),0)
+IF(AND(IFERROR(INDIRECT("'"&amp;$D$22&amp;"'!C9")&gt;1964,0),IFERROR(INDIRECT("'"&amp;$D$22&amp;"'!C9")&lt;1975,0)),INDIRECT("'"&amp;$D$22&amp;"'!GO_2047"),0)
+IF(AND(IFERROR(INDIRECT("'"&amp;$D$23&amp;"'!C9")&gt;1964,0),IFERROR(INDIRECT("'"&amp;$D$23&amp;"'!C9")&lt;1975,0)),INDIRECT("'"&amp;$D$23&amp;"'!GO_2047"),0)
+IF(AND(IFERROR(INDIRECT("'"&amp;$D$24&amp;"'!C9")&gt;1964,0),IFERROR(INDIRECT("'"&amp;$D$24&amp;"'!C9")&lt;1975,0)),INDIRECT("'"&amp;$D$24&amp;"'!GO_2047"),0)
+IF(AND(IFERROR(INDIRECT("'"&amp;$D$25&amp;"'!C9")&gt;1964,0),IFERROR(INDIRECT("'"&amp;$D$25&amp;"'!C9")&lt;1975,0)),INDIRECT("'"&amp;$D$25&amp;"'!GO_2047"),0)
+IF(AND(IFERROR(INDIRECT("'"&amp;$D$26&amp;"'!C9")&gt;1964,0),IFERROR(INDIRECT("'"&amp;$D$26&amp;"'!C9")&lt;1975,0)),INDIRECT("'"&amp;$D$26&amp;"'!GO_2047"),0)
+IF(AND(IFERROR(INDIRECT("'"&amp;$D$27&amp;"'!C9")&gt;1964,0),IFERROR(INDIRECT("'"&amp;$D$27&amp;"'!C9")&lt;1975,0)),INDIRECT("'"&amp;$D$27&amp;"'!GO_2047"),0)
+IF(AND(IFERROR(INDIRECT("'"&amp;$D$28&amp;"'!C9")&gt;1964,0),IFERROR(INDIRECT("'"&amp;$D$28&amp;"'!C9")&lt;1975,0)),INDIRECT("'"&amp;$D$28&amp;"'!GO_2047"),0)
+IF(AND(IFERROR(INDIRECT("'"&amp;$D$29&amp;"'!C9")&gt;1964,0),IFERROR(INDIRECT("'"&amp;$D$29&amp;"'!C9")&lt;1975,0)),INDIRECT("'"&amp;$D$29&amp;"'!GO_2047"),0)
+IF(AND(IFERROR(INDIRECT("'"&amp;$D$30&amp;"'!C9")&gt;1964,0),IFERROR(INDIRECT("'"&amp;$D$30&amp;"'!C9")&lt;1975,0)),INDIRECT("'"&amp;$D$30&amp;"'!GO_2047"),0)
+IF(AND(IFERROR(INDIRECT("'"&amp;$D$31&amp;"'!C9")&gt;1964,0),IFERROR(INDIRECT("'"&amp;$D$31&amp;"'!C9")&lt;1975,0)),INDIRECT("'"&amp;$D$31&amp;"'!GO_2047"),0)
+IF(AND(IFERROR(INDIRECT("'"&amp;$D$32&amp;"'!C9")&gt;1964,0),IFERROR(INDIRECT("'"&amp;$D$32&amp;"'!C9")&lt;1975,0)),INDIRECT("'"&amp;$D$32&amp;"'!GO_2047"),0)
+IF(AND(IFERROR(INDIRECT("'"&amp;$D$33&amp;"'!C9")&gt;1964,0),IFERROR(INDIRECT("'"&amp;$D$33&amp;"'!C9")&lt;1975,0)),INDIRECT("'"&amp;$D$33&amp;"'!GO_2047"),0)
+IF(AND(IFERROR(INDIRECT("'"&amp;$D$34&amp;"'!C9")&gt;1964,0),IFERROR(INDIRECT("'"&amp;$D$34&amp;"'!C9")&lt;1975,0)),INDIRECT("'"&amp;$D$34&amp;"'!GO_2047"),0)
+IF(AND(IFERROR(INDIRECT("'"&amp;$D$35&amp;"'!C9")&gt;1964,0),IFERROR(INDIRECT("'"&amp;$D$35&amp;"'!C9")&lt;1975,0)),INDIRECT("'"&amp;$D$35&amp;"'!GO_2047"),0)
+IF(AND(IFERROR(INDIRECT("'"&amp;$D$36&amp;"'!C9")&gt;1964,0),IFERROR(INDIRECT("'"&amp;$D$36&amp;"'!C9")&lt;1975,0)),INDIRECT("'"&amp;$D$36&amp;"'!GO_2047"),0)
+IF(AND(IFERROR(INDIRECT("'"&amp;$D$37&amp;"'!C9")&gt;1964,0),IFERROR(INDIRECT("'"&amp;$D$37&amp;"'!C9")&lt;1975,0)),INDIRECT("'"&amp;$D$37&amp;"'!GO_2047"),0)
+IF(AND(IFERROR(INDIRECT("'"&amp;$D$38&amp;"'!C9")&gt;1964,0),IFERROR(INDIRECT("'"&amp;$D$38&amp;"'!C9")&lt;1975,0)),INDIRECT("'"&amp;$D$38&amp;"'!GO_2047"),0)
+IF(AND(IFERROR(INDIRECT("'"&amp;$D$39&amp;"'!C9")&gt;1964,0),IFERROR(INDIRECT("'"&amp;$D$39&amp;"'!C9")&lt;1975,0)),INDIRECT("'"&amp;$D$39&amp;"'!GO_2047"),0)
+IF(AND(IFERROR(INDIRECT("'"&amp;$D$40&amp;"'!C9")&gt;1964,0),IFERROR(INDIRECT("'"&amp;$D$40&amp;"'!C9")&lt;1975,0)),INDIRECT("'"&amp;$D$40&amp;"'!GO_2047"),0)
+IF(AND(IFERROR(INDIRECT("'"&amp;$D$41&amp;"'!C9")&gt;1964,0),IFERROR(INDIRECT("'"&amp;$D$41&amp;"'!C9")&lt;1975,0)),INDIRECT("'"&amp;$D$41&amp;"'!GO_2047"),0)
+IF(AND(IFERROR(INDIRECT("'"&amp;$D$42&amp;"'!C9")&gt;1964,0),IFERROR(INDIRECT("'"&amp;$D$42&amp;"'!C9")&lt;1975,0)),INDIRECT("'"&amp;$D$42&amp;"'!GO_2047"),0)
+IF(AND(IFERROR(INDIRECT("'"&amp;$D$43&amp;"'!C9")&gt;1964,0),IFERROR(INDIRECT("'"&amp;$D$43&amp;"'!C9")&lt;1975,0)),INDIRECT("'"&amp;$D$43&amp;"'!GO_2047"),0)
+IF(AND(IFERROR(INDIRECT("'"&amp;$D$44&amp;"'!C9")&gt;1964,0),IFERROR(INDIRECT("'"&amp;$D$44&amp;"'!C9")&lt;1975,0)),INDIRECT("'"&amp;$D$44&amp;"'!GO_2047"),0)
+IF(AND(IFERROR(INDIRECT("'"&amp;$D$45&amp;"'!C9")&gt;1964,0),IFERROR(INDIRECT("'"&amp;$D$45&amp;"'!C9")&lt;1975,0)),INDIRECT("'"&amp;$D$45&amp;"'!GO_2047"),0)
+IF(AND(IFERROR(INDIRECT("'"&amp;$D$46&amp;"'!C9")&gt;1964,0),IFERROR(INDIRECT("'"&amp;$D$46&amp;"'!C9")&lt;1975,0)),INDIRECT("'"&amp;$D$46&amp;"'!GO_2047"),0)
+IF(AND(IFERROR(INDIRECT("'"&amp;$D$47&amp;"'!C9")&gt;1964,0),IFERROR(INDIRECT("'"&amp;$D$47&amp;"'!C9")&lt;1975,0)),INDIRECT("'"&amp;$D$47&amp;"'!GO_2047"),0)
+IF(AND(IFERROR(INDIRECT("'"&amp;$D$48&amp;"'!C9")&gt;1964,0),IFERROR(INDIRECT("'"&amp;$D$48&amp;"'!C9")&lt;1975,0)),INDIRECT("'"&amp;$D$48&amp;"'!GO_2047"),0)
+IF(AND(IFERROR(INDIRECT("'"&amp;$D$49&amp;"'!C9")&gt;1964,0),IFERROR(INDIRECT("'"&amp;$D$49&amp;"'!C9")&lt;1975,0)),INDIRECT("'"&amp;$D$49&amp;"'!GO_2047"),0)
+IF(AND(IFERROR(INDIRECT("'"&amp;$D$50&amp;"'!C9")&gt;1964,0),IFERROR(INDIRECT("'"&amp;$D$50&amp;"'!C9")&lt;1975,0)),INDIRECT("'"&amp;$D$50&amp;"'!GO_2047"),0)
+IF(AND(IFERROR(INDIRECT("'"&amp;$D$51&amp;"'!C9")&gt;1964,0),IFERROR(INDIRECT("'"&amp;$D$51&amp;"'!C9")&lt;1975,0)),INDIRECT("'"&amp;$D$51&amp;"'!GO_2047"),0)
+IF(AND(IFERROR(INDIRECT("'"&amp;$D$52&amp;"'!C9")&gt;1964,0),IFERROR(INDIRECT("'"&amp;$D$52&amp;"'!C9")&lt;1975,0)),INDIRECT("'"&amp;$D$52&amp;"'!GO_2047"),0)
+IF(AND(IFERROR(INDIRECT("'"&amp;$D$53&amp;"'!C9")&gt;1964,0),IFERROR(INDIRECT("'"&amp;$D$53&amp;"'!C9")&lt;1975,0)),INDIRECT("'"&amp;$D$53&amp;"'!GO_2047"),0)
+IF(AND(IFERROR(INDIRECT("'"&amp;$D$54&amp;"'!C9")&gt;1964,0),IFERROR(INDIRECT("'"&amp;$D$54&amp;"'!C9")&lt;1975,0)),INDIRECT("'"&amp;$D$54&amp;"'!GO_2047"),0)</f>
        <v>0</v>
      </c>
      <c r="AL25" s="321">
        <f ca="1">IF(AND(IFERROR(INDIRECT("'"&amp;$D$5&amp;"'!C9")&gt;1964,0),IFERROR(INDIRECT("'"&amp;$D$5&amp;"'!C9")&lt;1975,0)),INDIRECT("'"&amp;$D$5&amp;"'!GO_2048"),0)
+IF(AND(IFERROR(INDIRECT("'"&amp;$D$6&amp;"'!C9")&gt;1964,0),IFERROR(INDIRECT("'"&amp;$D$6&amp;"'!C9")&lt;1975,0)),INDIRECT("'"&amp;$D$6&amp;"'!GO_2048"),0)
+IF(AND(IFERROR(INDIRECT("'"&amp;$D$7&amp;"'!C9")&gt;1964,0),IFERROR(INDIRECT("'"&amp;$D$7&amp;"'!C9")&lt;1975,0)),INDIRECT("'"&amp;$D$7&amp;"'!GO_2048"),0)
+IF(AND(IFERROR(INDIRECT("'"&amp;$D$8&amp;"'!C9")&gt;1964,0),IFERROR(INDIRECT("'"&amp;$D$8&amp;"'!C9")&lt;1975,0)),INDIRECT("'"&amp;$D$8&amp;"'!GO_2048"),0)
+IF(AND(IFERROR(INDIRECT("'"&amp;$D$9&amp;"'!C9")&gt;1964,0),IFERROR(INDIRECT("'"&amp;$D$9&amp;"'!C9")&lt;1975,0)),INDIRECT("'"&amp;$D$9&amp;"'!GO_2048"),0)
+IF(AND(IFERROR(INDIRECT("'"&amp;$D$10&amp;"'!C9")&gt;1964,0),IFERROR(INDIRECT("'"&amp;$D$10&amp;"'!C9")&lt;1975,0)),INDIRECT("'"&amp;$D$10&amp;"'!GO_2048"),0)
+IF(AND(IFERROR(INDIRECT("'"&amp;$D$11&amp;"'!C9")&gt;1964,0),IFERROR(INDIRECT("'"&amp;$D$11&amp;"'!C9")&lt;1975,0)),INDIRECT("'"&amp;$D$11&amp;"'!GO_2048"),0)
+IF(AND(IFERROR(INDIRECT("'"&amp;$D$12&amp;"'!C9")&gt;1964,0),IFERROR(INDIRECT("'"&amp;$D$12&amp;"'!C9")&lt;1975,0)),INDIRECT("'"&amp;$D$12&amp;"'!GO_2048"),0)
+IF(AND(IFERROR(INDIRECT("'"&amp;$D$13&amp;"'!C9")&gt;1964,0),IFERROR(INDIRECT("'"&amp;$D$13&amp;"'!C9")&lt;1975,0)),INDIRECT("'"&amp;$D$13&amp;"'!GO_2048"),0)
+IF(AND(IFERROR(INDIRECT("'"&amp;$D$14&amp;"'!C9")&gt;1964,0),IFERROR(INDIRECT("'"&amp;$D$14&amp;"'!C9")&lt;1975,0)),INDIRECT("'"&amp;$D$14&amp;"'!GO_2048"),0)
+IF(AND(IFERROR(INDIRECT("'"&amp;$D$15&amp;"'!C9")&gt;1964,0),IFERROR(INDIRECT("'"&amp;$D$15&amp;"'!C9")&lt;1975,0)),INDIRECT("'"&amp;$D$15&amp;"'!GO_2048"),0)
+IF(AND(IFERROR(INDIRECT("'"&amp;$D$16&amp;"'!C9")&gt;1964,0),IFERROR(INDIRECT("'"&amp;$D$16&amp;"'!C9")&lt;1975,0)),INDIRECT("'"&amp;$D$16&amp;"'!GO_2048"),0)
+IF(AND(IFERROR(INDIRECT("'"&amp;$D$17&amp;"'!C9")&gt;1964,0),IFERROR(INDIRECT("'"&amp;$D$17&amp;"'!C9")&lt;1975,0)),INDIRECT("'"&amp;$D$17&amp;"'!GO_2048"),0)
+IF(AND(IFERROR(INDIRECT("'"&amp;$D$18&amp;"'!C9")&gt;1964,0),IFERROR(INDIRECT("'"&amp;$D$18&amp;"'!C9")&lt;1975,0)),INDIRECT("'"&amp;$D$18&amp;"'!GO_2048"),0)
+IF(AND(IFERROR(INDIRECT("'"&amp;$D$19&amp;"'!C9")&gt;1964,0),IFERROR(INDIRECT("'"&amp;$D$19&amp;"'!C9")&lt;1975,0)),INDIRECT("'"&amp;$D$19&amp;"'!GO_2048"),0)
+IF(AND(IFERROR(INDIRECT("'"&amp;$D$20&amp;"'!C9")&gt;1964,0),IFERROR(INDIRECT("'"&amp;$D$20&amp;"'!C9")&lt;1975,0)),INDIRECT("'"&amp;$D$20&amp;"'!GO_2048"),0)
+IF(AND(IFERROR(INDIRECT("'"&amp;$D$21&amp;"'!C9")&gt;1964,0),IFERROR(INDIRECT("'"&amp;$D$21&amp;"'!C9")&lt;1975,0)),INDIRECT("'"&amp;$D$21&amp;"'!GO_2048"),0)
+IF(AND(IFERROR(INDIRECT("'"&amp;$D$22&amp;"'!C9")&gt;1964,0),IFERROR(INDIRECT("'"&amp;$D$22&amp;"'!C9")&lt;1975,0)),INDIRECT("'"&amp;$D$22&amp;"'!GO_2048"),0)
+IF(AND(IFERROR(INDIRECT("'"&amp;$D$23&amp;"'!C9")&gt;1964,0),IFERROR(INDIRECT("'"&amp;$D$23&amp;"'!C9")&lt;1975,0)),INDIRECT("'"&amp;$D$23&amp;"'!GO_2048"),0)
+IF(AND(IFERROR(INDIRECT("'"&amp;$D$24&amp;"'!C9")&gt;1964,0),IFERROR(INDIRECT("'"&amp;$D$24&amp;"'!C9")&lt;1975,0)),INDIRECT("'"&amp;$D$24&amp;"'!GO_2048"),0)
+IF(AND(IFERROR(INDIRECT("'"&amp;$D$25&amp;"'!C9")&gt;1964,0),IFERROR(INDIRECT("'"&amp;$D$25&amp;"'!C9")&lt;1975,0)),INDIRECT("'"&amp;$D$25&amp;"'!GO_2048"),0)
+IF(AND(IFERROR(INDIRECT("'"&amp;$D$26&amp;"'!C9")&gt;1964,0),IFERROR(INDIRECT("'"&amp;$D$26&amp;"'!C9")&lt;1975,0)),INDIRECT("'"&amp;$D$26&amp;"'!GO_2048"),0)
+IF(AND(IFERROR(INDIRECT("'"&amp;$D$27&amp;"'!C9")&gt;1964,0),IFERROR(INDIRECT("'"&amp;$D$27&amp;"'!C9")&lt;1975,0)),INDIRECT("'"&amp;$D$27&amp;"'!GO_2048"),0)
+IF(AND(IFERROR(INDIRECT("'"&amp;$D$28&amp;"'!C9")&gt;1964,0),IFERROR(INDIRECT("'"&amp;$D$28&amp;"'!C9")&lt;1975,0)),INDIRECT("'"&amp;$D$28&amp;"'!GO_2048"),0)
+IF(AND(IFERROR(INDIRECT("'"&amp;$D$29&amp;"'!C9")&gt;1964,0),IFERROR(INDIRECT("'"&amp;$D$29&amp;"'!C9")&lt;1975,0)),INDIRECT("'"&amp;$D$29&amp;"'!GO_2048"),0)
+IF(AND(IFERROR(INDIRECT("'"&amp;$D$30&amp;"'!C9")&gt;1964,0),IFERROR(INDIRECT("'"&amp;$D$30&amp;"'!C9")&lt;1975,0)),INDIRECT("'"&amp;$D$30&amp;"'!GO_2048"),0)
+IF(AND(IFERROR(INDIRECT("'"&amp;$D$31&amp;"'!C9")&gt;1964,0),IFERROR(INDIRECT("'"&amp;$D$31&amp;"'!C9")&lt;1975,0)),INDIRECT("'"&amp;$D$31&amp;"'!GO_2048"),0)
+IF(AND(IFERROR(INDIRECT("'"&amp;$D$32&amp;"'!C9")&gt;1964,0),IFERROR(INDIRECT("'"&amp;$D$32&amp;"'!C9")&lt;1975,0)),INDIRECT("'"&amp;$D$32&amp;"'!GO_2048"),0)
+IF(AND(IFERROR(INDIRECT("'"&amp;$D$33&amp;"'!C9")&gt;1964,0),IFERROR(INDIRECT("'"&amp;$D$33&amp;"'!C9")&lt;1975,0)),INDIRECT("'"&amp;$D$33&amp;"'!GO_2048"),0)
+IF(AND(IFERROR(INDIRECT("'"&amp;$D$34&amp;"'!C9")&gt;1964,0),IFERROR(INDIRECT("'"&amp;$D$34&amp;"'!C9")&lt;1975,0)),INDIRECT("'"&amp;$D$34&amp;"'!GO_2048"),0)
+IF(AND(IFERROR(INDIRECT("'"&amp;$D$35&amp;"'!C9")&gt;1964,0),IFERROR(INDIRECT("'"&amp;$D$35&amp;"'!C9")&lt;1975,0)),INDIRECT("'"&amp;$D$35&amp;"'!GO_2048"),0)
+IF(AND(IFERROR(INDIRECT("'"&amp;$D$36&amp;"'!C9")&gt;1964,0),IFERROR(INDIRECT("'"&amp;$D$36&amp;"'!C9")&lt;1975,0)),INDIRECT("'"&amp;$D$36&amp;"'!GO_2048"),0)
+IF(AND(IFERROR(INDIRECT("'"&amp;$D$37&amp;"'!C9")&gt;1964,0),IFERROR(INDIRECT("'"&amp;$D$37&amp;"'!C9")&lt;1975,0)),INDIRECT("'"&amp;$D$37&amp;"'!GO_2048"),0)
+IF(AND(IFERROR(INDIRECT("'"&amp;$D$38&amp;"'!C9")&gt;1964,0),IFERROR(INDIRECT("'"&amp;$D$38&amp;"'!C9")&lt;1975,0)),INDIRECT("'"&amp;$D$38&amp;"'!GO_2048"),0)
+IF(AND(IFERROR(INDIRECT("'"&amp;$D$39&amp;"'!C9")&gt;1964,0),IFERROR(INDIRECT("'"&amp;$D$39&amp;"'!C9")&lt;1975,0)),INDIRECT("'"&amp;$D$39&amp;"'!GO_2048"),0)
+IF(AND(IFERROR(INDIRECT("'"&amp;$D$40&amp;"'!C9")&gt;1964,0),IFERROR(INDIRECT("'"&amp;$D$40&amp;"'!C9")&lt;1975,0)),INDIRECT("'"&amp;$D$40&amp;"'!GO_2048"),0)
+IF(AND(IFERROR(INDIRECT("'"&amp;$D$41&amp;"'!C9")&gt;1964,0),IFERROR(INDIRECT("'"&amp;$D$41&amp;"'!C9")&lt;1975,0)),INDIRECT("'"&amp;$D$41&amp;"'!GO_2048"),0)
+IF(AND(IFERROR(INDIRECT("'"&amp;$D$42&amp;"'!C9")&gt;1964,0),IFERROR(INDIRECT("'"&amp;$D$42&amp;"'!C9")&lt;1975,0)),INDIRECT("'"&amp;$D$42&amp;"'!GO_2048"),0)
+IF(AND(IFERROR(INDIRECT("'"&amp;$D$43&amp;"'!C9")&gt;1964,0),IFERROR(INDIRECT("'"&amp;$D$43&amp;"'!C9")&lt;1975,0)),INDIRECT("'"&amp;$D$43&amp;"'!GO_2048"),0)
+IF(AND(IFERROR(INDIRECT("'"&amp;$D$44&amp;"'!C9")&gt;1964,0),IFERROR(INDIRECT("'"&amp;$D$44&amp;"'!C9")&lt;1975,0)),INDIRECT("'"&amp;$D$44&amp;"'!GO_2048"),0)
+IF(AND(IFERROR(INDIRECT("'"&amp;$D$45&amp;"'!C9")&gt;1964,0),IFERROR(INDIRECT("'"&amp;$D$45&amp;"'!C9")&lt;1975,0)),INDIRECT("'"&amp;$D$45&amp;"'!GO_2048"),0)
+IF(AND(IFERROR(INDIRECT("'"&amp;$D$46&amp;"'!C9")&gt;1964,0),IFERROR(INDIRECT("'"&amp;$D$46&amp;"'!C9")&lt;1975,0)),INDIRECT("'"&amp;$D$46&amp;"'!GO_2048"),0)
+IF(AND(IFERROR(INDIRECT("'"&amp;$D$47&amp;"'!C9")&gt;1964,0),IFERROR(INDIRECT("'"&amp;$D$47&amp;"'!C9")&lt;1975,0)),INDIRECT("'"&amp;$D$47&amp;"'!GO_2048"),0)
+IF(AND(IFERROR(INDIRECT("'"&amp;$D$48&amp;"'!C9")&gt;1964,0),IFERROR(INDIRECT("'"&amp;$D$48&amp;"'!C9")&lt;1975,0)),INDIRECT("'"&amp;$D$48&amp;"'!GO_2048"),0)
+IF(AND(IFERROR(INDIRECT("'"&amp;$D$49&amp;"'!C9")&gt;1964,0),IFERROR(INDIRECT("'"&amp;$D$49&amp;"'!C9")&lt;1975,0)),INDIRECT("'"&amp;$D$49&amp;"'!GO_2048"),0)
+IF(AND(IFERROR(INDIRECT("'"&amp;$D$50&amp;"'!C9")&gt;1964,0),IFERROR(INDIRECT("'"&amp;$D$50&amp;"'!C9")&lt;1975,0)),INDIRECT("'"&amp;$D$50&amp;"'!GO_2048"),0)
+IF(AND(IFERROR(INDIRECT("'"&amp;$D$51&amp;"'!C9")&gt;1964,0),IFERROR(INDIRECT("'"&amp;$D$51&amp;"'!C9")&lt;1975,0)),INDIRECT("'"&amp;$D$51&amp;"'!GO_2048"),0)
+IF(AND(IFERROR(INDIRECT("'"&amp;$D$52&amp;"'!C9")&gt;1964,0),IFERROR(INDIRECT("'"&amp;$D$52&amp;"'!C9")&lt;1975,0)),INDIRECT("'"&amp;$D$52&amp;"'!GO_2048"),0)
+IF(AND(IFERROR(INDIRECT("'"&amp;$D$53&amp;"'!C9")&gt;1964,0),IFERROR(INDIRECT("'"&amp;$D$53&amp;"'!C9")&lt;1975,0)),INDIRECT("'"&amp;$D$53&amp;"'!GO_2048"),0)
+IF(AND(IFERROR(INDIRECT("'"&amp;$D$54&amp;"'!C9")&gt;1964,0),IFERROR(INDIRECT("'"&amp;$D$54&amp;"'!C9")&lt;1975,0)),INDIRECT("'"&amp;$D$54&amp;"'!GO_2048"),0)</f>
        <v>0</v>
      </c>
      <c r="AM25" s="321">
        <f ca="1">IF(AND(IFERROR(INDIRECT("'"&amp;$D$5&amp;"'!C9")&gt;1964,0),IFERROR(INDIRECT("'"&amp;$D$5&amp;"'!C9")&lt;1975,0)),INDIRECT("'"&amp;$D$5&amp;"'!GO_2049"),0)
+IF(AND(IFERROR(INDIRECT("'"&amp;$D$6&amp;"'!C9")&gt;1964,0),IFERROR(INDIRECT("'"&amp;$D$6&amp;"'!C9")&lt;1975,0)),INDIRECT("'"&amp;$D$6&amp;"'!GO_2049"),0)
+IF(AND(IFERROR(INDIRECT("'"&amp;$D$7&amp;"'!C9")&gt;1964,0),IFERROR(INDIRECT("'"&amp;$D$7&amp;"'!C9")&lt;1975,0)),INDIRECT("'"&amp;$D$7&amp;"'!GO_2049"),0)
+IF(AND(IFERROR(INDIRECT("'"&amp;$D$8&amp;"'!C9")&gt;1964,0),IFERROR(INDIRECT("'"&amp;$D$8&amp;"'!C9")&lt;1975,0)),INDIRECT("'"&amp;$D$8&amp;"'!GO_2049"),0)
+IF(AND(IFERROR(INDIRECT("'"&amp;$D$9&amp;"'!C9")&gt;1964,0),IFERROR(INDIRECT("'"&amp;$D$9&amp;"'!C9")&lt;1975,0)),INDIRECT("'"&amp;$D$9&amp;"'!GO_2049"),0)
+IF(AND(IFERROR(INDIRECT("'"&amp;$D$10&amp;"'!C9")&gt;1964,0),IFERROR(INDIRECT("'"&amp;$D$10&amp;"'!C9")&lt;1975,0)),INDIRECT("'"&amp;$D$10&amp;"'!GO_2049"),0)
+IF(AND(IFERROR(INDIRECT("'"&amp;$D$11&amp;"'!C9")&gt;1964,0),IFERROR(INDIRECT("'"&amp;$D$11&amp;"'!C9")&lt;1975,0)),INDIRECT("'"&amp;$D$11&amp;"'!GO_2049"),0)
+IF(AND(IFERROR(INDIRECT("'"&amp;$D$12&amp;"'!C9")&gt;1964,0),IFERROR(INDIRECT("'"&amp;$D$12&amp;"'!C9")&lt;1975,0)),INDIRECT("'"&amp;$D$12&amp;"'!GO_2049"),0)
+IF(AND(IFERROR(INDIRECT("'"&amp;$D$13&amp;"'!C9")&gt;1964,0),IFERROR(INDIRECT("'"&amp;$D$13&amp;"'!C9")&lt;1975,0)),INDIRECT("'"&amp;$D$13&amp;"'!GO_2049"),0)
+IF(AND(IFERROR(INDIRECT("'"&amp;$D$14&amp;"'!C9")&gt;1964,0),IFERROR(INDIRECT("'"&amp;$D$14&amp;"'!C9")&lt;1975,0)),INDIRECT("'"&amp;$D$14&amp;"'!GO_2049"),0)
+IF(AND(IFERROR(INDIRECT("'"&amp;$D$15&amp;"'!C9")&gt;1964,0),IFERROR(INDIRECT("'"&amp;$D$15&amp;"'!C9")&lt;1975,0)),INDIRECT("'"&amp;$D$15&amp;"'!GO_2049"),0)
+IF(AND(IFERROR(INDIRECT("'"&amp;$D$16&amp;"'!C9")&gt;1964,0),IFERROR(INDIRECT("'"&amp;$D$16&amp;"'!C9")&lt;1975,0)),INDIRECT("'"&amp;$D$16&amp;"'!GO_2049"),0)
+IF(AND(IFERROR(INDIRECT("'"&amp;$D$17&amp;"'!C9")&gt;1964,0),IFERROR(INDIRECT("'"&amp;$D$17&amp;"'!C9")&lt;1975,0)),INDIRECT("'"&amp;$D$17&amp;"'!GO_2049"),0)
+IF(AND(IFERROR(INDIRECT("'"&amp;$D$18&amp;"'!C9")&gt;1964,0),IFERROR(INDIRECT("'"&amp;$D$18&amp;"'!C9")&lt;1975,0)),INDIRECT("'"&amp;$D$18&amp;"'!GO_2049"),0)
+IF(AND(IFERROR(INDIRECT("'"&amp;$D$19&amp;"'!C9")&gt;1964,0),IFERROR(INDIRECT("'"&amp;$D$19&amp;"'!C9")&lt;1975,0)),INDIRECT("'"&amp;$D$19&amp;"'!GO_2049"),0)
+IF(AND(IFERROR(INDIRECT("'"&amp;$D$20&amp;"'!C9")&gt;1964,0),IFERROR(INDIRECT("'"&amp;$D$20&amp;"'!C9")&lt;1975,0)),INDIRECT("'"&amp;$D$20&amp;"'!GO_2049"),0)
+IF(AND(IFERROR(INDIRECT("'"&amp;$D$21&amp;"'!C9")&gt;1964,0),IFERROR(INDIRECT("'"&amp;$D$21&amp;"'!C9")&lt;1975,0)),INDIRECT("'"&amp;$D$21&amp;"'!GO_2049"),0)
+IF(AND(IFERROR(INDIRECT("'"&amp;$D$22&amp;"'!C9")&gt;1964,0),IFERROR(INDIRECT("'"&amp;$D$22&amp;"'!C9")&lt;1975,0)),INDIRECT("'"&amp;$D$22&amp;"'!GO_2049"),0)
+IF(AND(IFERROR(INDIRECT("'"&amp;$D$23&amp;"'!C9")&gt;1964,0),IFERROR(INDIRECT("'"&amp;$D$23&amp;"'!C9")&lt;1975,0)),INDIRECT("'"&amp;$D$23&amp;"'!GO_2049"),0)
+IF(AND(IFERROR(INDIRECT("'"&amp;$D$24&amp;"'!C9")&gt;1964,0),IFERROR(INDIRECT("'"&amp;$D$24&amp;"'!C9")&lt;1975,0)),INDIRECT("'"&amp;$D$24&amp;"'!GO_2049"),0)
+IF(AND(IFERROR(INDIRECT("'"&amp;$D$25&amp;"'!C9")&gt;1964,0),IFERROR(INDIRECT("'"&amp;$D$25&amp;"'!C9")&lt;1975,0)),INDIRECT("'"&amp;$D$25&amp;"'!GO_2049"),0)
+IF(AND(IFERROR(INDIRECT("'"&amp;$D$26&amp;"'!C9")&gt;1964,0),IFERROR(INDIRECT("'"&amp;$D$26&amp;"'!C9")&lt;1975,0)),INDIRECT("'"&amp;$D$26&amp;"'!GO_2049"),0)
+IF(AND(IFERROR(INDIRECT("'"&amp;$D$27&amp;"'!C9")&gt;1964,0),IFERROR(INDIRECT("'"&amp;$D$27&amp;"'!C9")&lt;1975,0)),INDIRECT("'"&amp;$D$27&amp;"'!GO_2049"),0)
+IF(AND(IFERROR(INDIRECT("'"&amp;$D$28&amp;"'!C9")&gt;1964,0),IFERROR(INDIRECT("'"&amp;$D$28&amp;"'!C9")&lt;1975,0)),INDIRECT("'"&amp;$D$28&amp;"'!GO_2049"),0)
+IF(AND(IFERROR(INDIRECT("'"&amp;$D$29&amp;"'!C9")&gt;1964,0),IFERROR(INDIRECT("'"&amp;$D$29&amp;"'!C9")&lt;1975,0)),INDIRECT("'"&amp;$D$29&amp;"'!GO_2049"),0)
+IF(AND(IFERROR(INDIRECT("'"&amp;$D$30&amp;"'!C9")&gt;1964,0),IFERROR(INDIRECT("'"&amp;$D$30&amp;"'!C9")&lt;1975,0)),INDIRECT("'"&amp;$D$30&amp;"'!GO_2049"),0)
+IF(AND(IFERROR(INDIRECT("'"&amp;$D$31&amp;"'!C9")&gt;1964,0),IFERROR(INDIRECT("'"&amp;$D$31&amp;"'!C9")&lt;1975,0)),INDIRECT("'"&amp;$D$31&amp;"'!GO_2049"),0)
+IF(AND(IFERROR(INDIRECT("'"&amp;$D$32&amp;"'!C9")&gt;1964,0),IFERROR(INDIRECT("'"&amp;$D$32&amp;"'!C9")&lt;1975,0)),INDIRECT("'"&amp;$D$32&amp;"'!GO_2049"),0)
+IF(AND(IFERROR(INDIRECT("'"&amp;$D$33&amp;"'!C9")&gt;1964,0),IFERROR(INDIRECT("'"&amp;$D$33&amp;"'!C9")&lt;1975,0)),INDIRECT("'"&amp;$D$33&amp;"'!GO_2049"),0)
+IF(AND(IFERROR(INDIRECT("'"&amp;$D$34&amp;"'!C9")&gt;1964,0),IFERROR(INDIRECT("'"&amp;$D$34&amp;"'!C9")&lt;1975,0)),INDIRECT("'"&amp;$D$34&amp;"'!GO_2049"),0)
+IF(AND(IFERROR(INDIRECT("'"&amp;$D$35&amp;"'!C9")&gt;1964,0),IFERROR(INDIRECT("'"&amp;$D$35&amp;"'!C9")&lt;1975,0)),INDIRECT("'"&amp;$D$35&amp;"'!GO_2049"),0)
+IF(AND(IFERROR(INDIRECT("'"&amp;$D$36&amp;"'!C9")&gt;1964,0),IFERROR(INDIRECT("'"&amp;$D$36&amp;"'!C9")&lt;1975,0)),INDIRECT("'"&amp;$D$36&amp;"'!GO_2049"),0)
+IF(AND(IFERROR(INDIRECT("'"&amp;$D$37&amp;"'!C9")&gt;1964,0),IFERROR(INDIRECT("'"&amp;$D$37&amp;"'!C9")&lt;1975,0)),INDIRECT("'"&amp;$D$37&amp;"'!GO_2049"),0)
+IF(AND(IFERROR(INDIRECT("'"&amp;$D$38&amp;"'!C9")&gt;1964,0),IFERROR(INDIRECT("'"&amp;$D$38&amp;"'!C9")&lt;1975,0)),INDIRECT("'"&amp;$D$38&amp;"'!GO_2049"),0)
+IF(AND(IFERROR(INDIRECT("'"&amp;$D$39&amp;"'!C9")&gt;1964,0),IFERROR(INDIRECT("'"&amp;$D$39&amp;"'!C9")&lt;1975,0)),INDIRECT("'"&amp;$D$39&amp;"'!GO_2049"),0)
+IF(AND(IFERROR(INDIRECT("'"&amp;$D$40&amp;"'!C9")&gt;1964,0),IFERROR(INDIRECT("'"&amp;$D$40&amp;"'!C9")&lt;1975,0)),INDIRECT("'"&amp;$D$40&amp;"'!GO_2049"),0)
+IF(AND(IFERROR(INDIRECT("'"&amp;$D$41&amp;"'!C9")&gt;1964,0),IFERROR(INDIRECT("'"&amp;$D$41&amp;"'!C9")&lt;1975,0)),INDIRECT("'"&amp;$D$41&amp;"'!GO_2049"),0)
+IF(AND(IFERROR(INDIRECT("'"&amp;$D$42&amp;"'!C9")&gt;1964,0),IFERROR(INDIRECT("'"&amp;$D$42&amp;"'!C9")&lt;1975,0)),INDIRECT("'"&amp;$D$42&amp;"'!GO_2049"),0)
+IF(AND(IFERROR(INDIRECT("'"&amp;$D$43&amp;"'!C9")&gt;1964,0),IFERROR(INDIRECT("'"&amp;$D$43&amp;"'!C9")&lt;1975,0)),INDIRECT("'"&amp;$D$43&amp;"'!GO_2049"),0)
+IF(AND(IFERROR(INDIRECT("'"&amp;$D$44&amp;"'!C9")&gt;1964,0),IFERROR(INDIRECT("'"&amp;$D$44&amp;"'!C9")&lt;1975,0)),INDIRECT("'"&amp;$D$44&amp;"'!GO_2049"),0)
+IF(AND(IFERROR(INDIRECT("'"&amp;$D$45&amp;"'!C9")&gt;1964,0),IFERROR(INDIRECT("'"&amp;$D$45&amp;"'!C9")&lt;1975,0)),INDIRECT("'"&amp;$D$45&amp;"'!GO_2049"),0)
+IF(AND(IFERROR(INDIRECT("'"&amp;$D$46&amp;"'!C9")&gt;1964,0),IFERROR(INDIRECT("'"&amp;$D$46&amp;"'!C9")&lt;1975,0)),INDIRECT("'"&amp;$D$46&amp;"'!GO_2049"),0)
+IF(AND(IFERROR(INDIRECT("'"&amp;$D$47&amp;"'!C9")&gt;1964,0),IFERROR(INDIRECT("'"&amp;$D$47&amp;"'!C9")&lt;1975,0)),INDIRECT("'"&amp;$D$47&amp;"'!GO_2049"),0)
+IF(AND(IFERROR(INDIRECT("'"&amp;$D$48&amp;"'!C9")&gt;1964,0),IFERROR(INDIRECT("'"&amp;$D$48&amp;"'!C9")&lt;1975,0)),INDIRECT("'"&amp;$D$48&amp;"'!GO_2049"),0)
+IF(AND(IFERROR(INDIRECT("'"&amp;$D$49&amp;"'!C9")&gt;1964,0),IFERROR(INDIRECT("'"&amp;$D$49&amp;"'!C9")&lt;1975,0)),INDIRECT("'"&amp;$D$49&amp;"'!GO_2049"),0)
+IF(AND(IFERROR(INDIRECT("'"&amp;$D$50&amp;"'!C9")&gt;1964,0),IFERROR(INDIRECT("'"&amp;$D$50&amp;"'!C9")&lt;1975,0)),INDIRECT("'"&amp;$D$50&amp;"'!GO_2049"),0)
+IF(AND(IFERROR(INDIRECT("'"&amp;$D$51&amp;"'!C9")&gt;1964,0),IFERROR(INDIRECT("'"&amp;$D$51&amp;"'!C9")&lt;1975,0)),INDIRECT("'"&amp;$D$51&amp;"'!GO_2049"),0)
+IF(AND(IFERROR(INDIRECT("'"&amp;$D$52&amp;"'!C9")&gt;1964,0),IFERROR(INDIRECT("'"&amp;$D$52&amp;"'!C9")&lt;1975,0)),INDIRECT("'"&amp;$D$52&amp;"'!GO_2049"),0)
+IF(AND(IFERROR(INDIRECT("'"&amp;$D$53&amp;"'!C9")&gt;1964,0),IFERROR(INDIRECT("'"&amp;$D$53&amp;"'!C9")&lt;1975,0)),INDIRECT("'"&amp;$D$53&amp;"'!GO_2049"),0)
+IF(AND(IFERROR(INDIRECT("'"&amp;$D$54&amp;"'!C9")&gt;1964,0),IFERROR(INDIRECT("'"&amp;$D$54&amp;"'!C9")&lt;1975,0)),INDIRECT("'"&amp;$D$54&amp;"'!GO_2049"),0)</f>
        <v>0</v>
      </c>
      <c r="AN25" s="321">
        <f ca="1">IF(AND(IFERROR(INDIRECT("'"&amp;$D$5&amp;"'!C9")&gt;1964,0),IFERROR(INDIRECT("'"&amp;$D$5&amp;"'!C9")&lt;1975,0)),INDIRECT("'"&amp;$D$5&amp;"'!GO_2050"),0)
+IF(AND(IFERROR(INDIRECT("'"&amp;$D$6&amp;"'!C9")&gt;1964,0),IFERROR(INDIRECT("'"&amp;$D$6&amp;"'!C9")&lt;1975,0)),INDIRECT("'"&amp;$D$6&amp;"'!GO_2050"),0)
+IF(AND(IFERROR(INDIRECT("'"&amp;$D$7&amp;"'!C9")&gt;1964,0),IFERROR(INDIRECT("'"&amp;$D$7&amp;"'!C9")&lt;1975,0)),INDIRECT("'"&amp;$D$7&amp;"'!GO_2050"),0)
+IF(AND(IFERROR(INDIRECT("'"&amp;$D$8&amp;"'!C9")&gt;1964,0),IFERROR(INDIRECT("'"&amp;$D$8&amp;"'!C9")&lt;1975,0)),INDIRECT("'"&amp;$D$8&amp;"'!GO_2050"),0)
+IF(AND(IFERROR(INDIRECT("'"&amp;$D$9&amp;"'!C9")&gt;1964,0),IFERROR(INDIRECT("'"&amp;$D$9&amp;"'!C9")&lt;1975,0)),INDIRECT("'"&amp;$D$9&amp;"'!GO_2050"),0)
+IF(AND(IFERROR(INDIRECT("'"&amp;$D$10&amp;"'!C9")&gt;1964,0),IFERROR(INDIRECT("'"&amp;$D$10&amp;"'!C9")&lt;1975,0)),INDIRECT("'"&amp;$D$10&amp;"'!GO_2050"),0)
+IF(AND(IFERROR(INDIRECT("'"&amp;$D$11&amp;"'!C9")&gt;1964,0),IFERROR(INDIRECT("'"&amp;$D$11&amp;"'!C9")&lt;1975,0)),INDIRECT("'"&amp;$D$11&amp;"'!GO_2050"),0)
+IF(AND(IFERROR(INDIRECT("'"&amp;$D$12&amp;"'!C9")&gt;1964,0),IFERROR(INDIRECT("'"&amp;$D$12&amp;"'!C9")&lt;1975,0)),INDIRECT("'"&amp;$D$12&amp;"'!GO_2050"),0)
+IF(AND(IFERROR(INDIRECT("'"&amp;$D$13&amp;"'!C9")&gt;1964,0),IFERROR(INDIRECT("'"&amp;$D$13&amp;"'!C9")&lt;1975,0)),INDIRECT("'"&amp;$D$13&amp;"'!GO_2050"),0)
+IF(AND(IFERROR(INDIRECT("'"&amp;$D$14&amp;"'!C9")&gt;1964,0),IFERROR(INDIRECT("'"&amp;$D$14&amp;"'!C9")&lt;1975,0)),INDIRECT("'"&amp;$D$14&amp;"'!GO_2050"),0)
+IF(AND(IFERROR(INDIRECT("'"&amp;$D$15&amp;"'!C9")&gt;1964,0),IFERROR(INDIRECT("'"&amp;$D$15&amp;"'!C9")&lt;1975,0)),INDIRECT("'"&amp;$D$15&amp;"'!GO_2050"),0)
+IF(AND(IFERROR(INDIRECT("'"&amp;$D$16&amp;"'!C9")&gt;1964,0),IFERROR(INDIRECT("'"&amp;$D$16&amp;"'!C9")&lt;1975,0)),INDIRECT("'"&amp;$D$16&amp;"'!GO_2050"),0)
+IF(AND(IFERROR(INDIRECT("'"&amp;$D$17&amp;"'!C9")&gt;1964,0),IFERROR(INDIRECT("'"&amp;$D$17&amp;"'!C9")&lt;1975,0)),INDIRECT("'"&amp;$D$17&amp;"'!GO_2050"),0)
+IF(AND(IFERROR(INDIRECT("'"&amp;$D$18&amp;"'!C9")&gt;1964,0),IFERROR(INDIRECT("'"&amp;$D$18&amp;"'!C9")&lt;1975,0)),INDIRECT("'"&amp;$D$18&amp;"'!GO_2050"),0)
+IF(AND(IFERROR(INDIRECT("'"&amp;$D$19&amp;"'!C9")&gt;1964,0),IFERROR(INDIRECT("'"&amp;$D$19&amp;"'!C9")&lt;1975,0)),INDIRECT("'"&amp;$D$19&amp;"'!GO_2050"),0)
+IF(AND(IFERROR(INDIRECT("'"&amp;$D$20&amp;"'!C9")&gt;1964,0),IFERROR(INDIRECT("'"&amp;$D$20&amp;"'!C9")&lt;1975,0)),INDIRECT("'"&amp;$D$20&amp;"'!GO_2050"),0)
+IF(AND(IFERROR(INDIRECT("'"&amp;$D$21&amp;"'!C9")&gt;1964,0),IFERROR(INDIRECT("'"&amp;$D$21&amp;"'!C9")&lt;1975,0)),INDIRECT("'"&amp;$D$21&amp;"'!GO_2050"),0)
+IF(AND(IFERROR(INDIRECT("'"&amp;$D$22&amp;"'!C9")&gt;1964,0),IFERROR(INDIRECT("'"&amp;$D$22&amp;"'!C9")&lt;1975,0)),INDIRECT("'"&amp;$D$22&amp;"'!GO_2050"),0)
+IF(AND(IFERROR(INDIRECT("'"&amp;$D$23&amp;"'!C9")&gt;1964,0),IFERROR(INDIRECT("'"&amp;$D$23&amp;"'!C9")&lt;1975,0)),INDIRECT("'"&amp;$D$23&amp;"'!GO_2050"),0)
+IF(AND(IFERROR(INDIRECT("'"&amp;$D$24&amp;"'!C9")&gt;1964,0),IFERROR(INDIRECT("'"&amp;$D$24&amp;"'!C9")&lt;1975,0)),INDIRECT("'"&amp;$D$24&amp;"'!GO_2050"),0)
+IF(AND(IFERROR(INDIRECT("'"&amp;$D$25&amp;"'!C9")&gt;1964,0),IFERROR(INDIRECT("'"&amp;$D$25&amp;"'!C9")&lt;1975,0)),INDIRECT("'"&amp;$D$25&amp;"'!GO_2050"),0)
+IF(AND(IFERROR(INDIRECT("'"&amp;$D$26&amp;"'!C9")&gt;1964,0),IFERROR(INDIRECT("'"&amp;$D$26&amp;"'!C9")&lt;1975,0)),INDIRECT("'"&amp;$D$26&amp;"'!GO_2050"),0)
+IF(AND(IFERROR(INDIRECT("'"&amp;$D$27&amp;"'!C9")&gt;1964,0),IFERROR(INDIRECT("'"&amp;$D$27&amp;"'!C9")&lt;1975,0)),INDIRECT("'"&amp;$D$27&amp;"'!GO_2050"),0)
+IF(AND(IFERROR(INDIRECT("'"&amp;$D$28&amp;"'!C9")&gt;1964,0),IFERROR(INDIRECT("'"&amp;$D$28&amp;"'!C9")&lt;1975,0)),INDIRECT("'"&amp;$D$28&amp;"'!GO_2050"),0)
+IF(AND(IFERROR(INDIRECT("'"&amp;$D$29&amp;"'!C9")&gt;1964,0),IFERROR(INDIRECT("'"&amp;$D$29&amp;"'!C9")&lt;1975,0)),INDIRECT("'"&amp;$D$29&amp;"'!GO_2050"),0)
+IF(AND(IFERROR(INDIRECT("'"&amp;$D$30&amp;"'!C9")&gt;1964,0),IFERROR(INDIRECT("'"&amp;$D$30&amp;"'!C9")&lt;1975,0)),INDIRECT("'"&amp;$D$30&amp;"'!GO_2050"),0)
+IF(AND(IFERROR(INDIRECT("'"&amp;$D$31&amp;"'!C9")&gt;1964,0),IFERROR(INDIRECT("'"&amp;$D$31&amp;"'!C9")&lt;1975,0)),INDIRECT("'"&amp;$D$31&amp;"'!GO_2050"),0)
+IF(AND(IFERROR(INDIRECT("'"&amp;$D$32&amp;"'!C9")&gt;1964,0),IFERROR(INDIRECT("'"&amp;$D$32&amp;"'!C9")&lt;1975,0)),INDIRECT("'"&amp;$D$32&amp;"'!GO_2050"),0)
+IF(AND(IFERROR(INDIRECT("'"&amp;$D$33&amp;"'!C9")&gt;1964,0),IFERROR(INDIRECT("'"&amp;$D$33&amp;"'!C9")&lt;1975,0)),INDIRECT("'"&amp;$D$33&amp;"'!GO_2050"),0)
+IF(AND(IFERROR(INDIRECT("'"&amp;$D$34&amp;"'!C9")&gt;1964,0),IFERROR(INDIRECT("'"&amp;$D$34&amp;"'!C9")&lt;1975,0)),INDIRECT("'"&amp;$D$34&amp;"'!GO_2050"),0)
+IF(AND(IFERROR(INDIRECT("'"&amp;$D$35&amp;"'!C9")&gt;1964,0),IFERROR(INDIRECT("'"&amp;$D$35&amp;"'!C9")&lt;1975,0)),INDIRECT("'"&amp;$D$35&amp;"'!GO_2050"),0)
+IF(AND(IFERROR(INDIRECT("'"&amp;$D$36&amp;"'!C9")&gt;1964,0),IFERROR(INDIRECT("'"&amp;$D$36&amp;"'!C9")&lt;1975,0)),INDIRECT("'"&amp;$D$36&amp;"'!GO_2050"),0)
+IF(AND(IFERROR(INDIRECT("'"&amp;$D$37&amp;"'!C9")&gt;1964,0),IFERROR(INDIRECT("'"&amp;$D$37&amp;"'!C9")&lt;1975,0)),INDIRECT("'"&amp;$D$37&amp;"'!GO_2050"),0)
+IF(AND(IFERROR(INDIRECT("'"&amp;$D$38&amp;"'!C9")&gt;1964,0),IFERROR(INDIRECT("'"&amp;$D$38&amp;"'!C9")&lt;1975,0)),INDIRECT("'"&amp;$D$38&amp;"'!GO_2050"),0)
+IF(AND(IFERROR(INDIRECT("'"&amp;$D$39&amp;"'!C9")&gt;1964,0),IFERROR(INDIRECT("'"&amp;$D$39&amp;"'!C9")&lt;1975,0)),INDIRECT("'"&amp;$D$39&amp;"'!GO_2050"),0)
+IF(AND(IFERROR(INDIRECT("'"&amp;$D$40&amp;"'!C9")&gt;1964,0),IFERROR(INDIRECT("'"&amp;$D$40&amp;"'!C9")&lt;1975,0)),INDIRECT("'"&amp;$D$40&amp;"'!GO_2050"),0)
+IF(AND(IFERROR(INDIRECT("'"&amp;$D$41&amp;"'!C9")&gt;1964,0),IFERROR(INDIRECT("'"&amp;$D$41&amp;"'!C9")&lt;1975,0)),INDIRECT("'"&amp;$D$41&amp;"'!GO_2050"),0)
+IF(AND(IFERROR(INDIRECT("'"&amp;$D$42&amp;"'!C9")&gt;1964,0),IFERROR(INDIRECT("'"&amp;$D$42&amp;"'!C9")&lt;1975,0)),INDIRECT("'"&amp;$D$42&amp;"'!GO_2050"),0)
+IF(AND(IFERROR(INDIRECT("'"&amp;$D$43&amp;"'!C9")&gt;1964,0),IFERROR(INDIRECT("'"&amp;$D$43&amp;"'!C9")&lt;1975,0)),INDIRECT("'"&amp;$D$43&amp;"'!GO_2050"),0)
+IF(AND(IFERROR(INDIRECT("'"&amp;$D$44&amp;"'!C9")&gt;1964,0),IFERROR(INDIRECT("'"&amp;$D$44&amp;"'!C9")&lt;1975,0)),INDIRECT("'"&amp;$D$44&amp;"'!GO_2050"),0)
+IF(AND(IFERROR(INDIRECT("'"&amp;$D$45&amp;"'!C9")&gt;1964,0),IFERROR(INDIRECT("'"&amp;$D$45&amp;"'!C9")&lt;1975,0)),INDIRECT("'"&amp;$D$45&amp;"'!GO_2050"),0)
+IF(AND(IFERROR(INDIRECT("'"&amp;$D$46&amp;"'!C9")&gt;1964,0),IFERROR(INDIRECT("'"&amp;$D$46&amp;"'!C9")&lt;1975,0)),INDIRECT("'"&amp;$D$46&amp;"'!GO_2050"),0)
+IF(AND(IFERROR(INDIRECT("'"&amp;$D$47&amp;"'!C9")&gt;1964,0),IFERROR(INDIRECT("'"&amp;$D$47&amp;"'!C9")&lt;1975,0)),INDIRECT("'"&amp;$D$47&amp;"'!GO_2050"),0)
+IF(AND(IFERROR(INDIRECT("'"&amp;$D$48&amp;"'!C9")&gt;1964,0),IFERROR(INDIRECT("'"&amp;$D$48&amp;"'!C9")&lt;1975,0)),INDIRECT("'"&amp;$D$48&amp;"'!GO_2050"),0)
+IF(AND(IFERROR(INDIRECT("'"&amp;$D$49&amp;"'!C9")&gt;1964,0),IFERROR(INDIRECT("'"&amp;$D$49&amp;"'!C9")&lt;1975,0)),INDIRECT("'"&amp;$D$49&amp;"'!GO_2050"),0)
+IF(AND(IFERROR(INDIRECT("'"&amp;$D$50&amp;"'!C9")&gt;1964,0),IFERROR(INDIRECT("'"&amp;$D$50&amp;"'!C9")&lt;1975,0)),INDIRECT("'"&amp;$D$50&amp;"'!GO_2050"),0)
+IF(AND(IFERROR(INDIRECT("'"&amp;$D$51&amp;"'!C9")&gt;1964,0),IFERROR(INDIRECT("'"&amp;$D$51&amp;"'!C9")&lt;1975,0)),INDIRECT("'"&amp;$D$51&amp;"'!GO_2050"),0)
+IF(AND(IFERROR(INDIRECT("'"&amp;$D$52&amp;"'!C9")&gt;1964,0),IFERROR(INDIRECT("'"&amp;$D$52&amp;"'!C9")&lt;1975,0)),INDIRECT("'"&amp;$D$52&amp;"'!GO_2050"),0)
+IF(AND(IFERROR(INDIRECT("'"&amp;$D$53&amp;"'!C9")&gt;1964,0),IFERROR(INDIRECT("'"&amp;$D$53&amp;"'!C9")&lt;1975,0)),INDIRECT("'"&amp;$D$53&amp;"'!GO_2050"),0)
+IF(AND(IFERROR(INDIRECT("'"&amp;$D$54&amp;"'!C9")&gt;1964,0),IFERROR(INDIRECT("'"&amp;$D$54&amp;"'!C9")&lt;1975,0)),INDIRECT("'"&amp;$D$54&amp;"'!GO_2050"),0)</f>
        <v>0</v>
      </c>
      <c r="AO25" s="123"/>
    </row>
    <row r="26" spans="2:41" ht="18.75">
      <c r="B26" s="8"/>
      <c r="C26" s="279" t="s">
        <v>63</v>
      </c>
      <c r="D26" s="115"/>
      <c r="E26" s="8"/>
      <c r="F26" s="8"/>
      <c r="G26" s="297" t="s">
        <v>36</v>
      </c>
      <c r="H26" s="321">
        <f ca="1">IF(AND(IFERROR(INDIRECT("'"&amp;$D$5&amp;"'!C9")&gt;1974,0),IFERROR(INDIRECT("'"&amp;$D$5&amp;"'!C9")&lt;1992,0)),INDIRECT("'"&amp;$D$5&amp;"'!GO_2018"),0)
+IF(AND(IFERROR(INDIRECT("'"&amp;$D$6&amp;"'!C9")&gt;1974,0),IFERROR(INDIRECT("'"&amp;$D$6&amp;"'!C9")&lt;1992,0)),INDIRECT("'"&amp;$D$6&amp;"'!GO_2018"),0)
+IF(AND(IFERROR(INDIRECT("'"&amp;$D$7&amp;"'!C9")&gt;1974,0),IFERROR(INDIRECT("'"&amp;$D$7&amp;"'!C9")&lt;1992,0)),INDIRECT("'"&amp;$D$7&amp;"'!GO_2018"),0)
+IF(AND(IFERROR(INDIRECT("'"&amp;$D$8&amp;"'!C9")&gt;1974,0),IFERROR(INDIRECT("'"&amp;$D$8&amp;"'!C9")&lt;1992,0)),INDIRECT("'"&amp;$D$8&amp;"'!GO_2018"),0)
+IF(AND(IFERROR(INDIRECT("'"&amp;$D$9&amp;"'!C9")&gt;1974,0),IFERROR(INDIRECT("'"&amp;$D$9&amp;"'!C9")&lt;1992,0)),INDIRECT("'"&amp;$D$9&amp;"'!GO_2018"),0)
+IF(AND(IFERROR(INDIRECT("'"&amp;$D$10&amp;"'!C9")&gt;1974,0),IFERROR(INDIRECT("'"&amp;$D$10&amp;"'!C9")&lt;1992,0)),INDIRECT("'"&amp;$D$10&amp;"'!GO_2018"),0)
+IF(AND(IFERROR(INDIRECT("'"&amp;$D$11&amp;"'!C9")&gt;1974,0),IFERROR(INDIRECT("'"&amp;$D$11&amp;"'!C9")&lt;1992,0)),INDIRECT("'"&amp;$D$11&amp;"'!GO_2018"),0)
+IF(AND(IFERROR(INDIRECT("'"&amp;$D$12&amp;"'!C9")&gt;1974,0),IFERROR(INDIRECT("'"&amp;$D$12&amp;"'!C9")&lt;1992,0)),INDIRECT("'"&amp;$D$12&amp;"'!GO_2018"),0)
+IF(AND(IFERROR(INDIRECT("'"&amp;$D$13&amp;"'!C9")&gt;1974,0),IFERROR(INDIRECT("'"&amp;$D$13&amp;"'!C9")&lt;1992,0)),INDIRECT("'"&amp;$D$13&amp;"'!GO_2018"),0)
+IF(AND(IFERROR(INDIRECT("'"&amp;$D$14&amp;"'!C9")&gt;1974,0),IFERROR(INDIRECT("'"&amp;$D$14&amp;"'!C9")&lt;1992,0)),INDIRECT("'"&amp;$D$14&amp;"'!GO_2018"),0)
+IF(AND(IFERROR(INDIRECT("'"&amp;$D$15&amp;"'!C9")&gt;1974,0),IFERROR(INDIRECT("'"&amp;$D$15&amp;"'!C9")&lt;1992,0)),INDIRECT("'"&amp;$D$15&amp;"'!GO_2018"),0)
+IF(AND(IFERROR(INDIRECT("'"&amp;$D$16&amp;"'!C9")&gt;1974,0),IFERROR(INDIRECT("'"&amp;$D$16&amp;"'!C9")&lt;1992,0)),INDIRECT("'"&amp;$D$16&amp;"'!GO_2018"),0)
+IF(AND(IFERROR(INDIRECT("'"&amp;$D$17&amp;"'!C9")&gt;1974,0),IFERROR(INDIRECT("'"&amp;$D$17&amp;"'!C9")&lt;1992,0)),INDIRECT("'"&amp;$D$17&amp;"'!GO_2018"),0)
+IF(AND(IFERROR(INDIRECT("'"&amp;$D$18&amp;"'!C9")&gt;1974,0),IFERROR(INDIRECT("'"&amp;$D$18&amp;"'!C9")&lt;1992,0)),INDIRECT("'"&amp;$D$18&amp;"'!GO_2018"),0)
+IF(AND(IFERROR(INDIRECT("'"&amp;$D$19&amp;"'!C9")&gt;1974,0),IFERROR(INDIRECT("'"&amp;$D$19&amp;"'!C9")&lt;1992,0)),INDIRECT("'"&amp;$D$19&amp;"'!GO_2018"),0)
+IF(AND(IFERROR(INDIRECT("'"&amp;$D$20&amp;"'!C9")&gt;1974,0),IFERROR(INDIRECT("'"&amp;$D$20&amp;"'!C9")&lt;1992,0)),INDIRECT("'"&amp;$D$20&amp;"'!GO_2018"),0)
+IF(AND(IFERROR(INDIRECT("'"&amp;$D$21&amp;"'!C9")&gt;1974,0),IFERROR(INDIRECT("'"&amp;$D$21&amp;"'!C9")&lt;1992,0)),INDIRECT("'"&amp;$D$21&amp;"'!GO_2018"),0)
+IF(AND(IFERROR(INDIRECT("'"&amp;$D$22&amp;"'!C9")&gt;1974,0),IFERROR(INDIRECT("'"&amp;$D$22&amp;"'!C9")&lt;1992,0)),INDIRECT("'"&amp;$D$22&amp;"'!GO_2018"),0)
+IF(AND(IFERROR(INDIRECT("'"&amp;$D$23&amp;"'!C9")&gt;1974,0),IFERROR(INDIRECT("'"&amp;$D$23&amp;"'!C9")&lt;1992,0)),INDIRECT("'"&amp;$D$23&amp;"'!GO_2018"),0)
+IF(AND(IFERROR(INDIRECT("'"&amp;$D$24&amp;"'!C9")&gt;1974,0),IFERROR(INDIRECT("'"&amp;$D$24&amp;"'!C9")&lt;1992,0)),INDIRECT("'"&amp;$D$24&amp;"'!GO_2018"),0)
+IF(AND(IFERROR(INDIRECT("'"&amp;$D$25&amp;"'!C9")&gt;1974,0),IFERROR(INDIRECT("'"&amp;$D$25&amp;"'!C9")&lt;1992,0)),INDIRECT("'"&amp;$D$25&amp;"'!GO_2018"),0)
+IF(AND(IFERROR(INDIRECT("'"&amp;$D$26&amp;"'!C9")&gt;1974,0),IFERROR(INDIRECT("'"&amp;$D$26&amp;"'!C9")&lt;1992,0)),INDIRECT("'"&amp;$D$26&amp;"'!GO_2018"),0)
+IF(AND(IFERROR(INDIRECT("'"&amp;$D$27&amp;"'!C9")&gt;1974,0),IFERROR(INDIRECT("'"&amp;$D$27&amp;"'!C9")&lt;1992,0)),INDIRECT("'"&amp;$D$27&amp;"'!GO_2018"),0)
+IF(AND(IFERROR(INDIRECT("'"&amp;$D$28&amp;"'!C9")&gt;1974,0),IFERROR(INDIRECT("'"&amp;$D$28&amp;"'!C9")&lt;1992,0)),INDIRECT("'"&amp;$D$28&amp;"'!GO_2018"),0)
+IF(AND(IFERROR(INDIRECT("'"&amp;$D$29&amp;"'!C9")&gt;1974,0),IFERROR(INDIRECT("'"&amp;$D$29&amp;"'!C9")&lt;1992,0)),INDIRECT("'"&amp;$D$29&amp;"'!GO_2018"),0)
+IF(AND(IFERROR(INDIRECT("'"&amp;$D$30&amp;"'!C9")&gt;1974,0),IFERROR(INDIRECT("'"&amp;$D$30&amp;"'!C9")&lt;1992,0)),INDIRECT("'"&amp;$D$30&amp;"'!GO_2018"),0)
+IF(AND(IFERROR(INDIRECT("'"&amp;$D$31&amp;"'!C9")&gt;1974,0),IFERROR(INDIRECT("'"&amp;$D$31&amp;"'!C9")&lt;1992,0)),INDIRECT("'"&amp;$D$31&amp;"'!GO_2018"),0)
+IF(AND(IFERROR(INDIRECT("'"&amp;$D$32&amp;"'!C9")&gt;1974,0),IFERROR(INDIRECT("'"&amp;$D$32&amp;"'!C9")&lt;1992,0)),INDIRECT("'"&amp;$D$32&amp;"'!GO_2018"),0)
+IF(AND(IFERROR(INDIRECT("'"&amp;$D$33&amp;"'!C9")&gt;1974,0),IFERROR(INDIRECT("'"&amp;$D$33&amp;"'!C9")&lt;1992,0)),INDIRECT("'"&amp;$D$33&amp;"'!GO_2018"),0)
+IF(AND(IFERROR(INDIRECT("'"&amp;$D$34&amp;"'!C9")&gt;1974,0),IFERROR(INDIRECT("'"&amp;$D$34&amp;"'!C9")&lt;1992,0)),INDIRECT("'"&amp;$D$34&amp;"'!GO_2018"),0)
+IF(AND(IFERROR(INDIRECT("'"&amp;$D$35&amp;"'!C9")&gt;1974,0),IFERROR(INDIRECT("'"&amp;$D$35&amp;"'!C9")&lt;1992,0)),INDIRECT("'"&amp;$D$35&amp;"'!GO_2018"),0)
+IF(AND(IFERROR(INDIRECT("'"&amp;$D$36&amp;"'!C9")&gt;1974,0),IFERROR(INDIRECT("'"&amp;$D$36&amp;"'!C9")&lt;1992,0)),INDIRECT("'"&amp;$D$36&amp;"'!GO_2018"),0)
+IF(AND(IFERROR(INDIRECT("'"&amp;$D$37&amp;"'!C9")&gt;1974,0),IFERROR(INDIRECT("'"&amp;$D$37&amp;"'!C9")&lt;1992,0)),INDIRECT("'"&amp;$D$37&amp;"'!GO_2018"),0)
+IF(AND(IFERROR(INDIRECT("'"&amp;$D$38&amp;"'!C9")&gt;1974,0),IFERROR(INDIRECT("'"&amp;$D$38&amp;"'!C9")&lt;1992,0)),INDIRECT("'"&amp;$D$38&amp;"'!GO_2018"),0)
+IF(AND(IFERROR(INDIRECT("'"&amp;$D$39&amp;"'!C9")&gt;1974,0),IFERROR(INDIRECT("'"&amp;$D$39&amp;"'!C9")&lt;1992,0)),INDIRECT("'"&amp;$D$39&amp;"'!GO_2018"),0)
+IF(AND(IFERROR(INDIRECT("'"&amp;$D$40&amp;"'!C9")&gt;1974,0),IFERROR(INDIRECT("'"&amp;$D$40&amp;"'!C9")&lt;1992,0)),INDIRECT("'"&amp;$D$40&amp;"'!GO_2018"),0)
+IF(AND(IFERROR(INDIRECT("'"&amp;$D$41&amp;"'!C9")&gt;1974,0),IFERROR(INDIRECT("'"&amp;$D$41&amp;"'!C9")&lt;1992,0)),INDIRECT("'"&amp;$D$41&amp;"'!GO_2018"),0)
+IF(AND(IFERROR(INDIRECT("'"&amp;$D$42&amp;"'!C9")&gt;1974,0),IFERROR(INDIRECT("'"&amp;$D$42&amp;"'!C9")&lt;1992,0)),INDIRECT("'"&amp;$D$42&amp;"'!GO_2018"),0)
+IF(AND(IFERROR(INDIRECT("'"&amp;$D$43&amp;"'!C9")&gt;1974,0),IFERROR(INDIRECT("'"&amp;$D$43&amp;"'!C9")&lt;1992,0)),INDIRECT("'"&amp;$D$43&amp;"'!GO_2018"),0)
+IF(AND(IFERROR(INDIRECT("'"&amp;$D$44&amp;"'!C9")&gt;1974,0),IFERROR(INDIRECT("'"&amp;$D$44&amp;"'!C9")&lt;1992,0)),INDIRECT("'"&amp;$D$44&amp;"'!GO_2018"),0)
+IF(AND(IFERROR(INDIRECT("'"&amp;$D$45&amp;"'!C9")&gt;1974,0),IFERROR(INDIRECT("'"&amp;$D$45&amp;"'!C9")&lt;1992,0)),INDIRECT("'"&amp;$D$45&amp;"'!GO_2018"),0)
+IF(AND(IFERROR(INDIRECT("'"&amp;$D$46&amp;"'!C9")&gt;1974,0),IFERROR(INDIRECT("'"&amp;$D$46&amp;"'!C9")&lt;1992,0)),INDIRECT("'"&amp;$D$46&amp;"'!GO_2018"),0)
+IF(AND(IFERROR(INDIRECT("'"&amp;$D$47&amp;"'!C9")&gt;1974,0),IFERROR(INDIRECT("'"&amp;$D$47&amp;"'!C9")&lt;1992,0)),INDIRECT("'"&amp;$D$47&amp;"'!GO_2018"),0)
+IF(AND(IFERROR(INDIRECT("'"&amp;$D$48&amp;"'!C9")&gt;1974,0),IFERROR(INDIRECT("'"&amp;$D$48&amp;"'!C9")&lt;1992,0)),INDIRECT("'"&amp;$D$48&amp;"'!GO_2018"),0)
+IF(AND(IFERROR(INDIRECT("'"&amp;$D$49&amp;"'!C9")&gt;1974,0),IFERROR(INDIRECT("'"&amp;$D$49&amp;"'!C9")&lt;1992,0)),INDIRECT("'"&amp;$D$49&amp;"'!GO_2018"),0)
+IF(AND(IFERROR(INDIRECT("'"&amp;$D$50&amp;"'!C9")&gt;1974,0),IFERROR(INDIRECT("'"&amp;$D$50&amp;"'!C9")&lt;1992,0)),INDIRECT("'"&amp;$D$50&amp;"'!GO_2018"),0)
+IF(AND(IFERROR(INDIRECT("'"&amp;$D$51&amp;"'!C9")&gt;1974,0),IFERROR(INDIRECT("'"&amp;$D$51&amp;"'!C9")&lt;1992,0)),INDIRECT("'"&amp;$D$51&amp;"'!GO_2018"),0)
+IF(AND(IFERROR(INDIRECT("'"&amp;$D$52&amp;"'!C9")&gt;1974,0),IFERROR(INDIRECT("'"&amp;$D$52&amp;"'!C9")&lt;1992,0)),INDIRECT("'"&amp;$D$52&amp;"'!GO_2018"),0)
+IF(AND(IFERROR(INDIRECT("'"&amp;$D$53&amp;"'!C9")&gt;1974,0),IFERROR(INDIRECT("'"&amp;$D$53&amp;"'!C9")&lt;1992,0)),INDIRECT("'"&amp;$D$53&amp;"'!GO_2018"),0)
+IF(AND(IFERROR(INDIRECT("'"&amp;$D$54&amp;"'!C9")&gt;1974,0),IFERROR(INDIRECT("'"&amp;$D$54&amp;"'!C9")&lt;1992,0)),INDIRECT("'"&amp;$D$54&amp;"'!GO_2018"),0)</f>
        <v>18560.559999999998</v>
      </c>
      <c r="I26" s="321">
        <f ca="1">IF(AND(IFERROR(INDIRECT("'"&amp;$D$5&amp;"'!C9")&gt;1974,0),IFERROR(INDIRECT("'"&amp;$D$5&amp;"'!C9")&lt;1992,0)),INDIRECT("'"&amp;$D$5&amp;"'!GO_2019"),0)
+IF(AND(IFERROR(INDIRECT("'"&amp;$D$6&amp;"'!C9")&gt;1974,0),IFERROR(INDIRECT("'"&amp;$D$6&amp;"'!C9")&lt;1992,0)),INDIRECT("'"&amp;$D$6&amp;"'!GO_2019"),0)
+IF(AND(IFERROR(INDIRECT("'"&amp;$D$7&amp;"'!C9")&gt;1974,0),IFERROR(INDIRECT("'"&amp;$D$7&amp;"'!C9")&lt;1992,0)),INDIRECT("'"&amp;$D$7&amp;"'!GO_2019"),0)
+IF(AND(IFERROR(INDIRECT("'"&amp;$D$8&amp;"'!C9")&gt;1974,0),IFERROR(INDIRECT("'"&amp;$D$8&amp;"'!C9")&lt;1992,0)),INDIRECT("'"&amp;$D$8&amp;"'!GO_2019"),0)
+IF(AND(IFERROR(INDIRECT("'"&amp;$D$9&amp;"'!C9")&gt;1974,0),IFERROR(INDIRECT("'"&amp;$D$9&amp;"'!C9")&lt;1992,0)),INDIRECT("'"&amp;$D$9&amp;"'!GO_2019"),0)
+IF(AND(IFERROR(INDIRECT("'"&amp;$D$10&amp;"'!C9")&gt;1974,0),IFERROR(INDIRECT("'"&amp;$D$10&amp;"'!C9")&lt;1992,0)),INDIRECT("'"&amp;$D$10&amp;"'!GO_2019"),0)
+IF(AND(IFERROR(INDIRECT("'"&amp;$D$11&amp;"'!C9")&gt;1974,0),IFERROR(INDIRECT("'"&amp;$D$11&amp;"'!C9")&lt;1992,0)),INDIRECT("'"&amp;$D$11&amp;"'!GO_2019"),0)
+IF(AND(IFERROR(INDIRECT("'"&amp;$D$12&amp;"'!C9")&gt;1974,0),IFERROR(INDIRECT("'"&amp;$D$12&amp;"'!C9")&lt;1992,0)),INDIRECT("'"&amp;$D$12&amp;"'!GO_2019"),0)
+IF(AND(IFERROR(INDIRECT("'"&amp;$D$13&amp;"'!C9")&gt;1974,0),IFERROR(INDIRECT("'"&amp;$D$13&amp;"'!C9")&lt;1992,0)),INDIRECT("'"&amp;$D$13&amp;"'!GO_2019"),0)
+IF(AND(IFERROR(INDIRECT("'"&amp;$D$14&amp;"'!C9")&gt;1974,0),IFERROR(INDIRECT("'"&amp;$D$14&amp;"'!C9")&lt;1992,0)),INDIRECT("'"&amp;$D$14&amp;"'!GO_2019"),0)
+IF(AND(IFERROR(INDIRECT("'"&amp;$D$15&amp;"'!C9")&gt;1974,0),IFERROR(INDIRECT("'"&amp;$D$15&amp;"'!C9")&lt;1992,0)),INDIRECT("'"&amp;$D$15&amp;"'!GO_2019"),0)
+IF(AND(IFERROR(INDIRECT("'"&amp;$D$16&amp;"'!C9")&gt;1974,0),IFERROR(INDIRECT("'"&amp;$D$16&amp;"'!C9")&lt;1992,0)),INDIRECT("'"&amp;$D$16&amp;"'!GO_2019"),0)
+IF(AND(IFERROR(INDIRECT("'"&amp;$D$17&amp;"'!C9")&gt;1974,0),IFERROR(INDIRECT("'"&amp;$D$17&amp;"'!C9")&lt;1992,0)),INDIRECT("'"&amp;$D$17&amp;"'!GO_2019"),0)
+IF(AND(IFERROR(INDIRECT("'"&amp;$D$18&amp;"'!C9")&gt;1974,0),IFERROR(INDIRECT("'"&amp;$D$18&amp;"'!C9")&lt;1992,0)),INDIRECT("'"&amp;$D$18&amp;"'!GO_2019"),0)
+IF(AND(IFERROR(INDIRECT("'"&amp;$D$19&amp;"'!C9")&gt;1974,0),IFERROR(INDIRECT("'"&amp;$D$19&amp;"'!C9")&lt;1992,0)),INDIRECT("'"&amp;$D$19&amp;"'!GO_2019"),0)
+IF(AND(IFERROR(INDIRECT("'"&amp;$D$20&amp;"'!C9")&gt;1974,0),IFERROR(INDIRECT("'"&amp;$D$20&amp;"'!C9")&lt;1992,0)),INDIRECT("'"&amp;$D$20&amp;"'!GO_2019"),0)
+IF(AND(IFERROR(INDIRECT("'"&amp;$D$21&amp;"'!C9")&gt;1974,0),IFERROR(INDIRECT("'"&amp;$D$21&amp;"'!C9")&lt;1992,0)),INDIRECT("'"&amp;$D$21&amp;"'!GO_2019"),0)
+IF(AND(IFERROR(INDIRECT("'"&amp;$D$22&amp;"'!C9")&gt;1974,0),IFERROR(INDIRECT("'"&amp;$D$22&amp;"'!C9")&lt;1992,0)),INDIRECT("'"&amp;$D$22&amp;"'!GO_2019"),0)
+IF(AND(IFERROR(INDIRECT("'"&amp;$D$23&amp;"'!C9")&gt;1974,0),IFERROR(INDIRECT("'"&amp;$D$23&amp;"'!C9")&lt;1992,0)),INDIRECT("'"&amp;$D$23&amp;"'!GO_2019"),0)
+IF(AND(IFERROR(INDIRECT("'"&amp;$D$24&amp;"'!C9")&gt;1974,0),IFERROR(INDIRECT("'"&amp;$D$24&amp;"'!C9")&lt;1992,0)),INDIRECT("'"&amp;$D$24&amp;"'!GO_2019"),0)
+IF(AND(IFERROR(INDIRECT("'"&amp;$D$25&amp;"'!C9")&gt;1974,0),IFERROR(INDIRECT("'"&amp;$D$25&amp;"'!C9")&lt;1992,0)),INDIRECT("'"&amp;$D$25&amp;"'!GO_2019"),0)
+IF(AND(IFERROR(INDIRECT("'"&amp;$D$26&amp;"'!C9")&gt;1974,0),IFERROR(INDIRECT("'"&amp;$D$26&amp;"'!C9")&lt;1992,0)),INDIRECT("'"&amp;$D$26&amp;"'!GO_2019"),0)
+IF(AND(IFERROR(INDIRECT("'"&amp;$D$27&amp;"'!C9")&gt;1974,0),IFERROR(INDIRECT("'"&amp;$D$27&amp;"'!C9")&lt;1992,0)),INDIRECT("'"&amp;$D$27&amp;"'!GO_2019"),0)
+IF(AND(IFERROR(INDIRECT("'"&amp;$D$28&amp;"'!C9")&gt;1974,0),IFERROR(INDIRECT("'"&amp;$D$28&amp;"'!C9")&lt;1992,0)),INDIRECT("'"&amp;$D$28&amp;"'!GO_2019"),0)
+IF(AND(IFERROR(INDIRECT("'"&amp;$D$29&amp;"'!C9")&gt;1974,0),IFERROR(INDIRECT("'"&amp;$D$29&amp;"'!C9")&lt;1992,0)),INDIRECT("'"&amp;$D$29&amp;"'!GO_2019"),0)
+IF(AND(IFERROR(INDIRECT("'"&amp;$D$30&amp;"'!C9")&gt;1974,0),IFERROR(INDIRECT("'"&amp;$D$30&amp;"'!C9")&lt;1992,0)),INDIRECT("'"&amp;$D$30&amp;"'!GO_2019"),0)
+IF(AND(IFERROR(INDIRECT("'"&amp;$D$31&amp;"'!C9")&gt;1974,0),IFERROR(INDIRECT("'"&amp;$D$31&amp;"'!C9")&lt;1992,0)),INDIRECT("'"&amp;$D$31&amp;"'!GO_2019"),0)
+IF(AND(IFERROR(INDIRECT("'"&amp;$D$32&amp;"'!C9")&gt;1974,0),IFERROR(INDIRECT("'"&amp;$D$32&amp;"'!C9")&lt;1992,0)),INDIRECT("'"&amp;$D$32&amp;"'!GO_2019"),0)
+IF(AND(IFERROR(INDIRECT("'"&amp;$D$33&amp;"'!C9")&gt;1974,0),IFERROR(INDIRECT("'"&amp;$D$33&amp;"'!C9")&lt;1992,0)),INDIRECT("'"&amp;$D$33&amp;"'!GO_2019"),0)
+IF(AND(IFERROR(INDIRECT("'"&amp;$D$34&amp;"'!C9")&gt;1974,0),IFERROR(INDIRECT("'"&amp;$D$34&amp;"'!C9")&lt;1992,0)),INDIRECT("'"&amp;$D$34&amp;"'!GO_2019"),0)
+IF(AND(IFERROR(INDIRECT("'"&amp;$D$35&amp;"'!C9")&gt;1974,0),IFERROR(INDIRECT("'"&amp;$D$35&amp;"'!C9")&lt;1992,0)),INDIRECT("'"&amp;$D$35&amp;"'!GO_2019"),0)
+IF(AND(IFERROR(INDIRECT("'"&amp;$D$36&amp;"'!C9")&gt;1974,0),IFERROR(INDIRECT("'"&amp;$D$36&amp;"'!C9")&lt;1992,0)),INDIRECT("'"&amp;$D$36&amp;"'!GO_2019"),0)
+IF(AND(IFERROR(INDIRECT("'"&amp;$D$37&amp;"'!C9")&gt;1974,0),IFERROR(INDIRECT("'"&amp;$D$37&amp;"'!C9")&lt;1992,0)),INDIRECT("'"&amp;$D$37&amp;"'!GO_2019"),0)
+IF(AND(IFERROR(INDIRECT("'"&amp;$D$38&amp;"'!C9")&gt;1974,0),IFERROR(INDIRECT("'"&amp;$D$38&amp;"'!C9")&lt;1992,0)),INDIRECT("'"&amp;$D$38&amp;"'!GO_2019"),0)
+IF(AND(IFERROR(INDIRECT("'"&amp;$D$39&amp;"'!C9")&gt;1974,0),IFERROR(INDIRECT("'"&amp;$D$39&amp;"'!C9")&lt;1992,0)),INDIRECT("'"&amp;$D$39&amp;"'!GO_2019"),0)
+IF(AND(IFERROR(INDIRECT("'"&amp;$D$40&amp;"'!C9")&gt;1974,0),IFERROR(INDIRECT("'"&amp;$D$40&amp;"'!C9")&lt;1992,0)),INDIRECT("'"&amp;$D$40&amp;"'!GO_2019"),0)
+IF(AND(IFERROR(INDIRECT("'"&amp;$D$41&amp;"'!C9")&gt;1974,0),IFERROR(INDIRECT("'"&amp;$D$41&amp;"'!C9")&lt;1992,0)),INDIRECT("'"&amp;$D$41&amp;"'!GO_2019"),0)
+IF(AND(IFERROR(INDIRECT("'"&amp;$D$42&amp;"'!C9")&gt;1974,0),IFERROR(INDIRECT("'"&amp;$D$42&amp;"'!C9")&lt;1992,0)),INDIRECT("'"&amp;$D$42&amp;"'!GO_2019"),0)
+IF(AND(IFERROR(INDIRECT("'"&amp;$D$43&amp;"'!C9")&gt;1974,0),IFERROR(INDIRECT("'"&amp;$D$43&amp;"'!C9")&lt;1992,0)),INDIRECT("'"&amp;$D$43&amp;"'!GO_2019"),0)
+IF(AND(IFERROR(INDIRECT("'"&amp;$D$44&amp;"'!C9")&gt;1974,0),IFERROR(INDIRECT("'"&amp;$D$44&amp;"'!C9")&lt;1992,0)),INDIRECT("'"&amp;$D$44&amp;"'!GO_2019"),0)
+IF(AND(IFERROR(INDIRECT("'"&amp;$D$45&amp;"'!C9")&gt;1974,0),IFERROR(INDIRECT("'"&amp;$D$45&amp;"'!C9")&lt;1992,0)),INDIRECT("'"&amp;$D$45&amp;"'!GO_2019"),0)
+IF(AND(IFERROR(INDIRECT("'"&amp;$D$46&amp;"'!C9")&gt;1974,0),IFERROR(INDIRECT("'"&amp;$D$46&amp;"'!C9")&lt;1992,0)),INDIRECT("'"&amp;$D$46&amp;"'!GO_2019"),0)
+IF(AND(IFERROR(INDIRECT("'"&amp;$D$47&amp;"'!C9")&gt;1974,0),IFERROR(INDIRECT("'"&amp;$D$47&amp;"'!C9")&lt;1992,0)),INDIRECT("'"&amp;$D$47&amp;"'!GO_2019"),0)
+IF(AND(IFERROR(INDIRECT("'"&amp;$D$48&amp;"'!C9")&gt;1974,0),IFERROR(INDIRECT("'"&amp;$D$48&amp;"'!C9")&lt;1992,0)),INDIRECT("'"&amp;$D$48&amp;"'!GO_2019"),0)
+IF(AND(IFERROR(INDIRECT("'"&amp;$D$49&amp;"'!C9")&gt;1974,0),IFERROR(INDIRECT("'"&amp;$D$49&amp;"'!C9")&lt;1992,0)),INDIRECT("'"&amp;$D$49&amp;"'!GO_2019"),0)
+IF(AND(IFERROR(INDIRECT("'"&amp;$D$50&amp;"'!C9")&gt;1974,0),IFERROR(INDIRECT("'"&amp;$D$50&amp;"'!C9")&lt;1992,0)),INDIRECT("'"&amp;$D$50&amp;"'!GO_2019"),0)
+IF(AND(IFERROR(INDIRECT("'"&amp;$D$51&amp;"'!C9")&gt;1974,0),IFERROR(INDIRECT("'"&amp;$D$51&amp;"'!C9")&lt;1992,0)),INDIRECT("'"&amp;$D$51&amp;"'!GO_2019"),0)
+IF(AND(IFERROR(INDIRECT("'"&amp;$D$52&amp;"'!C9")&gt;1974,0),IFERROR(INDIRECT("'"&amp;$D$52&amp;"'!C9")&lt;1992,0)),INDIRECT("'"&amp;$D$52&amp;"'!GO_2019"),0)
+IF(AND(IFERROR(INDIRECT("'"&amp;$D$53&amp;"'!C9")&gt;1974,0),IFERROR(INDIRECT("'"&amp;$D$53&amp;"'!C9")&lt;1992,0)),INDIRECT("'"&amp;$D$53&amp;"'!GO_2019"),0)
+IF(AND(IFERROR(INDIRECT("'"&amp;$D$54&amp;"'!C9")&gt;1974,0),IFERROR(INDIRECT("'"&amp;$D$54&amp;"'!C9")&lt;1992,0)),INDIRECT("'"&amp;$D$54&amp;"'!GO_2019"),0)</f>
        <v>18560.559999999998</v>
      </c>
      <c r="J26" s="321">
        <f ca="1">IF(AND(IFERROR(INDIRECT("'"&amp;$D$5&amp;"'!C9")&gt;1974,0),IFERROR(INDIRECT("'"&amp;$D$5&amp;"'!C9")&lt;1992,0)),INDIRECT("'"&amp;$D$5&amp;"'!GO_2020"),0)
+IF(AND(IFERROR(INDIRECT("'"&amp;$D$6&amp;"'!C9")&gt;1974,0),IFERROR(INDIRECT("'"&amp;$D$6&amp;"'!C9")&lt;1992,0)),INDIRECT("'"&amp;$D$6&amp;"'!GO_2020"),0)
+IF(AND(IFERROR(INDIRECT("'"&amp;$D$7&amp;"'!C9")&gt;1974,0),IFERROR(INDIRECT("'"&amp;$D$7&amp;"'!C9")&lt;1992,0)),INDIRECT("'"&amp;$D$7&amp;"'!GO_2020"),0)
+IF(AND(IFERROR(INDIRECT("'"&amp;$D$8&amp;"'!C9")&gt;1974,0),IFERROR(INDIRECT("'"&amp;$D$8&amp;"'!C9")&lt;1992,0)),INDIRECT("'"&amp;$D$8&amp;"'!GO_2020"),0)
+IF(AND(IFERROR(INDIRECT("'"&amp;$D$9&amp;"'!C9")&gt;1974,0),IFERROR(INDIRECT("'"&amp;$D$9&amp;"'!C9")&lt;1992,0)),INDIRECT("'"&amp;$D$9&amp;"'!GO_2020"),0)
+IF(AND(IFERROR(INDIRECT("'"&amp;$D$10&amp;"'!C9")&gt;1974,0),IFERROR(INDIRECT("'"&amp;$D$10&amp;"'!C9")&lt;1992,0)),INDIRECT("'"&amp;$D$10&amp;"'!GO_2020"),0)
+IF(AND(IFERROR(INDIRECT("'"&amp;$D$11&amp;"'!C9")&gt;1974,0),IFERROR(INDIRECT("'"&amp;$D$11&amp;"'!C9")&lt;1992,0)),INDIRECT("'"&amp;$D$11&amp;"'!GO_2020"),0)
+IF(AND(IFERROR(INDIRECT("'"&amp;$D$12&amp;"'!C9")&gt;1974,0),IFERROR(INDIRECT("'"&amp;$D$12&amp;"'!C9")&lt;1992,0)),INDIRECT("'"&amp;$D$12&amp;"'!GO_2020"),0)
+IF(AND(IFERROR(INDIRECT("'"&amp;$D$13&amp;"'!C9")&gt;1974,0),IFERROR(INDIRECT("'"&amp;$D$13&amp;"'!C9")&lt;1992,0)),INDIRECT("'"&amp;$D$13&amp;"'!GO_2020"),0)
+IF(AND(IFERROR(INDIRECT("'"&amp;$D$14&amp;"'!C9")&gt;1974,0),IFERROR(INDIRECT("'"&amp;$D$14&amp;"'!C9")&lt;1992,0)),INDIRECT("'"&amp;$D$14&amp;"'!GO_2020"),0)
+IF(AND(IFERROR(INDIRECT("'"&amp;$D$15&amp;"'!C9")&gt;1974,0),IFERROR(INDIRECT("'"&amp;$D$15&amp;"'!C9")&lt;1992,0)),INDIRECT("'"&amp;$D$15&amp;"'!GO_2020"),0)
+IF(AND(IFERROR(INDIRECT("'"&amp;$D$16&amp;"'!C9")&gt;1974,0),IFERROR(INDIRECT("'"&amp;$D$16&amp;"'!C9")&lt;1992,0)),INDIRECT("'"&amp;$D$16&amp;"'!GO_2020"),0)
+IF(AND(IFERROR(INDIRECT("'"&amp;$D$17&amp;"'!C9")&gt;1974,0),IFERROR(INDIRECT("'"&amp;$D$17&amp;"'!C9")&lt;1992,0)),INDIRECT("'"&amp;$D$17&amp;"'!GO_2020"),0)
+IF(AND(IFERROR(INDIRECT("'"&amp;$D$18&amp;"'!C9")&gt;1974,0),IFERROR(INDIRECT("'"&amp;$D$18&amp;"'!C9")&lt;1992,0)),INDIRECT("'"&amp;$D$18&amp;"'!GO_2020"),0)
+IF(AND(IFERROR(INDIRECT("'"&amp;$D$19&amp;"'!C9")&gt;1974,0),IFERROR(INDIRECT("'"&amp;$D$19&amp;"'!C9")&lt;1992,0)),INDIRECT("'"&amp;$D$19&amp;"'!GO_2020"),0)
+IF(AND(IFERROR(INDIRECT("'"&amp;$D$20&amp;"'!C9")&gt;1974,0),IFERROR(INDIRECT("'"&amp;$D$20&amp;"'!C9")&lt;1992,0)),INDIRECT("'"&amp;$D$20&amp;"'!GO_2020"),0)
+IF(AND(IFERROR(INDIRECT("'"&amp;$D$21&amp;"'!C9")&gt;1974,0),IFERROR(INDIRECT("'"&amp;$D$21&amp;"'!C9")&lt;1992,0)),INDIRECT("'"&amp;$D$21&amp;"'!GO_2020"),0)
+IF(AND(IFERROR(INDIRECT("'"&amp;$D$22&amp;"'!C9")&gt;1974,0),IFERROR(INDIRECT("'"&amp;$D$22&amp;"'!C9")&lt;1992,0)),INDIRECT("'"&amp;$D$22&amp;"'!GO_2020"),0)
+IF(AND(IFERROR(INDIRECT("'"&amp;$D$23&amp;"'!C9")&gt;1974,0),IFERROR(INDIRECT("'"&amp;$D$23&amp;"'!C9")&lt;1992,0)),INDIRECT("'"&amp;$D$23&amp;"'!GO_2020"),0)
+IF(AND(IFERROR(INDIRECT("'"&amp;$D$24&amp;"'!C9")&gt;1974,0),IFERROR(INDIRECT("'"&amp;$D$24&amp;"'!C9")&lt;1992,0)),INDIRECT("'"&amp;$D$24&amp;"'!GO_2020"),0)
+IF(AND(IFERROR(INDIRECT("'"&amp;$D$25&amp;"'!C9")&gt;1974,0),IFERROR(INDIRECT("'"&amp;$D$25&amp;"'!C9")&lt;1992,0)),INDIRECT("'"&amp;$D$25&amp;"'!GO_2020"),0)
+IF(AND(IFERROR(INDIRECT("'"&amp;$D$26&amp;"'!C9")&gt;1974,0),IFERROR(INDIRECT("'"&amp;$D$26&amp;"'!C9")&lt;1992,0)),INDIRECT("'"&amp;$D$26&amp;"'!GO_2020"),0)
+IF(AND(IFERROR(INDIRECT("'"&amp;$D$27&amp;"'!C9")&gt;1974,0),IFERROR(INDIRECT("'"&amp;$D$27&amp;"'!C9")&lt;1992,0)),INDIRECT("'"&amp;$D$27&amp;"'!GO_2020"),0)
+IF(AND(IFERROR(INDIRECT("'"&amp;$D$28&amp;"'!C9")&gt;1974,0),IFERROR(INDIRECT("'"&amp;$D$28&amp;"'!C9")&lt;1992,0)),INDIRECT("'"&amp;$D$28&amp;"'!GO_2020"),0)
+IF(AND(IFERROR(INDIRECT("'"&amp;$D$29&amp;"'!C9")&gt;1974,0),IFERROR(INDIRECT("'"&amp;$D$29&amp;"'!C9")&lt;1992,0)),INDIRECT("'"&amp;$D$29&amp;"'!GO_2020"),0)
+IF(AND(IFERROR(INDIRECT("'"&amp;$D$30&amp;"'!C9")&gt;1974,0),IFERROR(INDIRECT("'"&amp;$D$30&amp;"'!C9")&lt;1992,0)),INDIRECT("'"&amp;$D$30&amp;"'!GO_2020"),0)
+IF(AND(IFERROR(INDIRECT("'"&amp;$D$31&amp;"'!C9")&gt;1974,0),IFERROR(INDIRECT("'"&amp;$D$31&amp;"'!C9")&lt;1992,0)),INDIRECT("'"&amp;$D$31&amp;"'!GO_2020"),0)
+IF(AND(IFERROR(INDIRECT("'"&amp;$D$32&amp;"'!C9")&gt;1974,0),IFERROR(INDIRECT("'"&amp;$D$32&amp;"'!C9")&lt;1992,0)),INDIRECT("'"&amp;$D$32&amp;"'!GO_2020"),0)
+IF(AND(IFERROR(INDIRECT("'"&amp;$D$33&amp;"'!C9")&gt;1974,0),IFERROR(INDIRECT("'"&amp;$D$33&amp;"'!C9")&lt;1992,0)),INDIRECT("'"&amp;$D$33&amp;"'!GO_2020"),0)
+IF(AND(IFERROR(INDIRECT("'"&amp;$D$34&amp;"'!C9")&gt;1974,0),IFERROR(INDIRECT("'"&amp;$D$34&amp;"'!C9")&lt;1992,0)),INDIRECT("'"&amp;$D$34&amp;"'!GO_2020"),0)
+IF(AND(IFERROR(INDIRECT("'"&amp;$D$35&amp;"'!C9")&gt;1974,0),IFERROR(INDIRECT("'"&amp;$D$35&amp;"'!C9")&lt;1992,0)),INDIRECT("'"&amp;$D$35&amp;"'!GO_2020"),0)
+IF(AND(IFERROR(INDIRECT("'"&amp;$D$36&amp;"'!C9")&gt;1974,0),IFERROR(INDIRECT("'"&amp;$D$36&amp;"'!C9")&lt;1992,0)),INDIRECT("'"&amp;$D$36&amp;"'!GO_2020"),0)
+IF(AND(IFERROR(INDIRECT("'"&amp;$D$37&amp;"'!C9")&gt;1974,0),IFERROR(INDIRECT("'"&amp;$D$37&amp;"'!C9")&lt;1992,0)),INDIRECT("'"&amp;$D$37&amp;"'!GO_2020"),0)
+IF(AND(IFERROR(INDIRECT("'"&amp;$D$38&amp;"'!C9")&gt;1974,0),IFERROR(INDIRECT("'"&amp;$D$38&amp;"'!C9")&lt;1992,0)),INDIRECT("'"&amp;$D$38&amp;"'!GO_2020"),0)
+IF(AND(IFERROR(INDIRECT("'"&amp;$D$39&amp;"'!C9")&gt;1974,0),IFERROR(INDIRECT("'"&amp;$D$39&amp;"'!C9")&lt;1992,0)),INDIRECT("'"&amp;$D$39&amp;"'!GO_2020"),0)
+IF(AND(IFERROR(INDIRECT("'"&amp;$D$40&amp;"'!C9")&gt;1974,0),IFERROR(INDIRECT("'"&amp;$D$40&amp;"'!C9")&lt;1992,0)),INDIRECT("'"&amp;$D$40&amp;"'!GO_2020"),0)
+IF(AND(IFERROR(INDIRECT("'"&amp;$D$41&amp;"'!C9")&gt;1974,0),IFERROR(INDIRECT("'"&amp;$D$41&amp;"'!C9")&lt;1992,0)),INDIRECT("'"&amp;$D$41&amp;"'!GO_2020"),0)
+IF(AND(IFERROR(INDIRECT("'"&amp;$D$42&amp;"'!C9")&gt;1974,0),IFERROR(INDIRECT("'"&amp;$D$42&amp;"'!C9")&lt;1992,0)),INDIRECT("'"&amp;$D$42&amp;"'!GO_2020"),0)
+IF(AND(IFERROR(INDIRECT("'"&amp;$D$43&amp;"'!C9")&gt;1974,0),IFERROR(INDIRECT("'"&amp;$D$43&amp;"'!C9")&lt;1992,0)),INDIRECT("'"&amp;$D$43&amp;"'!GO_2020"),0)
+IF(AND(IFERROR(INDIRECT("'"&amp;$D$44&amp;"'!C9")&gt;1974,0),IFERROR(INDIRECT("'"&amp;$D$44&amp;"'!C9")&lt;1992,0)),INDIRECT("'"&amp;$D$44&amp;"'!GO_2020"),0)
+IF(AND(IFERROR(INDIRECT("'"&amp;$D$45&amp;"'!C9")&gt;1974,0),IFERROR(INDIRECT("'"&amp;$D$45&amp;"'!C9")&lt;1992,0)),INDIRECT("'"&amp;$D$45&amp;"'!GO_2020"),0)
+IF(AND(IFERROR(INDIRECT("'"&amp;$D$46&amp;"'!C9")&gt;1974,0),IFERROR(INDIRECT("'"&amp;$D$46&amp;"'!C9")&lt;1992,0)),INDIRECT("'"&amp;$D$46&amp;"'!GO_2020"),0)
+IF(AND(IFERROR(INDIRECT("'"&amp;$D$47&amp;"'!C9")&gt;1974,0),IFERROR(INDIRECT("'"&amp;$D$47&amp;"'!C9")&lt;1992,0)),INDIRECT("'"&amp;$D$47&amp;"'!GO_2020"),0)
+IF(AND(IFERROR(INDIRECT("'"&amp;$D$48&amp;"'!C9")&gt;1974,0),IFERROR(INDIRECT("'"&amp;$D$48&amp;"'!C9")&lt;1992,0)),INDIRECT("'"&amp;$D$48&amp;"'!GO_2020"),0)
+IF(AND(IFERROR(INDIRECT("'"&amp;$D$49&amp;"'!C9")&gt;1974,0),IFERROR(INDIRECT("'"&amp;$D$49&amp;"'!C9")&lt;1992,0)),INDIRECT("'"&amp;$D$49&amp;"'!GO_2020"),0)
+IF(AND(IFERROR(INDIRECT("'"&amp;$D$50&amp;"'!C9")&gt;1974,0),IFERROR(INDIRECT("'"&amp;$D$50&amp;"'!C9")&lt;1992,0)),INDIRECT("'"&amp;$D$50&amp;"'!GO_2020"),0)
+IF(AND(IFERROR(INDIRECT("'"&amp;$D$51&amp;"'!C9")&gt;1974,0),IFERROR(INDIRECT("'"&amp;$D$51&amp;"'!C9")&lt;1992,0)),INDIRECT("'"&amp;$D$51&amp;"'!GO_2020"),0)
+IF(AND(IFERROR(INDIRECT("'"&amp;$D$52&amp;"'!C9")&gt;1974,0),IFERROR(INDIRECT("'"&amp;$D$52&amp;"'!C9")&lt;1992,0)),INDIRECT("'"&amp;$D$52&amp;"'!GO_2020"),0)
+IF(AND(IFERROR(INDIRECT("'"&amp;$D$53&amp;"'!C9")&gt;1974,0),IFERROR(INDIRECT("'"&amp;$D$53&amp;"'!C9")&lt;1992,0)),INDIRECT("'"&amp;$D$53&amp;"'!GO_2020"),0)
+IF(AND(IFERROR(INDIRECT("'"&amp;$D$54&amp;"'!C9")&gt;1974,0),IFERROR(INDIRECT("'"&amp;$D$54&amp;"'!C9")&lt;1992,0)),INDIRECT("'"&amp;$D$54&amp;"'!GO_2020"),0)</f>
        <v>18560.559999999998</v>
      </c>
      <c r="K26" s="321">
        <f ca="1">IF(AND(IFERROR(INDIRECT("'"&amp;$D$5&amp;"'!C9")&gt;1974,0),IFERROR(INDIRECT("'"&amp;$D$5&amp;"'!C9")&lt;1992,0)),INDIRECT("'"&amp;$D$5&amp;"'!GO_2021"),0)
+IF(AND(IFERROR(INDIRECT("'"&amp;$D$6&amp;"'!C9")&gt;1974,0),IFERROR(INDIRECT("'"&amp;$D$6&amp;"'!C9")&lt;1992,0)),INDIRECT("'"&amp;$D$6&amp;"'!GO_2021"),0)
+IF(AND(IFERROR(INDIRECT("'"&amp;$D$7&amp;"'!C9")&gt;1974,0),IFERROR(INDIRECT("'"&amp;$D$7&amp;"'!C9")&lt;1992,0)),INDIRECT("'"&amp;$D$7&amp;"'!GO_2021"),0)
+IF(AND(IFERROR(INDIRECT("'"&amp;$D$8&amp;"'!C9")&gt;1974,0),IFERROR(INDIRECT("'"&amp;$D$8&amp;"'!C9")&lt;1992,0)),INDIRECT("'"&amp;$D$8&amp;"'!GO_2021"),0)
+IF(AND(IFERROR(INDIRECT("'"&amp;$D$9&amp;"'!C9")&gt;1974,0),IFERROR(INDIRECT("'"&amp;$D$9&amp;"'!C9")&lt;1992,0)),INDIRECT("'"&amp;$D$9&amp;"'!GO_2021"),0)
+IF(AND(IFERROR(INDIRECT("'"&amp;$D$10&amp;"'!C9")&gt;1974,0),IFERROR(INDIRECT("'"&amp;$D$10&amp;"'!C9")&lt;1992,0)),INDIRECT("'"&amp;$D$10&amp;"'!GO_2021"),0)
+IF(AND(IFERROR(INDIRECT("'"&amp;$D$11&amp;"'!C9")&gt;1974,0),IFERROR(INDIRECT("'"&amp;$D$11&amp;"'!C9")&lt;1992,0)),INDIRECT("'"&amp;$D$11&amp;"'!GO_2021"),0)
+IF(AND(IFERROR(INDIRECT("'"&amp;$D$12&amp;"'!C9")&gt;1974,0),IFERROR(INDIRECT("'"&amp;$D$12&amp;"'!C9")&lt;1992,0)),INDIRECT("'"&amp;$D$12&amp;"'!GO_2021"),0)
+IF(AND(IFERROR(INDIRECT("'"&amp;$D$13&amp;"'!C9")&gt;1974,0),IFERROR(INDIRECT("'"&amp;$D$13&amp;"'!C9")&lt;1992,0)),INDIRECT("'"&amp;$D$13&amp;"'!GO_2021"),0)
+IF(AND(IFERROR(INDIRECT("'"&amp;$D$14&amp;"'!C9")&gt;1974,0),IFERROR(INDIRECT("'"&amp;$D$14&amp;"'!C9")&lt;1992,0)),INDIRECT("'"&amp;$D$14&amp;"'!GO_2021"),0)
+IF(AND(IFERROR(INDIRECT("'"&amp;$D$15&amp;"'!C9")&gt;1974,0),IFERROR(INDIRECT("'"&amp;$D$15&amp;"'!C9")&lt;1992,0)),INDIRECT("'"&amp;$D$15&amp;"'!GO_2021"),0)
+IF(AND(IFERROR(INDIRECT("'"&amp;$D$16&amp;"'!C9")&gt;1974,0),IFERROR(INDIRECT("'"&amp;$D$16&amp;"'!C9")&lt;1992,0)),INDIRECT("'"&amp;$D$16&amp;"'!GO_2021"),0)
+IF(AND(IFERROR(INDIRECT("'"&amp;$D$17&amp;"'!C9")&gt;1974,0),IFERROR(INDIRECT("'"&amp;$D$17&amp;"'!C9")&lt;1992,0)),INDIRECT("'"&amp;$D$17&amp;"'!GO_2021"),0)
+IF(AND(IFERROR(INDIRECT("'"&amp;$D$18&amp;"'!C9")&gt;1974,0),IFERROR(INDIRECT("'"&amp;$D$18&amp;"'!C9")&lt;1992,0)),INDIRECT("'"&amp;$D$18&amp;"'!GO_2021"),0)
+IF(AND(IFERROR(INDIRECT("'"&amp;$D$19&amp;"'!C9")&gt;1974,0),IFERROR(INDIRECT("'"&amp;$D$19&amp;"'!C9")&lt;1992,0)),INDIRECT("'"&amp;$D$19&amp;"'!GO_2021"),0)
+IF(AND(IFERROR(INDIRECT("'"&amp;$D$20&amp;"'!C9")&gt;1974,0),IFERROR(INDIRECT("'"&amp;$D$20&amp;"'!C9")&lt;1992,0)),INDIRECT("'"&amp;$D$20&amp;"'!GO_2021"),0)
+IF(AND(IFERROR(INDIRECT("'"&amp;$D$21&amp;"'!C9")&gt;1974,0),IFERROR(INDIRECT("'"&amp;$D$21&amp;"'!C9")&lt;1992,0)),INDIRECT("'"&amp;$D$21&amp;"'!GO_2021"),0)
+IF(AND(IFERROR(INDIRECT("'"&amp;$D$22&amp;"'!C9")&gt;1974,0),IFERROR(INDIRECT("'"&amp;$D$22&amp;"'!C9")&lt;1992,0)),INDIRECT("'"&amp;$D$22&amp;"'!GO_2021"),0)
+IF(AND(IFERROR(INDIRECT("'"&amp;$D$23&amp;"'!C9")&gt;1974,0),IFERROR(INDIRECT("'"&amp;$D$23&amp;"'!C9")&lt;1992,0)),INDIRECT("'"&amp;$D$23&amp;"'!GO_2021"),0)
+IF(AND(IFERROR(INDIRECT("'"&amp;$D$24&amp;"'!C9")&gt;1974,0),IFERROR(INDIRECT("'"&amp;$D$24&amp;"'!C9")&lt;1992,0)),INDIRECT("'"&amp;$D$24&amp;"'!GO_2021"),0)
+IF(AND(IFERROR(INDIRECT("'"&amp;$D$25&amp;"'!C9")&gt;1974,0),IFERROR(INDIRECT("'"&amp;$D$25&amp;"'!C9")&lt;1992,0)),INDIRECT("'"&amp;$D$25&amp;"'!GO_2021"),0)
+IF(AND(IFERROR(INDIRECT("'"&amp;$D$26&amp;"'!C9")&gt;1974,0),IFERROR(INDIRECT("'"&amp;$D$26&amp;"'!C9")&lt;1992,0)),INDIRECT("'"&amp;$D$26&amp;"'!GO_2021"),0)
+IF(AND(IFERROR(INDIRECT("'"&amp;$D$27&amp;"'!C9")&gt;1974,0),IFERROR(INDIRECT("'"&amp;$D$27&amp;"'!C9")&lt;1992,0)),INDIRECT("'"&amp;$D$27&amp;"'!GO_2021"),0)
+IF(AND(IFERROR(INDIRECT("'"&amp;$D$28&amp;"'!C9")&gt;1974,0),IFERROR(INDIRECT("'"&amp;$D$28&amp;"'!C9")&lt;1992,0)),INDIRECT("'"&amp;$D$28&amp;"'!GO_2021"),0)
+IF(AND(IFERROR(INDIRECT("'"&amp;$D$29&amp;"'!C9")&gt;1974,0),IFERROR(INDIRECT("'"&amp;$D$29&amp;"'!C9")&lt;1992,0)),INDIRECT("'"&amp;$D$29&amp;"'!GO_2021"),0)
+IF(AND(IFERROR(INDIRECT("'"&amp;$D$30&amp;"'!C9")&gt;1974,0),IFERROR(INDIRECT("'"&amp;$D$30&amp;"'!C9")&lt;1992,0)),INDIRECT("'"&amp;$D$30&amp;"'!GO_2021"),0)
+IF(AND(IFERROR(INDIRECT("'"&amp;$D$31&amp;"'!C9")&gt;1974,0),IFERROR(INDIRECT("'"&amp;$D$31&amp;"'!C9")&lt;1992,0)),INDIRECT("'"&amp;$D$31&amp;"'!GO_2021"),0)
+IF(AND(IFERROR(INDIRECT("'"&amp;$D$32&amp;"'!C9")&gt;1974,0),IFERROR(INDIRECT("'"&amp;$D$32&amp;"'!C9")&lt;1992,0)),INDIRECT("'"&amp;$D$32&amp;"'!GO_2021"),0)
+IF(AND(IFERROR(INDIRECT("'"&amp;$D$33&amp;"'!C9")&gt;1974,0),IFERROR(INDIRECT("'"&amp;$D$33&amp;"'!C9")&lt;1992,0)),INDIRECT("'"&amp;$D$33&amp;"'!GO_2021"),0)
+IF(AND(IFERROR(INDIRECT("'"&amp;$D$34&amp;"'!C9")&gt;1974,0),IFERROR(INDIRECT("'"&amp;$D$34&amp;"'!C9")&lt;1992,0)),INDIRECT("'"&amp;$D$34&amp;"'!GO_2021"),0)
+IF(AND(IFERROR(INDIRECT("'"&amp;$D$35&amp;"'!C9")&gt;1974,0),IFERROR(INDIRECT("'"&amp;$D$35&amp;"'!C9")&lt;1992,0)),INDIRECT("'"&amp;$D$35&amp;"'!GO_2021"),0)
+IF(AND(IFERROR(INDIRECT("'"&amp;$D$36&amp;"'!C9")&gt;1974,0),IFERROR(INDIRECT("'"&amp;$D$36&amp;"'!C9")&lt;1992,0)),INDIRECT("'"&amp;$D$36&amp;"'!GO_2021"),0)
+IF(AND(IFERROR(INDIRECT("'"&amp;$D$37&amp;"'!C9")&gt;1974,0),IFERROR(INDIRECT("'"&amp;$D$37&amp;"'!C9")&lt;1992,0)),INDIRECT("'"&amp;$D$37&amp;"'!GO_2021"),0)
+IF(AND(IFERROR(INDIRECT("'"&amp;$D$38&amp;"'!C9")&gt;1974,0),IFERROR(INDIRECT("'"&amp;$D$38&amp;"'!C9")&lt;1992,0)),INDIRECT("'"&amp;$D$38&amp;"'!GO_2021"),0)
+IF(AND(IFERROR(INDIRECT("'"&amp;$D$39&amp;"'!C9")&gt;1974,0),IFERROR(INDIRECT("'"&amp;$D$39&amp;"'!C9")&lt;1992,0)),INDIRECT("'"&amp;$D$39&amp;"'!GO_2021"),0)
+IF(AND(IFERROR(INDIRECT("'"&amp;$D$40&amp;"'!C9")&gt;1974,0),IFERROR(INDIRECT("'"&amp;$D$40&amp;"'!C9")&lt;1992,0)),INDIRECT("'"&amp;$D$40&amp;"'!GO_2021"),0)
+IF(AND(IFERROR(INDIRECT("'"&amp;$D$41&amp;"'!C9")&gt;1974,0),IFERROR(INDIRECT("'"&amp;$D$41&amp;"'!C9")&lt;1992,0)),INDIRECT("'"&amp;$D$41&amp;"'!GO_2021"),0)
+IF(AND(IFERROR(INDIRECT("'"&amp;$D$42&amp;"'!C9")&gt;1974,0),IFERROR(INDIRECT("'"&amp;$D$42&amp;"'!C9")&lt;1992,0)),INDIRECT("'"&amp;$D$42&amp;"'!GO_2021"),0)
+IF(AND(IFERROR(INDIRECT("'"&amp;$D$43&amp;"'!C9")&gt;1974,0),IFERROR(INDIRECT("'"&amp;$D$43&amp;"'!C9")&lt;1992,0)),INDIRECT("'"&amp;$D$43&amp;"'!GO_2021"),0)
+IF(AND(IFERROR(INDIRECT("'"&amp;$D$44&amp;"'!C9")&gt;1974,0),IFERROR(INDIRECT("'"&amp;$D$44&amp;"'!C9")&lt;1992,0)),INDIRECT("'"&amp;$D$44&amp;"'!GO_2021"),0)
+IF(AND(IFERROR(INDIRECT("'"&amp;$D$45&amp;"'!C9")&gt;1974,0),IFERROR(INDIRECT("'"&amp;$D$45&amp;"'!C9")&lt;1992,0)),INDIRECT("'"&amp;$D$45&amp;"'!GO_2021"),0)
+IF(AND(IFERROR(INDIRECT("'"&amp;$D$46&amp;"'!C9")&gt;1974,0),IFERROR(INDIRECT("'"&amp;$D$46&amp;"'!C9")&lt;1992,0)),INDIRECT("'"&amp;$D$46&amp;"'!GO_2021"),0)
+IF(AND(IFERROR(INDIRECT("'"&amp;$D$47&amp;"'!C9")&gt;1974,0),IFERROR(INDIRECT("'"&amp;$D$47&amp;"'!C9")&lt;1992,0)),INDIRECT("'"&amp;$D$47&amp;"'!GO_2021"),0)
+IF(AND(IFERROR(INDIRECT("'"&amp;$D$48&amp;"'!C9")&gt;1974,0),IFERROR(INDIRECT("'"&amp;$D$48&amp;"'!C9")&lt;1992,0)),INDIRECT("'"&amp;$D$48&amp;"'!GO_2021"),0)
+IF(AND(IFERROR(INDIRECT("'"&amp;$D$49&amp;"'!C9")&gt;1974,0),IFERROR(INDIRECT("'"&amp;$D$49&amp;"'!C9")&lt;1992,0)),INDIRECT("'"&amp;$D$49&amp;"'!GO_2021"),0)
+IF(AND(IFERROR(INDIRECT("'"&amp;$D$50&amp;"'!C9")&gt;1974,0),IFERROR(INDIRECT("'"&amp;$D$50&amp;"'!C9")&lt;1992,0)),INDIRECT("'"&amp;$D$50&amp;"'!GO_2021"),0)
+IF(AND(IFERROR(INDIRECT("'"&amp;$D$51&amp;"'!C9")&gt;1974,0),IFERROR(INDIRECT("'"&amp;$D$51&amp;"'!C9")&lt;1992,0)),INDIRECT("'"&amp;$D$51&amp;"'!GO_2021"),0)
+IF(AND(IFERROR(INDIRECT("'"&amp;$D$52&amp;"'!C9")&gt;1974,0),IFERROR(INDIRECT("'"&amp;$D$52&amp;"'!C9")&lt;1992,0)),INDIRECT("'"&amp;$D$52&amp;"'!GO_2021"),0)
+IF(AND(IFERROR(INDIRECT("'"&amp;$D$53&amp;"'!C9")&gt;1974,0),IFERROR(INDIRECT("'"&amp;$D$53&amp;"'!C9")&lt;1992,0)),INDIRECT("'"&amp;$D$53&amp;"'!GO_2021"),0)
+IF(AND(IFERROR(INDIRECT("'"&amp;$D$54&amp;"'!C9")&gt;1974,0),IFERROR(INDIRECT("'"&amp;$D$54&amp;"'!C9")&lt;1992,0)),INDIRECT("'"&amp;$D$54&amp;"'!GO_2021"),0)</f>
        <v>18560.559999999998</v>
      </c>
      <c r="L26" s="321">
        <f ca="1">IF(AND(IFERROR(INDIRECT("'"&amp;$D$5&amp;"'!C9")&gt;1974,0),IFERROR(INDIRECT("'"&amp;$D$5&amp;"'!C9")&lt;1992,0)),INDIRECT("'"&amp;$D$5&amp;"'!GO_2022"),0)
+IF(AND(IFERROR(INDIRECT("'"&amp;$D$6&amp;"'!C9")&gt;1974,0),IFERROR(INDIRECT("'"&amp;$D$6&amp;"'!C9")&lt;1992,0)),INDIRECT("'"&amp;$D$6&amp;"'!GO_2022"),0)
+IF(AND(IFERROR(INDIRECT("'"&amp;$D$7&amp;"'!C9")&gt;1974,0),IFERROR(INDIRECT("'"&amp;$D$7&amp;"'!C9")&lt;1992,0)),INDIRECT("'"&amp;$D$7&amp;"'!GO_2022"),0)
+IF(AND(IFERROR(INDIRECT("'"&amp;$D$8&amp;"'!C9")&gt;1974,0),IFERROR(INDIRECT("'"&amp;$D$8&amp;"'!C9")&lt;1992,0)),INDIRECT("'"&amp;$D$8&amp;"'!GO_2022"),0)
+IF(AND(IFERROR(INDIRECT("'"&amp;$D$9&amp;"'!C9")&gt;1974,0),IFERROR(INDIRECT("'"&amp;$D$9&amp;"'!C9")&lt;1992,0)),INDIRECT("'"&amp;$D$9&amp;"'!GO_2022"),0)
+IF(AND(IFERROR(INDIRECT("'"&amp;$D$10&amp;"'!C9")&gt;1974,0),IFERROR(INDIRECT("'"&amp;$D$10&amp;"'!C9")&lt;1992,0)),INDIRECT("'"&amp;$D$10&amp;"'!GO_2022"),0)
+IF(AND(IFERROR(INDIRECT("'"&amp;$D$11&amp;"'!C9")&gt;1974,0),IFERROR(INDIRECT("'"&amp;$D$11&amp;"'!C9")&lt;1992,0)),INDIRECT("'"&amp;$D$11&amp;"'!GO_2022"),0)
+IF(AND(IFERROR(INDIRECT("'"&amp;$D$12&amp;"'!C9")&gt;1974,0),IFERROR(INDIRECT("'"&amp;$D$12&amp;"'!C9")&lt;1992,0)),INDIRECT("'"&amp;$D$12&amp;"'!GO_2022"),0)
+IF(AND(IFERROR(INDIRECT("'"&amp;$D$13&amp;"'!C9")&gt;1974,0),IFERROR(INDIRECT("'"&amp;$D$13&amp;"'!C9")&lt;1992,0)),INDIRECT("'"&amp;$D$13&amp;"'!GO_2022"),0)
+IF(AND(IFERROR(INDIRECT("'"&amp;$D$14&amp;"'!C9")&gt;1974,0),IFERROR(INDIRECT("'"&amp;$D$14&amp;"'!C9")&lt;1992,0)),INDIRECT("'"&amp;$D$14&amp;"'!GO_2022"),0)
+IF(AND(IFERROR(INDIRECT("'"&amp;$D$15&amp;"'!C9")&gt;1974,0),IFERROR(INDIRECT("'"&amp;$D$15&amp;"'!C9")&lt;1992,0)),INDIRECT("'"&amp;$D$15&amp;"'!GO_2022"),0)
+IF(AND(IFERROR(INDIRECT("'"&amp;$D$16&amp;"'!C9")&gt;1974,0),IFERROR(INDIRECT("'"&amp;$D$16&amp;"'!C9")&lt;1992,0)),INDIRECT("'"&amp;$D$16&amp;"'!GO_2022"),0)
+IF(AND(IFERROR(INDIRECT("'"&amp;$D$17&amp;"'!C9")&gt;1974,0),IFERROR(INDIRECT("'"&amp;$D$17&amp;"'!C9")&lt;1992,0)),INDIRECT("'"&amp;$D$17&amp;"'!GO_2022"),0)
+IF(AND(IFERROR(INDIRECT("'"&amp;$D$18&amp;"'!C9")&gt;1974,0),IFERROR(INDIRECT("'"&amp;$D$18&amp;"'!C9")&lt;1992,0)),INDIRECT("'"&amp;$D$18&amp;"'!GO_2022"),0)
+IF(AND(IFERROR(INDIRECT("'"&amp;$D$19&amp;"'!C9")&gt;1974,0),IFERROR(INDIRECT("'"&amp;$D$19&amp;"'!C9")&lt;1992,0)),INDIRECT("'"&amp;$D$19&amp;"'!GO_2022"),0)
+IF(AND(IFERROR(INDIRECT("'"&amp;$D$20&amp;"'!C9")&gt;1974,0),IFERROR(INDIRECT("'"&amp;$D$20&amp;"'!C9")&lt;1992,0)),INDIRECT("'"&amp;$D$20&amp;"'!GO_2022"),0)
+IF(AND(IFERROR(INDIRECT("'"&amp;$D$21&amp;"'!C9")&gt;1974,0),IFERROR(INDIRECT("'"&amp;$D$21&amp;"'!C9")&lt;1992,0)),INDIRECT("'"&amp;$D$21&amp;"'!GO_2022"),0)
+IF(AND(IFERROR(INDIRECT("'"&amp;$D$22&amp;"'!C9")&gt;1974,0),IFERROR(INDIRECT("'"&amp;$D$22&amp;"'!C9")&lt;1992,0)),INDIRECT("'"&amp;$D$22&amp;"'!GO_2022"),0)
+IF(AND(IFERROR(INDIRECT("'"&amp;$D$23&amp;"'!C9")&gt;1974,0),IFERROR(INDIRECT("'"&amp;$D$23&amp;"'!C9")&lt;1992,0)),INDIRECT("'"&amp;$D$23&amp;"'!GO_2022"),0)
+IF(AND(IFERROR(INDIRECT("'"&amp;$D$24&amp;"'!C9")&gt;1974,0),IFERROR(INDIRECT("'"&amp;$D$24&amp;"'!C9")&lt;1992,0)),INDIRECT("'"&amp;$D$24&amp;"'!GO_2022"),0)
+IF(AND(IFERROR(INDIRECT("'"&amp;$D$25&amp;"'!C9")&gt;1974,0),IFERROR(INDIRECT("'"&amp;$D$25&amp;"'!C9")&lt;1992,0)),INDIRECT("'"&amp;$D$25&amp;"'!GO_2022"),0)
+IF(AND(IFERROR(INDIRECT("'"&amp;$D$26&amp;"'!C9")&gt;1974,0),IFERROR(INDIRECT("'"&amp;$D$26&amp;"'!C9")&lt;1992,0)),INDIRECT("'"&amp;$D$26&amp;"'!GO_2022"),0)
+IF(AND(IFERROR(INDIRECT("'"&amp;$D$27&amp;"'!C9")&gt;1974,0),IFERROR(INDIRECT("'"&amp;$D$27&amp;"'!C9")&lt;1992,0)),INDIRECT("'"&amp;$D$27&amp;"'!GO_2022"),0)
+IF(AND(IFERROR(INDIRECT("'"&amp;$D$28&amp;"'!C9")&gt;1974,0),IFERROR(INDIRECT("'"&amp;$D$28&amp;"'!C9")&lt;1992,0)),INDIRECT("'"&amp;$D$28&amp;"'!GO_2022"),0)
+IF(AND(IFERROR(INDIRECT("'"&amp;$D$29&amp;"'!C9")&gt;1974,0),IFERROR(INDIRECT("'"&amp;$D$29&amp;"'!C9")&lt;1992,0)),INDIRECT("'"&amp;$D$29&amp;"'!GO_2022"),0)
+IF(AND(IFERROR(INDIRECT("'"&amp;$D$30&amp;"'!C9")&gt;1974,0),IFERROR(INDIRECT("'"&amp;$D$30&amp;"'!C9")&lt;1992,0)),INDIRECT("'"&amp;$D$30&amp;"'!GO_2022"),0)
+IF(AND(IFERROR(INDIRECT("'"&amp;$D$31&amp;"'!C9")&gt;1974,0),IFERROR(INDIRECT("'"&amp;$D$31&amp;"'!C9")&lt;1992,0)),INDIRECT("'"&amp;$D$31&amp;"'!GO_2022"),0)
+IF(AND(IFERROR(INDIRECT("'"&amp;$D$32&amp;"'!C9")&gt;1974,0),IFERROR(INDIRECT("'"&amp;$D$32&amp;"'!C9")&lt;1992,0)),INDIRECT("'"&amp;$D$32&amp;"'!GO_2022"),0)
+IF(AND(IFERROR(INDIRECT("'"&amp;$D$33&amp;"'!C9")&gt;1974,0),IFERROR(INDIRECT("'"&amp;$D$33&amp;"'!C9")&lt;1992,0)),INDIRECT("'"&amp;$D$33&amp;"'!GO_2022"),0)
+IF(AND(IFERROR(INDIRECT("'"&amp;$D$34&amp;"'!C9")&gt;1974,0),IFERROR(INDIRECT("'"&amp;$D$34&amp;"'!C9")&lt;1992,0)),INDIRECT("'"&amp;$D$34&amp;"'!GO_2022"),0)
+IF(AND(IFERROR(INDIRECT("'"&amp;$D$35&amp;"'!C9")&gt;1974,0),IFERROR(INDIRECT("'"&amp;$D$35&amp;"'!C9")&lt;1992,0)),INDIRECT("'"&amp;$D$35&amp;"'!GO_2022"),0)
+IF(AND(IFERROR(INDIRECT("'"&amp;$D$36&amp;"'!C9")&gt;1974,0),IFERROR(INDIRECT("'"&amp;$D$36&amp;"'!C9")&lt;1992,0)),INDIRECT("'"&amp;$D$36&amp;"'!GO_2022"),0)
+IF(AND(IFERROR(INDIRECT("'"&amp;$D$37&amp;"'!C9")&gt;1974,0),IFERROR(INDIRECT("'"&amp;$D$37&amp;"'!C9")&lt;1992,0)),INDIRECT("'"&amp;$D$37&amp;"'!GO_2022"),0)
+IF(AND(IFERROR(INDIRECT("'"&amp;$D$38&amp;"'!C9")&gt;1974,0),IFERROR(INDIRECT("'"&amp;$D$38&amp;"'!C9")&lt;1992,0)),INDIRECT("'"&amp;$D$38&amp;"'!GO_2022"),0)
+IF(AND(IFERROR(INDIRECT("'"&amp;$D$39&amp;"'!C9")&gt;1974,0),IFERROR(INDIRECT("'"&amp;$D$39&amp;"'!C9")&lt;1992,0)),INDIRECT("'"&amp;$D$39&amp;"'!GO_2022"),0)
+IF(AND(IFERROR(INDIRECT("'"&amp;$D$40&amp;"'!C9")&gt;1974,0),IFERROR(INDIRECT("'"&amp;$D$40&amp;"'!C9")&lt;1992,0)),INDIRECT("'"&amp;$D$40&amp;"'!GO_2022"),0)
+IF(AND(IFERROR(INDIRECT("'"&amp;$D$41&amp;"'!C9")&gt;1974,0),IFERROR(INDIRECT("'"&amp;$D$41&amp;"'!C9")&lt;1992,0)),INDIRECT("'"&amp;$D$41&amp;"'!GO_2022"),0)
+IF(AND(IFERROR(INDIRECT("'"&amp;$D$42&amp;"'!C9")&gt;1974,0),IFERROR(INDIRECT("'"&amp;$D$42&amp;"'!C9")&lt;1992,0)),INDIRECT("'"&amp;$D$42&amp;"'!GO_2022"),0)
+IF(AND(IFERROR(INDIRECT("'"&amp;$D$43&amp;"'!C9")&gt;1974,0),IFERROR(INDIRECT("'"&amp;$D$43&amp;"'!C9")&lt;1992,0)),INDIRECT("'"&amp;$D$43&amp;"'!GO_2022"),0)
+IF(AND(IFERROR(INDIRECT("'"&amp;$D$44&amp;"'!C9")&gt;1974,0),IFERROR(INDIRECT("'"&amp;$D$44&amp;"'!C9")&lt;1992,0)),INDIRECT("'"&amp;$D$44&amp;"'!GO_2022"),0)
+IF(AND(IFERROR(INDIRECT("'"&amp;$D$45&amp;"'!C9")&gt;1974,0),IFERROR(INDIRECT("'"&amp;$D$45&amp;"'!C9")&lt;1992,0)),INDIRECT("'"&amp;$D$45&amp;"'!GO_2022"),0)
+IF(AND(IFERROR(INDIRECT("'"&amp;$D$46&amp;"'!C9")&gt;1974,0),IFERROR(INDIRECT("'"&amp;$D$46&amp;"'!C9")&lt;1992,0)),INDIRECT("'"&amp;$D$46&amp;"'!GO_2022"),0)
+IF(AND(IFERROR(INDIRECT("'"&amp;$D$47&amp;"'!C9")&gt;1974,0),IFERROR(INDIRECT("'"&amp;$D$47&amp;"'!C9")&lt;1992,0)),INDIRECT("'"&amp;$D$47&amp;"'!GO_2022"),0)
+IF(AND(IFERROR(INDIRECT("'"&amp;$D$48&amp;"'!C9")&gt;1974,0),IFERROR(INDIRECT("'"&amp;$D$48&amp;"'!C9")&lt;1992,0)),INDIRECT("'"&amp;$D$48&amp;"'!GO_2022"),0)
+IF(AND(IFERROR(INDIRECT("'"&amp;$D$49&amp;"'!C9")&gt;1974,0),IFERROR(INDIRECT("'"&amp;$D$49&amp;"'!C9")&lt;1992,0)),INDIRECT("'"&amp;$D$49&amp;"'!GO_2022"),0)
+IF(AND(IFERROR(INDIRECT("'"&amp;$D$50&amp;"'!C9")&gt;1974,0),IFERROR(INDIRECT("'"&amp;$D$50&amp;"'!C9")&lt;1992,0)),INDIRECT("'"&amp;$D$50&amp;"'!GO_2022"),0)
+IF(AND(IFERROR(INDIRECT("'"&amp;$D$51&amp;"'!C9")&gt;1974,0),IFERROR(INDIRECT("'"&amp;$D$51&amp;"'!C9")&lt;1992,0)),INDIRECT("'"&amp;$D$51&amp;"'!GO_2022"),0)
+IF(AND(IFERROR(INDIRECT("'"&amp;$D$52&amp;"'!C9")&gt;1974,0),IFERROR(INDIRECT("'"&amp;$D$52&amp;"'!C9")&lt;1992,0)),INDIRECT("'"&amp;$D$52&amp;"'!GO_2022"),0)
+IF(AND(IFERROR(INDIRECT("'"&amp;$D$53&amp;"'!C9")&gt;1974,0),IFERROR(INDIRECT("'"&amp;$D$53&amp;"'!C9")&lt;1992,0)),INDIRECT("'"&amp;$D$53&amp;"'!GO_2022"),0)
+IF(AND(IFERROR(INDIRECT("'"&amp;$D$54&amp;"'!C9")&gt;1974,0),IFERROR(INDIRECT("'"&amp;$D$54&amp;"'!C9")&lt;1992,0)),INDIRECT("'"&amp;$D$54&amp;"'!GO_2022"),0)</f>
        <v>18560.559999999998</v>
      </c>
      <c r="M26" s="321">
        <f ca="1">IF(AND(IFERROR(INDIRECT("'"&amp;$D$5&amp;"'!C9")&gt;1974,0),IFERROR(INDIRECT("'"&amp;$D$5&amp;"'!C9")&lt;1992,0)),INDIRECT("'"&amp;$D$5&amp;"'!GO_2023"),0)
+IF(AND(IFERROR(INDIRECT("'"&amp;$D$6&amp;"'!C9")&gt;1974,0),IFERROR(INDIRECT("'"&amp;$D$6&amp;"'!C9")&lt;1992,0)),INDIRECT("'"&amp;$D$6&amp;"'!GO_2023"),0)
+IF(AND(IFERROR(INDIRECT("'"&amp;$D$7&amp;"'!C9")&gt;1974,0),IFERROR(INDIRECT("'"&amp;$D$7&amp;"'!C9")&lt;1992,0)),INDIRECT("'"&amp;$D$7&amp;"'!GO_2023"),0)
+IF(AND(IFERROR(INDIRECT("'"&amp;$D$8&amp;"'!C9")&gt;1974,0),IFERROR(INDIRECT("'"&amp;$D$8&amp;"'!C9")&lt;1992,0)),INDIRECT("'"&amp;$D$8&amp;"'!GO_2023"),0)
+IF(AND(IFERROR(INDIRECT("'"&amp;$D$9&amp;"'!C9")&gt;1974,0),IFERROR(INDIRECT("'"&amp;$D$9&amp;"'!C9")&lt;1992,0)),INDIRECT("'"&amp;$D$9&amp;"'!GO_2023"),0)
+IF(AND(IFERROR(INDIRECT("'"&amp;$D$10&amp;"'!C9")&gt;1974,0),IFERROR(INDIRECT("'"&amp;$D$10&amp;"'!C9")&lt;1992,0)),INDIRECT("'"&amp;$D$10&amp;"'!GO_2023"),0)
+IF(AND(IFERROR(INDIRECT("'"&amp;$D$11&amp;"'!C9")&gt;1974,0),IFERROR(INDIRECT("'"&amp;$D$11&amp;"'!C9")&lt;1992,0)),INDIRECT("'"&amp;$D$11&amp;"'!GO_2023"),0)
+IF(AND(IFERROR(INDIRECT("'"&amp;$D$12&amp;"'!C9")&gt;1974,0),IFERROR(INDIRECT("'"&amp;$D$12&amp;"'!C9")&lt;1992,0)),INDIRECT("'"&amp;$D$12&amp;"'!GO_2023"),0)
+IF(AND(IFERROR(INDIRECT("'"&amp;$D$13&amp;"'!C9")&gt;1974,0),IFERROR(INDIRECT("'"&amp;$D$13&amp;"'!C9")&lt;1992,0)),INDIRECT("'"&amp;$D$13&amp;"'!GO_2023"),0)
+IF(AND(IFERROR(INDIRECT("'"&amp;$D$14&amp;"'!C9")&gt;1974,0),IFERROR(INDIRECT("'"&amp;$D$14&amp;"'!C9")&lt;1992,0)),INDIRECT("'"&amp;$D$14&amp;"'!GO_2023"),0)
+IF(AND(IFERROR(INDIRECT("'"&amp;$D$15&amp;"'!C9")&gt;1974,0),IFERROR(INDIRECT("'"&amp;$D$15&amp;"'!C9")&lt;1992,0)),INDIRECT("'"&amp;$D$15&amp;"'!GO_2023"),0)
+IF(AND(IFERROR(INDIRECT("'"&amp;$D$16&amp;"'!C9")&gt;1974,0),IFERROR(INDIRECT("'"&amp;$D$16&amp;"'!C9")&lt;1992,0)),INDIRECT("'"&amp;$D$16&amp;"'!GO_2023"),0)
+IF(AND(IFERROR(INDIRECT("'"&amp;$D$17&amp;"'!C9")&gt;1974,0),IFERROR(INDIRECT("'"&amp;$D$17&amp;"'!C9")&lt;1992,0)),INDIRECT("'"&amp;$D$17&amp;"'!GO_2023"),0)
+IF(AND(IFERROR(INDIRECT("'"&amp;$D$18&amp;"'!C9")&gt;1974,0),IFERROR(INDIRECT("'"&amp;$D$18&amp;"'!C9")&lt;1992,0)),INDIRECT("'"&amp;$D$18&amp;"'!GO_2023"),0)
+IF(AND(IFERROR(INDIRECT("'"&amp;$D$19&amp;"'!C9")&gt;1974,0),IFERROR(INDIRECT("'"&amp;$D$19&amp;"'!C9")&lt;1992,0)),INDIRECT("'"&amp;$D$19&amp;"'!GO_2023"),0)
+IF(AND(IFERROR(INDIRECT("'"&amp;$D$20&amp;"'!C9")&gt;1974,0),IFERROR(INDIRECT("'"&amp;$D$20&amp;"'!C9")&lt;1992,0)),INDIRECT("'"&amp;$D$20&amp;"'!GO_2023"),0)
+IF(AND(IFERROR(INDIRECT("'"&amp;$D$21&amp;"'!C9")&gt;1974,0),IFERROR(INDIRECT("'"&amp;$D$21&amp;"'!C9")&lt;1992,0)),INDIRECT("'"&amp;$D$21&amp;"'!GO_2023"),0)
+IF(AND(IFERROR(INDIRECT("'"&amp;$D$22&amp;"'!C9")&gt;1974,0),IFERROR(INDIRECT("'"&amp;$D$22&amp;"'!C9")&lt;1992,0)),INDIRECT("'"&amp;$D$22&amp;"'!GO_2023"),0)
+IF(AND(IFERROR(INDIRECT("'"&amp;$D$23&amp;"'!C9")&gt;1974,0),IFERROR(INDIRECT("'"&amp;$D$23&amp;"'!C9")&lt;1992,0)),INDIRECT("'"&amp;$D$23&amp;"'!GO_2023"),0)
+IF(AND(IFERROR(INDIRECT("'"&amp;$D$24&amp;"'!C9")&gt;1974,0),IFERROR(INDIRECT("'"&amp;$D$24&amp;"'!C9")&lt;1992,0)),INDIRECT("'"&amp;$D$24&amp;"'!GO_2023"),0)
+IF(AND(IFERROR(INDIRECT("'"&amp;$D$25&amp;"'!C9")&gt;1974,0),IFERROR(INDIRECT("'"&amp;$D$25&amp;"'!C9")&lt;1992,0)),INDIRECT("'"&amp;$D$25&amp;"'!GO_2023"),0)
+IF(AND(IFERROR(INDIRECT("'"&amp;$D$26&amp;"'!C9")&gt;1974,0),IFERROR(INDIRECT("'"&amp;$D$26&amp;"'!C9")&lt;1992,0)),INDIRECT("'"&amp;$D$26&amp;"'!GO_2023"),0)
+IF(AND(IFERROR(INDIRECT("'"&amp;$D$27&amp;"'!C9")&gt;1974,0),IFERROR(INDIRECT("'"&amp;$D$27&amp;"'!C9")&lt;1992,0)),INDIRECT("'"&amp;$D$27&amp;"'!GO_2023"),0)
+IF(AND(IFERROR(INDIRECT("'"&amp;$D$28&amp;"'!C9")&gt;1974,0),IFERROR(INDIRECT("'"&amp;$D$28&amp;"'!C9")&lt;1992,0)),INDIRECT("'"&amp;$D$28&amp;"'!GO_2023"),0)
+IF(AND(IFERROR(INDIRECT("'"&amp;$D$29&amp;"'!C9")&gt;1974,0),IFERROR(INDIRECT("'"&amp;$D$29&amp;"'!C9")&lt;1992,0)),INDIRECT("'"&amp;$D$29&amp;"'!GO_2023"),0)
+IF(AND(IFERROR(INDIRECT("'"&amp;$D$30&amp;"'!C9")&gt;1974,0),IFERROR(INDIRECT("'"&amp;$D$30&amp;"'!C9")&lt;1992,0)),INDIRECT("'"&amp;$D$30&amp;"'!GO_2023"),0)
+IF(AND(IFERROR(INDIRECT("'"&amp;$D$31&amp;"'!C9")&gt;1974,0),IFERROR(INDIRECT("'"&amp;$D$31&amp;"'!C9")&lt;1992,0)),INDIRECT("'"&amp;$D$31&amp;"'!GO_2023"),0)
+IF(AND(IFERROR(INDIRECT("'"&amp;$D$32&amp;"'!C9")&gt;1974,0),IFERROR(INDIRECT("'"&amp;$D$32&amp;"'!C9")&lt;1992,0)),INDIRECT("'"&amp;$D$32&amp;"'!GO_2023"),0)
+IF(AND(IFERROR(INDIRECT("'"&amp;$D$33&amp;"'!C9")&gt;1974,0),IFERROR(INDIRECT("'"&amp;$D$33&amp;"'!C9")&lt;1992,0)),INDIRECT("'"&amp;$D$33&amp;"'!GO_2023"),0)
+IF(AND(IFERROR(INDIRECT("'"&amp;$D$34&amp;"'!C9")&gt;1974,0),IFERROR(INDIRECT("'"&amp;$D$34&amp;"'!C9")&lt;1992,0)),INDIRECT("'"&amp;$D$34&amp;"'!GO_2023"),0)
+IF(AND(IFERROR(INDIRECT("'"&amp;$D$35&amp;"'!C9")&gt;1974,0),IFERROR(INDIRECT("'"&amp;$D$35&amp;"'!C9")&lt;1992,0)),INDIRECT("'"&amp;$D$35&amp;"'!GO_2023"),0)
+IF(AND(IFERROR(INDIRECT("'"&amp;$D$36&amp;"'!C9")&gt;1974,0),IFERROR(INDIRECT("'"&amp;$D$36&amp;"'!C9")&lt;1992,0)),INDIRECT("'"&amp;$D$36&amp;"'!GO_2023"),0)
+IF(AND(IFERROR(INDIRECT("'"&amp;$D$37&amp;"'!C9")&gt;1974,0),IFERROR(INDIRECT("'"&amp;$D$37&amp;"'!C9")&lt;1992,0)),INDIRECT("'"&amp;$D$37&amp;"'!GO_2023"),0)
+IF(AND(IFERROR(INDIRECT("'"&amp;$D$38&amp;"'!C9")&gt;1974,0),IFERROR(INDIRECT("'"&amp;$D$38&amp;"'!C9")&lt;1992,0)),INDIRECT("'"&amp;$D$38&amp;"'!GO_2023"),0)
+IF(AND(IFERROR(INDIRECT("'"&amp;$D$39&amp;"'!C9")&gt;1974,0),IFERROR(INDIRECT("'"&amp;$D$39&amp;"'!C9")&lt;1992,0)),INDIRECT("'"&amp;$D$39&amp;"'!GO_2023"),0)
+IF(AND(IFERROR(INDIRECT("'"&amp;$D$40&amp;"'!C9")&gt;1974,0),IFERROR(INDIRECT("'"&amp;$D$40&amp;"'!C9")&lt;1992,0)),INDIRECT("'"&amp;$D$40&amp;"'!GO_2023"),0)
+IF(AND(IFERROR(INDIRECT("'"&amp;$D$41&amp;"'!C9")&gt;1974,0),IFERROR(INDIRECT("'"&amp;$D$41&amp;"'!C9")&lt;1992,0)),INDIRECT("'"&amp;$D$41&amp;"'!GO_2023"),0)
+IF(AND(IFERROR(INDIRECT("'"&amp;$D$42&amp;"'!C9")&gt;1974,0),IFERROR(INDIRECT("'"&amp;$D$42&amp;"'!C9")&lt;1992,0)),INDIRECT("'"&amp;$D$42&amp;"'!GO_2023"),0)
+IF(AND(IFERROR(INDIRECT("'"&amp;$D$43&amp;"'!C9")&gt;1974,0),IFERROR(INDIRECT("'"&amp;$D$43&amp;"'!C9")&lt;1992,0)),INDIRECT("'"&amp;$D$43&amp;"'!GO_2023"),0)
+IF(AND(IFERROR(INDIRECT("'"&amp;$D$44&amp;"'!C9")&gt;1974,0),IFERROR(INDIRECT("'"&amp;$D$44&amp;"'!C9")&lt;1992,0)),INDIRECT("'"&amp;$D$44&amp;"'!GO_2023"),0)
+IF(AND(IFERROR(INDIRECT("'"&amp;$D$45&amp;"'!C9")&gt;1974,0),IFERROR(INDIRECT("'"&amp;$D$45&amp;"'!C9")&lt;1992,0)),INDIRECT("'"&amp;$D$45&amp;"'!GO_2023"),0)
+IF(AND(IFERROR(INDIRECT("'"&amp;$D$46&amp;"'!C9")&gt;1974,0),IFERROR(INDIRECT("'"&amp;$D$46&amp;"'!C9")&lt;1992,0)),INDIRECT("'"&amp;$D$46&amp;"'!GO_2023"),0)
+IF(AND(IFERROR(INDIRECT("'"&amp;$D$47&amp;"'!C9")&gt;1974,0),IFERROR(INDIRECT("'"&amp;$D$47&amp;"'!C9")&lt;1992,0)),INDIRECT("'"&amp;$D$47&amp;"'!GO_2023"),0)
+IF(AND(IFERROR(INDIRECT("'"&amp;$D$48&amp;"'!C9")&gt;1974,0),IFERROR(INDIRECT("'"&amp;$D$48&amp;"'!C9")&lt;1992,0)),INDIRECT("'"&amp;$D$48&amp;"'!GO_2023"),0)
+IF(AND(IFERROR(INDIRECT("'"&amp;$D$49&amp;"'!C9")&gt;1974,0),IFERROR(INDIRECT("'"&amp;$D$49&amp;"'!C9")&lt;1992,0)),INDIRECT("'"&amp;$D$49&amp;"'!GO_2023"),0)
+IF(AND(IFERROR(INDIRECT("'"&amp;$D$50&amp;"'!C9")&gt;1974,0),IFERROR(INDIRECT("'"&amp;$D$50&amp;"'!C9")&lt;1992,0)),INDIRECT("'"&amp;$D$50&amp;"'!GO_2023"),0)
+IF(AND(IFERROR(INDIRECT("'"&amp;$D$51&amp;"'!C9")&gt;1974,0),IFERROR(INDIRECT("'"&amp;$D$51&amp;"'!C9")&lt;1992,0)),INDIRECT("'"&amp;$D$51&amp;"'!GO_2023"),0)
+IF(AND(IFERROR(INDIRECT("'"&amp;$D$52&amp;"'!C9")&gt;1974,0),IFERROR(INDIRECT("'"&amp;$D$52&amp;"'!C9")&lt;1992,0)),INDIRECT("'"&amp;$D$52&amp;"'!GO_2023"),0)
+IF(AND(IFERROR(INDIRECT("'"&amp;$D$53&amp;"'!C9")&gt;1974,0),IFERROR(INDIRECT("'"&amp;$D$53&amp;"'!C9")&lt;1992,0)),INDIRECT("'"&amp;$D$53&amp;"'!GO_2023"),0)
+IF(AND(IFERROR(INDIRECT("'"&amp;$D$54&amp;"'!C9")&gt;1974,0),IFERROR(INDIRECT("'"&amp;$D$54&amp;"'!C9")&lt;1992,0)),INDIRECT("'"&amp;$D$54&amp;"'!GO_2023"),0)</f>
        <v>18560.559999999998</v>
      </c>
      <c r="N26" s="321">
        <f ca="1">IF(AND(IFERROR(INDIRECT("'"&amp;$D$5&amp;"'!C9")&gt;1974,0),IFERROR(INDIRECT("'"&amp;$D$5&amp;"'!C9")&lt;1992,0)),INDIRECT("'"&amp;$D$5&amp;"'!GO_2024"),0)
+IF(AND(IFERROR(INDIRECT("'"&amp;$D$6&amp;"'!C9")&gt;1974,0),IFERROR(INDIRECT("'"&amp;$D$6&amp;"'!C9")&lt;1992,0)),INDIRECT("'"&amp;$D$6&amp;"'!GO_2024"),0)
+IF(AND(IFERROR(INDIRECT("'"&amp;$D$7&amp;"'!C9")&gt;1974,0),IFERROR(INDIRECT("'"&amp;$D$7&amp;"'!C9")&lt;1992,0)),INDIRECT("'"&amp;$D$7&amp;"'!GO_2024"),0)
+IF(AND(IFERROR(INDIRECT("'"&amp;$D$8&amp;"'!C9")&gt;1974,0),IFERROR(INDIRECT("'"&amp;$D$8&amp;"'!C9")&lt;1992,0)),INDIRECT("'"&amp;$D$8&amp;"'!GO_2024"),0)
+IF(AND(IFERROR(INDIRECT("'"&amp;$D$9&amp;"'!C9")&gt;1974,0),IFERROR(INDIRECT("'"&amp;$D$9&amp;"'!C9")&lt;1992,0)),INDIRECT("'"&amp;$D$9&amp;"'!GO_2024"),0)
+IF(AND(IFERROR(INDIRECT("'"&amp;$D$10&amp;"'!C9")&gt;1974,0),IFERROR(INDIRECT("'"&amp;$D$10&amp;"'!C9")&lt;1992,0)),INDIRECT("'"&amp;$D$10&amp;"'!GO_2024"),0)
+IF(AND(IFERROR(INDIRECT("'"&amp;$D$11&amp;"'!C9")&gt;1974,0),IFERROR(INDIRECT("'"&amp;$D$11&amp;"'!C9")&lt;1992,0)),INDIRECT("'"&amp;$D$11&amp;"'!GO_2024"),0)
+IF(AND(IFERROR(INDIRECT("'"&amp;$D$12&amp;"'!C9")&gt;1974,0),IFERROR(INDIRECT("'"&amp;$D$12&amp;"'!C9")&lt;1992,0)),INDIRECT("'"&amp;$D$12&amp;"'!GO_2024"),0)
+IF(AND(IFERROR(INDIRECT("'"&amp;$D$13&amp;"'!C9")&gt;1974,0),IFERROR(INDIRECT("'"&amp;$D$13&amp;"'!C9")&lt;1992,0)),INDIRECT("'"&amp;$D$13&amp;"'!GO_2024"),0)
+IF(AND(IFERROR(INDIRECT("'"&amp;$D$14&amp;"'!C9")&gt;1974,0),IFERROR(INDIRECT("'"&amp;$D$14&amp;"'!C9")&lt;1992,0)),INDIRECT("'"&amp;$D$14&amp;"'!GO_2024"),0)
+IF(AND(IFERROR(INDIRECT("'"&amp;$D$15&amp;"'!C9")&gt;1974,0),IFERROR(INDIRECT("'"&amp;$D$15&amp;"'!C9")&lt;1992,0)),INDIRECT("'"&amp;$D$15&amp;"'!GO_2024"),0)
+IF(AND(IFERROR(INDIRECT("'"&amp;$D$16&amp;"'!C9")&gt;1974,0),IFERROR(INDIRECT("'"&amp;$D$16&amp;"'!C9")&lt;1992,0)),INDIRECT("'"&amp;$D$16&amp;"'!GO_2024"),0)
+IF(AND(IFERROR(INDIRECT("'"&amp;$D$17&amp;"'!C9")&gt;1974,0),IFERROR(INDIRECT("'"&amp;$D$17&amp;"'!C9")&lt;1992,0)),INDIRECT("'"&amp;$D$17&amp;"'!GO_2024"),0)
+IF(AND(IFERROR(INDIRECT("'"&amp;$D$18&amp;"'!C9")&gt;1974,0),IFERROR(INDIRECT("'"&amp;$D$18&amp;"'!C9")&lt;1992,0)),INDIRECT("'"&amp;$D$18&amp;"'!GO_2024"),0)
+IF(AND(IFERROR(INDIRECT("'"&amp;$D$19&amp;"'!C9")&gt;1974,0),IFERROR(INDIRECT("'"&amp;$D$19&amp;"'!C9")&lt;1992,0)),INDIRECT("'"&amp;$D$19&amp;"'!GO_2024"),0)
+IF(AND(IFERROR(INDIRECT("'"&amp;$D$20&amp;"'!C9")&gt;1974,0),IFERROR(INDIRECT("'"&amp;$D$20&amp;"'!C9")&lt;1992,0)),INDIRECT("'"&amp;$D$20&amp;"'!GO_2024"),0)
+IF(AND(IFERROR(INDIRECT("'"&amp;$D$21&amp;"'!C9")&gt;1974,0),IFERROR(INDIRECT("'"&amp;$D$21&amp;"'!C9")&lt;1992,0)),INDIRECT("'"&amp;$D$21&amp;"'!GO_2024"),0)
+IF(AND(IFERROR(INDIRECT("'"&amp;$D$22&amp;"'!C9")&gt;1974,0),IFERROR(INDIRECT("'"&amp;$D$22&amp;"'!C9")&lt;1992,0)),INDIRECT("'"&amp;$D$22&amp;"'!GO_2024"),0)
+IF(AND(IFERROR(INDIRECT("'"&amp;$D$23&amp;"'!C9")&gt;1974,0),IFERROR(INDIRECT("'"&amp;$D$23&amp;"'!C9")&lt;1992,0)),INDIRECT("'"&amp;$D$23&amp;"'!GO_2024"),0)
+IF(AND(IFERROR(INDIRECT("'"&amp;$D$24&amp;"'!C9")&gt;1974,0),IFERROR(INDIRECT("'"&amp;$D$24&amp;"'!C9")&lt;1992,0)),INDIRECT("'"&amp;$D$24&amp;"'!GO_2024"),0)
+IF(AND(IFERROR(INDIRECT("'"&amp;$D$25&amp;"'!C9")&gt;1974,0),IFERROR(INDIRECT("'"&amp;$D$25&amp;"'!C9")&lt;1992,0)),INDIRECT("'"&amp;$D$25&amp;"'!GO_2024"),0)
+IF(AND(IFERROR(INDIRECT("'"&amp;$D$26&amp;"'!C9")&gt;1974,0),IFERROR(INDIRECT("'"&amp;$D$26&amp;"'!C9")&lt;1992,0)),INDIRECT("'"&amp;$D$26&amp;"'!GO_2024"),0)
+IF(AND(IFERROR(INDIRECT("'"&amp;$D$27&amp;"'!C9")&gt;1974,0),IFERROR(INDIRECT("'"&amp;$D$27&amp;"'!C9")&lt;1992,0)),INDIRECT("'"&amp;$D$27&amp;"'!GO_2024"),0)
+IF(AND(IFERROR(INDIRECT("'"&amp;$D$28&amp;"'!C9")&gt;1974,0),IFERROR(INDIRECT("'"&amp;$D$28&amp;"'!C9")&lt;1992,0)),INDIRECT("'"&amp;$D$28&amp;"'!GO_2024"),0)
+IF(AND(IFERROR(INDIRECT("'"&amp;$D$29&amp;"'!C9")&gt;1974,0),IFERROR(INDIRECT("'"&amp;$D$29&amp;"'!C9")&lt;1992,0)),INDIRECT("'"&amp;$D$29&amp;"'!GO_2024"),0)
+IF(AND(IFERROR(INDIRECT("'"&amp;$D$30&amp;"'!C9")&gt;1974,0),IFERROR(INDIRECT("'"&amp;$D$30&amp;"'!C9")&lt;1992,0)),INDIRECT("'"&amp;$D$30&amp;"'!GO_2024"),0)
+IF(AND(IFERROR(INDIRECT("'"&amp;$D$31&amp;"'!C9")&gt;1974,0),IFERROR(INDIRECT("'"&amp;$D$31&amp;"'!C9")&lt;1992,0)),INDIRECT("'"&amp;$D$31&amp;"'!GO_2024"),0)
+IF(AND(IFERROR(INDIRECT("'"&amp;$D$32&amp;"'!C9")&gt;1974,0),IFERROR(INDIRECT("'"&amp;$D$32&amp;"'!C9")&lt;1992,0)),INDIRECT("'"&amp;$D$32&amp;"'!GO_2024"),0)
+IF(AND(IFERROR(INDIRECT("'"&amp;$D$33&amp;"'!C9")&gt;1974,0),IFERROR(INDIRECT("'"&amp;$D$33&amp;"'!C9")&lt;1992,0)),INDIRECT("'"&amp;$D$33&amp;"'!GO_2024"),0)
+IF(AND(IFERROR(INDIRECT("'"&amp;$D$34&amp;"'!C9")&gt;1974,0),IFERROR(INDIRECT("'"&amp;$D$34&amp;"'!C9")&lt;1992,0)),INDIRECT("'"&amp;$D$34&amp;"'!GO_2024"),0)
+IF(AND(IFERROR(INDIRECT("'"&amp;$D$35&amp;"'!C9")&gt;1974,0),IFERROR(INDIRECT("'"&amp;$D$35&amp;"'!C9")&lt;1992,0)),INDIRECT("'"&amp;$D$35&amp;"'!GO_2024"),0)
+IF(AND(IFERROR(INDIRECT("'"&amp;$D$36&amp;"'!C9")&gt;1974,0),IFERROR(INDIRECT("'"&amp;$D$36&amp;"'!C9")&lt;1992,0)),INDIRECT("'"&amp;$D$36&amp;"'!GO_2024"),0)
+IF(AND(IFERROR(INDIRECT("'"&amp;$D$37&amp;"'!C9")&gt;1974,0),IFERROR(INDIRECT("'"&amp;$D$37&amp;"'!C9")&lt;1992,0)),INDIRECT("'"&amp;$D$37&amp;"'!GO_2024"),0)
+IF(AND(IFERROR(INDIRECT("'"&amp;$D$38&amp;"'!C9")&gt;1974,0),IFERROR(INDIRECT("'"&amp;$D$38&amp;"'!C9")&lt;1992,0)),INDIRECT("'"&amp;$D$38&amp;"'!GO_2024"),0)
+IF(AND(IFERROR(INDIRECT("'"&amp;$D$39&amp;"'!C9")&gt;1974,0),IFERROR(INDIRECT("'"&amp;$D$39&amp;"'!C9")&lt;1992,0)),INDIRECT("'"&amp;$D$39&amp;"'!GO_2024"),0)
+IF(AND(IFERROR(INDIRECT("'"&amp;$D$40&amp;"'!C9")&gt;1974,0),IFERROR(INDIRECT("'"&amp;$D$40&amp;"'!C9")&lt;1992,0)),INDIRECT("'"&amp;$D$40&amp;"'!GO_2024"),0)
+IF(AND(IFERROR(INDIRECT("'"&amp;$D$41&amp;"'!C9")&gt;1974,0),IFERROR(INDIRECT("'"&amp;$D$41&amp;"'!C9")&lt;1992,0)),INDIRECT("'"&amp;$D$41&amp;"'!GO_2024"),0)
+IF(AND(IFERROR(INDIRECT("'"&amp;$D$42&amp;"'!C9")&gt;1974,0),IFERROR(INDIRECT("'"&amp;$D$42&amp;"'!C9")&lt;1992,0)),INDIRECT("'"&amp;$D$42&amp;"'!GO_2024"),0)
+IF(AND(IFERROR(INDIRECT("'"&amp;$D$43&amp;"'!C9")&gt;1974,0),IFERROR(INDIRECT("'"&amp;$D$43&amp;"'!C9")&lt;1992,0)),INDIRECT("'"&amp;$D$43&amp;"'!GO_2024"),0)
+IF(AND(IFERROR(INDIRECT("'"&amp;$D$44&amp;"'!C9")&gt;1974,0),IFERROR(INDIRECT("'"&amp;$D$44&amp;"'!C9")&lt;1992,0)),INDIRECT("'"&amp;$D$44&amp;"'!GO_2024"),0)
+IF(AND(IFERROR(INDIRECT("'"&amp;$D$45&amp;"'!C9")&gt;1974,0),IFERROR(INDIRECT("'"&amp;$D$45&amp;"'!C9")&lt;1992,0)),INDIRECT("'"&amp;$D$45&amp;"'!GO_2024"),0)
+IF(AND(IFERROR(INDIRECT("'"&amp;$D$46&amp;"'!C9")&gt;1974,0),IFERROR(INDIRECT("'"&amp;$D$46&amp;"'!C9")&lt;1992,0)),INDIRECT("'"&amp;$D$46&amp;"'!GO_2024"),0)
+IF(AND(IFERROR(INDIRECT("'"&amp;$D$47&amp;"'!C9")&gt;1974,0),IFERROR(INDIRECT("'"&amp;$D$47&amp;"'!C9")&lt;1992,0)),INDIRECT("'"&amp;$D$47&amp;"'!GO_2024"),0)
+IF(AND(IFERROR(INDIRECT("'"&amp;$D$48&amp;"'!C9")&gt;1974,0),IFERROR(INDIRECT("'"&amp;$D$48&amp;"'!C9")&lt;1992,0)),INDIRECT("'"&amp;$D$48&amp;"'!GO_2024"),0)
+IF(AND(IFERROR(INDIRECT("'"&amp;$D$49&amp;"'!C9")&gt;1974,0),IFERROR(INDIRECT("'"&amp;$D$49&amp;"'!C9")&lt;1992,0)),INDIRECT("'"&amp;$D$49&amp;"'!GO_2024"),0)
+IF(AND(IFERROR(INDIRECT("'"&amp;$D$50&amp;"'!C9")&gt;1974,0),IFERROR(INDIRECT("'"&amp;$D$50&amp;"'!C9")&lt;1992,0)),INDIRECT("'"&amp;$D$50&amp;"'!GO_2024"),0)
+IF(AND(IFERROR(INDIRECT("'"&amp;$D$51&amp;"'!C9")&gt;1974,0),IFERROR(INDIRECT("'"&amp;$D$51&amp;"'!C9")&lt;1992,0)),INDIRECT("'"&amp;$D$51&amp;"'!GO_2024"),0)
+IF(AND(IFERROR(INDIRECT("'"&amp;$D$52&amp;"'!C9")&gt;1974,0),IFERROR(INDIRECT("'"&amp;$D$52&amp;"'!C9")&lt;1992,0)),INDIRECT("'"&amp;$D$52&amp;"'!GO_2024"),0)
+IF(AND(IFERROR(INDIRECT("'"&amp;$D$53&amp;"'!C9")&gt;1974,0),IFERROR(INDIRECT("'"&amp;$D$53&amp;"'!C9")&lt;1992,0)),INDIRECT("'"&amp;$D$53&amp;"'!GO_2024"),0)
+IF(AND(IFERROR(INDIRECT("'"&amp;$D$54&amp;"'!C9")&gt;1974,0),IFERROR(INDIRECT("'"&amp;$D$54&amp;"'!C9")&lt;1992,0)),INDIRECT("'"&amp;$D$54&amp;"'!GO_2024"),0)</f>
        <v>18560.559999999998</v>
      </c>
      <c r="O26" s="321">
        <f ca="1">IF(AND(IFERROR(INDIRECT("'"&amp;$D$5&amp;"'!C9")&gt;1974,0),IFERROR(INDIRECT("'"&amp;$D$5&amp;"'!C9")&lt;1992,0)),INDIRECT("'"&amp;$D$5&amp;"'!GO_2025"),0)
+IF(AND(IFERROR(INDIRECT("'"&amp;$D$6&amp;"'!C9")&gt;1974,0),IFERROR(INDIRECT("'"&amp;$D$6&amp;"'!C9")&lt;1992,0)),INDIRECT("'"&amp;$D$6&amp;"'!GO_2025"),0)
+IF(AND(IFERROR(INDIRECT("'"&amp;$D$7&amp;"'!C9")&gt;1974,0),IFERROR(INDIRECT("'"&amp;$D$7&amp;"'!C9")&lt;1992,0)),INDIRECT("'"&amp;$D$7&amp;"'!GO_2025"),0)
+IF(AND(IFERROR(INDIRECT("'"&amp;$D$8&amp;"'!C9")&gt;1974,0),IFERROR(INDIRECT("'"&amp;$D$8&amp;"'!C9")&lt;1992,0)),INDIRECT("'"&amp;$D$8&amp;"'!GO_2025"),0)
+IF(AND(IFERROR(INDIRECT("'"&amp;$D$9&amp;"'!C9")&gt;1974,0),IFERROR(INDIRECT("'"&amp;$D$9&amp;"'!C9")&lt;1992,0)),INDIRECT("'"&amp;$D$9&amp;"'!GO_2025"),0)
+IF(AND(IFERROR(INDIRECT("'"&amp;$D$10&amp;"'!C9")&gt;1974,0),IFERROR(INDIRECT("'"&amp;$D$10&amp;"'!C9")&lt;1992,0)),INDIRECT("'"&amp;$D$10&amp;"'!GO_2025"),0)
+IF(AND(IFERROR(INDIRECT("'"&amp;$D$11&amp;"'!C9")&gt;1974,0),IFERROR(INDIRECT("'"&amp;$D$11&amp;"'!C9")&lt;1992,0)),INDIRECT("'"&amp;$D$11&amp;"'!GO_2025"),0)
+IF(AND(IFERROR(INDIRECT("'"&amp;$D$12&amp;"'!C9")&gt;1974,0),IFERROR(INDIRECT("'"&amp;$D$12&amp;"'!C9")&lt;1992,0)),INDIRECT("'"&amp;$D$12&amp;"'!GO_2025"),0)
+IF(AND(IFERROR(INDIRECT("'"&amp;$D$13&amp;"'!C9")&gt;1974,0),IFERROR(INDIRECT("'"&amp;$D$13&amp;"'!C9")&lt;1992,0)),INDIRECT("'"&amp;$D$13&amp;"'!GO_2025"),0)
+IF(AND(IFERROR(INDIRECT("'"&amp;$D$14&amp;"'!C9")&gt;1974,0),IFERROR(INDIRECT("'"&amp;$D$14&amp;"'!C9")&lt;1992,0)),INDIRECT("'"&amp;$D$14&amp;"'!GO_2025"),0)
+IF(AND(IFERROR(INDIRECT("'"&amp;$D$15&amp;"'!C9")&gt;1974,0),IFERROR(INDIRECT("'"&amp;$D$15&amp;"'!C9")&lt;1992,0)),INDIRECT("'"&amp;$D$15&amp;"'!GO_2025"),0)
+IF(AND(IFERROR(INDIRECT("'"&amp;$D$16&amp;"'!C9")&gt;1974,0),IFERROR(INDIRECT("'"&amp;$D$16&amp;"'!C9")&lt;1992,0)),INDIRECT("'"&amp;$D$16&amp;"'!GO_2025"),0)
+IF(AND(IFERROR(INDIRECT("'"&amp;$D$17&amp;"'!C9")&gt;1974,0),IFERROR(INDIRECT("'"&amp;$D$17&amp;"'!C9")&lt;1992,0)),INDIRECT("'"&amp;$D$17&amp;"'!GO_2025"),0)
+IF(AND(IFERROR(INDIRECT("'"&amp;$D$18&amp;"'!C9")&gt;1974,0),IFERROR(INDIRECT("'"&amp;$D$18&amp;"'!C9")&lt;1992,0)),INDIRECT("'"&amp;$D$18&amp;"'!GO_2025"),0)
+IF(AND(IFERROR(INDIRECT("'"&amp;$D$19&amp;"'!C9")&gt;1974,0),IFERROR(INDIRECT("'"&amp;$D$19&amp;"'!C9")&lt;1992,0)),INDIRECT("'"&amp;$D$19&amp;"'!GO_2025"),0)
+IF(AND(IFERROR(INDIRECT("'"&amp;$D$20&amp;"'!C9")&gt;1974,0),IFERROR(INDIRECT("'"&amp;$D$20&amp;"'!C9")&lt;1992,0)),INDIRECT("'"&amp;$D$20&amp;"'!GO_2025"),0)
+IF(AND(IFERROR(INDIRECT("'"&amp;$D$21&amp;"'!C9")&gt;1974,0),IFERROR(INDIRECT("'"&amp;$D$21&amp;"'!C9")&lt;1992,0)),INDIRECT("'"&amp;$D$21&amp;"'!GO_2025"),0)
+IF(AND(IFERROR(INDIRECT("'"&amp;$D$22&amp;"'!C9")&gt;1974,0),IFERROR(INDIRECT("'"&amp;$D$22&amp;"'!C9")&lt;1992,0)),INDIRECT("'"&amp;$D$22&amp;"'!GO_2025"),0)
+IF(AND(IFERROR(INDIRECT("'"&amp;$D$23&amp;"'!C9")&gt;1974,0),IFERROR(INDIRECT("'"&amp;$D$23&amp;"'!C9")&lt;1992,0)),INDIRECT("'"&amp;$D$23&amp;"'!GO_2025"),0)
+IF(AND(IFERROR(INDIRECT("'"&amp;$D$24&amp;"'!C9")&gt;1974,0),IFERROR(INDIRECT("'"&amp;$D$24&amp;"'!C9")&lt;1992,0)),INDIRECT("'"&amp;$D$24&amp;"'!GO_2025"),0)
+IF(AND(IFERROR(INDIRECT("'"&amp;$D$25&amp;"'!C9")&gt;1974,0),IFERROR(INDIRECT("'"&amp;$D$25&amp;"'!C9")&lt;1992,0)),INDIRECT("'"&amp;$D$25&amp;"'!GO_2025"),0)
+IF(AND(IFERROR(INDIRECT("'"&amp;$D$26&amp;"'!C9")&gt;1974,0),IFERROR(INDIRECT("'"&amp;$D$26&amp;"'!C9")&lt;1992,0)),INDIRECT("'"&amp;$D$26&amp;"'!GO_2025"),0)
+IF(AND(IFERROR(INDIRECT("'"&amp;$D$27&amp;"'!C9")&gt;1974,0),IFERROR(INDIRECT("'"&amp;$D$27&amp;"'!C9")&lt;1992,0)),INDIRECT("'"&amp;$D$27&amp;"'!GO_2025"),0)
+IF(AND(IFERROR(INDIRECT("'"&amp;$D$28&amp;"'!C9")&gt;1974,0),IFERROR(INDIRECT("'"&amp;$D$28&amp;"'!C9")&lt;1992,0)),INDIRECT("'"&amp;$D$28&amp;"'!GO_2025"),0)
+IF(AND(IFERROR(INDIRECT("'"&amp;$D$29&amp;"'!C9")&gt;1974,0),IFERROR(INDIRECT("'"&amp;$D$29&amp;"'!C9")&lt;1992,0)),INDIRECT("'"&amp;$D$29&amp;"'!GO_2025"),0)
+IF(AND(IFERROR(INDIRECT("'"&amp;$D$30&amp;"'!C9")&gt;1974,0),IFERROR(INDIRECT("'"&amp;$D$30&amp;"'!C9")&lt;1992,0)),INDIRECT("'"&amp;$D$30&amp;"'!GO_2025"),0)
+IF(AND(IFERROR(INDIRECT("'"&amp;$D$31&amp;"'!C9")&gt;1974,0),IFERROR(INDIRECT("'"&amp;$D$31&amp;"'!C9")&lt;1992,0)),INDIRECT("'"&amp;$D$31&amp;"'!GO_2025"),0)
+IF(AND(IFERROR(INDIRECT("'"&amp;$D$32&amp;"'!C9")&gt;1974,0),IFERROR(INDIRECT("'"&amp;$D$32&amp;"'!C9")&lt;1992,0)),INDIRECT("'"&amp;$D$32&amp;"'!GO_2025"),0)
+IF(AND(IFERROR(INDIRECT("'"&amp;$D$33&amp;"'!C9")&gt;1974,0),IFERROR(INDIRECT("'"&amp;$D$33&amp;"'!C9")&lt;1992,0)),INDIRECT("'"&amp;$D$33&amp;"'!GO_2025"),0)
+IF(AND(IFERROR(INDIRECT("'"&amp;$D$34&amp;"'!C9")&gt;1974,0),IFERROR(INDIRECT("'"&amp;$D$34&amp;"'!C9")&lt;1992,0)),INDIRECT("'"&amp;$D$34&amp;"'!GO_2025"),0)
+IF(AND(IFERROR(INDIRECT("'"&amp;$D$35&amp;"'!C9")&gt;1974,0),IFERROR(INDIRECT("'"&amp;$D$35&amp;"'!C9")&lt;1992,0)),INDIRECT("'"&amp;$D$35&amp;"'!GO_2025"),0)
+IF(AND(IFERROR(INDIRECT("'"&amp;$D$36&amp;"'!C9")&gt;1974,0),IFERROR(INDIRECT("'"&amp;$D$36&amp;"'!C9")&lt;1992,0)),INDIRECT("'"&amp;$D$36&amp;"'!GO_2025"),0)
+IF(AND(IFERROR(INDIRECT("'"&amp;$D$37&amp;"'!C9")&gt;1974,0),IFERROR(INDIRECT("'"&amp;$D$37&amp;"'!C9")&lt;1992,0)),INDIRECT("'"&amp;$D$37&amp;"'!GO_2025"),0)
+IF(AND(IFERROR(INDIRECT("'"&amp;$D$38&amp;"'!C9")&gt;1974,0),IFERROR(INDIRECT("'"&amp;$D$38&amp;"'!C9")&lt;1992,0)),INDIRECT("'"&amp;$D$38&amp;"'!GO_2025"),0)
+IF(AND(IFERROR(INDIRECT("'"&amp;$D$39&amp;"'!C9")&gt;1974,0),IFERROR(INDIRECT("'"&amp;$D$39&amp;"'!C9")&lt;1992,0)),INDIRECT("'"&amp;$D$39&amp;"'!GO_2025"),0)
+IF(AND(IFERROR(INDIRECT("'"&amp;$D$40&amp;"'!C9")&gt;1974,0),IFERROR(INDIRECT("'"&amp;$D$40&amp;"'!C9")&lt;1992,0)),INDIRECT("'"&amp;$D$40&amp;"'!GO_2025"),0)
+IF(AND(IFERROR(INDIRECT("'"&amp;$D$41&amp;"'!C9")&gt;1974,0),IFERROR(INDIRECT("'"&amp;$D$41&amp;"'!C9")&lt;1992,0)),INDIRECT("'"&amp;$D$41&amp;"'!GO_2025"),0)
+IF(AND(IFERROR(INDIRECT("'"&amp;$D$42&amp;"'!C9")&gt;1974,0),IFERROR(INDIRECT("'"&amp;$D$42&amp;"'!C9")&lt;1992,0)),INDIRECT("'"&amp;$D$42&amp;"'!GO_2025"),0)
+IF(AND(IFERROR(INDIRECT("'"&amp;$D$43&amp;"'!C9")&gt;1974,0),IFERROR(INDIRECT("'"&amp;$D$43&amp;"'!C9")&lt;1992,0)),INDIRECT("'"&amp;$D$43&amp;"'!GO_2025"),0)
+IF(AND(IFERROR(INDIRECT("'"&amp;$D$44&amp;"'!C9")&gt;1974,0),IFERROR(INDIRECT("'"&amp;$D$44&amp;"'!C9")&lt;1992,0)),INDIRECT("'"&amp;$D$44&amp;"'!GO_2025"),0)
+IF(AND(IFERROR(INDIRECT("'"&amp;$D$45&amp;"'!C9")&gt;1974,0),IFERROR(INDIRECT("'"&amp;$D$45&amp;"'!C9")&lt;1992,0)),INDIRECT("'"&amp;$D$45&amp;"'!GO_2025"),0)
+IF(AND(IFERROR(INDIRECT("'"&amp;$D$46&amp;"'!C9")&gt;1974,0),IFERROR(INDIRECT("'"&amp;$D$46&amp;"'!C9")&lt;1992,0)),INDIRECT("'"&amp;$D$46&amp;"'!GO_2025"),0)
+IF(AND(IFERROR(INDIRECT("'"&amp;$D$47&amp;"'!C9")&gt;1974,0),IFERROR(INDIRECT("'"&amp;$D$47&amp;"'!C9")&lt;1992,0)),INDIRECT("'"&amp;$D$47&amp;"'!GO_2025"),0)
+IF(AND(IFERROR(INDIRECT("'"&amp;$D$48&amp;"'!C9")&gt;1974,0),IFERROR(INDIRECT("'"&amp;$D$48&amp;"'!C9")&lt;1992,0)),INDIRECT("'"&amp;$D$48&amp;"'!GO_2025"),0)
+IF(AND(IFERROR(INDIRECT("'"&amp;$D$49&amp;"'!C9")&gt;1974,0),IFERROR(INDIRECT("'"&amp;$D$49&amp;"'!C9")&lt;1992,0)),INDIRECT("'"&amp;$D$49&amp;"'!GO_2025"),0)
+IF(AND(IFERROR(INDIRECT("'"&amp;$D$50&amp;"'!C9")&gt;1974,0),IFERROR(INDIRECT("'"&amp;$D$50&amp;"'!C9")&lt;1992,0)),INDIRECT("'"&amp;$D$50&amp;"'!GO_2025"),0)
+IF(AND(IFERROR(INDIRECT("'"&amp;$D$51&amp;"'!C9")&gt;1974,0),IFERROR(INDIRECT("'"&amp;$D$51&amp;"'!C9")&lt;1992,0)),INDIRECT("'"&amp;$D$51&amp;"'!GO_2025"),0)
+IF(AND(IFERROR(INDIRECT("'"&amp;$D$52&amp;"'!C9")&gt;1974,0),IFERROR(INDIRECT("'"&amp;$D$52&amp;"'!C9")&lt;1992,0)),INDIRECT("'"&amp;$D$52&amp;"'!GO_2025"),0)
+IF(AND(IFERROR(INDIRECT("'"&amp;$D$53&amp;"'!C9")&gt;1974,0),IFERROR(INDIRECT("'"&amp;$D$53&amp;"'!C9")&lt;1992,0)),INDIRECT("'"&amp;$D$53&amp;"'!GO_2025"),0)
+IF(AND(IFERROR(INDIRECT("'"&amp;$D$54&amp;"'!C9")&gt;1974,0),IFERROR(INDIRECT("'"&amp;$D$54&amp;"'!C9")&lt;1992,0)),INDIRECT("'"&amp;$D$54&amp;"'!GO_2025"),0)</f>
        <v>18560.559999999998</v>
      </c>
      <c r="P26" s="321">
        <f ca="1">IF(AND(IFERROR(INDIRECT("'"&amp;$D$5&amp;"'!C9")&gt;1974,0),IFERROR(INDIRECT("'"&amp;$D$5&amp;"'!C9")&lt;1992,0)),INDIRECT("'"&amp;$D$5&amp;"'!GO_2026"),0)
+IF(AND(IFERROR(INDIRECT("'"&amp;$D$6&amp;"'!C9")&gt;1974,0),IFERROR(INDIRECT("'"&amp;$D$6&amp;"'!C9")&lt;1992,0)),INDIRECT("'"&amp;$D$6&amp;"'!GO_2026"),0)
+IF(AND(IFERROR(INDIRECT("'"&amp;$D$7&amp;"'!C9")&gt;1974,0),IFERROR(INDIRECT("'"&amp;$D$7&amp;"'!C9")&lt;1992,0)),INDIRECT("'"&amp;$D$7&amp;"'!GO_2026"),0)
+IF(AND(IFERROR(INDIRECT("'"&amp;$D$8&amp;"'!C9")&gt;1974,0),IFERROR(INDIRECT("'"&amp;$D$8&amp;"'!C9")&lt;1992,0)),INDIRECT("'"&amp;$D$8&amp;"'!GO_2026"),0)
+IF(AND(IFERROR(INDIRECT("'"&amp;$D$9&amp;"'!C9")&gt;1974,0),IFERROR(INDIRECT("'"&amp;$D$9&amp;"'!C9")&lt;1992,0)),INDIRECT("'"&amp;$D$9&amp;"'!GO_2026"),0)
+IF(AND(IFERROR(INDIRECT("'"&amp;$D$10&amp;"'!C9")&gt;1974,0),IFERROR(INDIRECT("'"&amp;$D$10&amp;"'!C9")&lt;1992,0)),INDIRECT("'"&amp;$D$10&amp;"'!GO_2026"),0)
+IF(AND(IFERROR(INDIRECT("'"&amp;$D$11&amp;"'!C9")&gt;1974,0),IFERROR(INDIRECT("'"&amp;$D$11&amp;"'!C9")&lt;1992,0)),INDIRECT("'"&amp;$D$11&amp;"'!GO_2026"),0)
+IF(AND(IFERROR(INDIRECT("'"&amp;$D$12&amp;"'!C9")&gt;1974,0),IFERROR(INDIRECT("'"&amp;$D$12&amp;"'!C9")&lt;1992,0)),INDIRECT("'"&amp;$D$12&amp;"'!GO_2026"),0)
+IF(AND(IFERROR(INDIRECT("'"&amp;$D$13&amp;"'!C9")&gt;1974,0),IFERROR(INDIRECT("'"&amp;$D$13&amp;"'!C9")&lt;1992,0)),INDIRECT("'"&amp;$D$13&amp;"'!GO_2026"),0)
+IF(AND(IFERROR(INDIRECT("'"&amp;$D$14&amp;"'!C9")&gt;1974,0),IFERROR(INDIRECT("'"&amp;$D$14&amp;"'!C9")&lt;1992,0)),INDIRECT("'"&amp;$D$14&amp;"'!GO_2026"),0)
+IF(AND(IFERROR(INDIRECT("'"&amp;$D$15&amp;"'!C9")&gt;1974,0),IFERROR(INDIRECT("'"&amp;$D$15&amp;"'!C9")&lt;1992,0)),INDIRECT("'"&amp;$D$15&amp;"'!GO_2026"),0)
+IF(AND(IFERROR(INDIRECT("'"&amp;$D$16&amp;"'!C9")&gt;1974,0),IFERROR(INDIRECT("'"&amp;$D$16&amp;"'!C9")&lt;1992,0)),INDIRECT("'"&amp;$D$16&amp;"'!GO_2026"),0)
+IF(AND(IFERROR(INDIRECT("'"&amp;$D$17&amp;"'!C9")&gt;1974,0),IFERROR(INDIRECT("'"&amp;$D$17&amp;"'!C9")&lt;1992,0)),INDIRECT("'"&amp;$D$17&amp;"'!GO_2026"),0)
+IF(AND(IFERROR(INDIRECT("'"&amp;$D$18&amp;"'!C9")&gt;1974,0),IFERROR(INDIRECT("'"&amp;$D$18&amp;"'!C9")&lt;1992,0)),INDIRECT("'"&amp;$D$18&amp;"'!GO_2026"),0)
+IF(AND(IFERROR(INDIRECT("'"&amp;$D$19&amp;"'!C9")&gt;1974,0),IFERROR(INDIRECT("'"&amp;$D$19&amp;"'!C9")&lt;1992,0)),INDIRECT("'"&amp;$D$19&amp;"'!GO_2026"),0)
+IF(AND(IFERROR(INDIRECT("'"&amp;$D$20&amp;"'!C9")&gt;1974,0),IFERROR(INDIRECT("'"&amp;$D$20&amp;"'!C9")&lt;1992,0)),INDIRECT("'"&amp;$D$20&amp;"'!GO_2026"),0)
+IF(AND(IFERROR(INDIRECT("'"&amp;$D$21&amp;"'!C9")&gt;1974,0),IFERROR(INDIRECT("'"&amp;$D$21&amp;"'!C9")&lt;1992,0)),INDIRECT("'"&amp;$D$21&amp;"'!GO_2026"),0)
+IF(AND(IFERROR(INDIRECT("'"&amp;$D$22&amp;"'!C9")&gt;1974,0),IFERROR(INDIRECT("'"&amp;$D$22&amp;"'!C9")&lt;1992,0)),INDIRECT("'"&amp;$D$22&amp;"'!GO_2026"),0)
+IF(AND(IFERROR(INDIRECT("'"&amp;$D$23&amp;"'!C9")&gt;1974,0),IFERROR(INDIRECT("'"&amp;$D$23&amp;"'!C9")&lt;1992,0)),INDIRECT("'"&amp;$D$23&amp;"'!GO_2026"),0)
+IF(AND(IFERROR(INDIRECT("'"&amp;$D$24&amp;"'!C9")&gt;1974,0),IFERROR(INDIRECT("'"&amp;$D$24&amp;"'!C9")&lt;1992,0)),INDIRECT("'"&amp;$D$24&amp;"'!GO_2026"),0)
+IF(AND(IFERROR(INDIRECT("'"&amp;$D$25&amp;"'!C9")&gt;1974,0),IFERROR(INDIRECT("'"&amp;$D$25&amp;"'!C9")&lt;1992,0)),INDIRECT("'"&amp;$D$25&amp;"'!GO_2026"),0)
+IF(AND(IFERROR(INDIRECT("'"&amp;$D$26&amp;"'!C9")&gt;1974,0),IFERROR(INDIRECT("'"&amp;$D$26&amp;"'!C9")&lt;1992,0)),INDIRECT("'"&amp;$D$26&amp;"'!GO_2026"),0)
+IF(AND(IFERROR(INDIRECT("'"&amp;$D$27&amp;"'!C9")&gt;1974,0),IFERROR(INDIRECT("'"&amp;$D$27&amp;"'!C9")&lt;1992,0)),INDIRECT("'"&amp;$D$27&amp;"'!GO_2026"),0)
+IF(AND(IFERROR(INDIRECT("'"&amp;$D$28&amp;"'!C9")&gt;1974,0),IFERROR(INDIRECT("'"&amp;$D$28&amp;"'!C9")&lt;1992,0)),INDIRECT("'"&amp;$D$28&amp;"'!GO_2026"),0)
+IF(AND(IFERROR(INDIRECT("'"&amp;$D$29&amp;"'!C9")&gt;1974,0),IFERROR(INDIRECT("'"&amp;$D$29&amp;"'!C9")&lt;1992,0)),INDIRECT("'"&amp;$D$29&amp;"'!GO_2026"),0)
+IF(AND(IFERROR(INDIRECT("'"&amp;$D$30&amp;"'!C9")&gt;1974,0),IFERROR(INDIRECT("'"&amp;$D$30&amp;"'!C9")&lt;1992,0)),INDIRECT("'"&amp;$D$30&amp;"'!GO_2026"),0)
+IF(AND(IFERROR(INDIRECT("'"&amp;$D$31&amp;"'!C9")&gt;1974,0),IFERROR(INDIRECT("'"&amp;$D$31&amp;"'!C9")&lt;1992,0)),INDIRECT("'"&amp;$D$31&amp;"'!GO_2026"),0)
+IF(AND(IFERROR(INDIRECT("'"&amp;$D$32&amp;"'!C9")&gt;1974,0),IFERROR(INDIRECT("'"&amp;$D$32&amp;"'!C9")&lt;1992,0)),INDIRECT("'"&amp;$D$32&amp;"'!GO_2026"),0)
+IF(AND(IFERROR(INDIRECT("'"&amp;$D$33&amp;"'!C9")&gt;1974,0),IFERROR(INDIRECT("'"&amp;$D$33&amp;"'!C9")&lt;1992,0)),INDIRECT("'"&amp;$D$33&amp;"'!GO_2026"),0)
+IF(AND(IFERROR(INDIRECT("'"&amp;$D$34&amp;"'!C9")&gt;1974,0),IFERROR(INDIRECT("'"&amp;$D$34&amp;"'!C9")&lt;1992,0)),INDIRECT("'"&amp;$D$34&amp;"'!GO_2026"),0)
+IF(AND(IFERROR(INDIRECT("'"&amp;$D$35&amp;"'!C9")&gt;1974,0),IFERROR(INDIRECT("'"&amp;$D$35&amp;"'!C9")&lt;1992,0)),INDIRECT("'"&amp;$D$35&amp;"'!GO_2026"),0)
+IF(AND(IFERROR(INDIRECT("'"&amp;$D$36&amp;"'!C9")&gt;1974,0),IFERROR(INDIRECT("'"&amp;$D$36&amp;"'!C9")&lt;1992,0)),INDIRECT("'"&amp;$D$36&amp;"'!GO_2026"),0)
+IF(AND(IFERROR(INDIRECT("'"&amp;$D$37&amp;"'!C9")&gt;1974,0),IFERROR(INDIRECT("'"&amp;$D$37&amp;"'!C9")&lt;1992,0)),INDIRECT("'"&amp;$D$37&amp;"'!GO_2026"),0)
+IF(AND(IFERROR(INDIRECT("'"&amp;$D$38&amp;"'!C9")&gt;1974,0),IFERROR(INDIRECT("'"&amp;$D$38&amp;"'!C9")&lt;1992,0)),INDIRECT("'"&amp;$D$38&amp;"'!GO_2026"),0)
+IF(AND(IFERROR(INDIRECT("'"&amp;$D$39&amp;"'!C9")&gt;1974,0),IFERROR(INDIRECT("'"&amp;$D$39&amp;"'!C9")&lt;1992,0)),INDIRECT("'"&amp;$D$39&amp;"'!GO_2026"),0)
+IF(AND(IFERROR(INDIRECT("'"&amp;$D$40&amp;"'!C9")&gt;1974,0),IFERROR(INDIRECT("'"&amp;$D$40&amp;"'!C9")&lt;1992,0)),INDIRECT("'"&amp;$D$40&amp;"'!GO_2026"),0)
+IF(AND(IFERROR(INDIRECT("'"&amp;$D$41&amp;"'!C9")&gt;1974,0),IFERROR(INDIRECT("'"&amp;$D$41&amp;"'!C9")&lt;1992,0)),INDIRECT("'"&amp;$D$41&amp;"'!GO_2026"),0)
+IF(AND(IFERROR(INDIRECT("'"&amp;$D$42&amp;"'!C9")&gt;1974,0),IFERROR(INDIRECT("'"&amp;$D$42&amp;"'!C9")&lt;1992,0)),INDIRECT("'"&amp;$D$42&amp;"'!GO_2026"),0)
+IF(AND(IFERROR(INDIRECT("'"&amp;$D$43&amp;"'!C9")&gt;1974,0),IFERROR(INDIRECT("'"&amp;$D$43&amp;"'!C9")&lt;1992,0)),INDIRECT("'"&amp;$D$43&amp;"'!GO_2026"),0)
+IF(AND(IFERROR(INDIRECT("'"&amp;$D$44&amp;"'!C9")&gt;1974,0),IFERROR(INDIRECT("'"&amp;$D$44&amp;"'!C9")&lt;1992,0)),INDIRECT("'"&amp;$D$44&amp;"'!GO_2026"),0)
+IF(AND(IFERROR(INDIRECT("'"&amp;$D$45&amp;"'!C9")&gt;1974,0),IFERROR(INDIRECT("'"&amp;$D$45&amp;"'!C9")&lt;1992,0)),INDIRECT("'"&amp;$D$45&amp;"'!GO_2026"),0)
+IF(AND(IFERROR(INDIRECT("'"&amp;$D$46&amp;"'!C9")&gt;1974,0),IFERROR(INDIRECT("'"&amp;$D$46&amp;"'!C9")&lt;1992,0)),INDIRECT("'"&amp;$D$46&amp;"'!GO_2026"),0)
+IF(AND(IFERROR(INDIRECT("'"&amp;$D$47&amp;"'!C9")&gt;1974,0),IFERROR(INDIRECT("'"&amp;$D$47&amp;"'!C9")&lt;1992,0)),INDIRECT("'"&amp;$D$47&amp;"'!GO_2026"),0)
+IF(AND(IFERROR(INDIRECT("'"&amp;$D$48&amp;"'!C9")&gt;1974,0),IFERROR(INDIRECT("'"&amp;$D$48&amp;"'!C9")&lt;1992,0)),INDIRECT("'"&amp;$D$48&amp;"'!GO_2026"),0)
+IF(AND(IFERROR(INDIRECT("'"&amp;$D$49&amp;"'!C9")&gt;1974,0),IFERROR(INDIRECT("'"&amp;$D$49&amp;"'!C9")&lt;1992,0)),INDIRECT("'"&amp;$D$49&amp;"'!GO_2026"),0)
+IF(AND(IFERROR(INDIRECT("'"&amp;$D$50&amp;"'!C9")&gt;1974,0),IFERROR(INDIRECT("'"&amp;$D$50&amp;"'!C9")&lt;1992,0)),INDIRECT("'"&amp;$D$50&amp;"'!GO_2026"),0)
+IF(AND(IFERROR(INDIRECT("'"&amp;$D$51&amp;"'!C9")&gt;1974,0),IFERROR(INDIRECT("'"&amp;$D$51&amp;"'!C9")&lt;1992,0)),INDIRECT("'"&amp;$D$51&amp;"'!GO_2026"),0)
+IF(AND(IFERROR(INDIRECT("'"&amp;$D$52&amp;"'!C9")&gt;1974,0),IFERROR(INDIRECT("'"&amp;$D$52&amp;"'!C9")&lt;1992,0)),INDIRECT("'"&amp;$D$52&amp;"'!GO_2026"),0)
+IF(AND(IFERROR(INDIRECT("'"&amp;$D$53&amp;"'!C9")&gt;1974,0),IFERROR(INDIRECT("'"&amp;$D$53&amp;"'!C9")&lt;1992,0)),INDIRECT("'"&amp;$D$53&amp;"'!GO_2026"),0)
+IF(AND(IFERROR(INDIRECT("'"&amp;$D$54&amp;"'!C9")&gt;1974,0),IFERROR(INDIRECT("'"&amp;$D$54&amp;"'!C9")&lt;1992,0)),INDIRECT("'"&amp;$D$54&amp;"'!GO_2026"),0)</f>
        <v>18560.559999999998</v>
      </c>
      <c r="Q26" s="321">
        <f ca="1">IF(AND(IFERROR(INDIRECT("'"&amp;$D$5&amp;"'!C9")&gt;1974,0),IFERROR(INDIRECT("'"&amp;$D$5&amp;"'!C9")&lt;1992,0)),INDIRECT("'"&amp;$D$5&amp;"'!GO_2027"),0)
+IF(AND(IFERROR(INDIRECT("'"&amp;$D$6&amp;"'!C9")&gt;1974,0),IFERROR(INDIRECT("'"&amp;$D$6&amp;"'!C9")&lt;1992,0)),INDIRECT("'"&amp;$D$6&amp;"'!GO_2027"),0)
+IF(AND(IFERROR(INDIRECT("'"&amp;$D$7&amp;"'!C9")&gt;1974,0),IFERROR(INDIRECT("'"&amp;$D$7&amp;"'!C9")&lt;1992,0)),INDIRECT("'"&amp;$D$7&amp;"'!GO_2027"),0)
+IF(AND(IFERROR(INDIRECT("'"&amp;$D$8&amp;"'!C9")&gt;1974,0),IFERROR(INDIRECT("'"&amp;$D$8&amp;"'!C9")&lt;1992,0)),INDIRECT("'"&amp;$D$8&amp;"'!GO_2027"),0)
+IF(AND(IFERROR(INDIRECT("'"&amp;$D$9&amp;"'!C9")&gt;1974,0),IFERROR(INDIRECT("'"&amp;$D$9&amp;"'!C9")&lt;1992,0)),INDIRECT("'"&amp;$D$9&amp;"'!GO_2027"),0)
+IF(AND(IFERROR(INDIRECT("'"&amp;$D$10&amp;"'!C9")&gt;1974,0),IFERROR(INDIRECT("'"&amp;$D$10&amp;"'!C9")&lt;1992,0)),INDIRECT("'"&amp;$D$10&amp;"'!GO_2027"),0)
+IF(AND(IFERROR(INDIRECT("'"&amp;$D$11&amp;"'!C9")&gt;1974,0),IFERROR(INDIRECT("'"&amp;$D$11&amp;"'!C9")&lt;1992,0)),INDIRECT("'"&amp;$D$11&amp;"'!GO_2027"),0)
+IF(AND(IFERROR(INDIRECT("'"&amp;$D$12&amp;"'!C9")&gt;1974,0),IFERROR(INDIRECT("'"&amp;$D$12&amp;"'!C9")&lt;1992,0)),INDIRECT("'"&amp;$D$12&amp;"'!GO_2027"),0)
+IF(AND(IFERROR(INDIRECT("'"&amp;$D$13&amp;"'!C9")&gt;1974,0),IFERROR(INDIRECT("'"&amp;$D$13&amp;"'!C9")&lt;1992,0)),INDIRECT("'"&amp;$D$13&amp;"'!GO_2027"),0)
+IF(AND(IFERROR(INDIRECT("'"&amp;$D$14&amp;"'!C9")&gt;1974,0),IFERROR(INDIRECT("'"&amp;$D$14&amp;"'!C9")&lt;1992,0)),INDIRECT("'"&amp;$D$14&amp;"'!GO_2027"),0)
+IF(AND(IFERROR(INDIRECT("'"&amp;$D$15&amp;"'!C9")&gt;1974,0),IFERROR(INDIRECT("'"&amp;$D$15&amp;"'!C9")&lt;1992,0)),INDIRECT("'"&amp;$D$15&amp;"'!GO_2027"),0)
+IF(AND(IFERROR(INDIRECT("'"&amp;$D$16&amp;"'!C9")&gt;1974,0),IFERROR(INDIRECT("'"&amp;$D$16&amp;"'!C9")&lt;1992,0)),INDIRECT("'"&amp;$D$16&amp;"'!GO_2027"),0)
+IF(AND(IFERROR(INDIRECT("'"&amp;$D$17&amp;"'!C9")&gt;1974,0),IFERROR(INDIRECT("'"&amp;$D$17&amp;"'!C9")&lt;1992,0)),INDIRECT("'"&amp;$D$17&amp;"'!GO_2027"),0)
+IF(AND(IFERROR(INDIRECT("'"&amp;$D$18&amp;"'!C9")&gt;1974,0),IFERROR(INDIRECT("'"&amp;$D$18&amp;"'!C9")&lt;1992,0)),INDIRECT("'"&amp;$D$18&amp;"'!GO_2027"),0)
+IF(AND(IFERROR(INDIRECT("'"&amp;$D$19&amp;"'!C9")&gt;1974,0),IFERROR(INDIRECT("'"&amp;$D$19&amp;"'!C9")&lt;1992,0)),INDIRECT("'"&amp;$D$19&amp;"'!GO_2027"),0)
+IF(AND(IFERROR(INDIRECT("'"&amp;$D$20&amp;"'!C9")&gt;1974,0),IFERROR(INDIRECT("'"&amp;$D$20&amp;"'!C9")&lt;1992,0)),INDIRECT("'"&amp;$D$20&amp;"'!GO_2027"),0)
+IF(AND(IFERROR(INDIRECT("'"&amp;$D$21&amp;"'!C9")&gt;1974,0),IFERROR(INDIRECT("'"&amp;$D$21&amp;"'!C9")&lt;1992,0)),INDIRECT("'"&amp;$D$21&amp;"'!GO_2027"),0)
+IF(AND(IFERROR(INDIRECT("'"&amp;$D$22&amp;"'!C9")&gt;1974,0),IFERROR(INDIRECT("'"&amp;$D$22&amp;"'!C9")&lt;1992,0)),INDIRECT("'"&amp;$D$22&amp;"'!GO_2027"),0)
+IF(AND(IFERROR(INDIRECT("'"&amp;$D$23&amp;"'!C9")&gt;1974,0),IFERROR(INDIRECT("'"&amp;$D$23&amp;"'!C9")&lt;1992,0)),INDIRECT("'"&amp;$D$23&amp;"'!GO_2027"),0)
+IF(AND(IFERROR(INDIRECT("'"&amp;$D$24&amp;"'!C9")&gt;1974,0),IFERROR(INDIRECT("'"&amp;$D$24&amp;"'!C9")&lt;1992,0)),INDIRECT("'"&amp;$D$24&amp;"'!GO_2027"),0)
+IF(AND(IFERROR(INDIRECT("'"&amp;$D$25&amp;"'!C9")&gt;1974,0),IFERROR(INDIRECT("'"&amp;$D$25&amp;"'!C9")&lt;1992,0)),INDIRECT("'"&amp;$D$25&amp;"'!GO_2027"),0)
+IF(AND(IFERROR(INDIRECT("'"&amp;$D$26&amp;"'!C9")&gt;1974,0),IFERROR(INDIRECT("'"&amp;$D$26&amp;"'!C9")&lt;1992,0)),INDIRECT("'"&amp;$D$26&amp;"'!GO_2027"),0)
+IF(AND(IFERROR(INDIRECT("'"&amp;$D$27&amp;"'!C9")&gt;1974,0),IFERROR(INDIRECT("'"&amp;$D$27&amp;"'!C9")&lt;1992,0)),INDIRECT("'"&amp;$D$27&amp;"'!GO_2027"),0)
+IF(AND(IFERROR(INDIRECT("'"&amp;$D$28&amp;"'!C9")&gt;1974,0),IFERROR(INDIRECT("'"&amp;$D$28&amp;"'!C9")&lt;1992,0)),INDIRECT("'"&amp;$D$28&amp;"'!GO_2027"),0)
+IF(AND(IFERROR(INDIRECT("'"&amp;$D$29&amp;"'!C9")&gt;1974,0),IFERROR(INDIRECT("'"&amp;$D$29&amp;"'!C9")&lt;1992,0)),INDIRECT("'"&amp;$D$29&amp;"'!GO_2027"),0)
+IF(AND(IFERROR(INDIRECT("'"&amp;$D$30&amp;"'!C9")&gt;1974,0),IFERROR(INDIRECT("'"&amp;$D$30&amp;"'!C9")&lt;1992,0)),INDIRECT("'"&amp;$D$30&amp;"'!GO_2027"),0)
+IF(AND(IFERROR(INDIRECT("'"&amp;$D$31&amp;"'!C9")&gt;1974,0),IFERROR(INDIRECT("'"&amp;$D$31&amp;"'!C9")&lt;1992,0)),INDIRECT("'"&amp;$D$31&amp;"'!GO_2027"),0)
+IF(AND(IFERROR(INDIRECT("'"&amp;$D$32&amp;"'!C9")&gt;1974,0),IFERROR(INDIRECT("'"&amp;$D$32&amp;"'!C9")&lt;1992,0)),INDIRECT("'"&amp;$D$32&amp;"'!GO_2027"),0)
+IF(AND(IFERROR(INDIRECT("'"&amp;$D$33&amp;"'!C9")&gt;1974,0),IFERROR(INDIRECT("'"&amp;$D$33&amp;"'!C9")&lt;1992,0)),INDIRECT("'"&amp;$D$33&amp;"'!GO_2027"),0)
+IF(AND(IFERROR(INDIRECT("'"&amp;$D$34&amp;"'!C9")&gt;1974,0),IFERROR(INDIRECT("'"&amp;$D$34&amp;"'!C9")&lt;1992,0)),INDIRECT("'"&amp;$D$34&amp;"'!GO_2027"),0)
+IF(AND(IFERROR(INDIRECT("'"&amp;$D$35&amp;"'!C9")&gt;1974,0),IFERROR(INDIRECT("'"&amp;$D$35&amp;"'!C9")&lt;1992,0)),INDIRECT("'"&amp;$D$35&amp;"'!GO_2027"),0)
+IF(AND(IFERROR(INDIRECT("'"&amp;$D$36&amp;"'!C9")&gt;1974,0),IFERROR(INDIRECT("'"&amp;$D$36&amp;"'!C9")&lt;1992,0)),INDIRECT("'"&amp;$D$36&amp;"'!GO_2027"),0)
+IF(AND(IFERROR(INDIRECT("'"&amp;$D$37&amp;"'!C9")&gt;1974,0),IFERROR(INDIRECT("'"&amp;$D$37&amp;"'!C9")&lt;1992,0)),INDIRECT("'"&amp;$D$37&amp;"'!GO_2027"),0)
+IF(AND(IFERROR(INDIRECT("'"&amp;$D$38&amp;"'!C9")&gt;1974,0),IFERROR(INDIRECT("'"&amp;$D$38&amp;"'!C9")&lt;1992,0)),INDIRECT("'"&amp;$D$38&amp;"'!GO_2027"),0)
+IF(AND(IFERROR(INDIRECT("'"&amp;$D$39&amp;"'!C9")&gt;1974,0),IFERROR(INDIRECT("'"&amp;$D$39&amp;"'!C9")&lt;1992,0)),INDIRECT("'"&amp;$D$39&amp;"'!GO_2027"),0)
+IF(AND(IFERROR(INDIRECT("'"&amp;$D$40&amp;"'!C9")&gt;1974,0),IFERROR(INDIRECT("'"&amp;$D$40&amp;"'!C9")&lt;1992,0)),INDIRECT("'"&amp;$D$40&amp;"'!GO_2027"),0)
+IF(AND(IFERROR(INDIRECT("'"&amp;$D$41&amp;"'!C9")&gt;1974,0),IFERROR(INDIRECT("'"&amp;$D$41&amp;"'!C9")&lt;1992,0)),INDIRECT("'"&amp;$D$41&amp;"'!GO_2027"),0)
+IF(AND(IFERROR(INDIRECT("'"&amp;$D$42&amp;"'!C9")&gt;1974,0),IFERROR(INDIRECT("'"&amp;$D$42&amp;"'!C9")&lt;1992,0)),INDIRECT("'"&amp;$D$42&amp;"'!GO_2027"),0)
+IF(AND(IFERROR(INDIRECT("'"&amp;$D$43&amp;"'!C9")&gt;1974,0),IFERROR(INDIRECT("'"&amp;$D$43&amp;"'!C9")&lt;1992,0)),INDIRECT("'"&amp;$D$43&amp;"'!GO_2027"),0)
+IF(AND(IFERROR(INDIRECT("'"&amp;$D$44&amp;"'!C9")&gt;1974,0),IFERROR(INDIRECT("'"&amp;$D$44&amp;"'!C9")&lt;1992,0)),INDIRECT("'"&amp;$D$44&amp;"'!GO_2027"),0)
+IF(AND(IFERROR(INDIRECT("'"&amp;$D$45&amp;"'!C9")&gt;1974,0),IFERROR(INDIRECT("'"&amp;$D$45&amp;"'!C9")&lt;1992,0)),INDIRECT("'"&amp;$D$45&amp;"'!GO_2027"),0)
+IF(AND(IFERROR(INDIRECT("'"&amp;$D$46&amp;"'!C9")&gt;1974,0),IFERROR(INDIRECT("'"&amp;$D$46&amp;"'!C9")&lt;1992,0)),INDIRECT("'"&amp;$D$46&amp;"'!GO_2027"),0)
+IF(AND(IFERROR(INDIRECT("'"&amp;$D$47&amp;"'!C9")&gt;1974,0),IFERROR(INDIRECT("'"&amp;$D$47&amp;"'!C9")&lt;1992,0)),INDIRECT("'"&amp;$D$47&amp;"'!GO_2027"),0)
+IF(AND(IFERROR(INDIRECT("'"&amp;$D$48&amp;"'!C9")&gt;1974,0),IFERROR(INDIRECT("'"&amp;$D$48&amp;"'!C9")&lt;1992,0)),INDIRECT("'"&amp;$D$48&amp;"'!GO_2027"),0)
+IF(AND(IFERROR(INDIRECT("'"&amp;$D$49&amp;"'!C9")&gt;1974,0),IFERROR(INDIRECT("'"&amp;$D$49&amp;"'!C9")&lt;1992,0)),INDIRECT("'"&amp;$D$49&amp;"'!GO_2027"),0)
+IF(AND(IFERROR(INDIRECT("'"&amp;$D$50&amp;"'!C9")&gt;1974,0),IFERROR(INDIRECT("'"&amp;$D$50&amp;"'!C9")&lt;1992,0)),INDIRECT("'"&amp;$D$50&amp;"'!GO_2027"),0)
+IF(AND(IFERROR(INDIRECT("'"&amp;$D$51&amp;"'!C9")&gt;1974,0),IFERROR(INDIRECT("'"&amp;$D$51&amp;"'!C9")&lt;1992,0)),INDIRECT("'"&amp;$D$51&amp;"'!GO_2027"),0)
+IF(AND(IFERROR(INDIRECT("'"&amp;$D$52&amp;"'!C9")&gt;1974,0),IFERROR(INDIRECT("'"&amp;$D$52&amp;"'!C9")&lt;1992,0)),INDIRECT("'"&amp;$D$52&amp;"'!GO_2027"),0)
+IF(AND(IFERROR(INDIRECT("'"&amp;$D$53&amp;"'!C9")&gt;1974,0),IFERROR(INDIRECT("'"&amp;$D$53&amp;"'!C9")&lt;1992,0)),INDIRECT("'"&amp;$D$53&amp;"'!GO_2027"),0)
+IF(AND(IFERROR(INDIRECT("'"&amp;$D$54&amp;"'!C9")&gt;1974,0),IFERROR(INDIRECT("'"&amp;$D$54&amp;"'!C9")&lt;1992,0)),INDIRECT("'"&amp;$D$54&amp;"'!GO_2027"),0)</f>
        <v>8122</v>
      </c>
      <c r="R26" s="321">
        <f ca="1">IF(AND(IFERROR(INDIRECT("'"&amp;$D$5&amp;"'!C9")&gt;1974,0),IFERROR(INDIRECT("'"&amp;$D$5&amp;"'!C9")&lt;1992,0)),INDIRECT("'"&amp;$D$5&amp;"'!GO_2028"),0)
+IF(AND(IFERROR(INDIRECT("'"&amp;$D$6&amp;"'!C9")&gt;1974,0),IFERROR(INDIRECT("'"&amp;$D$6&amp;"'!C9")&lt;1992,0)),INDIRECT("'"&amp;$D$6&amp;"'!GO_2028"),0)
+IF(AND(IFERROR(INDIRECT("'"&amp;$D$7&amp;"'!C9")&gt;1974,0),IFERROR(INDIRECT("'"&amp;$D$7&amp;"'!C9")&lt;1992,0)),INDIRECT("'"&amp;$D$7&amp;"'!GO_2028"),0)
+IF(AND(IFERROR(INDIRECT("'"&amp;$D$8&amp;"'!C9")&gt;1974,0),IFERROR(INDIRECT("'"&amp;$D$8&amp;"'!C9")&lt;1992,0)),INDIRECT("'"&amp;$D$8&amp;"'!GO_2028"),0)
+IF(AND(IFERROR(INDIRECT("'"&amp;$D$9&amp;"'!C9")&gt;1974,0),IFERROR(INDIRECT("'"&amp;$D$9&amp;"'!C9")&lt;1992,0)),INDIRECT("'"&amp;$D$9&amp;"'!GO_2028"),0)
+IF(AND(IFERROR(INDIRECT("'"&amp;$D$10&amp;"'!C9")&gt;1974,0),IFERROR(INDIRECT("'"&amp;$D$10&amp;"'!C9")&lt;1992,0)),INDIRECT("'"&amp;$D$10&amp;"'!GO_2028"),0)
+IF(AND(IFERROR(INDIRECT("'"&amp;$D$11&amp;"'!C9")&gt;1974,0),IFERROR(INDIRECT("'"&amp;$D$11&amp;"'!C9")&lt;1992,0)),INDIRECT("'"&amp;$D$11&amp;"'!GO_2028"),0)
+IF(AND(IFERROR(INDIRECT("'"&amp;$D$12&amp;"'!C9")&gt;1974,0),IFERROR(INDIRECT("'"&amp;$D$12&amp;"'!C9")&lt;1992,0)),INDIRECT("'"&amp;$D$12&amp;"'!GO_2028"),0)
+IF(AND(IFERROR(INDIRECT("'"&amp;$D$13&amp;"'!C9")&gt;1974,0),IFERROR(INDIRECT("'"&amp;$D$13&amp;"'!C9")&lt;1992,0)),INDIRECT("'"&amp;$D$13&amp;"'!GO_2028"),0)
+IF(AND(IFERROR(INDIRECT("'"&amp;$D$14&amp;"'!C9")&gt;1974,0),IFERROR(INDIRECT("'"&amp;$D$14&amp;"'!C9")&lt;1992,0)),INDIRECT("'"&amp;$D$14&amp;"'!GO_2028"),0)
+IF(AND(IFERROR(INDIRECT("'"&amp;$D$15&amp;"'!C9")&gt;1974,0),IFERROR(INDIRECT("'"&amp;$D$15&amp;"'!C9")&lt;1992,0)),INDIRECT("'"&amp;$D$15&amp;"'!GO_2028"),0)
+IF(AND(IFERROR(INDIRECT("'"&amp;$D$16&amp;"'!C9")&gt;1974,0),IFERROR(INDIRECT("'"&amp;$D$16&amp;"'!C9")&lt;1992,0)),INDIRECT("'"&amp;$D$16&amp;"'!GO_2028"),0)
+IF(AND(IFERROR(INDIRECT("'"&amp;$D$17&amp;"'!C9")&gt;1974,0),IFERROR(INDIRECT("'"&amp;$D$17&amp;"'!C9")&lt;1992,0)),INDIRECT("'"&amp;$D$17&amp;"'!GO_2028"),0)
+IF(AND(IFERROR(INDIRECT("'"&amp;$D$18&amp;"'!C9")&gt;1974,0),IFERROR(INDIRECT("'"&amp;$D$18&amp;"'!C9")&lt;1992,0)),INDIRECT("'"&amp;$D$18&amp;"'!GO_2028"),0)
+IF(AND(IFERROR(INDIRECT("'"&amp;$D$19&amp;"'!C9")&gt;1974,0),IFERROR(INDIRECT("'"&amp;$D$19&amp;"'!C9")&lt;1992,0)),INDIRECT("'"&amp;$D$19&amp;"'!GO_2028"),0)
+IF(AND(IFERROR(INDIRECT("'"&amp;$D$20&amp;"'!C9")&gt;1974,0),IFERROR(INDIRECT("'"&amp;$D$20&amp;"'!C9")&lt;1992,0)),INDIRECT("'"&amp;$D$20&amp;"'!GO_2028"),0)
+IF(AND(IFERROR(INDIRECT("'"&amp;$D$21&amp;"'!C9")&gt;1974,0),IFERROR(INDIRECT("'"&amp;$D$21&amp;"'!C9")&lt;1992,0)),INDIRECT("'"&amp;$D$21&amp;"'!GO_2028"),0)
+IF(AND(IFERROR(INDIRECT("'"&amp;$D$22&amp;"'!C9")&gt;1974,0),IFERROR(INDIRECT("'"&amp;$D$22&amp;"'!C9")&lt;1992,0)),INDIRECT("'"&amp;$D$22&amp;"'!GO_2028"),0)
+IF(AND(IFERROR(INDIRECT("'"&amp;$D$23&amp;"'!C9")&gt;1974,0),IFERROR(INDIRECT("'"&amp;$D$23&amp;"'!C9")&lt;1992,0)),INDIRECT("'"&amp;$D$23&amp;"'!GO_2028"),0)
+IF(AND(IFERROR(INDIRECT("'"&amp;$D$24&amp;"'!C9")&gt;1974,0),IFERROR(INDIRECT("'"&amp;$D$24&amp;"'!C9")&lt;1992,0)),INDIRECT("'"&amp;$D$24&amp;"'!GO_2028"),0)
+IF(AND(IFERROR(INDIRECT("'"&amp;$D$25&amp;"'!C9")&gt;1974,0),IFERROR(INDIRECT("'"&amp;$D$25&amp;"'!C9")&lt;1992,0)),INDIRECT("'"&amp;$D$25&amp;"'!GO_2028"),0)
+IF(AND(IFERROR(INDIRECT("'"&amp;$D$26&amp;"'!C9")&gt;1974,0),IFERROR(INDIRECT("'"&amp;$D$26&amp;"'!C9")&lt;1992,0)),INDIRECT("'"&amp;$D$26&amp;"'!GO_2028"),0)
+IF(AND(IFERROR(INDIRECT("'"&amp;$D$27&amp;"'!C9")&gt;1974,0),IFERROR(INDIRECT("'"&amp;$D$27&amp;"'!C9")&lt;1992,0)),INDIRECT("'"&amp;$D$27&amp;"'!GO_2028"),0)
+IF(AND(IFERROR(INDIRECT("'"&amp;$D$28&amp;"'!C9")&gt;1974,0),IFERROR(INDIRECT("'"&amp;$D$28&amp;"'!C9")&lt;1992,0)),INDIRECT("'"&amp;$D$28&amp;"'!GO_2028"),0)
+IF(AND(IFERROR(INDIRECT("'"&amp;$D$29&amp;"'!C9")&gt;1974,0),IFERROR(INDIRECT("'"&amp;$D$29&amp;"'!C9")&lt;1992,0)),INDIRECT("'"&amp;$D$29&amp;"'!GO_2028"),0)
+IF(AND(IFERROR(INDIRECT("'"&amp;$D$30&amp;"'!C9")&gt;1974,0),IFERROR(INDIRECT("'"&amp;$D$30&amp;"'!C9")&lt;1992,0)),INDIRECT("'"&amp;$D$30&amp;"'!GO_2028"),0)
+IF(AND(IFERROR(INDIRECT("'"&amp;$D$31&amp;"'!C9")&gt;1974,0),IFERROR(INDIRECT("'"&amp;$D$31&amp;"'!C9")&lt;1992,0)),INDIRECT("'"&amp;$D$31&amp;"'!GO_2028"),0)
+IF(AND(IFERROR(INDIRECT("'"&amp;$D$32&amp;"'!C9")&gt;1974,0),IFERROR(INDIRECT("'"&amp;$D$32&amp;"'!C9")&lt;1992,0)),INDIRECT("'"&amp;$D$32&amp;"'!GO_2028"),0)
+IF(AND(IFERROR(INDIRECT("'"&amp;$D$33&amp;"'!C9")&gt;1974,0),IFERROR(INDIRECT("'"&amp;$D$33&amp;"'!C9")&lt;1992,0)),INDIRECT("'"&amp;$D$33&amp;"'!GO_2028"),0)
+IF(AND(IFERROR(INDIRECT("'"&amp;$D$34&amp;"'!C9")&gt;1974,0),IFERROR(INDIRECT("'"&amp;$D$34&amp;"'!C9")&lt;1992,0)),INDIRECT("'"&amp;$D$34&amp;"'!GO_2028"),0)
+IF(AND(IFERROR(INDIRECT("'"&amp;$D$35&amp;"'!C9")&gt;1974,0),IFERROR(INDIRECT("'"&amp;$D$35&amp;"'!C9")&lt;1992,0)),INDIRECT("'"&amp;$D$35&amp;"'!GO_2028"),0)
+IF(AND(IFERROR(INDIRECT("'"&amp;$D$36&amp;"'!C9")&gt;1974,0),IFERROR(INDIRECT("'"&amp;$D$36&amp;"'!C9")&lt;1992,0)),INDIRECT("'"&amp;$D$36&amp;"'!GO_2028"),0)
+IF(AND(IFERROR(INDIRECT("'"&amp;$D$37&amp;"'!C9")&gt;1974,0),IFERROR(INDIRECT("'"&amp;$D$37&amp;"'!C9")&lt;1992,0)),INDIRECT("'"&amp;$D$37&amp;"'!GO_2028"),0)
+IF(AND(IFERROR(INDIRECT("'"&amp;$D$38&amp;"'!C9")&gt;1974,0),IFERROR(INDIRECT("'"&amp;$D$38&amp;"'!C9")&lt;1992,0)),INDIRECT("'"&amp;$D$38&amp;"'!GO_2028"),0)
+IF(AND(IFERROR(INDIRECT("'"&amp;$D$39&amp;"'!C9")&gt;1974,0),IFERROR(INDIRECT("'"&amp;$D$39&amp;"'!C9")&lt;1992,0)),INDIRECT("'"&amp;$D$39&amp;"'!GO_2028"),0)
+IF(AND(IFERROR(INDIRECT("'"&amp;$D$40&amp;"'!C9")&gt;1974,0),IFERROR(INDIRECT("'"&amp;$D$40&amp;"'!C9")&lt;1992,0)),INDIRECT("'"&amp;$D$40&amp;"'!GO_2028"),0)
+IF(AND(IFERROR(INDIRECT("'"&amp;$D$41&amp;"'!C9")&gt;1974,0),IFERROR(INDIRECT("'"&amp;$D$41&amp;"'!C9")&lt;1992,0)),INDIRECT("'"&amp;$D$41&amp;"'!GO_2028"),0)
+IF(AND(IFERROR(INDIRECT("'"&amp;$D$42&amp;"'!C9")&gt;1974,0),IFERROR(INDIRECT("'"&amp;$D$42&amp;"'!C9")&lt;1992,0)),INDIRECT("'"&amp;$D$42&amp;"'!GO_2028"),0)
+IF(AND(IFERROR(INDIRECT("'"&amp;$D$43&amp;"'!C9")&gt;1974,0),IFERROR(INDIRECT("'"&amp;$D$43&amp;"'!C9")&lt;1992,0)),INDIRECT("'"&amp;$D$43&amp;"'!GO_2028"),0)
+IF(AND(IFERROR(INDIRECT("'"&amp;$D$44&amp;"'!C9")&gt;1974,0),IFERROR(INDIRECT("'"&amp;$D$44&amp;"'!C9")&lt;1992,0)),INDIRECT("'"&amp;$D$44&amp;"'!GO_2028"),0)
+IF(AND(IFERROR(INDIRECT("'"&amp;$D$45&amp;"'!C9")&gt;1974,0),IFERROR(INDIRECT("'"&amp;$D$45&amp;"'!C9")&lt;1992,0)),INDIRECT("'"&amp;$D$45&amp;"'!GO_2028"),0)
+IF(AND(IFERROR(INDIRECT("'"&amp;$D$46&amp;"'!C9")&gt;1974,0),IFERROR(INDIRECT("'"&amp;$D$46&amp;"'!C9")&lt;1992,0)),INDIRECT("'"&amp;$D$46&amp;"'!GO_2028"),0)
+IF(AND(IFERROR(INDIRECT("'"&amp;$D$47&amp;"'!C9")&gt;1974,0),IFERROR(INDIRECT("'"&amp;$D$47&amp;"'!C9")&lt;1992,0)),INDIRECT("'"&amp;$D$47&amp;"'!GO_2028"),0)
+IF(AND(IFERROR(INDIRECT("'"&amp;$D$48&amp;"'!C9")&gt;1974,0),IFERROR(INDIRECT("'"&amp;$D$48&amp;"'!C9")&lt;1992,0)),INDIRECT("'"&amp;$D$48&amp;"'!GO_2028"),0)
+IF(AND(IFERROR(INDIRECT("'"&amp;$D$49&amp;"'!C9")&gt;1974,0),IFERROR(INDIRECT("'"&amp;$D$49&amp;"'!C9")&lt;1992,0)),INDIRECT("'"&amp;$D$49&amp;"'!GO_2028"),0)
+IF(AND(IFERROR(INDIRECT("'"&amp;$D$50&amp;"'!C9")&gt;1974,0),IFERROR(INDIRECT("'"&amp;$D$50&amp;"'!C9")&lt;1992,0)),INDIRECT("'"&amp;$D$50&amp;"'!GO_2028"),0)
+IF(AND(IFERROR(INDIRECT("'"&amp;$D$51&amp;"'!C9")&gt;1974,0),IFERROR(INDIRECT("'"&amp;$D$51&amp;"'!C9")&lt;1992,0)),INDIRECT("'"&amp;$D$51&amp;"'!GO_2028"),0)
+IF(AND(IFERROR(INDIRECT("'"&amp;$D$52&amp;"'!C9")&gt;1974,0),IFERROR(INDIRECT("'"&amp;$D$52&amp;"'!C9")&lt;1992,0)),INDIRECT("'"&amp;$D$52&amp;"'!GO_2028"),0)
+IF(AND(IFERROR(INDIRECT("'"&amp;$D$53&amp;"'!C9")&gt;1974,0),IFERROR(INDIRECT("'"&amp;$D$53&amp;"'!C9")&lt;1992,0)),INDIRECT("'"&amp;$D$53&amp;"'!GO_2028"),0)
+IF(AND(IFERROR(INDIRECT("'"&amp;$D$54&amp;"'!C9")&gt;1974,0),IFERROR(INDIRECT("'"&amp;$D$54&amp;"'!C9")&lt;1992,0)),INDIRECT("'"&amp;$D$54&amp;"'!GO_2028"),0)</f>
        <v>8122</v>
      </c>
      <c r="S26" s="321">
        <f ca="1">IF(AND(IFERROR(INDIRECT("'"&amp;$D$5&amp;"'!C9")&gt;1974,0),IFERROR(INDIRECT("'"&amp;$D$5&amp;"'!C9")&lt;1992,0)),INDIRECT("'"&amp;$D$5&amp;"'!GO_2029"),0)
+IF(AND(IFERROR(INDIRECT("'"&amp;$D$6&amp;"'!C9")&gt;1974,0),IFERROR(INDIRECT("'"&amp;$D$6&amp;"'!C9")&lt;1992,0)),INDIRECT("'"&amp;$D$6&amp;"'!GO_2029"),0)
+IF(AND(IFERROR(INDIRECT("'"&amp;$D$7&amp;"'!C9")&gt;1974,0),IFERROR(INDIRECT("'"&amp;$D$7&amp;"'!C9")&lt;1992,0)),INDIRECT("'"&amp;$D$7&amp;"'!GO_2029"),0)
+IF(AND(IFERROR(INDIRECT("'"&amp;$D$8&amp;"'!C9")&gt;1974,0),IFERROR(INDIRECT("'"&amp;$D$8&amp;"'!C9")&lt;1992,0)),INDIRECT("'"&amp;$D$8&amp;"'!GO_2029"),0)
+IF(AND(IFERROR(INDIRECT("'"&amp;$D$9&amp;"'!C9")&gt;1974,0),IFERROR(INDIRECT("'"&amp;$D$9&amp;"'!C9")&lt;1992,0)),INDIRECT("'"&amp;$D$9&amp;"'!GO_2029"),0)
+IF(AND(IFERROR(INDIRECT("'"&amp;$D$10&amp;"'!C9")&gt;1974,0),IFERROR(INDIRECT("'"&amp;$D$10&amp;"'!C9")&lt;1992,0)),INDIRECT("'"&amp;$D$10&amp;"'!GO_2029"),0)
+IF(AND(IFERROR(INDIRECT("'"&amp;$D$11&amp;"'!C9")&gt;1974,0),IFERROR(INDIRECT("'"&amp;$D$11&amp;"'!C9")&lt;1992,0)),INDIRECT("'"&amp;$D$11&amp;"'!GO_2029"),0)
+IF(AND(IFERROR(INDIRECT("'"&amp;$D$12&amp;"'!C9")&gt;1974,0),IFERROR(INDIRECT("'"&amp;$D$12&amp;"'!C9")&lt;1992,0)),INDIRECT("'"&amp;$D$12&amp;"'!GO_2029"),0)
+IF(AND(IFERROR(INDIRECT("'"&amp;$D$13&amp;"'!C9")&gt;1974,0),IFERROR(INDIRECT("'"&amp;$D$13&amp;"'!C9")&lt;1992,0)),INDIRECT("'"&amp;$D$13&amp;"'!GO_2029"),0)
+IF(AND(IFERROR(INDIRECT("'"&amp;$D$14&amp;"'!C9")&gt;1974,0),IFERROR(INDIRECT("'"&amp;$D$14&amp;"'!C9")&lt;1992,0)),INDIRECT("'"&amp;$D$14&amp;"'!GO_2029"),0)
+IF(AND(IFERROR(INDIRECT("'"&amp;$D$15&amp;"'!C9")&gt;1974,0),IFERROR(INDIRECT("'"&amp;$D$15&amp;"'!C9")&lt;1992,0)),INDIRECT("'"&amp;$D$15&amp;"'!GO_2029"),0)
+IF(AND(IFERROR(INDIRECT("'"&amp;$D$16&amp;"'!C9")&gt;1974,0),IFERROR(INDIRECT("'"&amp;$D$16&amp;"'!C9")&lt;1992,0)),INDIRECT("'"&amp;$D$16&amp;"'!GO_2029"),0)
+IF(AND(IFERROR(INDIRECT("'"&amp;$D$17&amp;"'!C9")&gt;1974,0),IFERROR(INDIRECT("'"&amp;$D$17&amp;"'!C9")&lt;1992,0)),INDIRECT("'"&amp;$D$17&amp;"'!GO_2029"),0)
+IF(AND(IFERROR(INDIRECT("'"&amp;$D$18&amp;"'!C9")&gt;1974,0),IFERROR(INDIRECT("'"&amp;$D$18&amp;"'!C9")&lt;1992,0)),INDIRECT("'"&amp;$D$18&amp;"'!GO_2029"),0)
+IF(AND(IFERROR(INDIRECT("'"&amp;$D$19&amp;"'!C9")&gt;1974,0),IFERROR(INDIRECT("'"&amp;$D$19&amp;"'!C9")&lt;1992,0)),INDIRECT("'"&amp;$D$19&amp;"'!GO_2029"),0)
+IF(AND(IFERROR(INDIRECT("'"&amp;$D$20&amp;"'!C9")&gt;1974,0),IFERROR(INDIRECT("'"&amp;$D$20&amp;"'!C9")&lt;1992,0)),INDIRECT("'"&amp;$D$20&amp;"'!GO_2029"),0)
+IF(AND(IFERROR(INDIRECT("'"&amp;$D$21&amp;"'!C9")&gt;1974,0),IFERROR(INDIRECT("'"&amp;$D$21&amp;"'!C9")&lt;1992,0)),INDIRECT("'"&amp;$D$21&amp;"'!GO_2029"),0)
+IF(AND(IFERROR(INDIRECT("'"&amp;$D$22&amp;"'!C9")&gt;1974,0),IFERROR(INDIRECT("'"&amp;$D$22&amp;"'!C9")&lt;1992,0)),INDIRECT("'"&amp;$D$22&amp;"'!GO_2029"),0)
+IF(AND(IFERROR(INDIRECT("'"&amp;$D$23&amp;"'!C9")&gt;1974,0),IFERROR(INDIRECT("'"&amp;$D$23&amp;"'!C9")&lt;1992,0)),INDIRECT("'"&amp;$D$23&amp;"'!GO_2029"),0)
+IF(AND(IFERROR(INDIRECT("'"&amp;$D$24&amp;"'!C9")&gt;1974,0),IFERROR(INDIRECT("'"&amp;$D$24&amp;"'!C9")&lt;1992,0)),INDIRECT("'"&amp;$D$24&amp;"'!GO_2029"),0)
+IF(AND(IFERROR(INDIRECT("'"&amp;$D$25&amp;"'!C9")&gt;1974,0),IFERROR(INDIRECT("'"&amp;$D$25&amp;"'!C9")&lt;1992,0)),INDIRECT("'"&amp;$D$25&amp;"'!GO_2029"),0)
+IF(AND(IFERROR(INDIRECT("'"&amp;$D$26&amp;"'!C9")&gt;1974,0),IFERROR(INDIRECT("'"&amp;$D$26&amp;"'!C9")&lt;1992,0)),INDIRECT("'"&amp;$D$26&amp;"'!GO_2029"),0)
+IF(AND(IFERROR(INDIRECT("'"&amp;$D$27&amp;"'!C9")&gt;1974,0),IFERROR(INDIRECT("'"&amp;$D$27&amp;"'!C9")&lt;1992,0)),INDIRECT("'"&amp;$D$27&amp;"'!GO_2029"),0)
+IF(AND(IFERROR(INDIRECT("'"&amp;$D$28&amp;"'!C9")&gt;1974,0),IFERROR(INDIRECT("'"&amp;$D$28&amp;"'!C9")&lt;1992,0)),INDIRECT("'"&amp;$D$28&amp;"'!GO_2029"),0)
+IF(AND(IFERROR(INDIRECT("'"&amp;$D$29&amp;"'!C9")&gt;1974,0),IFERROR(INDIRECT("'"&amp;$D$29&amp;"'!C9")&lt;1992,0)),INDIRECT("'"&amp;$D$29&amp;"'!GO_2029"),0)
+IF(AND(IFERROR(INDIRECT("'"&amp;$D$30&amp;"'!C9")&gt;1974,0),IFERROR(INDIRECT("'"&amp;$D$30&amp;"'!C9")&lt;1992,0)),INDIRECT("'"&amp;$D$30&amp;"'!GO_2029"),0)
+IF(AND(IFERROR(INDIRECT("'"&amp;$D$31&amp;"'!C9")&gt;1974,0),IFERROR(INDIRECT("'"&amp;$D$31&amp;"'!C9")&lt;1992,0)),INDIRECT("'"&amp;$D$31&amp;"'!GO_2029"),0)
+IF(AND(IFERROR(INDIRECT("'"&amp;$D$32&amp;"'!C9")&gt;1974,0),IFERROR(INDIRECT("'"&amp;$D$32&amp;"'!C9")&lt;1992,0)),INDIRECT("'"&amp;$D$32&amp;"'!GO_2029"),0)
+IF(AND(IFERROR(INDIRECT("'"&amp;$D$33&amp;"'!C9")&gt;1974,0),IFERROR(INDIRECT("'"&amp;$D$33&amp;"'!C9")&lt;1992,0)),INDIRECT("'"&amp;$D$33&amp;"'!GO_2029"),0)
+IF(AND(IFERROR(INDIRECT("'"&amp;$D$34&amp;"'!C9")&gt;1974,0),IFERROR(INDIRECT("'"&amp;$D$34&amp;"'!C9")&lt;1992,0)),INDIRECT("'"&amp;$D$34&amp;"'!GO_2029"),0)
+IF(AND(IFERROR(INDIRECT("'"&amp;$D$35&amp;"'!C9")&gt;1974,0),IFERROR(INDIRECT("'"&amp;$D$35&amp;"'!C9")&lt;1992,0)),INDIRECT("'"&amp;$D$35&amp;"'!GO_2029"),0)
+IF(AND(IFERROR(INDIRECT("'"&amp;$D$36&amp;"'!C9")&gt;1974,0),IFERROR(INDIRECT("'"&amp;$D$36&amp;"'!C9")&lt;1992,0)),INDIRECT("'"&amp;$D$36&amp;"'!GO_2029"),0)
+IF(AND(IFERROR(INDIRECT("'"&amp;$D$37&amp;"'!C9")&gt;1974,0),IFERROR(INDIRECT("'"&amp;$D$37&amp;"'!C9")&lt;1992,0)),INDIRECT("'"&amp;$D$37&amp;"'!GO_2029"),0)
+IF(AND(IFERROR(INDIRECT("'"&amp;$D$38&amp;"'!C9")&gt;1974,0),IFERROR(INDIRECT("'"&amp;$D$38&amp;"'!C9")&lt;1992,0)),INDIRECT("'"&amp;$D$38&amp;"'!GO_2029"),0)
+IF(AND(IFERROR(INDIRECT("'"&amp;$D$39&amp;"'!C9")&gt;1974,0),IFERROR(INDIRECT("'"&amp;$D$39&amp;"'!C9")&lt;1992,0)),INDIRECT("'"&amp;$D$39&amp;"'!GO_2029"),0)
+IF(AND(IFERROR(INDIRECT("'"&amp;$D$40&amp;"'!C9")&gt;1974,0),IFERROR(INDIRECT("'"&amp;$D$40&amp;"'!C9")&lt;1992,0)),INDIRECT("'"&amp;$D$40&amp;"'!GO_2029"),0)
+IF(AND(IFERROR(INDIRECT("'"&amp;$D$41&amp;"'!C9")&gt;1974,0),IFERROR(INDIRECT("'"&amp;$D$41&amp;"'!C9")&lt;1992,0)),INDIRECT("'"&amp;$D$41&amp;"'!GO_2029"),0)
+IF(AND(IFERROR(INDIRECT("'"&amp;$D$42&amp;"'!C9")&gt;1974,0),IFERROR(INDIRECT("'"&amp;$D$42&amp;"'!C9")&lt;1992,0)),INDIRECT("'"&amp;$D$42&amp;"'!GO_2029"),0)
+IF(AND(IFERROR(INDIRECT("'"&amp;$D$43&amp;"'!C9")&gt;1974,0),IFERROR(INDIRECT("'"&amp;$D$43&amp;"'!C9")&lt;1992,0)),INDIRECT("'"&amp;$D$43&amp;"'!GO_2029"),0)
+IF(AND(IFERROR(INDIRECT("'"&amp;$D$44&amp;"'!C9")&gt;1974,0),IFERROR(INDIRECT("'"&amp;$D$44&amp;"'!C9")&lt;1992,0)),INDIRECT("'"&amp;$D$44&amp;"'!GO_2029"),0)
+IF(AND(IFERROR(INDIRECT("'"&amp;$D$45&amp;"'!C9")&gt;1974,0),IFERROR(INDIRECT("'"&amp;$D$45&amp;"'!C9")&lt;1992,0)),INDIRECT("'"&amp;$D$45&amp;"'!GO_2029"),0)
+IF(AND(IFERROR(INDIRECT("'"&amp;$D$46&amp;"'!C9")&gt;1974,0),IFERROR(INDIRECT("'"&amp;$D$46&amp;"'!C9")&lt;1992,0)),INDIRECT("'"&amp;$D$46&amp;"'!GO_2029"),0)
+IF(AND(IFERROR(INDIRECT("'"&amp;$D$47&amp;"'!C9")&gt;1974,0),IFERROR(INDIRECT("'"&amp;$D$47&amp;"'!C9")&lt;1992,0)),INDIRECT("'"&amp;$D$47&amp;"'!GO_2029"),0)
+IF(AND(IFERROR(INDIRECT("'"&amp;$D$48&amp;"'!C9")&gt;1974,0),IFERROR(INDIRECT("'"&amp;$D$48&amp;"'!C9")&lt;1992,0)),INDIRECT("'"&amp;$D$48&amp;"'!GO_2029"),0)
+IF(AND(IFERROR(INDIRECT("'"&amp;$D$49&amp;"'!C9")&gt;1974,0),IFERROR(INDIRECT("'"&amp;$D$49&amp;"'!C9")&lt;1992,0)),INDIRECT("'"&amp;$D$49&amp;"'!GO_2029"),0)
+IF(AND(IFERROR(INDIRECT("'"&amp;$D$50&amp;"'!C9")&gt;1974,0),IFERROR(INDIRECT("'"&amp;$D$50&amp;"'!C9")&lt;1992,0)),INDIRECT("'"&amp;$D$50&amp;"'!GO_2029"),0)
+IF(AND(IFERROR(INDIRECT("'"&amp;$D$51&amp;"'!C9")&gt;1974,0),IFERROR(INDIRECT("'"&amp;$D$51&amp;"'!C9")&lt;1992,0)),INDIRECT("'"&amp;$D$51&amp;"'!GO_2029"),0)
+IF(AND(IFERROR(INDIRECT("'"&amp;$D$52&amp;"'!C9")&gt;1974,0),IFERROR(INDIRECT("'"&amp;$D$52&amp;"'!C9")&lt;1992,0)),INDIRECT("'"&amp;$D$52&amp;"'!GO_2029"),0)
+IF(AND(IFERROR(INDIRECT("'"&amp;$D$53&amp;"'!C9")&gt;1974,0),IFERROR(INDIRECT("'"&amp;$D$53&amp;"'!C9")&lt;1992,0)),INDIRECT("'"&amp;$D$53&amp;"'!GO_2029"),0)
+IF(AND(IFERROR(INDIRECT("'"&amp;$D$54&amp;"'!C9")&gt;1974,0),IFERROR(INDIRECT("'"&amp;$D$54&amp;"'!C9")&lt;1992,0)),INDIRECT("'"&amp;$D$54&amp;"'!GO_2029"),0)</f>
        <v>8122</v>
      </c>
      <c r="T26" s="321">
        <f ca="1">IF(AND(IFERROR(INDIRECT("'"&amp;$D$5&amp;"'!C9")&gt;1974,0),IFERROR(INDIRECT("'"&amp;$D$5&amp;"'!C9")&lt;1992,0)),INDIRECT("'"&amp;$D$5&amp;"'!GO_2030"),0)
+IF(AND(IFERROR(INDIRECT("'"&amp;$D$6&amp;"'!C9")&gt;1974,0),IFERROR(INDIRECT("'"&amp;$D$6&amp;"'!C9")&lt;1992,0)),INDIRECT("'"&amp;$D$6&amp;"'!GO_2030"),0)
+IF(AND(IFERROR(INDIRECT("'"&amp;$D$7&amp;"'!C9")&gt;1974,0),IFERROR(INDIRECT("'"&amp;$D$7&amp;"'!C9")&lt;1992,0)),INDIRECT("'"&amp;$D$7&amp;"'!GO_2030"),0)
+IF(AND(IFERROR(INDIRECT("'"&amp;$D$8&amp;"'!C9")&gt;1974,0),IFERROR(INDIRECT("'"&amp;$D$8&amp;"'!C9")&lt;1992,0)),INDIRECT("'"&amp;$D$8&amp;"'!GO_2030"),0)
+IF(AND(IFERROR(INDIRECT("'"&amp;$D$9&amp;"'!C9")&gt;1974,0),IFERROR(INDIRECT("'"&amp;$D$9&amp;"'!C9")&lt;1992,0)),INDIRECT("'"&amp;$D$9&amp;"'!GO_2030"),0)
+IF(AND(IFERROR(INDIRECT("'"&amp;$D$10&amp;"'!C9")&gt;1974,0),IFERROR(INDIRECT("'"&amp;$D$10&amp;"'!C9")&lt;1992,0)),INDIRECT("'"&amp;$D$10&amp;"'!GO_2030"),0)
+IF(AND(IFERROR(INDIRECT("'"&amp;$D$11&amp;"'!C9")&gt;1974,0),IFERROR(INDIRECT("'"&amp;$D$11&amp;"'!C9")&lt;1992,0)),INDIRECT("'"&amp;$D$11&amp;"'!GO_2030"),0)
+IF(AND(IFERROR(INDIRECT("'"&amp;$D$12&amp;"'!C9")&gt;1974,0),IFERROR(INDIRECT("'"&amp;$D$12&amp;"'!C9")&lt;1992,0)),INDIRECT("'"&amp;$D$12&amp;"'!GO_2030"),0)
+IF(AND(IFERROR(INDIRECT("'"&amp;$D$13&amp;"'!C9")&gt;1974,0),IFERROR(INDIRECT("'"&amp;$D$13&amp;"'!C9")&lt;1992,0)),INDIRECT("'"&amp;$D$13&amp;"'!GO_2030"),0)
+IF(AND(IFERROR(INDIRECT("'"&amp;$D$14&amp;"'!C9")&gt;1974,0),IFERROR(INDIRECT("'"&amp;$D$14&amp;"'!C9")&lt;1992,0)),INDIRECT("'"&amp;$D$14&amp;"'!GO_2030"),0)
+IF(AND(IFERROR(INDIRECT("'"&amp;$D$15&amp;"'!C9")&gt;1974,0),IFERROR(INDIRECT("'"&amp;$D$15&amp;"'!C9")&lt;1992,0)),INDIRECT("'"&amp;$D$15&amp;"'!GO_2030"),0)
+IF(AND(IFERROR(INDIRECT("'"&amp;$D$16&amp;"'!C9")&gt;1974,0),IFERROR(INDIRECT("'"&amp;$D$16&amp;"'!C9")&lt;1992,0)),INDIRECT("'"&amp;$D$16&amp;"'!GO_2030"),0)
+IF(AND(IFERROR(INDIRECT("'"&amp;$D$17&amp;"'!C9")&gt;1974,0),IFERROR(INDIRECT("'"&amp;$D$17&amp;"'!C9")&lt;1992,0)),INDIRECT("'"&amp;$D$17&amp;"'!GO_2030"),0)
+IF(AND(IFERROR(INDIRECT("'"&amp;$D$18&amp;"'!C9")&gt;1974,0),IFERROR(INDIRECT("'"&amp;$D$18&amp;"'!C9")&lt;1992,0)),INDIRECT("'"&amp;$D$18&amp;"'!GO_2030"),0)
+IF(AND(IFERROR(INDIRECT("'"&amp;$D$19&amp;"'!C9")&gt;1974,0),IFERROR(INDIRECT("'"&amp;$D$19&amp;"'!C9")&lt;1992,0)),INDIRECT("'"&amp;$D$19&amp;"'!GO_2030"),0)
+IF(AND(IFERROR(INDIRECT("'"&amp;$D$20&amp;"'!C9")&gt;1974,0),IFERROR(INDIRECT("'"&amp;$D$20&amp;"'!C9")&lt;1992,0)),INDIRECT("'"&amp;$D$20&amp;"'!GO_2030"),0)
+IF(AND(IFERROR(INDIRECT("'"&amp;$D$21&amp;"'!C9")&gt;1974,0),IFERROR(INDIRECT("'"&amp;$D$21&amp;"'!C9")&lt;1992,0)),INDIRECT("'"&amp;$D$21&amp;"'!GO_2030"),0)
+IF(AND(IFERROR(INDIRECT("'"&amp;$D$22&amp;"'!C9")&gt;1974,0),IFERROR(INDIRECT("'"&amp;$D$22&amp;"'!C9")&lt;1992,0)),INDIRECT("'"&amp;$D$22&amp;"'!GO_2030"),0)
+IF(AND(IFERROR(INDIRECT("'"&amp;$D$23&amp;"'!C9")&gt;1974,0),IFERROR(INDIRECT("'"&amp;$D$23&amp;"'!C9")&lt;1992,0)),INDIRECT("'"&amp;$D$23&amp;"'!GO_2030"),0)
+IF(AND(IFERROR(INDIRECT("'"&amp;$D$24&amp;"'!C9")&gt;1974,0),IFERROR(INDIRECT("'"&amp;$D$24&amp;"'!C9")&lt;1992,0)),INDIRECT("'"&amp;$D$24&amp;"'!GO_2030"),0)
+IF(AND(IFERROR(INDIRECT("'"&amp;$D$25&amp;"'!C9")&gt;1974,0),IFERROR(INDIRECT("'"&amp;$D$25&amp;"'!C9")&lt;1992,0)),INDIRECT("'"&amp;$D$25&amp;"'!GO_2030"),0)
+IF(AND(IFERROR(INDIRECT("'"&amp;$D$26&amp;"'!C9")&gt;1974,0),IFERROR(INDIRECT("'"&amp;$D$26&amp;"'!C9")&lt;1992,0)),INDIRECT("'"&amp;$D$26&amp;"'!GO_2030"),0)
+IF(AND(IFERROR(INDIRECT("'"&amp;$D$27&amp;"'!C9")&gt;1974,0),IFERROR(INDIRECT("'"&amp;$D$27&amp;"'!C9")&lt;1992,0)),INDIRECT("'"&amp;$D$27&amp;"'!GO_2030"),0)
+IF(AND(IFERROR(INDIRECT("'"&amp;$D$28&amp;"'!C9")&gt;1974,0),IFERROR(INDIRECT("'"&amp;$D$28&amp;"'!C9")&lt;1992,0)),INDIRECT("'"&amp;$D$28&amp;"'!GO_2030"),0)
+IF(AND(IFERROR(INDIRECT("'"&amp;$D$29&amp;"'!C9")&gt;1974,0),IFERROR(INDIRECT("'"&amp;$D$29&amp;"'!C9")&lt;1992,0)),INDIRECT("'"&amp;$D$29&amp;"'!GO_2030"),0)
+IF(AND(IFERROR(INDIRECT("'"&amp;$D$30&amp;"'!C9")&gt;1974,0),IFERROR(INDIRECT("'"&amp;$D$30&amp;"'!C9")&lt;1992,0)),INDIRECT("'"&amp;$D$30&amp;"'!GO_2030"),0)
+IF(AND(IFERROR(INDIRECT("'"&amp;$D$31&amp;"'!C9")&gt;1974,0),IFERROR(INDIRECT("'"&amp;$D$31&amp;"'!C9")&lt;1992,0)),INDIRECT("'"&amp;$D$31&amp;"'!GO_2030"),0)
+IF(AND(IFERROR(INDIRECT("'"&amp;$D$32&amp;"'!C9")&gt;1974,0),IFERROR(INDIRECT("'"&amp;$D$32&amp;"'!C9")&lt;1992,0)),INDIRECT("'"&amp;$D$32&amp;"'!GO_2030"),0)
+IF(AND(IFERROR(INDIRECT("'"&amp;$D$33&amp;"'!C9")&gt;1974,0),IFERROR(INDIRECT("'"&amp;$D$33&amp;"'!C9")&lt;1992,0)),INDIRECT("'"&amp;$D$33&amp;"'!GO_2030"),0)
+IF(AND(IFERROR(INDIRECT("'"&amp;$D$34&amp;"'!C9")&gt;1974,0),IFERROR(INDIRECT("'"&amp;$D$34&amp;"'!C9")&lt;1992,0)),INDIRECT("'"&amp;$D$34&amp;"'!GO_2030"),0)
+IF(AND(IFERROR(INDIRECT("'"&amp;$D$35&amp;"'!C9")&gt;1974,0),IFERROR(INDIRECT("'"&amp;$D$35&amp;"'!C9")&lt;1992,0)),INDIRECT("'"&amp;$D$35&amp;"'!GO_2030"),0)
+IF(AND(IFERROR(INDIRECT("'"&amp;$D$36&amp;"'!C9")&gt;1974,0),IFERROR(INDIRECT("'"&amp;$D$36&amp;"'!C9")&lt;1992,0)),INDIRECT("'"&amp;$D$36&amp;"'!GO_2030"),0)
+IF(AND(IFERROR(INDIRECT("'"&amp;$D$37&amp;"'!C9")&gt;1974,0),IFERROR(INDIRECT("'"&amp;$D$37&amp;"'!C9")&lt;1992,0)),INDIRECT("'"&amp;$D$37&amp;"'!GO_2030"),0)
+IF(AND(IFERROR(INDIRECT("'"&amp;$D$38&amp;"'!C9")&gt;1974,0),IFERROR(INDIRECT("'"&amp;$D$38&amp;"'!C9")&lt;1992,0)),INDIRECT("'"&amp;$D$38&amp;"'!GO_2030"),0)
+IF(AND(IFERROR(INDIRECT("'"&amp;$D$39&amp;"'!C9")&gt;1974,0),IFERROR(INDIRECT("'"&amp;$D$39&amp;"'!C9")&lt;1992,0)),INDIRECT("'"&amp;$D$39&amp;"'!GO_2030"),0)
+IF(AND(IFERROR(INDIRECT("'"&amp;$D$40&amp;"'!C9")&gt;1974,0),IFERROR(INDIRECT("'"&amp;$D$40&amp;"'!C9")&lt;1992,0)),INDIRECT("'"&amp;$D$40&amp;"'!GO_2030"),0)
+IF(AND(IFERROR(INDIRECT("'"&amp;$D$41&amp;"'!C9")&gt;1974,0),IFERROR(INDIRECT("'"&amp;$D$41&amp;"'!C9")&lt;1992,0)),INDIRECT("'"&amp;$D$41&amp;"'!GO_2030"),0)
+IF(AND(IFERROR(INDIRECT("'"&amp;$D$42&amp;"'!C9")&gt;1974,0),IFERROR(INDIRECT("'"&amp;$D$42&amp;"'!C9")&lt;1992,0)),INDIRECT("'"&amp;$D$42&amp;"'!GO_2030"),0)
+IF(AND(IFERROR(INDIRECT("'"&amp;$D$43&amp;"'!C9")&gt;1974,0),IFERROR(INDIRECT("'"&amp;$D$43&amp;"'!C9")&lt;1992,0)),INDIRECT("'"&amp;$D$43&amp;"'!GO_2030"),0)
+IF(AND(IFERROR(INDIRECT("'"&amp;$D$44&amp;"'!C9")&gt;1974,0),IFERROR(INDIRECT("'"&amp;$D$44&amp;"'!C9")&lt;1992,0)),INDIRECT("'"&amp;$D$44&amp;"'!GO_2030"),0)
+IF(AND(IFERROR(INDIRECT("'"&amp;$D$45&amp;"'!C9")&gt;1974,0),IFERROR(INDIRECT("'"&amp;$D$45&amp;"'!C9")&lt;1992,0)),INDIRECT("'"&amp;$D$45&amp;"'!GO_2030"),0)
+IF(AND(IFERROR(INDIRECT("'"&amp;$D$46&amp;"'!C9")&gt;1974,0),IFERROR(INDIRECT("'"&amp;$D$46&amp;"'!C9")&lt;1992,0)),INDIRECT("'"&amp;$D$46&amp;"'!GO_2030"),0)
+IF(AND(IFERROR(INDIRECT("'"&amp;$D$47&amp;"'!C9")&gt;1974,0),IFERROR(INDIRECT("'"&amp;$D$47&amp;"'!C9")&lt;1992,0)),INDIRECT("'"&amp;$D$47&amp;"'!GO_2030"),0)
+IF(AND(IFERROR(INDIRECT("'"&amp;$D$48&amp;"'!C9")&gt;1974,0),IFERROR(INDIRECT("'"&amp;$D$48&amp;"'!C9")&lt;1992,0)),INDIRECT("'"&amp;$D$48&amp;"'!GO_2030"),0)
+IF(AND(IFERROR(INDIRECT("'"&amp;$D$49&amp;"'!C9")&gt;1974,0),IFERROR(INDIRECT("'"&amp;$D$49&amp;"'!C9")&lt;1992,0)),INDIRECT("'"&amp;$D$49&amp;"'!GO_2030"),0)
+IF(AND(IFERROR(INDIRECT("'"&amp;$D$50&amp;"'!C9")&gt;1974,0),IFERROR(INDIRECT("'"&amp;$D$50&amp;"'!C9")&lt;1992,0)),INDIRECT("'"&amp;$D$50&amp;"'!GO_2030"),0)
+IF(AND(IFERROR(INDIRECT("'"&amp;$D$51&amp;"'!C9")&gt;1974,0),IFERROR(INDIRECT("'"&amp;$D$51&amp;"'!C9")&lt;1992,0)),INDIRECT("'"&amp;$D$51&amp;"'!GO_2030"),0)
+IF(AND(IFERROR(INDIRECT("'"&amp;$D$52&amp;"'!C9")&gt;1974,0),IFERROR(INDIRECT("'"&amp;$D$52&amp;"'!C9")&lt;1992,0)),INDIRECT("'"&amp;$D$52&amp;"'!GO_2030"),0)
+IF(AND(IFERROR(INDIRECT("'"&amp;$D$53&amp;"'!C9")&gt;1974,0),IFERROR(INDIRECT("'"&amp;$D$53&amp;"'!C9")&lt;1992,0)),INDIRECT("'"&amp;$D$53&amp;"'!GO_2030"),0)
+IF(AND(IFERROR(INDIRECT("'"&amp;$D$54&amp;"'!C9")&gt;1974,0),IFERROR(INDIRECT("'"&amp;$D$54&amp;"'!C9")&lt;1992,0)),INDIRECT("'"&amp;$D$54&amp;"'!GO_2030"),0)</f>
        <v>8122</v>
      </c>
      <c r="U26" s="321">
        <f ca="1">IF(AND(IFERROR(INDIRECT("'"&amp;$D$5&amp;"'!C9")&gt;1974,0),IFERROR(INDIRECT("'"&amp;$D$5&amp;"'!C9")&lt;1992,0)),INDIRECT("'"&amp;$D$5&amp;"'!GO_2031"),0)
+IF(AND(IFERROR(INDIRECT("'"&amp;$D$6&amp;"'!C9")&gt;1974,0),IFERROR(INDIRECT("'"&amp;$D$6&amp;"'!C9")&lt;1992,0)),INDIRECT("'"&amp;$D$6&amp;"'!GO_2031"),0)
+IF(AND(IFERROR(INDIRECT("'"&amp;$D$7&amp;"'!C9")&gt;1974,0),IFERROR(INDIRECT("'"&amp;$D$7&amp;"'!C9")&lt;1992,0)),INDIRECT("'"&amp;$D$7&amp;"'!GO_2031"),0)
+IF(AND(IFERROR(INDIRECT("'"&amp;$D$8&amp;"'!C9")&gt;1974,0),IFERROR(INDIRECT("'"&amp;$D$8&amp;"'!C9")&lt;1992,0)),INDIRECT("'"&amp;$D$8&amp;"'!GO_2031"),0)
+IF(AND(IFERROR(INDIRECT("'"&amp;$D$9&amp;"'!C9")&gt;1974,0),IFERROR(INDIRECT("'"&amp;$D$9&amp;"'!C9")&lt;1992,0)),INDIRECT("'"&amp;$D$9&amp;"'!GO_2031"),0)
+IF(AND(IFERROR(INDIRECT("'"&amp;$D$10&amp;"'!C9")&gt;1974,0),IFERROR(INDIRECT("'"&amp;$D$10&amp;"'!C9")&lt;1992,0)),INDIRECT("'"&amp;$D$10&amp;"'!GO_2031"),0)
+IF(AND(IFERROR(INDIRECT("'"&amp;$D$11&amp;"'!C9")&gt;1974,0),IFERROR(INDIRECT("'"&amp;$D$11&amp;"'!C9")&lt;1992,0)),INDIRECT("'"&amp;$D$11&amp;"'!GO_2031"),0)
+IF(AND(IFERROR(INDIRECT("'"&amp;$D$12&amp;"'!C9")&gt;1974,0),IFERROR(INDIRECT("'"&amp;$D$12&amp;"'!C9")&lt;1992,0)),INDIRECT("'"&amp;$D$12&amp;"'!GO_2031"),0)
+IF(AND(IFERROR(INDIRECT("'"&amp;$D$13&amp;"'!C9")&gt;1974,0),IFERROR(INDIRECT("'"&amp;$D$13&amp;"'!C9")&lt;1992,0)),INDIRECT("'"&amp;$D$13&amp;"'!GO_2031"),0)
+IF(AND(IFERROR(INDIRECT("'"&amp;$D$14&amp;"'!C9")&gt;1974,0),IFERROR(INDIRECT("'"&amp;$D$14&amp;"'!C9")&lt;1992,0)),INDIRECT("'"&amp;$D$14&amp;"'!GO_2031"),0)
+IF(AND(IFERROR(INDIRECT("'"&amp;$D$15&amp;"'!C9")&gt;1974,0),IFERROR(INDIRECT("'"&amp;$D$15&amp;"'!C9")&lt;1992,0)),INDIRECT("'"&amp;$D$15&amp;"'!GO_2031"),0)
+IF(AND(IFERROR(INDIRECT("'"&amp;$D$16&amp;"'!C9")&gt;1974,0),IFERROR(INDIRECT("'"&amp;$D$16&amp;"'!C9")&lt;1992,0)),INDIRECT("'"&amp;$D$16&amp;"'!GO_2031"),0)
+IF(AND(IFERROR(INDIRECT("'"&amp;$D$17&amp;"'!C9")&gt;1974,0),IFERROR(INDIRECT("'"&amp;$D$17&amp;"'!C9")&lt;1992,0)),INDIRECT("'"&amp;$D$17&amp;"'!GO_2031"),0)
+IF(AND(IFERROR(INDIRECT("'"&amp;$D$18&amp;"'!C9")&gt;1974,0),IFERROR(INDIRECT("'"&amp;$D$18&amp;"'!C9")&lt;1992,0)),INDIRECT("'"&amp;$D$18&amp;"'!GO_2031"),0)
+IF(AND(IFERROR(INDIRECT("'"&amp;$D$19&amp;"'!C9")&gt;1974,0),IFERROR(INDIRECT("'"&amp;$D$19&amp;"'!C9")&lt;1992,0)),INDIRECT("'"&amp;$D$19&amp;"'!GO_2031"),0)
+IF(AND(IFERROR(INDIRECT("'"&amp;$D$20&amp;"'!C9")&gt;1974,0),IFERROR(INDIRECT("'"&amp;$D$20&amp;"'!C9")&lt;1992,0)),INDIRECT("'"&amp;$D$20&amp;"'!GO_2031"),0)
+IF(AND(IFERROR(INDIRECT("'"&amp;$D$21&amp;"'!C9")&gt;1974,0),IFERROR(INDIRECT("'"&amp;$D$21&amp;"'!C9")&lt;1992,0)),INDIRECT("'"&amp;$D$21&amp;"'!GO_2031"),0)
+IF(AND(IFERROR(INDIRECT("'"&amp;$D$22&amp;"'!C9")&gt;1974,0),IFERROR(INDIRECT("'"&amp;$D$22&amp;"'!C9")&lt;1992,0)),INDIRECT("'"&amp;$D$22&amp;"'!GO_2031"),0)
+IF(AND(IFERROR(INDIRECT("'"&amp;$D$23&amp;"'!C9")&gt;1974,0),IFERROR(INDIRECT("'"&amp;$D$23&amp;"'!C9")&lt;1992,0)),INDIRECT("'"&amp;$D$23&amp;"'!GO_2031"),0)
+IF(AND(IFERROR(INDIRECT("'"&amp;$D$24&amp;"'!C9")&gt;1974,0),IFERROR(INDIRECT("'"&amp;$D$24&amp;"'!C9")&lt;1992,0)),INDIRECT("'"&amp;$D$24&amp;"'!GO_2031"),0)
+IF(AND(IFERROR(INDIRECT("'"&amp;$D$25&amp;"'!C9")&gt;1974,0),IFERROR(INDIRECT("'"&amp;$D$25&amp;"'!C9")&lt;1992,0)),INDIRECT("'"&amp;$D$25&amp;"'!GO_2031"),0)
+IF(AND(IFERROR(INDIRECT("'"&amp;$D$26&amp;"'!C9")&gt;1974,0),IFERROR(INDIRECT("'"&amp;$D$26&amp;"'!C9")&lt;1992,0)),INDIRECT("'"&amp;$D$26&amp;"'!GO_2031"),0)
+IF(AND(IFERROR(INDIRECT("'"&amp;$D$27&amp;"'!C9")&gt;1974,0),IFERROR(INDIRECT("'"&amp;$D$27&amp;"'!C9")&lt;1992,0)),INDIRECT("'"&amp;$D$27&amp;"'!GO_2031"),0)
+IF(AND(IFERROR(INDIRECT("'"&amp;$D$28&amp;"'!C9")&gt;1974,0),IFERROR(INDIRECT("'"&amp;$D$28&amp;"'!C9")&lt;1992,0)),INDIRECT("'"&amp;$D$28&amp;"'!GO_2031"),0)
+IF(AND(IFERROR(INDIRECT("'"&amp;$D$29&amp;"'!C9")&gt;1974,0),IFERROR(INDIRECT("'"&amp;$D$29&amp;"'!C9")&lt;1992,0)),INDIRECT("'"&amp;$D$29&amp;"'!GO_2031"),0)
+IF(AND(IFERROR(INDIRECT("'"&amp;$D$30&amp;"'!C9")&gt;1974,0),IFERROR(INDIRECT("'"&amp;$D$30&amp;"'!C9")&lt;1992,0)),INDIRECT("'"&amp;$D$30&amp;"'!GO_2031"),0)
+IF(AND(IFERROR(INDIRECT("'"&amp;$D$31&amp;"'!C9")&gt;1974,0),IFERROR(INDIRECT("'"&amp;$D$31&amp;"'!C9")&lt;1992,0)),INDIRECT("'"&amp;$D$31&amp;"'!GO_2031"),0)
+IF(AND(IFERROR(INDIRECT("'"&amp;$D$32&amp;"'!C9")&gt;1974,0),IFERROR(INDIRECT("'"&amp;$D$32&amp;"'!C9")&lt;1992,0)),INDIRECT("'"&amp;$D$32&amp;"'!GO_2031"),0)
+IF(AND(IFERROR(INDIRECT("'"&amp;$D$33&amp;"'!C9")&gt;1974,0),IFERROR(INDIRECT("'"&amp;$D$33&amp;"'!C9")&lt;1992,0)),INDIRECT("'"&amp;$D$33&amp;"'!GO_2031"),0)
+IF(AND(IFERROR(INDIRECT("'"&amp;$D$34&amp;"'!C9")&gt;1974,0),IFERROR(INDIRECT("'"&amp;$D$34&amp;"'!C9")&lt;1992,0)),INDIRECT("'"&amp;$D$34&amp;"'!GO_2031"),0)
+IF(AND(IFERROR(INDIRECT("'"&amp;$D$35&amp;"'!C9")&gt;1974,0),IFERROR(INDIRECT("'"&amp;$D$35&amp;"'!C9")&lt;1992,0)),INDIRECT("'"&amp;$D$35&amp;"'!GO_2031"),0)
+IF(AND(IFERROR(INDIRECT("'"&amp;$D$36&amp;"'!C9")&gt;1974,0),IFERROR(INDIRECT("'"&amp;$D$36&amp;"'!C9")&lt;1992,0)),INDIRECT("'"&amp;$D$36&amp;"'!GO_2031"),0)
+IF(AND(IFERROR(INDIRECT("'"&amp;$D$37&amp;"'!C9")&gt;1974,0),IFERROR(INDIRECT("'"&amp;$D$37&amp;"'!C9")&lt;1992,0)),INDIRECT("'"&amp;$D$37&amp;"'!GO_2031"),0)
+IF(AND(IFERROR(INDIRECT("'"&amp;$D$38&amp;"'!C9")&gt;1974,0),IFERROR(INDIRECT("'"&amp;$D$38&amp;"'!C9")&lt;1992,0)),INDIRECT("'"&amp;$D$38&amp;"'!GO_2031"),0)
+IF(AND(IFERROR(INDIRECT("'"&amp;$D$39&amp;"'!C9")&gt;1974,0),IFERROR(INDIRECT("'"&amp;$D$39&amp;"'!C9")&lt;1992,0)),INDIRECT("'"&amp;$D$39&amp;"'!GO_2031"),0)
+IF(AND(IFERROR(INDIRECT("'"&amp;$D$40&amp;"'!C9")&gt;1974,0),IFERROR(INDIRECT("'"&amp;$D$40&amp;"'!C9")&lt;1992,0)),INDIRECT("'"&amp;$D$40&amp;"'!GO_2031"),0)
+IF(AND(IFERROR(INDIRECT("'"&amp;$D$41&amp;"'!C9")&gt;1974,0),IFERROR(INDIRECT("'"&amp;$D$41&amp;"'!C9")&lt;1992,0)),INDIRECT("'"&amp;$D$41&amp;"'!GO_2031"),0)
+IF(AND(IFERROR(INDIRECT("'"&amp;$D$42&amp;"'!C9")&gt;1974,0),IFERROR(INDIRECT("'"&amp;$D$42&amp;"'!C9")&lt;1992,0)),INDIRECT("'"&amp;$D$42&amp;"'!GO_2031"),0)
+IF(AND(IFERROR(INDIRECT("'"&amp;$D$43&amp;"'!C9")&gt;1974,0),IFERROR(INDIRECT("'"&amp;$D$43&amp;"'!C9")&lt;1992,0)),INDIRECT("'"&amp;$D$43&amp;"'!GO_2031"),0)
+IF(AND(IFERROR(INDIRECT("'"&amp;$D$44&amp;"'!C9")&gt;1974,0),IFERROR(INDIRECT("'"&amp;$D$44&amp;"'!C9")&lt;1992,0)),INDIRECT("'"&amp;$D$44&amp;"'!GO_2031"),0)
+IF(AND(IFERROR(INDIRECT("'"&amp;$D$45&amp;"'!C9")&gt;1974,0),IFERROR(INDIRECT("'"&amp;$D$45&amp;"'!C9")&lt;1992,0)),INDIRECT("'"&amp;$D$45&amp;"'!GO_2031"),0)
+IF(AND(IFERROR(INDIRECT("'"&amp;$D$46&amp;"'!C9")&gt;1974,0),IFERROR(INDIRECT("'"&amp;$D$46&amp;"'!C9")&lt;1992,0)),INDIRECT("'"&amp;$D$46&amp;"'!GO_2031"),0)
+IF(AND(IFERROR(INDIRECT("'"&amp;$D$47&amp;"'!C9")&gt;1974,0),IFERROR(INDIRECT("'"&amp;$D$47&amp;"'!C9")&lt;1992,0)),INDIRECT("'"&amp;$D$47&amp;"'!GO_2031"),0)
+IF(AND(IFERROR(INDIRECT("'"&amp;$D$48&amp;"'!C9")&gt;1974,0),IFERROR(INDIRECT("'"&amp;$D$48&amp;"'!C9")&lt;1992,0)),INDIRECT("'"&amp;$D$48&amp;"'!GO_2031"),0)
+IF(AND(IFERROR(INDIRECT("'"&amp;$D$49&amp;"'!C9")&gt;1974,0),IFERROR(INDIRECT("'"&amp;$D$49&amp;"'!C9")&lt;1992,0)),INDIRECT("'"&amp;$D$49&amp;"'!GO_2031"),0)
+IF(AND(IFERROR(INDIRECT("'"&amp;$D$50&amp;"'!C9")&gt;1974,0),IFERROR(INDIRECT("'"&amp;$D$50&amp;"'!C9")&lt;1992,0)),INDIRECT("'"&amp;$D$50&amp;"'!GO_2031"),0)
+IF(AND(IFERROR(INDIRECT("'"&amp;$D$51&amp;"'!C9")&gt;1974,0),IFERROR(INDIRECT("'"&amp;$D$51&amp;"'!C9")&lt;1992,0)),INDIRECT("'"&amp;$D$51&amp;"'!GO_2031"),0)
+IF(AND(IFERROR(INDIRECT("'"&amp;$D$52&amp;"'!C9")&gt;1974,0),IFERROR(INDIRECT("'"&amp;$D$52&amp;"'!C9")&lt;1992,0)),INDIRECT("'"&amp;$D$52&amp;"'!GO_2031"),0)
+IF(AND(IFERROR(INDIRECT("'"&amp;$D$53&amp;"'!C9")&gt;1974,0),IFERROR(INDIRECT("'"&amp;$D$53&amp;"'!C9")&lt;1992,0)),INDIRECT("'"&amp;$D$53&amp;"'!GO_2031"),0)
+IF(AND(IFERROR(INDIRECT("'"&amp;$D$54&amp;"'!C9")&gt;1974,0),IFERROR(INDIRECT("'"&amp;$D$54&amp;"'!C9")&lt;1992,0)),INDIRECT("'"&amp;$D$54&amp;"'!GO_2031"),0)</f>
        <v>8122</v>
      </c>
      <c r="V26" s="321">
        <f ca="1">IF(AND(IFERROR(INDIRECT("'"&amp;$D$5&amp;"'!C9")&gt;1974,0),IFERROR(INDIRECT("'"&amp;$D$5&amp;"'!C9")&lt;1992,0)),INDIRECT("'"&amp;$D$5&amp;"'!GO_2032"),0)
+IF(AND(IFERROR(INDIRECT("'"&amp;$D$6&amp;"'!C9")&gt;1974,0),IFERROR(INDIRECT("'"&amp;$D$6&amp;"'!C9")&lt;1992,0)),INDIRECT("'"&amp;$D$6&amp;"'!GO_2032"),0)
+IF(AND(IFERROR(INDIRECT("'"&amp;$D$7&amp;"'!C9")&gt;1974,0),IFERROR(INDIRECT("'"&amp;$D$7&amp;"'!C9")&lt;1992,0)),INDIRECT("'"&amp;$D$7&amp;"'!GO_2032"),0)
+IF(AND(IFERROR(INDIRECT("'"&amp;$D$8&amp;"'!C9")&gt;1974,0),IFERROR(INDIRECT("'"&amp;$D$8&amp;"'!C9")&lt;1992,0)),INDIRECT("'"&amp;$D$8&amp;"'!GO_2032"),0)
+IF(AND(IFERROR(INDIRECT("'"&amp;$D$9&amp;"'!C9")&gt;1974,0),IFERROR(INDIRECT("'"&amp;$D$9&amp;"'!C9")&lt;1992,0)),INDIRECT("'"&amp;$D$9&amp;"'!GO_2032"),0)
+IF(AND(IFERROR(INDIRECT("'"&amp;$D$10&amp;"'!C9")&gt;1974,0),IFERROR(INDIRECT("'"&amp;$D$10&amp;"'!C9")&lt;1992,0)),INDIRECT("'"&amp;$D$10&amp;"'!GO_2032"),0)
+IF(AND(IFERROR(INDIRECT("'"&amp;$D$11&amp;"'!C9")&gt;1974,0),IFERROR(INDIRECT("'"&amp;$D$11&amp;"'!C9")&lt;1992,0)),INDIRECT("'"&amp;$D$11&amp;"'!GO_2032"),0)
+IF(AND(IFERROR(INDIRECT("'"&amp;$D$12&amp;"'!C9")&gt;1974,0),IFERROR(INDIRECT("'"&amp;$D$12&amp;"'!C9")&lt;1992,0)),INDIRECT("'"&amp;$D$12&amp;"'!GO_2032"),0)
+IF(AND(IFERROR(INDIRECT("'"&amp;$D$13&amp;"'!C9")&gt;1974,0),IFERROR(INDIRECT("'"&amp;$D$13&amp;"'!C9")&lt;1992,0)),INDIRECT("'"&amp;$D$13&amp;"'!GO_2032"),0)
+IF(AND(IFERROR(INDIRECT("'"&amp;$D$14&amp;"'!C9")&gt;1974,0),IFERROR(INDIRECT("'"&amp;$D$14&amp;"'!C9")&lt;1992,0)),INDIRECT("'"&amp;$D$14&amp;"'!GO_2032"),0)
+IF(AND(IFERROR(INDIRECT("'"&amp;$D$15&amp;"'!C9")&gt;1974,0),IFERROR(INDIRECT("'"&amp;$D$15&amp;"'!C9")&lt;1992,0)),INDIRECT("'"&amp;$D$15&amp;"'!GO_2032"),0)
+IF(AND(IFERROR(INDIRECT("'"&amp;$D$16&amp;"'!C9")&gt;1974,0),IFERROR(INDIRECT("'"&amp;$D$16&amp;"'!C9")&lt;1992,0)),INDIRECT("'"&amp;$D$16&amp;"'!GO_2032"),0)
+IF(AND(IFERROR(INDIRECT("'"&amp;$D$17&amp;"'!C9")&gt;1974,0),IFERROR(INDIRECT("'"&amp;$D$17&amp;"'!C9")&lt;1992,0)),INDIRECT("'"&amp;$D$17&amp;"'!GO_2032"),0)
+IF(AND(IFERROR(INDIRECT("'"&amp;$D$18&amp;"'!C9")&gt;1974,0),IFERROR(INDIRECT("'"&amp;$D$18&amp;"'!C9")&lt;1992,0)),INDIRECT("'"&amp;$D$18&amp;"'!GO_2032"),0)
+IF(AND(IFERROR(INDIRECT("'"&amp;$D$19&amp;"'!C9")&gt;1974,0),IFERROR(INDIRECT("'"&amp;$D$19&amp;"'!C9")&lt;1992,0)),INDIRECT("'"&amp;$D$19&amp;"'!GO_2032"),0)
+IF(AND(IFERROR(INDIRECT("'"&amp;$D$20&amp;"'!C9")&gt;1974,0),IFERROR(INDIRECT("'"&amp;$D$20&amp;"'!C9")&lt;1992,0)),INDIRECT("'"&amp;$D$20&amp;"'!GO_2032"),0)
+IF(AND(IFERROR(INDIRECT("'"&amp;$D$21&amp;"'!C9")&gt;1974,0),IFERROR(INDIRECT("'"&amp;$D$21&amp;"'!C9")&lt;1992,0)),INDIRECT("'"&amp;$D$21&amp;"'!GO_2032"),0)
+IF(AND(IFERROR(INDIRECT("'"&amp;$D$22&amp;"'!C9")&gt;1974,0),IFERROR(INDIRECT("'"&amp;$D$22&amp;"'!C9")&lt;1992,0)),INDIRECT("'"&amp;$D$22&amp;"'!GO_2032"),0)
+IF(AND(IFERROR(INDIRECT("'"&amp;$D$23&amp;"'!C9")&gt;1974,0),IFERROR(INDIRECT("'"&amp;$D$23&amp;"'!C9")&lt;1992,0)),INDIRECT("'"&amp;$D$23&amp;"'!GO_2032"),0)
+IF(AND(IFERROR(INDIRECT("'"&amp;$D$24&amp;"'!C9")&gt;1974,0),IFERROR(INDIRECT("'"&amp;$D$24&amp;"'!C9")&lt;1992,0)),INDIRECT("'"&amp;$D$24&amp;"'!GO_2032"),0)
+IF(AND(IFERROR(INDIRECT("'"&amp;$D$25&amp;"'!C9")&gt;1974,0),IFERROR(INDIRECT("'"&amp;$D$25&amp;"'!C9")&lt;1992,0)),INDIRECT("'"&amp;$D$25&amp;"'!GO_2032"),0)
+IF(AND(IFERROR(INDIRECT("'"&amp;$D$26&amp;"'!C9")&gt;1974,0),IFERROR(INDIRECT("'"&amp;$D$26&amp;"'!C9")&lt;1992,0)),INDIRECT("'"&amp;$D$26&amp;"'!GO_2032"),0)
+IF(AND(IFERROR(INDIRECT("'"&amp;$D$27&amp;"'!C9")&gt;1974,0),IFERROR(INDIRECT("'"&amp;$D$27&amp;"'!C9")&lt;1992,0)),INDIRECT("'"&amp;$D$27&amp;"'!GO_2032"),0)
+IF(AND(IFERROR(INDIRECT("'"&amp;$D$28&amp;"'!C9")&gt;1974,0),IFERROR(INDIRECT("'"&amp;$D$28&amp;"'!C9")&lt;1992,0)),INDIRECT("'"&amp;$D$28&amp;"'!GO_2032"),0)
+IF(AND(IFERROR(INDIRECT("'"&amp;$D$29&amp;"'!C9")&gt;1974,0),IFERROR(INDIRECT("'"&amp;$D$29&amp;"'!C9")&lt;1992,0)),INDIRECT("'"&amp;$D$29&amp;"'!GO_2032"),0)
+IF(AND(IFERROR(INDIRECT("'"&amp;$D$30&amp;"'!C9")&gt;1974,0),IFERROR(INDIRECT("'"&amp;$D$30&amp;"'!C9")&lt;1992,0)),INDIRECT("'"&amp;$D$30&amp;"'!GO_2032"),0)
+IF(AND(IFERROR(INDIRECT("'"&amp;$D$31&amp;"'!C9")&gt;1974,0),IFERROR(INDIRECT("'"&amp;$D$31&amp;"'!C9")&lt;1992,0)),INDIRECT("'"&amp;$D$31&amp;"'!GO_2032"),0)
+IF(AND(IFERROR(INDIRECT("'"&amp;$D$32&amp;"'!C9")&gt;1974,0),IFERROR(INDIRECT("'"&amp;$D$32&amp;"'!C9")&lt;1992,0)),INDIRECT("'"&amp;$D$32&amp;"'!GO_2032"),0)
+IF(AND(IFERROR(INDIRECT("'"&amp;$D$33&amp;"'!C9")&gt;1974,0),IFERROR(INDIRECT("'"&amp;$D$33&amp;"'!C9")&lt;1992,0)),INDIRECT("'"&amp;$D$33&amp;"'!GO_2032"),0)
+IF(AND(IFERROR(INDIRECT("'"&amp;$D$34&amp;"'!C9")&gt;1974,0),IFERROR(INDIRECT("'"&amp;$D$34&amp;"'!C9")&lt;1992,0)),INDIRECT("'"&amp;$D$34&amp;"'!GO_2032"),0)
+IF(AND(IFERROR(INDIRECT("'"&amp;$D$35&amp;"'!C9")&gt;1974,0),IFERROR(INDIRECT("'"&amp;$D$35&amp;"'!C9")&lt;1992,0)),INDIRECT("'"&amp;$D$35&amp;"'!GO_2032"),0)
+IF(AND(IFERROR(INDIRECT("'"&amp;$D$36&amp;"'!C9")&gt;1974,0),IFERROR(INDIRECT("'"&amp;$D$36&amp;"'!C9")&lt;1992,0)),INDIRECT("'"&amp;$D$36&amp;"'!GO_2032"),0)
+IF(AND(IFERROR(INDIRECT("'"&amp;$D$37&amp;"'!C9")&gt;1974,0),IFERROR(INDIRECT("'"&amp;$D$37&amp;"'!C9")&lt;1992,0)),INDIRECT("'"&amp;$D$37&amp;"'!GO_2032"),0)
+IF(AND(IFERROR(INDIRECT("'"&amp;$D$38&amp;"'!C9")&gt;1974,0),IFERROR(INDIRECT("'"&amp;$D$38&amp;"'!C9")&lt;1992,0)),INDIRECT("'"&amp;$D$38&amp;"'!GO_2032"),0)
+IF(AND(IFERROR(INDIRECT("'"&amp;$D$39&amp;"'!C9")&gt;1974,0),IFERROR(INDIRECT("'"&amp;$D$39&amp;"'!C9")&lt;1992,0)),INDIRECT("'"&amp;$D$39&amp;"'!GO_2032"),0)
+IF(AND(IFERROR(INDIRECT("'"&amp;$D$40&amp;"'!C9")&gt;1974,0),IFERROR(INDIRECT("'"&amp;$D$40&amp;"'!C9")&lt;1992,0)),INDIRECT("'"&amp;$D$40&amp;"'!GO_2032"),0)
+IF(AND(IFERROR(INDIRECT("'"&amp;$D$41&amp;"'!C9")&gt;1974,0),IFERROR(INDIRECT("'"&amp;$D$41&amp;"'!C9")&lt;1992,0)),INDIRECT("'"&amp;$D$41&amp;"'!GO_2032"),0)
+IF(AND(IFERROR(INDIRECT("'"&amp;$D$42&amp;"'!C9")&gt;1974,0),IFERROR(INDIRECT("'"&amp;$D$42&amp;"'!C9")&lt;1992,0)),INDIRECT("'"&amp;$D$42&amp;"'!GO_2032"),0)
+IF(AND(IFERROR(INDIRECT("'"&amp;$D$43&amp;"'!C9")&gt;1974,0),IFERROR(INDIRECT("'"&amp;$D$43&amp;"'!C9")&lt;1992,0)),INDIRECT("'"&amp;$D$43&amp;"'!GO_2032"),0)
+IF(AND(IFERROR(INDIRECT("'"&amp;$D$44&amp;"'!C9")&gt;1974,0),IFERROR(INDIRECT("'"&amp;$D$44&amp;"'!C9")&lt;1992,0)),INDIRECT("'"&amp;$D$44&amp;"'!GO_2032"),0)
+IF(AND(IFERROR(INDIRECT("'"&amp;$D$45&amp;"'!C9")&gt;1974,0),IFERROR(INDIRECT("'"&amp;$D$45&amp;"'!C9")&lt;1992,0)),INDIRECT("'"&amp;$D$45&amp;"'!GO_2032"),0)
+IF(AND(IFERROR(INDIRECT("'"&amp;$D$46&amp;"'!C9")&gt;1974,0),IFERROR(INDIRECT("'"&amp;$D$46&amp;"'!C9")&lt;1992,0)),INDIRECT("'"&amp;$D$46&amp;"'!GO_2032"),0)
+IF(AND(IFERROR(INDIRECT("'"&amp;$D$47&amp;"'!C9")&gt;1974,0),IFERROR(INDIRECT("'"&amp;$D$47&amp;"'!C9")&lt;1992,0)),INDIRECT("'"&amp;$D$47&amp;"'!GO_2032"),0)
+IF(AND(IFERROR(INDIRECT("'"&amp;$D$48&amp;"'!C9")&gt;1974,0),IFERROR(INDIRECT("'"&amp;$D$48&amp;"'!C9")&lt;1992,0)),INDIRECT("'"&amp;$D$48&amp;"'!GO_2032"),0)
+IF(AND(IFERROR(INDIRECT("'"&amp;$D$49&amp;"'!C9")&gt;1974,0),IFERROR(INDIRECT("'"&amp;$D$49&amp;"'!C9")&lt;1992,0)),INDIRECT("'"&amp;$D$49&amp;"'!GO_2032"),0)
+IF(AND(IFERROR(INDIRECT("'"&amp;$D$50&amp;"'!C9")&gt;1974,0),IFERROR(INDIRECT("'"&amp;$D$50&amp;"'!C9")&lt;1992,0)),INDIRECT("'"&amp;$D$50&amp;"'!GO_2032"),0)
+IF(AND(IFERROR(INDIRECT("'"&amp;$D$51&amp;"'!C9")&gt;1974,0),IFERROR(INDIRECT("'"&amp;$D$51&amp;"'!C9")&lt;1992,0)),INDIRECT("'"&amp;$D$51&amp;"'!GO_2032"),0)
+IF(AND(IFERROR(INDIRECT("'"&amp;$D$52&amp;"'!C9")&gt;1974,0),IFERROR(INDIRECT("'"&amp;$D$52&amp;"'!C9")&lt;1992,0)),INDIRECT("'"&amp;$D$52&amp;"'!GO_2032"),0)
+IF(AND(IFERROR(INDIRECT("'"&amp;$D$53&amp;"'!C9")&gt;1974,0),IFERROR(INDIRECT("'"&amp;$D$53&amp;"'!C9")&lt;1992,0)),INDIRECT("'"&amp;$D$53&amp;"'!GO_2032"),0)
+IF(AND(IFERROR(INDIRECT("'"&amp;$D$54&amp;"'!C9")&gt;1974,0),IFERROR(INDIRECT("'"&amp;$D$54&amp;"'!C9")&lt;1992,0)),INDIRECT("'"&amp;$D$54&amp;"'!GO_2032"),0)</f>
        <v>5342.96</v>
      </c>
      <c r="W26" s="321">
        <f ca="1">IF(AND(IFERROR(INDIRECT("'"&amp;$D$5&amp;"'!C9")&gt;1974,0),IFERROR(INDIRECT("'"&amp;$D$5&amp;"'!C9")&lt;1992,0)),INDIRECT("'"&amp;$D$5&amp;"'!GO_2033"),0)
+IF(AND(IFERROR(INDIRECT("'"&amp;$D$6&amp;"'!C9")&gt;1974,0),IFERROR(INDIRECT("'"&amp;$D$6&amp;"'!C9")&lt;1992,0)),INDIRECT("'"&amp;$D$6&amp;"'!GO_2033"),0)
+IF(AND(IFERROR(INDIRECT("'"&amp;$D$7&amp;"'!C9")&gt;1974,0),IFERROR(INDIRECT("'"&amp;$D$7&amp;"'!C9")&lt;1992,0)),INDIRECT("'"&amp;$D$7&amp;"'!GO_2033"),0)
+IF(AND(IFERROR(INDIRECT("'"&amp;$D$8&amp;"'!C9")&gt;1974,0),IFERROR(INDIRECT("'"&amp;$D$8&amp;"'!C9")&lt;1992,0)),INDIRECT("'"&amp;$D$8&amp;"'!GO_2033"),0)
+IF(AND(IFERROR(INDIRECT("'"&amp;$D$9&amp;"'!C9")&gt;1974,0),IFERROR(INDIRECT("'"&amp;$D$9&amp;"'!C9")&lt;1992,0)),INDIRECT("'"&amp;$D$9&amp;"'!GO_2033"),0)
+IF(AND(IFERROR(INDIRECT("'"&amp;$D$10&amp;"'!C9")&gt;1974,0),IFERROR(INDIRECT("'"&amp;$D$10&amp;"'!C9")&lt;1992,0)),INDIRECT("'"&amp;$D$10&amp;"'!GO_2033"),0)
+IF(AND(IFERROR(INDIRECT("'"&amp;$D$11&amp;"'!C9")&gt;1974,0),IFERROR(INDIRECT("'"&amp;$D$11&amp;"'!C9")&lt;1992,0)),INDIRECT("'"&amp;$D$11&amp;"'!GO_2033"),0)
+IF(AND(IFERROR(INDIRECT("'"&amp;$D$12&amp;"'!C9")&gt;1974,0),IFERROR(INDIRECT("'"&amp;$D$12&amp;"'!C9")&lt;1992,0)),INDIRECT("'"&amp;$D$12&amp;"'!GO_2033"),0)
+IF(AND(IFERROR(INDIRECT("'"&amp;$D$13&amp;"'!C9")&gt;1974,0),IFERROR(INDIRECT("'"&amp;$D$13&amp;"'!C9")&lt;1992,0)),INDIRECT("'"&amp;$D$13&amp;"'!GO_2033"),0)
+IF(AND(IFERROR(INDIRECT("'"&amp;$D$14&amp;"'!C9")&gt;1974,0),IFERROR(INDIRECT("'"&amp;$D$14&amp;"'!C9")&lt;1992,0)),INDIRECT("'"&amp;$D$14&amp;"'!GO_2033"),0)
+IF(AND(IFERROR(INDIRECT("'"&amp;$D$15&amp;"'!C9")&gt;1974,0),IFERROR(INDIRECT("'"&amp;$D$15&amp;"'!C9")&lt;1992,0)),INDIRECT("'"&amp;$D$15&amp;"'!GO_2033"),0)
+IF(AND(IFERROR(INDIRECT("'"&amp;$D$16&amp;"'!C9")&gt;1974,0),IFERROR(INDIRECT("'"&amp;$D$16&amp;"'!C9")&lt;1992,0)),INDIRECT("'"&amp;$D$16&amp;"'!GO_2033"),0)
+IF(AND(IFERROR(INDIRECT("'"&amp;$D$17&amp;"'!C9")&gt;1974,0),IFERROR(INDIRECT("'"&amp;$D$17&amp;"'!C9")&lt;1992,0)),INDIRECT("'"&amp;$D$17&amp;"'!GO_2033"),0)
+IF(AND(IFERROR(INDIRECT("'"&amp;$D$18&amp;"'!C9")&gt;1974,0),IFERROR(INDIRECT("'"&amp;$D$18&amp;"'!C9")&lt;1992,0)),INDIRECT("'"&amp;$D$18&amp;"'!GO_2033"),0)
+IF(AND(IFERROR(INDIRECT("'"&amp;$D$19&amp;"'!C9")&gt;1974,0),IFERROR(INDIRECT("'"&amp;$D$19&amp;"'!C9")&lt;1992,0)),INDIRECT("'"&amp;$D$19&amp;"'!GO_2033"),0)
+IF(AND(IFERROR(INDIRECT("'"&amp;$D$20&amp;"'!C9")&gt;1974,0),IFERROR(INDIRECT("'"&amp;$D$20&amp;"'!C9")&lt;1992,0)),INDIRECT("'"&amp;$D$20&amp;"'!GO_2033"),0)
+IF(AND(IFERROR(INDIRECT("'"&amp;$D$21&amp;"'!C9")&gt;1974,0),IFERROR(INDIRECT("'"&amp;$D$21&amp;"'!C9")&lt;1992,0)),INDIRECT("'"&amp;$D$21&amp;"'!GO_2033"),0)
+IF(AND(IFERROR(INDIRECT("'"&amp;$D$22&amp;"'!C9")&gt;1974,0),IFERROR(INDIRECT("'"&amp;$D$22&amp;"'!C9")&lt;1992,0)),INDIRECT("'"&amp;$D$22&amp;"'!GO_2033"),0)
+IF(AND(IFERROR(INDIRECT("'"&amp;$D$23&amp;"'!C9")&gt;1974,0),IFERROR(INDIRECT("'"&amp;$D$23&amp;"'!C9")&lt;1992,0)),INDIRECT("'"&amp;$D$23&amp;"'!GO_2033"),0)
+IF(AND(IFERROR(INDIRECT("'"&amp;$D$24&amp;"'!C9")&gt;1974,0),IFERROR(INDIRECT("'"&amp;$D$24&amp;"'!C9")&lt;1992,0)),INDIRECT("'"&amp;$D$24&amp;"'!GO_2033"),0)
+IF(AND(IFERROR(INDIRECT("'"&amp;$D$25&amp;"'!C9")&gt;1974,0),IFERROR(INDIRECT("'"&amp;$D$25&amp;"'!C9")&lt;1992,0)),INDIRECT("'"&amp;$D$25&amp;"'!GO_2033"),0)
+IF(AND(IFERROR(INDIRECT("'"&amp;$D$26&amp;"'!C9")&gt;1974,0),IFERROR(INDIRECT("'"&amp;$D$26&amp;"'!C9")&lt;1992,0)),INDIRECT("'"&amp;$D$26&amp;"'!GO_2033"),0)
+IF(AND(IFERROR(INDIRECT("'"&amp;$D$27&amp;"'!C9")&gt;1974,0),IFERROR(INDIRECT("'"&amp;$D$27&amp;"'!C9")&lt;1992,0)),INDIRECT("'"&amp;$D$27&amp;"'!GO_2033"),0)
+IF(AND(IFERROR(INDIRECT("'"&amp;$D$28&amp;"'!C9")&gt;1974,0),IFERROR(INDIRECT("'"&amp;$D$28&amp;"'!C9")&lt;1992,0)),INDIRECT("'"&amp;$D$28&amp;"'!GO_2033"),0)
+IF(AND(IFERROR(INDIRECT("'"&amp;$D$29&amp;"'!C9")&gt;1974,0),IFERROR(INDIRECT("'"&amp;$D$29&amp;"'!C9")&lt;1992,0)),INDIRECT("'"&amp;$D$29&amp;"'!GO_2033"),0)
+IF(AND(IFERROR(INDIRECT("'"&amp;$D$30&amp;"'!C9")&gt;1974,0),IFERROR(INDIRECT("'"&amp;$D$30&amp;"'!C9")&lt;1992,0)),INDIRECT("'"&amp;$D$30&amp;"'!GO_2033"),0)
+IF(AND(IFERROR(INDIRECT("'"&amp;$D$31&amp;"'!C9")&gt;1974,0),IFERROR(INDIRECT("'"&amp;$D$31&amp;"'!C9")&lt;1992,0)),INDIRECT("'"&amp;$D$31&amp;"'!GO_2033"),0)
+IF(AND(IFERROR(INDIRECT("'"&amp;$D$32&amp;"'!C9")&gt;1974,0),IFERROR(INDIRECT("'"&amp;$D$32&amp;"'!C9")&lt;1992,0)),INDIRECT("'"&amp;$D$32&amp;"'!GO_2033"),0)
+IF(AND(IFERROR(INDIRECT("'"&amp;$D$33&amp;"'!C9")&gt;1974,0),IFERROR(INDIRECT("'"&amp;$D$33&amp;"'!C9")&lt;1992,0)),INDIRECT("'"&amp;$D$33&amp;"'!GO_2033"),0)
+IF(AND(IFERROR(INDIRECT("'"&amp;$D$34&amp;"'!C9")&gt;1974,0),IFERROR(INDIRECT("'"&amp;$D$34&amp;"'!C9")&lt;1992,0)),INDIRECT("'"&amp;$D$34&amp;"'!GO_2033"),0)
+IF(AND(IFERROR(INDIRECT("'"&amp;$D$35&amp;"'!C9")&gt;1974,0),IFERROR(INDIRECT("'"&amp;$D$35&amp;"'!C9")&lt;1992,0)),INDIRECT("'"&amp;$D$35&amp;"'!GO_2033"),0)
+IF(AND(IFERROR(INDIRECT("'"&amp;$D$36&amp;"'!C9")&gt;1974,0),IFERROR(INDIRECT("'"&amp;$D$36&amp;"'!C9")&lt;1992,0)),INDIRECT("'"&amp;$D$36&amp;"'!GO_2033"),0)
+IF(AND(IFERROR(INDIRECT("'"&amp;$D$37&amp;"'!C9")&gt;1974,0),IFERROR(INDIRECT("'"&amp;$D$37&amp;"'!C9")&lt;1992,0)),INDIRECT("'"&amp;$D$37&amp;"'!GO_2033"),0)
+IF(AND(IFERROR(INDIRECT("'"&amp;$D$38&amp;"'!C9")&gt;1974,0),IFERROR(INDIRECT("'"&amp;$D$38&amp;"'!C9")&lt;1992,0)),INDIRECT("'"&amp;$D$38&amp;"'!GO_2033"),0)
+IF(AND(IFERROR(INDIRECT("'"&amp;$D$39&amp;"'!C9")&gt;1974,0),IFERROR(INDIRECT("'"&amp;$D$39&amp;"'!C9")&lt;1992,0)),INDIRECT("'"&amp;$D$39&amp;"'!GO_2033"),0)
+IF(AND(IFERROR(INDIRECT("'"&amp;$D$40&amp;"'!C9")&gt;1974,0),IFERROR(INDIRECT("'"&amp;$D$40&amp;"'!C9")&lt;1992,0)),INDIRECT("'"&amp;$D$40&amp;"'!GO_2033"),0)
+IF(AND(IFERROR(INDIRECT("'"&amp;$D$41&amp;"'!C9")&gt;1974,0),IFERROR(INDIRECT("'"&amp;$D$41&amp;"'!C9")&lt;1992,0)),INDIRECT("'"&amp;$D$41&amp;"'!GO_2033"),0)
+IF(AND(IFERROR(INDIRECT("'"&amp;$D$42&amp;"'!C9")&gt;1974,0),IFERROR(INDIRECT("'"&amp;$D$42&amp;"'!C9")&lt;1992,0)),INDIRECT("'"&amp;$D$42&amp;"'!GO_2033"),0)
+IF(AND(IFERROR(INDIRECT("'"&amp;$D$43&amp;"'!C9")&gt;1974,0),IFERROR(INDIRECT("'"&amp;$D$43&amp;"'!C9")&lt;1992,0)),INDIRECT("'"&amp;$D$43&amp;"'!GO_2033"),0)
+IF(AND(IFERROR(INDIRECT("'"&amp;$D$44&amp;"'!C9")&gt;1974,0),IFERROR(INDIRECT("'"&amp;$D$44&amp;"'!C9")&lt;1992,0)),INDIRECT("'"&amp;$D$44&amp;"'!GO_2033"),0)
+IF(AND(IFERROR(INDIRECT("'"&amp;$D$45&amp;"'!C9")&gt;1974,0),IFERROR(INDIRECT("'"&amp;$D$45&amp;"'!C9")&lt;1992,0)),INDIRECT("'"&amp;$D$45&amp;"'!GO_2033"),0)
+IF(AND(IFERROR(INDIRECT("'"&amp;$D$46&amp;"'!C9")&gt;1974,0),IFERROR(INDIRECT("'"&amp;$D$46&amp;"'!C9")&lt;1992,0)),INDIRECT("'"&amp;$D$46&amp;"'!GO_2033"),0)
+IF(AND(IFERROR(INDIRECT("'"&amp;$D$47&amp;"'!C9")&gt;1974,0),IFERROR(INDIRECT("'"&amp;$D$47&amp;"'!C9")&lt;1992,0)),INDIRECT("'"&amp;$D$47&amp;"'!GO_2033"),0)
+IF(AND(IFERROR(INDIRECT("'"&amp;$D$48&amp;"'!C9")&gt;1974,0),IFERROR(INDIRECT("'"&amp;$D$48&amp;"'!C9")&lt;1992,0)),INDIRECT("'"&amp;$D$48&amp;"'!GO_2033"),0)
+IF(AND(IFERROR(INDIRECT("'"&amp;$D$49&amp;"'!C9")&gt;1974,0),IFERROR(INDIRECT("'"&amp;$D$49&amp;"'!C9")&lt;1992,0)),INDIRECT("'"&amp;$D$49&amp;"'!GO_2033"),0)
+IF(AND(IFERROR(INDIRECT("'"&amp;$D$50&amp;"'!C9")&gt;1974,0),IFERROR(INDIRECT("'"&amp;$D$50&amp;"'!C9")&lt;1992,0)),INDIRECT("'"&amp;$D$50&amp;"'!GO_2033"),0)
+IF(AND(IFERROR(INDIRECT("'"&amp;$D$51&amp;"'!C9")&gt;1974,0),IFERROR(INDIRECT("'"&amp;$D$51&amp;"'!C9")&lt;1992,0)),INDIRECT("'"&amp;$D$51&amp;"'!GO_2033"),0)
+IF(AND(IFERROR(INDIRECT("'"&amp;$D$52&amp;"'!C9")&gt;1974,0),IFERROR(INDIRECT("'"&amp;$D$52&amp;"'!C9")&lt;1992,0)),INDIRECT("'"&amp;$D$52&amp;"'!GO_2033"),0)
+IF(AND(IFERROR(INDIRECT("'"&amp;$D$53&amp;"'!C9")&gt;1974,0),IFERROR(INDIRECT("'"&amp;$D$53&amp;"'!C9")&lt;1992,0)),INDIRECT("'"&amp;$D$53&amp;"'!GO_2033"),0)
+IF(AND(IFERROR(INDIRECT("'"&amp;$D$54&amp;"'!C9")&gt;1974,0),IFERROR(INDIRECT("'"&amp;$D$54&amp;"'!C9")&lt;1992,0)),INDIRECT("'"&amp;$D$54&amp;"'!GO_2033"),0)</f>
        <v>5342.96</v>
      </c>
      <c r="X26" s="321">
        <f ca="1">IF(AND(IFERROR(INDIRECT("'"&amp;$D$5&amp;"'!C9")&gt;1974,0),IFERROR(INDIRECT("'"&amp;$D$5&amp;"'!C9")&lt;1992,0)),INDIRECT("'"&amp;$D$5&amp;"'!GO_2034"),0)
+IF(AND(IFERROR(INDIRECT("'"&amp;$D$6&amp;"'!C9")&gt;1974,0),IFERROR(INDIRECT("'"&amp;$D$6&amp;"'!C9")&lt;1992,0)),INDIRECT("'"&amp;$D$6&amp;"'!GO_2034"),0)
+IF(AND(IFERROR(INDIRECT("'"&amp;$D$7&amp;"'!C9")&gt;1974,0),IFERROR(INDIRECT("'"&amp;$D$7&amp;"'!C9")&lt;1992,0)),INDIRECT("'"&amp;$D$7&amp;"'!GO_2034"),0)
+IF(AND(IFERROR(INDIRECT("'"&amp;$D$8&amp;"'!C9")&gt;1974,0),IFERROR(INDIRECT("'"&amp;$D$8&amp;"'!C9")&lt;1992,0)),INDIRECT("'"&amp;$D$8&amp;"'!GO_2034"),0)
+IF(AND(IFERROR(INDIRECT("'"&amp;$D$9&amp;"'!C9")&gt;1974,0),IFERROR(INDIRECT("'"&amp;$D$9&amp;"'!C9")&lt;1992,0)),INDIRECT("'"&amp;$D$9&amp;"'!GO_2034"),0)
+IF(AND(IFERROR(INDIRECT("'"&amp;$D$10&amp;"'!C9")&gt;1974,0),IFERROR(INDIRECT("'"&amp;$D$10&amp;"'!C9")&lt;1992,0)),INDIRECT("'"&amp;$D$10&amp;"'!GO_2034"),0)
+IF(AND(IFERROR(INDIRECT("'"&amp;$D$11&amp;"'!C9")&gt;1974,0),IFERROR(INDIRECT("'"&amp;$D$11&amp;"'!C9")&lt;1992,0)),INDIRECT("'"&amp;$D$11&amp;"'!GO_2034"),0)
+IF(AND(IFERROR(INDIRECT("'"&amp;$D$12&amp;"'!C9")&gt;1974,0),IFERROR(INDIRECT("'"&amp;$D$12&amp;"'!C9")&lt;1992,0)),INDIRECT("'"&amp;$D$12&amp;"'!GO_2034"),0)
+IF(AND(IFERROR(INDIRECT("'"&amp;$D$13&amp;"'!C9")&gt;1974,0),IFERROR(INDIRECT("'"&amp;$D$13&amp;"'!C9")&lt;1992,0)),INDIRECT("'"&amp;$D$13&amp;"'!GO_2034"),0)
+IF(AND(IFERROR(INDIRECT("'"&amp;$D$14&amp;"'!C9")&gt;1974,0),IFERROR(INDIRECT("'"&amp;$D$14&amp;"'!C9")&lt;1992,0)),INDIRECT("'"&amp;$D$14&amp;"'!GO_2034"),0)
+IF(AND(IFERROR(INDIRECT("'"&amp;$D$15&amp;"'!C9")&gt;1974,0),IFERROR(INDIRECT("'"&amp;$D$15&amp;"'!C9")&lt;1992,0)),INDIRECT("'"&amp;$D$15&amp;"'!GO_2034"),0)
+IF(AND(IFERROR(INDIRECT("'"&amp;$D$16&amp;"'!C9")&gt;1974,0),IFERROR(INDIRECT("'"&amp;$D$16&amp;"'!C9")&lt;1992,0)),INDIRECT("'"&amp;$D$16&amp;"'!GO_2034"),0)
+IF(AND(IFERROR(INDIRECT("'"&amp;$D$17&amp;"'!C9")&gt;1974,0),IFERROR(INDIRECT("'"&amp;$D$17&amp;"'!C9")&lt;1992,0)),INDIRECT("'"&amp;$D$17&amp;"'!GO_2034"),0)
+IF(AND(IFERROR(INDIRECT("'"&amp;$D$18&amp;"'!C9")&gt;1974,0),IFERROR(INDIRECT("'"&amp;$D$18&amp;"'!C9")&lt;1992,0)),INDIRECT("'"&amp;$D$18&amp;"'!GO_2034"),0)
+IF(AND(IFERROR(INDIRECT("'"&amp;$D$19&amp;"'!C9")&gt;1974,0),IFERROR(INDIRECT("'"&amp;$D$19&amp;"'!C9")&lt;1992,0)),INDIRECT("'"&amp;$D$19&amp;"'!GO_2034"),0)
+IF(AND(IFERROR(INDIRECT("'"&amp;$D$20&amp;"'!C9")&gt;1974,0),IFERROR(INDIRECT("'"&amp;$D$20&amp;"'!C9")&lt;1992,0)),INDIRECT("'"&amp;$D$20&amp;"'!GO_2034"),0)
+IF(AND(IFERROR(INDIRECT("'"&amp;$D$21&amp;"'!C9")&gt;1974,0),IFERROR(INDIRECT("'"&amp;$D$21&amp;"'!C9")&lt;1992,0)),INDIRECT("'"&amp;$D$21&amp;"'!GO_2034"),0)
+IF(AND(IFERROR(INDIRECT("'"&amp;$D$22&amp;"'!C9")&gt;1974,0),IFERROR(INDIRECT("'"&amp;$D$22&amp;"'!C9")&lt;1992,0)),INDIRECT("'"&amp;$D$22&amp;"'!GO_2034"),0)
+IF(AND(IFERROR(INDIRECT("'"&amp;$D$23&amp;"'!C9")&gt;1974,0),IFERROR(INDIRECT("'"&amp;$D$23&amp;"'!C9")&lt;1992,0)),INDIRECT("'"&amp;$D$23&amp;"'!GO_2034"),0)
+IF(AND(IFERROR(INDIRECT("'"&amp;$D$24&amp;"'!C9")&gt;1974,0),IFERROR(INDIRECT("'"&amp;$D$24&amp;"'!C9")&lt;1992,0)),INDIRECT("'"&amp;$D$24&amp;"'!GO_2034"),0)
+IF(AND(IFERROR(INDIRECT("'"&amp;$D$25&amp;"'!C9")&gt;1974,0),IFERROR(INDIRECT("'"&amp;$D$25&amp;"'!C9")&lt;1992,0)),INDIRECT("'"&amp;$D$25&amp;"'!GO_2034"),0)
+IF(AND(IFERROR(INDIRECT("'"&amp;$D$26&amp;"'!C9")&gt;1974,0),IFERROR(INDIRECT("'"&amp;$D$26&amp;"'!C9")&lt;1992,0)),INDIRECT("'"&amp;$D$26&amp;"'!GO_2034"),0)
+IF(AND(IFERROR(INDIRECT("'"&amp;$D$27&amp;"'!C9")&gt;1974,0),IFERROR(INDIRECT("'"&amp;$D$27&amp;"'!C9")&lt;1992,0)),INDIRECT("'"&amp;$D$27&amp;"'!GO_2034"),0)
+IF(AND(IFERROR(INDIRECT("'"&amp;$D$28&amp;"'!C9")&gt;1974,0),IFERROR(INDIRECT("'"&amp;$D$28&amp;"'!C9")&lt;1992,0)),INDIRECT("'"&amp;$D$28&amp;"'!GO_2034"),0)
+IF(AND(IFERROR(INDIRECT("'"&amp;$D$29&amp;"'!C9")&gt;1974,0),IFERROR(INDIRECT("'"&amp;$D$29&amp;"'!C9")&lt;1992,0)),INDIRECT("'"&amp;$D$29&amp;"'!GO_2034"),0)
+IF(AND(IFERROR(INDIRECT("'"&amp;$D$30&amp;"'!C9")&gt;1974,0),IFERROR(INDIRECT("'"&amp;$D$30&amp;"'!C9")&lt;1992,0)),INDIRECT("'"&amp;$D$30&amp;"'!GO_2034"),0)
+IF(AND(IFERROR(INDIRECT("'"&amp;$D$31&amp;"'!C9")&gt;1974,0),IFERROR(INDIRECT("'"&amp;$D$31&amp;"'!C9")&lt;1992,0)),INDIRECT("'"&amp;$D$31&amp;"'!GO_2034"),0)
+IF(AND(IFERROR(INDIRECT("'"&amp;$D$32&amp;"'!C9")&gt;1974,0),IFERROR(INDIRECT("'"&amp;$D$32&amp;"'!C9")&lt;1992,0)),INDIRECT("'"&amp;$D$32&amp;"'!GO_2034"),0)
+IF(AND(IFERROR(INDIRECT("'"&amp;$D$33&amp;"'!C9")&gt;1974,0),IFERROR(INDIRECT("'"&amp;$D$33&amp;"'!C9")&lt;1992,0)),INDIRECT("'"&amp;$D$33&amp;"'!GO_2034"),0)
+IF(AND(IFERROR(INDIRECT("'"&amp;$D$34&amp;"'!C9")&gt;1974,0),IFERROR(INDIRECT("'"&amp;$D$34&amp;"'!C9")&lt;1992,0)),INDIRECT("'"&amp;$D$34&amp;"'!GO_2034"),0)
+IF(AND(IFERROR(INDIRECT("'"&amp;$D$35&amp;"'!C9")&gt;1974,0),IFERROR(INDIRECT("'"&amp;$D$35&amp;"'!C9")&lt;1992,0)),INDIRECT("'"&amp;$D$35&amp;"'!GO_2034"),0)
+IF(AND(IFERROR(INDIRECT("'"&amp;$D$36&amp;"'!C9")&gt;1974,0),IFERROR(INDIRECT("'"&amp;$D$36&amp;"'!C9")&lt;1992,0)),INDIRECT("'"&amp;$D$36&amp;"'!GO_2034"),0)
+IF(AND(IFERROR(INDIRECT("'"&amp;$D$37&amp;"'!C9")&gt;1974,0),IFERROR(INDIRECT("'"&amp;$D$37&amp;"'!C9")&lt;1992,0)),INDIRECT("'"&amp;$D$37&amp;"'!GO_2034"),0)
+IF(AND(IFERROR(INDIRECT("'"&amp;$D$38&amp;"'!C9")&gt;1974,0),IFERROR(INDIRECT("'"&amp;$D$38&amp;"'!C9")&lt;1992,0)),INDIRECT("'"&amp;$D$38&amp;"'!GO_2034"),0)
+IF(AND(IFERROR(INDIRECT("'"&amp;$D$39&amp;"'!C9")&gt;1974,0),IFERROR(INDIRECT("'"&amp;$D$39&amp;"'!C9")&lt;1992,0)),INDIRECT("'"&amp;$D$39&amp;"'!GO_2034"),0)
+IF(AND(IFERROR(INDIRECT("'"&amp;$D$40&amp;"'!C9")&gt;1974,0),IFERROR(INDIRECT("'"&amp;$D$40&amp;"'!C9")&lt;1992,0)),INDIRECT("'"&amp;$D$40&amp;"'!GO_2034"),0)
+IF(AND(IFERROR(INDIRECT("'"&amp;$D$41&amp;"'!C9")&gt;1974,0),IFERROR(INDIRECT("'"&amp;$D$41&amp;"'!C9")&lt;1992,0)),INDIRECT("'"&amp;$D$41&amp;"'!GO_2034"),0)
+IF(AND(IFERROR(INDIRECT("'"&amp;$D$42&amp;"'!C9")&gt;1974,0),IFERROR(INDIRECT("'"&amp;$D$42&amp;"'!C9")&lt;1992,0)),INDIRECT("'"&amp;$D$42&amp;"'!GO_2034"),0)
+IF(AND(IFERROR(INDIRECT("'"&amp;$D$43&amp;"'!C9")&gt;1974,0),IFERROR(INDIRECT("'"&amp;$D$43&amp;"'!C9")&lt;1992,0)),INDIRECT("'"&amp;$D$43&amp;"'!GO_2034"),0)
+IF(AND(IFERROR(INDIRECT("'"&amp;$D$44&amp;"'!C9")&gt;1974,0),IFERROR(INDIRECT("'"&amp;$D$44&amp;"'!C9")&lt;1992,0)),INDIRECT("'"&amp;$D$44&amp;"'!GO_2034"),0)
+IF(AND(IFERROR(INDIRECT("'"&amp;$D$45&amp;"'!C9")&gt;1974,0),IFERROR(INDIRECT("'"&amp;$D$45&amp;"'!C9")&lt;1992,0)),INDIRECT("'"&amp;$D$45&amp;"'!GO_2034"),0)
+IF(AND(IFERROR(INDIRECT("'"&amp;$D$46&amp;"'!C9")&gt;1974,0),IFERROR(INDIRECT("'"&amp;$D$46&amp;"'!C9")&lt;1992,0)),INDIRECT("'"&amp;$D$46&amp;"'!GO_2034"),0)
+IF(AND(IFERROR(INDIRECT("'"&amp;$D$47&amp;"'!C9")&gt;1974,0),IFERROR(INDIRECT("'"&amp;$D$47&amp;"'!C9")&lt;1992,0)),INDIRECT("'"&amp;$D$47&amp;"'!GO_2034"),0)
+IF(AND(IFERROR(INDIRECT("'"&amp;$D$48&amp;"'!C9")&gt;1974,0),IFERROR(INDIRECT("'"&amp;$D$48&amp;"'!C9")&lt;1992,0)),INDIRECT("'"&amp;$D$48&amp;"'!GO_2034"),0)
+IF(AND(IFERROR(INDIRECT("'"&amp;$D$49&amp;"'!C9")&gt;1974,0),IFERROR(INDIRECT("'"&amp;$D$49&amp;"'!C9")&lt;1992,0)),INDIRECT("'"&amp;$D$49&amp;"'!GO_2034"),0)
+IF(AND(IFERROR(INDIRECT("'"&amp;$D$50&amp;"'!C9")&gt;1974,0),IFERROR(INDIRECT("'"&amp;$D$50&amp;"'!C9")&lt;1992,0)),INDIRECT("'"&amp;$D$50&amp;"'!GO_2034"),0)
+IF(AND(IFERROR(INDIRECT("'"&amp;$D$51&amp;"'!C9")&gt;1974,0),IFERROR(INDIRECT("'"&amp;$D$51&amp;"'!C9")&lt;1992,0)),INDIRECT("'"&amp;$D$51&amp;"'!GO_2034"),0)
+IF(AND(IFERROR(INDIRECT("'"&amp;$D$52&amp;"'!C9")&gt;1974,0),IFERROR(INDIRECT("'"&amp;$D$52&amp;"'!C9")&lt;1992,0)),INDIRECT("'"&amp;$D$52&amp;"'!GO_2034"),0)
+IF(AND(IFERROR(INDIRECT("'"&amp;$D$53&amp;"'!C9")&gt;1974,0),IFERROR(INDIRECT("'"&amp;$D$53&amp;"'!C9")&lt;1992,0)),INDIRECT("'"&amp;$D$53&amp;"'!GO_2034"),0)
+IF(AND(IFERROR(INDIRECT("'"&amp;$D$54&amp;"'!C9")&gt;1974,0),IFERROR(INDIRECT("'"&amp;$D$54&amp;"'!C9")&lt;1992,0)),INDIRECT("'"&amp;$D$54&amp;"'!GO_2034"),0)</f>
        <v>5342.96</v>
      </c>
      <c r="Y26" s="321">
        <f ca="1">IF(AND(IFERROR(INDIRECT("'"&amp;$D$5&amp;"'!C9")&gt;1974,0),IFERROR(INDIRECT("'"&amp;$D$5&amp;"'!C9")&lt;1992,0)),INDIRECT("'"&amp;$D$5&amp;"'!GO_2035"),0)
+IF(AND(IFERROR(INDIRECT("'"&amp;$D$6&amp;"'!C9")&gt;1974,0),IFERROR(INDIRECT("'"&amp;$D$6&amp;"'!C9")&lt;1992,0)),INDIRECT("'"&amp;$D$6&amp;"'!GO_2035"),0)
+IF(AND(IFERROR(INDIRECT("'"&amp;$D$7&amp;"'!C9")&gt;1974,0),IFERROR(INDIRECT("'"&amp;$D$7&amp;"'!C9")&lt;1992,0)),INDIRECT("'"&amp;$D$7&amp;"'!GO_2035"),0)
+IF(AND(IFERROR(INDIRECT("'"&amp;$D$8&amp;"'!C9")&gt;1974,0),IFERROR(INDIRECT("'"&amp;$D$8&amp;"'!C9")&lt;1992,0)),INDIRECT("'"&amp;$D$8&amp;"'!GO_2035"),0)
+IF(AND(IFERROR(INDIRECT("'"&amp;$D$9&amp;"'!C9")&gt;1974,0),IFERROR(INDIRECT("'"&amp;$D$9&amp;"'!C9")&lt;1992,0)),INDIRECT("'"&amp;$D$9&amp;"'!GO_2035"),0)
+IF(AND(IFERROR(INDIRECT("'"&amp;$D$10&amp;"'!C9")&gt;1974,0),IFERROR(INDIRECT("'"&amp;$D$10&amp;"'!C9")&lt;1992,0)),INDIRECT("'"&amp;$D$10&amp;"'!GO_2035"),0)
+IF(AND(IFERROR(INDIRECT("'"&amp;$D$11&amp;"'!C9")&gt;1974,0),IFERROR(INDIRECT("'"&amp;$D$11&amp;"'!C9")&lt;1992,0)),INDIRECT("'"&amp;$D$11&amp;"'!GO_2035"),0)
+IF(AND(IFERROR(INDIRECT("'"&amp;$D$12&amp;"'!C9")&gt;1974,0),IFERROR(INDIRECT("'"&amp;$D$12&amp;"'!C9")&lt;1992,0)),INDIRECT("'"&amp;$D$12&amp;"'!GO_2035"),0)
+IF(AND(IFERROR(INDIRECT("'"&amp;$D$13&amp;"'!C9")&gt;1974,0),IFERROR(INDIRECT("'"&amp;$D$13&amp;"'!C9")&lt;1992,0)),INDIRECT("'"&amp;$D$13&amp;"'!GO_2035"),0)
+IF(AND(IFERROR(INDIRECT("'"&amp;$D$14&amp;"'!C9")&gt;1974,0),IFERROR(INDIRECT("'"&amp;$D$14&amp;"'!C9")&lt;1992,0)),INDIRECT("'"&amp;$D$14&amp;"'!GO_2035"),0)
+IF(AND(IFERROR(INDIRECT("'"&amp;$D$15&amp;"'!C9")&gt;1974,0),IFERROR(INDIRECT("'"&amp;$D$15&amp;"'!C9")&lt;1992,0)),INDIRECT("'"&amp;$D$15&amp;"'!GO_2035"),0)
+IF(AND(IFERROR(INDIRECT("'"&amp;$D$16&amp;"'!C9")&gt;1974,0),IFERROR(INDIRECT("'"&amp;$D$16&amp;"'!C9")&lt;1992,0)),INDIRECT("'"&amp;$D$16&amp;"'!GO_2035"),0)
+IF(AND(IFERROR(INDIRECT("'"&amp;$D$17&amp;"'!C9")&gt;1974,0),IFERROR(INDIRECT("'"&amp;$D$17&amp;"'!C9")&lt;1992,0)),INDIRECT("'"&amp;$D$17&amp;"'!GO_2035"),0)
+IF(AND(IFERROR(INDIRECT("'"&amp;$D$18&amp;"'!C9")&gt;1974,0),IFERROR(INDIRECT("'"&amp;$D$18&amp;"'!C9")&lt;1992,0)),INDIRECT("'"&amp;$D$18&amp;"'!GO_2035"),0)
+IF(AND(IFERROR(INDIRECT("'"&amp;$D$19&amp;"'!C9")&gt;1974,0),IFERROR(INDIRECT("'"&amp;$D$19&amp;"'!C9")&lt;1992,0)),INDIRECT("'"&amp;$D$19&amp;"'!GO_2035"),0)
+IF(AND(IFERROR(INDIRECT("'"&amp;$D$20&amp;"'!C9")&gt;1974,0),IFERROR(INDIRECT("'"&amp;$D$20&amp;"'!C9")&lt;1992,0)),INDIRECT("'"&amp;$D$20&amp;"'!GO_2035"),0)
+IF(AND(IFERROR(INDIRECT("'"&amp;$D$21&amp;"'!C9")&gt;1974,0),IFERROR(INDIRECT("'"&amp;$D$21&amp;"'!C9")&lt;1992,0)),INDIRECT("'"&amp;$D$21&amp;"'!GO_2035"),0)
+IF(AND(IFERROR(INDIRECT("'"&amp;$D$22&amp;"'!C9")&gt;1974,0),IFERROR(INDIRECT("'"&amp;$D$22&amp;"'!C9")&lt;1992,0)),INDIRECT("'"&amp;$D$22&amp;"'!GO_2035"),0)
+IF(AND(IFERROR(INDIRECT("'"&amp;$D$23&amp;"'!C9")&gt;1974,0),IFERROR(INDIRECT("'"&amp;$D$23&amp;"'!C9")&lt;1992,0)),INDIRECT("'"&amp;$D$23&amp;"'!GO_2035"),0)
+IF(AND(IFERROR(INDIRECT("'"&amp;$D$24&amp;"'!C9")&gt;1974,0),IFERROR(INDIRECT("'"&amp;$D$24&amp;"'!C9")&lt;1992,0)),INDIRECT("'"&amp;$D$24&amp;"'!GO_2035"),0)
+IF(AND(IFERROR(INDIRECT("'"&amp;$D$25&amp;"'!C9")&gt;1974,0),IFERROR(INDIRECT("'"&amp;$D$25&amp;"'!C9")&lt;1992,0)),INDIRECT("'"&amp;$D$25&amp;"'!GO_2035"),0)
+IF(AND(IFERROR(INDIRECT("'"&amp;$D$26&amp;"'!C9")&gt;1974,0),IFERROR(INDIRECT("'"&amp;$D$26&amp;"'!C9")&lt;1992,0)),INDIRECT("'"&amp;$D$26&amp;"'!GO_2035"),0)
+IF(AND(IFERROR(INDIRECT("'"&amp;$D$27&amp;"'!C9")&gt;1974,0),IFERROR(INDIRECT("'"&amp;$D$27&amp;"'!C9")&lt;1992,0)),INDIRECT("'"&amp;$D$27&amp;"'!GO_2035"),0)
+IF(AND(IFERROR(INDIRECT("'"&amp;$D$28&amp;"'!C9")&gt;1974,0),IFERROR(INDIRECT("'"&amp;$D$28&amp;"'!C9")&lt;1992,0)),INDIRECT("'"&amp;$D$28&amp;"'!GO_2035"),0)
+IF(AND(IFERROR(INDIRECT("'"&amp;$D$29&amp;"'!C9")&gt;1974,0),IFERROR(INDIRECT("'"&amp;$D$29&amp;"'!C9")&lt;1992,0)),INDIRECT("'"&amp;$D$29&amp;"'!GO_2035"),0)
+IF(AND(IFERROR(INDIRECT("'"&amp;$D$30&amp;"'!C9")&gt;1974,0),IFERROR(INDIRECT("'"&amp;$D$30&amp;"'!C9")&lt;1992,0)),INDIRECT("'"&amp;$D$30&amp;"'!GO_2035"),0)
+IF(AND(IFERROR(INDIRECT("'"&amp;$D$31&amp;"'!C9")&gt;1974,0),IFERROR(INDIRECT("'"&amp;$D$31&amp;"'!C9")&lt;1992,0)),INDIRECT("'"&amp;$D$31&amp;"'!GO_2035"),0)
+IF(AND(IFERROR(INDIRECT("'"&amp;$D$32&amp;"'!C9")&gt;1974,0),IFERROR(INDIRECT("'"&amp;$D$32&amp;"'!C9")&lt;1992,0)),INDIRECT("'"&amp;$D$32&amp;"'!GO_2035"),0)
+IF(AND(IFERROR(INDIRECT("'"&amp;$D$33&amp;"'!C9")&gt;1974,0),IFERROR(INDIRECT("'"&amp;$D$33&amp;"'!C9")&lt;1992,0)),INDIRECT("'"&amp;$D$33&amp;"'!GO_2035"),0)
+IF(AND(IFERROR(INDIRECT("'"&amp;$D$34&amp;"'!C9")&gt;1974,0),IFERROR(INDIRECT("'"&amp;$D$34&amp;"'!C9")&lt;1992,0)),INDIRECT("'"&amp;$D$34&amp;"'!GO_2035"),0)
+IF(AND(IFERROR(INDIRECT("'"&amp;$D$35&amp;"'!C9")&gt;1974,0),IFERROR(INDIRECT("'"&amp;$D$35&amp;"'!C9")&lt;1992,0)),INDIRECT("'"&amp;$D$35&amp;"'!GO_2035"),0)
+IF(AND(IFERROR(INDIRECT("'"&amp;$D$36&amp;"'!C9")&gt;1974,0),IFERROR(INDIRECT("'"&amp;$D$36&amp;"'!C9")&lt;1992,0)),INDIRECT("'"&amp;$D$36&amp;"'!GO_2035"),0)
+IF(AND(IFERROR(INDIRECT("'"&amp;$D$37&amp;"'!C9")&gt;1974,0),IFERROR(INDIRECT("'"&amp;$D$37&amp;"'!C9")&lt;1992,0)),INDIRECT("'"&amp;$D$37&amp;"'!GO_2035"),0)
+IF(AND(IFERROR(INDIRECT("'"&amp;$D$38&amp;"'!C9")&gt;1974,0),IFERROR(INDIRECT("'"&amp;$D$38&amp;"'!C9")&lt;1992,0)),INDIRECT("'"&amp;$D$38&amp;"'!GO_2035"),0)
+IF(AND(IFERROR(INDIRECT("'"&amp;$D$39&amp;"'!C9")&gt;1974,0),IFERROR(INDIRECT("'"&amp;$D$39&amp;"'!C9")&lt;1992,0)),INDIRECT("'"&amp;$D$39&amp;"'!GO_2035"),0)
+IF(AND(IFERROR(INDIRECT("'"&amp;$D$40&amp;"'!C9")&gt;1974,0),IFERROR(INDIRECT("'"&amp;$D$40&amp;"'!C9")&lt;1992,0)),INDIRECT("'"&amp;$D$40&amp;"'!GO_2035"),0)
+IF(AND(IFERROR(INDIRECT("'"&amp;$D$41&amp;"'!C9")&gt;1974,0),IFERROR(INDIRECT("'"&amp;$D$41&amp;"'!C9")&lt;1992,0)),INDIRECT("'"&amp;$D$41&amp;"'!GO_2035"),0)
+IF(AND(IFERROR(INDIRECT("'"&amp;$D$42&amp;"'!C9")&gt;1974,0),IFERROR(INDIRECT("'"&amp;$D$42&amp;"'!C9")&lt;1992,0)),INDIRECT("'"&amp;$D$42&amp;"'!GO_2035"),0)
+IF(AND(IFERROR(INDIRECT("'"&amp;$D$43&amp;"'!C9")&gt;1974,0),IFERROR(INDIRECT("'"&amp;$D$43&amp;"'!C9")&lt;1992,0)),INDIRECT("'"&amp;$D$43&amp;"'!GO_2035"),0)
+IF(AND(IFERROR(INDIRECT("'"&amp;$D$44&amp;"'!C9")&gt;1974,0),IFERROR(INDIRECT("'"&amp;$D$44&amp;"'!C9")&lt;1992,0)),INDIRECT("'"&amp;$D$44&amp;"'!GO_2035"),0)
+IF(AND(IFERROR(INDIRECT("'"&amp;$D$45&amp;"'!C9")&gt;1974,0),IFERROR(INDIRECT("'"&amp;$D$45&amp;"'!C9")&lt;1992,0)),INDIRECT("'"&amp;$D$45&amp;"'!GO_2035"),0)
+IF(AND(IFERROR(INDIRECT("'"&amp;$D$46&amp;"'!C9")&gt;1974,0),IFERROR(INDIRECT("'"&amp;$D$46&amp;"'!C9")&lt;1992,0)),INDIRECT("'"&amp;$D$46&amp;"'!GO_2035"),0)
+IF(AND(IFERROR(INDIRECT("'"&amp;$D$47&amp;"'!C9")&gt;1974,0),IFERROR(INDIRECT("'"&amp;$D$47&amp;"'!C9")&lt;1992,0)),INDIRECT("'"&amp;$D$47&amp;"'!GO_2035"),0)
+IF(AND(IFERROR(INDIRECT("'"&amp;$D$48&amp;"'!C9")&gt;1974,0),IFERROR(INDIRECT("'"&amp;$D$48&amp;"'!C9")&lt;1992,0)),INDIRECT("'"&amp;$D$48&amp;"'!GO_2035"),0)
+IF(AND(IFERROR(INDIRECT("'"&amp;$D$49&amp;"'!C9")&gt;1974,0),IFERROR(INDIRECT("'"&amp;$D$49&amp;"'!C9")&lt;1992,0)),INDIRECT("'"&amp;$D$49&amp;"'!GO_2035"),0)
+IF(AND(IFERROR(INDIRECT("'"&amp;$D$50&amp;"'!C9")&gt;1974,0),IFERROR(INDIRECT("'"&amp;$D$50&amp;"'!C9")&lt;1992,0)),INDIRECT("'"&amp;$D$50&amp;"'!GO_2035"),0)
+IF(AND(IFERROR(INDIRECT("'"&amp;$D$51&amp;"'!C9")&gt;1974,0),IFERROR(INDIRECT("'"&amp;$D$51&amp;"'!C9")&lt;1992,0)),INDIRECT("'"&amp;$D$51&amp;"'!GO_2035"),0)
+IF(AND(IFERROR(INDIRECT("'"&amp;$D$52&amp;"'!C9")&gt;1974,0),IFERROR(INDIRECT("'"&amp;$D$52&amp;"'!C9")&lt;1992,0)),INDIRECT("'"&amp;$D$52&amp;"'!GO_2035"),0)
+IF(AND(IFERROR(INDIRECT("'"&amp;$D$53&amp;"'!C9")&gt;1974,0),IFERROR(INDIRECT("'"&amp;$D$53&amp;"'!C9")&lt;1992,0)),INDIRECT("'"&amp;$D$53&amp;"'!GO_2035"),0)
+IF(AND(IFERROR(INDIRECT("'"&amp;$D$54&amp;"'!C9")&gt;1974,0),IFERROR(INDIRECT("'"&amp;$D$54&amp;"'!C9")&lt;1992,0)),INDIRECT("'"&amp;$D$54&amp;"'!GO_2035"),0)</f>
        <v>5342.96</v>
      </c>
      <c r="Z26" s="321">
        <f ca="1">IF(AND(IFERROR(INDIRECT("'"&amp;$D$5&amp;"'!C9")&gt;1974,0),IFERROR(INDIRECT("'"&amp;$D$5&amp;"'!C9")&lt;1992,0)),INDIRECT("'"&amp;$D$5&amp;"'!GO_2036"),0)
+IF(AND(IFERROR(INDIRECT("'"&amp;$D$6&amp;"'!C9")&gt;1974,0),IFERROR(INDIRECT("'"&amp;$D$6&amp;"'!C9")&lt;1992,0)),INDIRECT("'"&amp;$D$6&amp;"'!GO_2036"),0)
+IF(AND(IFERROR(INDIRECT("'"&amp;$D$7&amp;"'!C9")&gt;1974,0),IFERROR(INDIRECT("'"&amp;$D$7&amp;"'!C9")&lt;1992,0)),INDIRECT("'"&amp;$D$7&amp;"'!GO_2036"),0)
+IF(AND(IFERROR(INDIRECT("'"&amp;$D$8&amp;"'!C9")&gt;1974,0),IFERROR(INDIRECT("'"&amp;$D$8&amp;"'!C9")&lt;1992,0)),INDIRECT("'"&amp;$D$8&amp;"'!GO_2036"),0)
+IF(AND(IFERROR(INDIRECT("'"&amp;$D$9&amp;"'!C9")&gt;1974,0),IFERROR(INDIRECT("'"&amp;$D$9&amp;"'!C9")&lt;1992,0)),INDIRECT("'"&amp;$D$9&amp;"'!GO_2036"),0)
+IF(AND(IFERROR(INDIRECT("'"&amp;$D$10&amp;"'!C9")&gt;1974,0),IFERROR(INDIRECT("'"&amp;$D$10&amp;"'!C9")&lt;1992,0)),INDIRECT("'"&amp;$D$10&amp;"'!GO_2036"),0)
+IF(AND(IFERROR(INDIRECT("'"&amp;$D$11&amp;"'!C9")&gt;1974,0),IFERROR(INDIRECT("'"&amp;$D$11&amp;"'!C9")&lt;1992,0)),INDIRECT("'"&amp;$D$11&amp;"'!GO_2036"),0)
+IF(AND(IFERROR(INDIRECT("'"&amp;$D$12&amp;"'!C9")&gt;1974,0),IFERROR(INDIRECT("'"&amp;$D$12&amp;"'!C9")&lt;1992,0)),INDIRECT("'"&amp;$D$12&amp;"'!GO_2036"),0)
+IF(AND(IFERROR(INDIRECT("'"&amp;$D$13&amp;"'!C9")&gt;1974,0),IFERROR(INDIRECT("'"&amp;$D$13&amp;"'!C9")&lt;1992,0)),INDIRECT("'"&amp;$D$13&amp;"'!GO_2036"),0)
+IF(AND(IFERROR(INDIRECT("'"&amp;$D$14&amp;"'!C9")&gt;1974,0),IFERROR(INDIRECT("'"&amp;$D$14&amp;"'!C9")&lt;1992,0)),INDIRECT("'"&amp;$D$14&amp;"'!GO_2036"),0)
+IF(AND(IFERROR(INDIRECT("'"&amp;$D$15&amp;"'!C9")&gt;1974,0),IFERROR(INDIRECT("'"&amp;$D$15&amp;"'!C9")&lt;1992,0)),INDIRECT("'"&amp;$D$15&amp;"'!GO_2036"),0)
+IF(AND(IFERROR(INDIRECT("'"&amp;$D$16&amp;"'!C9")&gt;1974,0),IFERROR(INDIRECT("'"&amp;$D$16&amp;"'!C9")&lt;1992,0)),INDIRECT("'"&amp;$D$16&amp;"'!GO_2036"),0)
+IF(AND(IFERROR(INDIRECT("'"&amp;$D$17&amp;"'!C9")&gt;1974,0),IFERROR(INDIRECT("'"&amp;$D$17&amp;"'!C9")&lt;1992,0)),INDIRECT("'"&amp;$D$17&amp;"'!GO_2036"),0)
+IF(AND(IFERROR(INDIRECT("'"&amp;$D$18&amp;"'!C9")&gt;1974,0),IFERROR(INDIRECT("'"&amp;$D$18&amp;"'!C9")&lt;1992,0)),INDIRECT("'"&amp;$D$18&amp;"'!GO_2036"),0)
+IF(AND(IFERROR(INDIRECT("'"&amp;$D$19&amp;"'!C9")&gt;1974,0),IFERROR(INDIRECT("'"&amp;$D$19&amp;"'!C9")&lt;1992,0)),INDIRECT("'"&amp;$D$19&amp;"'!GO_2036"),0)
+IF(AND(IFERROR(INDIRECT("'"&amp;$D$20&amp;"'!C9")&gt;1974,0),IFERROR(INDIRECT("'"&amp;$D$20&amp;"'!C9")&lt;1992,0)),INDIRECT("'"&amp;$D$20&amp;"'!GO_2036"),0)
+IF(AND(IFERROR(INDIRECT("'"&amp;$D$21&amp;"'!C9")&gt;1974,0),IFERROR(INDIRECT("'"&amp;$D$21&amp;"'!C9")&lt;1992,0)),INDIRECT("'"&amp;$D$21&amp;"'!GO_2036"),0)
+IF(AND(IFERROR(INDIRECT("'"&amp;$D$22&amp;"'!C9")&gt;1974,0),IFERROR(INDIRECT("'"&amp;$D$22&amp;"'!C9")&lt;1992,0)),INDIRECT("'"&amp;$D$22&amp;"'!GO_2036"),0)
+IF(AND(IFERROR(INDIRECT("'"&amp;$D$23&amp;"'!C9")&gt;1974,0),IFERROR(INDIRECT("'"&amp;$D$23&amp;"'!C9")&lt;1992,0)),INDIRECT("'"&amp;$D$23&amp;"'!GO_2036"),0)
+IF(AND(IFERROR(INDIRECT("'"&amp;$D$24&amp;"'!C9")&gt;1974,0),IFERROR(INDIRECT("'"&amp;$D$24&amp;"'!C9")&lt;1992,0)),INDIRECT("'"&amp;$D$24&amp;"'!GO_2036"),0)
+IF(AND(IFERROR(INDIRECT("'"&amp;$D$25&amp;"'!C9")&gt;1974,0),IFERROR(INDIRECT("'"&amp;$D$25&amp;"'!C9")&lt;1992,0)),INDIRECT("'"&amp;$D$25&amp;"'!GO_2036"),0)
+IF(AND(IFERROR(INDIRECT("'"&amp;$D$26&amp;"'!C9")&gt;1974,0),IFERROR(INDIRECT("'"&amp;$D$26&amp;"'!C9")&lt;1992,0)),INDIRECT("'"&amp;$D$26&amp;"'!GO_2036"),0)
+IF(AND(IFERROR(INDIRECT("'"&amp;$D$27&amp;"'!C9")&gt;1974,0),IFERROR(INDIRECT("'"&amp;$D$27&amp;"'!C9")&lt;1992,0)),INDIRECT("'"&amp;$D$27&amp;"'!GO_2036"),0)
+IF(AND(IFERROR(INDIRECT("'"&amp;$D$28&amp;"'!C9")&gt;1974,0),IFERROR(INDIRECT("'"&amp;$D$28&amp;"'!C9")&lt;1992,0)),INDIRECT("'"&amp;$D$28&amp;"'!GO_2036"),0)
+IF(AND(IFERROR(INDIRECT("'"&amp;$D$29&amp;"'!C9")&gt;1974,0),IFERROR(INDIRECT("'"&amp;$D$29&amp;"'!C9")&lt;1992,0)),INDIRECT("'"&amp;$D$29&amp;"'!GO_2036"),0)
+IF(AND(IFERROR(INDIRECT("'"&amp;$D$30&amp;"'!C9")&gt;1974,0),IFERROR(INDIRECT("'"&amp;$D$30&amp;"'!C9")&lt;1992,0)),INDIRECT("'"&amp;$D$30&amp;"'!GO_2036"),0)
+IF(AND(IFERROR(INDIRECT("'"&amp;$D$31&amp;"'!C9")&gt;1974,0),IFERROR(INDIRECT("'"&amp;$D$31&amp;"'!C9")&lt;1992,0)),INDIRECT("'"&amp;$D$31&amp;"'!GO_2036"),0)
+IF(AND(IFERROR(INDIRECT("'"&amp;$D$32&amp;"'!C9")&gt;1974,0),IFERROR(INDIRECT("'"&amp;$D$32&amp;"'!C9")&lt;1992,0)),INDIRECT("'"&amp;$D$32&amp;"'!GO_2036"),0)
+IF(AND(IFERROR(INDIRECT("'"&amp;$D$33&amp;"'!C9")&gt;1974,0),IFERROR(INDIRECT("'"&amp;$D$33&amp;"'!C9")&lt;1992,0)),INDIRECT("'"&amp;$D$33&amp;"'!GO_2036"),0)
+IF(AND(IFERROR(INDIRECT("'"&amp;$D$34&amp;"'!C9")&gt;1974,0),IFERROR(INDIRECT("'"&amp;$D$34&amp;"'!C9")&lt;1992,0)),INDIRECT("'"&amp;$D$34&amp;"'!GO_2036"),0)
+IF(AND(IFERROR(INDIRECT("'"&amp;$D$35&amp;"'!C9")&gt;1974,0),IFERROR(INDIRECT("'"&amp;$D$35&amp;"'!C9")&lt;1992,0)),INDIRECT("'"&amp;$D$35&amp;"'!GO_2036"),0)
+IF(AND(IFERROR(INDIRECT("'"&amp;$D$36&amp;"'!C9")&gt;1974,0),IFERROR(INDIRECT("'"&amp;$D$36&amp;"'!C9")&lt;1992,0)),INDIRECT("'"&amp;$D$36&amp;"'!GO_2036"),0)
+IF(AND(IFERROR(INDIRECT("'"&amp;$D$37&amp;"'!C9")&gt;1974,0),IFERROR(INDIRECT("'"&amp;$D$37&amp;"'!C9")&lt;1992,0)),INDIRECT("'"&amp;$D$37&amp;"'!GO_2036"),0)
+IF(AND(IFERROR(INDIRECT("'"&amp;$D$38&amp;"'!C9")&gt;1974,0),IFERROR(INDIRECT("'"&amp;$D$38&amp;"'!C9")&lt;1992,0)),INDIRECT("'"&amp;$D$38&amp;"'!GO_2036"),0)
+IF(AND(IFERROR(INDIRECT("'"&amp;$D$39&amp;"'!C9")&gt;1974,0),IFERROR(INDIRECT("'"&amp;$D$39&amp;"'!C9")&lt;1992,0)),INDIRECT("'"&amp;$D$39&amp;"'!GO_2036"),0)
+IF(AND(IFERROR(INDIRECT("'"&amp;$D$40&amp;"'!C9")&gt;1974,0),IFERROR(INDIRECT("'"&amp;$D$40&amp;"'!C9")&lt;1992,0)),INDIRECT("'"&amp;$D$40&amp;"'!GO_2036"),0)
+IF(AND(IFERROR(INDIRECT("'"&amp;$D$41&amp;"'!C9")&gt;1974,0),IFERROR(INDIRECT("'"&amp;$D$41&amp;"'!C9")&lt;1992,0)),INDIRECT("'"&amp;$D$41&amp;"'!GO_2036"),0)
+IF(AND(IFERROR(INDIRECT("'"&amp;$D$42&amp;"'!C9")&gt;1974,0),IFERROR(INDIRECT("'"&amp;$D$42&amp;"'!C9")&lt;1992,0)),INDIRECT("'"&amp;$D$42&amp;"'!GO_2036"),0)
+IF(AND(IFERROR(INDIRECT("'"&amp;$D$43&amp;"'!C9")&gt;1974,0),IFERROR(INDIRECT("'"&amp;$D$43&amp;"'!C9")&lt;1992,0)),INDIRECT("'"&amp;$D$43&amp;"'!GO_2036"),0)
+IF(AND(IFERROR(INDIRECT("'"&amp;$D$44&amp;"'!C9")&gt;1974,0),IFERROR(INDIRECT("'"&amp;$D$44&amp;"'!C9")&lt;1992,0)),INDIRECT("'"&amp;$D$44&amp;"'!GO_2036"),0)
+IF(AND(IFERROR(INDIRECT("'"&amp;$D$45&amp;"'!C9")&gt;1974,0),IFERROR(INDIRECT("'"&amp;$D$45&amp;"'!C9")&lt;1992,0)),INDIRECT("'"&amp;$D$45&amp;"'!GO_2036"),0)
+IF(AND(IFERROR(INDIRECT("'"&amp;$D$46&amp;"'!C9")&gt;1974,0),IFERROR(INDIRECT("'"&amp;$D$46&amp;"'!C9")&lt;1992,0)),INDIRECT("'"&amp;$D$46&amp;"'!GO_2036"),0)
+IF(AND(IFERROR(INDIRECT("'"&amp;$D$47&amp;"'!C9")&gt;1974,0),IFERROR(INDIRECT("'"&amp;$D$47&amp;"'!C9")&lt;1992,0)),INDIRECT("'"&amp;$D$47&amp;"'!GO_2036"),0)
+IF(AND(IFERROR(INDIRECT("'"&amp;$D$48&amp;"'!C9")&gt;1974,0),IFERROR(INDIRECT("'"&amp;$D$48&amp;"'!C9")&lt;1992,0)),INDIRECT("'"&amp;$D$48&amp;"'!GO_2036"),0)
+IF(AND(IFERROR(INDIRECT("'"&amp;$D$49&amp;"'!C9")&gt;1974,0),IFERROR(INDIRECT("'"&amp;$D$49&amp;"'!C9")&lt;1992,0)),INDIRECT("'"&amp;$D$49&amp;"'!GO_2036"),0)
+IF(AND(IFERROR(INDIRECT("'"&amp;$D$50&amp;"'!C9")&gt;1974,0),IFERROR(INDIRECT("'"&amp;$D$50&amp;"'!C9")&lt;1992,0)),INDIRECT("'"&amp;$D$50&amp;"'!GO_2036"),0)
+IF(AND(IFERROR(INDIRECT("'"&amp;$D$51&amp;"'!C9")&gt;1974,0),IFERROR(INDIRECT("'"&amp;$D$51&amp;"'!C9")&lt;1992,0)),INDIRECT("'"&amp;$D$51&amp;"'!GO_2036"),0)
+IF(AND(IFERROR(INDIRECT("'"&amp;$D$52&amp;"'!C9")&gt;1974,0),IFERROR(INDIRECT("'"&amp;$D$52&amp;"'!C9")&lt;1992,0)),INDIRECT("'"&amp;$D$52&amp;"'!GO_2036"),0)
+IF(AND(IFERROR(INDIRECT("'"&amp;$D$53&amp;"'!C9")&gt;1974,0),IFERROR(INDIRECT("'"&amp;$D$53&amp;"'!C9")&lt;1992,0)),INDIRECT("'"&amp;$D$53&amp;"'!GO_2036"),0)
+IF(AND(IFERROR(INDIRECT("'"&amp;$D$54&amp;"'!C9")&gt;1974,0),IFERROR(INDIRECT("'"&amp;$D$54&amp;"'!C9")&lt;1992,0)),INDIRECT("'"&amp;$D$54&amp;"'!GO_2036"),0)</f>
        <v>5342.96</v>
      </c>
      <c r="AA26" s="321">
        <f ca="1">IF(AND(IFERROR(INDIRECT("'"&amp;$D$5&amp;"'!C9")&gt;1974,0),IFERROR(INDIRECT("'"&amp;$D$5&amp;"'!C9")&lt;1992,0)),INDIRECT("'"&amp;$D$5&amp;"'!GO_2037"),0)
+IF(AND(IFERROR(INDIRECT("'"&amp;$D$6&amp;"'!C9")&gt;1974,0),IFERROR(INDIRECT("'"&amp;$D$6&amp;"'!C9")&lt;1992,0)),INDIRECT("'"&amp;$D$6&amp;"'!GO_2037"),0)
+IF(AND(IFERROR(INDIRECT("'"&amp;$D$7&amp;"'!C9")&gt;1974,0),IFERROR(INDIRECT("'"&amp;$D$7&amp;"'!C9")&lt;1992,0)),INDIRECT("'"&amp;$D$7&amp;"'!GO_2037"),0)
+IF(AND(IFERROR(INDIRECT("'"&amp;$D$8&amp;"'!C9")&gt;1974,0),IFERROR(INDIRECT("'"&amp;$D$8&amp;"'!C9")&lt;1992,0)),INDIRECT("'"&amp;$D$8&amp;"'!GO_2037"),0)
+IF(AND(IFERROR(INDIRECT("'"&amp;$D$9&amp;"'!C9")&gt;1974,0),IFERROR(INDIRECT("'"&amp;$D$9&amp;"'!C9")&lt;1992,0)),INDIRECT("'"&amp;$D$9&amp;"'!GO_2037"),0)
+IF(AND(IFERROR(INDIRECT("'"&amp;$D$10&amp;"'!C9")&gt;1974,0),IFERROR(INDIRECT("'"&amp;$D$10&amp;"'!C9")&lt;1992,0)),INDIRECT("'"&amp;$D$10&amp;"'!GO_2037"),0)
+IF(AND(IFERROR(INDIRECT("'"&amp;$D$11&amp;"'!C9")&gt;1974,0),IFERROR(INDIRECT("'"&amp;$D$11&amp;"'!C9")&lt;1992,0)),INDIRECT("'"&amp;$D$11&amp;"'!GO_2037"),0)
+IF(AND(IFERROR(INDIRECT("'"&amp;$D$12&amp;"'!C9")&gt;1974,0),IFERROR(INDIRECT("'"&amp;$D$12&amp;"'!C9")&lt;1992,0)),INDIRECT("'"&amp;$D$12&amp;"'!GO_2037"),0)
+IF(AND(IFERROR(INDIRECT("'"&amp;$D$13&amp;"'!C9")&gt;1974,0),IFERROR(INDIRECT("'"&amp;$D$13&amp;"'!C9")&lt;1992,0)),INDIRECT("'"&amp;$D$13&amp;"'!GO_2037"),0)
+IF(AND(IFERROR(INDIRECT("'"&amp;$D$14&amp;"'!C9")&gt;1974,0),IFERROR(INDIRECT("'"&amp;$D$14&amp;"'!C9")&lt;1992,0)),INDIRECT("'"&amp;$D$14&amp;"'!GO_2037"),0)
+IF(AND(IFERROR(INDIRECT("'"&amp;$D$15&amp;"'!C9")&gt;1974,0),IFERROR(INDIRECT("'"&amp;$D$15&amp;"'!C9")&lt;1992,0)),INDIRECT("'"&amp;$D$15&amp;"'!GO_2037"),0)
+IF(AND(IFERROR(INDIRECT("'"&amp;$D$16&amp;"'!C9")&gt;1974,0),IFERROR(INDIRECT("'"&amp;$D$16&amp;"'!C9")&lt;1992,0)),INDIRECT("'"&amp;$D$16&amp;"'!GO_2037"),0)
+IF(AND(IFERROR(INDIRECT("'"&amp;$D$17&amp;"'!C9")&gt;1974,0),IFERROR(INDIRECT("'"&amp;$D$17&amp;"'!C9")&lt;1992,0)),INDIRECT("'"&amp;$D$17&amp;"'!GO_2037"),0)
+IF(AND(IFERROR(INDIRECT("'"&amp;$D$18&amp;"'!C9")&gt;1974,0),IFERROR(INDIRECT("'"&amp;$D$18&amp;"'!C9")&lt;1992,0)),INDIRECT("'"&amp;$D$18&amp;"'!GO_2037"),0)
+IF(AND(IFERROR(INDIRECT("'"&amp;$D$19&amp;"'!C9")&gt;1974,0),IFERROR(INDIRECT("'"&amp;$D$19&amp;"'!C9")&lt;1992,0)),INDIRECT("'"&amp;$D$19&amp;"'!GO_2037"),0)
+IF(AND(IFERROR(INDIRECT("'"&amp;$D$20&amp;"'!C9")&gt;1974,0),IFERROR(INDIRECT("'"&amp;$D$20&amp;"'!C9")&lt;1992,0)),INDIRECT("'"&amp;$D$20&amp;"'!GO_2037"),0)
+IF(AND(IFERROR(INDIRECT("'"&amp;$D$21&amp;"'!C9")&gt;1974,0),IFERROR(INDIRECT("'"&amp;$D$21&amp;"'!C9")&lt;1992,0)),INDIRECT("'"&amp;$D$21&amp;"'!GO_2037"),0)
+IF(AND(IFERROR(INDIRECT("'"&amp;$D$22&amp;"'!C9")&gt;1974,0),IFERROR(INDIRECT("'"&amp;$D$22&amp;"'!C9")&lt;1992,0)),INDIRECT("'"&amp;$D$22&amp;"'!GO_2037"),0)
+IF(AND(IFERROR(INDIRECT("'"&amp;$D$23&amp;"'!C9")&gt;1974,0),IFERROR(INDIRECT("'"&amp;$D$23&amp;"'!C9")&lt;1992,0)),INDIRECT("'"&amp;$D$23&amp;"'!GO_2037"),0)
+IF(AND(IFERROR(INDIRECT("'"&amp;$D$24&amp;"'!C9")&gt;1974,0),IFERROR(INDIRECT("'"&amp;$D$24&amp;"'!C9")&lt;1992,0)),INDIRECT("'"&amp;$D$24&amp;"'!GO_2037"),0)
+IF(AND(IFERROR(INDIRECT("'"&amp;$D$25&amp;"'!C9")&gt;1974,0),IFERROR(INDIRECT("'"&amp;$D$25&amp;"'!C9")&lt;1992,0)),INDIRECT("'"&amp;$D$25&amp;"'!GO_2037"),0)
+IF(AND(IFERROR(INDIRECT("'"&amp;$D$26&amp;"'!C9")&gt;1974,0),IFERROR(INDIRECT("'"&amp;$D$26&amp;"'!C9")&lt;1992,0)),INDIRECT("'"&amp;$D$26&amp;"'!GO_2037"),0)
+IF(AND(IFERROR(INDIRECT("'"&amp;$D$27&amp;"'!C9")&gt;1974,0),IFERROR(INDIRECT("'"&amp;$D$27&amp;"'!C9")&lt;1992,0)),INDIRECT("'"&amp;$D$27&amp;"'!GO_2037"),0)
+IF(AND(IFERROR(INDIRECT("'"&amp;$D$28&amp;"'!C9")&gt;1974,0),IFERROR(INDIRECT("'"&amp;$D$28&amp;"'!C9")&lt;1992,0)),INDIRECT("'"&amp;$D$28&amp;"'!GO_2037"),0)
+IF(AND(IFERROR(INDIRECT("'"&amp;$D$29&amp;"'!C9")&gt;1974,0),IFERROR(INDIRECT("'"&amp;$D$29&amp;"'!C9")&lt;1992,0)),INDIRECT("'"&amp;$D$29&amp;"'!GO_2037"),0)
+IF(AND(IFERROR(INDIRECT("'"&amp;$D$30&amp;"'!C9")&gt;1974,0),IFERROR(INDIRECT("'"&amp;$D$30&amp;"'!C9")&lt;1992,0)),INDIRECT("'"&amp;$D$30&amp;"'!GO_2037"),0)
+IF(AND(IFERROR(INDIRECT("'"&amp;$D$31&amp;"'!C9")&gt;1974,0),IFERROR(INDIRECT("'"&amp;$D$31&amp;"'!C9")&lt;1992,0)),INDIRECT("'"&amp;$D$31&amp;"'!GO_2037"),0)
+IF(AND(IFERROR(INDIRECT("'"&amp;$D$32&amp;"'!C9")&gt;1974,0),IFERROR(INDIRECT("'"&amp;$D$32&amp;"'!C9")&lt;1992,0)),INDIRECT("'"&amp;$D$32&amp;"'!GO_2037"),0)
+IF(AND(IFERROR(INDIRECT("'"&amp;$D$33&amp;"'!C9")&gt;1974,0),IFERROR(INDIRECT("'"&amp;$D$33&amp;"'!C9")&lt;1992,0)),INDIRECT("'"&amp;$D$33&amp;"'!GO_2037"),0)
+IF(AND(IFERROR(INDIRECT("'"&amp;$D$34&amp;"'!C9")&gt;1974,0),IFERROR(INDIRECT("'"&amp;$D$34&amp;"'!C9")&lt;1992,0)),INDIRECT("'"&amp;$D$34&amp;"'!GO_2037"),0)
+IF(AND(IFERROR(INDIRECT("'"&amp;$D$35&amp;"'!C9")&gt;1974,0),IFERROR(INDIRECT("'"&amp;$D$35&amp;"'!C9")&lt;1992,0)),INDIRECT("'"&amp;$D$35&amp;"'!GO_2037"),0)
+IF(AND(IFERROR(INDIRECT("'"&amp;$D$36&amp;"'!C9")&gt;1974,0),IFERROR(INDIRECT("'"&amp;$D$36&amp;"'!C9")&lt;1992,0)),INDIRECT("'"&amp;$D$36&amp;"'!GO_2037"),0)
+IF(AND(IFERROR(INDIRECT("'"&amp;$D$37&amp;"'!C9")&gt;1974,0),IFERROR(INDIRECT("'"&amp;$D$37&amp;"'!C9")&lt;1992,0)),INDIRECT("'"&amp;$D$37&amp;"'!GO_2037"),0)
+IF(AND(IFERROR(INDIRECT("'"&amp;$D$38&amp;"'!C9")&gt;1974,0),IFERROR(INDIRECT("'"&amp;$D$38&amp;"'!C9")&lt;1992,0)),INDIRECT("'"&amp;$D$38&amp;"'!GO_2037"),0)
+IF(AND(IFERROR(INDIRECT("'"&amp;$D$39&amp;"'!C9")&gt;1974,0),IFERROR(INDIRECT("'"&amp;$D$39&amp;"'!C9")&lt;1992,0)),INDIRECT("'"&amp;$D$39&amp;"'!GO_2037"),0)
+IF(AND(IFERROR(INDIRECT("'"&amp;$D$40&amp;"'!C9")&gt;1974,0),IFERROR(INDIRECT("'"&amp;$D$40&amp;"'!C9")&lt;1992,0)),INDIRECT("'"&amp;$D$40&amp;"'!GO_2037"),0)
+IF(AND(IFERROR(INDIRECT("'"&amp;$D$41&amp;"'!C9")&gt;1974,0),IFERROR(INDIRECT("'"&amp;$D$41&amp;"'!C9")&lt;1992,0)),INDIRECT("'"&amp;$D$41&amp;"'!GO_2037"),0)
+IF(AND(IFERROR(INDIRECT("'"&amp;$D$42&amp;"'!C9")&gt;1974,0),IFERROR(INDIRECT("'"&amp;$D$42&amp;"'!C9")&lt;1992,0)),INDIRECT("'"&amp;$D$42&amp;"'!GO_2037"),0)
+IF(AND(IFERROR(INDIRECT("'"&amp;$D$43&amp;"'!C9")&gt;1974,0),IFERROR(INDIRECT("'"&amp;$D$43&amp;"'!C9")&lt;1992,0)),INDIRECT("'"&amp;$D$43&amp;"'!GO_2037"),0)
+IF(AND(IFERROR(INDIRECT("'"&amp;$D$44&amp;"'!C9")&gt;1974,0),IFERROR(INDIRECT("'"&amp;$D$44&amp;"'!C9")&lt;1992,0)),INDIRECT("'"&amp;$D$44&amp;"'!GO_2037"),0)
+IF(AND(IFERROR(INDIRECT("'"&amp;$D$45&amp;"'!C9")&gt;1974,0),IFERROR(INDIRECT("'"&amp;$D$45&amp;"'!C9")&lt;1992,0)),INDIRECT("'"&amp;$D$45&amp;"'!GO_2037"),0)
+IF(AND(IFERROR(INDIRECT("'"&amp;$D$46&amp;"'!C9")&gt;1974,0),IFERROR(INDIRECT("'"&amp;$D$46&amp;"'!C9")&lt;1992,0)),INDIRECT("'"&amp;$D$46&amp;"'!GO_2037"),0)
+IF(AND(IFERROR(INDIRECT("'"&amp;$D$47&amp;"'!C9")&gt;1974,0),IFERROR(INDIRECT("'"&amp;$D$47&amp;"'!C9")&lt;1992,0)),INDIRECT("'"&amp;$D$47&amp;"'!GO_2037"),0)
+IF(AND(IFERROR(INDIRECT("'"&amp;$D$48&amp;"'!C9")&gt;1974,0),IFERROR(INDIRECT("'"&amp;$D$48&amp;"'!C9")&lt;1992,0)),INDIRECT("'"&amp;$D$48&amp;"'!GO_2037"),0)
+IF(AND(IFERROR(INDIRECT("'"&amp;$D$49&amp;"'!C9")&gt;1974,0),IFERROR(INDIRECT("'"&amp;$D$49&amp;"'!C9")&lt;1992,0)),INDIRECT("'"&amp;$D$49&amp;"'!GO_2037"),0)
+IF(AND(IFERROR(INDIRECT("'"&amp;$D$50&amp;"'!C9")&gt;1974,0),IFERROR(INDIRECT("'"&amp;$D$50&amp;"'!C9")&lt;1992,0)),INDIRECT("'"&amp;$D$50&amp;"'!GO_2037"),0)
+IF(AND(IFERROR(INDIRECT("'"&amp;$D$51&amp;"'!C9")&gt;1974,0),IFERROR(INDIRECT("'"&amp;$D$51&amp;"'!C9")&lt;1992,0)),INDIRECT("'"&amp;$D$51&amp;"'!GO_2037"),0)
+IF(AND(IFERROR(INDIRECT("'"&amp;$D$52&amp;"'!C9")&gt;1974,0),IFERROR(INDIRECT("'"&amp;$D$52&amp;"'!C9")&lt;1992,0)),INDIRECT("'"&amp;$D$52&amp;"'!GO_2037"),0)
+IF(AND(IFERROR(INDIRECT("'"&amp;$D$53&amp;"'!C9")&gt;1974,0),IFERROR(INDIRECT("'"&amp;$D$53&amp;"'!C9")&lt;1992,0)),INDIRECT("'"&amp;$D$53&amp;"'!GO_2037"),0)
+IF(AND(IFERROR(INDIRECT("'"&amp;$D$54&amp;"'!C9")&gt;1974,0),IFERROR(INDIRECT("'"&amp;$D$54&amp;"'!C9")&lt;1992,0)),INDIRECT("'"&amp;$D$54&amp;"'!GO_2037"),0)</f>
        <v>5342.96</v>
      </c>
      <c r="AB26" s="321">
        <f ca="1">IF(AND(IFERROR(INDIRECT("'"&amp;$D$5&amp;"'!C9")&gt;1974,0),IFERROR(INDIRECT("'"&amp;$D$5&amp;"'!C9")&lt;1992,0)),INDIRECT("'"&amp;$D$5&amp;"'!GO_2038"),0)
+IF(AND(IFERROR(INDIRECT("'"&amp;$D$6&amp;"'!C9")&gt;1974,0),IFERROR(INDIRECT("'"&amp;$D$6&amp;"'!C9")&lt;1992,0)),INDIRECT("'"&amp;$D$6&amp;"'!GO_2038"),0)
+IF(AND(IFERROR(INDIRECT("'"&amp;$D$7&amp;"'!C9")&gt;1974,0),IFERROR(INDIRECT("'"&amp;$D$7&amp;"'!C9")&lt;1992,0)),INDIRECT("'"&amp;$D$7&amp;"'!GO_2038"),0)
+IF(AND(IFERROR(INDIRECT("'"&amp;$D$8&amp;"'!C9")&gt;1974,0),IFERROR(INDIRECT("'"&amp;$D$8&amp;"'!C9")&lt;1992,0)),INDIRECT("'"&amp;$D$8&amp;"'!GO_2038"),0)
+IF(AND(IFERROR(INDIRECT("'"&amp;$D$9&amp;"'!C9")&gt;1974,0),IFERROR(INDIRECT("'"&amp;$D$9&amp;"'!C9")&lt;1992,0)),INDIRECT("'"&amp;$D$9&amp;"'!GO_2038"),0)
+IF(AND(IFERROR(INDIRECT("'"&amp;$D$10&amp;"'!C9")&gt;1974,0),IFERROR(INDIRECT("'"&amp;$D$10&amp;"'!C9")&lt;1992,0)),INDIRECT("'"&amp;$D$10&amp;"'!GO_2038"),0)
+IF(AND(IFERROR(INDIRECT("'"&amp;$D$11&amp;"'!C9")&gt;1974,0),IFERROR(INDIRECT("'"&amp;$D$11&amp;"'!C9")&lt;1992,0)),INDIRECT("'"&amp;$D$11&amp;"'!GO_2038"),0)
+IF(AND(IFERROR(INDIRECT("'"&amp;$D$12&amp;"'!C9")&gt;1974,0),IFERROR(INDIRECT("'"&amp;$D$12&amp;"'!C9")&lt;1992,0)),INDIRECT("'"&amp;$D$12&amp;"'!GO_2038"),0)
+IF(AND(IFERROR(INDIRECT("'"&amp;$D$13&amp;"'!C9")&gt;1974,0),IFERROR(INDIRECT("'"&amp;$D$13&amp;"'!C9")&lt;1992,0)),INDIRECT("'"&amp;$D$13&amp;"'!GO_2038"),0)
+IF(AND(IFERROR(INDIRECT("'"&amp;$D$14&amp;"'!C9")&gt;1974,0),IFERROR(INDIRECT("'"&amp;$D$14&amp;"'!C9")&lt;1992,0)),INDIRECT("'"&amp;$D$14&amp;"'!GO_2038"),0)
+IF(AND(IFERROR(INDIRECT("'"&amp;$D$15&amp;"'!C9")&gt;1974,0),IFERROR(INDIRECT("'"&amp;$D$15&amp;"'!C9")&lt;1992,0)),INDIRECT("'"&amp;$D$15&amp;"'!GO_2038"),0)
+IF(AND(IFERROR(INDIRECT("'"&amp;$D$16&amp;"'!C9")&gt;1974,0),IFERROR(INDIRECT("'"&amp;$D$16&amp;"'!C9")&lt;1992,0)),INDIRECT("'"&amp;$D$16&amp;"'!GO_2038"),0)
+IF(AND(IFERROR(INDIRECT("'"&amp;$D$17&amp;"'!C9")&gt;1974,0),IFERROR(INDIRECT("'"&amp;$D$17&amp;"'!C9")&lt;1992,0)),INDIRECT("'"&amp;$D$17&amp;"'!GO_2038"),0)
+IF(AND(IFERROR(INDIRECT("'"&amp;$D$18&amp;"'!C9")&gt;1974,0),IFERROR(INDIRECT("'"&amp;$D$18&amp;"'!C9")&lt;1992,0)),INDIRECT("'"&amp;$D$18&amp;"'!GO_2038"),0)
+IF(AND(IFERROR(INDIRECT("'"&amp;$D$19&amp;"'!C9")&gt;1974,0),IFERROR(INDIRECT("'"&amp;$D$19&amp;"'!C9")&lt;1992,0)),INDIRECT("'"&amp;$D$19&amp;"'!GO_2038"),0)
+IF(AND(IFERROR(INDIRECT("'"&amp;$D$20&amp;"'!C9")&gt;1974,0),IFERROR(INDIRECT("'"&amp;$D$20&amp;"'!C9")&lt;1992,0)),INDIRECT("'"&amp;$D$20&amp;"'!GO_2038"),0)
+IF(AND(IFERROR(INDIRECT("'"&amp;$D$21&amp;"'!C9")&gt;1974,0),IFERROR(INDIRECT("'"&amp;$D$21&amp;"'!C9")&lt;1992,0)),INDIRECT("'"&amp;$D$21&amp;"'!GO_2038"),0)
+IF(AND(IFERROR(INDIRECT("'"&amp;$D$22&amp;"'!C9")&gt;1974,0),IFERROR(INDIRECT("'"&amp;$D$22&amp;"'!C9")&lt;1992,0)),INDIRECT("'"&amp;$D$22&amp;"'!GO_2038"),0)
+IF(AND(IFERROR(INDIRECT("'"&amp;$D$23&amp;"'!C9")&gt;1974,0),IFERROR(INDIRECT("'"&amp;$D$23&amp;"'!C9")&lt;1992,0)),INDIRECT("'"&amp;$D$23&amp;"'!GO_2038"),0)
+IF(AND(IFERROR(INDIRECT("'"&amp;$D$24&amp;"'!C9")&gt;1974,0),IFERROR(INDIRECT("'"&amp;$D$24&amp;"'!C9")&lt;1992,0)),INDIRECT("'"&amp;$D$24&amp;"'!GO_2038"),0)
+IF(AND(IFERROR(INDIRECT("'"&amp;$D$25&amp;"'!C9")&gt;1974,0),IFERROR(INDIRECT("'"&amp;$D$25&amp;"'!C9")&lt;1992,0)),INDIRECT("'"&amp;$D$25&amp;"'!GO_2038"),0)
+IF(AND(IFERROR(INDIRECT("'"&amp;$D$26&amp;"'!C9")&gt;1974,0),IFERROR(INDIRECT("'"&amp;$D$26&amp;"'!C9")&lt;1992,0)),INDIRECT("'"&amp;$D$26&amp;"'!GO_2038"),0)
+IF(AND(IFERROR(INDIRECT("'"&amp;$D$27&amp;"'!C9")&gt;1974,0),IFERROR(INDIRECT("'"&amp;$D$27&amp;"'!C9")&lt;1992,0)),INDIRECT("'"&amp;$D$27&amp;"'!GO_2038"),0)
+IF(AND(IFERROR(INDIRECT("'"&amp;$D$28&amp;"'!C9")&gt;1974,0),IFERROR(INDIRECT("'"&amp;$D$28&amp;"'!C9")&lt;1992,0)),INDIRECT("'"&amp;$D$28&amp;"'!GO_2038"),0)
+IF(AND(IFERROR(INDIRECT("'"&amp;$D$29&amp;"'!C9")&gt;1974,0),IFERROR(INDIRECT("'"&amp;$D$29&amp;"'!C9")&lt;1992,0)),INDIRECT("'"&amp;$D$29&amp;"'!GO_2038"),0)
+IF(AND(IFERROR(INDIRECT("'"&amp;$D$30&amp;"'!C9")&gt;1974,0),IFERROR(INDIRECT("'"&amp;$D$30&amp;"'!C9")&lt;1992,0)),INDIRECT("'"&amp;$D$30&amp;"'!GO_2038"),0)
+IF(AND(IFERROR(INDIRECT("'"&amp;$D$31&amp;"'!C9")&gt;1974,0),IFERROR(INDIRECT("'"&amp;$D$31&amp;"'!C9")&lt;1992,0)),INDIRECT("'"&amp;$D$31&amp;"'!GO_2038"),0)
+IF(AND(IFERROR(INDIRECT("'"&amp;$D$32&amp;"'!C9")&gt;1974,0),IFERROR(INDIRECT("'"&amp;$D$32&amp;"'!C9")&lt;1992,0)),INDIRECT("'"&amp;$D$32&amp;"'!GO_2038"),0)
+IF(AND(IFERROR(INDIRECT("'"&amp;$D$33&amp;"'!C9")&gt;1974,0),IFERROR(INDIRECT("'"&amp;$D$33&amp;"'!C9")&lt;1992,0)),INDIRECT("'"&amp;$D$33&amp;"'!GO_2038"),0)
+IF(AND(IFERROR(INDIRECT("'"&amp;$D$34&amp;"'!C9")&gt;1974,0),IFERROR(INDIRECT("'"&amp;$D$34&amp;"'!C9")&lt;1992,0)),INDIRECT("'"&amp;$D$34&amp;"'!GO_2038"),0)
+IF(AND(IFERROR(INDIRECT("'"&amp;$D$35&amp;"'!C9")&gt;1974,0),IFERROR(INDIRECT("'"&amp;$D$35&amp;"'!C9")&lt;1992,0)),INDIRECT("'"&amp;$D$35&amp;"'!GO_2038"),0)
+IF(AND(IFERROR(INDIRECT("'"&amp;$D$36&amp;"'!C9")&gt;1974,0),IFERROR(INDIRECT("'"&amp;$D$36&amp;"'!C9")&lt;1992,0)),INDIRECT("'"&amp;$D$36&amp;"'!GO_2038"),0)
+IF(AND(IFERROR(INDIRECT("'"&amp;$D$37&amp;"'!C9")&gt;1974,0),IFERROR(INDIRECT("'"&amp;$D$37&amp;"'!C9")&lt;1992,0)),INDIRECT("'"&amp;$D$37&amp;"'!GO_2038"),0)
+IF(AND(IFERROR(INDIRECT("'"&amp;$D$38&amp;"'!C9")&gt;1974,0),IFERROR(INDIRECT("'"&amp;$D$38&amp;"'!C9")&lt;1992,0)),INDIRECT("'"&amp;$D$38&amp;"'!GO_2038"),0)
+IF(AND(IFERROR(INDIRECT("'"&amp;$D$39&amp;"'!C9")&gt;1974,0),IFERROR(INDIRECT("'"&amp;$D$39&amp;"'!C9")&lt;1992,0)),INDIRECT("'"&amp;$D$39&amp;"'!GO_2038"),0)
+IF(AND(IFERROR(INDIRECT("'"&amp;$D$40&amp;"'!C9")&gt;1974,0),IFERROR(INDIRECT("'"&amp;$D$40&amp;"'!C9")&lt;1992,0)),INDIRECT("'"&amp;$D$40&amp;"'!GO_2038"),0)
+IF(AND(IFERROR(INDIRECT("'"&amp;$D$41&amp;"'!C9")&gt;1974,0),IFERROR(INDIRECT("'"&amp;$D$41&amp;"'!C9")&lt;1992,0)),INDIRECT("'"&amp;$D$41&amp;"'!GO_2038"),0)
+IF(AND(IFERROR(INDIRECT("'"&amp;$D$42&amp;"'!C9")&gt;1974,0),IFERROR(INDIRECT("'"&amp;$D$42&amp;"'!C9")&lt;1992,0)),INDIRECT("'"&amp;$D$42&amp;"'!GO_2038"),0)
+IF(AND(IFERROR(INDIRECT("'"&amp;$D$43&amp;"'!C9")&gt;1974,0),IFERROR(INDIRECT("'"&amp;$D$43&amp;"'!C9")&lt;1992,0)),INDIRECT("'"&amp;$D$43&amp;"'!GO_2038"),0)
+IF(AND(IFERROR(INDIRECT("'"&amp;$D$44&amp;"'!C9")&gt;1974,0),IFERROR(INDIRECT("'"&amp;$D$44&amp;"'!C9")&lt;1992,0)),INDIRECT("'"&amp;$D$44&amp;"'!GO_2038"),0)
+IF(AND(IFERROR(INDIRECT("'"&amp;$D$45&amp;"'!C9")&gt;1974,0),IFERROR(INDIRECT("'"&amp;$D$45&amp;"'!C9")&lt;1992,0)),INDIRECT("'"&amp;$D$45&amp;"'!GO_2038"),0)
+IF(AND(IFERROR(INDIRECT("'"&amp;$D$46&amp;"'!C9")&gt;1974,0),IFERROR(INDIRECT("'"&amp;$D$46&amp;"'!C9")&lt;1992,0)),INDIRECT("'"&amp;$D$46&amp;"'!GO_2038"),0)
+IF(AND(IFERROR(INDIRECT("'"&amp;$D$47&amp;"'!C9")&gt;1974,0),IFERROR(INDIRECT("'"&amp;$D$47&amp;"'!C9")&lt;1992,0)),INDIRECT("'"&amp;$D$47&amp;"'!GO_2038"),0)
+IF(AND(IFERROR(INDIRECT("'"&amp;$D$48&amp;"'!C9")&gt;1974,0),IFERROR(INDIRECT("'"&amp;$D$48&amp;"'!C9")&lt;1992,0)),INDIRECT("'"&amp;$D$48&amp;"'!GO_2038"),0)
+IF(AND(IFERROR(INDIRECT("'"&amp;$D$49&amp;"'!C9")&gt;1974,0),IFERROR(INDIRECT("'"&amp;$D$49&amp;"'!C9")&lt;1992,0)),INDIRECT("'"&amp;$D$49&amp;"'!GO_2038"),0)
+IF(AND(IFERROR(INDIRECT("'"&amp;$D$50&amp;"'!C9")&gt;1974,0),IFERROR(INDIRECT("'"&amp;$D$50&amp;"'!C9")&lt;1992,0)),INDIRECT("'"&amp;$D$50&amp;"'!GO_2038"),0)
+IF(AND(IFERROR(INDIRECT("'"&amp;$D$51&amp;"'!C9")&gt;1974,0),IFERROR(INDIRECT("'"&amp;$D$51&amp;"'!C9")&lt;1992,0)),INDIRECT("'"&amp;$D$51&amp;"'!GO_2038"),0)
+IF(AND(IFERROR(INDIRECT("'"&amp;$D$52&amp;"'!C9")&gt;1974,0),IFERROR(INDIRECT("'"&amp;$D$52&amp;"'!C9")&lt;1992,0)),INDIRECT("'"&amp;$D$52&amp;"'!GO_2038"),0)
+IF(AND(IFERROR(INDIRECT("'"&amp;$D$53&amp;"'!C9")&gt;1974,0),IFERROR(INDIRECT("'"&amp;$D$53&amp;"'!C9")&lt;1992,0)),INDIRECT("'"&amp;$D$53&amp;"'!GO_2038"),0)
+IF(AND(IFERROR(INDIRECT("'"&amp;$D$54&amp;"'!C9")&gt;1974,0),IFERROR(INDIRECT("'"&amp;$D$54&amp;"'!C9")&lt;1992,0)),INDIRECT("'"&amp;$D$54&amp;"'!GO_2038"),0)</f>
        <v>5342.96</v>
      </c>
      <c r="AC26" s="321">
        <f ca="1">IF(AND(IFERROR(INDIRECT("'"&amp;$D$5&amp;"'!C9")&gt;1974,0),IFERROR(INDIRECT("'"&amp;$D$5&amp;"'!C9")&lt;1992,0)),INDIRECT("'"&amp;$D$5&amp;"'!GO_2039"),0)
+IF(AND(IFERROR(INDIRECT("'"&amp;$D$6&amp;"'!C9")&gt;1974,0),IFERROR(INDIRECT("'"&amp;$D$6&amp;"'!C9")&lt;1992,0)),INDIRECT("'"&amp;$D$6&amp;"'!GO_2039"),0)
+IF(AND(IFERROR(INDIRECT("'"&amp;$D$7&amp;"'!C9")&gt;1974,0),IFERROR(INDIRECT("'"&amp;$D$7&amp;"'!C9")&lt;1992,0)),INDIRECT("'"&amp;$D$7&amp;"'!GO_2039"),0)
+IF(AND(IFERROR(INDIRECT("'"&amp;$D$8&amp;"'!C9")&gt;1974,0),IFERROR(INDIRECT("'"&amp;$D$8&amp;"'!C9")&lt;1992,0)),INDIRECT("'"&amp;$D$8&amp;"'!GO_2039"),0)
+IF(AND(IFERROR(INDIRECT("'"&amp;$D$9&amp;"'!C9")&gt;1974,0),IFERROR(INDIRECT("'"&amp;$D$9&amp;"'!C9")&lt;1992,0)),INDIRECT("'"&amp;$D$9&amp;"'!GO_2039"),0)
+IF(AND(IFERROR(INDIRECT("'"&amp;$D$10&amp;"'!C9")&gt;1974,0),IFERROR(INDIRECT("'"&amp;$D$10&amp;"'!C9")&lt;1992,0)),INDIRECT("'"&amp;$D$10&amp;"'!GO_2039"),0)
+IF(AND(IFERROR(INDIRECT("'"&amp;$D$11&amp;"'!C9")&gt;1974,0),IFERROR(INDIRECT("'"&amp;$D$11&amp;"'!C9")&lt;1992,0)),INDIRECT("'"&amp;$D$11&amp;"'!GO_2039"),0)
+IF(AND(IFERROR(INDIRECT("'"&amp;$D$12&amp;"'!C9")&gt;1974,0),IFERROR(INDIRECT("'"&amp;$D$12&amp;"'!C9")&lt;1992,0)),INDIRECT("'"&amp;$D$12&amp;"'!GO_2039"),0)
+IF(AND(IFERROR(INDIRECT("'"&amp;$D$13&amp;"'!C9")&gt;1974,0),IFERROR(INDIRECT("'"&amp;$D$13&amp;"'!C9")&lt;1992,0)),INDIRECT("'"&amp;$D$13&amp;"'!GO_2039"),0)
+IF(AND(IFERROR(INDIRECT("'"&amp;$D$14&amp;"'!C9")&gt;1974,0),IFERROR(INDIRECT("'"&amp;$D$14&amp;"'!C9")&lt;1992,0)),INDIRECT("'"&amp;$D$14&amp;"'!GO_2039"),0)
+IF(AND(IFERROR(INDIRECT("'"&amp;$D$15&amp;"'!C9")&gt;1974,0),IFERROR(INDIRECT("'"&amp;$D$15&amp;"'!C9")&lt;1992,0)),INDIRECT("'"&amp;$D$15&amp;"'!GO_2039"),0)
+IF(AND(IFERROR(INDIRECT("'"&amp;$D$16&amp;"'!C9")&gt;1974,0),IFERROR(INDIRECT("'"&amp;$D$16&amp;"'!C9")&lt;1992,0)),INDIRECT("'"&amp;$D$16&amp;"'!GO_2039"),0)
+IF(AND(IFERROR(INDIRECT("'"&amp;$D$17&amp;"'!C9")&gt;1974,0),IFERROR(INDIRECT("'"&amp;$D$17&amp;"'!C9")&lt;1992,0)),INDIRECT("'"&amp;$D$17&amp;"'!GO_2039"),0)
+IF(AND(IFERROR(INDIRECT("'"&amp;$D$18&amp;"'!C9")&gt;1974,0),IFERROR(INDIRECT("'"&amp;$D$18&amp;"'!C9")&lt;1992,0)),INDIRECT("'"&amp;$D$18&amp;"'!GO_2039"),0)
+IF(AND(IFERROR(INDIRECT("'"&amp;$D$19&amp;"'!C9")&gt;1974,0),IFERROR(INDIRECT("'"&amp;$D$19&amp;"'!C9")&lt;1992,0)),INDIRECT("'"&amp;$D$19&amp;"'!GO_2039"),0)
+IF(AND(IFERROR(INDIRECT("'"&amp;$D$20&amp;"'!C9")&gt;1974,0),IFERROR(INDIRECT("'"&amp;$D$20&amp;"'!C9")&lt;1992,0)),INDIRECT("'"&amp;$D$20&amp;"'!GO_2039"),0)
+IF(AND(IFERROR(INDIRECT("'"&amp;$D$21&amp;"'!C9")&gt;1974,0),IFERROR(INDIRECT("'"&amp;$D$21&amp;"'!C9")&lt;1992,0)),INDIRECT("'"&amp;$D$21&amp;"'!GO_2039"),0)
+IF(AND(IFERROR(INDIRECT("'"&amp;$D$22&amp;"'!C9")&gt;1974,0),IFERROR(INDIRECT("'"&amp;$D$22&amp;"'!C9")&lt;1992,0)),INDIRECT("'"&amp;$D$22&amp;"'!GO_2039"),0)
+IF(AND(IFERROR(INDIRECT("'"&amp;$D$23&amp;"'!C9")&gt;1974,0),IFERROR(INDIRECT("'"&amp;$D$23&amp;"'!C9")&lt;1992,0)),INDIRECT("'"&amp;$D$23&amp;"'!GO_2039"),0)
+IF(AND(IFERROR(INDIRECT("'"&amp;$D$24&amp;"'!C9")&gt;1974,0),IFERROR(INDIRECT("'"&amp;$D$24&amp;"'!C9")&lt;1992,0)),INDIRECT("'"&amp;$D$24&amp;"'!GO_2039"),0)
+IF(AND(IFERROR(INDIRECT("'"&amp;$D$25&amp;"'!C9")&gt;1974,0),IFERROR(INDIRECT("'"&amp;$D$25&amp;"'!C9")&lt;1992,0)),INDIRECT("'"&amp;$D$25&amp;"'!GO_2039"),0)
+IF(AND(IFERROR(INDIRECT("'"&amp;$D$26&amp;"'!C9")&gt;1974,0),IFERROR(INDIRECT("'"&amp;$D$26&amp;"'!C9")&lt;1992,0)),INDIRECT("'"&amp;$D$26&amp;"'!GO_2039"),0)
+IF(AND(IFERROR(INDIRECT("'"&amp;$D$27&amp;"'!C9")&gt;1974,0),IFERROR(INDIRECT("'"&amp;$D$27&amp;"'!C9")&lt;1992,0)),INDIRECT("'"&amp;$D$27&amp;"'!GO_2039"),0)
+IF(AND(IFERROR(INDIRECT("'"&amp;$D$28&amp;"'!C9")&gt;1974,0),IFERROR(INDIRECT("'"&amp;$D$28&amp;"'!C9")&lt;1992,0)),INDIRECT("'"&amp;$D$28&amp;"'!GO_2039"),0)
+IF(AND(IFERROR(INDIRECT("'"&amp;$D$29&amp;"'!C9")&gt;1974,0),IFERROR(INDIRECT("'"&amp;$D$29&amp;"'!C9")&lt;1992,0)),INDIRECT("'"&amp;$D$29&amp;"'!GO_2039"),0)
+IF(AND(IFERROR(INDIRECT("'"&amp;$D$30&amp;"'!C9")&gt;1974,0),IFERROR(INDIRECT("'"&amp;$D$30&amp;"'!C9")&lt;1992,0)),INDIRECT("'"&amp;$D$30&amp;"'!GO_2039"),0)
+IF(AND(IFERROR(INDIRECT("'"&amp;$D$31&amp;"'!C9")&gt;1974,0),IFERROR(INDIRECT("'"&amp;$D$31&amp;"'!C9")&lt;1992,0)),INDIRECT("'"&amp;$D$31&amp;"'!GO_2039"),0)
+IF(AND(IFERROR(INDIRECT("'"&amp;$D$32&amp;"'!C9")&gt;1974,0),IFERROR(INDIRECT("'"&amp;$D$32&amp;"'!C9")&lt;1992,0)),INDIRECT("'"&amp;$D$32&amp;"'!GO_2039"),0)
+IF(AND(IFERROR(INDIRECT("'"&amp;$D$33&amp;"'!C9")&gt;1974,0),IFERROR(INDIRECT("'"&amp;$D$33&amp;"'!C9")&lt;1992,0)),INDIRECT("'"&amp;$D$33&amp;"'!GO_2039"),0)
+IF(AND(IFERROR(INDIRECT("'"&amp;$D$34&amp;"'!C9")&gt;1974,0),IFERROR(INDIRECT("'"&amp;$D$34&amp;"'!C9")&lt;1992,0)),INDIRECT("'"&amp;$D$34&amp;"'!GO_2039"),0)
+IF(AND(IFERROR(INDIRECT("'"&amp;$D$35&amp;"'!C9")&gt;1974,0),IFERROR(INDIRECT("'"&amp;$D$35&amp;"'!C9")&lt;1992,0)),INDIRECT("'"&amp;$D$35&amp;"'!GO_2039"),0)
+IF(AND(IFERROR(INDIRECT("'"&amp;$D$36&amp;"'!C9")&gt;1974,0),IFERROR(INDIRECT("'"&amp;$D$36&amp;"'!C9")&lt;1992,0)),INDIRECT("'"&amp;$D$36&amp;"'!GO_2039"),0)
+IF(AND(IFERROR(INDIRECT("'"&amp;$D$37&amp;"'!C9")&gt;1974,0),IFERROR(INDIRECT("'"&amp;$D$37&amp;"'!C9")&lt;1992,0)),INDIRECT("'"&amp;$D$37&amp;"'!GO_2039"),0)
+IF(AND(IFERROR(INDIRECT("'"&amp;$D$38&amp;"'!C9")&gt;1974,0),IFERROR(INDIRECT("'"&amp;$D$38&amp;"'!C9")&lt;1992,0)),INDIRECT("'"&amp;$D$38&amp;"'!GO_2039"),0)
+IF(AND(IFERROR(INDIRECT("'"&amp;$D$39&amp;"'!C9")&gt;1974,0),IFERROR(INDIRECT("'"&amp;$D$39&amp;"'!C9")&lt;1992,0)),INDIRECT("'"&amp;$D$39&amp;"'!GO_2039"),0)
+IF(AND(IFERROR(INDIRECT("'"&amp;$D$40&amp;"'!C9")&gt;1974,0),IFERROR(INDIRECT("'"&amp;$D$40&amp;"'!C9")&lt;1992,0)),INDIRECT("'"&amp;$D$40&amp;"'!GO_2039"),0)
+IF(AND(IFERROR(INDIRECT("'"&amp;$D$41&amp;"'!C9")&gt;1974,0),IFERROR(INDIRECT("'"&amp;$D$41&amp;"'!C9")&lt;1992,0)),INDIRECT("'"&amp;$D$41&amp;"'!GO_2039"),0)
+IF(AND(IFERROR(INDIRECT("'"&amp;$D$42&amp;"'!C9")&gt;1974,0),IFERROR(INDIRECT("'"&amp;$D$42&amp;"'!C9")&lt;1992,0)),INDIRECT("'"&amp;$D$42&amp;"'!GO_2039"),0)
+IF(AND(IFERROR(INDIRECT("'"&amp;$D$43&amp;"'!C9")&gt;1974,0),IFERROR(INDIRECT("'"&amp;$D$43&amp;"'!C9")&lt;1992,0)),INDIRECT("'"&amp;$D$43&amp;"'!GO_2039"),0)
+IF(AND(IFERROR(INDIRECT("'"&amp;$D$44&amp;"'!C9")&gt;1974,0),IFERROR(INDIRECT("'"&amp;$D$44&amp;"'!C9")&lt;1992,0)),INDIRECT("'"&amp;$D$44&amp;"'!GO_2039"),0)
+IF(AND(IFERROR(INDIRECT("'"&amp;$D$45&amp;"'!C9")&gt;1974,0),IFERROR(INDIRECT("'"&amp;$D$45&amp;"'!C9")&lt;1992,0)),INDIRECT("'"&amp;$D$45&amp;"'!GO_2039"),0)
+IF(AND(IFERROR(INDIRECT("'"&amp;$D$46&amp;"'!C9")&gt;1974,0),IFERROR(INDIRECT("'"&amp;$D$46&amp;"'!C9")&lt;1992,0)),INDIRECT("'"&amp;$D$46&amp;"'!GO_2039"),0)
+IF(AND(IFERROR(INDIRECT("'"&amp;$D$47&amp;"'!C9")&gt;1974,0),IFERROR(INDIRECT("'"&amp;$D$47&amp;"'!C9")&lt;1992,0)),INDIRECT("'"&amp;$D$47&amp;"'!GO_2039"),0)
+IF(AND(IFERROR(INDIRECT("'"&amp;$D$48&amp;"'!C9")&gt;1974,0),IFERROR(INDIRECT("'"&amp;$D$48&amp;"'!C9")&lt;1992,0)),INDIRECT("'"&amp;$D$48&amp;"'!GO_2039"),0)
+IF(AND(IFERROR(INDIRECT("'"&amp;$D$49&amp;"'!C9")&gt;1974,0),IFERROR(INDIRECT("'"&amp;$D$49&amp;"'!C9")&lt;1992,0)),INDIRECT("'"&amp;$D$49&amp;"'!GO_2039"),0)
+IF(AND(IFERROR(INDIRECT("'"&amp;$D$50&amp;"'!C9")&gt;1974,0),IFERROR(INDIRECT("'"&amp;$D$50&amp;"'!C9")&lt;1992,0)),INDIRECT("'"&amp;$D$50&amp;"'!GO_2039"),0)
+IF(AND(IFERROR(INDIRECT("'"&amp;$D$51&amp;"'!C9")&gt;1974,0),IFERROR(INDIRECT("'"&amp;$D$51&amp;"'!C9")&lt;1992,0)),INDIRECT("'"&amp;$D$51&amp;"'!GO_2039"),0)
+IF(AND(IFERROR(INDIRECT("'"&amp;$D$52&amp;"'!C9")&gt;1974,0),IFERROR(INDIRECT("'"&amp;$D$52&amp;"'!C9")&lt;1992,0)),INDIRECT("'"&amp;$D$52&amp;"'!GO_2039"),0)
+IF(AND(IFERROR(INDIRECT("'"&amp;$D$53&amp;"'!C9")&gt;1974,0),IFERROR(INDIRECT("'"&amp;$D$53&amp;"'!C9")&lt;1992,0)),INDIRECT("'"&amp;$D$53&amp;"'!GO_2039"),0)
+IF(AND(IFERROR(INDIRECT("'"&amp;$D$54&amp;"'!C9")&gt;1974,0),IFERROR(INDIRECT("'"&amp;$D$54&amp;"'!C9")&lt;1992,0)),INDIRECT("'"&amp;$D$54&amp;"'!GO_2039"),0)</f>
        <v>5342.96</v>
      </c>
      <c r="AD26" s="321">
        <f ca="1">IF(AND(IFERROR(INDIRECT("'"&amp;$D$5&amp;"'!C9")&gt;1974,0),IFERROR(INDIRECT("'"&amp;$D$5&amp;"'!C9")&lt;1992,0)),INDIRECT("'"&amp;$D$5&amp;"'!GO_2040"),0)
+IF(AND(IFERROR(INDIRECT("'"&amp;$D$6&amp;"'!C9")&gt;1974,0),IFERROR(INDIRECT("'"&amp;$D$6&amp;"'!C9")&lt;1992,0)),INDIRECT("'"&amp;$D$6&amp;"'!GO_2040"),0)
+IF(AND(IFERROR(INDIRECT("'"&amp;$D$7&amp;"'!C9")&gt;1974,0),IFERROR(INDIRECT("'"&amp;$D$7&amp;"'!C9")&lt;1992,0)),INDIRECT("'"&amp;$D$7&amp;"'!GO_2040"),0)
+IF(AND(IFERROR(INDIRECT("'"&amp;$D$8&amp;"'!C9")&gt;1974,0),IFERROR(INDIRECT("'"&amp;$D$8&amp;"'!C9")&lt;1992,0)),INDIRECT("'"&amp;$D$8&amp;"'!GO_2040"),0)
+IF(AND(IFERROR(INDIRECT("'"&amp;$D$9&amp;"'!C9")&gt;1974,0),IFERROR(INDIRECT("'"&amp;$D$9&amp;"'!C9")&lt;1992,0)),INDIRECT("'"&amp;$D$9&amp;"'!GO_2040"),0)
+IF(AND(IFERROR(INDIRECT("'"&amp;$D$10&amp;"'!C9")&gt;1974,0),IFERROR(INDIRECT("'"&amp;$D$10&amp;"'!C9")&lt;1992,0)),INDIRECT("'"&amp;$D$10&amp;"'!GO_2040"),0)
+IF(AND(IFERROR(INDIRECT("'"&amp;$D$11&amp;"'!C9")&gt;1974,0),IFERROR(INDIRECT("'"&amp;$D$11&amp;"'!C9")&lt;1992,0)),INDIRECT("'"&amp;$D$11&amp;"'!GO_2040"),0)
+IF(AND(IFERROR(INDIRECT("'"&amp;$D$12&amp;"'!C9")&gt;1974,0),IFERROR(INDIRECT("'"&amp;$D$12&amp;"'!C9")&lt;1992,0)),INDIRECT("'"&amp;$D$12&amp;"'!GO_2040"),0)
+IF(AND(IFERROR(INDIRECT("'"&amp;$D$13&amp;"'!C9")&gt;1974,0),IFERROR(INDIRECT("'"&amp;$D$13&amp;"'!C9")&lt;1992,0)),INDIRECT("'"&amp;$D$13&amp;"'!GO_2040"),0)
+IF(AND(IFERROR(INDIRECT("'"&amp;$D$14&amp;"'!C9")&gt;1974,0),IFERROR(INDIRECT("'"&amp;$D$14&amp;"'!C9")&lt;1992,0)),INDIRECT("'"&amp;$D$14&amp;"'!GO_2040"),0)
+IF(AND(IFERROR(INDIRECT("'"&amp;$D$15&amp;"'!C9")&gt;1974,0),IFERROR(INDIRECT("'"&amp;$D$15&amp;"'!C9")&lt;1992,0)),INDIRECT("'"&amp;$D$15&amp;"'!GO_2040"),0)
+IF(AND(IFERROR(INDIRECT("'"&amp;$D$16&amp;"'!C9")&gt;1974,0),IFERROR(INDIRECT("'"&amp;$D$16&amp;"'!C9")&lt;1992,0)),INDIRECT("'"&amp;$D$16&amp;"'!GO_2040"),0)
+IF(AND(IFERROR(INDIRECT("'"&amp;$D$17&amp;"'!C9")&gt;1974,0),IFERROR(INDIRECT("'"&amp;$D$17&amp;"'!C9")&lt;1992,0)),INDIRECT("'"&amp;$D$17&amp;"'!GO_2040"),0)
+IF(AND(IFERROR(INDIRECT("'"&amp;$D$18&amp;"'!C9")&gt;1974,0),IFERROR(INDIRECT("'"&amp;$D$18&amp;"'!C9")&lt;1992,0)),INDIRECT("'"&amp;$D$18&amp;"'!GO_2040"),0)
+IF(AND(IFERROR(INDIRECT("'"&amp;$D$19&amp;"'!C9")&gt;1974,0),IFERROR(INDIRECT("'"&amp;$D$19&amp;"'!C9")&lt;1992,0)),INDIRECT("'"&amp;$D$19&amp;"'!GO_2040"),0)
+IF(AND(IFERROR(INDIRECT("'"&amp;$D$20&amp;"'!C9")&gt;1974,0),IFERROR(INDIRECT("'"&amp;$D$20&amp;"'!C9")&lt;1992,0)),INDIRECT("'"&amp;$D$20&amp;"'!GO_2040"),0)
+IF(AND(IFERROR(INDIRECT("'"&amp;$D$21&amp;"'!C9")&gt;1974,0),IFERROR(INDIRECT("'"&amp;$D$21&amp;"'!C9")&lt;1992,0)),INDIRECT("'"&amp;$D$21&amp;"'!GO_2040"),0)
+IF(AND(IFERROR(INDIRECT("'"&amp;$D$22&amp;"'!C9")&gt;1974,0),IFERROR(INDIRECT("'"&amp;$D$22&amp;"'!C9")&lt;1992,0)),INDIRECT("'"&amp;$D$22&amp;"'!GO_2040"),0)
+IF(AND(IFERROR(INDIRECT("'"&amp;$D$23&amp;"'!C9")&gt;1974,0),IFERROR(INDIRECT("'"&amp;$D$23&amp;"'!C9")&lt;1992,0)),INDIRECT("'"&amp;$D$23&amp;"'!GO_2040"),0)
+IF(AND(IFERROR(INDIRECT("'"&amp;$D$24&amp;"'!C9")&gt;1974,0),IFERROR(INDIRECT("'"&amp;$D$24&amp;"'!C9")&lt;1992,0)),INDIRECT("'"&amp;$D$24&amp;"'!GO_2040"),0)
+IF(AND(IFERROR(INDIRECT("'"&amp;$D$25&amp;"'!C9")&gt;1974,0),IFERROR(INDIRECT("'"&amp;$D$25&amp;"'!C9")&lt;1992,0)),INDIRECT("'"&amp;$D$25&amp;"'!GO_2040"),0)
+IF(AND(IFERROR(INDIRECT("'"&amp;$D$26&amp;"'!C9")&gt;1974,0),IFERROR(INDIRECT("'"&amp;$D$26&amp;"'!C9")&lt;1992,0)),INDIRECT("'"&amp;$D$26&amp;"'!GO_2040"),0)
+IF(AND(IFERROR(INDIRECT("'"&amp;$D$27&amp;"'!C9")&gt;1974,0),IFERROR(INDIRECT("'"&amp;$D$27&amp;"'!C9")&lt;1992,0)),INDIRECT("'"&amp;$D$27&amp;"'!GO_2040"),0)
+IF(AND(IFERROR(INDIRECT("'"&amp;$D$28&amp;"'!C9")&gt;1974,0),IFERROR(INDIRECT("'"&amp;$D$28&amp;"'!C9")&lt;1992,0)),INDIRECT("'"&amp;$D$28&amp;"'!GO_2040"),0)
+IF(AND(IFERROR(INDIRECT("'"&amp;$D$29&amp;"'!C9")&gt;1974,0),IFERROR(INDIRECT("'"&amp;$D$29&amp;"'!C9")&lt;1992,0)),INDIRECT("'"&amp;$D$29&amp;"'!GO_2040"),0)
+IF(AND(IFERROR(INDIRECT("'"&amp;$D$30&amp;"'!C9")&gt;1974,0),IFERROR(INDIRECT("'"&amp;$D$30&amp;"'!C9")&lt;1992,0)),INDIRECT("'"&amp;$D$30&amp;"'!GO_2040"),0)
+IF(AND(IFERROR(INDIRECT("'"&amp;$D$31&amp;"'!C9")&gt;1974,0),IFERROR(INDIRECT("'"&amp;$D$31&amp;"'!C9")&lt;1992,0)),INDIRECT("'"&amp;$D$31&amp;"'!GO_2040"),0)
+IF(AND(IFERROR(INDIRECT("'"&amp;$D$32&amp;"'!C9")&gt;1974,0),IFERROR(INDIRECT("'"&amp;$D$32&amp;"'!C9")&lt;1992,0)),INDIRECT("'"&amp;$D$32&amp;"'!GO_2040"),0)
+IF(AND(IFERROR(INDIRECT("'"&amp;$D$33&amp;"'!C9")&gt;1974,0),IFERROR(INDIRECT("'"&amp;$D$33&amp;"'!C9")&lt;1992,0)),INDIRECT("'"&amp;$D$33&amp;"'!GO_2040"),0)
+IF(AND(IFERROR(INDIRECT("'"&amp;$D$34&amp;"'!C9")&gt;1974,0),IFERROR(INDIRECT("'"&amp;$D$34&amp;"'!C9")&lt;1992,0)),INDIRECT("'"&amp;$D$34&amp;"'!GO_2040"),0)
+IF(AND(IFERROR(INDIRECT("'"&amp;$D$35&amp;"'!C9")&gt;1974,0),IFERROR(INDIRECT("'"&amp;$D$35&amp;"'!C9")&lt;1992,0)),INDIRECT("'"&amp;$D$35&amp;"'!GO_2040"),0)
+IF(AND(IFERROR(INDIRECT("'"&amp;$D$36&amp;"'!C9")&gt;1974,0),IFERROR(INDIRECT("'"&amp;$D$36&amp;"'!C9")&lt;1992,0)),INDIRECT("'"&amp;$D$36&amp;"'!GO_2040"),0)
+IF(AND(IFERROR(INDIRECT("'"&amp;$D$37&amp;"'!C9")&gt;1974,0),IFERROR(INDIRECT("'"&amp;$D$37&amp;"'!C9")&lt;1992,0)),INDIRECT("'"&amp;$D$37&amp;"'!GO_2040"),0)
+IF(AND(IFERROR(INDIRECT("'"&amp;$D$38&amp;"'!C9")&gt;1974,0),IFERROR(INDIRECT("'"&amp;$D$38&amp;"'!C9")&lt;1992,0)),INDIRECT("'"&amp;$D$38&amp;"'!GO_2040"),0)
+IF(AND(IFERROR(INDIRECT("'"&amp;$D$39&amp;"'!C9")&gt;1974,0),IFERROR(INDIRECT("'"&amp;$D$39&amp;"'!C9")&lt;1992,0)),INDIRECT("'"&amp;$D$39&amp;"'!GO_2040"),0)
+IF(AND(IFERROR(INDIRECT("'"&amp;$D$40&amp;"'!C9")&gt;1974,0),IFERROR(INDIRECT("'"&amp;$D$40&amp;"'!C9")&lt;1992,0)),INDIRECT("'"&amp;$D$40&amp;"'!GO_2040"),0)
+IF(AND(IFERROR(INDIRECT("'"&amp;$D$41&amp;"'!C9")&gt;1974,0),IFERROR(INDIRECT("'"&amp;$D$41&amp;"'!C9")&lt;1992,0)),INDIRECT("'"&amp;$D$41&amp;"'!GO_2040"),0)
+IF(AND(IFERROR(INDIRECT("'"&amp;$D$42&amp;"'!C9")&gt;1974,0),IFERROR(INDIRECT("'"&amp;$D$42&amp;"'!C9")&lt;1992,0)),INDIRECT("'"&amp;$D$42&amp;"'!GO_2040"),0)
+IF(AND(IFERROR(INDIRECT("'"&amp;$D$43&amp;"'!C9")&gt;1974,0),IFERROR(INDIRECT("'"&amp;$D$43&amp;"'!C9")&lt;1992,0)),INDIRECT("'"&amp;$D$43&amp;"'!GO_2040"),0)
+IF(AND(IFERROR(INDIRECT("'"&amp;$D$44&amp;"'!C9")&gt;1974,0),IFERROR(INDIRECT("'"&amp;$D$44&amp;"'!C9")&lt;1992,0)),INDIRECT("'"&amp;$D$44&amp;"'!GO_2040"),0)
+IF(AND(IFERROR(INDIRECT("'"&amp;$D$45&amp;"'!C9")&gt;1974,0),IFERROR(INDIRECT("'"&amp;$D$45&amp;"'!C9")&lt;1992,0)),INDIRECT("'"&amp;$D$45&amp;"'!GO_2040"),0)
+IF(AND(IFERROR(INDIRECT("'"&amp;$D$46&amp;"'!C9")&gt;1974,0),IFERROR(INDIRECT("'"&amp;$D$46&amp;"'!C9")&lt;1992,0)),INDIRECT("'"&amp;$D$46&amp;"'!GO_2040"),0)
+IF(AND(IFERROR(INDIRECT("'"&amp;$D$47&amp;"'!C9")&gt;1974,0),IFERROR(INDIRECT("'"&amp;$D$47&amp;"'!C9")&lt;1992,0)),INDIRECT("'"&amp;$D$47&amp;"'!GO_2040"),0)
+IF(AND(IFERROR(INDIRECT("'"&amp;$D$48&amp;"'!C9")&gt;1974,0),IFERROR(INDIRECT("'"&amp;$D$48&amp;"'!C9")&lt;1992,0)),INDIRECT("'"&amp;$D$48&amp;"'!GO_2040"),0)
+IF(AND(IFERROR(INDIRECT("'"&amp;$D$49&amp;"'!C9")&gt;1974,0),IFERROR(INDIRECT("'"&amp;$D$49&amp;"'!C9")&lt;1992,0)),INDIRECT("'"&amp;$D$49&amp;"'!GO_2040"),0)
+IF(AND(IFERROR(INDIRECT("'"&amp;$D$50&amp;"'!C9")&gt;1974,0),IFERROR(INDIRECT("'"&amp;$D$50&amp;"'!C9")&lt;1992,0)),INDIRECT("'"&amp;$D$50&amp;"'!GO_2040"),0)
+IF(AND(IFERROR(INDIRECT("'"&amp;$D$51&amp;"'!C9")&gt;1974,0),IFERROR(INDIRECT("'"&amp;$D$51&amp;"'!C9")&lt;1992,0)),INDIRECT("'"&amp;$D$51&amp;"'!GO_2040"),0)
+IF(AND(IFERROR(INDIRECT("'"&amp;$D$52&amp;"'!C9")&gt;1974,0),IFERROR(INDIRECT("'"&amp;$D$52&amp;"'!C9")&lt;1992,0)),INDIRECT("'"&amp;$D$52&amp;"'!GO_2040"),0)
+IF(AND(IFERROR(INDIRECT("'"&amp;$D$53&amp;"'!C9")&gt;1974,0),IFERROR(INDIRECT("'"&amp;$D$53&amp;"'!C9")&lt;1992,0)),INDIRECT("'"&amp;$D$53&amp;"'!GO_2040"),0)
+IF(AND(IFERROR(INDIRECT("'"&amp;$D$54&amp;"'!C9")&gt;1974,0),IFERROR(INDIRECT("'"&amp;$D$54&amp;"'!C9")&lt;1992,0)),INDIRECT("'"&amp;$D$54&amp;"'!GO_2040"),0)</f>
        <v>3172.4</v>
      </c>
      <c r="AE26" s="321">
        <f ca="1">IF(AND(IFERROR(INDIRECT("'"&amp;$D$5&amp;"'!C9")&gt;1974,0),IFERROR(INDIRECT("'"&amp;$D$5&amp;"'!C9")&lt;1992,0)),INDIRECT("'"&amp;$D$5&amp;"'!GO_2041"),0)
+IF(AND(IFERROR(INDIRECT("'"&amp;$D$6&amp;"'!C9")&gt;1974,0),IFERROR(INDIRECT("'"&amp;$D$6&amp;"'!C9")&lt;1992,0)),INDIRECT("'"&amp;$D$6&amp;"'!GO_2041"),0)
+IF(AND(IFERROR(INDIRECT("'"&amp;$D$7&amp;"'!C9")&gt;1974,0),IFERROR(INDIRECT("'"&amp;$D$7&amp;"'!C9")&lt;1992,0)),INDIRECT("'"&amp;$D$7&amp;"'!GO_2041"),0)
+IF(AND(IFERROR(INDIRECT("'"&amp;$D$8&amp;"'!C9")&gt;1974,0),IFERROR(INDIRECT("'"&amp;$D$8&amp;"'!C9")&lt;1992,0)),INDIRECT("'"&amp;$D$8&amp;"'!GO_2041"),0)
+IF(AND(IFERROR(INDIRECT("'"&amp;$D$9&amp;"'!C9")&gt;1974,0),IFERROR(INDIRECT("'"&amp;$D$9&amp;"'!C9")&lt;1992,0)),INDIRECT("'"&amp;$D$9&amp;"'!GO_2041"),0)
+IF(AND(IFERROR(INDIRECT("'"&amp;$D$10&amp;"'!C9")&gt;1974,0),IFERROR(INDIRECT("'"&amp;$D$10&amp;"'!C9")&lt;1992,0)),INDIRECT("'"&amp;$D$10&amp;"'!GO_2041"),0)
+IF(AND(IFERROR(INDIRECT("'"&amp;$D$11&amp;"'!C9")&gt;1974,0),IFERROR(INDIRECT("'"&amp;$D$11&amp;"'!C9")&lt;1992,0)),INDIRECT("'"&amp;$D$11&amp;"'!GO_2041"),0)
+IF(AND(IFERROR(INDIRECT("'"&amp;$D$12&amp;"'!C9")&gt;1974,0),IFERROR(INDIRECT("'"&amp;$D$12&amp;"'!C9")&lt;1992,0)),INDIRECT("'"&amp;$D$12&amp;"'!GO_2041"),0)
+IF(AND(IFERROR(INDIRECT("'"&amp;$D$13&amp;"'!C9")&gt;1974,0),IFERROR(INDIRECT("'"&amp;$D$13&amp;"'!C9")&lt;1992,0)),INDIRECT("'"&amp;$D$13&amp;"'!GO_2041"),0)
+IF(AND(IFERROR(INDIRECT("'"&amp;$D$14&amp;"'!C9")&gt;1974,0),IFERROR(INDIRECT("'"&amp;$D$14&amp;"'!C9")&lt;1992,0)),INDIRECT("'"&amp;$D$14&amp;"'!GO_2041"),0)
+IF(AND(IFERROR(INDIRECT("'"&amp;$D$15&amp;"'!C9")&gt;1974,0),IFERROR(INDIRECT("'"&amp;$D$15&amp;"'!C9")&lt;1992,0)),INDIRECT("'"&amp;$D$15&amp;"'!GO_2041"),0)
+IF(AND(IFERROR(INDIRECT("'"&amp;$D$16&amp;"'!C9")&gt;1974,0),IFERROR(INDIRECT("'"&amp;$D$16&amp;"'!C9")&lt;1992,0)),INDIRECT("'"&amp;$D$16&amp;"'!GO_2041"),0)
+IF(AND(IFERROR(INDIRECT("'"&amp;$D$17&amp;"'!C9")&gt;1974,0),IFERROR(INDIRECT("'"&amp;$D$17&amp;"'!C9")&lt;1992,0)),INDIRECT("'"&amp;$D$17&amp;"'!GO_2041"),0)
+IF(AND(IFERROR(INDIRECT("'"&amp;$D$18&amp;"'!C9")&gt;1974,0),IFERROR(INDIRECT("'"&amp;$D$18&amp;"'!C9")&lt;1992,0)),INDIRECT("'"&amp;$D$18&amp;"'!GO_2041"),0)
+IF(AND(IFERROR(INDIRECT("'"&amp;$D$19&amp;"'!C9")&gt;1974,0),IFERROR(INDIRECT("'"&amp;$D$19&amp;"'!C9")&lt;1992,0)),INDIRECT("'"&amp;$D$19&amp;"'!GO_2041"),0)
+IF(AND(IFERROR(INDIRECT("'"&amp;$D$20&amp;"'!C9")&gt;1974,0),IFERROR(INDIRECT("'"&amp;$D$20&amp;"'!C9")&lt;1992,0)),INDIRECT("'"&amp;$D$20&amp;"'!GO_2041"),0)
+IF(AND(IFERROR(INDIRECT("'"&amp;$D$21&amp;"'!C9")&gt;1974,0),IFERROR(INDIRECT("'"&amp;$D$21&amp;"'!C9")&lt;1992,0)),INDIRECT("'"&amp;$D$21&amp;"'!GO_2041"),0)
+IF(AND(IFERROR(INDIRECT("'"&amp;$D$22&amp;"'!C9")&gt;1974,0),IFERROR(INDIRECT("'"&amp;$D$22&amp;"'!C9")&lt;1992,0)),INDIRECT("'"&amp;$D$22&amp;"'!GO_2041"),0)
+IF(AND(IFERROR(INDIRECT("'"&amp;$D$23&amp;"'!C9")&gt;1974,0),IFERROR(INDIRECT("'"&amp;$D$23&amp;"'!C9")&lt;1992,0)),INDIRECT("'"&amp;$D$23&amp;"'!GO_2041"),0)
+IF(AND(IFERROR(INDIRECT("'"&amp;$D$24&amp;"'!C9")&gt;1974,0),IFERROR(INDIRECT("'"&amp;$D$24&amp;"'!C9")&lt;1992,0)),INDIRECT("'"&amp;$D$24&amp;"'!GO_2041"),0)
+IF(AND(IFERROR(INDIRECT("'"&amp;$D$25&amp;"'!C9")&gt;1974,0),IFERROR(INDIRECT("'"&amp;$D$25&amp;"'!C9")&lt;1992,0)),INDIRECT("'"&amp;$D$25&amp;"'!GO_2041"),0)
+IF(AND(IFERROR(INDIRECT("'"&amp;$D$26&amp;"'!C9")&gt;1974,0),IFERROR(INDIRECT("'"&amp;$D$26&amp;"'!C9")&lt;1992,0)),INDIRECT("'"&amp;$D$26&amp;"'!GO_2041"),0)
+IF(AND(IFERROR(INDIRECT("'"&amp;$D$27&amp;"'!C9")&gt;1974,0),IFERROR(INDIRECT("'"&amp;$D$27&amp;"'!C9")&lt;1992,0)),INDIRECT("'"&amp;$D$27&amp;"'!GO_2041"),0)
+IF(AND(IFERROR(INDIRECT("'"&amp;$D$28&amp;"'!C9")&gt;1974,0),IFERROR(INDIRECT("'"&amp;$D$28&amp;"'!C9")&lt;1992,0)),INDIRECT("'"&amp;$D$28&amp;"'!GO_2041"),0)
+IF(AND(IFERROR(INDIRECT("'"&amp;$D$29&amp;"'!C9")&gt;1974,0),IFERROR(INDIRECT("'"&amp;$D$29&amp;"'!C9")&lt;1992,0)),INDIRECT("'"&amp;$D$29&amp;"'!GO_2041"),0)
+IF(AND(IFERROR(INDIRECT("'"&amp;$D$30&amp;"'!C9")&gt;1974,0),IFERROR(INDIRECT("'"&amp;$D$30&amp;"'!C9")&lt;1992,0)),INDIRECT("'"&amp;$D$30&amp;"'!GO_2041"),0)
+IF(AND(IFERROR(INDIRECT("'"&amp;$D$31&amp;"'!C9")&gt;1974,0),IFERROR(INDIRECT("'"&amp;$D$31&amp;"'!C9")&lt;1992,0)),INDIRECT("'"&amp;$D$31&amp;"'!GO_2041"),0)
+IF(AND(IFERROR(INDIRECT("'"&amp;$D$32&amp;"'!C9")&gt;1974,0),IFERROR(INDIRECT("'"&amp;$D$32&amp;"'!C9")&lt;1992,0)),INDIRECT("'"&amp;$D$32&amp;"'!GO_2041"),0)
+IF(AND(IFERROR(INDIRECT("'"&amp;$D$33&amp;"'!C9")&gt;1974,0),IFERROR(INDIRECT("'"&amp;$D$33&amp;"'!C9")&lt;1992,0)),INDIRECT("'"&amp;$D$33&amp;"'!GO_2041"),0)
+IF(AND(IFERROR(INDIRECT("'"&amp;$D$34&amp;"'!C9")&gt;1974,0),IFERROR(INDIRECT("'"&amp;$D$34&amp;"'!C9")&lt;1992,0)),INDIRECT("'"&amp;$D$34&amp;"'!GO_2041"),0)
+IF(AND(IFERROR(INDIRECT("'"&amp;$D$35&amp;"'!C9")&gt;1974,0),IFERROR(INDIRECT("'"&amp;$D$35&amp;"'!C9")&lt;1992,0)),INDIRECT("'"&amp;$D$35&amp;"'!GO_2041"),0)
+IF(AND(IFERROR(INDIRECT("'"&amp;$D$36&amp;"'!C9")&gt;1974,0),IFERROR(INDIRECT("'"&amp;$D$36&amp;"'!C9")&lt;1992,0)),INDIRECT("'"&amp;$D$36&amp;"'!GO_2041"),0)
+IF(AND(IFERROR(INDIRECT("'"&amp;$D$37&amp;"'!C9")&gt;1974,0),IFERROR(INDIRECT("'"&amp;$D$37&amp;"'!C9")&lt;1992,0)),INDIRECT("'"&amp;$D$37&amp;"'!GO_2041"),0)
+IF(AND(IFERROR(INDIRECT("'"&amp;$D$38&amp;"'!C9")&gt;1974,0),IFERROR(INDIRECT("'"&amp;$D$38&amp;"'!C9")&lt;1992,0)),INDIRECT("'"&amp;$D$38&amp;"'!GO_2041"),0)
+IF(AND(IFERROR(INDIRECT("'"&amp;$D$39&amp;"'!C9")&gt;1974,0),IFERROR(INDIRECT("'"&amp;$D$39&amp;"'!C9")&lt;1992,0)),INDIRECT("'"&amp;$D$39&amp;"'!GO_2041"),0)
+IF(AND(IFERROR(INDIRECT("'"&amp;$D$40&amp;"'!C9")&gt;1974,0),IFERROR(INDIRECT("'"&amp;$D$40&amp;"'!C9")&lt;1992,0)),INDIRECT("'"&amp;$D$40&amp;"'!GO_2041"),0)
+IF(AND(IFERROR(INDIRECT("'"&amp;$D$41&amp;"'!C9")&gt;1974,0),IFERROR(INDIRECT("'"&amp;$D$41&amp;"'!C9")&lt;1992,0)),INDIRECT("'"&amp;$D$41&amp;"'!GO_2041"),0)
+IF(AND(IFERROR(INDIRECT("'"&amp;$D$42&amp;"'!C9")&gt;1974,0),IFERROR(INDIRECT("'"&amp;$D$42&amp;"'!C9")&lt;1992,0)),INDIRECT("'"&amp;$D$42&amp;"'!GO_2041"),0)
+IF(AND(IFERROR(INDIRECT("'"&amp;$D$43&amp;"'!C9")&gt;1974,0),IFERROR(INDIRECT("'"&amp;$D$43&amp;"'!C9")&lt;1992,0)),INDIRECT("'"&amp;$D$43&amp;"'!GO_2041"),0)
+IF(AND(IFERROR(INDIRECT("'"&amp;$D$44&amp;"'!C9")&gt;1974,0),IFERROR(INDIRECT("'"&amp;$D$44&amp;"'!C9")&lt;1992,0)),INDIRECT("'"&amp;$D$44&amp;"'!GO_2041"),0)
+IF(AND(IFERROR(INDIRECT("'"&amp;$D$45&amp;"'!C9")&gt;1974,0),IFERROR(INDIRECT("'"&amp;$D$45&amp;"'!C9")&lt;1992,0)),INDIRECT("'"&amp;$D$45&amp;"'!GO_2041"),0)
+IF(AND(IFERROR(INDIRECT("'"&amp;$D$46&amp;"'!C9")&gt;1974,0),IFERROR(INDIRECT("'"&amp;$D$46&amp;"'!C9")&lt;1992,0)),INDIRECT("'"&amp;$D$46&amp;"'!GO_2041"),0)
+IF(AND(IFERROR(INDIRECT("'"&amp;$D$47&amp;"'!C9")&gt;1974,0),IFERROR(INDIRECT("'"&amp;$D$47&amp;"'!C9")&lt;1992,0)),INDIRECT("'"&amp;$D$47&amp;"'!GO_2041"),0)
+IF(AND(IFERROR(INDIRECT("'"&amp;$D$48&amp;"'!C9")&gt;1974,0),IFERROR(INDIRECT("'"&amp;$D$48&amp;"'!C9")&lt;1992,0)),INDIRECT("'"&amp;$D$48&amp;"'!GO_2041"),0)
+IF(AND(IFERROR(INDIRECT("'"&amp;$D$49&amp;"'!C9")&gt;1974,0),IFERROR(INDIRECT("'"&amp;$D$49&amp;"'!C9")&lt;1992,0)),INDIRECT("'"&amp;$D$49&amp;"'!GO_2041"),0)
+IF(AND(IFERROR(INDIRECT("'"&amp;$D$50&amp;"'!C9")&gt;1974,0),IFERROR(INDIRECT("'"&amp;$D$50&amp;"'!C9")&lt;1992,0)),INDIRECT("'"&amp;$D$50&amp;"'!GO_2041"),0)
+IF(AND(IFERROR(INDIRECT("'"&amp;$D$51&amp;"'!C9")&gt;1974,0),IFERROR(INDIRECT("'"&amp;$D$51&amp;"'!C9")&lt;1992,0)),INDIRECT("'"&amp;$D$51&amp;"'!GO_2041"),0)
+IF(AND(IFERROR(INDIRECT("'"&amp;$D$52&amp;"'!C9")&gt;1974,0),IFERROR(INDIRECT("'"&amp;$D$52&amp;"'!C9")&lt;1992,0)),INDIRECT("'"&amp;$D$52&amp;"'!GO_2041"),0)
+IF(AND(IFERROR(INDIRECT("'"&amp;$D$53&amp;"'!C9")&gt;1974,0),IFERROR(INDIRECT("'"&amp;$D$53&amp;"'!C9")&lt;1992,0)),INDIRECT("'"&amp;$D$53&amp;"'!GO_2041"),0)
+IF(AND(IFERROR(INDIRECT("'"&amp;$D$54&amp;"'!C9")&gt;1974,0),IFERROR(INDIRECT("'"&amp;$D$54&amp;"'!C9")&lt;1992,0)),INDIRECT("'"&amp;$D$54&amp;"'!GO_2041"),0)</f>
        <v>3172.4</v>
      </c>
      <c r="AF26" s="321">
        <f ca="1">IF(AND(IFERROR(INDIRECT("'"&amp;$D$5&amp;"'!C9")&gt;1974,0),IFERROR(INDIRECT("'"&amp;$D$5&amp;"'!C9")&lt;1992,0)),INDIRECT("'"&amp;$D$5&amp;"'!GO_2042"),0)
+IF(AND(IFERROR(INDIRECT("'"&amp;$D$6&amp;"'!C9")&gt;1974,0),IFERROR(INDIRECT("'"&amp;$D$6&amp;"'!C9")&lt;1992,0)),INDIRECT("'"&amp;$D$6&amp;"'!GO_2042"),0)
+IF(AND(IFERROR(INDIRECT("'"&amp;$D$7&amp;"'!C9")&gt;1974,0),IFERROR(INDIRECT("'"&amp;$D$7&amp;"'!C9")&lt;1992,0)),INDIRECT("'"&amp;$D$7&amp;"'!GO_2042"),0)
+IF(AND(IFERROR(INDIRECT("'"&amp;$D$8&amp;"'!C9")&gt;1974,0),IFERROR(INDIRECT("'"&amp;$D$8&amp;"'!C9")&lt;1992,0)),INDIRECT("'"&amp;$D$8&amp;"'!GO_2042"),0)
+IF(AND(IFERROR(INDIRECT("'"&amp;$D$9&amp;"'!C9")&gt;1974,0),IFERROR(INDIRECT("'"&amp;$D$9&amp;"'!C9")&lt;1992,0)),INDIRECT("'"&amp;$D$9&amp;"'!GO_2042"),0)
+IF(AND(IFERROR(INDIRECT("'"&amp;$D$10&amp;"'!C9")&gt;1974,0),IFERROR(INDIRECT("'"&amp;$D$10&amp;"'!C9")&lt;1992,0)),INDIRECT("'"&amp;$D$10&amp;"'!GO_2042"),0)
+IF(AND(IFERROR(INDIRECT("'"&amp;$D$11&amp;"'!C9")&gt;1974,0),IFERROR(INDIRECT("'"&amp;$D$11&amp;"'!C9")&lt;1992,0)),INDIRECT("'"&amp;$D$11&amp;"'!GO_2042"),0)
+IF(AND(IFERROR(INDIRECT("'"&amp;$D$12&amp;"'!C9")&gt;1974,0),IFERROR(INDIRECT("'"&amp;$D$12&amp;"'!C9")&lt;1992,0)),INDIRECT("'"&amp;$D$12&amp;"'!GO_2042"),0)
+IF(AND(IFERROR(INDIRECT("'"&amp;$D$13&amp;"'!C9")&gt;1974,0),IFERROR(INDIRECT("'"&amp;$D$13&amp;"'!C9")&lt;1992,0)),INDIRECT("'"&amp;$D$13&amp;"'!GO_2042"),0)
+IF(AND(IFERROR(INDIRECT("'"&amp;$D$14&amp;"'!C9")&gt;1974,0),IFERROR(INDIRECT("'"&amp;$D$14&amp;"'!C9")&lt;1992,0)),INDIRECT("'"&amp;$D$14&amp;"'!GO_2042"),0)
+IF(AND(IFERROR(INDIRECT("'"&amp;$D$15&amp;"'!C9")&gt;1974,0),IFERROR(INDIRECT("'"&amp;$D$15&amp;"'!C9")&lt;1992,0)),INDIRECT("'"&amp;$D$15&amp;"'!GO_2042"),0)
+IF(AND(IFERROR(INDIRECT("'"&amp;$D$16&amp;"'!C9")&gt;1974,0),IFERROR(INDIRECT("'"&amp;$D$16&amp;"'!C9")&lt;1992,0)),INDIRECT("'"&amp;$D$16&amp;"'!GO_2042"),0)
+IF(AND(IFERROR(INDIRECT("'"&amp;$D$17&amp;"'!C9")&gt;1974,0),IFERROR(INDIRECT("'"&amp;$D$17&amp;"'!C9")&lt;1992,0)),INDIRECT("'"&amp;$D$17&amp;"'!GO_2042"),0)
+IF(AND(IFERROR(INDIRECT("'"&amp;$D$18&amp;"'!C9")&gt;1974,0),IFERROR(INDIRECT("'"&amp;$D$18&amp;"'!C9")&lt;1992,0)),INDIRECT("'"&amp;$D$18&amp;"'!GO_2042"),0)
+IF(AND(IFERROR(INDIRECT("'"&amp;$D$19&amp;"'!C9")&gt;1974,0),IFERROR(INDIRECT("'"&amp;$D$19&amp;"'!C9")&lt;1992,0)),INDIRECT("'"&amp;$D$19&amp;"'!GO_2042"),0)
+IF(AND(IFERROR(INDIRECT("'"&amp;$D$20&amp;"'!C9")&gt;1974,0),IFERROR(INDIRECT("'"&amp;$D$20&amp;"'!C9")&lt;1992,0)),INDIRECT("'"&amp;$D$20&amp;"'!GO_2042"),0)
+IF(AND(IFERROR(INDIRECT("'"&amp;$D$21&amp;"'!C9")&gt;1974,0),IFERROR(INDIRECT("'"&amp;$D$21&amp;"'!C9")&lt;1992,0)),INDIRECT("'"&amp;$D$21&amp;"'!GO_2042"),0)
+IF(AND(IFERROR(INDIRECT("'"&amp;$D$22&amp;"'!C9")&gt;1974,0),IFERROR(INDIRECT("'"&amp;$D$22&amp;"'!C9")&lt;1992,0)),INDIRECT("'"&amp;$D$22&amp;"'!GO_2042"),0)
+IF(AND(IFERROR(INDIRECT("'"&amp;$D$23&amp;"'!C9")&gt;1974,0),IFERROR(INDIRECT("'"&amp;$D$23&amp;"'!C9")&lt;1992,0)),INDIRECT("'"&amp;$D$23&amp;"'!GO_2042"),0)
+IF(AND(IFERROR(INDIRECT("'"&amp;$D$24&amp;"'!C9")&gt;1974,0),IFERROR(INDIRECT("'"&amp;$D$24&amp;"'!C9")&lt;1992,0)),INDIRECT("'"&amp;$D$24&amp;"'!GO_2042"),0)
+IF(AND(IFERROR(INDIRECT("'"&amp;$D$25&amp;"'!C9")&gt;1974,0),IFERROR(INDIRECT("'"&amp;$D$25&amp;"'!C9")&lt;1992,0)),INDIRECT("'"&amp;$D$25&amp;"'!GO_2042"),0)
+IF(AND(IFERROR(INDIRECT("'"&amp;$D$26&amp;"'!C9")&gt;1974,0),IFERROR(INDIRECT("'"&amp;$D$26&amp;"'!C9")&lt;1992,0)),INDIRECT("'"&amp;$D$26&amp;"'!GO_2042"),0)
+IF(AND(IFERROR(INDIRECT("'"&amp;$D$27&amp;"'!C9")&gt;1974,0),IFERROR(INDIRECT("'"&amp;$D$27&amp;"'!C9")&lt;1992,0)),INDIRECT("'"&amp;$D$27&amp;"'!GO_2042"),0)
+IF(AND(IFERROR(INDIRECT("'"&amp;$D$28&amp;"'!C9")&gt;1974,0),IFERROR(INDIRECT("'"&amp;$D$28&amp;"'!C9")&lt;1992,0)),INDIRECT("'"&amp;$D$28&amp;"'!GO_2042"),0)
+IF(AND(IFERROR(INDIRECT("'"&amp;$D$29&amp;"'!C9")&gt;1974,0),IFERROR(INDIRECT("'"&amp;$D$29&amp;"'!C9")&lt;1992,0)),INDIRECT("'"&amp;$D$29&amp;"'!GO_2042"),0)
+IF(AND(IFERROR(INDIRECT("'"&amp;$D$30&amp;"'!C9")&gt;1974,0),IFERROR(INDIRECT("'"&amp;$D$30&amp;"'!C9")&lt;1992,0)),INDIRECT("'"&amp;$D$30&amp;"'!GO_2042"),0)
+IF(AND(IFERROR(INDIRECT("'"&amp;$D$31&amp;"'!C9")&gt;1974,0),IFERROR(INDIRECT("'"&amp;$D$31&amp;"'!C9")&lt;1992,0)),INDIRECT("'"&amp;$D$31&amp;"'!GO_2042"),0)
+IF(AND(IFERROR(INDIRECT("'"&amp;$D$32&amp;"'!C9")&gt;1974,0),IFERROR(INDIRECT("'"&amp;$D$32&amp;"'!C9")&lt;1992,0)),INDIRECT("'"&amp;$D$32&amp;"'!GO_2042"),0)
+IF(AND(IFERROR(INDIRECT("'"&amp;$D$33&amp;"'!C9")&gt;1974,0),IFERROR(INDIRECT("'"&amp;$D$33&amp;"'!C9")&lt;1992,0)),INDIRECT("'"&amp;$D$33&amp;"'!GO_2042"),0)
+IF(AND(IFERROR(INDIRECT("'"&amp;$D$34&amp;"'!C9")&gt;1974,0),IFERROR(INDIRECT("'"&amp;$D$34&amp;"'!C9")&lt;1992,0)),INDIRECT("'"&amp;$D$34&amp;"'!GO_2042"),0)
+IF(AND(IFERROR(INDIRECT("'"&amp;$D$35&amp;"'!C9")&gt;1974,0),IFERROR(INDIRECT("'"&amp;$D$35&amp;"'!C9")&lt;1992,0)),INDIRECT("'"&amp;$D$35&amp;"'!GO_2042"),0)
+IF(AND(IFERROR(INDIRECT("'"&amp;$D$36&amp;"'!C9")&gt;1974,0),IFERROR(INDIRECT("'"&amp;$D$36&amp;"'!C9")&lt;1992,0)),INDIRECT("'"&amp;$D$36&amp;"'!GO_2042"),0)
+IF(AND(IFERROR(INDIRECT("'"&amp;$D$37&amp;"'!C9")&gt;1974,0),IFERROR(INDIRECT("'"&amp;$D$37&amp;"'!C9")&lt;1992,0)),INDIRECT("'"&amp;$D$37&amp;"'!GO_2042"),0)
+IF(AND(IFERROR(INDIRECT("'"&amp;$D$38&amp;"'!C9")&gt;1974,0),IFERROR(INDIRECT("'"&amp;$D$38&amp;"'!C9")&lt;1992,0)),INDIRECT("'"&amp;$D$38&amp;"'!GO_2042"),0)
+IF(AND(IFERROR(INDIRECT("'"&amp;$D$39&amp;"'!C9")&gt;1974,0),IFERROR(INDIRECT("'"&amp;$D$39&amp;"'!C9")&lt;1992,0)),INDIRECT("'"&amp;$D$39&amp;"'!GO_2042"),0)
+IF(AND(IFERROR(INDIRECT("'"&amp;$D$40&amp;"'!C9")&gt;1974,0),IFERROR(INDIRECT("'"&amp;$D$40&amp;"'!C9")&lt;1992,0)),INDIRECT("'"&amp;$D$40&amp;"'!GO_2042"),0)
+IF(AND(IFERROR(INDIRECT("'"&amp;$D$41&amp;"'!C9")&gt;1974,0),IFERROR(INDIRECT("'"&amp;$D$41&amp;"'!C9")&lt;1992,0)),INDIRECT("'"&amp;$D$41&amp;"'!GO_2042"),0)
+IF(AND(IFERROR(INDIRECT("'"&amp;$D$42&amp;"'!C9")&gt;1974,0),IFERROR(INDIRECT("'"&amp;$D$42&amp;"'!C9")&lt;1992,0)),INDIRECT("'"&amp;$D$42&amp;"'!GO_2042"),0)
+IF(AND(IFERROR(INDIRECT("'"&amp;$D$43&amp;"'!C9")&gt;1974,0),IFERROR(INDIRECT("'"&amp;$D$43&amp;"'!C9")&lt;1992,0)),INDIRECT("'"&amp;$D$43&amp;"'!GO_2042"),0)
+IF(AND(IFERROR(INDIRECT("'"&amp;$D$44&amp;"'!C9")&gt;1974,0),IFERROR(INDIRECT("'"&amp;$D$44&amp;"'!C9")&lt;1992,0)),INDIRECT("'"&amp;$D$44&amp;"'!GO_2042"),0)
+IF(AND(IFERROR(INDIRECT("'"&amp;$D$45&amp;"'!C9")&gt;1974,0),IFERROR(INDIRECT("'"&amp;$D$45&amp;"'!C9")&lt;1992,0)),INDIRECT("'"&amp;$D$45&amp;"'!GO_2042"),0)
+IF(AND(IFERROR(INDIRECT("'"&amp;$D$46&amp;"'!C9")&gt;1974,0),IFERROR(INDIRECT("'"&amp;$D$46&amp;"'!C9")&lt;1992,0)),INDIRECT("'"&amp;$D$46&amp;"'!GO_2042"),0)
+IF(AND(IFERROR(INDIRECT("'"&amp;$D$47&amp;"'!C9")&gt;1974,0),IFERROR(INDIRECT("'"&amp;$D$47&amp;"'!C9")&lt;1992,0)),INDIRECT("'"&amp;$D$47&amp;"'!GO_2042"),0)
+IF(AND(IFERROR(INDIRECT("'"&amp;$D$48&amp;"'!C9")&gt;1974,0),IFERROR(INDIRECT("'"&amp;$D$48&amp;"'!C9")&lt;1992,0)),INDIRECT("'"&amp;$D$48&amp;"'!GO_2042"),0)
+IF(AND(IFERROR(INDIRECT("'"&amp;$D$49&amp;"'!C9")&gt;1974,0),IFERROR(INDIRECT("'"&amp;$D$49&amp;"'!C9")&lt;1992,0)),INDIRECT("'"&amp;$D$49&amp;"'!GO_2042"),0)
+IF(AND(IFERROR(INDIRECT("'"&amp;$D$50&amp;"'!C9")&gt;1974,0),IFERROR(INDIRECT("'"&amp;$D$50&amp;"'!C9")&lt;1992,0)),INDIRECT("'"&amp;$D$50&amp;"'!GO_2042"),0)
+IF(AND(IFERROR(INDIRECT("'"&amp;$D$51&amp;"'!C9")&gt;1974,0),IFERROR(INDIRECT("'"&amp;$D$51&amp;"'!C9")&lt;1992,0)),INDIRECT("'"&amp;$D$51&amp;"'!GO_2042"),0)
+IF(AND(IFERROR(INDIRECT("'"&amp;$D$52&amp;"'!C9")&gt;1974,0),IFERROR(INDIRECT("'"&amp;$D$52&amp;"'!C9")&lt;1992,0)),INDIRECT("'"&amp;$D$52&amp;"'!GO_2042"),0)
+IF(AND(IFERROR(INDIRECT("'"&amp;$D$53&amp;"'!C9")&gt;1974,0),IFERROR(INDIRECT("'"&amp;$D$53&amp;"'!C9")&lt;1992,0)),INDIRECT("'"&amp;$D$53&amp;"'!GO_2042"),0)
+IF(AND(IFERROR(INDIRECT("'"&amp;$D$54&amp;"'!C9")&gt;1974,0),IFERROR(INDIRECT("'"&amp;$D$54&amp;"'!C9")&lt;1992,0)),INDIRECT("'"&amp;$D$54&amp;"'!GO_2042"),0)</f>
        <v>3172.4</v>
      </c>
      <c r="AG26" s="321">
        <f ca="1">IF(AND(IFERROR(INDIRECT("'"&amp;$D$5&amp;"'!C9")&gt;1974,0),IFERROR(INDIRECT("'"&amp;$D$5&amp;"'!C9")&lt;1992,0)),INDIRECT("'"&amp;$D$5&amp;"'!GO_2043"),0)
+IF(AND(IFERROR(INDIRECT("'"&amp;$D$6&amp;"'!C9")&gt;1974,0),IFERROR(INDIRECT("'"&amp;$D$6&amp;"'!C9")&lt;1992,0)),INDIRECT("'"&amp;$D$6&amp;"'!GO_2043"),0)
+IF(AND(IFERROR(INDIRECT("'"&amp;$D$7&amp;"'!C9")&gt;1974,0),IFERROR(INDIRECT("'"&amp;$D$7&amp;"'!C9")&lt;1992,0)),INDIRECT("'"&amp;$D$7&amp;"'!GO_2043"),0)
+IF(AND(IFERROR(INDIRECT("'"&amp;$D$8&amp;"'!C9")&gt;1974,0),IFERROR(INDIRECT("'"&amp;$D$8&amp;"'!C9")&lt;1992,0)),INDIRECT("'"&amp;$D$8&amp;"'!GO_2043"),0)
+IF(AND(IFERROR(INDIRECT("'"&amp;$D$9&amp;"'!C9")&gt;1974,0),IFERROR(INDIRECT("'"&amp;$D$9&amp;"'!C9")&lt;1992,0)),INDIRECT("'"&amp;$D$9&amp;"'!GO_2043"),0)
+IF(AND(IFERROR(INDIRECT("'"&amp;$D$10&amp;"'!C9")&gt;1974,0),IFERROR(INDIRECT("'"&amp;$D$10&amp;"'!C9")&lt;1992,0)),INDIRECT("'"&amp;$D$10&amp;"'!GO_2043"),0)
+IF(AND(IFERROR(INDIRECT("'"&amp;$D$11&amp;"'!C9")&gt;1974,0),IFERROR(INDIRECT("'"&amp;$D$11&amp;"'!C9")&lt;1992,0)),INDIRECT("'"&amp;$D$11&amp;"'!GO_2043"),0)
+IF(AND(IFERROR(INDIRECT("'"&amp;$D$12&amp;"'!C9")&gt;1974,0),IFERROR(INDIRECT("'"&amp;$D$12&amp;"'!C9")&lt;1992,0)),INDIRECT("'"&amp;$D$12&amp;"'!GO_2043"),0)
+IF(AND(IFERROR(INDIRECT("'"&amp;$D$13&amp;"'!C9")&gt;1974,0),IFERROR(INDIRECT("'"&amp;$D$13&amp;"'!C9")&lt;1992,0)),INDIRECT("'"&amp;$D$13&amp;"'!GO_2043"),0)
+IF(AND(IFERROR(INDIRECT("'"&amp;$D$14&amp;"'!C9")&gt;1974,0),IFERROR(INDIRECT("'"&amp;$D$14&amp;"'!C9")&lt;1992,0)),INDIRECT("'"&amp;$D$14&amp;"'!GO_2043"),0)
+IF(AND(IFERROR(INDIRECT("'"&amp;$D$15&amp;"'!C9")&gt;1974,0),IFERROR(INDIRECT("'"&amp;$D$15&amp;"'!C9")&lt;1992,0)),INDIRECT("'"&amp;$D$15&amp;"'!GO_2043"),0)
+IF(AND(IFERROR(INDIRECT("'"&amp;$D$16&amp;"'!C9")&gt;1974,0),IFERROR(INDIRECT("'"&amp;$D$16&amp;"'!C9")&lt;1992,0)),INDIRECT("'"&amp;$D$16&amp;"'!GO_2043"),0)
+IF(AND(IFERROR(INDIRECT("'"&amp;$D$17&amp;"'!C9")&gt;1974,0),IFERROR(INDIRECT("'"&amp;$D$17&amp;"'!C9")&lt;1992,0)),INDIRECT("'"&amp;$D$17&amp;"'!GO_2043"),0)
+IF(AND(IFERROR(INDIRECT("'"&amp;$D$18&amp;"'!C9")&gt;1974,0),IFERROR(INDIRECT("'"&amp;$D$18&amp;"'!C9")&lt;1992,0)),INDIRECT("'"&amp;$D$18&amp;"'!GO_2043"),0)
+IF(AND(IFERROR(INDIRECT("'"&amp;$D$19&amp;"'!C9")&gt;1974,0),IFERROR(INDIRECT("'"&amp;$D$19&amp;"'!C9")&lt;1992,0)),INDIRECT("'"&amp;$D$19&amp;"'!GO_2043"),0)
+IF(AND(IFERROR(INDIRECT("'"&amp;$D$20&amp;"'!C9")&gt;1974,0),IFERROR(INDIRECT("'"&amp;$D$20&amp;"'!C9")&lt;1992,0)),INDIRECT("'"&amp;$D$20&amp;"'!GO_2043"),0)
+IF(AND(IFERROR(INDIRECT("'"&amp;$D$21&amp;"'!C9")&gt;1974,0),IFERROR(INDIRECT("'"&amp;$D$21&amp;"'!C9")&lt;1992,0)),INDIRECT("'"&amp;$D$21&amp;"'!GO_2043"),0)
+IF(AND(IFERROR(INDIRECT("'"&amp;$D$22&amp;"'!C9")&gt;1974,0),IFERROR(INDIRECT("'"&amp;$D$22&amp;"'!C9")&lt;1992,0)),INDIRECT("'"&amp;$D$22&amp;"'!GO_2043"),0)
+IF(AND(IFERROR(INDIRECT("'"&amp;$D$23&amp;"'!C9")&gt;1974,0),IFERROR(INDIRECT("'"&amp;$D$23&amp;"'!C9")&lt;1992,0)),INDIRECT("'"&amp;$D$23&amp;"'!GO_2043"),0)
+IF(AND(IFERROR(INDIRECT("'"&amp;$D$24&amp;"'!C9")&gt;1974,0),IFERROR(INDIRECT("'"&amp;$D$24&amp;"'!C9")&lt;1992,0)),INDIRECT("'"&amp;$D$24&amp;"'!GO_2043"),0)
+IF(AND(IFERROR(INDIRECT("'"&amp;$D$25&amp;"'!C9")&gt;1974,0),IFERROR(INDIRECT("'"&amp;$D$25&amp;"'!C9")&lt;1992,0)),INDIRECT("'"&amp;$D$25&amp;"'!GO_2043"),0)
+IF(AND(IFERROR(INDIRECT("'"&amp;$D$26&amp;"'!C9")&gt;1974,0),IFERROR(INDIRECT("'"&amp;$D$26&amp;"'!C9")&lt;1992,0)),INDIRECT("'"&amp;$D$26&amp;"'!GO_2043"),0)
+IF(AND(IFERROR(INDIRECT("'"&amp;$D$27&amp;"'!C9")&gt;1974,0),IFERROR(INDIRECT("'"&amp;$D$27&amp;"'!C9")&lt;1992,0)),INDIRECT("'"&amp;$D$27&amp;"'!GO_2043"),0)
+IF(AND(IFERROR(INDIRECT("'"&amp;$D$28&amp;"'!C9")&gt;1974,0),IFERROR(INDIRECT("'"&amp;$D$28&amp;"'!C9")&lt;1992,0)),INDIRECT("'"&amp;$D$28&amp;"'!GO_2043"),0)
+IF(AND(IFERROR(INDIRECT("'"&amp;$D$29&amp;"'!C9")&gt;1974,0),IFERROR(INDIRECT("'"&amp;$D$29&amp;"'!C9")&lt;1992,0)),INDIRECT("'"&amp;$D$29&amp;"'!GO_2043"),0)
+IF(AND(IFERROR(INDIRECT("'"&amp;$D$30&amp;"'!C9")&gt;1974,0),IFERROR(INDIRECT("'"&amp;$D$30&amp;"'!C9")&lt;1992,0)),INDIRECT("'"&amp;$D$30&amp;"'!GO_2043"),0)
+IF(AND(IFERROR(INDIRECT("'"&amp;$D$31&amp;"'!C9")&gt;1974,0),IFERROR(INDIRECT("'"&amp;$D$31&amp;"'!C9")&lt;1992,0)),INDIRECT("'"&amp;$D$31&amp;"'!GO_2043"),0)
+IF(AND(IFERROR(INDIRECT("'"&amp;$D$32&amp;"'!C9")&gt;1974,0),IFERROR(INDIRECT("'"&amp;$D$32&amp;"'!C9")&lt;1992,0)),INDIRECT("'"&amp;$D$32&amp;"'!GO_2043"),0)
+IF(AND(IFERROR(INDIRECT("'"&amp;$D$33&amp;"'!C9")&gt;1974,0),IFERROR(INDIRECT("'"&amp;$D$33&amp;"'!C9")&lt;1992,0)),INDIRECT("'"&amp;$D$33&amp;"'!GO_2043"),0)
+IF(AND(IFERROR(INDIRECT("'"&amp;$D$34&amp;"'!C9")&gt;1974,0),IFERROR(INDIRECT("'"&amp;$D$34&amp;"'!C9")&lt;1992,0)),INDIRECT("'"&amp;$D$34&amp;"'!GO_2043"),0)
+IF(AND(IFERROR(INDIRECT("'"&amp;$D$35&amp;"'!C9")&gt;1974,0),IFERROR(INDIRECT("'"&amp;$D$35&amp;"'!C9")&lt;1992,0)),INDIRECT("'"&amp;$D$35&amp;"'!GO_2043"),0)
+IF(AND(IFERROR(INDIRECT("'"&amp;$D$36&amp;"'!C9")&gt;1974,0),IFERROR(INDIRECT("'"&amp;$D$36&amp;"'!C9")&lt;1992,0)),INDIRECT("'"&amp;$D$36&amp;"'!GO_2043"),0)
+IF(AND(IFERROR(INDIRECT("'"&amp;$D$37&amp;"'!C9")&gt;1974,0),IFERROR(INDIRECT("'"&amp;$D$37&amp;"'!C9")&lt;1992,0)),INDIRECT("'"&amp;$D$37&amp;"'!GO_2043"),0)
+IF(AND(IFERROR(INDIRECT("'"&amp;$D$38&amp;"'!C9")&gt;1974,0),IFERROR(INDIRECT("'"&amp;$D$38&amp;"'!C9")&lt;1992,0)),INDIRECT("'"&amp;$D$38&amp;"'!GO_2043"),0)
+IF(AND(IFERROR(INDIRECT("'"&amp;$D$39&amp;"'!C9")&gt;1974,0),IFERROR(INDIRECT("'"&amp;$D$39&amp;"'!C9")&lt;1992,0)),INDIRECT("'"&amp;$D$39&amp;"'!GO_2043"),0)
+IF(AND(IFERROR(INDIRECT("'"&amp;$D$40&amp;"'!C9")&gt;1974,0),IFERROR(INDIRECT("'"&amp;$D$40&amp;"'!C9")&lt;1992,0)),INDIRECT("'"&amp;$D$40&amp;"'!GO_2043"),0)
+IF(AND(IFERROR(INDIRECT("'"&amp;$D$41&amp;"'!C9")&gt;1974,0),IFERROR(INDIRECT("'"&amp;$D$41&amp;"'!C9")&lt;1992,0)),INDIRECT("'"&amp;$D$41&amp;"'!GO_2043"),0)
+IF(AND(IFERROR(INDIRECT("'"&amp;$D$42&amp;"'!C9")&gt;1974,0),IFERROR(INDIRECT("'"&amp;$D$42&amp;"'!C9")&lt;1992,0)),INDIRECT("'"&amp;$D$42&amp;"'!GO_2043"),0)
+IF(AND(IFERROR(INDIRECT("'"&amp;$D$43&amp;"'!C9")&gt;1974,0),IFERROR(INDIRECT("'"&amp;$D$43&amp;"'!C9")&lt;1992,0)),INDIRECT("'"&amp;$D$43&amp;"'!GO_2043"),0)
+IF(AND(IFERROR(INDIRECT("'"&amp;$D$44&amp;"'!C9")&gt;1974,0),IFERROR(INDIRECT("'"&amp;$D$44&amp;"'!C9")&lt;1992,0)),INDIRECT("'"&amp;$D$44&amp;"'!GO_2043"),0)
+IF(AND(IFERROR(INDIRECT("'"&amp;$D$45&amp;"'!C9")&gt;1974,0),IFERROR(INDIRECT("'"&amp;$D$45&amp;"'!C9")&lt;1992,0)),INDIRECT("'"&amp;$D$45&amp;"'!GO_2043"),0)
+IF(AND(IFERROR(INDIRECT("'"&amp;$D$46&amp;"'!C9")&gt;1974,0),IFERROR(INDIRECT("'"&amp;$D$46&amp;"'!C9")&lt;1992,0)),INDIRECT("'"&amp;$D$46&amp;"'!GO_2043"),0)
+IF(AND(IFERROR(INDIRECT("'"&amp;$D$47&amp;"'!C9")&gt;1974,0),IFERROR(INDIRECT("'"&amp;$D$47&amp;"'!C9")&lt;1992,0)),INDIRECT("'"&amp;$D$47&amp;"'!GO_2043"),0)
+IF(AND(IFERROR(INDIRECT("'"&amp;$D$48&amp;"'!C9")&gt;1974,0),IFERROR(INDIRECT("'"&amp;$D$48&amp;"'!C9")&lt;1992,0)),INDIRECT("'"&amp;$D$48&amp;"'!GO_2043"),0)
+IF(AND(IFERROR(INDIRECT("'"&amp;$D$49&amp;"'!C9")&gt;1974,0),IFERROR(INDIRECT("'"&amp;$D$49&amp;"'!C9")&lt;1992,0)),INDIRECT("'"&amp;$D$49&amp;"'!GO_2043"),0)
+IF(AND(IFERROR(INDIRECT("'"&amp;$D$50&amp;"'!C9")&gt;1974,0),IFERROR(INDIRECT("'"&amp;$D$50&amp;"'!C9")&lt;1992,0)),INDIRECT("'"&amp;$D$50&amp;"'!GO_2043"),0)
+IF(AND(IFERROR(INDIRECT("'"&amp;$D$51&amp;"'!C9")&gt;1974,0),IFERROR(INDIRECT("'"&amp;$D$51&amp;"'!C9")&lt;1992,0)),INDIRECT("'"&amp;$D$51&amp;"'!GO_2043"),0)
+IF(AND(IFERROR(INDIRECT("'"&amp;$D$52&amp;"'!C9")&gt;1974,0),IFERROR(INDIRECT("'"&amp;$D$52&amp;"'!C9")&lt;1992,0)),INDIRECT("'"&amp;$D$52&amp;"'!GO_2043"),0)
+IF(AND(IFERROR(INDIRECT("'"&amp;$D$53&amp;"'!C9")&gt;1974,0),IFERROR(INDIRECT("'"&amp;$D$53&amp;"'!C9")&lt;1992,0)),INDIRECT("'"&amp;$D$53&amp;"'!GO_2043"),0)
+IF(AND(IFERROR(INDIRECT("'"&amp;$D$54&amp;"'!C9")&gt;1974,0),IFERROR(INDIRECT("'"&amp;$D$54&amp;"'!C9")&lt;1992,0)),INDIRECT("'"&amp;$D$54&amp;"'!GO_2043"),0)</f>
        <v>3172.4</v>
      </c>
      <c r="AH26" s="321">
        <f ca="1">IF(AND(IFERROR(INDIRECT("'"&amp;$D$5&amp;"'!C9")&gt;1974,0),IFERROR(INDIRECT("'"&amp;$D$5&amp;"'!C9")&lt;1992,0)),INDIRECT("'"&amp;$D$5&amp;"'!GO_2044"),0)
+IF(AND(IFERROR(INDIRECT("'"&amp;$D$6&amp;"'!C9")&gt;1974,0),IFERROR(INDIRECT("'"&amp;$D$6&amp;"'!C9")&lt;1992,0)),INDIRECT("'"&amp;$D$6&amp;"'!GO_2044"),0)
+IF(AND(IFERROR(INDIRECT("'"&amp;$D$7&amp;"'!C9")&gt;1974,0),IFERROR(INDIRECT("'"&amp;$D$7&amp;"'!C9")&lt;1992,0)),INDIRECT("'"&amp;$D$7&amp;"'!GO_2044"),0)
+IF(AND(IFERROR(INDIRECT("'"&amp;$D$8&amp;"'!C9")&gt;1974,0),IFERROR(INDIRECT("'"&amp;$D$8&amp;"'!C9")&lt;1992,0)),INDIRECT("'"&amp;$D$8&amp;"'!GO_2044"),0)
+IF(AND(IFERROR(INDIRECT("'"&amp;$D$9&amp;"'!C9")&gt;1974,0),IFERROR(INDIRECT("'"&amp;$D$9&amp;"'!C9")&lt;1992,0)),INDIRECT("'"&amp;$D$9&amp;"'!GO_2044"),0)
+IF(AND(IFERROR(INDIRECT("'"&amp;$D$10&amp;"'!C9")&gt;1974,0),IFERROR(INDIRECT("'"&amp;$D$10&amp;"'!C9")&lt;1992,0)),INDIRECT("'"&amp;$D$10&amp;"'!GO_2044"),0)
+IF(AND(IFERROR(INDIRECT("'"&amp;$D$11&amp;"'!C9")&gt;1974,0),IFERROR(INDIRECT("'"&amp;$D$11&amp;"'!C9")&lt;1992,0)),INDIRECT("'"&amp;$D$11&amp;"'!GO_2044"),0)
+IF(AND(IFERROR(INDIRECT("'"&amp;$D$12&amp;"'!C9")&gt;1974,0),IFERROR(INDIRECT("'"&amp;$D$12&amp;"'!C9")&lt;1992,0)),INDIRECT("'"&amp;$D$12&amp;"'!GO_2044"),0)
+IF(AND(IFERROR(INDIRECT("'"&amp;$D$13&amp;"'!C9")&gt;1974,0),IFERROR(INDIRECT("'"&amp;$D$13&amp;"'!C9")&lt;1992,0)),INDIRECT("'"&amp;$D$13&amp;"'!GO_2044"),0)
+IF(AND(IFERROR(INDIRECT("'"&amp;$D$14&amp;"'!C9")&gt;1974,0),IFERROR(INDIRECT("'"&amp;$D$14&amp;"'!C9")&lt;1992,0)),INDIRECT("'"&amp;$D$14&amp;"'!GO_2044"),0)
+IF(AND(IFERROR(INDIRECT("'"&amp;$D$15&amp;"'!C9")&gt;1974,0),IFERROR(INDIRECT("'"&amp;$D$15&amp;"'!C9")&lt;1992,0)),INDIRECT("'"&amp;$D$15&amp;"'!GO_2044"),0)
+IF(AND(IFERROR(INDIRECT("'"&amp;$D$16&amp;"'!C9")&gt;1974,0),IFERROR(INDIRECT("'"&amp;$D$16&amp;"'!C9")&lt;1992,0)),INDIRECT("'"&amp;$D$16&amp;"'!GO_2044"),0)
+IF(AND(IFERROR(INDIRECT("'"&amp;$D$17&amp;"'!C9")&gt;1974,0),IFERROR(INDIRECT("'"&amp;$D$17&amp;"'!C9")&lt;1992,0)),INDIRECT("'"&amp;$D$17&amp;"'!GO_2044"),0)
+IF(AND(IFERROR(INDIRECT("'"&amp;$D$18&amp;"'!C9")&gt;1974,0),IFERROR(INDIRECT("'"&amp;$D$18&amp;"'!C9")&lt;1992,0)),INDIRECT("'"&amp;$D$18&amp;"'!GO_2044"),0)
+IF(AND(IFERROR(INDIRECT("'"&amp;$D$19&amp;"'!C9")&gt;1974,0),IFERROR(INDIRECT("'"&amp;$D$19&amp;"'!C9")&lt;1992,0)),INDIRECT("'"&amp;$D$19&amp;"'!GO_2044"),0)
+IF(AND(IFERROR(INDIRECT("'"&amp;$D$20&amp;"'!C9")&gt;1974,0),IFERROR(INDIRECT("'"&amp;$D$20&amp;"'!C9")&lt;1992,0)),INDIRECT("'"&amp;$D$20&amp;"'!GO_2044"),0)
+IF(AND(IFERROR(INDIRECT("'"&amp;$D$21&amp;"'!C9")&gt;1974,0),IFERROR(INDIRECT("'"&amp;$D$21&amp;"'!C9")&lt;1992,0)),INDIRECT("'"&amp;$D$21&amp;"'!GO_2044"),0)
+IF(AND(IFERROR(INDIRECT("'"&amp;$D$22&amp;"'!C9")&gt;1974,0),IFERROR(INDIRECT("'"&amp;$D$22&amp;"'!C9")&lt;1992,0)),INDIRECT("'"&amp;$D$22&amp;"'!GO_2044"),0)
+IF(AND(IFERROR(INDIRECT("'"&amp;$D$23&amp;"'!C9")&gt;1974,0),IFERROR(INDIRECT("'"&amp;$D$23&amp;"'!C9")&lt;1992,0)),INDIRECT("'"&amp;$D$23&amp;"'!GO_2044"),0)
+IF(AND(IFERROR(INDIRECT("'"&amp;$D$24&amp;"'!C9")&gt;1974,0),IFERROR(INDIRECT("'"&amp;$D$24&amp;"'!C9")&lt;1992,0)),INDIRECT("'"&amp;$D$24&amp;"'!GO_2044"),0)
+IF(AND(IFERROR(INDIRECT("'"&amp;$D$25&amp;"'!C9")&gt;1974,0),IFERROR(INDIRECT("'"&amp;$D$25&amp;"'!C9")&lt;1992,0)),INDIRECT("'"&amp;$D$25&amp;"'!GO_2044"),0)
+IF(AND(IFERROR(INDIRECT("'"&amp;$D$26&amp;"'!C9")&gt;1974,0),IFERROR(INDIRECT("'"&amp;$D$26&amp;"'!C9")&lt;1992,0)),INDIRECT("'"&amp;$D$26&amp;"'!GO_2044"),0)
+IF(AND(IFERROR(INDIRECT("'"&amp;$D$27&amp;"'!C9")&gt;1974,0),IFERROR(INDIRECT("'"&amp;$D$27&amp;"'!C9")&lt;1992,0)),INDIRECT("'"&amp;$D$27&amp;"'!GO_2044"),0)
+IF(AND(IFERROR(INDIRECT("'"&amp;$D$28&amp;"'!C9")&gt;1974,0),IFERROR(INDIRECT("'"&amp;$D$28&amp;"'!C9")&lt;1992,0)),INDIRECT("'"&amp;$D$28&amp;"'!GO_2044"),0)
+IF(AND(IFERROR(INDIRECT("'"&amp;$D$29&amp;"'!C9")&gt;1974,0),IFERROR(INDIRECT("'"&amp;$D$29&amp;"'!C9")&lt;1992,0)),INDIRECT("'"&amp;$D$29&amp;"'!GO_2044"),0)
+IF(AND(IFERROR(INDIRECT("'"&amp;$D$30&amp;"'!C9")&gt;1974,0),IFERROR(INDIRECT("'"&amp;$D$30&amp;"'!C9")&lt;1992,0)),INDIRECT("'"&amp;$D$30&amp;"'!GO_2044"),0)
+IF(AND(IFERROR(INDIRECT("'"&amp;$D$31&amp;"'!C9")&gt;1974,0),IFERROR(INDIRECT("'"&amp;$D$31&amp;"'!C9")&lt;1992,0)),INDIRECT("'"&amp;$D$31&amp;"'!GO_2044"),0)
+IF(AND(IFERROR(INDIRECT("'"&amp;$D$32&amp;"'!C9")&gt;1974,0),IFERROR(INDIRECT("'"&amp;$D$32&amp;"'!C9")&lt;1992,0)),INDIRECT("'"&amp;$D$32&amp;"'!GO_2044"),0)
+IF(AND(IFERROR(INDIRECT("'"&amp;$D$33&amp;"'!C9")&gt;1974,0),IFERROR(INDIRECT("'"&amp;$D$33&amp;"'!C9")&lt;1992,0)),INDIRECT("'"&amp;$D$33&amp;"'!GO_2044"),0)
+IF(AND(IFERROR(INDIRECT("'"&amp;$D$34&amp;"'!C9")&gt;1974,0),IFERROR(INDIRECT("'"&amp;$D$34&amp;"'!C9")&lt;1992,0)),INDIRECT("'"&amp;$D$34&amp;"'!GO_2044"),0)
+IF(AND(IFERROR(INDIRECT("'"&amp;$D$35&amp;"'!C9")&gt;1974,0),IFERROR(INDIRECT("'"&amp;$D$35&amp;"'!C9")&lt;1992,0)),INDIRECT("'"&amp;$D$35&amp;"'!GO_2044"),0)
+IF(AND(IFERROR(INDIRECT("'"&amp;$D$36&amp;"'!C9")&gt;1974,0),IFERROR(INDIRECT("'"&amp;$D$36&amp;"'!C9")&lt;1992,0)),INDIRECT("'"&amp;$D$36&amp;"'!GO_2044"),0)
+IF(AND(IFERROR(INDIRECT("'"&amp;$D$37&amp;"'!C9")&gt;1974,0),IFERROR(INDIRECT("'"&amp;$D$37&amp;"'!C9")&lt;1992,0)),INDIRECT("'"&amp;$D$37&amp;"'!GO_2044"),0)
+IF(AND(IFERROR(INDIRECT("'"&amp;$D$38&amp;"'!C9")&gt;1974,0),IFERROR(INDIRECT("'"&amp;$D$38&amp;"'!C9")&lt;1992,0)),INDIRECT("'"&amp;$D$38&amp;"'!GO_2044"),0)
+IF(AND(IFERROR(INDIRECT("'"&amp;$D$39&amp;"'!C9")&gt;1974,0),IFERROR(INDIRECT("'"&amp;$D$39&amp;"'!C9")&lt;1992,0)),INDIRECT("'"&amp;$D$39&amp;"'!GO_2044"),0)
+IF(AND(IFERROR(INDIRECT("'"&amp;$D$40&amp;"'!C9")&gt;1974,0),IFERROR(INDIRECT("'"&amp;$D$40&amp;"'!C9")&lt;1992,0)),INDIRECT("'"&amp;$D$40&amp;"'!GO_2044"),0)
+IF(AND(IFERROR(INDIRECT("'"&amp;$D$41&amp;"'!C9")&gt;1974,0),IFERROR(INDIRECT("'"&amp;$D$41&amp;"'!C9")&lt;1992,0)),INDIRECT("'"&amp;$D$41&amp;"'!GO_2044"),0)
+IF(AND(IFERROR(INDIRECT("'"&amp;$D$42&amp;"'!C9")&gt;1974,0),IFERROR(INDIRECT("'"&amp;$D$42&amp;"'!C9")&lt;1992,0)),INDIRECT("'"&amp;$D$42&amp;"'!GO_2044"),0)
+IF(AND(IFERROR(INDIRECT("'"&amp;$D$43&amp;"'!C9")&gt;1974,0),IFERROR(INDIRECT("'"&amp;$D$43&amp;"'!C9")&lt;1992,0)),INDIRECT("'"&amp;$D$43&amp;"'!GO_2044"),0)
+IF(AND(IFERROR(INDIRECT("'"&amp;$D$44&amp;"'!C9")&gt;1974,0),IFERROR(INDIRECT("'"&amp;$D$44&amp;"'!C9")&lt;1992,0)),INDIRECT("'"&amp;$D$44&amp;"'!GO_2044"),0)
+IF(AND(IFERROR(INDIRECT("'"&amp;$D$45&amp;"'!C9")&gt;1974,0),IFERROR(INDIRECT("'"&amp;$D$45&amp;"'!C9")&lt;1992,0)),INDIRECT("'"&amp;$D$45&amp;"'!GO_2044"),0)
+IF(AND(IFERROR(INDIRECT("'"&amp;$D$46&amp;"'!C9")&gt;1974,0),IFERROR(INDIRECT("'"&amp;$D$46&amp;"'!C9")&lt;1992,0)),INDIRECT("'"&amp;$D$46&amp;"'!GO_2044"),0)
+IF(AND(IFERROR(INDIRECT("'"&amp;$D$47&amp;"'!C9")&gt;1974,0),IFERROR(INDIRECT("'"&amp;$D$47&amp;"'!C9")&lt;1992,0)),INDIRECT("'"&amp;$D$47&amp;"'!GO_2044"),0)
+IF(AND(IFERROR(INDIRECT("'"&amp;$D$48&amp;"'!C9")&gt;1974,0),IFERROR(INDIRECT("'"&amp;$D$48&amp;"'!C9")&lt;1992,0)),INDIRECT("'"&amp;$D$48&amp;"'!GO_2044"),0)
+IF(AND(IFERROR(INDIRECT("'"&amp;$D$49&amp;"'!C9")&gt;1974,0),IFERROR(INDIRECT("'"&amp;$D$49&amp;"'!C9")&lt;1992,0)),INDIRECT("'"&amp;$D$49&amp;"'!GO_2044"),0)
+IF(AND(IFERROR(INDIRECT("'"&amp;$D$50&amp;"'!C9")&gt;1974,0),IFERROR(INDIRECT("'"&amp;$D$50&amp;"'!C9")&lt;1992,0)),INDIRECT("'"&amp;$D$50&amp;"'!GO_2044"),0)
+IF(AND(IFERROR(INDIRECT("'"&amp;$D$51&amp;"'!C9")&gt;1974,0),IFERROR(INDIRECT("'"&amp;$D$51&amp;"'!C9")&lt;1992,0)),INDIRECT("'"&amp;$D$51&amp;"'!GO_2044"),0)
+IF(AND(IFERROR(INDIRECT("'"&amp;$D$52&amp;"'!C9")&gt;1974,0),IFERROR(INDIRECT("'"&amp;$D$52&amp;"'!C9")&lt;1992,0)),INDIRECT("'"&amp;$D$52&amp;"'!GO_2044"),0)
+IF(AND(IFERROR(INDIRECT("'"&amp;$D$53&amp;"'!C9")&gt;1974,0),IFERROR(INDIRECT("'"&amp;$D$53&amp;"'!C9")&lt;1992,0)),INDIRECT("'"&amp;$D$53&amp;"'!GO_2044"),0)
+IF(AND(IFERROR(INDIRECT("'"&amp;$D$54&amp;"'!C9")&gt;1974,0),IFERROR(INDIRECT("'"&amp;$D$54&amp;"'!C9")&lt;1992,0)),INDIRECT("'"&amp;$D$54&amp;"'!GO_2044"),0)</f>
        <v>3172.4</v>
      </c>
      <c r="AI26" s="321">
        <f ca="1">IF(AND(IFERROR(INDIRECT("'"&amp;$D$5&amp;"'!C9")&gt;1974,0),IFERROR(INDIRECT("'"&amp;$D$5&amp;"'!C9")&lt;1992,0)),INDIRECT("'"&amp;$D$5&amp;"'!GO_2045"),0)
+IF(AND(IFERROR(INDIRECT("'"&amp;$D$6&amp;"'!C9")&gt;1974,0),IFERROR(INDIRECT("'"&amp;$D$6&amp;"'!C9")&lt;1992,0)),INDIRECT("'"&amp;$D$6&amp;"'!GO_2045"),0)
+IF(AND(IFERROR(INDIRECT("'"&amp;$D$7&amp;"'!C9")&gt;1974,0),IFERROR(INDIRECT("'"&amp;$D$7&amp;"'!C9")&lt;1992,0)),INDIRECT("'"&amp;$D$7&amp;"'!GO_2045"),0)
+IF(AND(IFERROR(INDIRECT("'"&amp;$D$8&amp;"'!C9")&gt;1974,0),IFERROR(INDIRECT("'"&amp;$D$8&amp;"'!C9")&lt;1992,0)),INDIRECT("'"&amp;$D$8&amp;"'!GO_2045"),0)
+IF(AND(IFERROR(INDIRECT("'"&amp;$D$9&amp;"'!C9")&gt;1974,0),IFERROR(INDIRECT("'"&amp;$D$9&amp;"'!C9")&lt;1992,0)),INDIRECT("'"&amp;$D$9&amp;"'!GO_2045"),0)
+IF(AND(IFERROR(INDIRECT("'"&amp;$D$10&amp;"'!C9")&gt;1974,0),IFERROR(INDIRECT("'"&amp;$D$10&amp;"'!C9")&lt;1992,0)),INDIRECT("'"&amp;$D$10&amp;"'!GO_2045"),0)
+IF(AND(IFERROR(INDIRECT("'"&amp;$D$11&amp;"'!C9")&gt;1974,0),IFERROR(INDIRECT("'"&amp;$D$11&amp;"'!C9")&lt;1992,0)),INDIRECT("'"&amp;$D$11&amp;"'!GO_2045"),0)
+IF(AND(IFERROR(INDIRECT("'"&amp;$D$12&amp;"'!C9")&gt;1974,0),IFERROR(INDIRECT("'"&amp;$D$12&amp;"'!C9")&lt;1992,0)),INDIRECT("'"&amp;$D$12&amp;"'!GO_2045"),0)
+IF(AND(IFERROR(INDIRECT("'"&amp;$D$13&amp;"'!C9")&gt;1974,0),IFERROR(INDIRECT("'"&amp;$D$13&amp;"'!C9")&lt;1992,0)),INDIRECT("'"&amp;$D$13&amp;"'!GO_2045"),0)
+IF(AND(IFERROR(INDIRECT("'"&amp;$D$14&amp;"'!C9")&gt;1974,0),IFERROR(INDIRECT("'"&amp;$D$14&amp;"'!C9")&lt;1992,0)),INDIRECT("'"&amp;$D$14&amp;"'!GO_2045"),0)
+IF(AND(IFERROR(INDIRECT("'"&amp;$D$15&amp;"'!C9")&gt;1974,0),IFERROR(INDIRECT("'"&amp;$D$15&amp;"'!C9")&lt;1992,0)),INDIRECT("'"&amp;$D$15&amp;"'!GO_2045"),0)
+IF(AND(IFERROR(INDIRECT("'"&amp;$D$16&amp;"'!C9")&gt;1974,0),IFERROR(INDIRECT("'"&amp;$D$16&amp;"'!C9")&lt;1992,0)),INDIRECT("'"&amp;$D$16&amp;"'!GO_2045"),0)
+IF(AND(IFERROR(INDIRECT("'"&amp;$D$17&amp;"'!C9")&gt;1974,0),IFERROR(INDIRECT("'"&amp;$D$17&amp;"'!C9")&lt;1992,0)),INDIRECT("'"&amp;$D$17&amp;"'!GO_2045"),0)
+IF(AND(IFERROR(INDIRECT("'"&amp;$D$18&amp;"'!C9")&gt;1974,0),IFERROR(INDIRECT("'"&amp;$D$18&amp;"'!C9")&lt;1992,0)),INDIRECT("'"&amp;$D$18&amp;"'!GO_2045"),0)
+IF(AND(IFERROR(INDIRECT("'"&amp;$D$19&amp;"'!C9")&gt;1974,0),IFERROR(INDIRECT("'"&amp;$D$19&amp;"'!C9")&lt;1992,0)),INDIRECT("'"&amp;$D$19&amp;"'!GO_2045"),0)
+IF(AND(IFERROR(INDIRECT("'"&amp;$D$20&amp;"'!C9")&gt;1974,0),IFERROR(INDIRECT("'"&amp;$D$20&amp;"'!C9")&lt;1992,0)),INDIRECT("'"&amp;$D$20&amp;"'!GO_2045"),0)
+IF(AND(IFERROR(INDIRECT("'"&amp;$D$21&amp;"'!C9")&gt;1974,0),IFERROR(INDIRECT("'"&amp;$D$21&amp;"'!C9")&lt;1992,0)),INDIRECT("'"&amp;$D$21&amp;"'!GO_2045"),0)
+IF(AND(IFERROR(INDIRECT("'"&amp;$D$22&amp;"'!C9")&gt;1974,0),IFERROR(INDIRECT("'"&amp;$D$22&amp;"'!C9")&lt;1992,0)),INDIRECT("'"&amp;$D$22&amp;"'!GO_2045"),0)
+IF(AND(IFERROR(INDIRECT("'"&amp;$D$23&amp;"'!C9")&gt;1974,0),IFERROR(INDIRECT("'"&amp;$D$23&amp;"'!C9")&lt;1992,0)),INDIRECT("'"&amp;$D$23&amp;"'!GO_2045"),0)
+IF(AND(IFERROR(INDIRECT("'"&amp;$D$24&amp;"'!C9")&gt;1974,0),IFERROR(INDIRECT("'"&amp;$D$24&amp;"'!C9")&lt;1992,0)),INDIRECT("'"&amp;$D$24&amp;"'!GO_2045"),0)
+IF(AND(IFERROR(INDIRECT("'"&amp;$D$25&amp;"'!C9")&gt;1974,0),IFERROR(INDIRECT("'"&amp;$D$25&amp;"'!C9")&lt;1992,0)),INDIRECT("'"&amp;$D$25&amp;"'!GO_2045"),0)
+IF(AND(IFERROR(INDIRECT("'"&amp;$D$26&amp;"'!C9")&gt;1974,0),IFERROR(INDIRECT("'"&amp;$D$26&amp;"'!C9")&lt;1992,0)),INDIRECT("'"&amp;$D$26&amp;"'!GO_2045"),0)
+IF(AND(IFERROR(INDIRECT("'"&amp;$D$27&amp;"'!C9")&gt;1974,0),IFERROR(INDIRECT("'"&amp;$D$27&amp;"'!C9")&lt;1992,0)),INDIRECT("'"&amp;$D$27&amp;"'!GO_2045"),0)
+IF(AND(IFERROR(INDIRECT("'"&amp;$D$28&amp;"'!C9")&gt;1974,0),IFERROR(INDIRECT("'"&amp;$D$28&amp;"'!C9")&lt;1992,0)),INDIRECT("'"&amp;$D$28&amp;"'!GO_2045"),0)
+IF(AND(IFERROR(INDIRECT("'"&amp;$D$29&amp;"'!C9")&gt;1974,0),IFERROR(INDIRECT("'"&amp;$D$29&amp;"'!C9")&lt;1992,0)),INDIRECT("'"&amp;$D$29&amp;"'!GO_2045"),0)
+IF(AND(IFERROR(INDIRECT("'"&amp;$D$30&amp;"'!C9")&gt;1974,0),IFERROR(INDIRECT("'"&amp;$D$30&amp;"'!C9")&lt;1992,0)),INDIRECT("'"&amp;$D$30&amp;"'!GO_2045"),0)
+IF(AND(IFERROR(INDIRECT("'"&amp;$D$31&amp;"'!C9")&gt;1974,0),IFERROR(INDIRECT("'"&amp;$D$31&amp;"'!C9")&lt;1992,0)),INDIRECT("'"&amp;$D$31&amp;"'!GO_2045"),0)
+IF(AND(IFERROR(INDIRECT("'"&amp;$D$32&amp;"'!C9")&gt;1974,0),IFERROR(INDIRECT("'"&amp;$D$32&amp;"'!C9")&lt;1992,0)),INDIRECT("'"&amp;$D$32&amp;"'!GO_2045"),0)
+IF(AND(IFERROR(INDIRECT("'"&amp;$D$33&amp;"'!C9")&gt;1974,0),IFERROR(INDIRECT("'"&amp;$D$33&amp;"'!C9")&lt;1992,0)),INDIRECT("'"&amp;$D$33&amp;"'!GO_2045"),0)
+IF(AND(IFERROR(INDIRECT("'"&amp;$D$34&amp;"'!C9")&gt;1974,0),IFERROR(INDIRECT("'"&amp;$D$34&amp;"'!C9")&lt;1992,0)),INDIRECT("'"&amp;$D$34&amp;"'!GO_2045"),0)
+IF(AND(IFERROR(INDIRECT("'"&amp;$D$35&amp;"'!C9")&gt;1974,0),IFERROR(INDIRECT("'"&amp;$D$35&amp;"'!C9")&lt;1992,0)),INDIRECT("'"&amp;$D$35&amp;"'!GO_2045"),0)
+IF(AND(IFERROR(INDIRECT("'"&amp;$D$36&amp;"'!C9")&gt;1974,0),IFERROR(INDIRECT("'"&amp;$D$36&amp;"'!C9")&lt;1992,0)),INDIRECT("'"&amp;$D$36&amp;"'!GO_2045"),0)
+IF(AND(IFERROR(INDIRECT("'"&amp;$D$37&amp;"'!C9")&gt;1974,0),IFERROR(INDIRECT("'"&amp;$D$37&amp;"'!C9")&lt;1992,0)),INDIRECT("'"&amp;$D$37&amp;"'!GO_2045"),0)
+IF(AND(IFERROR(INDIRECT("'"&amp;$D$38&amp;"'!C9")&gt;1974,0),IFERROR(INDIRECT("'"&amp;$D$38&amp;"'!C9")&lt;1992,0)),INDIRECT("'"&amp;$D$38&amp;"'!GO_2045"),0)
+IF(AND(IFERROR(INDIRECT("'"&amp;$D$39&amp;"'!C9")&gt;1974,0),IFERROR(INDIRECT("'"&amp;$D$39&amp;"'!C9")&lt;1992,0)),INDIRECT("'"&amp;$D$39&amp;"'!GO_2045"),0)
+IF(AND(IFERROR(INDIRECT("'"&amp;$D$40&amp;"'!C9")&gt;1974,0),IFERROR(INDIRECT("'"&amp;$D$40&amp;"'!C9")&lt;1992,0)),INDIRECT("'"&amp;$D$40&amp;"'!GO_2045"),0)
+IF(AND(IFERROR(INDIRECT("'"&amp;$D$41&amp;"'!C9")&gt;1974,0),IFERROR(INDIRECT("'"&amp;$D$41&amp;"'!C9")&lt;1992,0)),INDIRECT("'"&amp;$D$41&amp;"'!GO_2045"),0)
+IF(AND(IFERROR(INDIRECT("'"&amp;$D$42&amp;"'!C9")&gt;1974,0),IFERROR(INDIRECT("'"&amp;$D$42&amp;"'!C9")&lt;1992,0)),INDIRECT("'"&amp;$D$42&amp;"'!GO_2045"),0)
+IF(AND(IFERROR(INDIRECT("'"&amp;$D$43&amp;"'!C9")&gt;1974,0),IFERROR(INDIRECT("'"&amp;$D$43&amp;"'!C9")&lt;1992,0)),INDIRECT("'"&amp;$D$43&amp;"'!GO_2045"),0)
+IF(AND(IFERROR(INDIRECT("'"&amp;$D$44&amp;"'!C9")&gt;1974,0),IFERROR(INDIRECT("'"&amp;$D$44&amp;"'!C9")&lt;1992,0)),INDIRECT("'"&amp;$D$44&amp;"'!GO_2045"),0)
+IF(AND(IFERROR(INDIRECT("'"&amp;$D$45&amp;"'!C9")&gt;1974,0),IFERROR(INDIRECT("'"&amp;$D$45&amp;"'!C9")&lt;1992,0)),INDIRECT("'"&amp;$D$45&amp;"'!GO_2045"),0)
+IF(AND(IFERROR(INDIRECT("'"&amp;$D$46&amp;"'!C9")&gt;1974,0),IFERROR(INDIRECT("'"&amp;$D$46&amp;"'!C9")&lt;1992,0)),INDIRECT("'"&amp;$D$46&amp;"'!GO_2045"),0)
+IF(AND(IFERROR(INDIRECT("'"&amp;$D$47&amp;"'!C9")&gt;1974,0),IFERROR(INDIRECT("'"&amp;$D$47&amp;"'!C9")&lt;1992,0)),INDIRECT("'"&amp;$D$47&amp;"'!GO_2045"),0)
+IF(AND(IFERROR(INDIRECT("'"&amp;$D$48&amp;"'!C9")&gt;1974,0),IFERROR(INDIRECT("'"&amp;$D$48&amp;"'!C9")&lt;1992,0)),INDIRECT("'"&amp;$D$48&amp;"'!GO_2045"),0)
+IF(AND(IFERROR(INDIRECT("'"&amp;$D$49&amp;"'!C9")&gt;1974,0),IFERROR(INDIRECT("'"&amp;$D$49&amp;"'!C9")&lt;1992,0)),INDIRECT("'"&amp;$D$49&amp;"'!GO_2045"),0)
+IF(AND(IFERROR(INDIRECT("'"&amp;$D$50&amp;"'!C9")&gt;1974,0),IFERROR(INDIRECT("'"&amp;$D$50&amp;"'!C9")&lt;1992,0)),INDIRECT("'"&amp;$D$50&amp;"'!GO_2045"),0)
+IF(AND(IFERROR(INDIRECT("'"&amp;$D$51&amp;"'!C9")&gt;1974,0),IFERROR(INDIRECT("'"&amp;$D$51&amp;"'!C9")&lt;1992,0)),INDIRECT("'"&amp;$D$51&amp;"'!GO_2045"),0)
+IF(AND(IFERROR(INDIRECT("'"&amp;$D$52&amp;"'!C9")&gt;1974,0),IFERROR(INDIRECT("'"&amp;$D$52&amp;"'!C9")&lt;1992,0)),INDIRECT("'"&amp;$D$52&amp;"'!GO_2045"),0)
+IF(AND(IFERROR(INDIRECT("'"&amp;$D$53&amp;"'!C9")&gt;1974,0),IFERROR(INDIRECT("'"&amp;$D$53&amp;"'!C9")&lt;1992,0)),INDIRECT("'"&amp;$D$53&amp;"'!GO_2045"),0)
+IF(AND(IFERROR(INDIRECT("'"&amp;$D$54&amp;"'!C9")&gt;1974,0),IFERROR(INDIRECT("'"&amp;$D$54&amp;"'!C9")&lt;1992,0)),INDIRECT("'"&amp;$D$54&amp;"'!GO_2045"),0)</f>
        <v>3172.4</v>
      </c>
      <c r="AJ26" s="321">
        <f ca="1">IF(AND(IFERROR(INDIRECT("'"&amp;$D$5&amp;"'!C9")&gt;1974,0),IFERROR(INDIRECT("'"&amp;$D$5&amp;"'!C9")&lt;1992,0)),INDIRECT("'"&amp;$D$5&amp;"'!GO_2046"),0)
+IF(AND(IFERROR(INDIRECT("'"&amp;$D$6&amp;"'!C9")&gt;1974,0),IFERROR(INDIRECT("'"&amp;$D$6&amp;"'!C9")&lt;1992,0)),INDIRECT("'"&amp;$D$6&amp;"'!GO_2046"),0)
+IF(AND(IFERROR(INDIRECT("'"&amp;$D$7&amp;"'!C9")&gt;1974,0),IFERROR(INDIRECT("'"&amp;$D$7&amp;"'!C9")&lt;1992,0)),INDIRECT("'"&amp;$D$7&amp;"'!GO_2046"),0)
+IF(AND(IFERROR(INDIRECT("'"&amp;$D$8&amp;"'!C9")&gt;1974,0),IFERROR(INDIRECT("'"&amp;$D$8&amp;"'!C9")&lt;1992,0)),INDIRECT("'"&amp;$D$8&amp;"'!GO_2046"),0)
+IF(AND(IFERROR(INDIRECT("'"&amp;$D$9&amp;"'!C9")&gt;1974,0),IFERROR(INDIRECT("'"&amp;$D$9&amp;"'!C9")&lt;1992,0)),INDIRECT("'"&amp;$D$9&amp;"'!GO_2046"),0)
+IF(AND(IFERROR(INDIRECT("'"&amp;$D$10&amp;"'!C9")&gt;1974,0),IFERROR(INDIRECT("'"&amp;$D$10&amp;"'!C9")&lt;1992,0)),INDIRECT("'"&amp;$D$10&amp;"'!GO_2046"),0)
+IF(AND(IFERROR(INDIRECT("'"&amp;$D$11&amp;"'!C9")&gt;1974,0),IFERROR(INDIRECT("'"&amp;$D$11&amp;"'!C9")&lt;1992,0)),INDIRECT("'"&amp;$D$11&amp;"'!GO_2046"),0)
+IF(AND(IFERROR(INDIRECT("'"&amp;$D$12&amp;"'!C9")&gt;1974,0),IFERROR(INDIRECT("'"&amp;$D$12&amp;"'!C9")&lt;1992,0)),INDIRECT("'"&amp;$D$12&amp;"'!GO_2046"),0)
+IF(AND(IFERROR(INDIRECT("'"&amp;$D$13&amp;"'!C9")&gt;1974,0),IFERROR(INDIRECT("'"&amp;$D$13&amp;"'!C9")&lt;1992,0)),INDIRECT("'"&amp;$D$13&amp;"'!GO_2046"),0)
+IF(AND(IFERROR(INDIRECT("'"&amp;$D$14&amp;"'!C9")&gt;1974,0),IFERROR(INDIRECT("'"&amp;$D$14&amp;"'!C9")&lt;1992,0)),INDIRECT("'"&amp;$D$14&amp;"'!GO_2046"),0)
+IF(AND(IFERROR(INDIRECT("'"&amp;$D$15&amp;"'!C9")&gt;1974,0),IFERROR(INDIRECT("'"&amp;$D$15&amp;"'!C9")&lt;1992,0)),INDIRECT("'"&amp;$D$15&amp;"'!GO_2046"),0)
+IF(AND(IFERROR(INDIRECT("'"&amp;$D$16&amp;"'!C9")&gt;1974,0),IFERROR(INDIRECT("'"&amp;$D$16&amp;"'!C9")&lt;1992,0)),INDIRECT("'"&amp;$D$16&amp;"'!GO_2046"),0)
+IF(AND(IFERROR(INDIRECT("'"&amp;$D$17&amp;"'!C9")&gt;1974,0),IFERROR(INDIRECT("'"&amp;$D$17&amp;"'!C9")&lt;1992,0)),INDIRECT("'"&amp;$D$17&amp;"'!GO_2046"),0)
+IF(AND(IFERROR(INDIRECT("'"&amp;$D$18&amp;"'!C9")&gt;1974,0),IFERROR(INDIRECT("'"&amp;$D$18&amp;"'!C9")&lt;1992,0)),INDIRECT("'"&amp;$D$18&amp;"'!GO_2046"),0)
+IF(AND(IFERROR(INDIRECT("'"&amp;$D$19&amp;"'!C9")&gt;1974,0),IFERROR(INDIRECT("'"&amp;$D$19&amp;"'!C9")&lt;1992,0)),INDIRECT("'"&amp;$D$19&amp;"'!GO_2046"),0)
+IF(AND(IFERROR(INDIRECT("'"&amp;$D$20&amp;"'!C9")&gt;1974,0),IFERROR(INDIRECT("'"&amp;$D$20&amp;"'!C9")&lt;1992,0)),INDIRECT("'"&amp;$D$20&amp;"'!GO_2046"),0)
+IF(AND(IFERROR(INDIRECT("'"&amp;$D$21&amp;"'!C9")&gt;1974,0),IFERROR(INDIRECT("'"&amp;$D$21&amp;"'!C9")&lt;1992,0)),INDIRECT("'"&amp;$D$21&amp;"'!GO_2046"),0)
+IF(AND(IFERROR(INDIRECT("'"&amp;$D$22&amp;"'!C9")&gt;1974,0),IFERROR(INDIRECT("'"&amp;$D$22&amp;"'!C9")&lt;1992,0)),INDIRECT("'"&amp;$D$22&amp;"'!GO_2046"),0)
+IF(AND(IFERROR(INDIRECT("'"&amp;$D$23&amp;"'!C9")&gt;1974,0),IFERROR(INDIRECT("'"&amp;$D$23&amp;"'!C9")&lt;1992,0)),INDIRECT("'"&amp;$D$23&amp;"'!GO_2046"),0)
+IF(AND(IFERROR(INDIRECT("'"&amp;$D$24&amp;"'!C9")&gt;1974,0),IFERROR(INDIRECT("'"&amp;$D$24&amp;"'!C9")&lt;1992,0)),INDIRECT("'"&amp;$D$24&amp;"'!GO_2046"),0)
+IF(AND(IFERROR(INDIRECT("'"&amp;$D$25&amp;"'!C9")&gt;1974,0),IFERROR(INDIRECT("'"&amp;$D$25&amp;"'!C9")&lt;1992,0)),INDIRECT("'"&amp;$D$25&amp;"'!GO_2046"),0)
+IF(AND(IFERROR(INDIRECT("'"&amp;$D$26&amp;"'!C9")&gt;1974,0),IFERROR(INDIRECT("'"&amp;$D$26&amp;"'!C9")&lt;1992,0)),INDIRECT("'"&amp;$D$26&amp;"'!GO_2046"),0)
+IF(AND(IFERROR(INDIRECT("'"&amp;$D$27&amp;"'!C9")&gt;1974,0),IFERROR(INDIRECT("'"&amp;$D$27&amp;"'!C9")&lt;1992,0)),INDIRECT("'"&amp;$D$27&amp;"'!GO_2046"),0)
+IF(AND(IFERROR(INDIRECT("'"&amp;$D$28&amp;"'!C9")&gt;1974,0),IFERROR(INDIRECT("'"&amp;$D$28&amp;"'!C9")&lt;1992,0)),INDIRECT("'"&amp;$D$28&amp;"'!GO_2046"),0)
+IF(AND(IFERROR(INDIRECT("'"&amp;$D$29&amp;"'!C9")&gt;1974,0),IFERROR(INDIRECT("'"&amp;$D$29&amp;"'!C9")&lt;1992,0)),INDIRECT("'"&amp;$D$29&amp;"'!GO_2046"),0)
+IF(AND(IFERROR(INDIRECT("'"&amp;$D$30&amp;"'!C9")&gt;1974,0),IFERROR(INDIRECT("'"&amp;$D$30&amp;"'!C9")&lt;1992,0)),INDIRECT("'"&amp;$D$30&amp;"'!GO_2046"),0)
+IF(AND(IFERROR(INDIRECT("'"&amp;$D$31&amp;"'!C9")&gt;1974,0),IFERROR(INDIRECT("'"&amp;$D$31&amp;"'!C9")&lt;1992,0)),INDIRECT("'"&amp;$D$31&amp;"'!GO_2046"),0)
+IF(AND(IFERROR(INDIRECT("'"&amp;$D$32&amp;"'!C9")&gt;1974,0),IFERROR(INDIRECT("'"&amp;$D$32&amp;"'!C9")&lt;1992,0)),INDIRECT("'"&amp;$D$32&amp;"'!GO_2046"),0)
+IF(AND(IFERROR(INDIRECT("'"&amp;$D$33&amp;"'!C9")&gt;1974,0),IFERROR(INDIRECT("'"&amp;$D$33&amp;"'!C9")&lt;1992,0)),INDIRECT("'"&amp;$D$33&amp;"'!GO_2046"),0)
+IF(AND(IFERROR(INDIRECT("'"&amp;$D$34&amp;"'!C9")&gt;1974,0),IFERROR(INDIRECT("'"&amp;$D$34&amp;"'!C9")&lt;1992,0)),INDIRECT("'"&amp;$D$34&amp;"'!GO_2046"),0)
+IF(AND(IFERROR(INDIRECT("'"&amp;$D$35&amp;"'!C9")&gt;1974,0),IFERROR(INDIRECT("'"&amp;$D$35&amp;"'!C9")&lt;1992,0)),INDIRECT("'"&amp;$D$35&amp;"'!GO_2046"),0)
+IF(AND(IFERROR(INDIRECT("'"&amp;$D$36&amp;"'!C9")&gt;1974,0),IFERROR(INDIRECT("'"&amp;$D$36&amp;"'!C9")&lt;1992,0)),INDIRECT("'"&amp;$D$36&amp;"'!GO_2046"),0)
+IF(AND(IFERROR(INDIRECT("'"&amp;$D$37&amp;"'!C9")&gt;1974,0),IFERROR(INDIRECT("'"&amp;$D$37&amp;"'!C9")&lt;1992,0)),INDIRECT("'"&amp;$D$37&amp;"'!GO_2046"),0)
+IF(AND(IFERROR(INDIRECT("'"&amp;$D$38&amp;"'!C9")&gt;1974,0),IFERROR(INDIRECT("'"&amp;$D$38&amp;"'!C9")&lt;1992,0)),INDIRECT("'"&amp;$D$38&amp;"'!GO_2046"),0)
+IF(AND(IFERROR(INDIRECT("'"&amp;$D$39&amp;"'!C9")&gt;1974,0),IFERROR(INDIRECT("'"&amp;$D$39&amp;"'!C9")&lt;1992,0)),INDIRECT("'"&amp;$D$39&amp;"'!GO_2046"),0)
+IF(AND(IFERROR(INDIRECT("'"&amp;$D$40&amp;"'!C9")&gt;1974,0),IFERROR(INDIRECT("'"&amp;$D$40&amp;"'!C9")&lt;1992,0)),INDIRECT("'"&amp;$D$40&amp;"'!GO_2046"),0)
+IF(AND(IFERROR(INDIRECT("'"&amp;$D$41&amp;"'!C9")&gt;1974,0),IFERROR(INDIRECT("'"&amp;$D$41&amp;"'!C9")&lt;1992,0)),INDIRECT("'"&amp;$D$41&amp;"'!GO_2046"),0)
+IF(AND(IFERROR(INDIRECT("'"&amp;$D$42&amp;"'!C9")&gt;1974,0),IFERROR(INDIRECT("'"&amp;$D$42&amp;"'!C9")&lt;1992,0)),INDIRECT("'"&amp;$D$42&amp;"'!GO_2046"),0)
+IF(AND(IFERROR(INDIRECT("'"&amp;$D$43&amp;"'!C9")&gt;1974,0),IFERROR(INDIRECT("'"&amp;$D$43&amp;"'!C9")&lt;1992,0)),INDIRECT("'"&amp;$D$43&amp;"'!GO_2046"),0)
+IF(AND(IFERROR(INDIRECT("'"&amp;$D$44&amp;"'!C9")&gt;1974,0),IFERROR(INDIRECT("'"&amp;$D$44&amp;"'!C9")&lt;1992,0)),INDIRECT("'"&amp;$D$44&amp;"'!GO_2046"),0)
+IF(AND(IFERROR(INDIRECT("'"&amp;$D$45&amp;"'!C9")&gt;1974,0),IFERROR(INDIRECT("'"&amp;$D$45&amp;"'!C9")&lt;1992,0)),INDIRECT("'"&amp;$D$45&amp;"'!GO_2046"),0)
+IF(AND(IFERROR(INDIRECT("'"&amp;$D$46&amp;"'!C9")&gt;1974,0),IFERROR(INDIRECT("'"&amp;$D$46&amp;"'!C9")&lt;1992,0)),INDIRECT("'"&amp;$D$46&amp;"'!GO_2046"),0)
+IF(AND(IFERROR(INDIRECT("'"&amp;$D$47&amp;"'!C9")&gt;1974,0),IFERROR(INDIRECT("'"&amp;$D$47&amp;"'!C9")&lt;1992,0)),INDIRECT("'"&amp;$D$47&amp;"'!GO_2046"),0)
+IF(AND(IFERROR(INDIRECT("'"&amp;$D$48&amp;"'!C9")&gt;1974,0),IFERROR(INDIRECT("'"&amp;$D$48&amp;"'!C9")&lt;1992,0)),INDIRECT("'"&amp;$D$48&amp;"'!GO_2046"),0)
+IF(AND(IFERROR(INDIRECT("'"&amp;$D$49&amp;"'!C9")&gt;1974,0),IFERROR(INDIRECT("'"&amp;$D$49&amp;"'!C9")&lt;1992,0)),INDIRECT("'"&amp;$D$49&amp;"'!GO_2046"),0)
+IF(AND(IFERROR(INDIRECT("'"&amp;$D$50&amp;"'!C9")&gt;1974,0),IFERROR(INDIRECT("'"&amp;$D$50&amp;"'!C9")&lt;1992,0)),INDIRECT("'"&amp;$D$50&amp;"'!GO_2046"),0)
+IF(AND(IFERROR(INDIRECT("'"&amp;$D$51&amp;"'!C9")&gt;1974,0),IFERROR(INDIRECT("'"&amp;$D$51&amp;"'!C9")&lt;1992,0)),INDIRECT("'"&amp;$D$51&amp;"'!GO_2046"),0)
+IF(AND(IFERROR(INDIRECT("'"&amp;$D$52&amp;"'!C9")&gt;1974,0),IFERROR(INDIRECT("'"&amp;$D$52&amp;"'!C9")&lt;1992,0)),INDIRECT("'"&amp;$D$52&amp;"'!GO_2046"),0)
+IF(AND(IFERROR(INDIRECT("'"&amp;$D$53&amp;"'!C9")&gt;1974,0),IFERROR(INDIRECT("'"&amp;$D$53&amp;"'!C9")&lt;1992,0)),INDIRECT("'"&amp;$D$53&amp;"'!GO_2046"),0)
+IF(AND(IFERROR(INDIRECT("'"&amp;$D$54&amp;"'!C9")&gt;1974,0),IFERROR(INDIRECT("'"&amp;$D$54&amp;"'!C9")&lt;1992,0)),INDIRECT("'"&amp;$D$54&amp;"'!GO_2046"),0)</f>
        <v>3172.4</v>
      </c>
      <c r="AK26" s="321">
        <f ca="1">IF(AND(IFERROR(INDIRECT("'"&amp;$D$5&amp;"'!C9")&gt;1974,0),IFERROR(INDIRECT("'"&amp;$D$5&amp;"'!C9")&lt;1992,0)),INDIRECT("'"&amp;$D$5&amp;"'!GO_2047"),0)
+IF(AND(IFERROR(INDIRECT("'"&amp;$D$6&amp;"'!C9")&gt;1974,0),IFERROR(INDIRECT("'"&amp;$D$6&amp;"'!C9")&lt;1992,0)),INDIRECT("'"&amp;$D$6&amp;"'!GO_2047"),0)
+IF(AND(IFERROR(INDIRECT("'"&amp;$D$7&amp;"'!C9")&gt;1974,0),IFERROR(INDIRECT("'"&amp;$D$7&amp;"'!C9")&lt;1992,0)),INDIRECT("'"&amp;$D$7&amp;"'!GO_2047"),0)
+IF(AND(IFERROR(INDIRECT("'"&amp;$D$8&amp;"'!C9")&gt;1974,0),IFERROR(INDIRECT("'"&amp;$D$8&amp;"'!C9")&lt;1992,0)),INDIRECT("'"&amp;$D$8&amp;"'!GO_2047"),0)
+IF(AND(IFERROR(INDIRECT("'"&amp;$D$9&amp;"'!C9")&gt;1974,0),IFERROR(INDIRECT("'"&amp;$D$9&amp;"'!C9")&lt;1992,0)),INDIRECT("'"&amp;$D$9&amp;"'!GO_2047"),0)
+IF(AND(IFERROR(INDIRECT("'"&amp;$D$10&amp;"'!C9")&gt;1974,0),IFERROR(INDIRECT("'"&amp;$D$10&amp;"'!C9")&lt;1992,0)),INDIRECT("'"&amp;$D$10&amp;"'!GO_2047"),0)
+IF(AND(IFERROR(INDIRECT("'"&amp;$D$11&amp;"'!C9")&gt;1974,0),IFERROR(INDIRECT("'"&amp;$D$11&amp;"'!C9")&lt;1992,0)),INDIRECT("'"&amp;$D$11&amp;"'!GO_2047"),0)
+IF(AND(IFERROR(INDIRECT("'"&amp;$D$12&amp;"'!C9")&gt;1974,0),IFERROR(INDIRECT("'"&amp;$D$12&amp;"'!C9")&lt;1992,0)),INDIRECT("'"&amp;$D$12&amp;"'!GO_2047"),0)
+IF(AND(IFERROR(INDIRECT("'"&amp;$D$13&amp;"'!C9")&gt;1974,0),IFERROR(INDIRECT("'"&amp;$D$13&amp;"'!C9")&lt;1992,0)),INDIRECT("'"&amp;$D$13&amp;"'!GO_2047"),0)
+IF(AND(IFERROR(INDIRECT("'"&amp;$D$14&amp;"'!C9")&gt;1974,0),IFERROR(INDIRECT("'"&amp;$D$14&amp;"'!C9")&lt;1992,0)),INDIRECT("'"&amp;$D$14&amp;"'!GO_2047"),0)
+IF(AND(IFERROR(INDIRECT("'"&amp;$D$15&amp;"'!C9")&gt;1974,0),IFERROR(INDIRECT("'"&amp;$D$15&amp;"'!C9")&lt;1992,0)),INDIRECT("'"&amp;$D$15&amp;"'!GO_2047"),0)
+IF(AND(IFERROR(INDIRECT("'"&amp;$D$16&amp;"'!C9")&gt;1974,0),IFERROR(INDIRECT("'"&amp;$D$16&amp;"'!C9")&lt;1992,0)),INDIRECT("'"&amp;$D$16&amp;"'!GO_2047"),0)
+IF(AND(IFERROR(INDIRECT("'"&amp;$D$17&amp;"'!C9")&gt;1974,0),IFERROR(INDIRECT("'"&amp;$D$17&amp;"'!C9")&lt;1992,0)),INDIRECT("'"&amp;$D$17&amp;"'!GO_2047"),0)
+IF(AND(IFERROR(INDIRECT("'"&amp;$D$18&amp;"'!C9")&gt;1974,0),IFERROR(INDIRECT("'"&amp;$D$18&amp;"'!C9")&lt;1992,0)),INDIRECT("'"&amp;$D$18&amp;"'!GO_2047"),0)
+IF(AND(IFERROR(INDIRECT("'"&amp;$D$19&amp;"'!C9")&gt;1974,0),IFERROR(INDIRECT("'"&amp;$D$19&amp;"'!C9")&lt;1992,0)),INDIRECT("'"&amp;$D$19&amp;"'!GO_2047"),0)
+IF(AND(IFERROR(INDIRECT("'"&amp;$D$20&amp;"'!C9")&gt;1974,0),IFERROR(INDIRECT("'"&amp;$D$20&amp;"'!C9")&lt;1992,0)),INDIRECT("'"&amp;$D$20&amp;"'!GO_2047"),0)
+IF(AND(IFERROR(INDIRECT("'"&amp;$D$21&amp;"'!C9")&gt;1974,0),IFERROR(INDIRECT("'"&amp;$D$21&amp;"'!C9")&lt;1992,0)),INDIRECT("'"&amp;$D$21&amp;"'!GO_2047"),0)
+IF(AND(IFERROR(INDIRECT("'"&amp;$D$22&amp;"'!C9")&gt;1974,0),IFERROR(INDIRECT("'"&amp;$D$22&amp;"'!C9")&lt;1992,0)),INDIRECT("'"&amp;$D$22&amp;"'!GO_2047"),0)
+IF(AND(IFERROR(INDIRECT("'"&amp;$D$23&amp;"'!C9")&gt;1974,0),IFERROR(INDIRECT("'"&amp;$D$23&amp;"'!C9")&lt;1992,0)),INDIRECT("'"&amp;$D$23&amp;"'!GO_2047"),0)
+IF(AND(IFERROR(INDIRECT("'"&amp;$D$24&amp;"'!C9")&gt;1974,0),IFERROR(INDIRECT("'"&amp;$D$24&amp;"'!C9")&lt;1992,0)),INDIRECT("'"&amp;$D$24&amp;"'!GO_2047"),0)
+IF(AND(IFERROR(INDIRECT("'"&amp;$D$25&amp;"'!C9")&gt;1974,0),IFERROR(INDIRECT("'"&amp;$D$25&amp;"'!C9")&lt;1992,0)),INDIRECT("'"&amp;$D$25&amp;"'!GO_2047"),0)
+IF(AND(IFERROR(INDIRECT("'"&amp;$D$26&amp;"'!C9")&gt;1974,0),IFERROR(INDIRECT("'"&amp;$D$26&amp;"'!C9")&lt;1992,0)),INDIRECT("'"&amp;$D$26&amp;"'!GO_2047"),0)
+IF(AND(IFERROR(INDIRECT("'"&amp;$D$27&amp;"'!C9")&gt;1974,0),IFERROR(INDIRECT("'"&amp;$D$27&amp;"'!C9")&lt;1992,0)),INDIRECT("'"&amp;$D$27&amp;"'!GO_2047"),0)
+IF(AND(IFERROR(INDIRECT("'"&amp;$D$28&amp;"'!C9")&gt;1974,0),IFERROR(INDIRECT("'"&amp;$D$28&amp;"'!C9")&lt;1992,0)),INDIRECT("'"&amp;$D$28&amp;"'!GO_2047"),0)
+IF(AND(IFERROR(INDIRECT("'"&amp;$D$29&amp;"'!C9")&gt;1974,0),IFERROR(INDIRECT("'"&amp;$D$29&amp;"'!C9")&lt;1992,0)),INDIRECT("'"&amp;$D$29&amp;"'!GO_2047"),0)
+IF(AND(IFERROR(INDIRECT("'"&amp;$D$30&amp;"'!C9")&gt;1974,0),IFERROR(INDIRECT("'"&amp;$D$30&amp;"'!C9")&lt;1992,0)),INDIRECT("'"&amp;$D$30&amp;"'!GO_2047"),0)
+IF(AND(IFERROR(INDIRECT("'"&amp;$D$31&amp;"'!C9")&gt;1974,0),IFERROR(INDIRECT("'"&amp;$D$31&amp;"'!C9")&lt;1992,0)),INDIRECT("'"&amp;$D$31&amp;"'!GO_2047"),0)
+IF(AND(IFERROR(INDIRECT("'"&amp;$D$32&amp;"'!C9")&gt;1974,0),IFERROR(INDIRECT("'"&amp;$D$32&amp;"'!C9")&lt;1992,0)),INDIRECT("'"&amp;$D$32&amp;"'!GO_2047"),0)
+IF(AND(IFERROR(INDIRECT("'"&amp;$D$33&amp;"'!C9")&gt;1974,0),IFERROR(INDIRECT("'"&amp;$D$33&amp;"'!C9")&lt;1992,0)),INDIRECT("'"&amp;$D$33&amp;"'!GO_2047"),0)
+IF(AND(IFERROR(INDIRECT("'"&amp;$D$34&amp;"'!C9")&gt;1974,0),IFERROR(INDIRECT("'"&amp;$D$34&amp;"'!C9")&lt;1992,0)),INDIRECT("'"&amp;$D$34&amp;"'!GO_2047"),0)
+IF(AND(IFERROR(INDIRECT("'"&amp;$D$35&amp;"'!C9")&gt;1974,0),IFERROR(INDIRECT("'"&amp;$D$35&amp;"'!C9")&lt;1992,0)),INDIRECT("'"&amp;$D$35&amp;"'!GO_2047"),0)
+IF(AND(IFERROR(INDIRECT("'"&amp;$D$36&amp;"'!C9")&gt;1974,0),IFERROR(INDIRECT("'"&amp;$D$36&amp;"'!C9")&lt;1992,0)),INDIRECT("'"&amp;$D$36&amp;"'!GO_2047"),0)
+IF(AND(IFERROR(INDIRECT("'"&amp;$D$37&amp;"'!C9")&gt;1974,0),IFERROR(INDIRECT("'"&amp;$D$37&amp;"'!C9")&lt;1992,0)),INDIRECT("'"&amp;$D$37&amp;"'!GO_2047"),0)
+IF(AND(IFERROR(INDIRECT("'"&amp;$D$38&amp;"'!C9")&gt;1974,0),IFERROR(INDIRECT("'"&amp;$D$38&amp;"'!C9")&lt;1992,0)),INDIRECT("'"&amp;$D$38&amp;"'!GO_2047"),0)
+IF(AND(IFERROR(INDIRECT("'"&amp;$D$39&amp;"'!C9")&gt;1974,0),IFERROR(INDIRECT("'"&amp;$D$39&amp;"'!C9")&lt;1992,0)),INDIRECT("'"&amp;$D$39&amp;"'!GO_2047"),0)
+IF(AND(IFERROR(INDIRECT("'"&amp;$D$40&amp;"'!C9")&gt;1974,0),IFERROR(INDIRECT("'"&amp;$D$40&amp;"'!C9")&lt;1992,0)),INDIRECT("'"&amp;$D$40&amp;"'!GO_2047"),0)
+IF(AND(IFERROR(INDIRECT("'"&amp;$D$41&amp;"'!C9")&gt;1974,0),IFERROR(INDIRECT("'"&amp;$D$41&amp;"'!C9")&lt;1992,0)),INDIRECT("'"&amp;$D$41&amp;"'!GO_2047"),0)
+IF(AND(IFERROR(INDIRECT("'"&amp;$D$42&amp;"'!C9")&gt;1974,0),IFERROR(INDIRECT("'"&amp;$D$42&amp;"'!C9")&lt;1992,0)),INDIRECT("'"&amp;$D$42&amp;"'!GO_2047"),0)
+IF(AND(IFERROR(INDIRECT("'"&amp;$D$43&amp;"'!C9")&gt;1974,0),IFERROR(INDIRECT("'"&amp;$D$43&amp;"'!C9")&lt;1992,0)),INDIRECT("'"&amp;$D$43&amp;"'!GO_2047"),0)
+IF(AND(IFERROR(INDIRECT("'"&amp;$D$44&amp;"'!C9")&gt;1974,0),IFERROR(INDIRECT("'"&amp;$D$44&amp;"'!C9")&lt;1992,0)),INDIRECT("'"&amp;$D$44&amp;"'!GO_2047"),0)
+IF(AND(IFERROR(INDIRECT("'"&amp;$D$45&amp;"'!C9")&gt;1974,0),IFERROR(INDIRECT("'"&amp;$D$45&amp;"'!C9")&lt;1992,0)),INDIRECT("'"&amp;$D$45&amp;"'!GO_2047"),0)
+IF(AND(IFERROR(INDIRECT("'"&amp;$D$46&amp;"'!C9")&gt;1974,0),IFERROR(INDIRECT("'"&amp;$D$46&amp;"'!C9")&lt;1992,0)),INDIRECT("'"&amp;$D$46&amp;"'!GO_2047"),0)
+IF(AND(IFERROR(INDIRECT("'"&amp;$D$47&amp;"'!C9")&gt;1974,0),IFERROR(INDIRECT("'"&amp;$D$47&amp;"'!C9")&lt;1992,0)),INDIRECT("'"&amp;$D$47&amp;"'!GO_2047"),0)
+IF(AND(IFERROR(INDIRECT("'"&amp;$D$48&amp;"'!C9")&gt;1974,0),IFERROR(INDIRECT("'"&amp;$D$48&amp;"'!C9")&lt;1992,0)),INDIRECT("'"&amp;$D$48&amp;"'!GO_2047"),0)
+IF(AND(IFERROR(INDIRECT("'"&amp;$D$49&amp;"'!C9")&gt;1974,0),IFERROR(INDIRECT("'"&amp;$D$49&amp;"'!C9")&lt;1992,0)),INDIRECT("'"&amp;$D$49&amp;"'!GO_2047"),0)
+IF(AND(IFERROR(INDIRECT("'"&amp;$D$50&amp;"'!C9")&gt;1974,0),IFERROR(INDIRECT("'"&amp;$D$50&amp;"'!C9")&lt;1992,0)),INDIRECT("'"&amp;$D$50&amp;"'!GO_2047"),0)
+IF(AND(IFERROR(INDIRECT("'"&amp;$D$51&amp;"'!C9")&gt;1974,0),IFERROR(INDIRECT("'"&amp;$D$51&amp;"'!C9")&lt;1992,0)),INDIRECT("'"&amp;$D$51&amp;"'!GO_2047"),0)
+IF(AND(IFERROR(INDIRECT("'"&amp;$D$52&amp;"'!C9")&gt;1974,0),IFERROR(INDIRECT("'"&amp;$D$52&amp;"'!C9")&lt;1992,0)),INDIRECT("'"&amp;$D$52&amp;"'!GO_2047"),0)
+IF(AND(IFERROR(INDIRECT("'"&amp;$D$53&amp;"'!C9")&gt;1974,0),IFERROR(INDIRECT("'"&amp;$D$53&amp;"'!C9")&lt;1992,0)),INDIRECT("'"&amp;$D$53&amp;"'!GO_2047"),0)
+IF(AND(IFERROR(INDIRECT("'"&amp;$D$54&amp;"'!C9")&gt;1974,0),IFERROR(INDIRECT("'"&amp;$D$54&amp;"'!C9")&lt;1992,0)),INDIRECT("'"&amp;$D$54&amp;"'!GO_2047"),0)</f>
        <v>3172.4</v>
      </c>
      <c r="AL26" s="321">
        <f ca="1">IF(AND(IFERROR(INDIRECT("'"&amp;$D$5&amp;"'!C9")&gt;1974,0),IFERROR(INDIRECT("'"&amp;$D$5&amp;"'!C9")&lt;1992,0)),INDIRECT("'"&amp;$D$5&amp;"'!GO_2048"),0)
+IF(AND(IFERROR(INDIRECT("'"&amp;$D$6&amp;"'!C9")&gt;1974,0),IFERROR(INDIRECT("'"&amp;$D$6&amp;"'!C9")&lt;1992,0)),INDIRECT("'"&amp;$D$6&amp;"'!GO_2048"),0)
+IF(AND(IFERROR(INDIRECT("'"&amp;$D$7&amp;"'!C9")&gt;1974,0),IFERROR(INDIRECT("'"&amp;$D$7&amp;"'!C9")&lt;1992,0)),INDIRECT("'"&amp;$D$7&amp;"'!GO_2048"),0)
+IF(AND(IFERROR(INDIRECT("'"&amp;$D$8&amp;"'!C9")&gt;1974,0),IFERROR(INDIRECT("'"&amp;$D$8&amp;"'!C9")&lt;1992,0)),INDIRECT("'"&amp;$D$8&amp;"'!GO_2048"),0)
+IF(AND(IFERROR(INDIRECT("'"&amp;$D$9&amp;"'!C9")&gt;1974,0),IFERROR(INDIRECT("'"&amp;$D$9&amp;"'!C9")&lt;1992,0)),INDIRECT("'"&amp;$D$9&amp;"'!GO_2048"),0)
+IF(AND(IFERROR(INDIRECT("'"&amp;$D$10&amp;"'!C9")&gt;1974,0),IFERROR(INDIRECT("'"&amp;$D$10&amp;"'!C9")&lt;1992,0)),INDIRECT("'"&amp;$D$10&amp;"'!GO_2048"),0)
+IF(AND(IFERROR(INDIRECT("'"&amp;$D$11&amp;"'!C9")&gt;1974,0),IFERROR(INDIRECT("'"&amp;$D$11&amp;"'!C9")&lt;1992,0)),INDIRECT("'"&amp;$D$11&amp;"'!GO_2048"),0)
+IF(AND(IFERROR(INDIRECT("'"&amp;$D$12&amp;"'!C9")&gt;1974,0),IFERROR(INDIRECT("'"&amp;$D$12&amp;"'!C9")&lt;1992,0)),INDIRECT("'"&amp;$D$12&amp;"'!GO_2048"),0)
+IF(AND(IFERROR(INDIRECT("'"&amp;$D$13&amp;"'!C9")&gt;1974,0),IFERROR(INDIRECT("'"&amp;$D$13&amp;"'!C9")&lt;1992,0)),INDIRECT("'"&amp;$D$13&amp;"'!GO_2048"),0)
+IF(AND(IFERROR(INDIRECT("'"&amp;$D$14&amp;"'!C9")&gt;1974,0),IFERROR(INDIRECT("'"&amp;$D$14&amp;"'!C9")&lt;1992,0)),INDIRECT("'"&amp;$D$14&amp;"'!GO_2048"),0)
+IF(AND(IFERROR(INDIRECT("'"&amp;$D$15&amp;"'!C9")&gt;1974,0),IFERROR(INDIRECT("'"&amp;$D$15&amp;"'!C9")&lt;1992,0)),INDIRECT("'"&amp;$D$15&amp;"'!GO_2048"),0)
+IF(AND(IFERROR(INDIRECT("'"&amp;$D$16&amp;"'!C9")&gt;1974,0),IFERROR(INDIRECT("'"&amp;$D$16&amp;"'!C9")&lt;1992,0)),INDIRECT("'"&amp;$D$16&amp;"'!GO_2048"),0)
+IF(AND(IFERROR(INDIRECT("'"&amp;$D$17&amp;"'!C9")&gt;1974,0),IFERROR(INDIRECT("'"&amp;$D$17&amp;"'!C9")&lt;1992,0)),INDIRECT("'"&amp;$D$17&amp;"'!GO_2048"),0)
+IF(AND(IFERROR(INDIRECT("'"&amp;$D$18&amp;"'!C9")&gt;1974,0),IFERROR(INDIRECT("'"&amp;$D$18&amp;"'!C9")&lt;1992,0)),INDIRECT("'"&amp;$D$18&amp;"'!GO_2048"),0)
+IF(AND(IFERROR(INDIRECT("'"&amp;$D$19&amp;"'!C9")&gt;1974,0),IFERROR(INDIRECT("'"&amp;$D$19&amp;"'!C9")&lt;1992,0)),INDIRECT("'"&amp;$D$19&amp;"'!GO_2048"),0)
+IF(AND(IFERROR(INDIRECT("'"&amp;$D$20&amp;"'!C9")&gt;1974,0),IFERROR(INDIRECT("'"&amp;$D$20&amp;"'!C9")&lt;1992,0)),INDIRECT("'"&amp;$D$20&amp;"'!GO_2048"),0)
+IF(AND(IFERROR(INDIRECT("'"&amp;$D$21&amp;"'!C9")&gt;1974,0),IFERROR(INDIRECT("'"&amp;$D$21&amp;"'!C9")&lt;1992,0)),INDIRECT("'"&amp;$D$21&amp;"'!GO_2048"),0)
+IF(AND(IFERROR(INDIRECT("'"&amp;$D$22&amp;"'!C9")&gt;1974,0),IFERROR(INDIRECT("'"&amp;$D$22&amp;"'!C9")&lt;1992,0)),INDIRECT("'"&amp;$D$22&amp;"'!GO_2048"),0)
+IF(AND(IFERROR(INDIRECT("'"&amp;$D$23&amp;"'!C9")&gt;1974,0),IFERROR(INDIRECT("'"&amp;$D$23&amp;"'!C9")&lt;1992,0)),INDIRECT("'"&amp;$D$23&amp;"'!GO_2048"),0)
+IF(AND(IFERROR(INDIRECT("'"&amp;$D$24&amp;"'!C9")&gt;1974,0),IFERROR(INDIRECT("'"&amp;$D$24&amp;"'!C9")&lt;1992,0)),INDIRECT("'"&amp;$D$24&amp;"'!GO_2048"),0)
+IF(AND(IFERROR(INDIRECT("'"&amp;$D$25&amp;"'!C9")&gt;1974,0),IFERROR(INDIRECT("'"&amp;$D$25&amp;"'!C9")&lt;1992,0)),INDIRECT("'"&amp;$D$25&amp;"'!GO_2048"),0)
+IF(AND(IFERROR(INDIRECT("'"&amp;$D$26&amp;"'!C9")&gt;1974,0),IFERROR(INDIRECT("'"&amp;$D$26&amp;"'!C9")&lt;1992,0)),INDIRECT("'"&amp;$D$26&amp;"'!GO_2048"),0)
+IF(AND(IFERROR(INDIRECT("'"&amp;$D$27&amp;"'!C9")&gt;1974,0),IFERROR(INDIRECT("'"&amp;$D$27&amp;"'!C9")&lt;1992,0)),INDIRECT("'"&amp;$D$27&amp;"'!GO_2048"),0)
+IF(AND(IFERROR(INDIRECT("'"&amp;$D$28&amp;"'!C9")&gt;1974,0),IFERROR(INDIRECT("'"&amp;$D$28&amp;"'!C9")&lt;1992,0)),INDIRECT("'"&amp;$D$28&amp;"'!GO_2048"),0)
+IF(AND(IFERROR(INDIRECT("'"&amp;$D$29&amp;"'!C9")&gt;1974,0),IFERROR(INDIRECT("'"&amp;$D$29&amp;"'!C9")&lt;1992,0)),INDIRECT("'"&amp;$D$29&amp;"'!GO_2048"),0)
+IF(AND(IFERROR(INDIRECT("'"&amp;$D$30&amp;"'!C9")&gt;1974,0),IFERROR(INDIRECT("'"&amp;$D$30&amp;"'!C9")&lt;1992,0)),INDIRECT("'"&amp;$D$30&amp;"'!GO_2048"),0)
+IF(AND(IFERROR(INDIRECT("'"&amp;$D$31&amp;"'!C9")&gt;1974,0),IFERROR(INDIRECT("'"&amp;$D$31&amp;"'!C9")&lt;1992,0)),INDIRECT("'"&amp;$D$31&amp;"'!GO_2048"),0)
+IF(AND(IFERROR(INDIRECT("'"&amp;$D$32&amp;"'!C9")&gt;1974,0),IFERROR(INDIRECT("'"&amp;$D$32&amp;"'!C9")&lt;1992,0)),INDIRECT("'"&amp;$D$32&amp;"'!GO_2048"),0)
+IF(AND(IFERROR(INDIRECT("'"&amp;$D$33&amp;"'!C9")&gt;1974,0),IFERROR(INDIRECT("'"&amp;$D$33&amp;"'!C9")&lt;1992,0)),INDIRECT("'"&amp;$D$33&amp;"'!GO_2048"),0)
+IF(AND(IFERROR(INDIRECT("'"&amp;$D$34&amp;"'!C9")&gt;1974,0),IFERROR(INDIRECT("'"&amp;$D$34&amp;"'!C9")&lt;1992,0)),INDIRECT("'"&amp;$D$34&amp;"'!GO_2048"),0)
+IF(AND(IFERROR(INDIRECT("'"&amp;$D$35&amp;"'!C9")&gt;1974,0),IFERROR(INDIRECT("'"&amp;$D$35&amp;"'!C9")&lt;1992,0)),INDIRECT("'"&amp;$D$35&amp;"'!GO_2048"),0)
+IF(AND(IFERROR(INDIRECT("'"&amp;$D$36&amp;"'!C9")&gt;1974,0),IFERROR(INDIRECT("'"&amp;$D$36&amp;"'!C9")&lt;1992,0)),INDIRECT("'"&amp;$D$36&amp;"'!GO_2048"),0)
+IF(AND(IFERROR(INDIRECT("'"&amp;$D$37&amp;"'!C9")&gt;1974,0),IFERROR(INDIRECT("'"&amp;$D$37&amp;"'!C9")&lt;1992,0)),INDIRECT("'"&amp;$D$37&amp;"'!GO_2048"),0)
+IF(AND(IFERROR(INDIRECT("'"&amp;$D$38&amp;"'!C9")&gt;1974,0),IFERROR(INDIRECT("'"&amp;$D$38&amp;"'!C9")&lt;1992,0)),INDIRECT("'"&amp;$D$38&amp;"'!GO_2048"),0)
+IF(AND(IFERROR(INDIRECT("'"&amp;$D$39&amp;"'!C9")&gt;1974,0),IFERROR(INDIRECT("'"&amp;$D$39&amp;"'!C9")&lt;1992,0)),INDIRECT("'"&amp;$D$39&amp;"'!GO_2048"),0)
+IF(AND(IFERROR(INDIRECT("'"&amp;$D$40&amp;"'!C9")&gt;1974,0),IFERROR(INDIRECT("'"&amp;$D$40&amp;"'!C9")&lt;1992,0)),INDIRECT("'"&amp;$D$40&amp;"'!GO_2048"),0)
+IF(AND(IFERROR(INDIRECT("'"&amp;$D$41&amp;"'!C9")&gt;1974,0),IFERROR(INDIRECT("'"&amp;$D$41&amp;"'!C9")&lt;1992,0)),INDIRECT("'"&amp;$D$41&amp;"'!GO_2048"),0)
+IF(AND(IFERROR(INDIRECT("'"&amp;$D$42&amp;"'!C9")&gt;1974,0),IFERROR(INDIRECT("'"&amp;$D$42&amp;"'!C9")&lt;1992,0)),INDIRECT("'"&amp;$D$42&amp;"'!GO_2048"),0)
+IF(AND(IFERROR(INDIRECT("'"&amp;$D$43&amp;"'!C9")&gt;1974,0),IFERROR(INDIRECT("'"&amp;$D$43&amp;"'!C9")&lt;1992,0)),INDIRECT("'"&amp;$D$43&amp;"'!GO_2048"),0)
+IF(AND(IFERROR(INDIRECT("'"&amp;$D$44&amp;"'!C9")&gt;1974,0),IFERROR(INDIRECT("'"&amp;$D$44&amp;"'!C9")&lt;1992,0)),INDIRECT("'"&amp;$D$44&amp;"'!GO_2048"),0)
+IF(AND(IFERROR(INDIRECT("'"&amp;$D$45&amp;"'!C9")&gt;1974,0),IFERROR(INDIRECT("'"&amp;$D$45&amp;"'!C9")&lt;1992,0)),INDIRECT("'"&amp;$D$45&amp;"'!GO_2048"),0)
+IF(AND(IFERROR(INDIRECT("'"&amp;$D$46&amp;"'!C9")&gt;1974,0),IFERROR(INDIRECT("'"&amp;$D$46&amp;"'!C9")&lt;1992,0)),INDIRECT("'"&amp;$D$46&amp;"'!GO_2048"),0)
+IF(AND(IFERROR(INDIRECT("'"&amp;$D$47&amp;"'!C9")&gt;1974,0),IFERROR(INDIRECT("'"&amp;$D$47&amp;"'!C9")&lt;1992,0)),INDIRECT("'"&amp;$D$47&amp;"'!GO_2048"),0)
+IF(AND(IFERROR(INDIRECT("'"&amp;$D$48&amp;"'!C9")&gt;1974,0),IFERROR(INDIRECT("'"&amp;$D$48&amp;"'!C9")&lt;1992,0)),INDIRECT("'"&amp;$D$48&amp;"'!GO_2048"),0)
+IF(AND(IFERROR(INDIRECT("'"&amp;$D$49&amp;"'!C9")&gt;1974,0),IFERROR(INDIRECT("'"&amp;$D$49&amp;"'!C9")&lt;1992,0)),INDIRECT("'"&amp;$D$49&amp;"'!GO_2048"),0)
+IF(AND(IFERROR(INDIRECT("'"&amp;$D$50&amp;"'!C9")&gt;1974,0),IFERROR(INDIRECT("'"&amp;$D$50&amp;"'!C9")&lt;1992,0)),INDIRECT("'"&amp;$D$50&amp;"'!GO_2048"),0)
+IF(AND(IFERROR(INDIRECT("'"&amp;$D$51&amp;"'!C9")&gt;1974,0),IFERROR(INDIRECT("'"&amp;$D$51&amp;"'!C9")&lt;1992,0)),INDIRECT("'"&amp;$D$51&amp;"'!GO_2048"),0)
+IF(AND(IFERROR(INDIRECT("'"&amp;$D$52&amp;"'!C9")&gt;1974,0),IFERROR(INDIRECT("'"&amp;$D$52&amp;"'!C9")&lt;1992,0)),INDIRECT("'"&amp;$D$52&amp;"'!GO_2048"),0)
+IF(AND(IFERROR(INDIRECT("'"&amp;$D$53&amp;"'!C9")&gt;1974,0),IFERROR(INDIRECT("'"&amp;$D$53&amp;"'!C9")&lt;1992,0)),INDIRECT("'"&amp;$D$53&amp;"'!GO_2048"),0)
+IF(AND(IFERROR(INDIRECT("'"&amp;$D$54&amp;"'!C9")&gt;1974,0),IFERROR(INDIRECT("'"&amp;$D$54&amp;"'!C9")&lt;1992,0)),INDIRECT("'"&amp;$D$54&amp;"'!GO_2048"),0)</f>
        <v>3172.4</v>
      </c>
      <c r="AM26" s="321">
        <f ca="1">IF(AND(IFERROR(INDIRECT("'"&amp;$D$5&amp;"'!C9")&gt;1974,0),IFERROR(INDIRECT("'"&amp;$D$5&amp;"'!C9")&lt;1992,0)),INDIRECT("'"&amp;$D$5&amp;"'!GO_2049"),0)
+IF(AND(IFERROR(INDIRECT("'"&amp;$D$6&amp;"'!C9")&gt;1974,0),IFERROR(INDIRECT("'"&amp;$D$6&amp;"'!C9")&lt;1992,0)),INDIRECT("'"&amp;$D$6&amp;"'!GO_2049"),0)
+IF(AND(IFERROR(INDIRECT("'"&amp;$D$7&amp;"'!C9")&gt;1974,0),IFERROR(INDIRECT("'"&amp;$D$7&amp;"'!C9")&lt;1992,0)),INDIRECT("'"&amp;$D$7&amp;"'!GO_2049"),0)
+IF(AND(IFERROR(INDIRECT("'"&amp;$D$8&amp;"'!C9")&gt;1974,0),IFERROR(INDIRECT("'"&amp;$D$8&amp;"'!C9")&lt;1992,0)),INDIRECT("'"&amp;$D$8&amp;"'!GO_2049"),0)
+IF(AND(IFERROR(INDIRECT("'"&amp;$D$9&amp;"'!C9")&gt;1974,0),IFERROR(INDIRECT("'"&amp;$D$9&amp;"'!C9")&lt;1992,0)),INDIRECT("'"&amp;$D$9&amp;"'!GO_2049"),0)
+IF(AND(IFERROR(INDIRECT("'"&amp;$D$10&amp;"'!C9")&gt;1974,0),IFERROR(INDIRECT("'"&amp;$D$10&amp;"'!C9")&lt;1992,0)),INDIRECT("'"&amp;$D$10&amp;"'!GO_2049"),0)
+IF(AND(IFERROR(INDIRECT("'"&amp;$D$11&amp;"'!C9")&gt;1974,0),IFERROR(INDIRECT("'"&amp;$D$11&amp;"'!C9")&lt;1992,0)),INDIRECT("'"&amp;$D$11&amp;"'!GO_2049"),0)
+IF(AND(IFERROR(INDIRECT("'"&amp;$D$12&amp;"'!C9")&gt;1974,0),IFERROR(INDIRECT("'"&amp;$D$12&amp;"'!C9")&lt;1992,0)),INDIRECT("'"&amp;$D$12&amp;"'!GO_2049"),0)
+IF(AND(IFERROR(INDIRECT("'"&amp;$D$13&amp;"'!C9")&gt;1974,0),IFERROR(INDIRECT("'"&amp;$D$13&amp;"'!C9")&lt;1992,0)),INDIRECT("'"&amp;$D$13&amp;"'!GO_2049"),0)
+IF(AND(IFERROR(INDIRECT("'"&amp;$D$14&amp;"'!C9")&gt;1974,0),IFERROR(INDIRECT("'"&amp;$D$14&amp;"'!C9")&lt;1992,0)),INDIRECT("'"&amp;$D$14&amp;"'!GO_2049"),0)
+IF(AND(IFERROR(INDIRECT("'"&amp;$D$15&amp;"'!C9")&gt;1974,0),IFERROR(INDIRECT("'"&amp;$D$15&amp;"'!C9")&lt;1992,0)),INDIRECT("'"&amp;$D$15&amp;"'!GO_2049"),0)
+IF(AND(IFERROR(INDIRECT("'"&amp;$D$16&amp;"'!C9")&gt;1974,0),IFERROR(INDIRECT("'"&amp;$D$16&amp;"'!C9")&lt;1992,0)),INDIRECT("'"&amp;$D$16&amp;"'!GO_2049"),0)
+IF(AND(IFERROR(INDIRECT("'"&amp;$D$17&amp;"'!C9")&gt;1974,0),IFERROR(INDIRECT("'"&amp;$D$17&amp;"'!C9")&lt;1992,0)),INDIRECT("'"&amp;$D$17&amp;"'!GO_2049"),0)
+IF(AND(IFERROR(INDIRECT("'"&amp;$D$18&amp;"'!C9")&gt;1974,0),IFERROR(INDIRECT("'"&amp;$D$18&amp;"'!C9")&lt;1992,0)),INDIRECT("'"&amp;$D$18&amp;"'!GO_2049"),0)
+IF(AND(IFERROR(INDIRECT("'"&amp;$D$19&amp;"'!C9")&gt;1974,0),IFERROR(INDIRECT("'"&amp;$D$19&amp;"'!C9")&lt;1992,0)),INDIRECT("'"&amp;$D$19&amp;"'!GO_2049"),0)
+IF(AND(IFERROR(INDIRECT("'"&amp;$D$20&amp;"'!C9")&gt;1974,0),IFERROR(INDIRECT("'"&amp;$D$20&amp;"'!C9")&lt;1992,0)),INDIRECT("'"&amp;$D$20&amp;"'!GO_2049"),0)
+IF(AND(IFERROR(INDIRECT("'"&amp;$D$21&amp;"'!C9")&gt;1974,0),IFERROR(INDIRECT("'"&amp;$D$21&amp;"'!C9")&lt;1992,0)),INDIRECT("'"&amp;$D$21&amp;"'!GO_2049"),0)
+IF(AND(IFERROR(INDIRECT("'"&amp;$D$22&amp;"'!C9")&gt;1974,0),IFERROR(INDIRECT("'"&amp;$D$22&amp;"'!C9")&lt;1992,0)),INDIRECT("'"&amp;$D$22&amp;"'!GO_2049"),0)
+IF(AND(IFERROR(INDIRECT("'"&amp;$D$23&amp;"'!C9")&gt;1974,0),IFERROR(INDIRECT("'"&amp;$D$23&amp;"'!C9")&lt;1992,0)),INDIRECT("'"&amp;$D$23&amp;"'!GO_2049"),0)
+IF(AND(IFERROR(INDIRECT("'"&amp;$D$24&amp;"'!C9")&gt;1974,0),IFERROR(INDIRECT("'"&amp;$D$24&amp;"'!C9")&lt;1992,0)),INDIRECT("'"&amp;$D$24&amp;"'!GO_2049"),0)
+IF(AND(IFERROR(INDIRECT("'"&amp;$D$25&amp;"'!C9")&gt;1974,0),IFERROR(INDIRECT("'"&amp;$D$25&amp;"'!C9")&lt;1992,0)),INDIRECT("'"&amp;$D$25&amp;"'!GO_2049"),0)
+IF(AND(IFERROR(INDIRECT("'"&amp;$D$26&amp;"'!C9")&gt;1974,0),IFERROR(INDIRECT("'"&amp;$D$26&amp;"'!C9")&lt;1992,0)),INDIRECT("'"&amp;$D$26&amp;"'!GO_2049"),0)
+IF(AND(IFERROR(INDIRECT("'"&amp;$D$27&amp;"'!C9")&gt;1974,0),IFERROR(INDIRECT("'"&amp;$D$27&amp;"'!C9")&lt;1992,0)),INDIRECT("'"&amp;$D$27&amp;"'!GO_2049"),0)
+IF(AND(IFERROR(INDIRECT("'"&amp;$D$28&amp;"'!C9")&gt;1974,0),IFERROR(INDIRECT("'"&amp;$D$28&amp;"'!C9")&lt;1992,0)),INDIRECT("'"&amp;$D$28&amp;"'!GO_2049"),0)
+IF(AND(IFERROR(INDIRECT("'"&amp;$D$29&amp;"'!C9")&gt;1974,0),IFERROR(INDIRECT("'"&amp;$D$29&amp;"'!C9")&lt;1992,0)),INDIRECT("'"&amp;$D$29&amp;"'!GO_2049"),0)
+IF(AND(IFERROR(INDIRECT("'"&amp;$D$30&amp;"'!C9")&gt;1974,0),IFERROR(INDIRECT("'"&amp;$D$30&amp;"'!C9")&lt;1992,0)),INDIRECT("'"&amp;$D$30&amp;"'!GO_2049"),0)
+IF(AND(IFERROR(INDIRECT("'"&amp;$D$31&amp;"'!C9")&gt;1974,0),IFERROR(INDIRECT("'"&amp;$D$31&amp;"'!C9")&lt;1992,0)),INDIRECT("'"&amp;$D$31&amp;"'!GO_2049"),0)
+IF(AND(IFERROR(INDIRECT("'"&amp;$D$32&amp;"'!C9")&gt;1974,0),IFERROR(INDIRECT("'"&amp;$D$32&amp;"'!C9")&lt;1992,0)),INDIRECT("'"&amp;$D$32&amp;"'!GO_2049"),0)
+IF(AND(IFERROR(INDIRECT("'"&amp;$D$33&amp;"'!C9")&gt;1974,0),IFERROR(INDIRECT("'"&amp;$D$33&amp;"'!C9")&lt;1992,0)),INDIRECT("'"&amp;$D$33&amp;"'!GO_2049"),0)
+IF(AND(IFERROR(INDIRECT("'"&amp;$D$34&amp;"'!C9")&gt;1974,0),IFERROR(INDIRECT("'"&amp;$D$34&amp;"'!C9")&lt;1992,0)),INDIRECT("'"&amp;$D$34&amp;"'!GO_2049"),0)
+IF(AND(IFERROR(INDIRECT("'"&amp;$D$35&amp;"'!C9")&gt;1974,0),IFERROR(INDIRECT("'"&amp;$D$35&amp;"'!C9")&lt;1992,0)),INDIRECT("'"&amp;$D$35&amp;"'!GO_2049"),0)
+IF(AND(IFERROR(INDIRECT("'"&amp;$D$36&amp;"'!C9")&gt;1974,0),IFERROR(INDIRECT("'"&amp;$D$36&amp;"'!C9")&lt;1992,0)),INDIRECT("'"&amp;$D$36&amp;"'!GO_2049"),0)
+IF(AND(IFERROR(INDIRECT("'"&amp;$D$37&amp;"'!C9")&gt;1974,0),IFERROR(INDIRECT("'"&amp;$D$37&amp;"'!C9")&lt;1992,0)),INDIRECT("'"&amp;$D$37&amp;"'!GO_2049"),0)
+IF(AND(IFERROR(INDIRECT("'"&amp;$D$38&amp;"'!C9")&gt;1974,0),IFERROR(INDIRECT("'"&amp;$D$38&amp;"'!C9")&lt;1992,0)),INDIRECT("'"&amp;$D$38&amp;"'!GO_2049"),0)
+IF(AND(IFERROR(INDIRECT("'"&amp;$D$39&amp;"'!C9")&gt;1974,0),IFERROR(INDIRECT("'"&amp;$D$39&amp;"'!C9")&lt;1992,0)),INDIRECT("'"&amp;$D$39&amp;"'!GO_2049"),0)
+IF(AND(IFERROR(INDIRECT("'"&amp;$D$40&amp;"'!C9")&gt;1974,0),IFERROR(INDIRECT("'"&amp;$D$40&amp;"'!C9")&lt;1992,0)),INDIRECT("'"&amp;$D$40&amp;"'!GO_2049"),0)
+IF(AND(IFERROR(INDIRECT("'"&amp;$D$41&amp;"'!C9")&gt;1974,0),IFERROR(INDIRECT("'"&amp;$D$41&amp;"'!C9")&lt;1992,0)),INDIRECT("'"&amp;$D$41&amp;"'!GO_2049"),0)
+IF(AND(IFERROR(INDIRECT("'"&amp;$D$42&amp;"'!C9")&gt;1974,0),IFERROR(INDIRECT("'"&amp;$D$42&amp;"'!C9")&lt;1992,0)),INDIRECT("'"&amp;$D$42&amp;"'!GO_2049"),0)
+IF(AND(IFERROR(INDIRECT("'"&amp;$D$43&amp;"'!C9")&gt;1974,0),IFERROR(INDIRECT("'"&amp;$D$43&amp;"'!C9")&lt;1992,0)),INDIRECT("'"&amp;$D$43&amp;"'!GO_2049"),0)
+IF(AND(IFERROR(INDIRECT("'"&amp;$D$44&amp;"'!C9")&gt;1974,0),IFERROR(INDIRECT("'"&amp;$D$44&amp;"'!C9")&lt;1992,0)),INDIRECT("'"&amp;$D$44&amp;"'!GO_2049"),0)
+IF(AND(IFERROR(INDIRECT("'"&amp;$D$45&amp;"'!C9")&gt;1974,0),IFERROR(INDIRECT("'"&amp;$D$45&amp;"'!C9")&lt;1992,0)),INDIRECT("'"&amp;$D$45&amp;"'!GO_2049"),0)
+IF(AND(IFERROR(INDIRECT("'"&amp;$D$46&amp;"'!C9")&gt;1974,0),IFERROR(INDIRECT("'"&amp;$D$46&amp;"'!C9")&lt;1992,0)),INDIRECT("'"&amp;$D$46&amp;"'!GO_2049"),0)
+IF(AND(IFERROR(INDIRECT("'"&amp;$D$47&amp;"'!C9")&gt;1974,0),IFERROR(INDIRECT("'"&amp;$D$47&amp;"'!C9")&lt;1992,0)),INDIRECT("'"&amp;$D$47&amp;"'!GO_2049"),0)
+IF(AND(IFERROR(INDIRECT("'"&amp;$D$48&amp;"'!C9")&gt;1974,0),IFERROR(INDIRECT("'"&amp;$D$48&amp;"'!C9")&lt;1992,0)),INDIRECT("'"&amp;$D$48&amp;"'!GO_2049"),0)
+IF(AND(IFERROR(INDIRECT("'"&amp;$D$49&amp;"'!C9")&gt;1974,0),IFERROR(INDIRECT("'"&amp;$D$49&amp;"'!C9")&lt;1992,0)),INDIRECT("'"&amp;$D$49&amp;"'!GO_2049"),0)
+IF(AND(IFERROR(INDIRECT("'"&amp;$D$50&amp;"'!C9")&gt;1974,0),IFERROR(INDIRECT("'"&amp;$D$50&amp;"'!C9")&lt;1992,0)),INDIRECT("'"&amp;$D$50&amp;"'!GO_2049"),0)
+IF(AND(IFERROR(INDIRECT("'"&amp;$D$51&amp;"'!C9")&gt;1974,0),IFERROR(INDIRECT("'"&amp;$D$51&amp;"'!C9")&lt;1992,0)),INDIRECT("'"&amp;$D$51&amp;"'!GO_2049"),0)
+IF(AND(IFERROR(INDIRECT("'"&amp;$D$52&amp;"'!C9")&gt;1974,0),IFERROR(INDIRECT("'"&amp;$D$52&amp;"'!C9")&lt;1992,0)),INDIRECT("'"&amp;$D$52&amp;"'!GO_2049"),0)
+IF(AND(IFERROR(INDIRECT("'"&amp;$D$53&amp;"'!C9")&gt;1974,0),IFERROR(INDIRECT("'"&amp;$D$53&amp;"'!C9")&lt;1992,0)),INDIRECT("'"&amp;$D$53&amp;"'!GO_2049"),0)
+IF(AND(IFERROR(INDIRECT("'"&amp;$D$54&amp;"'!C9")&gt;1974,0),IFERROR(INDIRECT("'"&amp;$D$54&amp;"'!C9")&lt;1992,0)),INDIRECT("'"&amp;$D$54&amp;"'!GO_2049"),0)</f>
        <v>3172.4</v>
      </c>
      <c r="AN26" s="321">
        <f ca="1">IF(AND(IFERROR(INDIRECT("'"&amp;$D$5&amp;"'!C9")&gt;1974,0),IFERROR(INDIRECT("'"&amp;$D$5&amp;"'!C9")&lt;1992,0)),INDIRECT("'"&amp;$D$5&amp;"'!GO_2050"),0)
+IF(AND(IFERROR(INDIRECT("'"&amp;$D$6&amp;"'!C9")&gt;1974,0),IFERROR(INDIRECT("'"&amp;$D$6&amp;"'!C9")&lt;1992,0)),INDIRECT("'"&amp;$D$6&amp;"'!GO_2050"),0)
+IF(AND(IFERROR(INDIRECT("'"&amp;$D$7&amp;"'!C9")&gt;1974,0),IFERROR(INDIRECT("'"&amp;$D$7&amp;"'!C9")&lt;1992,0)),INDIRECT("'"&amp;$D$7&amp;"'!GO_2050"),0)
+IF(AND(IFERROR(INDIRECT("'"&amp;$D$8&amp;"'!C9")&gt;1974,0),IFERROR(INDIRECT("'"&amp;$D$8&amp;"'!C9")&lt;1992,0)),INDIRECT("'"&amp;$D$8&amp;"'!GO_2050"),0)
+IF(AND(IFERROR(INDIRECT("'"&amp;$D$9&amp;"'!C9")&gt;1974,0),IFERROR(INDIRECT("'"&amp;$D$9&amp;"'!C9")&lt;1992,0)),INDIRECT("'"&amp;$D$9&amp;"'!GO_2050"),0)
+IF(AND(IFERROR(INDIRECT("'"&amp;$D$10&amp;"'!C9")&gt;1974,0),IFERROR(INDIRECT("'"&amp;$D$10&amp;"'!C9")&lt;1992,0)),INDIRECT("'"&amp;$D$10&amp;"'!GO_2050"),0)
+IF(AND(IFERROR(INDIRECT("'"&amp;$D$11&amp;"'!C9")&gt;1974,0),IFERROR(INDIRECT("'"&amp;$D$11&amp;"'!C9")&lt;1992,0)),INDIRECT("'"&amp;$D$11&amp;"'!GO_2050"),0)
+IF(AND(IFERROR(INDIRECT("'"&amp;$D$12&amp;"'!C9")&gt;1974,0),IFERROR(INDIRECT("'"&amp;$D$12&amp;"'!C9")&lt;1992,0)),INDIRECT("'"&amp;$D$12&amp;"'!GO_2050"),0)
+IF(AND(IFERROR(INDIRECT("'"&amp;$D$13&amp;"'!C9")&gt;1974,0),IFERROR(INDIRECT("'"&amp;$D$13&amp;"'!C9")&lt;1992,0)),INDIRECT("'"&amp;$D$13&amp;"'!GO_2050"),0)
+IF(AND(IFERROR(INDIRECT("'"&amp;$D$14&amp;"'!C9")&gt;1974,0),IFERROR(INDIRECT("'"&amp;$D$14&amp;"'!C9")&lt;1992,0)),INDIRECT("'"&amp;$D$14&amp;"'!GO_2050"),0)
+IF(AND(IFERROR(INDIRECT("'"&amp;$D$15&amp;"'!C9")&gt;1974,0),IFERROR(INDIRECT("'"&amp;$D$15&amp;"'!C9")&lt;1992,0)),INDIRECT("'"&amp;$D$15&amp;"'!GO_2050"),0)
+IF(AND(IFERROR(INDIRECT("'"&amp;$D$16&amp;"'!C9")&gt;1974,0),IFERROR(INDIRECT("'"&amp;$D$16&amp;"'!C9")&lt;1992,0)),INDIRECT("'"&amp;$D$16&amp;"'!GO_2050"),0)
+IF(AND(IFERROR(INDIRECT("'"&amp;$D$17&amp;"'!C9")&gt;1974,0),IFERROR(INDIRECT("'"&amp;$D$17&amp;"'!C9")&lt;1992,0)),INDIRECT("'"&amp;$D$17&amp;"'!GO_2050"),0)
+IF(AND(IFERROR(INDIRECT("'"&amp;$D$18&amp;"'!C9")&gt;1974,0),IFERROR(INDIRECT("'"&amp;$D$18&amp;"'!C9")&lt;1992,0)),INDIRECT("'"&amp;$D$18&amp;"'!GO_2050"),0)
+IF(AND(IFERROR(INDIRECT("'"&amp;$D$19&amp;"'!C9")&gt;1974,0),IFERROR(INDIRECT("'"&amp;$D$19&amp;"'!C9")&lt;1992,0)),INDIRECT("'"&amp;$D$19&amp;"'!GO_2050"),0)
+IF(AND(IFERROR(INDIRECT("'"&amp;$D$20&amp;"'!C9")&gt;1974,0),IFERROR(INDIRECT("'"&amp;$D$20&amp;"'!C9")&lt;1992,0)),INDIRECT("'"&amp;$D$20&amp;"'!GO_2050"),0)
+IF(AND(IFERROR(INDIRECT("'"&amp;$D$21&amp;"'!C9")&gt;1974,0),IFERROR(INDIRECT("'"&amp;$D$21&amp;"'!C9")&lt;1992,0)),INDIRECT("'"&amp;$D$21&amp;"'!GO_2050"),0)
+IF(AND(IFERROR(INDIRECT("'"&amp;$D$22&amp;"'!C9")&gt;1974,0),IFERROR(INDIRECT("'"&amp;$D$22&amp;"'!C9")&lt;1992,0)),INDIRECT("'"&amp;$D$22&amp;"'!GO_2050"),0)
+IF(AND(IFERROR(INDIRECT("'"&amp;$D$23&amp;"'!C9")&gt;1974,0),IFERROR(INDIRECT("'"&amp;$D$23&amp;"'!C9")&lt;1992,0)),INDIRECT("'"&amp;$D$23&amp;"'!GO_2050"),0)
+IF(AND(IFERROR(INDIRECT("'"&amp;$D$24&amp;"'!C9")&gt;1974,0),IFERROR(INDIRECT("'"&amp;$D$24&amp;"'!C9")&lt;1992,0)),INDIRECT("'"&amp;$D$24&amp;"'!GO_2050"),0)
+IF(AND(IFERROR(INDIRECT("'"&amp;$D$25&amp;"'!C9")&gt;1974,0),IFERROR(INDIRECT("'"&amp;$D$25&amp;"'!C9")&lt;1992,0)),INDIRECT("'"&amp;$D$25&amp;"'!GO_2050"),0)
+IF(AND(IFERROR(INDIRECT("'"&amp;$D$26&amp;"'!C9")&gt;1974,0),IFERROR(INDIRECT("'"&amp;$D$26&amp;"'!C9")&lt;1992,0)),INDIRECT("'"&amp;$D$26&amp;"'!GO_2050"),0)
+IF(AND(IFERROR(INDIRECT("'"&amp;$D$27&amp;"'!C9")&gt;1974,0),IFERROR(INDIRECT("'"&amp;$D$27&amp;"'!C9")&lt;1992,0)),INDIRECT("'"&amp;$D$27&amp;"'!GO_2050"),0)
+IF(AND(IFERROR(INDIRECT("'"&amp;$D$28&amp;"'!C9")&gt;1974,0),IFERROR(INDIRECT("'"&amp;$D$28&amp;"'!C9")&lt;1992,0)),INDIRECT("'"&amp;$D$28&amp;"'!GO_2050"),0)
+IF(AND(IFERROR(INDIRECT("'"&amp;$D$29&amp;"'!C9")&gt;1974,0),IFERROR(INDIRECT("'"&amp;$D$29&amp;"'!C9")&lt;1992,0)),INDIRECT("'"&amp;$D$29&amp;"'!GO_2050"),0)
+IF(AND(IFERROR(INDIRECT("'"&amp;$D$30&amp;"'!C9")&gt;1974,0),IFERROR(INDIRECT("'"&amp;$D$30&amp;"'!C9")&lt;1992,0)),INDIRECT("'"&amp;$D$30&amp;"'!GO_2050"),0)
+IF(AND(IFERROR(INDIRECT("'"&amp;$D$31&amp;"'!C9")&gt;1974,0),IFERROR(INDIRECT("'"&amp;$D$31&amp;"'!C9")&lt;1992,0)),INDIRECT("'"&amp;$D$31&amp;"'!GO_2050"),0)
+IF(AND(IFERROR(INDIRECT("'"&amp;$D$32&amp;"'!C9")&gt;1974,0),IFERROR(INDIRECT("'"&amp;$D$32&amp;"'!C9")&lt;1992,0)),INDIRECT("'"&amp;$D$32&amp;"'!GO_2050"),0)
+IF(AND(IFERROR(INDIRECT("'"&amp;$D$33&amp;"'!C9")&gt;1974,0),IFERROR(INDIRECT("'"&amp;$D$33&amp;"'!C9")&lt;1992,0)),INDIRECT("'"&amp;$D$33&amp;"'!GO_2050"),0)
+IF(AND(IFERROR(INDIRECT("'"&amp;$D$34&amp;"'!C9")&gt;1974,0),IFERROR(INDIRECT("'"&amp;$D$34&amp;"'!C9")&lt;1992,0)),INDIRECT("'"&amp;$D$34&amp;"'!GO_2050"),0)
+IF(AND(IFERROR(INDIRECT("'"&amp;$D$35&amp;"'!C9")&gt;1974,0),IFERROR(INDIRECT("'"&amp;$D$35&amp;"'!C9")&lt;1992,0)),INDIRECT("'"&amp;$D$35&amp;"'!GO_2050"),0)
+IF(AND(IFERROR(INDIRECT("'"&amp;$D$36&amp;"'!C9")&gt;1974,0),IFERROR(INDIRECT("'"&amp;$D$36&amp;"'!C9")&lt;1992,0)),INDIRECT("'"&amp;$D$36&amp;"'!GO_2050"),0)
+IF(AND(IFERROR(INDIRECT("'"&amp;$D$37&amp;"'!C9")&gt;1974,0),IFERROR(INDIRECT("'"&amp;$D$37&amp;"'!C9")&lt;1992,0)),INDIRECT("'"&amp;$D$37&amp;"'!GO_2050"),0)
+IF(AND(IFERROR(INDIRECT("'"&amp;$D$38&amp;"'!C9")&gt;1974,0),IFERROR(INDIRECT("'"&amp;$D$38&amp;"'!C9")&lt;1992,0)),INDIRECT("'"&amp;$D$38&amp;"'!GO_2050"),0)
+IF(AND(IFERROR(INDIRECT("'"&amp;$D$39&amp;"'!C9")&gt;1974,0),IFERROR(INDIRECT("'"&amp;$D$39&amp;"'!C9")&lt;1992,0)),INDIRECT("'"&amp;$D$39&amp;"'!GO_2050"),0)
+IF(AND(IFERROR(INDIRECT("'"&amp;$D$40&amp;"'!C9")&gt;1974,0),IFERROR(INDIRECT("'"&amp;$D$40&amp;"'!C9")&lt;1992,0)),INDIRECT("'"&amp;$D$40&amp;"'!GO_2050"),0)
+IF(AND(IFERROR(INDIRECT("'"&amp;$D$41&amp;"'!C9")&gt;1974,0),IFERROR(INDIRECT("'"&amp;$D$41&amp;"'!C9")&lt;1992,0)),INDIRECT("'"&amp;$D$41&amp;"'!GO_2050"),0)
+IF(AND(IFERROR(INDIRECT("'"&amp;$D$42&amp;"'!C9")&gt;1974,0),IFERROR(INDIRECT("'"&amp;$D$42&amp;"'!C9")&lt;1992,0)),INDIRECT("'"&amp;$D$42&amp;"'!GO_2050"),0)
+IF(AND(IFERROR(INDIRECT("'"&amp;$D$43&amp;"'!C9")&gt;1974,0),IFERROR(INDIRECT("'"&amp;$D$43&amp;"'!C9")&lt;1992,0)),INDIRECT("'"&amp;$D$43&amp;"'!GO_2050"),0)
+IF(AND(IFERROR(INDIRECT("'"&amp;$D$44&amp;"'!C9")&gt;1974,0),IFERROR(INDIRECT("'"&amp;$D$44&amp;"'!C9")&lt;1992,0)),INDIRECT("'"&amp;$D$44&amp;"'!GO_2050"),0)
+IF(AND(IFERROR(INDIRECT("'"&amp;$D$45&amp;"'!C9")&gt;1974,0),IFERROR(INDIRECT("'"&amp;$D$45&amp;"'!C9")&lt;1992,0)),INDIRECT("'"&amp;$D$45&amp;"'!GO_2050"),0)
+IF(AND(IFERROR(INDIRECT("'"&amp;$D$46&amp;"'!C9")&gt;1974,0),IFERROR(INDIRECT("'"&amp;$D$46&amp;"'!C9")&lt;1992,0)),INDIRECT("'"&amp;$D$46&amp;"'!GO_2050"),0)
+IF(AND(IFERROR(INDIRECT("'"&amp;$D$47&amp;"'!C9")&gt;1974,0),IFERROR(INDIRECT("'"&amp;$D$47&amp;"'!C9")&lt;1992,0)),INDIRECT("'"&amp;$D$47&amp;"'!GO_2050"),0)
+IF(AND(IFERROR(INDIRECT("'"&amp;$D$48&amp;"'!C9")&gt;1974,0),IFERROR(INDIRECT("'"&amp;$D$48&amp;"'!C9")&lt;1992,0)),INDIRECT("'"&amp;$D$48&amp;"'!GO_2050"),0)
+IF(AND(IFERROR(INDIRECT("'"&amp;$D$49&amp;"'!C9")&gt;1974,0),IFERROR(INDIRECT("'"&amp;$D$49&amp;"'!C9")&lt;1992,0)),INDIRECT("'"&amp;$D$49&amp;"'!GO_2050"),0)
+IF(AND(IFERROR(INDIRECT("'"&amp;$D$50&amp;"'!C9")&gt;1974,0),IFERROR(INDIRECT("'"&amp;$D$50&amp;"'!C9")&lt;1992,0)),INDIRECT("'"&amp;$D$50&amp;"'!GO_2050"),0)
+IF(AND(IFERROR(INDIRECT("'"&amp;$D$51&amp;"'!C9")&gt;1974,0),IFERROR(INDIRECT("'"&amp;$D$51&amp;"'!C9")&lt;1992,0)),INDIRECT("'"&amp;$D$51&amp;"'!GO_2050"),0)
+IF(AND(IFERROR(INDIRECT("'"&amp;$D$52&amp;"'!C9")&gt;1974,0),IFERROR(INDIRECT("'"&amp;$D$52&amp;"'!C9")&lt;1992,0)),INDIRECT("'"&amp;$D$52&amp;"'!GO_2050"),0)
+IF(AND(IFERROR(INDIRECT("'"&amp;$D$53&amp;"'!C9")&gt;1974,0),IFERROR(INDIRECT("'"&amp;$D$53&amp;"'!C9")&lt;1992,0)),INDIRECT("'"&amp;$D$53&amp;"'!GO_2050"),0)
+IF(AND(IFERROR(INDIRECT("'"&amp;$D$54&amp;"'!C9")&gt;1974,0),IFERROR(INDIRECT("'"&amp;$D$54&amp;"'!C9")&lt;1992,0)),INDIRECT("'"&amp;$D$54&amp;"'!GO_2050"),0)</f>
        <v>3172.4</v>
      </c>
      <c r="AO26" s="123"/>
    </row>
    <row r="27" spans="2:41" ht="18.75">
      <c r="B27" s="8"/>
      <c r="C27" s="279" t="s">
        <v>64</v>
      </c>
      <c r="D27" s="115"/>
      <c r="E27" s="8"/>
      <c r="F27" s="8"/>
      <c r="G27" s="297" t="s">
        <v>37</v>
      </c>
      <c r="H27" s="321">
        <f ca="1">IF(AND(IFERROR(INDIRECT("'"&amp;$D$5&amp;"'!C9")&gt;1991,0),IFERROR(INDIRECT("'"&amp;$D$5&amp;"'!C9")&lt;2021,0)),INDIRECT("'"&amp;$D$5&amp;"'!GO_2018"),0)
+IF(AND(IFERROR(INDIRECT("'"&amp;$D$6&amp;"'!C9")&gt;1991,0),IFERROR(INDIRECT("'"&amp;$D$6&amp;"'!C9")&lt;2021,0)),INDIRECT("'"&amp;$D$6&amp;"'!GO_2018"),0)
+IF(AND(IFERROR(INDIRECT("'"&amp;$D$7&amp;"'!C9")&gt;1991,0),IFERROR(INDIRECT("'"&amp;$D$7&amp;"'!C9")&lt;2021,0)),INDIRECT("'"&amp;$D$7&amp;"'!GO_2018"),0)
+IF(AND(IFERROR(INDIRECT("'"&amp;$D$8&amp;"'!C9")&gt;1991,0),IFERROR(INDIRECT("'"&amp;$D$8&amp;"'!C9")&lt;2021,0)),INDIRECT("'"&amp;$D$8&amp;"'!GO_2018"),0)
+IF(AND(IFERROR(INDIRECT("'"&amp;$D$9&amp;"'!C9")&gt;1991,0),IFERROR(INDIRECT("'"&amp;$D$9&amp;"'!C9")&lt;2021,0)),INDIRECT("'"&amp;$D$9&amp;"'!GO_2018"),0)
+IF(AND(IFERROR(INDIRECT("'"&amp;$D$10&amp;"'!C9")&gt;1991,0),IFERROR(INDIRECT("'"&amp;$D$10&amp;"'!C9")&lt;2021,0)),INDIRECT("'"&amp;$D$10&amp;"'!GO_2018"),0)
+IF(AND(IFERROR(INDIRECT("'"&amp;$D$11&amp;"'!C9")&gt;1991,0),IFERROR(INDIRECT("'"&amp;$D$11&amp;"'!C9")&lt;2021,0)),INDIRECT("'"&amp;$D$11&amp;"'!GO_2018"),0)
+IF(AND(IFERROR(INDIRECT("'"&amp;$D$12&amp;"'!C9")&gt;1991,0),IFERROR(INDIRECT("'"&amp;$D$12&amp;"'!C9")&lt;2021,0)),INDIRECT("'"&amp;$D$12&amp;"'!GO_2018"),0)
+IF(AND(IFERROR(INDIRECT("'"&amp;$D$13&amp;"'!C9")&gt;1991,0),IFERROR(INDIRECT("'"&amp;$D$13&amp;"'!C9")&lt;2021,0)),INDIRECT("'"&amp;$D$13&amp;"'!GO_2018"),0)
+IF(AND(IFERROR(INDIRECT("'"&amp;$D$14&amp;"'!C9")&gt;1991,0),IFERROR(INDIRECT("'"&amp;$D$14&amp;"'!C9")&lt;2021,0)),INDIRECT("'"&amp;$D$14&amp;"'!GO_2018"),0)
+IF(AND(IFERROR(INDIRECT("'"&amp;$D$15&amp;"'!C9")&gt;1991,0),IFERROR(INDIRECT("'"&amp;$D$15&amp;"'!C9")&lt;2021,0)),INDIRECT("'"&amp;$D$15&amp;"'!GO_2018"),0)
+IF(AND(IFERROR(INDIRECT("'"&amp;$D$16&amp;"'!C9")&gt;1991,0),IFERROR(INDIRECT("'"&amp;$D$16&amp;"'!C9")&lt;2021,0)),INDIRECT("'"&amp;$D$16&amp;"'!GO_2018"),0)
+IF(AND(IFERROR(INDIRECT("'"&amp;$D$17&amp;"'!C9")&gt;1991,0),IFERROR(INDIRECT("'"&amp;$D$17&amp;"'!C9")&lt;2021,0)),INDIRECT("'"&amp;$D$17&amp;"'!GO_2018"),0)
+IF(AND(IFERROR(INDIRECT("'"&amp;$D$18&amp;"'!C9")&gt;1991,0),IFERROR(INDIRECT("'"&amp;$D$18&amp;"'!C9")&lt;2021,0)),INDIRECT("'"&amp;$D$18&amp;"'!GO_2018"),0)
+IF(AND(IFERROR(INDIRECT("'"&amp;$D$19&amp;"'!C9")&gt;1991,0),IFERROR(INDIRECT("'"&amp;$D$19&amp;"'!C9")&lt;2021,0)),INDIRECT("'"&amp;$D$19&amp;"'!GO_2018"),0)
+IF(AND(IFERROR(INDIRECT("'"&amp;$D$20&amp;"'!C9")&gt;1991,0),IFERROR(INDIRECT("'"&amp;$D$20&amp;"'!C9")&lt;2021,0)),INDIRECT("'"&amp;$D$20&amp;"'!GO_2018"),0)
+IF(AND(IFERROR(INDIRECT("'"&amp;$D$21&amp;"'!C9")&gt;1991,0),IFERROR(INDIRECT("'"&amp;$D$21&amp;"'!C9")&lt;2021,0)),INDIRECT("'"&amp;$D$21&amp;"'!GO_2018"),0)
+IF(AND(IFERROR(INDIRECT("'"&amp;$D$22&amp;"'!C9")&gt;1991,0),IFERROR(INDIRECT("'"&amp;$D$22&amp;"'!C9")&lt;2021,0)),INDIRECT("'"&amp;$D$22&amp;"'!GO_2018"),0)
+IF(AND(IFERROR(INDIRECT("'"&amp;$D$23&amp;"'!C9")&gt;1991,0),IFERROR(INDIRECT("'"&amp;$D$23&amp;"'!C9")&lt;2021,0)),INDIRECT("'"&amp;$D$23&amp;"'!GO_2018"),0)
+IF(AND(IFERROR(INDIRECT("'"&amp;$D$24&amp;"'!C9")&gt;1991,0),IFERROR(INDIRECT("'"&amp;$D$24&amp;"'!C9")&lt;2021,0)),INDIRECT("'"&amp;$D$24&amp;"'!GO_2018"),0)
+IF(AND(IFERROR(INDIRECT("'"&amp;$D$25&amp;"'!C9")&gt;1991,0),IFERROR(INDIRECT("'"&amp;$D$25&amp;"'!C9")&lt;2021,0)),INDIRECT("'"&amp;$D$25&amp;"'!GO_2018"),0)
+IF(AND(IFERROR(INDIRECT("'"&amp;$D$26&amp;"'!C9")&gt;1991,0),IFERROR(INDIRECT("'"&amp;$D$26&amp;"'!C9")&lt;2021,0)),INDIRECT("'"&amp;$D$26&amp;"'!GO_2018"),0)
+IF(AND(IFERROR(INDIRECT("'"&amp;$D$27&amp;"'!C9")&gt;1991,0),IFERROR(INDIRECT("'"&amp;$D$27&amp;"'!C9")&lt;2021,0)),INDIRECT("'"&amp;$D$27&amp;"'!GO_2018"),0)
+IF(AND(IFERROR(INDIRECT("'"&amp;$D$28&amp;"'!C9")&gt;1991,0),IFERROR(INDIRECT("'"&amp;$D$28&amp;"'!C9")&lt;2021,0)),INDIRECT("'"&amp;$D$28&amp;"'!GO_2018"),0)
+IF(AND(IFERROR(INDIRECT("'"&amp;$D$29&amp;"'!C9")&gt;1991,0),IFERROR(INDIRECT("'"&amp;$D$29&amp;"'!C9")&lt;2021,0)),INDIRECT("'"&amp;$D$29&amp;"'!GO_2018"),0)
+IF(AND(IFERROR(INDIRECT("'"&amp;$D$30&amp;"'!C9")&gt;1991,0),IFERROR(INDIRECT("'"&amp;$D$30&amp;"'!C9")&lt;2021,0)),INDIRECT("'"&amp;$D$30&amp;"'!GO_2018"),0)
+IF(AND(IFERROR(INDIRECT("'"&amp;$D$31&amp;"'!C9")&gt;1991,0),IFERROR(INDIRECT("'"&amp;$D$31&amp;"'!C9")&lt;2021,0)),INDIRECT("'"&amp;$D$31&amp;"'!GO_2018"),0)
+IF(AND(IFERROR(INDIRECT("'"&amp;$D$32&amp;"'!C9")&gt;1991,0),IFERROR(INDIRECT("'"&amp;$D$32&amp;"'!C9")&lt;2021,0)),INDIRECT("'"&amp;$D$32&amp;"'!GO_2018"),0)
+IF(AND(IFERROR(INDIRECT("'"&amp;$D$33&amp;"'!C9")&gt;1991,0),IFERROR(INDIRECT("'"&amp;$D$33&amp;"'!C9")&lt;2021,0)),INDIRECT("'"&amp;$D$33&amp;"'!GO_2018"),0)
+IF(AND(IFERROR(INDIRECT("'"&amp;$D$34&amp;"'!C9")&gt;1991,0),IFERROR(INDIRECT("'"&amp;$D$34&amp;"'!C9")&lt;2021,0)),INDIRECT("'"&amp;$D$34&amp;"'!GO_2018"),0)
+IF(AND(IFERROR(INDIRECT("'"&amp;$D$35&amp;"'!C9")&gt;1991,0),IFERROR(INDIRECT("'"&amp;$D$35&amp;"'!C9")&lt;2021,0)),INDIRECT("'"&amp;$D$35&amp;"'!GO_2018"),0)
+IF(AND(IFERROR(INDIRECT("'"&amp;$D$36&amp;"'!C9")&gt;1991,0),IFERROR(INDIRECT("'"&amp;$D$36&amp;"'!C9")&lt;2021,0)),INDIRECT("'"&amp;$D$36&amp;"'!GO_2018"),0)
+IF(AND(IFERROR(INDIRECT("'"&amp;$D$37&amp;"'!C9")&gt;1991,0),IFERROR(INDIRECT("'"&amp;$D$37&amp;"'!C9")&lt;2021,0)),INDIRECT("'"&amp;$D$37&amp;"'!GO_2018"),0)
+IF(AND(IFERROR(INDIRECT("'"&amp;$D$38&amp;"'!C9")&gt;1991,0),IFERROR(INDIRECT("'"&amp;$D$38&amp;"'!C9")&lt;2021,0)),INDIRECT("'"&amp;$D$38&amp;"'!GO_2018"),0)
+IF(AND(IFERROR(INDIRECT("'"&amp;$D$39&amp;"'!C9")&gt;1991,0),IFERROR(INDIRECT("'"&amp;$D$39&amp;"'!C9")&lt;2021,0)),INDIRECT("'"&amp;$D$39&amp;"'!GO_2018"),0)
+IF(AND(IFERROR(INDIRECT("'"&amp;$D$40&amp;"'!C9")&gt;1991,0),IFERROR(INDIRECT("'"&amp;$D$40&amp;"'!C9")&lt;2021,0)),INDIRECT("'"&amp;$D$40&amp;"'!GO_2018"),0)
+IF(AND(IFERROR(INDIRECT("'"&amp;$D$41&amp;"'!C9")&gt;1991,0),IFERROR(INDIRECT("'"&amp;$D$41&amp;"'!C9")&lt;2021,0)),INDIRECT("'"&amp;$D$41&amp;"'!GO_2018"),0)
+IF(AND(IFERROR(INDIRECT("'"&amp;$D$42&amp;"'!C9")&gt;1991,0),IFERROR(INDIRECT("'"&amp;$D$42&amp;"'!C9")&lt;2021,0)),INDIRECT("'"&amp;$D$42&amp;"'!GO_2018"),0)
+IF(AND(IFERROR(INDIRECT("'"&amp;$D$43&amp;"'!C9")&gt;1991,0),IFERROR(INDIRECT("'"&amp;$D$43&amp;"'!C9")&lt;2021,0)),INDIRECT("'"&amp;$D$43&amp;"'!GO_2018"),0)
+IF(AND(IFERROR(INDIRECT("'"&amp;$D$44&amp;"'!C9")&gt;1991,0),IFERROR(INDIRECT("'"&amp;$D$44&amp;"'!C9")&lt;2021,0)),INDIRECT("'"&amp;$D$44&amp;"'!GO_2018"),0)
+IF(AND(IFERROR(INDIRECT("'"&amp;$D$45&amp;"'!C9")&gt;1991,0),IFERROR(INDIRECT("'"&amp;$D$45&amp;"'!C9")&lt;2021,0)),INDIRECT("'"&amp;$D$45&amp;"'!GO_2018"),0)
+IF(AND(IFERROR(INDIRECT("'"&amp;$D$46&amp;"'!C9")&gt;1991,0),IFERROR(INDIRECT("'"&amp;$D$46&amp;"'!C9")&lt;2021,0)),INDIRECT("'"&amp;$D$46&amp;"'!GO_2018"),0)
+IF(AND(IFERROR(INDIRECT("'"&amp;$D$47&amp;"'!C9")&gt;1991,0),IFERROR(INDIRECT("'"&amp;$D$47&amp;"'!C9")&lt;2021,0)),INDIRECT("'"&amp;$D$47&amp;"'!GO_2018"),0)
+IF(AND(IFERROR(INDIRECT("'"&amp;$D$48&amp;"'!C9")&gt;1991,0),IFERROR(INDIRECT("'"&amp;$D$48&amp;"'!C9")&lt;2021,0)),INDIRECT("'"&amp;$D$48&amp;"'!GO_2018"),0)
+IF(AND(IFERROR(INDIRECT("'"&amp;$D$49&amp;"'!C9")&gt;1991,0),IFERROR(INDIRECT("'"&amp;$D$49&amp;"'!C9")&lt;2021,0)),INDIRECT("'"&amp;$D$49&amp;"'!GO_2018"),0)
+IF(AND(IFERROR(INDIRECT("'"&amp;$D$50&amp;"'!C9")&gt;1991,0),IFERROR(INDIRECT("'"&amp;$D$50&amp;"'!C9")&lt;2021,0)),INDIRECT("'"&amp;$D$50&amp;"'!GO_2018"),0)
+IF(AND(IFERROR(INDIRECT("'"&amp;$D$51&amp;"'!C9")&gt;1991,0),IFERROR(INDIRECT("'"&amp;$D$51&amp;"'!C9")&lt;2021,0)),INDIRECT("'"&amp;$D$51&amp;"'!GO_2018"),0)
+IF(AND(IFERROR(INDIRECT("'"&amp;$D$52&amp;"'!C9")&gt;1991,0),IFERROR(INDIRECT("'"&amp;$D$52&amp;"'!C9")&lt;2021,0)),INDIRECT("'"&amp;$D$52&amp;"'!GO_2018"),0)
+IF(AND(IFERROR(INDIRECT("'"&amp;$D$53&amp;"'!C9")&gt;1991,0),IFERROR(INDIRECT("'"&amp;$D$53&amp;"'!C9")&lt;2021,0)),INDIRECT("'"&amp;$D$53&amp;"'!GO_2018"),0)
+IF(AND(IFERROR(INDIRECT("'"&amp;$D$54&amp;"'!C9")&gt;1991,0),IFERROR(INDIRECT("'"&amp;$D$54&amp;"'!C9")&lt;2021,0)),INDIRECT("'"&amp;$D$54&amp;"'!GO_2018"),0)</f>
        <v>0</v>
      </c>
      <c r="I27" s="321">
        <f ca="1">IF(AND(IFERROR(INDIRECT("'"&amp;$D$5&amp;"'!C9")&gt;1991,0),IFERROR(INDIRECT("'"&amp;$D$5&amp;"'!C9")&lt;2021,0)),INDIRECT("'"&amp;$D$5&amp;"'!GO_2019"),0)
+IF(AND(IFERROR(INDIRECT("'"&amp;$D$6&amp;"'!C9")&gt;1991,0),IFERROR(INDIRECT("'"&amp;$D$6&amp;"'!C9")&lt;2021,0)),INDIRECT("'"&amp;$D$6&amp;"'!GO_2019"),0)
+IF(AND(IFERROR(INDIRECT("'"&amp;$D$7&amp;"'!C9")&gt;1991,0),IFERROR(INDIRECT("'"&amp;$D$7&amp;"'!C9")&lt;2021,0)),INDIRECT("'"&amp;$D$7&amp;"'!GO_2019"),0)
+IF(AND(IFERROR(INDIRECT("'"&amp;$D$8&amp;"'!C9")&gt;1991,0),IFERROR(INDIRECT("'"&amp;$D$8&amp;"'!C9")&lt;2021,0)),INDIRECT("'"&amp;$D$8&amp;"'!GO_2019"),0)
+IF(AND(IFERROR(INDIRECT("'"&amp;$D$9&amp;"'!C9")&gt;1991,0),IFERROR(INDIRECT("'"&amp;$D$9&amp;"'!C9")&lt;2021,0)),INDIRECT("'"&amp;$D$9&amp;"'!GO_2019"),0)
+IF(AND(IFERROR(INDIRECT("'"&amp;$D$10&amp;"'!C9")&gt;1991,0),IFERROR(INDIRECT("'"&amp;$D$10&amp;"'!C9")&lt;2021,0)),INDIRECT("'"&amp;$D$10&amp;"'!GO_2019"),0)
+IF(AND(IFERROR(INDIRECT("'"&amp;$D$11&amp;"'!C9")&gt;1991,0),IFERROR(INDIRECT("'"&amp;$D$11&amp;"'!C9")&lt;2021,0)),INDIRECT("'"&amp;$D$11&amp;"'!GO_2019"),0)
+IF(AND(IFERROR(INDIRECT("'"&amp;$D$12&amp;"'!C9")&gt;1991,0),IFERROR(INDIRECT("'"&amp;$D$12&amp;"'!C9")&lt;2021,0)),INDIRECT("'"&amp;$D$12&amp;"'!GO_2019"),0)
+IF(AND(IFERROR(INDIRECT("'"&amp;$D$13&amp;"'!C9")&gt;1991,0),IFERROR(INDIRECT("'"&amp;$D$13&amp;"'!C9")&lt;2021,0)),INDIRECT("'"&amp;$D$13&amp;"'!GO_2019"),0)
+IF(AND(IFERROR(INDIRECT("'"&amp;$D$14&amp;"'!C9")&gt;1991,0),IFERROR(INDIRECT("'"&amp;$D$14&amp;"'!C9")&lt;2021,0)),INDIRECT("'"&amp;$D$14&amp;"'!GO_2019"),0)
+IF(AND(IFERROR(INDIRECT("'"&amp;$D$15&amp;"'!C9")&gt;1991,0),IFERROR(INDIRECT("'"&amp;$D$15&amp;"'!C9")&lt;2021,0)),INDIRECT("'"&amp;$D$15&amp;"'!GO_2019"),0)
+IF(AND(IFERROR(INDIRECT("'"&amp;$D$16&amp;"'!C9")&gt;1991,0),IFERROR(INDIRECT("'"&amp;$D$16&amp;"'!C9")&lt;2021,0)),INDIRECT("'"&amp;$D$16&amp;"'!GO_2019"),0)
+IF(AND(IFERROR(INDIRECT("'"&amp;$D$17&amp;"'!C9")&gt;1991,0),IFERROR(INDIRECT("'"&amp;$D$17&amp;"'!C9")&lt;2021,0)),INDIRECT("'"&amp;$D$17&amp;"'!GO_2019"),0)
+IF(AND(IFERROR(INDIRECT("'"&amp;$D$18&amp;"'!C9")&gt;1991,0),IFERROR(INDIRECT("'"&amp;$D$18&amp;"'!C9")&lt;2021,0)),INDIRECT("'"&amp;$D$18&amp;"'!GO_2019"),0)
+IF(AND(IFERROR(INDIRECT("'"&amp;$D$19&amp;"'!C9")&gt;1991,0),IFERROR(INDIRECT("'"&amp;$D$19&amp;"'!C9")&lt;2021,0)),INDIRECT("'"&amp;$D$19&amp;"'!GO_2019"),0)
+IF(AND(IFERROR(INDIRECT("'"&amp;$D$20&amp;"'!C9")&gt;1991,0),IFERROR(INDIRECT("'"&amp;$D$20&amp;"'!C9")&lt;2021,0)),INDIRECT("'"&amp;$D$20&amp;"'!GO_2019"),0)
+IF(AND(IFERROR(INDIRECT("'"&amp;$D$21&amp;"'!C9")&gt;1991,0),IFERROR(INDIRECT("'"&amp;$D$21&amp;"'!C9")&lt;2021,0)),INDIRECT("'"&amp;$D$21&amp;"'!GO_2019"),0)
+IF(AND(IFERROR(INDIRECT("'"&amp;$D$22&amp;"'!C9")&gt;1991,0),IFERROR(INDIRECT("'"&amp;$D$22&amp;"'!C9")&lt;2021,0)),INDIRECT("'"&amp;$D$22&amp;"'!GO_2019"),0)
+IF(AND(IFERROR(INDIRECT("'"&amp;$D$23&amp;"'!C9")&gt;1991,0),IFERROR(INDIRECT("'"&amp;$D$23&amp;"'!C9")&lt;2021,0)),INDIRECT("'"&amp;$D$23&amp;"'!GO_2019"),0)
+IF(AND(IFERROR(INDIRECT("'"&amp;$D$24&amp;"'!C9")&gt;1991,0),IFERROR(INDIRECT("'"&amp;$D$24&amp;"'!C9")&lt;2021,0)),INDIRECT("'"&amp;$D$24&amp;"'!GO_2019"),0)
+IF(AND(IFERROR(INDIRECT("'"&amp;$D$25&amp;"'!C9")&gt;1991,0),IFERROR(INDIRECT("'"&amp;$D$25&amp;"'!C9")&lt;2021,0)),INDIRECT("'"&amp;$D$25&amp;"'!GO_2019"),0)
+IF(AND(IFERROR(INDIRECT("'"&amp;$D$26&amp;"'!C9")&gt;1991,0),IFERROR(INDIRECT("'"&amp;$D$26&amp;"'!C9")&lt;2021,0)),INDIRECT("'"&amp;$D$26&amp;"'!GO_2019"),0)
+IF(AND(IFERROR(INDIRECT("'"&amp;$D$27&amp;"'!C9")&gt;1991,0),IFERROR(INDIRECT("'"&amp;$D$27&amp;"'!C9")&lt;2021,0)),INDIRECT("'"&amp;$D$27&amp;"'!GO_2019"),0)
+IF(AND(IFERROR(INDIRECT("'"&amp;$D$28&amp;"'!C9")&gt;1991,0),IFERROR(INDIRECT("'"&amp;$D$28&amp;"'!C9")&lt;2021,0)),INDIRECT("'"&amp;$D$28&amp;"'!GO_2019"),0)
+IF(AND(IFERROR(INDIRECT("'"&amp;$D$29&amp;"'!C9")&gt;1991,0),IFERROR(INDIRECT("'"&amp;$D$29&amp;"'!C9")&lt;2021,0)),INDIRECT("'"&amp;$D$29&amp;"'!GO_2019"),0)
+IF(AND(IFERROR(INDIRECT("'"&amp;$D$30&amp;"'!C9")&gt;1991,0),IFERROR(INDIRECT("'"&amp;$D$30&amp;"'!C9")&lt;2021,0)),INDIRECT("'"&amp;$D$30&amp;"'!GO_2019"),0)
+IF(AND(IFERROR(INDIRECT("'"&amp;$D$31&amp;"'!C9")&gt;1991,0),IFERROR(INDIRECT("'"&amp;$D$31&amp;"'!C9")&lt;2021,0)),INDIRECT("'"&amp;$D$31&amp;"'!GO_2019"),0)
+IF(AND(IFERROR(INDIRECT("'"&amp;$D$32&amp;"'!C9")&gt;1991,0),IFERROR(INDIRECT("'"&amp;$D$32&amp;"'!C9")&lt;2021,0)),INDIRECT("'"&amp;$D$32&amp;"'!GO_2019"),0)
+IF(AND(IFERROR(INDIRECT("'"&amp;$D$33&amp;"'!C9")&gt;1991,0),IFERROR(INDIRECT("'"&amp;$D$33&amp;"'!C9")&lt;2021,0)),INDIRECT("'"&amp;$D$33&amp;"'!GO_2019"),0)
+IF(AND(IFERROR(INDIRECT("'"&amp;$D$34&amp;"'!C9")&gt;1991,0),IFERROR(INDIRECT("'"&amp;$D$34&amp;"'!C9")&lt;2021,0)),INDIRECT("'"&amp;$D$34&amp;"'!GO_2019"),0)
+IF(AND(IFERROR(INDIRECT("'"&amp;$D$35&amp;"'!C9")&gt;1991,0),IFERROR(INDIRECT("'"&amp;$D$35&amp;"'!C9")&lt;2021,0)),INDIRECT("'"&amp;$D$35&amp;"'!GO_2019"),0)
+IF(AND(IFERROR(INDIRECT("'"&amp;$D$36&amp;"'!C9")&gt;1991,0),IFERROR(INDIRECT("'"&amp;$D$36&amp;"'!C9")&lt;2021,0)),INDIRECT("'"&amp;$D$36&amp;"'!GO_2019"),0)
+IF(AND(IFERROR(INDIRECT("'"&amp;$D$37&amp;"'!C9")&gt;1991,0),IFERROR(INDIRECT("'"&amp;$D$37&amp;"'!C9")&lt;2021,0)),INDIRECT("'"&amp;$D$37&amp;"'!GO_2019"),0)
+IF(AND(IFERROR(INDIRECT("'"&amp;$D$38&amp;"'!C9")&gt;1991,0),IFERROR(INDIRECT("'"&amp;$D$38&amp;"'!C9")&lt;2021,0)),INDIRECT("'"&amp;$D$38&amp;"'!GO_2019"),0)
+IF(AND(IFERROR(INDIRECT("'"&amp;$D$39&amp;"'!C9")&gt;1991,0),IFERROR(INDIRECT("'"&amp;$D$39&amp;"'!C9")&lt;2021,0)),INDIRECT("'"&amp;$D$39&amp;"'!GO_2019"),0)
+IF(AND(IFERROR(INDIRECT("'"&amp;$D$40&amp;"'!C9")&gt;1991,0),IFERROR(INDIRECT("'"&amp;$D$40&amp;"'!C9")&lt;2021,0)),INDIRECT("'"&amp;$D$40&amp;"'!GO_2019"),0)
+IF(AND(IFERROR(INDIRECT("'"&amp;$D$41&amp;"'!C9")&gt;1991,0),IFERROR(INDIRECT("'"&amp;$D$41&amp;"'!C9")&lt;2021,0)),INDIRECT("'"&amp;$D$41&amp;"'!GO_2019"),0)
+IF(AND(IFERROR(INDIRECT("'"&amp;$D$42&amp;"'!C9")&gt;1991,0),IFERROR(INDIRECT("'"&amp;$D$42&amp;"'!C9")&lt;2021,0)),INDIRECT("'"&amp;$D$42&amp;"'!GO_2019"),0)
+IF(AND(IFERROR(INDIRECT("'"&amp;$D$43&amp;"'!C9")&gt;1991,0),IFERROR(INDIRECT("'"&amp;$D$43&amp;"'!C9")&lt;2021,0)),INDIRECT("'"&amp;$D$43&amp;"'!GO_2019"),0)
+IF(AND(IFERROR(INDIRECT("'"&amp;$D$44&amp;"'!C9")&gt;1991,0),IFERROR(INDIRECT("'"&amp;$D$44&amp;"'!C9")&lt;2021,0)),INDIRECT("'"&amp;$D$44&amp;"'!GO_2019"),0)
+IF(AND(IFERROR(INDIRECT("'"&amp;$D$45&amp;"'!C9")&gt;1991,0),IFERROR(INDIRECT("'"&amp;$D$45&amp;"'!C9")&lt;2021,0)),INDIRECT("'"&amp;$D$45&amp;"'!GO_2019"),0)
+IF(AND(IFERROR(INDIRECT("'"&amp;$D$46&amp;"'!C9")&gt;1991,0),IFERROR(INDIRECT("'"&amp;$D$46&amp;"'!C9")&lt;2021,0)),INDIRECT("'"&amp;$D$46&amp;"'!GO_2019"),0)
+IF(AND(IFERROR(INDIRECT("'"&amp;$D$47&amp;"'!C9")&gt;1991,0),IFERROR(INDIRECT("'"&amp;$D$47&amp;"'!C9")&lt;2021,0)),INDIRECT("'"&amp;$D$47&amp;"'!GO_2019"),0)
+IF(AND(IFERROR(INDIRECT("'"&amp;$D$48&amp;"'!C9")&gt;1991,0),IFERROR(INDIRECT("'"&amp;$D$48&amp;"'!C9")&lt;2021,0)),INDIRECT("'"&amp;$D$48&amp;"'!GO_2019"),0)
+IF(AND(IFERROR(INDIRECT("'"&amp;$D$49&amp;"'!C9")&gt;1991,0),IFERROR(INDIRECT("'"&amp;$D$49&amp;"'!C9")&lt;2021,0)),INDIRECT("'"&amp;$D$49&amp;"'!GO_2019"),0)
+IF(AND(IFERROR(INDIRECT("'"&amp;$D$50&amp;"'!C9")&gt;1991,0),IFERROR(INDIRECT("'"&amp;$D$50&amp;"'!C9")&lt;2021,0)),INDIRECT("'"&amp;$D$50&amp;"'!GO_2019"),0)
+IF(AND(IFERROR(INDIRECT("'"&amp;$D$51&amp;"'!C9")&gt;1991,0),IFERROR(INDIRECT("'"&amp;$D$51&amp;"'!C9")&lt;2021,0)),INDIRECT("'"&amp;$D$51&amp;"'!GO_2019"),0)
+IF(AND(IFERROR(INDIRECT("'"&amp;$D$52&amp;"'!C9")&gt;1991,0),IFERROR(INDIRECT("'"&amp;$D$52&amp;"'!C9")&lt;2021,0)),INDIRECT("'"&amp;$D$52&amp;"'!GO_2019"),0)
+IF(AND(IFERROR(INDIRECT("'"&amp;$D$53&amp;"'!C9")&gt;1991,0),IFERROR(INDIRECT("'"&amp;$D$53&amp;"'!C9")&lt;2021,0)),INDIRECT("'"&amp;$D$53&amp;"'!GO_2019"),0)
+IF(AND(IFERROR(INDIRECT("'"&amp;$D$54&amp;"'!C9")&gt;1991,0),IFERROR(INDIRECT("'"&amp;$D$54&amp;"'!C9")&lt;2021,0)),INDIRECT("'"&amp;$D$54&amp;"'!GO_2019"),0)</f>
        <v>0</v>
      </c>
      <c r="J27" s="321">
        <f ca="1">IF(AND(IFERROR(INDIRECT("'"&amp;$D$5&amp;"'!C9")&gt;1991,0),IFERROR(INDIRECT("'"&amp;$D$5&amp;"'!C9")&lt;2021,0)),INDIRECT("'"&amp;$D$5&amp;"'!GO_2020"),0)
+IF(AND(IFERROR(INDIRECT("'"&amp;$D$6&amp;"'!C9")&gt;1991,0),IFERROR(INDIRECT("'"&amp;$D$6&amp;"'!C9")&lt;2021,0)),INDIRECT("'"&amp;$D$6&amp;"'!GO_2020"),0)
+IF(AND(IFERROR(INDIRECT("'"&amp;$D$7&amp;"'!C9")&gt;1991,0),IFERROR(INDIRECT("'"&amp;$D$7&amp;"'!C9")&lt;2021,0)),INDIRECT("'"&amp;$D$7&amp;"'!GO_2020"),0)
+IF(AND(IFERROR(INDIRECT("'"&amp;$D$8&amp;"'!C9")&gt;1991,0),IFERROR(INDIRECT("'"&amp;$D$8&amp;"'!C9")&lt;2021,0)),INDIRECT("'"&amp;$D$8&amp;"'!GO_2020"),0)
+IF(AND(IFERROR(INDIRECT("'"&amp;$D$9&amp;"'!C9")&gt;1991,0),IFERROR(INDIRECT("'"&amp;$D$9&amp;"'!C9")&lt;2021,0)),INDIRECT("'"&amp;$D$9&amp;"'!GO_2020"),0)
+IF(AND(IFERROR(INDIRECT("'"&amp;$D$10&amp;"'!C9")&gt;1991,0),IFERROR(INDIRECT("'"&amp;$D$10&amp;"'!C9")&lt;2021,0)),INDIRECT("'"&amp;$D$10&amp;"'!GO_2020"),0)
+IF(AND(IFERROR(INDIRECT("'"&amp;$D$11&amp;"'!C9")&gt;1991,0),IFERROR(INDIRECT("'"&amp;$D$11&amp;"'!C9")&lt;2021,0)),INDIRECT("'"&amp;$D$11&amp;"'!GO_2020"),0)
+IF(AND(IFERROR(INDIRECT("'"&amp;$D$12&amp;"'!C9")&gt;1991,0),IFERROR(INDIRECT("'"&amp;$D$12&amp;"'!C9")&lt;2021,0)),INDIRECT("'"&amp;$D$12&amp;"'!GO_2020"),0)
+IF(AND(IFERROR(INDIRECT("'"&amp;$D$13&amp;"'!C9")&gt;1991,0),IFERROR(INDIRECT("'"&amp;$D$13&amp;"'!C9")&lt;2021,0)),INDIRECT("'"&amp;$D$13&amp;"'!GO_2020"),0)
+IF(AND(IFERROR(INDIRECT("'"&amp;$D$14&amp;"'!C9")&gt;1991,0),IFERROR(INDIRECT("'"&amp;$D$14&amp;"'!C9")&lt;2021,0)),INDIRECT("'"&amp;$D$14&amp;"'!GO_2020"),0)
+IF(AND(IFERROR(INDIRECT("'"&amp;$D$15&amp;"'!C9")&gt;1991,0),IFERROR(INDIRECT("'"&amp;$D$15&amp;"'!C9")&lt;2021,0)),INDIRECT("'"&amp;$D$15&amp;"'!GO_2020"),0)
+IF(AND(IFERROR(INDIRECT("'"&amp;$D$16&amp;"'!C9")&gt;1991,0),IFERROR(INDIRECT("'"&amp;$D$16&amp;"'!C9")&lt;2021,0)),INDIRECT("'"&amp;$D$16&amp;"'!GO_2020"),0)
+IF(AND(IFERROR(INDIRECT("'"&amp;$D$17&amp;"'!C9")&gt;1991,0),IFERROR(INDIRECT("'"&amp;$D$17&amp;"'!C9")&lt;2021,0)),INDIRECT("'"&amp;$D$17&amp;"'!GO_2020"),0)
+IF(AND(IFERROR(INDIRECT("'"&amp;$D$18&amp;"'!C9")&gt;1991,0),IFERROR(INDIRECT("'"&amp;$D$18&amp;"'!C9")&lt;2021,0)),INDIRECT("'"&amp;$D$18&amp;"'!GO_2020"),0)
+IF(AND(IFERROR(INDIRECT("'"&amp;$D$19&amp;"'!C9")&gt;1991,0),IFERROR(INDIRECT("'"&amp;$D$19&amp;"'!C9")&lt;2021,0)),INDIRECT("'"&amp;$D$19&amp;"'!GO_2020"),0)
+IF(AND(IFERROR(INDIRECT("'"&amp;$D$20&amp;"'!C9")&gt;1991,0),IFERROR(INDIRECT("'"&amp;$D$20&amp;"'!C9")&lt;2021,0)),INDIRECT("'"&amp;$D$20&amp;"'!GO_2020"),0)
+IF(AND(IFERROR(INDIRECT("'"&amp;$D$21&amp;"'!C9")&gt;1991,0),IFERROR(INDIRECT("'"&amp;$D$21&amp;"'!C9")&lt;2021,0)),INDIRECT("'"&amp;$D$21&amp;"'!GO_2020"),0)
+IF(AND(IFERROR(INDIRECT("'"&amp;$D$22&amp;"'!C9")&gt;1991,0),IFERROR(INDIRECT("'"&amp;$D$22&amp;"'!C9")&lt;2021,0)),INDIRECT("'"&amp;$D$22&amp;"'!GO_2020"),0)
+IF(AND(IFERROR(INDIRECT("'"&amp;$D$23&amp;"'!C9")&gt;1991,0),IFERROR(INDIRECT("'"&amp;$D$23&amp;"'!C9")&lt;2021,0)),INDIRECT("'"&amp;$D$23&amp;"'!GO_2020"),0)
+IF(AND(IFERROR(INDIRECT("'"&amp;$D$24&amp;"'!C9")&gt;1991,0),IFERROR(INDIRECT("'"&amp;$D$24&amp;"'!C9")&lt;2021,0)),INDIRECT("'"&amp;$D$24&amp;"'!GO_2020"),0)
+IF(AND(IFERROR(INDIRECT("'"&amp;$D$25&amp;"'!C9")&gt;1991,0),IFERROR(INDIRECT("'"&amp;$D$25&amp;"'!C9")&lt;2021,0)),INDIRECT("'"&amp;$D$25&amp;"'!GO_2020"),0)
+IF(AND(IFERROR(INDIRECT("'"&amp;$D$26&amp;"'!C9")&gt;1991,0),IFERROR(INDIRECT("'"&amp;$D$26&amp;"'!C9")&lt;2021,0)),INDIRECT("'"&amp;$D$26&amp;"'!GO_2020"),0)
+IF(AND(IFERROR(INDIRECT("'"&amp;$D$27&amp;"'!C9")&gt;1991,0),IFERROR(INDIRECT("'"&amp;$D$27&amp;"'!C9")&lt;2021,0)),INDIRECT("'"&amp;$D$27&amp;"'!GO_2020"),0)
+IF(AND(IFERROR(INDIRECT("'"&amp;$D$28&amp;"'!C9")&gt;1991,0),IFERROR(INDIRECT("'"&amp;$D$28&amp;"'!C9")&lt;2021,0)),INDIRECT("'"&amp;$D$28&amp;"'!GO_2020"),0)
+IF(AND(IFERROR(INDIRECT("'"&amp;$D$29&amp;"'!C9")&gt;1991,0),IFERROR(INDIRECT("'"&amp;$D$29&amp;"'!C9")&lt;2021,0)),INDIRECT("'"&amp;$D$29&amp;"'!GO_2020"),0)
+IF(AND(IFERROR(INDIRECT("'"&amp;$D$30&amp;"'!C9")&gt;1991,0),IFERROR(INDIRECT("'"&amp;$D$30&amp;"'!C9")&lt;2021,0)),INDIRECT("'"&amp;$D$30&amp;"'!GO_2020"),0)
+IF(AND(IFERROR(INDIRECT("'"&amp;$D$31&amp;"'!C9")&gt;1991,0),IFERROR(INDIRECT("'"&amp;$D$31&amp;"'!C9")&lt;2021,0)),INDIRECT("'"&amp;$D$31&amp;"'!GO_2020"),0)
+IF(AND(IFERROR(INDIRECT("'"&amp;$D$32&amp;"'!C9")&gt;1991,0),IFERROR(INDIRECT("'"&amp;$D$32&amp;"'!C9")&lt;2021,0)),INDIRECT("'"&amp;$D$32&amp;"'!GO_2020"),0)
+IF(AND(IFERROR(INDIRECT("'"&amp;$D$33&amp;"'!C9")&gt;1991,0),IFERROR(INDIRECT("'"&amp;$D$33&amp;"'!C9")&lt;2021,0)),INDIRECT("'"&amp;$D$33&amp;"'!GO_2020"),0)
+IF(AND(IFERROR(INDIRECT("'"&amp;$D$34&amp;"'!C9")&gt;1991,0),IFERROR(INDIRECT("'"&amp;$D$34&amp;"'!C9")&lt;2021,0)),INDIRECT("'"&amp;$D$34&amp;"'!GO_2020"),0)
+IF(AND(IFERROR(INDIRECT("'"&amp;$D$35&amp;"'!C9")&gt;1991,0),IFERROR(INDIRECT("'"&amp;$D$35&amp;"'!C9")&lt;2021,0)),INDIRECT("'"&amp;$D$35&amp;"'!GO_2020"),0)
+IF(AND(IFERROR(INDIRECT("'"&amp;$D$36&amp;"'!C9")&gt;1991,0),IFERROR(INDIRECT("'"&amp;$D$36&amp;"'!C9")&lt;2021,0)),INDIRECT("'"&amp;$D$36&amp;"'!GO_2020"),0)
+IF(AND(IFERROR(INDIRECT("'"&amp;$D$37&amp;"'!C9")&gt;1991,0),IFERROR(INDIRECT("'"&amp;$D$37&amp;"'!C9")&lt;2021,0)),INDIRECT("'"&amp;$D$37&amp;"'!GO_2020"),0)
+IF(AND(IFERROR(INDIRECT("'"&amp;$D$38&amp;"'!C9")&gt;1991,0),IFERROR(INDIRECT("'"&amp;$D$38&amp;"'!C9")&lt;2021,0)),INDIRECT("'"&amp;$D$38&amp;"'!GO_2020"),0)
+IF(AND(IFERROR(INDIRECT("'"&amp;$D$39&amp;"'!C9")&gt;1991,0),IFERROR(INDIRECT("'"&amp;$D$39&amp;"'!C9")&lt;2021,0)),INDIRECT("'"&amp;$D$39&amp;"'!GO_2020"),0)
+IF(AND(IFERROR(INDIRECT("'"&amp;$D$40&amp;"'!C9")&gt;1991,0),IFERROR(INDIRECT("'"&amp;$D$40&amp;"'!C9")&lt;2021,0)),INDIRECT("'"&amp;$D$40&amp;"'!GO_2020"),0)
+IF(AND(IFERROR(INDIRECT("'"&amp;$D$41&amp;"'!C9")&gt;1991,0),IFERROR(INDIRECT("'"&amp;$D$41&amp;"'!C9")&lt;2021,0)),INDIRECT("'"&amp;$D$41&amp;"'!GO_2020"),0)
+IF(AND(IFERROR(INDIRECT("'"&amp;$D$42&amp;"'!C9")&gt;1991,0),IFERROR(INDIRECT("'"&amp;$D$42&amp;"'!C9")&lt;2021,0)),INDIRECT("'"&amp;$D$42&amp;"'!GO_2020"),0)
+IF(AND(IFERROR(INDIRECT("'"&amp;$D$43&amp;"'!C9")&gt;1991,0),IFERROR(INDIRECT("'"&amp;$D$43&amp;"'!C9")&lt;2021,0)),INDIRECT("'"&amp;$D$43&amp;"'!GO_2020"),0)
+IF(AND(IFERROR(INDIRECT("'"&amp;$D$44&amp;"'!C9")&gt;1991,0),IFERROR(INDIRECT("'"&amp;$D$44&amp;"'!C9")&lt;2021,0)),INDIRECT("'"&amp;$D$44&amp;"'!GO_2020"),0)
+IF(AND(IFERROR(INDIRECT("'"&amp;$D$45&amp;"'!C9")&gt;1991,0),IFERROR(INDIRECT("'"&amp;$D$45&amp;"'!C9")&lt;2021,0)),INDIRECT("'"&amp;$D$45&amp;"'!GO_2020"),0)
+IF(AND(IFERROR(INDIRECT("'"&amp;$D$46&amp;"'!C9")&gt;1991,0),IFERROR(INDIRECT("'"&amp;$D$46&amp;"'!C9")&lt;2021,0)),INDIRECT("'"&amp;$D$46&amp;"'!GO_2020"),0)
+IF(AND(IFERROR(INDIRECT("'"&amp;$D$47&amp;"'!C9")&gt;1991,0),IFERROR(INDIRECT("'"&amp;$D$47&amp;"'!C9")&lt;2021,0)),INDIRECT("'"&amp;$D$47&amp;"'!GO_2020"),0)
+IF(AND(IFERROR(INDIRECT("'"&amp;$D$48&amp;"'!C9")&gt;1991,0),IFERROR(INDIRECT("'"&amp;$D$48&amp;"'!C9")&lt;2021,0)),INDIRECT("'"&amp;$D$48&amp;"'!GO_2020"),0)
+IF(AND(IFERROR(INDIRECT("'"&amp;$D$49&amp;"'!C9")&gt;1991,0),IFERROR(INDIRECT("'"&amp;$D$49&amp;"'!C9")&lt;2021,0)),INDIRECT("'"&amp;$D$49&amp;"'!GO_2020"),0)
+IF(AND(IFERROR(INDIRECT("'"&amp;$D$50&amp;"'!C9")&gt;1991,0),IFERROR(INDIRECT("'"&amp;$D$50&amp;"'!C9")&lt;2021,0)),INDIRECT("'"&amp;$D$50&amp;"'!GO_2020"),0)
+IF(AND(IFERROR(INDIRECT("'"&amp;$D$51&amp;"'!C9")&gt;1991,0),IFERROR(INDIRECT("'"&amp;$D$51&amp;"'!C9")&lt;2021,0)),INDIRECT("'"&amp;$D$51&amp;"'!GO_2020"),0)
+IF(AND(IFERROR(INDIRECT("'"&amp;$D$52&amp;"'!C9")&gt;1991,0),IFERROR(INDIRECT("'"&amp;$D$52&amp;"'!C9")&lt;2021,0)),INDIRECT("'"&amp;$D$52&amp;"'!GO_2020"),0)
+IF(AND(IFERROR(INDIRECT("'"&amp;$D$53&amp;"'!C9")&gt;1991,0),IFERROR(INDIRECT("'"&amp;$D$53&amp;"'!C9")&lt;2021,0)),INDIRECT("'"&amp;$D$53&amp;"'!GO_2020"),0)
+IF(AND(IFERROR(INDIRECT("'"&amp;$D$54&amp;"'!C9")&gt;1991,0),IFERROR(INDIRECT("'"&amp;$D$54&amp;"'!C9")&lt;2021,0)),INDIRECT("'"&amp;$D$54&amp;"'!GO_2020"),0)</f>
        <v>0</v>
      </c>
      <c r="K27" s="321">
        <f ca="1">IF(AND(IFERROR(INDIRECT("'"&amp;$D$5&amp;"'!C9")&gt;1991,0),IFERROR(INDIRECT("'"&amp;$D$5&amp;"'!C9")&lt;2021,0)),INDIRECT("'"&amp;$D$5&amp;"'!GO_2021"),0)
+IF(AND(IFERROR(INDIRECT("'"&amp;$D$6&amp;"'!C9")&gt;1991,0),IFERROR(INDIRECT("'"&amp;$D$6&amp;"'!C9")&lt;2021,0)),INDIRECT("'"&amp;$D$6&amp;"'!GO_2021"),0)
+IF(AND(IFERROR(INDIRECT("'"&amp;$D$7&amp;"'!C9")&gt;1991,0),IFERROR(INDIRECT("'"&amp;$D$7&amp;"'!C9")&lt;2021,0)),INDIRECT("'"&amp;$D$7&amp;"'!GO_2021"),0)
+IF(AND(IFERROR(INDIRECT("'"&amp;$D$8&amp;"'!C9")&gt;1991,0),IFERROR(INDIRECT("'"&amp;$D$8&amp;"'!C9")&lt;2021,0)),INDIRECT("'"&amp;$D$8&amp;"'!GO_2021"),0)
+IF(AND(IFERROR(INDIRECT("'"&amp;$D$9&amp;"'!C9")&gt;1991,0),IFERROR(INDIRECT("'"&amp;$D$9&amp;"'!C9")&lt;2021,0)),INDIRECT("'"&amp;$D$9&amp;"'!GO_2021"),0)
+IF(AND(IFERROR(INDIRECT("'"&amp;$D$10&amp;"'!C9")&gt;1991,0),IFERROR(INDIRECT("'"&amp;$D$10&amp;"'!C9")&lt;2021,0)),INDIRECT("'"&amp;$D$10&amp;"'!GO_2021"),0)
+IF(AND(IFERROR(INDIRECT("'"&amp;$D$11&amp;"'!C9")&gt;1991,0),IFERROR(INDIRECT("'"&amp;$D$11&amp;"'!C9")&lt;2021,0)),INDIRECT("'"&amp;$D$11&amp;"'!GO_2021"),0)
+IF(AND(IFERROR(INDIRECT("'"&amp;$D$12&amp;"'!C9")&gt;1991,0),IFERROR(INDIRECT("'"&amp;$D$12&amp;"'!C9")&lt;2021,0)),INDIRECT("'"&amp;$D$12&amp;"'!GO_2021"),0)
+IF(AND(IFERROR(INDIRECT("'"&amp;$D$13&amp;"'!C9")&gt;1991,0),IFERROR(INDIRECT("'"&amp;$D$13&amp;"'!C9")&lt;2021,0)),INDIRECT("'"&amp;$D$13&amp;"'!GO_2021"),0)
+IF(AND(IFERROR(INDIRECT("'"&amp;$D$14&amp;"'!C9")&gt;1991,0),IFERROR(INDIRECT("'"&amp;$D$14&amp;"'!C9")&lt;2021,0)),INDIRECT("'"&amp;$D$14&amp;"'!GO_2021"),0)
+IF(AND(IFERROR(INDIRECT("'"&amp;$D$15&amp;"'!C9")&gt;1991,0),IFERROR(INDIRECT("'"&amp;$D$15&amp;"'!C9")&lt;2021,0)),INDIRECT("'"&amp;$D$15&amp;"'!GO_2021"),0)
+IF(AND(IFERROR(INDIRECT("'"&amp;$D$16&amp;"'!C9")&gt;1991,0),IFERROR(INDIRECT("'"&amp;$D$16&amp;"'!C9")&lt;2021,0)),INDIRECT("'"&amp;$D$16&amp;"'!GO_2021"),0)
+IF(AND(IFERROR(INDIRECT("'"&amp;$D$17&amp;"'!C9")&gt;1991,0),IFERROR(INDIRECT("'"&amp;$D$17&amp;"'!C9")&lt;2021,0)),INDIRECT("'"&amp;$D$17&amp;"'!GO_2021"),0)
+IF(AND(IFERROR(INDIRECT("'"&amp;$D$18&amp;"'!C9")&gt;1991,0),IFERROR(INDIRECT("'"&amp;$D$18&amp;"'!C9")&lt;2021,0)),INDIRECT("'"&amp;$D$18&amp;"'!GO_2021"),0)
+IF(AND(IFERROR(INDIRECT("'"&amp;$D$19&amp;"'!C9")&gt;1991,0),IFERROR(INDIRECT("'"&amp;$D$19&amp;"'!C9")&lt;2021,0)),INDIRECT("'"&amp;$D$19&amp;"'!GO_2021"),0)
+IF(AND(IFERROR(INDIRECT("'"&amp;$D$20&amp;"'!C9")&gt;1991,0),IFERROR(INDIRECT("'"&amp;$D$20&amp;"'!C9")&lt;2021,0)),INDIRECT("'"&amp;$D$20&amp;"'!GO_2021"),0)
+IF(AND(IFERROR(INDIRECT("'"&amp;$D$21&amp;"'!C9")&gt;1991,0),IFERROR(INDIRECT("'"&amp;$D$21&amp;"'!C9")&lt;2021,0)),INDIRECT("'"&amp;$D$21&amp;"'!GO_2021"),0)
+IF(AND(IFERROR(INDIRECT("'"&amp;$D$22&amp;"'!C9")&gt;1991,0),IFERROR(INDIRECT("'"&amp;$D$22&amp;"'!C9")&lt;2021,0)),INDIRECT("'"&amp;$D$22&amp;"'!GO_2021"),0)
+IF(AND(IFERROR(INDIRECT("'"&amp;$D$23&amp;"'!C9")&gt;1991,0),IFERROR(INDIRECT("'"&amp;$D$23&amp;"'!C9")&lt;2021,0)),INDIRECT("'"&amp;$D$23&amp;"'!GO_2021"),0)
+IF(AND(IFERROR(INDIRECT("'"&amp;$D$24&amp;"'!C9")&gt;1991,0),IFERROR(INDIRECT("'"&amp;$D$24&amp;"'!C9")&lt;2021,0)),INDIRECT("'"&amp;$D$24&amp;"'!GO_2021"),0)
+IF(AND(IFERROR(INDIRECT("'"&amp;$D$25&amp;"'!C9")&gt;1991,0),IFERROR(INDIRECT("'"&amp;$D$25&amp;"'!C9")&lt;2021,0)),INDIRECT("'"&amp;$D$25&amp;"'!GO_2021"),0)
+IF(AND(IFERROR(INDIRECT("'"&amp;$D$26&amp;"'!C9")&gt;1991,0),IFERROR(INDIRECT("'"&amp;$D$26&amp;"'!C9")&lt;2021,0)),INDIRECT("'"&amp;$D$26&amp;"'!GO_2021"),0)
+IF(AND(IFERROR(INDIRECT("'"&amp;$D$27&amp;"'!C9")&gt;1991,0),IFERROR(INDIRECT("'"&amp;$D$27&amp;"'!C9")&lt;2021,0)),INDIRECT("'"&amp;$D$27&amp;"'!GO_2021"),0)
+IF(AND(IFERROR(INDIRECT("'"&amp;$D$28&amp;"'!C9")&gt;1991,0),IFERROR(INDIRECT("'"&amp;$D$28&amp;"'!C9")&lt;2021,0)),INDIRECT("'"&amp;$D$28&amp;"'!GO_2021"),0)
+IF(AND(IFERROR(INDIRECT("'"&amp;$D$29&amp;"'!C9")&gt;1991,0),IFERROR(INDIRECT("'"&amp;$D$29&amp;"'!C9")&lt;2021,0)),INDIRECT("'"&amp;$D$29&amp;"'!GO_2021"),0)
+IF(AND(IFERROR(INDIRECT("'"&amp;$D$30&amp;"'!C9")&gt;1991,0),IFERROR(INDIRECT("'"&amp;$D$30&amp;"'!C9")&lt;2021,0)),INDIRECT("'"&amp;$D$30&amp;"'!GO_2021"),0)
+IF(AND(IFERROR(INDIRECT("'"&amp;$D$31&amp;"'!C9")&gt;1991,0),IFERROR(INDIRECT("'"&amp;$D$31&amp;"'!C9")&lt;2021,0)),INDIRECT("'"&amp;$D$31&amp;"'!GO_2021"),0)
+IF(AND(IFERROR(INDIRECT("'"&amp;$D$32&amp;"'!C9")&gt;1991,0),IFERROR(INDIRECT("'"&amp;$D$32&amp;"'!C9")&lt;2021,0)),INDIRECT("'"&amp;$D$32&amp;"'!GO_2021"),0)
+IF(AND(IFERROR(INDIRECT("'"&amp;$D$33&amp;"'!C9")&gt;1991,0),IFERROR(INDIRECT("'"&amp;$D$33&amp;"'!C9")&lt;2021,0)),INDIRECT("'"&amp;$D$33&amp;"'!GO_2021"),0)
+IF(AND(IFERROR(INDIRECT("'"&amp;$D$34&amp;"'!C9")&gt;1991,0),IFERROR(INDIRECT("'"&amp;$D$34&amp;"'!C9")&lt;2021,0)),INDIRECT("'"&amp;$D$34&amp;"'!GO_2021"),0)
+IF(AND(IFERROR(INDIRECT("'"&amp;$D$35&amp;"'!C9")&gt;1991,0),IFERROR(INDIRECT("'"&amp;$D$35&amp;"'!C9")&lt;2021,0)),INDIRECT("'"&amp;$D$35&amp;"'!GO_2021"),0)
+IF(AND(IFERROR(INDIRECT("'"&amp;$D$36&amp;"'!C9")&gt;1991,0),IFERROR(INDIRECT("'"&amp;$D$36&amp;"'!C9")&lt;2021,0)),INDIRECT("'"&amp;$D$36&amp;"'!GO_2021"),0)
+IF(AND(IFERROR(INDIRECT("'"&amp;$D$37&amp;"'!C9")&gt;1991,0),IFERROR(INDIRECT("'"&amp;$D$37&amp;"'!C9")&lt;2021,0)),INDIRECT("'"&amp;$D$37&amp;"'!GO_2021"),0)
+IF(AND(IFERROR(INDIRECT("'"&amp;$D$38&amp;"'!C9")&gt;1991,0),IFERROR(INDIRECT("'"&amp;$D$38&amp;"'!C9")&lt;2021,0)),INDIRECT("'"&amp;$D$38&amp;"'!GO_2021"),0)
+IF(AND(IFERROR(INDIRECT("'"&amp;$D$39&amp;"'!C9")&gt;1991,0),IFERROR(INDIRECT("'"&amp;$D$39&amp;"'!C9")&lt;2021,0)),INDIRECT("'"&amp;$D$39&amp;"'!GO_2021"),0)
+IF(AND(IFERROR(INDIRECT("'"&amp;$D$40&amp;"'!C9")&gt;1991,0),IFERROR(INDIRECT("'"&amp;$D$40&amp;"'!C9")&lt;2021,0)),INDIRECT("'"&amp;$D$40&amp;"'!GO_2021"),0)
+IF(AND(IFERROR(INDIRECT("'"&amp;$D$41&amp;"'!C9")&gt;1991,0),IFERROR(INDIRECT("'"&amp;$D$41&amp;"'!C9")&lt;2021,0)),INDIRECT("'"&amp;$D$41&amp;"'!GO_2021"),0)
+IF(AND(IFERROR(INDIRECT("'"&amp;$D$42&amp;"'!C9")&gt;1991,0),IFERROR(INDIRECT("'"&amp;$D$42&amp;"'!C9")&lt;2021,0)),INDIRECT("'"&amp;$D$42&amp;"'!GO_2021"),0)
+IF(AND(IFERROR(INDIRECT("'"&amp;$D$43&amp;"'!C9")&gt;1991,0),IFERROR(INDIRECT("'"&amp;$D$43&amp;"'!C9")&lt;2021,0)),INDIRECT("'"&amp;$D$43&amp;"'!GO_2021"),0)
+IF(AND(IFERROR(INDIRECT("'"&amp;$D$44&amp;"'!C9")&gt;1991,0),IFERROR(INDIRECT("'"&amp;$D$44&amp;"'!C9")&lt;2021,0)),INDIRECT("'"&amp;$D$44&amp;"'!GO_2021"),0)
+IF(AND(IFERROR(INDIRECT("'"&amp;$D$45&amp;"'!C9")&gt;1991,0),IFERROR(INDIRECT("'"&amp;$D$45&amp;"'!C9")&lt;2021,0)),INDIRECT("'"&amp;$D$45&amp;"'!GO_2021"),0)
+IF(AND(IFERROR(INDIRECT("'"&amp;$D$46&amp;"'!C9")&gt;1991,0),IFERROR(INDIRECT("'"&amp;$D$46&amp;"'!C9")&lt;2021,0)),INDIRECT("'"&amp;$D$46&amp;"'!GO_2021"),0)
+IF(AND(IFERROR(INDIRECT("'"&amp;$D$47&amp;"'!C9")&gt;1991,0),IFERROR(INDIRECT("'"&amp;$D$47&amp;"'!C9")&lt;2021,0)),INDIRECT("'"&amp;$D$47&amp;"'!GO_2021"),0)
+IF(AND(IFERROR(INDIRECT("'"&amp;$D$48&amp;"'!C9")&gt;1991,0),IFERROR(INDIRECT("'"&amp;$D$48&amp;"'!C9")&lt;2021,0)),INDIRECT("'"&amp;$D$48&amp;"'!GO_2021"),0)
+IF(AND(IFERROR(INDIRECT("'"&amp;$D$49&amp;"'!C9")&gt;1991,0),IFERROR(INDIRECT("'"&amp;$D$49&amp;"'!C9")&lt;2021,0)),INDIRECT("'"&amp;$D$49&amp;"'!GO_2021"),0)
+IF(AND(IFERROR(INDIRECT("'"&amp;$D$50&amp;"'!C9")&gt;1991,0),IFERROR(INDIRECT("'"&amp;$D$50&amp;"'!C9")&lt;2021,0)),INDIRECT("'"&amp;$D$50&amp;"'!GO_2021"),0)
+IF(AND(IFERROR(INDIRECT("'"&amp;$D$51&amp;"'!C9")&gt;1991,0),IFERROR(INDIRECT("'"&amp;$D$51&amp;"'!C9")&lt;2021,0)),INDIRECT("'"&amp;$D$51&amp;"'!GO_2021"),0)
+IF(AND(IFERROR(INDIRECT("'"&amp;$D$52&amp;"'!C9")&gt;1991,0),IFERROR(INDIRECT("'"&amp;$D$52&amp;"'!C9")&lt;2021,0)),INDIRECT("'"&amp;$D$52&amp;"'!GO_2021"),0)
+IF(AND(IFERROR(INDIRECT("'"&amp;$D$53&amp;"'!C9")&gt;1991,0),IFERROR(INDIRECT("'"&amp;$D$53&amp;"'!C9")&lt;2021,0)),INDIRECT("'"&amp;$D$53&amp;"'!GO_2021"),0)
+IF(AND(IFERROR(INDIRECT("'"&amp;$D$54&amp;"'!C9")&gt;1991,0),IFERROR(INDIRECT("'"&amp;$D$54&amp;"'!C9")&lt;2021,0)),INDIRECT("'"&amp;$D$54&amp;"'!GO_2021"),0)</f>
        <v>0</v>
      </c>
      <c r="L27" s="321">
        <f ca="1">IF(AND(IFERROR(INDIRECT("'"&amp;$D$5&amp;"'!C9")&gt;1991,0),IFERROR(INDIRECT("'"&amp;$D$5&amp;"'!C9")&lt;2021,0)),INDIRECT("'"&amp;$D$5&amp;"'!GO_2022"),0)
+IF(AND(IFERROR(INDIRECT("'"&amp;$D$6&amp;"'!C9")&gt;1991,0),IFERROR(INDIRECT("'"&amp;$D$6&amp;"'!C9")&lt;2021,0)),INDIRECT("'"&amp;$D$6&amp;"'!GO_2022"),0)
+IF(AND(IFERROR(INDIRECT("'"&amp;$D$7&amp;"'!C9")&gt;1991,0),IFERROR(INDIRECT("'"&amp;$D$7&amp;"'!C9")&lt;2021,0)),INDIRECT("'"&amp;$D$7&amp;"'!GO_2022"),0)
+IF(AND(IFERROR(INDIRECT("'"&amp;$D$8&amp;"'!C9")&gt;1991,0),IFERROR(INDIRECT("'"&amp;$D$8&amp;"'!C9")&lt;2021,0)),INDIRECT("'"&amp;$D$8&amp;"'!GO_2022"),0)
+IF(AND(IFERROR(INDIRECT("'"&amp;$D$9&amp;"'!C9")&gt;1991,0),IFERROR(INDIRECT("'"&amp;$D$9&amp;"'!C9")&lt;2021,0)),INDIRECT("'"&amp;$D$9&amp;"'!GO_2022"),0)
+IF(AND(IFERROR(INDIRECT("'"&amp;$D$10&amp;"'!C9")&gt;1991,0),IFERROR(INDIRECT("'"&amp;$D$10&amp;"'!C9")&lt;2021,0)),INDIRECT("'"&amp;$D$10&amp;"'!GO_2022"),0)
+IF(AND(IFERROR(INDIRECT("'"&amp;$D$11&amp;"'!C9")&gt;1991,0),IFERROR(INDIRECT("'"&amp;$D$11&amp;"'!C9")&lt;2021,0)),INDIRECT("'"&amp;$D$11&amp;"'!GO_2022"),0)
+IF(AND(IFERROR(INDIRECT("'"&amp;$D$12&amp;"'!C9")&gt;1991,0),IFERROR(INDIRECT("'"&amp;$D$12&amp;"'!C9")&lt;2021,0)),INDIRECT("'"&amp;$D$12&amp;"'!GO_2022"),0)
+IF(AND(IFERROR(INDIRECT("'"&amp;$D$13&amp;"'!C9")&gt;1991,0),IFERROR(INDIRECT("'"&amp;$D$13&amp;"'!C9")&lt;2021,0)),INDIRECT("'"&amp;$D$13&amp;"'!GO_2022"),0)
+IF(AND(IFERROR(INDIRECT("'"&amp;$D$14&amp;"'!C9")&gt;1991,0),IFERROR(INDIRECT("'"&amp;$D$14&amp;"'!C9")&lt;2021,0)),INDIRECT("'"&amp;$D$14&amp;"'!GO_2022"),0)
+IF(AND(IFERROR(INDIRECT("'"&amp;$D$15&amp;"'!C9")&gt;1991,0),IFERROR(INDIRECT("'"&amp;$D$15&amp;"'!C9")&lt;2021,0)),INDIRECT("'"&amp;$D$15&amp;"'!GO_2022"),0)
+IF(AND(IFERROR(INDIRECT("'"&amp;$D$16&amp;"'!C9")&gt;1991,0),IFERROR(INDIRECT("'"&amp;$D$16&amp;"'!C9")&lt;2021,0)),INDIRECT("'"&amp;$D$16&amp;"'!GO_2022"),0)
+IF(AND(IFERROR(INDIRECT("'"&amp;$D$17&amp;"'!C9")&gt;1991,0),IFERROR(INDIRECT("'"&amp;$D$17&amp;"'!C9")&lt;2021,0)),INDIRECT("'"&amp;$D$17&amp;"'!GO_2022"),0)
+IF(AND(IFERROR(INDIRECT("'"&amp;$D$18&amp;"'!C9")&gt;1991,0),IFERROR(INDIRECT("'"&amp;$D$18&amp;"'!C9")&lt;2021,0)),INDIRECT("'"&amp;$D$18&amp;"'!GO_2022"),0)
+IF(AND(IFERROR(INDIRECT("'"&amp;$D$19&amp;"'!C9")&gt;1991,0),IFERROR(INDIRECT("'"&amp;$D$19&amp;"'!C9")&lt;2021,0)),INDIRECT("'"&amp;$D$19&amp;"'!GO_2022"),0)
+IF(AND(IFERROR(INDIRECT("'"&amp;$D$20&amp;"'!C9")&gt;1991,0),IFERROR(INDIRECT("'"&amp;$D$20&amp;"'!C9")&lt;2021,0)),INDIRECT("'"&amp;$D$20&amp;"'!GO_2022"),0)
+IF(AND(IFERROR(INDIRECT("'"&amp;$D$21&amp;"'!C9")&gt;1991,0),IFERROR(INDIRECT("'"&amp;$D$21&amp;"'!C9")&lt;2021,0)),INDIRECT("'"&amp;$D$21&amp;"'!GO_2022"),0)
+IF(AND(IFERROR(INDIRECT("'"&amp;$D$22&amp;"'!C9")&gt;1991,0),IFERROR(INDIRECT("'"&amp;$D$22&amp;"'!C9")&lt;2021,0)),INDIRECT("'"&amp;$D$22&amp;"'!GO_2022"),0)
+IF(AND(IFERROR(INDIRECT("'"&amp;$D$23&amp;"'!C9")&gt;1991,0),IFERROR(INDIRECT("'"&amp;$D$23&amp;"'!C9")&lt;2021,0)),INDIRECT("'"&amp;$D$23&amp;"'!GO_2022"),0)
+IF(AND(IFERROR(INDIRECT("'"&amp;$D$24&amp;"'!C9")&gt;1991,0),IFERROR(INDIRECT("'"&amp;$D$24&amp;"'!C9")&lt;2021,0)),INDIRECT("'"&amp;$D$24&amp;"'!GO_2022"),0)
+IF(AND(IFERROR(INDIRECT("'"&amp;$D$25&amp;"'!C9")&gt;1991,0),IFERROR(INDIRECT("'"&amp;$D$25&amp;"'!C9")&lt;2021,0)),INDIRECT("'"&amp;$D$25&amp;"'!GO_2022"),0)
+IF(AND(IFERROR(INDIRECT("'"&amp;$D$26&amp;"'!C9")&gt;1991,0),IFERROR(INDIRECT("'"&amp;$D$26&amp;"'!C9")&lt;2021,0)),INDIRECT("'"&amp;$D$26&amp;"'!GO_2022"),0)
+IF(AND(IFERROR(INDIRECT("'"&amp;$D$27&amp;"'!C9")&gt;1991,0),IFERROR(INDIRECT("'"&amp;$D$27&amp;"'!C9")&lt;2021,0)),INDIRECT("'"&amp;$D$27&amp;"'!GO_2022"),0)
+IF(AND(IFERROR(INDIRECT("'"&amp;$D$28&amp;"'!C9")&gt;1991,0),IFERROR(INDIRECT("'"&amp;$D$28&amp;"'!C9")&lt;2021,0)),INDIRECT("'"&amp;$D$28&amp;"'!GO_2022"),0)
+IF(AND(IFERROR(INDIRECT("'"&amp;$D$29&amp;"'!C9")&gt;1991,0),IFERROR(INDIRECT("'"&amp;$D$29&amp;"'!C9")&lt;2021,0)),INDIRECT("'"&amp;$D$29&amp;"'!GO_2022"),0)
+IF(AND(IFERROR(INDIRECT("'"&amp;$D$30&amp;"'!C9")&gt;1991,0),IFERROR(INDIRECT("'"&amp;$D$30&amp;"'!C9")&lt;2021,0)),INDIRECT("'"&amp;$D$30&amp;"'!GO_2022"),0)
+IF(AND(IFERROR(INDIRECT("'"&amp;$D$31&amp;"'!C9")&gt;1991,0),IFERROR(INDIRECT("'"&amp;$D$31&amp;"'!C9")&lt;2021,0)),INDIRECT("'"&amp;$D$31&amp;"'!GO_2022"),0)
+IF(AND(IFERROR(INDIRECT("'"&amp;$D$32&amp;"'!C9")&gt;1991,0),IFERROR(INDIRECT("'"&amp;$D$32&amp;"'!C9")&lt;2021,0)),INDIRECT("'"&amp;$D$32&amp;"'!GO_2022"),0)
+IF(AND(IFERROR(INDIRECT("'"&amp;$D$33&amp;"'!C9")&gt;1991,0),IFERROR(INDIRECT("'"&amp;$D$33&amp;"'!C9")&lt;2021,0)),INDIRECT("'"&amp;$D$33&amp;"'!GO_2022"),0)
+IF(AND(IFERROR(INDIRECT("'"&amp;$D$34&amp;"'!C9")&gt;1991,0),IFERROR(INDIRECT("'"&amp;$D$34&amp;"'!C9")&lt;2021,0)),INDIRECT("'"&amp;$D$34&amp;"'!GO_2022"),0)
+IF(AND(IFERROR(INDIRECT("'"&amp;$D$35&amp;"'!C9")&gt;1991,0),IFERROR(INDIRECT("'"&amp;$D$35&amp;"'!C9")&lt;2021,0)),INDIRECT("'"&amp;$D$35&amp;"'!GO_2022"),0)
+IF(AND(IFERROR(INDIRECT("'"&amp;$D$36&amp;"'!C9")&gt;1991,0),IFERROR(INDIRECT("'"&amp;$D$36&amp;"'!C9")&lt;2021,0)),INDIRECT("'"&amp;$D$36&amp;"'!GO_2022"),0)
+IF(AND(IFERROR(INDIRECT("'"&amp;$D$37&amp;"'!C9")&gt;1991,0),IFERROR(INDIRECT("'"&amp;$D$37&amp;"'!C9")&lt;2021,0)),INDIRECT("'"&amp;$D$37&amp;"'!GO_2022"),0)
+IF(AND(IFERROR(INDIRECT("'"&amp;$D$38&amp;"'!C9")&gt;1991,0),IFERROR(INDIRECT("'"&amp;$D$38&amp;"'!C9")&lt;2021,0)),INDIRECT("'"&amp;$D$38&amp;"'!GO_2022"),0)
+IF(AND(IFERROR(INDIRECT("'"&amp;$D$39&amp;"'!C9")&gt;1991,0),IFERROR(INDIRECT("'"&amp;$D$39&amp;"'!C9")&lt;2021,0)),INDIRECT("'"&amp;$D$39&amp;"'!GO_2022"),0)
+IF(AND(IFERROR(INDIRECT("'"&amp;$D$40&amp;"'!C9")&gt;1991,0),IFERROR(INDIRECT("'"&amp;$D$40&amp;"'!C9")&lt;2021,0)),INDIRECT("'"&amp;$D$40&amp;"'!GO_2022"),0)
+IF(AND(IFERROR(INDIRECT("'"&amp;$D$41&amp;"'!C9")&gt;1991,0),IFERROR(INDIRECT("'"&amp;$D$41&amp;"'!C9")&lt;2021,0)),INDIRECT("'"&amp;$D$41&amp;"'!GO_2022"),0)
+IF(AND(IFERROR(INDIRECT("'"&amp;$D$42&amp;"'!C9")&gt;1991,0),IFERROR(INDIRECT("'"&amp;$D$42&amp;"'!C9")&lt;2021,0)),INDIRECT("'"&amp;$D$42&amp;"'!GO_2022"),0)
+IF(AND(IFERROR(INDIRECT("'"&amp;$D$43&amp;"'!C9")&gt;1991,0),IFERROR(INDIRECT("'"&amp;$D$43&amp;"'!C9")&lt;2021,0)),INDIRECT("'"&amp;$D$43&amp;"'!GO_2022"),0)
+IF(AND(IFERROR(INDIRECT("'"&amp;$D$44&amp;"'!C9")&gt;1991,0),IFERROR(INDIRECT("'"&amp;$D$44&amp;"'!C9")&lt;2021,0)),INDIRECT("'"&amp;$D$44&amp;"'!GO_2022"),0)
+IF(AND(IFERROR(INDIRECT("'"&amp;$D$45&amp;"'!C9")&gt;1991,0),IFERROR(INDIRECT("'"&amp;$D$45&amp;"'!C9")&lt;2021,0)),INDIRECT("'"&amp;$D$45&amp;"'!GO_2022"),0)
+IF(AND(IFERROR(INDIRECT("'"&amp;$D$46&amp;"'!C9")&gt;1991,0),IFERROR(INDIRECT("'"&amp;$D$46&amp;"'!C9")&lt;2021,0)),INDIRECT("'"&amp;$D$46&amp;"'!GO_2022"),0)
+IF(AND(IFERROR(INDIRECT("'"&amp;$D$47&amp;"'!C9")&gt;1991,0),IFERROR(INDIRECT("'"&amp;$D$47&amp;"'!C9")&lt;2021,0)),INDIRECT("'"&amp;$D$47&amp;"'!GO_2022"),0)
+IF(AND(IFERROR(INDIRECT("'"&amp;$D$48&amp;"'!C9")&gt;1991,0),IFERROR(INDIRECT("'"&amp;$D$48&amp;"'!C9")&lt;2021,0)),INDIRECT("'"&amp;$D$48&amp;"'!GO_2022"),0)
+IF(AND(IFERROR(INDIRECT("'"&amp;$D$49&amp;"'!C9")&gt;1991,0),IFERROR(INDIRECT("'"&amp;$D$49&amp;"'!C9")&lt;2021,0)),INDIRECT("'"&amp;$D$49&amp;"'!GO_2022"),0)
+IF(AND(IFERROR(INDIRECT("'"&amp;$D$50&amp;"'!C9")&gt;1991,0),IFERROR(INDIRECT("'"&amp;$D$50&amp;"'!C9")&lt;2021,0)),INDIRECT("'"&amp;$D$50&amp;"'!GO_2022"),0)
+IF(AND(IFERROR(INDIRECT("'"&amp;$D$51&amp;"'!C9")&gt;1991,0),IFERROR(INDIRECT("'"&amp;$D$51&amp;"'!C9")&lt;2021,0)),INDIRECT("'"&amp;$D$51&amp;"'!GO_2022"),0)
+IF(AND(IFERROR(INDIRECT("'"&amp;$D$52&amp;"'!C9")&gt;1991,0),IFERROR(INDIRECT("'"&amp;$D$52&amp;"'!C9")&lt;2021,0)),INDIRECT("'"&amp;$D$52&amp;"'!GO_2022"),0)
+IF(AND(IFERROR(INDIRECT("'"&amp;$D$53&amp;"'!C9")&gt;1991,0),IFERROR(INDIRECT("'"&amp;$D$53&amp;"'!C9")&lt;2021,0)),INDIRECT("'"&amp;$D$53&amp;"'!GO_2022"),0)
+IF(AND(IFERROR(INDIRECT("'"&amp;$D$54&amp;"'!C9")&gt;1991,0),IFERROR(INDIRECT("'"&amp;$D$54&amp;"'!C9")&lt;2021,0)),INDIRECT("'"&amp;$D$54&amp;"'!GO_2022"),0)</f>
        <v>0</v>
      </c>
      <c r="M27" s="321">
        <f ca="1">IF(AND(IFERROR(INDIRECT("'"&amp;$D$5&amp;"'!C9")&gt;1991,0),IFERROR(INDIRECT("'"&amp;$D$5&amp;"'!C9")&lt;2021,0)),INDIRECT("'"&amp;$D$5&amp;"'!GO_2023"),0)
+IF(AND(IFERROR(INDIRECT("'"&amp;$D$6&amp;"'!C9")&gt;1991,0),IFERROR(INDIRECT("'"&amp;$D$6&amp;"'!C9")&lt;2021,0)),INDIRECT("'"&amp;$D$6&amp;"'!GO_2023"),0)
+IF(AND(IFERROR(INDIRECT("'"&amp;$D$7&amp;"'!C9")&gt;1991,0),IFERROR(INDIRECT("'"&amp;$D$7&amp;"'!C9")&lt;2021,0)),INDIRECT("'"&amp;$D$7&amp;"'!GO_2023"),0)
+IF(AND(IFERROR(INDIRECT("'"&amp;$D$8&amp;"'!C9")&gt;1991,0),IFERROR(INDIRECT("'"&amp;$D$8&amp;"'!C9")&lt;2021,0)),INDIRECT("'"&amp;$D$8&amp;"'!GO_2023"),0)
+IF(AND(IFERROR(INDIRECT("'"&amp;$D$9&amp;"'!C9")&gt;1991,0),IFERROR(INDIRECT("'"&amp;$D$9&amp;"'!C9")&lt;2021,0)),INDIRECT("'"&amp;$D$9&amp;"'!GO_2023"),0)
+IF(AND(IFERROR(INDIRECT("'"&amp;$D$10&amp;"'!C9")&gt;1991,0),IFERROR(INDIRECT("'"&amp;$D$10&amp;"'!C9")&lt;2021,0)),INDIRECT("'"&amp;$D$10&amp;"'!GO_2023"),0)
+IF(AND(IFERROR(INDIRECT("'"&amp;$D$11&amp;"'!C9")&gt;1991,0),IFERROR(INDIRECT("'"&amp;$D$11&amp;"'!C9")&lt;2021,0)),INDIRECT("'"&amp;$D$11&amp;"'!GO_2023"),0)
+IF(AND(IFERROR(INDIRECT("'"&amp;$D$12&amp;"'!C9")&gt;1991,0),IFERROR(INDIRECT("'"&amp;$D$12&amp;"'!C9")&lt;2021,0)),INDIRECT("'"&amp;$D$12&amp;"'!GO_2023"),0)
+IF(AND(IFERROR(INDIRECT("'"&amp;$D$13&amp;"'!C9")&gt;1991,0),IFERROR(INDIRECT("'"&amp;$D$13&amp;"'!C9")&lt;2021,0)),INDIRECT("'"&amp;$D$13&amp;"'!GO_2023"),0)
+IF(AND(IFERROR(INDIRECT("'"&amp;$D$14&amp;"'!C9")&gt;1991,0),IFERROR(INDIRECT("'"&amp;$D$14&amp;"'!C9")&lt;2021,0)),INDIRECT("'"&amp;$D$14&amp;"'!GO_2023"),0)
+IF(AND(IFERROR(INDIRECT("'"&amp;$D$15&amp;"'!C9")&gt;1991,0),IFERROR(INDIRECT("'"&amp;$D$15&amp;"'!C9")&lt;2021,0)),INDIRECT("'"&amp;$D$15&amp;"'!GO_2023"),0)
+IF(AND(IFERROR(INDIRECT("'"&amp;$D$16&amp;"'!C9")&gt;1991,0),IFERROR(INDIRECT("'"&amp;$D$16&amp;"'!C9")&lt;2021,0)),INDIRECT("'"&amp;$D$16&amp;"'!GO_2023"),0)
+IF(AND(IFERROR(INDIRECT("'"&amp;$D$17&amp;"'!C9")&gt;1991,0),IFERROR(INDIRECT("'"&amp;$D$17&amp;"'!C9")&lt;2021,0)),INDIRECT("'"&amp;$D$17&amp;"'!GO_2023"),0)
+IF(AND(IFERROR(INDIRECT("'"&amp;$D$18&amp;"'!C9")&gt;1991,0),IFERROR(INDIRECT("'"&amp;$D$18&amp;"'!C9")&lt;2021,0)),INDIRECT("'"&amp;$D$18&amp;"'!GO_2023"),0)
+IF(AND(IFERROR(INDIRECT("'"&amp;$D$19&amp;"'!C9")&gt;1991,0),IFERROR(INDIRECT("'"&amp;$D$19&amp;"'!C9")&lt;2021,0)),INDIRECT("'"&amp;$D$19&amp;"'!GO_2023"),0)
+IF(AND(IFERROR(INDIRECT("'"&amp;$D$20&amp;"'!C9")&gt;1991,0),IFERROR(INDIRECT("'"&amp;$D$20&amp;"'!C9")&lt;2021,0)),INDIRECT("'"&amp;$D$20&amp;"'!GO_2023"),0)
+IF(AND(IFERROR(INDIRECT("'"&amp;$D$21&amp;"'!C9")&gt;1991,0),IFERROR(INDIRECT("'"&amp;$D$21&amp;"'!C9")&lt;2021,0)),INDIRECT("'"&amp;$D$21&amp;"'!GO_2023"),0)
+IF(AND(IFERROR(INDIRECT("'"&amp;$D$22&amp;"'!C9")&gt;1991,0),IFERROR(INDIRECT("'"&amp;$D$22&amp;"'!C9")&lt;2021,0)),INDIRECT("'"&amp;$D$22&amp;"'!GO_2023"),0)
+IF(AND(IFERROR(INDIRECT("'"&amp;$D$23&amp;"'!C9")&gt;1991,0),IFERROR(INDIRECT("'"&amp;$D$23&amp;"'!C9")&lt;2021,0)),INDIRECT("'"&amp;$D$23&amp;"'!GO_2023"),0)
+IF(AND(IFERROR(INDIRECT("'"&amp;$D$24&amp;"'!C9")&gt;1991,0),IFERROR(INDIRECT("'"&amp;$D$24&amp;"'!C9")&lt;2021,0)),INDIRECT("'"&amp;$D$24&amp;"'!GO_2023"),0)
+IF(AND(IFERROR(INDIRECT("'"&amp;$D$25&amp;"'!C9")&gt;1991,0),IFERROR(INDIRECT("'"&amp;$D$25&amp;"'!C9")&lt;2021,0)),INDIRECT("'"&amp;$D$25&amp;"'!GO_2023"),0)
+IF(AND(IFERROR(INDIRECT("'"&amp;$D$26&amp;"'!C9")&gt;1991,0),IFERROR(INDIRECT("'"&amp;$D$26&amp;"'!C9")&lt;2021,0)),INDIRECT("'"&amp;$D$26&amp;"'!GO_2023"),0)
+IF(AND(IFERROR(INDIRECT("'"&amp;$D$27&amp;"'!C9")&gt;1991,0),IFERROR(INDIRECT("'"&amp;$D$27&amp;"'!C9")&lt;2021,0)),INDIRECT("'"&amp;$D$27&amp;"'!GO_2023"),0)
+IF(AND(IFERROR(INDIRECT("'"&amp;$D$28&amp;"'!C9")&gt;1991,0),IFERROR(INDIRECT("'"&amp;$D$28&amp;"'!C9")&lt;2021,0)),INDIRECT("'"&amp;$D$28&amp;"'!GO_2023"),0)
+IF(AND(IFERROR(INDIRECT("'"&amp;$D$29&amp;"'!C9")&gt;1991,0),IFERROR(INDIRECT("'"&amp;$D$29&amp;"'!C9")&lt;2021,0)),INDIRECT("'"&amp;$D$29&amp;"'!GO_2023"),0)
+IF(AND(IFERROR(INDIRECT("'"&amp;$D$30&amp;"'!C9")&gt;1991,0),IFERROR(INDIRECT("'"&amp;$D$30&amp;"'!C9")&lt;2021,0)),INDIRECT("'"&amp;$D$30&amp;"'!GO_2023"),0)
+IF(AND(IFERROR(INDIRECT("'"&amp;$D$31&amp;"'!C9")&gt;1991,0),IFERROR(INDIRECT("'"&amp;$D$31&amp;"'!C9")&lt;2021,0)),INDIRECT("'"&amp;$D$31&amp;"'!GO_2023"),0)
+IF(AND(IFERROR(INDIRECT("'"&amp;$D$32&amp;"'!C9")&gt;1991,0),IFERROR(INDIRECT("'"&amp;$D$32&amp;"'!C9")&lt;2021,0)),INDIRECT("'"&amp;$D$32&amp;"'!GO_2023"),0)
+IF(AND(IFERROR(INDIRECT("'"&amp;$D$33&amp;"'!C9")&gt;1991,0),IFERROR(INDIRECT("'"&amp;$D$33&amp;"'!C9")&lt;2021,0)),INDIRECT("'"&amp;$D$33&amp;"'!GO_2023"),0)
+IF(AND(IFERROR(INDIRECT("'"&amp;$D$34&amp;"'!C9")&gt;1991,0),IFERROR(INDIRECT("'"&amp;$D$34&amp;"'!C9")&lt;2021,0)),INDIRECT("'"&amp;$D$34&amp;"'!GO_2023"),0)
+IF(AND(IFERROR(INDIRECT("'"&amp;$D$35&amp;"'!C9")&gt;1991,0),IFERROR(INDIRECT("'"&amp;$D$35&amp;"'!C9")&lt;2021,0)),INDIRECT("'"&amp;$D$35&amp;"'!GO_2023"),0)
+IF(AND(IFERROR(INDIRECT("'"&amp;$D$36&amp;"'!C9")&gt;1991,0),IFERROR(INDIRECT("'"&amp;$D$36&amp;"'!C9")&lt;2021,0)),INDIRECT("'"&amp;$D$36&amp;"'!GO_2023"),0)
+IF(AND(IFERROR(INDIRECT("'"&amp;$D$37&amp;"'!C9")&gt;1991,0),IFERROR(INDIRECT("'"&amp;$D$37&amp;"'!C9")&lt;2021,0)),INDIRECT("'"&amp;$D$37&amp;"'!GO_2023"),0)
+IF(AND(IFERROR(INDIRECT("'"&amp;$D$38&amp;"'!C9")&gt;1991,0),IFERROR(INDIRECT("'"&amp;$D$38&amp;"'!C9")&lt;2021,0)),INDIRECT("'"&amp;$D$38&amp;"'!GO_2023"),0)
+IF(AND(IFERROR(INDIRECT("'"&amp;$D$39&amp;"'!C9")&gt;1991,0),IFERROR(INDIRECT("'"&amp;$D$39&amp;"'!C9")&lt;2021,0)),INDIRECT("'"&amp;$D$39&amp;"'!GO_2023"),0)
+IF(AND(IFERROR(INDIRECT("'"&amp;$D$40&amp;"'!C9")&gt;1991,0),IFERROR(INDIRECT("'"&amp;$D$40&amp;"'!C9")&lt;2021,0)),INDIRECT("'"&amp;$D$40&amp;"'!GO_2023"),0)
+IF(AND(IFERROR(INDIRECT("'"&amp;$D$41&amp;"'!C9")&gt;1991,0),IFERROR(INDIRECT("'"&amp;$D$41&amp;"'!C9")&lt;2021,0)),INDIRECT("'"&amp;$D$41&amp;"'!GO_2023"),0)
+IF(AND(IFERROR(INDIRECT("'"&amp;$D$42&amp;"'!C9")&gt;1991,0),IFERROR(INDIRECT("'"&amp;$D$42&amp;"'!C9")&lt;2021,0)),INDIRECT("'"&amp;$D$42&amp;"'!GO_2023"),0)
+IF(AND(IFERROR(INDIRECT("'"&amp;$D$43&amp;"'!C9")&gt;1991,0),IFERROR(INDIRECT("'"&amp;$D$43&amp;"'!C9")&lt;2021,0)),INDIRECT("'"&amp;$D$43&amp;"'!GO_2023"),0)
+IF(AND(IFERROR(INDIRECT("'"&amp;$D$44&amp;"'!C9")&gt;1991,0),IFERROR(INDIRECT("'"&amp;$D$44&amp;"'!C9")&lt;2021,0)),INDIRECT("'"&amp;$D$44&amp;"'!GO_2023"),0)
+IF(AND(IFERROR(INDIRECT("'"&amp;$D$45&amp;"'!C9")&gt;1991,0),IFERROR(INDIRECT("'"&amp;$D$45&amp;"'!C9")&lt;2021,0)),INDIRECT("'"&amp;$D$45&amp;"'!GO_2023"),0)
+IF(AND(IFERROR(INDIRECT("'"&amp;$D$46&amp;"'!C9")&gt;1991,0),IFERROR(INDIRECT("'"&amp;$D$46&amp;"'!C9")&lt;2021,0)),INDIRECT("'"&amp;$D$46&amp;"'!GO_2023"),0)
+IF(AND(IFERROR(INDIRECT("'"&amp;$D$47&amp;"'!C9")&gt;1991,0),IFERROR(INDIRECT("'"&amp;$D$47&amp;"'!C9")&lt;2021,0)),INDIRECT("'"&amp;$D$47&amp;"'!GO_2023"),0)
+IF(AND(IFERROR(INDIRECT("'"&amp;$D$48&amp;"'!C9")&gt;1991,0),IFERROR(INDIRECT("'"&amp;$D$48&amp;"'!C9")&lt;2021,0)),INDIRECT("'"&amp;$D$48&amp;"'!GO_2023"),0)
+IF(AND(IFERROR(INDIRECT("'"&amp;$D$49&amp;"'!C9")&gt;1991,0),IFERROR(INDIRECT("'"&amp;$D$49&amp;"'!C9")&lt;2021,0)),INDIRECT("'"&amp;$D$49&amp;"'!GO_2023"),0)
+IF(AND(IFERROR(INDIRECT("'"&amp;$D$50&amp;"'!C9")&gt;1991,0),IFERROR(INDIRECT("'"&amp;$D$50&amp;"'!C9")&lt;2021,0)),INDIRECT("'"&amp;$D$50&amp;"'!GO_2023"),0)
+IF(AND(IFERROR(INDIRECT("'"&amp;$D$51&amp;"'!C9")&gt;1991,0),IFERROR(INDIRECT("'"&amp;$D$51&amp;"'!C9")&lt;2021,0)),INDIRECT("'"&amp;$D$51&amp;"'!GO_2023"),0)
+IF(AND(IFERROR(INDIRECT("'"&amp;$D$52&amp;"'!C9")&gt;1991,0),IFERROR(INDIRECT("'"&amp;$D$52&amp;"'!C9")&lt;2021,0)),INDIRECT("'"&amp;$D$52&amp;"'!GO_2023"),0)
+IF(AND(IFERROR(INDIRECT("'"&amp;$D$53&amp;"'!C9")&gt;1991,0),IFERROR(INDIRECT("'"&amp;$D$53&amp;"'!C9")&lt;2021,0)),INDIRECT("'"&amp;$D$53&amp;"'!GO_2023"),0)
+IF(AND(IFERROR(INDIRECT("'"&amp;$D$54&amp;"'!C9")&gt;1991,0),IFERROR(INDIRECT("'"&amp;$D$54&amp;"'!C9")&lt;2021,0)),INDIRECT("'"&amp;$D$54&amp;"'!GO_2023"),0)</f>
        <v>0</v>
      </c>
      <c r="N27" s="321">
        <f ca="1">IF(AND(IFERROR(INDIRECT("'"&amp;$D$5&amp;"'!C9")&gt;1991,0),IFERROR(INDIRECT("'"&amp;$D$5&amp;"'!C9")&lt;2021,0)),INDIRECT("'"&amp;$D$5&amp;"'!GO_2024"),0)
+IF(AND(IFERROR(INDIRECT("'"&amp;$D$6&amp;"'!C9")&gt;1991,0),IFERROR(INDIRECT("'"&amp;$D$6&amp;"'!C9")&lt;2021,0)),INDIRECT("'"&amp;$D$6&amp;"'!GO_2024"),0)
+IF(AND(IFERROR(INDIRECT("'"&amp;$D$7&amp;"'!C9")&gt;1991,0),IFERROR(INDIRECT("'"&amp;$D$7&amp;"'!C9")&lt;2021,0)),INDIRECT("'"&amp;$D$7&amp;"'!GO_2024"),0)
+IF(AND(IFERROR(INDIRECT("'"&amp;$D$8&amp;"'!C9")&gt;1991,0),IFERROR(INDIRECT("'"&amp;$D$8&amp;"'!C9")&lt;2021,0)),INDIRECT("'"&amp;$D$8&amp;"'!GO_2024"),0)
+IF(AND(IFERROR(INDIRECT("'"&amp;$D$9&amp;"'!C9")&gt;1991,0),IFERROR(INDIRECT("'"&amp;$D$9&amp;"'!C9")&lt;2021,0)),INDIRECT("'"&amp;$D$9&amp;"'!GO_2024"),0)
+IF(AND(IFERROR(INDIRECT("'"&amp;$D$10&amp;"'!C9")&gt;1991,0),IFERROR(INDIRECT("'"&amp;$D$10&amp;"'!C9")&lt;2021,0)),INDIRECT("'"&amp;$D$10&amp;"'!GO_2024"),0)
+IF(AND(IFERROR(INDIRECT("'"&amp;$D$11&amp;"'!C9")&gt;1991,0),IFERROR(INDIRECT("'"&amp;$D$11&amp;"'!C9")&lt;2021,0)),INDIRECT("'"&amp;$D$11&amp;"'!GO_2024"),0)
+IF(AND(IFERROR(INDIRECT("'"&amp;$D$12&amp;"'!C9")&gt;1991,0),IFERROR(INDIRECT("'"&amp;$D$12&amp;"'!C9")&lt;2021,0)),INDIRECT("'"&amp;$D$12&amp;"'!GO_2024"),0)
+IF(AND(IFERROR(INDIRECT("'"&amp;$D$13&amp;"'!C9")&gt;1991,0),IFERROR(INDIRECT("'"&amp;$D$13&amp;"'!C9")&lt;2021,0)),INDIRECT("'"&amp;$D$13&amp;"'!GO_2024"),0)
+IF(AND(IFERROR(INDIRECT("'"&amp;$D$14&amp;"'!C9")&gt;1991,0),IFERROR(INDIRECT("'"&amp;$D$14&amp;"'!C9")&lt;2021,0)),INDIRECT("'"&amp;$D$14&amp;"'!GO_2024"),0)
+IF(AND(IFERROR(INDIRECT("'"&amp;$D$15&amp;"'!C9")&gt;1991,0),IFERROR(INDIRECT("'"&amp;$D$15&amp;"'!C9")&lt;2021,0)),INDIRECT("'"&amp;$D$15&amp;"'!GO_2024"),0)
+IF(AND(IFERROR(INDIRECT("'"&amp;$D$16&amp;"'!C9")&gt;1991,0),IFERROR(INDIRECT("'"&amp;$D$16&amp;"'!C9")&lt;2021,0)),INDIRECT("'"&amp;$D$16&amp;"'!GO_2024"),0)
+IF(AND(IFERROR(INDIRECT("'"&amp;$D$17&amp;"'!C9")&gt;1991,0),IFERROR(INDIRECT("'"&amp;$D$17&amp;"'!C9")&lt;2021,0)),INDIRECT("'"&amp;$D$17&amp;"'!GO_2024"),0)
+IF(AND(IFERROR(INDIRECT("'"&amp;$D$18&amp;"'!C9")&gt;1991,0),IFERROR(INDIRECT("'"&amp;$D$18&amp;"'!C9")&lt;2021,0)),INDIRECT("'"&amp;$D$18&amp;"'!GO_2024"),0)
+IF(AND(IFERROR(INDIRECT("'"&amp;$D$19&amp;"'!C9")&gt;1991,0),IFERROR(INDIRECT("'"&amp;$D$19&amp;"'!C9")&lt;2021,0)),INDIRECT("'"&amp;$D$19&amp;"'!GO_2024"),0)
+IF(AND(IFERROR(INDIRECT("'"&amp;$D$20&amp;"'!C9")&gt;1991,0),IFERROR(INDIRECT("'"&amp;$D$20&amp;"'!C9")&lt;2021,0)),INDIRECT("'"&amp;$D$20&amp;"'!GO_2024"),0)
+IF(AND(IFERROR(INDIRECT("'"&amp;$D$21&amp;"'!C9")&gt;1991,0),IFERROR(INDIRECT("'"&amp;$D$21&amp;"'!C9")&lt;2021,0)),INDIRECT("'"&amp;$D$21&amp;"'!GO_2024"),0)
+IF(AND(IFERROR(INDIRECT("'"&amp;$D$22&amp;"'!C9")&gt;1991,0),IFERROR(INDIRECT("'"&amp;$D$22&amp;"'!C9")&lt;2021,0)),INDIRECT("'"&amp;$D$22&amp;"'!GO_2024"),0)
+IF(AND(IFERROR(INDIRECT("'"&amp;$D$23&amp;"'!C9")&gt;1991,0),IFERROR(INDIRECT("'"&amp;$D$23&amp;"'!C9")&lt;2021,0)),INDIRECT("'"&amp;$D$23&amp;"'!GO_2024"),0)
+IF(AND(IFERROR(INDIRECT("'"&amp;$D$24&amp;"'!C9")&gt;1991,0),IFERROR(INDIRECT("'"&amp;$D$24&amp;"'!C9")&lt;2021,0)),INDIRECT("'"&amp;$D$24&amp;"'!GO_2024"),0)
+IF(AND(IFERROR(INDIRECT("'"&amp;$D$25&amp;"'!C9")&gt;1991,0),IFERROR(INDIRECT("'"&amp;$D$25&amp;"'!C9")&lt;2021,0)),INDIRECT("'"&amp;$D$25&amp;"'!GO_2024"),0)
+IF(AND(IFERROR(INDIRECT("'"&amp;$D$26&amp;"'!C9")&gt;1991,0),IFERROR(INDIRECT("'"&amp;$D$26&amp;"'!C9")&lt;2021,0)),INDIRECT("'"&amp;$D$26&amp;"'!GO_2024"),0)
+IF(AND(IFERROR(INDIRECT("'"&amp;$D$27&amp;"'!C9")&gt;1991,0),IFERROR(INDIRECT("'"&amp;$D$27&amp;"'!C9")&lt;2021,0)),INDIRECT("'"&amp;$D$27&amp;"'!GO_2024"),0)
+IF(AND(IFERROR(INDIRECT("'"&amp;$D$28&amp;"'!C9")&gt;1991,0),IFERROR(INDIRECT("'"&amp;$D$28&amp;"'!C9")&lt;2021,0)),INDIRECT("'"&amp;$D$28&amp;"'!GO_2024"),0)
+IF(AND(IFERROR(INDIRECT("'"&amp;$D$29&amp;"'!C9")&gt;1991,0),IFERROR(INDIRECT("'"&amp;$D$29&amp;"'!C9")&lt;2021,0)),INDIRECT("'"&amp;$D$29&amp;"'!GO_2024"),0)
+IF(AND(IFERROR(INDIRECT("'"&amp;$D$30&amp;"'!C9")&gt;1991,0),IFERROR(INDIRECT("'"&amp;$D$30&amp;"'!C9")&lt;2021,0)),INDIRECT("'"&amp;$D$30&amp;"'!GO_2024"),0)
+IF(AND(IFERROR(INDIRECT("'"&amp;$D$31&amp;"'!C9")&gt;1991,0),IFERROR(INDIRECT("'"&amp;$D$31&amp;"'!C9")&lt;2021,0)),INDIRECT("'"&amp;$D$31&amp;"'!GO_2024"),0)
+IF(AND(IFERROR(INDIRECT("'"&amp;$D$32&amp;"'!C9")&gt;1991,0),IFERROR(INDIRECT("'"&amp;$D$32&amp;"'!C9")&lt;2021,0)),INDIRECT("'"&amp;$D$32&amp;"'!GO_2024"),0)
+IF(AND(IFERROR(INDIRECT("'"&amp;$D$33&amp;"'!C9")&gt;1991,0),IFERROR(INDIRECT("'"&amp;$D$33&amp;"'!C9")&lt;2021,0)),INDIRECT("'"&amp;$D$33&amp;"'!GO_2024"),0)
+IF(AND(IFERROR(INDIRECT("'"&amp;$D$34&amp;"'!C9")&gt;1991,0),IFERROR(INDIRECT("'"&amp;$D$34&amp;"'!C9")&lt;2021,0)),INDIRECT("'"&amp;$D$34&amp;"'!GO_2024"),0)
+IF(AND(IFERROR(INDIRECT("'"&amp;$D$35&amp;"'!C9")&gt;1991,0),IFERROR(INDIRECT("'"&amp;$D$35&amp;"'!C9")&lt;2021,0)),INDIRECT("'"&amp;$D$35&amp;"'!GO_2024"),0)
+IF(AND(IFERROR(INDIRECT("'"&amp;$D$36&amp;"'!C9")&gt;1991,0),IFERROR(INDIRECT("'"&amp;$D$36&amp;"'!C9")&lt;2021,0)),INDIRECT("'"&amp;$D$36&amp;"'!GO_2024"),0)
+IF(AND(IFERROR(INDIRECT("'"&amp;$D$37&amp;"'!C9")&gt;1991,0),IFERROR(INDIRECT("'"&amp;$D$37&amp;"'!C9")&lt;2021,0)),INDIRECT("'"&amp;$D$37&amp;"'!GO_2024"),0)
+IF(AND(IFERROR(INDIRECT("'"&amp;$D$38&amp;"'!C9")&gt;1991,0),IFERROR(INDIRECT("'"&amp;$D$38&amp;"'!C9")&lt;2021,0)),INDIRECT("'"&amp;$D$38&amp;"'!GO_2024"),0)
+IF(AND(IFERROR(INDIRECT("'"&amp;$D$39&amp;"'!C9")&gt;1991,0),IFERROR(INDIRECT("'"&amp;$D$39&amp;"'!C9")&lt;2021,0)),INDIRECT("'"&amp;$D$39&amp;"'!GO_2024"),0)
+IF(AND(IFERROR(INDIRECT("'"&amp;$D$40&amp;"'!C9")&gt;1991,0),IFERROR(INDIRECT("'"&amp;$D$40&amp;"'!C9")&lt;2021,0)),INDIRECT("'"&amp;$D$40&amp;"'!GO_2024"),0)
+IF(AND(IFERROR(INDIRECT("'"&amp;$D$41&amp;"'!C9")&gt;1991,0),IFERROR(INDIRECT("'"&amp;$D$41&amp;"'!C9")&lt;2021,0)),INDIRECT("'"&amp;$D$41&amp;"'!GO_2024"),0)
+IF(AND(IFERROR(INDIRECT("'"&amp;$D$42&amp;"'!C9")&gt;1991,0),IFERROR(INDIRECT("'"&amp;$D$42&amp;"'!C9")&lt;2021,0)),INDIRECT("'"&amp;$D$42&amp;"'!GO_2024"),0)
+IF(AND(IFERROR(INDIRECT("'"&amp;$D$43&amp;"'!C9")&gt;1991,0),IFERROR(INDIRECT("'"&amp;$D$43&amp;"'!C9")&lt;2021,0)),INDIRECT("'"&amp;$D$43&amp;"'!GO_2024"),0)
+IF(AND(IFERROR(INDIRECT("'"&amp;$D$44&amp;"'!C9")&gt;1991,0),IFERROR(INDIRECT("'"&amp;$D$44&amp;"'!C9")&lt;2021,0)),INDIRECT("'"&amp;$D$44&amp;"'!GO_2024"),0)
+IF(AND(IFERROR(INDIRECT("'"&amp;$D$45&amp;"'!C9")&gt;1991,0),IFERROR(INDIRECT("'"&amp;$D$45&amp;"'!C9")&lt;2021,0)),INDIRECT("'"&amp;$D$45&amp;"'!GO_2024"),0)
+IF(AND(IFERROR(INDIRECT("'"&amp;$D$46&amp;"'!C9")&gt;1991,0),IFERROR(INDIRECT("'"&amp;$D$46&amp;"'!C9")&lt;2021,0)),INDIRECT("'"&amp;$D$46&amp;"'!GO_2024"),0)
+IF(AND(IFERROR(INDIRECT("'"&amp;$D$47&amp;"'!C9")&gt;1991,0),IFERROR(INDIRECT("'"&amp;$D$47&amp;"'!C9")&lt;2021,0)),INDIRECT("'"&amp;$D$47&amp;"'!GO_2024"),0)
+IF(AND(IFERROR(INDIRECT("'"&amp;$D$48&amp;"'!C9")&gt;1991,0),IFERROR(INDIRECT("'"&amp;$D$48&amp;"'!C9")&lt;2021,0)),INDIRECT("'"&amp;$D$48&amp;"'!GO_2024"),0)
+IF(AND(IFERROR(INDIRECT("'"&amp;$D$49&amp;"'!C9")&gt;1991,0),IFERROR(INDIRECT("'"&amp;$D$49&amp;"'!C9")&lt;2021,0)),INDIRECT("'"&amp;$D$49&amp;"'!GO_2024"),0)
+IF(AND(IFERROR(INDIRECT("'"&amp;$D$50&amp;"'!C9")&gt;1991,0),IFERROR(INDIRECT("'"&amp;$D$50&amp;"'!C9")&lt;2021,0)),INDIRECT("'"&amp;$D$50&amp;"'!GO_2024"),0)
+IF(AND(IFERROR(INDIRECT("'"&amp;$D$51&amp;"'!C9")&gt;1991,0),IFERROR(INDIRECT("'"&amp;$D$51&amp;"'!C9")&lt;2021,0)),INDIRECT("'"&amp;$D$51&amp;"'!GO_2024"),0)
+IF(AND(IFERROR(INDIRECT("'"&amp;$D$52&amp;"'!C9")&gt;1991,0),IFERROR(INDIRECT("'"&amp;$D$52&amp;"'!C9")&lt;2021,0)),INDIRECT("'"&amp;$D$52&amp;"'!GO_2024"),0)
+IF(AND(IFERROR(INDIRECT("'"&amp;$D$53&amp;"'!C9")&gt;1991,0),IFERROR(INDIRECT("'"&amp;$D$53&amp;"'!C9")&lt;2021,0)),INDIRECT("'"&amp;$D$53&amp;"'!GO_2024"),0)
+IF(AND(IFERROR(INDIRECT("'"&amp;$D$54&amp;"'!C9")&gt;1991,0),IFERROR(INDIRECT("'"&amp;$D$54&amp;"'!C9")&lt;2021,0)),INDIRECT("'"&amp;$D$54&amp;"'!GO_2024"),0)</f>
        <v>0</v>
      </c>
      <c r="O27" s="321">
        <f ca="1">IF(AND(IFERROR(INDIRECT("'"&amp;$D$5&amp;"'!C9")&gt;1991,0),IFERROR(INDIRECT("'"&amp;$D$5&amp;"'!C9")&lt;2021,0)),INDIRECT("'"&amp;$D$5&amp;"'!GO_2025"),0)
+IF(AND(IFERROR(INDIRECT("'"&amp;$D$6&amp;"'!C9")&gt;1991,0),IFERROR(INDIRECT("'"&amp;$D$6&amp;"'!C9")&lt;2021,0)),INDIRECT("'"&amp;$D$6&amp;"'!GO_2025"),0)
+IF(AND(IFERROR(INDIRECT("'"&amp;$D$7&amp;"'!C9")&gt;1991,0),IFERROR(INDIRECT("'"&amp;$D$7&amp;"'!C9")&lt;2021,0)),INDIRECT("'"&amp;$D$7&amp;"'!GO_2025"),0)
+IF(AND(IFERROR(INDIRECT("'"&amp;$D$8&amp;"'!C9")&gt;1991,0),IFERROR(INDIRECT("'"&amp;$D$8&amp;"'!C9")&lt;2021,0)),INDIRECT("'"&amp;$D$8&amp;"'!GO_2025"),0)
+IF(AND(IFERROR(INDIRECT("'"&amp;$D$9&amp;"'!C9")&gt;1991,0),IFERROR(INDIRECT("'"&amp;$D$9&amp;"'!C9")&lt;2021,0)),INDIRECT("'"&amp;$D$9&amp;"'!GO_2025"),0)
+IF(AND(IFERROR(INDIRECT("'"&amp;$D$10&amp;"'!C9")&gt;1991,0),IFERROR(INDIRECT("'"&amp;$D$10&amp;"'!C9")&lt;2021,0)),INDIRECT("'"&amp;$D$10&amp;"'!GO_2025"),0)
+IF(AND(IFERROR(INDIRECT("'"&amp;$D$11&amp;"'!C9")&gt;1991,0),IFERROR(INDIRECT("'"&amp;$D$11&amp;"'!C9")&lt;2021,0)),INDIRECT("'"&amp;$D$11&amp;"'!GO_2025"),0)
+IF(AND(IFERROR(INDIRECT("'"&amp;$D$12&amp;"'!C9")&gt;1991,0),IFERROR(INDIRECT("'"&amp;$D$12&amp;"'!C9")&lt;2021,0)),INDIRECT("'"&amp;$D$12&amp;"'!GO_2025"),0)
+IF(AND(IFERROR(INDIRECT("'"&amp;$D$13&amp;"'!C9")&gt;1991,0),IFERROR(INDIRECT("'"&amp;$D$13&amp;"'!C9")&lt;2021,0)),INDIRECT("'"&amp;$D$13&amp;"'!GO_2025"),0)
+IF(AND(IFERROR(INDIRECT("'"&amp;$D$14&amp;"'!C9")&gt;1991,0),IFERROR(INDIRECT("'"&amp;$D$14&amp;"'!C9")&lt;2021,0)),INDIRECT("'"&amp;$D$14&amp;"'!GO_2025"),0)
+IF(AND(IFERROR(INDIRECT("'"&amp;$D$15&amp;"'!C9")&gt;1991,0),IFERROR(INDIRECT("'"&amp;$D$15&amp;"'!C9")&lt;2021,0)),INDIRECT("'"&amp;$D$15&amp;"'!GO_2025"),0)
+IF(AND(IFERROR(INDIRECT("'"&amp;$D$16&amp;"'!C9")&gt;1991,0),IFERROR(INDIRECT("'"&amp;$D$16&amp;"'!C9")&lt;2021,0)),INDIRECT("'"&amp;$D$16&amp;"'!GO_2025"),0)
+IF(AND(IFERROR(INDIRECT("'"&amp;$D$17&amp;"'!C9")&gt;1991,0),IFERROR(INDIRECT("'"&amp;$D$17&amp;"'!C9")&lt;2021,0)),INDIRECT("'"&amp;$D$17&amp;"'!GO_2025"),0)
+IF(AND(IFERROR(INDIRECT("'"&amp;$D$18&amp;"'!C9")&gt;1991,0),IFERROR(INDIRECT("'"&amp;$D$18&amp;"'!C9")&lt;2021,0)),INDIRECT("'"&amp;$D$18&amp;"'!GO_2025"),0)
+IF(AND(IFERROR(INDIRECT("'"&amp;$D$19&amp;"'!C9")&gt;1991,0),IFERROR(INDIRECT("'"&amp;$D$19&amp;"'!C9")&lt;2021,0)),INDIRECT("'"&amp;$D$19&amp;"'!GO_2025"),0)
+IF(AND(IFERROR(INDIRECT("'"&amp;$D$20&amp;"'!C9")&gt;1991,0),IFERROR(INDIRECT("'"&amp;$D$20&amp;"'!C9")&lt;2021,0)),INDIRECT("'"&amp;$D$20&amp;"'!GO_2025"),0)
+IF(AND(IFERROR(INDIRECT("'"&amp;$D$21&amp;"'!C9")&gt;1991,0),IFERROR(INDIRECT("'"&amp;$D$21&amp;"'!C9")&lt;2021,0)),INDIRECT("'"&amp;$D$21&amp;"'!GO_2025"),0)
+IF(AND(IFERROR(INDIRECT("'"&amp;$D$22&amp;"'!C9")&gt;1991,0),IFERROR(INDIRECT("'"&amp;$D$22&amp;"'!C9")&lt;2021,0)),INDIRECT("'"&amp;$D$22&amp;"'!GO_2025"),0)
+IF(AND(IFERROR(INDIRECT("'"&amp;$D$23&amp;"'!C9")&gt;1991,0),IFERROR(INDIRECT("'"&amp;$D$23&amp;"'!C9")&lt;2021,0)),INDIRECT("'"&amp;$D$23&amp;"'!GO_2025"),0)
+IF(AND(IFERROR(INDIRECT("'"&amp;$D$24&amp;"'!C9")&gt;1991,0),IFERROR(INDIRECT("'"&amp;$D$24&amp;"'!C9")&lt;2021,0)),INDIRECT("'"&amp;$D$24&amp;"'!GO_2025"),0)
+IF(AND(IFERROR(INDIRECT("'"&amp;$D$25&amp;"'!C9")&gt;1991,0),IFERROR(INDIRECT("'"&amp;$D$25&amp;"'!C9")&lt;2021,0)),INDIRECT("'"&amp;$D$25&amp;"'!GO_2025"),0)
+IF(AND(IFERROR(INDIRECT("'"&amp;$D$26&amp;"'!C9")&gt;1991,0),IFERROR(INDIRECT("'"&amp;$D$26&amp;"'!C9")&lt;2021,0)),INDIRECT("'"&amp;$D$26&amp;"'!GO_2025"),0)
+IF(AND(IFERROR(INDIRECT("'"&amp;$D$27&amp;"'!C9")&gt;1991,0),IFERROR(INDIRECT("'"&amp;$D$27&amp;"'!C9")&lt;2021,0)),INDIRECT("'"&amp;$D$27&amp;"'!GO_2025"),0)
+IF(AND(IFERROR(INDIRECT("'"&amp;$D$28&amp;"'!C9")&gt;1991,0),IFERROR(INDIRECT("'"&amp;$D$28&amp;"'!C9")&lt;2021,0)),INDIRECT("'"&amp;$D$28&amp;"'!GO_2025"),0)
+IF(AND(IFERROR(INDIRECT("'"&amp;$D$29&amp;"'!C9")&gt;1991,0),IFERROR(INDIRECT("'"&amp;$D$29&amp;"'!C9")&lt;2021,0)),INDIRECT("'"&amp;$D$29&amp;"'!GO_2025"),0)
+IF(AND(IFERROR(INDIRECT("'"&amp;$D$30&amp;"'!C9")&gt;1991,0),IFERROR(INDIRECT("'"&amp;$D$30&amp;"'!C9")&lt;2021,0)),INDIRECT("'"&amp;$D$30&amp;"'!GO_2025"),0)
+IF(AND(IFERROR(INDIRECT("'"&amp;$D$31&amp;"'!C9")&gt;1991,0),IFERROR(INDIRECT("'"&amp;$D$31&amp;"'!C9")&lt;2021,0)),INDIRECT("'"&amp;$D$31&amp;"'!GO_2025"),0)
+IF(AND(IFERROR(INDIRECT("'"&amp;$D$32&amp;"'!C9")&gt;1991,0),IFERROR(INDIRECT("'"&amp;$D$32&amp;"'!C9")&lt;2021,0)),INDIRECT("'"&amp;$D$32&amp;"'!GO_2025"),0)
+IF(AND(IFERROR(INDIRECT("'"&amp;$D$33&amp;"'!C9")&gt;1991,0),IFERROR(INDIRECT("'"&amp;$D$33&amp;"'!C9")&lt;2021,0)),INDIRECT("'"&amp;$D$33&amp;"'!GO_2025"),0)
+IF(AND(IFERROR(INDIRECT("'"&amp;$D$34&amp;"'!C9")&gt;1991,0),IFERROR(INDIRECT("'"&amp;$D$34&amp;"'!C9")&lt;2021,0)),INDIRECT("'"&amp;$D$34&amp;"'!GO_2025"),0)
+IF(AND(IFERROR(INDIRECT("'"&amp;$D$35&amp;"'!C9")&gt;1991,0),IFERROR(INDIRECT("'"&amp;$D$35&amp;"'!C9")&lt;2021,0)),INDIRECT("'"&amp;$D$35&amp;"'!GO_2025"),0)
+IF(AND(IFERROR(INDIRECT("'"&amp;$D$36&amp;"'!C9")&gt;1991,0),IFERROR(INDIRECT("'"&amp;$D$36&amp;"'!C9")&lt;2021,0)),INDIRECT("'"&amp;$D$36&amp;"'!GO_2025"),0)
+IF(AND(IFERROR(INDIRECT("'"&amp;$D$37&amp;"'!C9")&gt;1991,0),IFERROR(INDIRECT("'"&amp;$D$37&amp;"'!C9")&lt;2021,0)),INDIRECT("'"&amp;$D$37&amp;"'!GO_2025"),0)
+IF(AND(IFERROR(INDIRECT("'"&amp;$D$38&amp;"'!C9")&gt;1991,0),IFERROR(INDIRECT("'"&amp;$D$38&amp;"'!C9")&lt;2021,0)),INDIRECT("'"&amp;$D$38&amp;"'!GO_2025"),0)
+IF(AND(IFERROR(INDIRECT("'"&amp;$D$39&amp;"'!C9")&gt;1991,0),IFERROR(INDIRECT("'"&amp;$D$39&amp;"'!C9")&lt;2021,0)),INDIRECT("'"&amp;$D$39&amp;"'!GO_2025"),0)
+IF(AND(IFERROR(INDIRECT("'"&amp;$D$40&amp;"'!C9")&gt;1991,0),IFERROR(INDIRECT("'"&amp;$D$40&amp;"'!C9")&lt;2021,0)),INDIRECT("'"&amp;$D$40&amp;"'!GO_2025"),0)
+IF(AND(IFERROR(INDIRECT("'"&amp;$D$41&amp;"'!C9")&gt;1991,0),IFERROR(INDIRECT("'"&amp;$D$41&amp;"'!C9")&lt;2021,0)),INDIRECT("'"&amp;$D$41&amp;"'!GO_2025"),0)
+IF(AND(IFERROR(INDIRECT("'"&amp;$D$42&amp;"'!C9")&gt;1991,0),IFERROR(INDIRECT("'"&amp;$D$42&amp;"'!C9")&lt;2021,0)),INDIRECT("'"&amp;$D$42&amp;"'!GO_2025"),0)
+IF(AND(IFERROR(INDIRECT("'"&amp;$D$43&amp;"'!C9")&gt;1991,0),IFERROR(INDIRECT("'"&amp;$D$43&amp;"'!C9")&lt;2021,0)),INDIRECT("'"&amp;$D$43&amp;"'!GO_2025"),0)
+IF(AND(IFERROR(INDIRECT("'"&amp;$D$44&amp;"'!C9")&gt;1991,0),IFERROR(INDIRECT("'"&amp;$D$44&amp;"'!C9")&lt;2021,0)),INDIRECT("'"&amp;$D$44&amp;"'!GO_2025"),0)
+IF(AND(IFERROR(INDIRECT("'"&amp;$D$45&amp;"'!C9")&gt;1991,0),IFERROR(INDIRECT("'"&amp;$D$45&amp;"'!C9")&lt;2021,0)),INDIRECT("'"&amp;$D$45&amp;"'!GO_2025"),0)
+IF(AND(IFERROR(INDIRECT("'"&amp;$D$46&amp;"'!C9")&gt;1991,0),IFERROR(INDIRECT("'"&amp;$D$46&amp;"'!C9")&lt;2021,0)),INDIRECT("'"&amp;$D$46&amp;"'!GO_2025"),0)
+IF(AND(IFERROR(INDIRECT("'"&amp;$D$47&amp;"'!C9")&gt;1991,0),IFERROR(INDIRECT("'"&amp;$D$47&amp;"'!C9")&lt;2021,0)),INDIRECT("'"&amp;$D$47&amp;"'!GO_2025"),0)
+IF(AND(IFERROR(INDIRECT("'"&amp;$D$48&amp;"'!C9")&gt;1991,0),IFERROR(INDIRECT("'"&amp;$D$48&amp;"'!C9")&lt;2021,0)),INDIRECT("'"&amp;$D$48&amp;"'!GO_2025"),0)
+IF(AND(IFERROR(INDIRECT("'"&amp;$D$49&amp;"'!C9")&gt;1991,0),IFERROR(INDIRECT("'"&amp;$D$49&amp;"'!C9")&lt;2021,0)),INDIRECT("'"&amp;$D$49&amp;"'!GO_2025"),0)
+IF(AND(IFERROR(INDIRECT("'"&amp;$D$50&amp;"'!C9")&gt;1991,0),IFERROR(INDIRECT("'"&amp;$D$50&amp;"'!C9")&lt;2021,0)),INDIRECT("'"&amp;$D$50&amp;"'!GO_2025"),0)
+IF(AND(IFERROR(INDIRECT("'"&amp;$D$51&amp;"'!C9")&gt;1991,0),IFERROR(INDIRECT("'"&amp;$D$51&amp;"'!C9")&lt;2021,0)),INDIRECT("'"&amp;$D$51&amp;"'!GO_2025"),0)
+IF(AND(IFERROR(INDIRECT("'"&amp;$D$52&amp;"'!C9")&gt;1991,0),IFERROR(INDIRECT("'"&amp;$D$52&amp;"'!C9")&lt;2021,0)),INDIRECT("'"&amp;$D$52&amp;"'!GO_2025"),0)
+IF(AND(IFERROR(INDIRECT("'"&amp;$D$53&amp;"'!C9")&gt;1991,0),IFERROR(INDIRECT("'"&amp;$D$53&amp;"'!C9")&lt;2021,0)),INDIRECT("'"&amp;$D$53&amp;"'!GO_2025"),0)
+IF(AND(IFERROR(INDIRECT("'"&amp;$D$54&amp;"'!C9")&gt;1991,0),IFERROR(INDIRECT("'"&amp;$D$54&amp;"'!C9")&lt;2021,0)),INDIRECT("'"&amp;$D$54&amp;"'!GO_2025"),0)</f>
        <v>0</v>
      </c>
      <c r="P27" s="321">
        <f ca="1">IF(AND(IFERROR(INDIRECT("'"&amp;$D$5&amp;"'!C9")&gt;1991,0),IFERROR(INDIRECT("'"&amp;$D$5&amp;"'!C9")&lt;2021,0)),INDIRECT("'"&amp;$D$5&amp;"'!GO_2026"),0)
+IF(AND(IFERROR(INDIRECT("'"&amp;$D$6&amp;"'!C9")&gt;1991,0),IFERROR(INDIRECT("'"&amp;$D$6&amp;"'!C9")&lt;2021,0)),INDIRECT("'"&amp;$D$6&amp;"'!GO_2026"),0)
+IF(AND(IFERROR(INDIRECT("'"&amp;$D$7&amp;"'!C9")&gt;1991,0),IFERROR(INDIRECT("'"&amp;$D$7&amp;"'!C9")&lt;2021,0)),INDIRECT("'"&amp;$D$7&amp;"'!GO_2026"),0)
+IF(AND(IFERROR(INDIRECT("'"&amp;$D$8&amp;"'!C9")&gt;1991,0),IFERROR(INDIRECT("'"&amp;$D$8&amp;"'!C9")&lt;2021,0)),INDIRECT("'"&amp;$D$8&amp;"'!GO_2026"),0)
+IF(AND(IFERROR(INDIRECT("'"&amp;$D$9&amp;"'!C9")&gt;1991,0),IFERROR(INDIRECT("'"&amp;$D$9&amp;"'!C9")&lt;2021,0)),INDIRECT("'"&amp;$D$9&amp;"'!GO_2026"),0)
+IF(AND(IFERROR(INDIRECT("'"&amp;$D$10&amp;"'!C9")&gt;1991,0),IFERROR(INDIRECT("'"&amp;$D$10&amp;"'!C9")&lt;2021,0)),INDIRECT("'"&amp;$D$10&amp;"'!GO_2026"),0)
+IF(AND(IFERROR(INDIRECT("'"&amp;$D$11&amp;"'!C9")&gt;1991,0),IFERROR(INDIRECT("'"&amp;$D$11&amp;"'!C9")&lt;2021,0)),INDIRECT("'"&amp;$D$11&amp;"'!GO_2026"),0)
+IF(AND(IFERROR(INDIRECT("'"&amp;$D$12&amp;"'!C9")&gt;1991,0),IFERROR(INDIRECT("'"&amp;$D$12&amp;"'!C9")&lt;2021,0)),INDIRECT("'"&amp;$D$12&amp;"'!GO_2026"),0)
+IF(AND(IFERROR(INDIRECT("'"&amp;$D$13&amp;"'!C9")&gt;1991,0),IFERROR(INDIRECT("'"&amp;$D$13&amp;"'!C9")&lt;2021,0)),INDIRECT("'"&amp;$D$13&amp;"'!GO_2026"),0)
+IF(AND(IFERROR(INDIRECT("'"&amp;$D$14&amp;"'!C9")&gt;1991,0),IFERROR(INDIRECT("'"&amp;$D$14&amp;"'!C9")&lt;2021,0)),INDIRECT("'"&amp;$D$14&amp;"'!GO_2026"),0)
+IF(AND(IFERROR(INDIRECT("'"&amp;$D$15&amp;"'!C9")&gt;1991,0),IFERROR(INDIRECT("'"&amp;$D$15&amp;"'!C9")&lt;2021,0)),INDIRECT("'"&amp;$D$15&amp;"'!GO_2026"),0)
+IF(AND(IFERROR(INDIRECT("'"&amp;$D$16&amp;"'!C9")&gt;1991,0),IFERROR(INDIRECT("'"&amp;$D$16&amp;"'!C9")&lt;2021,0)),INDIRECT("'"&amp;$D$16&amp;"'!GO_2026"),0)
+IF(AND(IFERROR(INDIRECT("'"&amp;$D$17&amp;"'!C9")&gt;1991,0),IFERROR(INDIRECT("'"&amp;$D$17&amp;"'!C9")&lt;2021,0)),INDIRECT("'"&amp;$D$17&amp;"'!GO_2026"),0)
+IF(AND(IFERROR(INDIRECT("'"&amp;$D$18&amp;"'!C9")&gt;1991,0),IFERROR(INDIRECT("'"&amp;$D$18&amp;"'!C9")&lt;2021,0)),INDIRECT("'"&amp;$D$18&amp;"'!GO_2026"),0)
+IF(AND(IFERROR(INDIRECT("'"&amp;$D$19&amp;"'!C9")&gt;1991,0),IFERROR(INDIRECT("'"&amp;$D$19&amp;"'!C9")&lt;2021,0)),INDIRECT("'"&amp;$D$19&amp;"'!GO_2026"),0)
+IF(AND(IFERROR(INDIRECT("'"&amp;$D$20&amp;"'!C9")&gt;1991,0),IFERROR(INDIRECT("'"&amp;$D$20&amp;"'!C9")&lt;2021,0)),INDIRECT("'"&amp;$D$20&amp;"'!GO_2026"),0)
+IF(AND(IFERROR(INDIRECT("'"&amp;$D$21&amp;"'!C9")&gt;1991,0),IFERROR(INDIRECT("'"&amp;$D$21&amp;"'!C9")&lt;2021,0)),INDIRECT("'"&amp;$D$21&amp;"'!GO_2026"),0)
+IF(AND(IFERROR(INDIRECT("'"&amp;$D$22&amp;"'!C9")&gt;1991,0),IFERROR(INDIRECT("'"&amp;$D$22&amp;"'!C9")&lt;2021,0)),INDIRECT("'"&amp;$D$22&amp;"'!GO_2026"),0)
+IF(AND(IFERROR(INDIRECT("'"&amp;$D$23&amp;"'!C9")&gt;1991,0),IFERROR(INDIRECT("'"&amp;$D$23&amp;"'!C9")&lt;2021,0)),INDIRECT("'"&amp;$D$23&amp;"'!GO_2026"),0)
+IF(AND(IFERROR(INDIRECT("'"&amp;$D$24&amp;"'!C9")&gt;1991,0),IFERROR(INDIRECT("'"&amp;$D$24&amp;"'!C9")&lt;2021,0)),INDIRECT("'"&amp;$D$24&amp;"'!GO_2026"),0)
+IF(AND(IFERROR(INDIRECT("'"&amp;$D$25&amp;"'!C9")&gt;1991,0),IFERROR(INDIRECT("'"&amp;$D$25&amp;"'!C9")&lt;2021,0)),INDIRECT("'"&amp;$D$25&amp;"'!GO_2026"),0)
+IF(AND(IFERROR(INDIRECT("'"&amp;$D$26&amp;"'!C9")&gt;1991,0),IFERROR(INDIRECT("'"&amp;$D$26&amp;"'!C9")&lt;2021,0)),INDIRECT("'"&amp;$D$26&amp;"'!GO_2026"),0)
+IF(AND(IFERROR(INDIRECT("'"&amp;$D$27&amp;"'!C9")&gt;1991,0),IFERROR(INDIRECT("'"&amp;$D$27&amp;"'!C9")&lt;2021,0)),INDIRECT("'"&amp;$D$27&amp;"'!GO_2026"),0)
+IF(AND(IFERROR(INDIRECT("'"&amp;$D$28&amp;"'!C9")&gt;1991,0),IFERROR(INDIRECT("'"&amp;$D$28&amp;"'!C9")&lt;2021,0)),INDIRECT("'"&amp;$D$28&amp;"'!GO_2026"),0)
+IF(AND(IFERROR(INDIRECT("'"&amp;$D$29&amp;"'!C9")&gt;1991,0),IFERROR(INDIRECT("'"&amp;$D$29&amp;"'!C9")&lt;2021,0)),INDIRECT("'"&amp;$D$29&amp;"'!GO_2026"),0)
+IF(AND(IFERROR(INDIRECT("'"&amp;$D$30&amp;"'!C9")&gt;1991,0),IFERROR(INDIRECT("'"&amp;$D$30&amp;"'!C9")&lt;2021,0)),INDIRECT("'"&amp;$D$30&amp;"'!GO_2026"),0)
+IF(AND(IFERROR(INDIRECT("'"&amp;$D$31&amp;"'!C9")&gt;1991,0),IFERROR(INDIRECT("'"&amp;$D$31&amp;"'!C9")&lt;2021,0)),INDIRECT("'"&amp;$D$31&amp;"'!GO_2026"),0)
+IF(AND(IFERROR(INDIRECT("'"&amp;$D$32&amp;"'!C9")&gt;1991,0),IFERROR(INDIRECT("'"&amp;$D$32&amp;"'!C9")&lt;2021,0)),INDIRECT("'"&amp;$D$32&amp;"'!GO_2026"),0)
+IF(AND(IFERROR(INDIRECT("'"&amp;$D$33&amp;"'!C9")&gt;1991,0),IFERROR(INDIRECT("'"&amp;$D$33&amp;"'!C9")&lt;2021,0)),INDIRECT("'"&amp;$D$33&amp;"'!GO_2026"),0)
+IF(AND(IFERROR(INDIRECT("'"&amp;$D$34&amp;"'!C9")&gt;1991,0),IFERROR(INDIRECT("'"&amp;$D$34&amp;"'!C9")&lt;2021,0)),INDIRECT("'"&amp;$D$34&amp;"'!GO_2026"),0)
+IF(AND(IFERROR(INDIRECT("'"&amp;$D$35&amp;"'!C9")&gt;1991,0),IFERROR(INDIRECT("'"&amp;$D$35&amp;"'!C9")&lt;2021,0)),INDIRECT("'"&amp;$D$35&amp;"'!GO_2026"),0)
+IF(AND(IFERROR(INDIRECT("'"&amp;$D$36&amp;"'!C9")&gt;1991,0),IFERROR(INDIRECT("'"&amp;$D$36&amp;"'!C9")&lt;2021,0)),INDIRECT("'"&amp;$D$36&amp;"'!GO_2026"),0)
+IF(AND(IFERROR(INDIRECT("'"&amp;$D$37&amp;"'!C9")&gt;1991,0),IFERROR(INDIRECT("'"&amp;$D$37&amp;"'!C9")&lt;2021,0)),INDIRECT("'"&amp;$D$37&amp;"'!GO_2026"),0)
+IF(AND(IFERROR(INDIRECT("'"&amp;$D$38&amp;"'!C9")&gt;1991,0),IFERROR(INDIRECT("'"&amp;$D$38&amp;"'!C9")&lt;2021,0)),INDIRECT("'"&amp;$D$38&amp;"'!GO_2026"),0)
+IF(AND(IFERROR(INDIRECT("'"&amp;$D$39&amp;"'!C9")&gt;1991,0),IFERROR(INDIRECT("'"&amp;$D$39&amp;"'!C9")&lt;2021,0)),INDIRECT("'"&amp;$D$39&amp;"'!GO_2026"),0)
+IF(AND(IFERROR(INDIRECT("'"&amp;$D$40&amp;"'!C9")&gt;1991,0),IFERROR(INDIRECT("'"&amp;$D$40&amp;"'!C9")&lt;2021,0)),INDIRECT("'"&amp;$D$40&amp;"'!GO_2026"),0)
+IF(AND(IFERROR(INDIRECT("'"&amp;$D$41&amp;"'!C9")&gt;1991,0),IFERROR(INDIRECT("'"&amp;$D$41&amp;"'!C9")&lt;2021,0)),INDIRECT("'"&amp;$D$41&amp;"'!GO_2026"),0)
+IF(AND(IFERROR(INDIRECT("'"&amp;$D$42&amp;"'!C9")&gt;1991,0),IFERROR(INDIRECT("'"&amp;$D$42&amp;"'!C9")&lt;2021,0)),INDIRECT("'"&amp;$D$42&amp;"'!GO_2026"),0)
+IF(AND(IFERROR(INDIRECT("'"&amp;$D$43&amp;"'!C9")&gt;1991,0),IFERROR(INDIRECT("'"&amp;$D$43&amp;"'!C9")&lt;2021,0)),INDIRECT("'"&amp;$D$43&amp;"'!GO_2026"),0)
+IF(AND(IFERROR(INDIRECT("'"&amp;$D$44&amp;"'!C9")&gt;1991,0),IFERROR(INDIRECT("'"&amp;$D$44&amp;"'!C9")&lt;2021,0)),INDIRECT("'"&amp;$D$44&amp;"'!GO_2026"),0)
+IF(AND(IFERROR(INDIRECT("'"&amp;$D$45&amp;"'!C9")&gt;1991,0),IFERROR(INDIRECT("'"&amp;$D$45&amp;"'!C9")&lt;2021,0)),INDIRECT("'"&amp;$D$45&amp;"'!GO_2026"),0)
+IF(AND(IFERROR(INDIRECT("'"&amp;$D$46&amp;"'!C9")&gt;1991,0),IFERROR(INDIRECT("'"&amp;$D$46&amp;"'!C9")&lt;2021,0)),INDIRECT("'"&amp;$D$46&amp;"'!GO_2026"),0)
+IF(AND(IFERROR(INDIRECT("'"&amp;$D$47&amp;"'!C9")&gt;1991,0),IFERROR(INDIRECT("'"&amp;$D$47&amp;"'!C9")&lt;2021,0)),INDIRECT("'"&amp;$D$47&amp;"'!GO_2026"),0)
+IF(AND(IFERROR(INDIRECT("'"&amp;$D$48&amp;"'!C9")&gt;1991,0),IFERROR(INDIRECT("'"&amp;$D$48&amp;"'!C9")&lt;2021,0)),INDIRECT("'"&amp;$D$48&amp;"'!GO_2026"),0)
+IF(AND(IFERROR(INDIRECT("'"&amp;$D$49&amp;"'!C9")&gt;1991,0),IFERROR(INDIRECT("'"&amp;$D$49&amp;"'!C9")&lt;2021,0)),INDIRECT("'"&amp;$D$49&amp;"'!GO_2026"),0)
+IF(AND(IFERROR(INDIRECT("'"&amp;$D$50&amp;"'!C9")&gt;1991,0),IFERROR(INDIRECT("'"&amp;$D$50&amp;"'!C9")&lt;2021,0)),INDIRECT("'"&amp;$D$50&amp;"'!GO_2026"),0)
+IF(AND(IFERROR(INDIRECT("'"&amp;$D$51&amp;"'!C9")&gt;1991,0),IFERROR(INDIRECT("'"&amp;$D$51&amp;"'!C9")&lt;2021,0)),INDIRECT("'"&amp;$D$51&amp;"'!GO_2026"),0)
+IF(AND(IFERROR(INDIRECT("'"&amp;$D$52&amp;"'!C9")&gt;1991,0),IFERROR(INDIRECT("'"&amp;$D$52&amp;"'!C9")&lt;2021,0)),INDIRECT("'"&amp;$D$52&amp;"'!GO_2026"),0)
+IF(AND(IFERROR(INDIRECT("'"&amp;$D$53&amp;"'!C9")&gt;1991,0),IFERROR(INDIRECT("'"&amp;$D$53&amp;"'!C9")&lt;2021,0)),INDIRECT("'"&amp;$D$53&amp;"'!GO_2026"),0)
+IF(AND(IFERROR(INDIRECT("'"&amp;$D$54&amp;"'!C9")&gt;1991,0),IFERROR(INDIRECT("'"&amp;$D$54&amp;"'!C9")&lt;2021,0)),INDIRECT("'"&amp;$D$54&amp;"'!GO_2026"),0)</f>
        <v>0</v>
      </c>
      <c r="Q27" s="321">
        <f ca="1">IF(AND(IFERROR(INDIRECT("'"&amp;$D$5&amp;"'!C9")&gt;1991,0),IFERROR(INDIRECT("'"&amp;$D$5&amp;"'!C9")&lt;2021,0)),INDIRECT("'"&amp;$D$5&amp;"'!GO_2027"),0)
+IF(AND(IFERROR(INDIRECT("'"&amp;$D$6&amp;"'!C9")&gt;1991,0),IFERROR(INDIRECT("'"&amp;$D$6&amp;"'!C9")&lt;2021,0)),INDIRECT("'"&amp;$D$6&amp;"'!GO_2027"),0)
+IF(AND(IFERROR(INDIRECT("'"&amp;$D$7&amp;"'!C9")&gt;1991,0),IFERROR(INDIRECT("'"&amp;$D$7&amp;"'!C9")&lt;2021,0)),INDIRECT("'"&amp;$D$7&amp;"'!GO_2027"),0)
+IF(AND(IFERROR(INDIRECT("'"&amp;$D$8&amp;"'!C9")&gt;1991,0),IFERROR(INDIRECT("'"&amp;$D$8&amp;"'!C9")&lt;2021,0)),INDIRECT("'"&amp;$D$8&amp;"'!GO_2027"),0)
+IF(AND(IFERROR(INDIRECT("'"&amp;$D$9&amp;"'!C9")&gt;1991,0),IFERROR(INDIRECT("'"&amp;$D$9&amp;"'!C9")&lt;2021,0)),INDIRECT("'"&amp;$D$9&amp;"'!GO_2027"),0)
+IF(AND(IFERROR(INDIRECT("'"&amp;$D$10&amp;"'!C9")&gt;1991,0),IFERROR(INDIRECT("'"&amp;$D$10&amp;"'!C9")&lt;2021,0)),INDIRECT("'"&amp;$D$10&amp;"'!GO_2027"),0)
+IF(AND(IFERROR(INDIRECT("'"&amp;$D$11&amp;"'!C9")&gt;1991,0),IFERROR(INDIRECT("'"&amp;$D$11&amp;"'!C9")&lt;2021,0)),INDIRECT("'"&amp;$D$11&amp;"'!GO_2027"),0)
+IF(AND(IFERROR(INDIRECT("'"&amp;$D$12&amp;"'!C9")&gt;1991,0),IFERROR(INDIRECT("'"&amp;$D$12&amp;"'!C9")&lt;2021,0)),INDIRECT("'"&amp;$D$12&amp;"'!GO_2027"),0)
+IF(AND(IFERROR(INDIRECT("'"&amp;$D$13&amp;"'!C9")&gt;1991,0),IFERROR(INDIRECT("'"&amp;$D$13&amp;"'!C9")&lt;2021,0)),INDIRECT("'"&amp;$D$13&amp;"'!GO_2027"),0)
+IF(AND(IFERROR(INDIRECT("'"&amp;$D$14&amp;"'!C9")&gt;1991,0),IFERROR(INDIRECT("'"&amp;$D$14&amp;"'!C9")&lt;2021,0)),INDIRECT("'"&amp;$D$14&amp;"'!GO_2027"),0)
+IF(AND(IFERROR(INDIRECT("'"&amp;$D$15&amp;"'!C9")&gt;1991,0),IFERROR(INDIRECT("'"&amp;$D$15&amp;"'!C9")&lt;2021,0)),INDIRECT("'"&amp;$D$15&amp;"'!GO_2027"),0)
+IF(AND(IFERROR(INDIRECT("'"&amp;$D$16&amp;"'!C9")&gt;1991,0),IFERROR(INDIRECT("'"&amp;$D$16&amp;"'!C9")&lt;2021,0)),INDIRECT("'"&amp;$D$16&amp;"'!GO_2027"),0)
+IF(AND(IFERROR(INDIRECT("'"&amp;$D$17&amp;"'!C9")&gt;1991,0),IFERROR(INDIRECT("'"&amp;$D$17&amp;"'!C9")&lt;2021,0)),INDIRECT("'"&amp;$D$17&amp;"'!GO_2027"),0)
+IF(AND(IFERROR(INDIRECT("'"&amp;$D$18&amp;"'!C9")&gt;1991,0),IFERROR(INDIRECT("'"&amp;$D$18&amp;"'!C9")&lt;2021,0)),INDIRECT("'"&amp;$D$18&amp;"'!GO_2027"),0)
+IF(AND(IFERROR(INDIRECT("'"&amp;$D$19&amp;"'!C9")&gt;1991,0),IFERROR(INDIRECT("'"&amp;$D$19&amp;"'!C9")&lt;2021,0)),INDIRECT("'"&amp;$D$19&amp;"'!GO_2027"),0)
+IF(AND(IFERROR(INDIRECT("'"&amp;$D$20&amp;"'!C9")&gt;1991,0),IFERROR(INDIRECT("'"&amp;$D$20&amp;"'!C9")&lt;2021,0)),INDIRECT("'"&amp;$D$20&amp;"'!GO_2027"),0)
+IF(AND(IFERROR(INDIRECT("'"&amp;$D$21&amp;"'!C9")&gt;1991,0),IFERROR(INDIRECT("'"&amp;$D$21&amp;"'!C9")&lt;2021,0)),INDIRECT("'"&amp;$D$21&amp;"'!GO_2027"),0)
+IF(AND(IFERROR(INDIRECT("'"&amp;$D$22&amp;"'!C9")&gt;1991,0),IFERROR(INDIRECT("'"&amp;$D$22&amp;"'!C9")&lt;2021,0)),INDIRECT("'"&amp;$D$22&amp;"'!GO_2027"),0)
+IF(AND(IFERROR(INDIRECT("'"&amp;$D$23&amp;"'!C9")&gt;1991,0),IFERROR(INDIRECT("'"&amp;$D$23&amp;"'!C9")&lt;2021,0)),INDIRECT("'"&amp;$D$23&amp;"'!GO_2027"),0)
+IF(AND(IFERROR(INDIRECT("'"&amp;$D$24&amp;"'!C9")&gt;1991,0),IFERROR(INDIRECT("'"&amp;$D$24&amp;"'!C9")&lt;2021,0)),INDIRECT("'"&amp;$D$24&amp;"'!GO_2027"),0)
+IF(AND(IFERROR(INDIRECT("'"&amp;$D$25&amp;"'!C9")&gt;1991,0),IFERROR(INDIRECT("'"&amp;$D$25&amp;"'!C9")&lt;2021,0)),INDIRECT("'"&amp;$D$25&amp;"'!GO_2027"),0)
+IF(AND(IFERROR(INDIRECT("'"&amp;$D$26&amp;"'!C9")&gt;1991,0),IFERROR(INDIRECT("'"&amp;$D$26&amp;"'!C9")&lt;2021,0)),INDIRECT("'"&amp;$D$26&amp;"'!GO_2027"),0)
+IF(AND(IFERROR(INDIRECT("'"&amp;$D$27&amp;"'!C9")&gt;1991,0),IFERROR(INDIRECT("'"&amp;$D$27&amp;"'!C9")&lt;2021,0)),INDIRECT("'"&amp;$D$27&amp;"'!GO_2027"),0)
+IF(AND(IFERROR(INDIRECT("'"&amp;$D$28&amp;"'!C9")&gt;1991,0),IFERROR(INDIRECT("'"&amp;$D$28&amp;"'!C9")&lt;2021,0)),INDIRECT("'"&amp;$D$28&amp;"'!GO_2027"),0)
+IF(AND(IFERROR(INDIRECT("'"&amp;$D$29&amp;"'!C9")&gt;1991,0),IFERROR(INDIRECT("'"&amp;$D$29&amp;"'!C9")&lt;2021,0)),INDIRECT("'"&amp;$D$29&amp;"'!GO_2027"),0)
+IF(AND(IFERROR(INDIRECT("'"&amp;$D$30&amp;"'!C9")&gt;1991,0),IFERROR(INDIRECT("'"&amp;$D$30&amp;"'!C9")&lt;2021,0)),INDIRECT("'"&amp;$D$30&amp;"'!GO_2027"),0)
+IF(AND(IFERROR(INDIRECT("'"&amp;$D$31&amp;"'!C9")&gt;1991,0),IFERROR(INDIRECT("'"&amp;$D$31&amp;"'!C9")&lt;2021,0)),INDIRECT("'"&amp;$D$31&amp;"'!GO_2027"),0)
+IF(AND(IFERROR(INDIRECT("'"&amp;$D$32&amp;"'!C9")&gt;1991,0),IFERROR(INDIRECT("'"&amp;$D$32&amp;"'!C9")&lt;2021,0)),INDIRECT("'"&amp;$D$32&amp;"'!GO_2027"),0)
+IF(AND(IFERROR(INDIRECT("'"&amp;$D$33&amp;"'!C9")&gt;1991,0),IFERROR(INDIRECT("'"&amp;$D$33&amp;"'!C9")&lt;2021,0)),INDIRECT("'"&amp;$D$33&amp;"'!GO_2027"),0)
+IF(AND(IFERROR(INDIRECT("'"&amp;$D$34&amp;"'!C9")&gt;1991,0),IFERROR(INDIRECT("'"&amp;$D$34&amp;"'!C9")&lt;2021,0)),INDIRECT("'"&amp;$D$34&amp;"'!GO_2027"),0)
+IF(AND(IFERROR(INDIRECT("'"&amp;$D$35&amp;"'!C9")&gt;1991,0),IFERROR(INDIRECT("'"&amp;$D$35&amp;"'!C9")&lt;2021,0)),INDIRECT("'"&amp;$D$35&amp;"'!GO_2027"),0)
+IF(AND(IFERROR(INDIRECT("'"&amp;$D$36&amp;"'!C9")&gt;1991,0),IFERROR(INDIRECT("'"&amp;$D$36&amp;"'!C9")&lt;2021,0)),INDIRECT("'"&amp;$D$36&amp;"'!GO_2027"),0)
+IF(AND(IFERROR(INDIRECT("'"&amp;$D$37&amp;"'!C9")&gt;1991,0),IFERROR(INDIRECT("'"&amp;$D$37&amp;"'!C9")&lt;2021,0)),INDIRECT("'"&amp;$D$37&amp;"'!GO_2027"),0)
+IF(AND(IFERROR(INDIRECT("'"&amp;$D$38&amp;"'!C9")&gt;1991,0),IFERROR(INDIRECT("'"&amp;$D$38&amp;"'!C9")&lt;2021,0)),INDIRECT("'"&amp;$D$38&amp;"'!GO_2027"),0)
+IF(AND(IFERROR(INDIRECT("'"&amp;$D$39&amp;"'!C9")&gt;1991,0),IFERROR(INDIRECT("'"&amp;$D$39&amp;"'!C9")&lt;2021,0)),INDIRECT("'"&amp;$D$39&amp;"'!GO_2027"),0)
+IF(AND(IFERROR(INDIRECT("'"&amp;$D$40&amp;"'!C9")&gt;1991,0),IFERROR(INDIRECT("'"&amp;$D$40&amp;"'!C9")&lt;2021,0)),INDIRECT("'"&amp;$D$40&amp;"'!GO_2027"),0)
+IF(AND(IFERROR(INDIRECT("'"&amp;$D$41&amp;"'!C9")&gt;1991,0),IFERROR(INDIRECT("'"&amp;$D$41&amp;"'!C9")&lt;2021,0)),INDIRECT("'"&amp;$D$41&amp;"'!GO_2027"),0)
+IF(AND(IFERROR(INDIRECT("'"&amp;$D$42&amp;"'!C9")&gt;1991,0),IFERROR(INDIRECT("'"&amp;$D$42&amp;"'!C9")&lt;2021,0)),INDIRECT("'"&amp;$D$42&amp;"'!GO_2027"),0)
+IF(AND(IFERROR(INDIRECT("'"&amp;$D$43&amp;"'!C9")&gt;1991,0),IFERROR(INDIRECT("'"&amp;$D$43&amp;"'!C9")&lt;2021,0)),INDIRECT("'"&amp;$D$43&amp;"'!GO_2027"),0)
+IF(AND(IFERROR(INDIRECT("'"&amp;$D$44&amp;"'!C9")&gt;1991,0),IFERROR(INDIRECT("'"&amp;$D$44&amp;"'!C9")&lt;2021,0)),INDIRECT("'"&amp;$D$44&amp;"'!GO_2027"),0)
+IF(AND(IFERROR(INDIRECT("'"&amp;$D$45&amp;"'!C9")&gt;1991,0),IFERROR(INDIRECT("'"&amp;$D$45&amp;"'!C9")&lt;2021,0)),INDIRECT("'"&amp;$D$45&amp;"'!GO_2027"),0)
+IF(AND(IFERROR(INDIRECT("'"&amp;$D$46&amp;"'!C9")&gt;1991,0),IFERROR(INDIRECT("'"&amp;$D$46&amp;"'!C9")&lt;2021,0)),INDIRECT("'"&amp;$D$46&amp;"'!GO_2027"),0)
+IF(AND(IFERROR(INDIRECT("'"&amp;$D$47&amp;"'!C9")&gt;1991,0),IFERROR(INDIRECT("'"&amp;$D$47&amp;"'!C9")&lt;2021,0)),INDIRECT("'"&amp;$D$47&amp;"'!GO_2027"),0)
+IF(AND(IFERROR(INDIRECT("'"&amp;$D$48&amp;"'!C9")&gt;1991,0),IFERROR(INDIRECT("'"&amp;$D$48&amp;"'!C9")&lt;2021,0)),INDIRECT("'"&amp;$D$48&amp;"'!GO_2027"),0)
+IF(AND(IFERROR(INDIRECT("'"&amp;$D$49&amp;"'!C9")&gt;1991,0),IFERROR(INDIRECT("'"&amp;$D$49&amp;"'!C9")&lt;2021,0)),INDIRECT("'"&amp;$D$49&amp;"'!GO_2027"),0)
+IF(AND(IFERROR(INDIRECT("'"&amp;$D$50&amp;"'!C9")&gt;1991,0),IFERROR(INDIRECT("'"&amp;$D$50&amp;"'!C9")&lt;2021,0)),INDIRECT("'"&amp;$D$50&amp;"'!GO_2027"),0)
+IF(AND(IFERROR(INDIRECT("'"&amp;$D$51&amp;"'!C9")&gt;1991,0),IFERROR(INDIRECT("'"&amp;$D$51&amp;"'!C9")&lt;2021,0)),INDIRECT("'"&amp;$D$51&amp;"'!GO_2027"),0)
+IF(AND(IFERROR(INDIRECT("'"&amp;$D$52&amp;"'!C9")&gt;1991,0),IFERROR(INDIRECT("'"&amp;$D$52&amp;"'!C9")&lt;2021,0)),INDIRECT("'"&amp;$D$52&amp;"'!GO_2027"),0)
+IF(AND(IFERROR(INDIRECT("'"&amp;$D$53&amp;"'!C9")&gt;1991,0),IFERROR(INDIRECT("'"&amp;$D$53&amp;"'!C9")&lt;2021,0)),INDIRECT("'"&amp;$D$53&amp;"'!GO_2027"),0)
+IF(AND(IFERROR(INDIRECT("'"&amp;$D$54&amp;"'!C9")&gt;1991,0),IFERROR(INDIRECT("'"&amp;$D$54&amp;"'!C9")&lt;2021,0)),INDIRECT("'"&amp;$D$54&amp;"'!GO_2027"),0)</f>
        <v>0</v>
      </c>
      <c r="R27" s="321">
        <f ca="1">IF(AND(IFERROR(INDIRECT("'"&amp;$D$5&amp;"'!C9")&gt;1991,0),IFERROR(INDIRECT("'"&amp;$D$5&amp;"'!C9")&lt;2021,0)),INDIRECT("'"&amp;$D$5&amp;"'!GO_2028"),0)
+IF(AND(IFERROR(INDIRECT("'"&amp;$D$6&amp;"'!C9")&gt;1991,0),IFERROR(INDIRECT("'"&amp;$D$6&amp;"'!C9")&lt;2021,0)),INDIRECT("'"&amp;$D$6&amp;"'!GO_2028"),0)
+IF(AND(IFERROR(INDIRECT("'"&amp;$D$7&amp;"'!C9")&gt;1991,0),IFERROR(INDIRECT("'"&amp;$D$7&amp;"'!C9")&lt;2021,0)),INDIRECT("'"&amp;$D$7&amp;"'!GO_2028"),0)
+IF(AND(IFERROR(INDIRECT("'"&amp;$D$8&amp;"'!C9")&gt;1991,0),IFERROR(INDIRECT("'"&amp;$D$8&amp;"'!C9")&lt;2021,0)),INDIRECT("'"&amp;$D$8&amp;"'!GO_2028"),0)
+IF(AND(IFERROR(INDIRECT("'"&amp;$D$9&amp;"'!C9")&gt;1991,0),IFERROR(INDIRECT("'"&amp;$D$9&amp;"'!C9")&lt;2021,0)),INDIRECT("'"&amp;$D$9&amp;"'!GO_2028"),0)
+IF(AND(IFERROR(INDIRECT("'"&amp;$D$10&amp;"'!C9")&gt;1991,0),IFERROR(INDIRECT("'"&amp;$D$10&amp;"'!C9")&lt;2021,0)),INDIRECT("'"&amp;$D$10&amp;"'!GO_2028"),0)
+IF(AND(IFERROR(INDIRECT("'"&amp;$D$11&amp;"'!C9")&gt;1991,0),IFERROR(INDIRECT("'"&amp;$D$11&amp;"'!C9")&lt;2021,0)),INDIRECT("'"&amp;$D$11&amp;"'!GO_2028"),0)
+IF(AND(IFERROR(INDIRECT("'"&amp;$D$12&amp;"'!C9")&gt;1991,0),IFERROR(INDIRECT("'"&amp;$D$12&amp;"'!C9")&lt;2021,0)),INDIRECT("'"&amp;$D$12&amp;"'!GO_2028"),0)
+IF(AND(IFERROR(INDIRECT("'"&amp;$D$13&amp;"'!C9")&gt;1991,0),IFERROR(INDIRECT("'"&amp;$D$13&amp;"'!C9")&lt;2021,0)),INDIRECT("'"&amp;$D$13&amp;"'!GO_2028"),0)
+IF(AND(IFERROR(INDIRECT("'"&amp;$D$14&amp;"'!C9")&gt;1991,0),IFERROR(INDIRECT("'"&amp;$D$14&amp;"'!C9")&lt;2021,0)),INDIRECT("'"&amp;$D$14&amp;"'!GO_2028"),0)
+IF(AND(IFERROR(INDIRECT("'"&amp;$D$15&amp;"'!C9")&gt;1991,0),IFERROR(INDIRECT("'"&amp;$D$15&amp;"'!C9")&lt;2021,0)),INDIRECT("'"&amp;$D$15&amp;"'!GO_2028"),0)
+IF(AND(IFERROR(INDIRECT("'"&amp;$D$16&amp;"'!C9")&gt;1991,0),IFERROR(INDIRECT("'"&amp;$D$16&amp;"'!C9")&lt;2021,0)),INDIRECT("'"&amp;$D$16&amp;"'!GO_2028"),0)
+IF(AND(IFERROR(INDIRECT("'"&amp;$D$17&amp;"'!C9")&gt;1991,0),IFERROR(INDIRECT("'"&amp;$D$17&amp;"'!C9")&lt;2021,0)),INDIRECT("'"&amp;$D$17&amp;"'!GO_2028"),0)
+IF(AND(IFERROR(INDIRECT("'"&amp;$D$18&amp;"'!C9")&gt;1991,0),IFERROR(INDIRECT("'"&amp;$D$18&amp;"'!C9")&lt;2021,0)),INDIRECT("'"&amp;$D$18&amp;"'!GO_2028"),0)
+IF(AND(IFERROR(INDIRECT("'"&amp;$D$19&amp;"'!C9")&gt;1991,0),IFERROR(INDIRECT("'"&amp;$D$19&amp;"'!C9")&lt;2021,0)),INDIRECT("'"&amp;$D$19&amp;"'!GO_2028"),0)
+IF(AND(IFERROR(INDIRECT("'"&amp;$D$20&amp;"'!C9")&gt;1991,0),IFERROR(INDIRECT("'"&amp;$D$20&amp;"'!C9")&lt;2021,0)),INDIRECT("'"&amp;$D$20&amp;"'!GO_2028"),0)
+IF(AND(IFERROR(INDIRECT("'"&amp;$D$21&amp;"'!C9")&gt;1991,0),IFERROR(INDIRECT("'"&amp;$D$21&amp;"'!C9")&lt;2021,0)),INDIRECT("'"&amp;$D$21&amp;"'!GO_2028"),0)
+IF(AND(IFERROR(INDIRECT("'"&amp;$D$22&amp;"'!C9")&gt;1991,0),IFERROR(INDIRECT("'"&amp;$D$22&amp;"'!C9")&lt;2021,0)),INDIRECT("'"&amp;$D$22&amp;"'!GO_2028"),0)
+IF(AND(IFERROR(INDIRECT("'"&amp;$D$23&amp;"'!C9")&gt;1991,0),IFERROR(INDIRECT("'"&amp;$D$23&amp;"'!C9")&lt;2021,0)),INDIRECT("'"&amp;$D$23&amp;"'!GO_2028"),0)
+IF(AND(IFERROR(INDIRECT("'"&amp;$D$24&amp;"'!C9")&gt;1991,0),IFERROR(INDIRECT("'"&amp;$D$24&amp;"'!C9")&lt;2021,0)),INDIRECT("'"&amp;$D$24&amp;"'!GO_2028"),0)
+IF(AND(IFERROR(INDIRECT("'"&amp;$D$25&amp;"'!C9")&gt;1991,0),IFERROR(INDIRECT("'"&amp;$D$25&amp;"'!C9")&lt;2021,0)),INDIRECT("'"&amp;$D$25&amp;"'!GO_2028"),0)
+IF(AND(IFERROR(INDIRECT("'"&amp;$D$26&amp;"'!C9")&gt;1991,0),IFERROR(INDIRECT("'"&amp;$D$26&amp;"'!C9")&lt;2021,0)),INDIRECT("'"&amp;$D$26&amp;"'!GO_2028"),0)
+IF(AND(IFERROR(INDIRECT("'"&amp;$D$27&amp;"'!C9")&gt;1991,0),IFERROR(INDIRECT("'"&amp;$D$27&amp;"'!C9")&lt;2021,0)),INDIRECT("'"&amp;$D$27&amp;"'!GO_2028"),0)
+IF(AND(IFERROR(INDIRECT("'"&amp;$D$28&amp;"'!C9")&gt;1991,0),IFERROR(INDIRECT("'"&amp;$D$28&amp;"'!C9")&lt;2021,0)),INDIRECT("'"&amp;$D$28&amp;"'!GO_2028"),0)
+IF(AND(IFERROR(INDIRECT("'"&amp;$D$29&amp;"'!C9")&gt;1991,0),IFERROR(INDIRECT("'"&amp;$D$29&amp;"'!C9")&lt;2021,0)),INDIRECT("'"&amp;$D$29&amp;"'!GO_2028"),0)
+IF(AND(IFERROR(INDIRECT("'"&amp;$D$30&amp;"'!C9")&gt;1991,0),IFERROR(INDIRECT("'"&amp;$D$30&amp;"'!C9")&lt;2021,0)),INDIRECT("'"&amp;$D$30&amp;"'!GO_2028"),0)
+IF(AND(IFERROR(INDIRECT("'"&amp;$D$31&amp;"'!C9")&gt;1991,0),IFERROR(INDIRECT("'"&amp;$D$31&amp;"'!C9")&lt;2021,0)),INDIRECT("'"&amp;$D$31&amp;"'!GO_2028"),0)
+IF(AND(IFERROR(INDIRECT("'"&amp;$D$32&amp;"'!C9")&gt;1991,0),IFERROR(INDIRECT("'"&amp;$D$32&amp;"'!C9")&lt;2021,0)),INDIRECT("'"&amp;$D$32&amp;"'!GO_2028"),0)
+IF(AND(IFERROR(INDIRECT("'"&amp;$D$33&amp;"'!C9")&gt;1991,0),IFERROR(INDIRECT("'"&amp;$D$33&amp;"'!C9")&lt;2021,0)),INDIRECT("'"&amp;$D$33&amp;"'!GO_2028"),0)
+IF(AND(IFERROR(INDIRECT("'"&amp;$D$34&amp;"'!C9")&gt;1991,0),IFERROR(INDIRECT("'"&amp;$D$34&amp;"'!C9")&lt;2021,0)),INDIRECT("'"&amp;$D$34&amp;"'!GO_2028"),0)
+IF(AND(IFERROR(INDIRECT("'"&amp;$D$35&amp;"'!C9")&gt;1991,0),IFERROR(INDIRECT("'"&amp;$D$35&amp;"'!C9")&lt;2021,0)),INDIRECT("'"&amp;$D$35&amp;"'!GO_2028"),0)
+IF(AND(IFERROR(INDIRECT("'"&amp;$D$36&amp;"'!C9")&gt;1991,0),IFERROR(INDIRECT("'"&amp;$D$36&amp;"'!C9")&lt;2021,0)),INDIRECT("'"&amp;$D$36&amp;"'!GO_2028"),0)
+IF(AND(IFERROR(INDIRECT("'"&amp;$D$37&amp;"'!C9")&gt;1991,0),IFERROR(INDIRECT("'"&amp;$D$37&amp;"'!C9")&lt;2021,0)),INDIRECT("'"&amp;$D$37&amp;"'!GO_2028"),0)
+IF(AND(IFERROR(INDIRECT("'"&amp;$D$38&amp;"'!C9")&gt;1991,0),IFERROR(INDIRECT("'"&amp;$D$38&amp;"'!C9")&lt;2021,0)),INDIRECT("'"&amp;$D$38&amp;"'!GO_2028"),0)
+IF(AND(IFERROR(INDIRECT("'"&amp;$D$39&amp;"'!C9")&gt;1991,0),IFERROR(INDIRECT("'"&amp;$D$39&amp;"'!C9")&lt;2021,0)),INDIRECT("'"&amp;$D$39&amp;"'!GO_2028"),0)
+IF(AND(IFERROR(INDIRECT("'"&amp;$D$40&amp;"'!C9")&gt;1991,0),IFERROR(INDIRECT("'"&amp;$D$40&amp;"'!C9")&lt;2021,0)),INDIRECT("'"&amp;$D$40&amp;"'!GO_2028"),0)
+IF(AND(IFERROR(INDIRECT("'"&amp;$D$41&amp;"'!C9")&gt;1991,0),IFERROR(INDIRECT("'"&amp;$D$41&amp;"'!C9")&lt;2021,0)),INDIRECT("'"&amp;$D$41&amp;"'!GO_2028"),0)
+IF(AND(IFERROR(INDIRECT("'"&amp;$D$42&amp;"'!C9")&gt;1991,0),IFERROR(INDIRECT("'"&amp;$D$42&amp;"'!C9")&lt;2021,0)),INDIRECT("'"&amp;$D$42&amp;"'!GO_2028"),0)
+IF(AND(IFERROR(INDIRECT("'"&amp;$D$43&amp;"'!C9")&gt;1991,0),IFERROR(INDIRECT("'"&amp;$D$43&amp;"'!C9")&lt;2021,0)),INDIRECT("'"&amp;$D$43&amp;"'!GO_2028"),0)
+IF(AND(IFERROR(INDIRECT("'"&amp;$D$44&amp;"'!C9")&gt;1991,0),IFERROR(INDIRECT("'"&amp;$D$44&amp;"'!C9")&lt;2021,0)),INDIRECT("'"&amp;$D$44&amp;"'!GO_2028"),0)
+IF(AND(IFERROR(INDIRECT("'"&amp;$D$45&amp;"'!C9")&gt;1991,0),IFERROR(INDIRECT("'"&amp;$D$45&amp;"'!C9")&lt;2021,0)),INDIRECT("'"&amp;$D$45&amp;"'!GO_2028"),0)
+IF(AND(IFERROR(INDIRECT("'"&amp;$D$46&amp;"'!C9")&gt;1991,0),IFERROR(INDIRECT("'"&amp;$D$46&amp;"'!C9")&lt;2021,0)),INDIRECT("'"&amp;$D$46&amp;"'!GO_2028"),0)
+IF(AND(IFERROR(INDIRECT("'"&amp;$D$47&amp;"'!C9")&gt;1991,0),IFERROR(INDIRECT("'"&amp;$D$47&amp;"'!C9")&lt;2021,0)),INDIRECT("'"&amp;$D$47&amp;"'!GO_2028"),0)
+IF(AND(IFERROR(INDIRECT("'"&amp;$D$48&amp;"'!C9")&gt;1991,0),IFERROR(INDIRECT("'"&amp;$D$48&amp;"'!C9")&lt;2021,0)),INDIRECT("'"&amp;$D$48&amp;"'!GO_2028"),0)
+IF(AND(IFERROR(INDIRECT("'"&amp;$D$49&amp;"'!C9")&gt;1991,0),IFERROR(INDIRECT("'"&amp;$D$49&amp;"'!C9")&lt;2021,0)),INDIRECT("'"&amp;$D$49&amp;"'!GO_2028"),0)
+IF(AND(IFERROR(INDIRECT("'"&amp;$D$50&amp;"'!C9")&gt;1991,0),IFERROR(INDIRECT("'"&amp;$D$50&amp;"'!C9")&lt;2021,0)),INDIRECT("'"&amp;$D$50&amp;"'!GO_2028"),0)
+IF(AND(IFERROR(INDIRECT("'"&amp;$D$51&amp;"'!C9")&gt;1991,0),IFERROR(INDIRECT("'"&amp;$D$51&amp;"'!C9")&lt;2021,0)),INDIRECT("'"&amp;$D$51&amp;"'!GO_2028"),0)
+IF(AND(IFERROR(INDIRECT("'"&amp;$D$52&amp;"'!C9")&gt;1991,0),IFERROR(INDIRECT("'"&amp;$D$52&amp;"'!C9")&lt;2021,0)),INDIRECT("'"&amp;$D$52&amp;"'!GO_2028"),0)
+IF(AND(IFERROR(INDIRECT("'"&amp;$D$53&amp;"'!C9")&gt;1991,0),IFERROR(INDIRECT("'"&amp;$D$53&amp;"'!C9")&lt;2021,0)),INDIRECT("'"&amp;$D$53&amp;"'!GO_2028"),0)
+IF(AND(IFERROR(INDIRECT("'"&amp;$D$54&amp;"'!C9")&gt;1991,0),IFERROR(INDIRECT("'"&amp;$D$54&amp;"'!C9")&lt;2021,0)),INDIRECT("'"&amp;$D$54&amp;"'!GO_2028"),0)</f>
        <v>0</v>
      </c>
      <c r="S27" s="321">
        <f ca="1">IF(AND(IFERROR(INDIRECT("'"&amp;$D$5&amp;"'!C9")&gt;1991,0),IFERROR(INDIRECT("'"&amp;$D$5&amp;"'!C9")&lt;2021,0)),INDIRECT("'"&amp;$D$5&amp;"'!GO_2029"),0)
+IF(AND(IFERROR(INDIRECT("'"&amp;$D$6&amp;"'!C9")&gt;1991,0),IFERROR(INDIRECT("'"&amp;$D$6&amp;"'!C9")&lt;2021,0)),INDIRECT("'"&amp;$D$6&amp;"'!GO_2029"),0)
+IF(AND(IFERROR(INDIRECT("'"&amp;$D$7&amp;"'!C9")&gt;1991,0),IFERROR(INDIRECT("'"&amp;$D$7&amp;"'!C9")&lt;2021,0)),INDIRECT("'"&amp;$D$7&amp;"'!GO_2029"),0)
+IF(AND(IFERROR(INDIRECT("'"&amp;$D$8&amp;"'!C9")&gt;1991,0),IFERROR(INDIRECT("'"&amp;$D$8&amp;"'!C9")&lt;2021,0)),INDIRECT("'"&amp;$D$8&amp;"'!GO_2029"),0)
+IF(AND(IFERROR(INDIRECT("'"&amp;$D$9&amp;"'!C9")&gt;1991,0),IFERROR(INDIRECT("'"&amp;$D$9&amp;"'!C9")&lt;2021,0)),INDIRECT("'"&amp;$D$9&amp;"'!GO_2029"),0)
+IF(AND(IFERROR(INDIRECT("'"&amp;$D$10&amp;"'!C9")&gt;1991,0),IFERROR(INDIRECT("'"&amp;$D$10&amp;"'!C9")&lt;2021,0)),INDIRECT("'"&amp;$D$10&amp;"'!GO_2029"),0)
+IF(AND(IFERROR(INDIRECT("'"&amp;$D$11&amp;"'!C9")&gt;1991,0),IFERROR(INDIRECT("'"&amp;$D$11&amp;"'!C9")&lt;2021,0)),INDIRECT("'"&amp;$D$11&amp;"'!GO_2029"),0)
+IF(AND(IFERROR(INDIRECT("'"&amp;$D$12&amp;"'!C9")&gt;1991,0),IFERROR(INDIRECT("'"&amp;$D$12&amp;"'!C9")&lt;2021,0)),INDIRECT("'"&amp;$D$12&amp;"'!GO_2029"),0)
+IF(AND(IFERROR(INDIRECT("'"&amp;$D$13&amp;"'!C9")&gt;1991,0),IFERROR(INDIRECT("'"&amp;$D$13&amp;"'!C9")&lt;2021,0)),INDIRECT("'"&amp;$D$13&amp;"'!GO_2029"),0)
+IF(AND(IFERROR(INDIRECT("'"&amp;$D$14&amp;"'!C9")&gt;1991,0),IFERROR(INDIRECT("'"&amp;$D$14&amp;"'!C9")&lt;2021,0)),INDIRECT("'"&amp;$D$14&amp;"'!GO_2029"),0)
+IF(AND(IFERROR(INDIRECT("'"&amp;$D$15&amp;"'!C9")&gt;1991,0),IFERROR(INDIRECT("'"&amp;$D$15&amp;"'!C9")&lt;2021,0)),INDIRECT("'"&amp;$D$15&amp;"'!GO_2029"),0)
+IF(AND(IFERROR(INDIRECT("'"&amp;$D$16&amp;"'!C9")&gt;1991,0),IFERROR(INDIRECT("'"&amp;$D$16&amp;"'!C9")&lt;2021,0)),INDIRECT("'"&amp;$D$16&amp;"'!GO_2029"),0)
+IF(AND(IFERROR(INDIRECT("'"&amp;$D$17&amp;"'!C9")&gt;1991,0),IFERROR(INDIRECT("'"&amp;$D$17&amp;"'!C9")&lt;2021,0)),INDIRECT("'"&amp;$D$17&amp;"'!GO_2029"),0)
+IF(AND(IFERROR(INDIRECT("'"&amp;$D$18&amp;"'!C9")&gt;1991,0),IFERROR(INDIRECT("'"&amp;$D$18&amp;"'!C9")&lt;2021,0)),INDIRECT("'"&amp;$D$18&amp;"'!GO_2029"),0)
+IF(AND(IFERROR(INDIRECT("'"&amp;$D$19&amp;"'!C9")&gt;1991,0),IFERROR(INDIRECT("'"&amp;$D$19&amp;"'!C9")&lt;2021,0)),INDIRECT("'"&amp;$D$19&amp;"'!GO_2029"),0)
+IF(AND(IFERROR(INDIRECT("'"&amp;$D$20&amp;"'!C9")&gt;1991,0),IFERROR(INDIRECT("'"&amp;$D$20&amp;"'!C9")&lt;2021,0)),INDIRECT("'"&amp;$D$20&amp;"'!GO_2029"),0)
+IF(AND(IFERROR(INDIRECT("'"&amp;$D$21&amp;"'!C9")&gt;1991,0),IFERROR(INDIRECT("'"&amp;$D$21&amp;"'!C9")&lt;2021,0)),INDIRECT("'"&amp;$D$21&amp;"'!GO_2029"),0)
+IF(AND(IFERROR(INDIRECT("'"&amp;$D$22&amp;"'!C9")&gt;1991,0),IFERROR(INDIRECT("'"&amp;$D$22&amp;"'!C9")&lt;2021,0)),INDIRECT("'"&amp;$D$22&amp;"'!GO_2029"),0)
+IF(AND(IFERROR(INDIRECT("'"&amp;$D$23&amp;"'!C9")&gt;1991,0),IFERROR(INDIRECT("'"&amp;$D$23&amp;"'!C9")&lt;2021,0)),INDIRECT("'"&amp;$D$23&amp;"'!GO_2029"),0)
+IF(AND(IFERROR(INDIRECT("'"&amp;$D$24&amp;"'!C9")&gt;1991,0),IFERROR(INDIRECT("'"&amp;$D$24&amp;"'!C9")&lt;2021,0)),INDIRECT("'"&amp;$D$24&amp;"'!GO_2029"),0)
+IF(AND(IFERROR(INDIRECT("'"&amp;$D$25&amp;"'!C9")&gt;1991,0),IFERROR(INDIRECT("'"&amp;$D$25&amp;"'!C9")&lt;2021,0)),INDIRECT("'"&amp;$D$25&amp;"'!GO_2029"),0)
+IF(AND(IFERROR(INDIRECT("'"&amp;$D$26&amp;"'!C9")&gt;1991,0),IFERROR(INDIRECT("'"&amp;$D$26&amp;"'!C9")&lt;2021,0)),INDIRECT("'"&amp;$D$26&amp;"'!GO_2029"),0)
+IF(AND(IFERROR(INDIRECT("'"&amp;$D$27&amp;"'!C9")&gt;1991,0),IFERROR(INDIRECT("'"&amp;$D$27&amp;"'!C9")&lt;2021,0)),INDIRECT("'"&amp;$D$27&amp;"'!GO_2029"),0)
+IF(AND(IFERROR(INDIRECT("'"&amp;$D$28&amp;"'!C9")&gt;1991,0),IFERROR(INDIRECT("'"&amp;$D$28&amp;"'!C9")&lt;2021,0)),INDIRECT("'"&amp;$D$28&amp;"'!GO_2029"),0)
+IF(AND(IFERROR(INDIRECT("'"&amp;$D$29&amp;"'!C9")&gt;1991,0),IFERROR(INDIRECT("'"&amp;$D$29&amp;"'!C9")&lt;2021,0)),INDIRECT("'"&amp;$D$29&amp;"'!GO_2029"),0)
+IF(AND(IFERROR(INDIRECT("'"&amp;$D$30&amp;"'!C9")&gt;1991,0),IFERROR(INDIRECT("'"&amp;$D$30&amp;"'!C9")&lt;2021,0)),INDIRECT("'"&amp;$D$30&amp;"'!GO_2029"),0)
+IF(AND(IFERROR(INDIRECT("'"&amp;$D$31&amp;"'!C9")&gt;1991,0),IFERROR(INDIRECT("'"&amp;$D$31&amp;"'!C9")&lt;2021,0)),INDIRECT("'"&amp;$D$31&amp;"'!GO_2029"),0)
+IF(AND(IFERROR(INDIRECT("'"&amp;$D$32&amp;"'!C9")&gt;1991,0),IFERROR(INDIRECT("'"&amp;$D$32&amp;"'!C9")&lt;2021,0)),INDIRECT("'"&amp;$D$32&amp;"'!GO_2029"),0)
+IF(AND(IFERROR(INDIRECT("'"&amp;$D$33&amp;"'!C9")&gt;1991,0),IFERROR(INDIRECT("'"&amp;$D$33&amp;"'!C9")&lt;2021,0)),INDIRECT("'"&amp;$D$33&amp;"'!GO_2029"),0)
+IF(AND(IFERROR(INDIRECT("'"&amp;$D$34&amp;"'!C9")&gt;1991,0),IFERROR(INDIRECT("'"&amp;$D$34&amp;"'!C9")&lt;2021,0)),INDIRECT("'"&amp;$D$34&amp;"'!GO_2029"),0)
+IF(AND(IFERROR(INDIRECT("'"&amp;$D$35&amp;"'!C9")&gt;1991,0),IFERROR(INDIRECT("'"&amp;$D$35&amp;"'!C9")&lt;2021,0)),INDIRECT("'"&amp;$D$35&amp;"'!GO_2029"),0)
+IF(AND(IFERROR(INDIRECT("'"&amp;$D$36&amp;"'!C9")&gt;1991,0),IFERROR(INDIRECT("'"&amp;$D$36&amp;"'!C9")&lt;2021,0)),INDIRECT("'"&amp;$D$36&amp;"'!GO_2029"),0)
+IF(AND(IFERROR(INDIRECT("'"&amp;$D$37&amp;"'!C9")&gt;1991,0),IFERROR(INDIRECT("'"&amp;$D$37&amp;"'!C9")&lt;2021,0)),INDIRECT("'"&amp;$D$37&amp;"'!GO_2029"),0)
+IF(AND(IFERROR(INDIRECT("'"&amp;$D$38&amp;"'!C9")&gt;1991,0),IFERROR(INDIRECT("'"&amp;$D$38&amp;"'!C9")&lt;2021,0)),INDIRECT("'"&amp;$D$38&amp;"'!GO_2029"),0)
+IF(AND(IFERROR(INDIRECT("'"&amp;$D$39&amp;"'!C9")&gt;1991,0),IFERROR(INDIRECT("'"&amp;$D$39&amp;"'!C9")&lt;2021,0)),INDIRECT("'"&amp;$D$39&amp;"'!GO_2029"),0)
+IF(AND(IFERROR(INDIRECT("'"&amp;$D$40&amp;"'!C9")&gt;1991,0),IFERROR(INDIRECT("'"&amp;$D$40&amp;"'!C9")&lt;2021,0)),INDIRECT("'"&amp;$D$40&amp;"'!GO_2029"),0)
+IF(AND(IFERROR(INDIRECT("'"&amp;$D$41&amp;"'!C9")&gt;1991,0),IFERROR(INDIRECT("'"&amp;$D$41&amp;"'!C9")&lt;2021,0)),INDIRECT("'"&amp;$D$41&amp;"'!GO_2029"),0)
+IF(AND(IFERROR(INDIRECT("'"&amp;$D$42&amp;"'!C9")&gt;1991,0),IFERROR(INDIRECT("'"&amp;$D$42&amp;"'!C9")&lt;2021,0)),INDIRECT("'"&amp;$D$42&amp;"'!GO_2029"),0)
+IF(AND(IFERROR(INDIRECT("'"&amp;$D$43&amp;"'!C9")&gt;1991,0),IFERROR(INDIRECT("'"&amp;$D$43&amp;"'!C9")&lt;2021,0)),INDIRECT("'"&amp;$D$43&amp;"'!GO_2029"),0)
+IF(AND(IFERROR(INDIRECT("'"&amp;$D$44&amp;"'!C9")&gt;1991,0),IFERROR(INDIRECT("'"&amp;$D$44&amp;"'!C9")&lt;2021,0)),INDIRECT("'"&amp;$D$44&amp;"'!GO_2029"),0)
+IF(AND(IFERROR(INDIRECT("'"&amp;$D$45&amp;"'!C9")&gt;1991,0),IFERROR(INDIRECT("'"&amp;$D$45&amp;"'!C9")&lt;2021,0)),INDIRECT("'"&amp;$D$45&amp;"'!GO_2029"),0)
+IF(AND(IFERROR(INDIRECT("'"&amp;$D$46&amp;"'!C9")&gt;1991,0),IFERROR(INDIRECT("'"&amp;$D$46&amp;"'!C9")&lt;2021,0)),INDIRECT("'"&amp;$D$46&amp;"'!GO_2029"),0)
+IF(AND(IFERROR(INDIRECT("'"&amp;$D$47&amp;"'!C9")&gt;1991,0),IFERROR(INDIRECT("'"&amp;$D$47&amp;"'!C9")&lt;2021,0)),INDIRECT("'"&amp;$D$47&amp;"'!GO_2029"),0)
+IF(AND(IFERROR(INDIRECT("'"&amp;$D$48&amp;"'!C9")&gt;1991,0),IFERROR(INDIRECT("'"&amp;$D$48&amp;"'!C9")&lt;2021,0)),INDIRECT("'"&amp;$D$48&amp;"'!GO_2029"),0)
+IF(AND(IFERROR(INDIRECT("'"&amp;$D$49&amp;"'!C9")&gt;1991,0),IFERROR(INDIRECT("'"&amp;$D$49&amp;"'!C9")&lt;2021,0)),INDIRECT("'"&amp;$D$49&amp;"'!GO_2029"),0)
+IF(AND(IFERROR(INDIRECT("'"&amp;$D$50&amp;"'!C9")&gt;1991,0),IFERROR(INDIRECT("'"&amp;$D$50&amp;"'!C9")&lt;2021,0)),INDIRECT("'"&amp;$D$50&amp;"'!GO_2029"),0)
+IF(AND(IFERROR(INDIRECT("'"&amp;$D$51&amp;"'!C9")&gt;1991,0),IFERROR(INDIRECT("'"&amp;$D$51&amp;"'!C9")&lt;2021,0)),INDIRECT("'"&amp;$D$51&amp;"'!GO_2029"),0)
+IF(AND(IFERROR(INDIRECT("'"&amp;$D$52&amp;"'!C9")&gt;1991,0),IFERROR(INDIRECT("'"&amp;$D$52&amp;"'!C9")&lt;2021,0)),INDIRECT("'"&amp;$D$52&amp;"'!GO_2029"),0)
+IF(AND(IFERROR(INDIRECT("'"&amp;$D$53&amp;"'!C9")&gt;1991,0),IFERROR(INDIRECT("'"&amp;$D$53&amp;"'!C9")&lt;2021,0)),INDIRECT("'"&amp;$D$53&amp;"'!GO_2029"),0)
+IF(AND(IFERROR(INDIRECT("'"&amp;$D$54&amp;"'!C9")&gt;1991,0),IFERROR(INDIRECT("'"&amp;$D$54&amp;"'!C9")&lt;2021,0)),INDIRECT("'"&amp;$D$54&amp;"'!GO_2029"),0)</f>
        <v>0</v>
      </c>
      <c r="T27" s="321">
        <f ca="1">IF(AND(IFERROR(INDIRECT("'"&amp;$D$5&amp;"'!C9")&gt;1991,0),IFERROR(INDIRECT("'"&amp;$D$5&amp;"'!C9")&lt;2021,0)),INDIRECT("'"&amp;$D$5&amp;"'!GO_2030"),0)
+IF(AND(IFERROR(INDIRECT("'"&amp;$D$6&amp;"'!C9")&gt;1991,0),IFERROR(INDIRECT("'"&amp;$D$6&amp;"'!C9")&lt;2021,0)),INDIRECT("'"&amp;$D$6&amp;"'!GO_2030"),0)
+IF(AND(IFERROR(INDIRECT("'"&amp;$D$7&amp;"'!C9")&gt;1991,0),IFERROR(INDIRECT("'"&amp;$D$7&amp;"'!C9")&lt;2021,0)),INDIRECT("'"&amp;$D$7&amp;"'!GO_2030"),0)
+IF(AND(IFERROR(INDIRECT("'"&amp;$D$8&amp;"'!C9")&gt;1991,0),IFERROR(INDIRECT("'"&amp;$D$8&amp;"'!C9")&lt;2021,0)),INDIRECT("'"&amp;$D$8&amp;"'!GO_2030"),0)
+IF(AND(IFERROR(INDIRECT("'"&amp;$D$9&amp;"'!C9")&gt;1991,0),IFERROR(INDIRECT("'"&amp;$D$9&amp;"'!C9")&lt;2021,0)),INDIRECT("'"&amp;$D$9&amp;"'!GO_2030"),0)
+IF(AND(IFERROR(INDIRECT("'"&amp;$D$10&amp;"'!C9")&gt;1991,0),IFERROR(INDIRECT("'"&amp;$D$10&amp;"'!C9")&lt;2021,0)),INDIRECT("'"&amp;$D$10&amp;"'!GO_2030"),0)
+IF(AND(IFERROR(INDIRECT("'"&amp;$D$11&amp;"'!C9")&gt;1991,0),IFERROR(INDIRECT("'"&amp;$D$11&amp;"'!C9")&lt;2021,0)),INDIRECT("'"&amp;$D$11&amp;"'!GO_2030"),0)
+IF(AND(IFERROR(INDIRECT("'"&amp;$D$12&amp;"'!C9")&gt;1991,0),IFERROR(INDIRECT("'"&amp;$D$12&amp;"'!C9")&lt;2021,0)),INDIRECT("'"&amp;$D$12&amp;"'!GO_2030"),0)
+IF(AND(IFERROR(INDIRECT("'"&amp;$D$13&amp;"'!C9")&gt;1991,0),IFERROR(INDIRECT("'"&amp;$D$13&amp;"'!C9")&lt;2021,0)),INDIRECT("'"&amp;$D$13&amp;"'!GO_2030"),0)
+IF(AND(IFERROR(INDIRECT("'"&amp;$D$14&amp;"'!C9")&gt;1991,0),IFERROR(INDIRECT("'"&amp;$D$14&amp;"'!C9")&lt;2021,0)),INDIRECT("'"&amp;$D$14&amp;"'!GO_2030"),0)
+IF(AND(IFERROR(INDIRECT("'"&amp;$D$15&amp;"'!C9")&gt;1991,0),IFERROR(INDIRECT("'"&amp;$D$15&amp;"'!C9")&lt;2021,0)),INDIRECT("'"&amp;$D$15&amp;"'!GO_2030"),0)
+IF(AND(IFERROR(INDIRECT("'"&amp;$D$16&amp;"'!C9")&gt;1991,0),IFERROR(INDIRECT("'"&amp;$D$16&amp;"'!C9")&lt;2021,0)),INDIRECT("'"&amp;$D$16&amp;"'!GO_2030"),0)
+IF(AND(IFERROR(INDIRECT("'"&amp;$D$17&amp;"'!C9")&gt;1991,0),IFERROR(INDIRECT("'"&amp;$D$17&amp;"'!C9")&lt;2021,0)),INDIRECT("'"&amp;$D$17&amp;"'!GO_2030"),0)
+IF(AND(IFERROR(INDIRECT("'"&amp;$D$18&amp;"'!C9")&gt;1991,0),IFERROR(INDIRECT("'"&amp;$D$18&amp;"'!C9")&lt;2021,0)),INDIRECT("'"&amp;$D$18&amp;"'!GO_2030"),0)
+IF(AND(IFERROR(INDIRECT("'"&amp;$D$19&amp;"'!C9")&gt;1991,0),IFERROR(INDIRECT("'"&amp;$D$19&amp;"'!C9")&lt;2021,0)),INDIRECT("'"&amp;$D$19&amp;"'!GO_2030"),0)
+IF(AND(IFERROR(INDIRECT("'"&amp;$D$20&amp;"'!C9")&gt;1991,0),IFERROR(INDIRECT("'"&amp;$D$20&amp;"'!C9")&lt;2021,0)),INDIRECT("'"&amp;$D$20&amp;"'!GO_2030"),0)
+IF(AND(IFERROR(INDIRECT("'"&amp;$D$21&amp;"'!C9")&gt;1991,0),IFERROR(INDIRECT("'"&amp;$D$21&amp;"'!C9")&lt;2021,0)),INDIRECT("'"&amp;$D$21&amp;"'!GO_2030"),0)
+IF(AND(IFERROR(INDIRECT("'"&amp;$D$22&amp;"'!C9")&gt;1991,0),IFERROR(INDIRECT("'"&amp;$D$22&amp;"'!C9")&lt;2021,0)),INDIRECT("'"&amp;$D$22&amp;"'!GO_2030"),0)
+IF(AND(IFERROR(INDIRECT("'"&amp;$D$23&amp;"'!C9")&gt;1991,0),IFERROR(INDIRECT("'"&amp;$D$23&amp;"'!C9")&lt;2021,0)),INDIRECT("'"&amp;$D$23&amp;"'!GO_2030"),0)
+IF(AND(IFERROR(INDIRECT("'"&amp;$D$24&amp;"'!C9")&gt;1991,0),IFERROR(INDIRECT("'"&amp;$D$24&amp;"'!C9")&lt;2021,0)),INDIRECT("'"&amp;$D$24&amp;"'!GO_2030"),0)
+IF(AND(IFERROR(INDIRECT("'"&amp;$D$25&amp;"'!C9")&gt;1991,0),IFERROR(INDIRECT("'"&amp;$D$25&amp;"'!C9")&lt;2021,0)),INDIRECT("'"&amp;$D$25&amp;"'!GO_2030"),0)
+IF(AND(IFERROR(INDIRECT("'"&amp;$D$26&amp;"'!C9")&gt;1991,0),IFERROR(INDIRECT("'"&amp;$D$26&amp;"'!C9")&lt;2021,0)),INDIRECT("'"&amp;$D$26&amp;"'!GO_2030"),0)
+IF(AND(IFERROR(INDIRECT("'"&amp;$D$27&amp;"'!C9")&gt;1991,0),IFERROR(INDIRECT("'"&amp;$D$27&amp;"'!C9")&lt;2021,0)),INDIRECT("'"&amp;$D$27&amp;"'!GO_2030"),0)
+IF(AND(IFERROR(INDIRECT("'"&amp;$D$28&amp;"'!C9")&gt;1991,0),IFERROR(INDIRECT("'"&amp;$D$28&amp;"'!C9")&lt;2021,0)),INDIRECT("'"&amp;$D$28&amp;"'!GO_2030"),0)
+IF(AND(IFERROR(INDIRECT("'"&amp;$D$29&amp;"'!C9")&gt;1991,0),IFERROR(INDIRECT("'"&amp;$D$29&amp;"'!C9")&lt;2021,0)),INDIRECT("'"&amp;$D$29&amp;"'!GO_2030"),0)
+IF(AND(IFERROR(INDIRECT("'"&amp;$D$30&amp;"'!C9")&gt;1991,0),IFERROR(INDIRECT("'"&amp;$D$30&amp;"'!C9")&lt;2021,0)),INDIRECT("'"&amp;$D$30&amp;"'!GO_2030"),0)
+IF(AND(IFERROR(INDIRECT("'"&amp;$D$31&amp;"'!C9")&gt;1991,0),IFERROR(INDIRECT("'"&amp;$D$31&amp;"'!C9")&lt;2021,0)),INDIRECT("'"&amp;$D$31&amp;"'!GO_2030"),0)
+IF(AND(IFERROR(INDIRECT("'"&amp;$D$32&amp;"'!C9")&gt;1991,0),IFERROR(INDIRECT("'"&amp;$D$32&amp;"'!C9")&lt;2021,0)),INDIRECT("'"&amp;$D$32&amp;"'!GO_2030"),0)
+IF(AND(IFERROR(INDIRECT("'"&amp;$D$33&amp;"'!C9")&gt;1991,0),IFERROR(INDIRECT("'"&amp;$D$33&amp;"'!C9")&lt;2021,0)),INDIRECT("'"&amp;$D$33&amp;"'!GO_2030"),0)
+IF(AND(IFERROR(INDIRECT("'"&amp;$D$34&amp;"'!C9")&gt;1991,0),IFERROR(INDIRECT("'"&amp;$D$34&amp;"'!C9")&lt;2021,0)),INDIRECT("'"&amp;$D$34&amp;"'!GO_2030"),0)
+IF(AND(IFERROR(INDIRECT("'"&amp;$D$35&amp;"'!C9")&gt;1991,0),IFERROR(INDIRECT("'"&amp;$D$35&amp;"'!C9")&lt;2021,0)),INDIRECT("'"&amp;$D$35&amp;"'!GO_2030"),0)
+IF(AND(IFERROR(INDIRECT("'"&amp;$D$36&amp;"'!C9")&gt;1991,0),IFERROR(INDIRECT("'"&amp;$D$36&amp;"'!C9")&lt;2021,0)),INDIRECT("'"&amp;$D$36&amp;"'!GO_2030"),0)
+IF(AND(IFERROR(INDIRECT("'"&amp;$D$37&amp;"'!C9")&gt;1991,0),IFERROR(INDIRECT("'"&amp;$D$37&amp;"'!C9")&lt;2021,0)),INDIRECT("'"&amp;$D$37&amp;"'!GO_2030"),0)
+IF(AND(IFERROR(INDIRECT("'"&amp;$D$38&amp;"'!C9")&gt;1991,0),IFERROR(INDIRECT("'"&amp;$D$38&amp;"'!C9")&lt;2021,0)),INDIRECT("'"&amp;$D$38&amp;"'!GO_2030"),0)
+IF(AND(IFERROR(INDIRECT("'"&amp;$D$39&amp;"'!C9")&gt;1991,0),IFERROR(INDIRECT("'"&amp;$D$39&amp;"'!C9")&lt;2021,0)),INDIRECT("'"&amp;$D$39&amp;"'!GO_2030"),0)
+IF(AND(IFERROR(INDIRECT("'"&amp;$D$40&amp;"'!C9")&gt;1991,0),IFERROR(INDIRECT("'"&amp;$D$40&amp;"'!C9")&lt;2021,0)),INDIRECT("'"&amp;$D$40&amp;"'!GO_2030"),0)
+IF(AND(IFERROR(INDIRECT("'"&amp;$D$41&amp;"'!C9")&gt;1991,0),IFERROR(INDIRECT("'"&amp;$D$41&amp;"'!C9")&lt;2021,0)),INDIRECT("'"&amp;$D$41&amp;"'!GO_2030"),0)
+IF(AND(IFERROR(INDIRECT("'"&amp;$D$42&amp;"'!C9")&gt;1991,0),IFERROR(INDIRECT("'"&amp;$D$42&amp;"'!C9")&lt;2021,0)),INDIRECT("'"&amp;$D$42&amp;"'!GO_2030"),0)
+IF(AND(IFERROR(INDIRECT("'"&amp;$D$43&amp;"'!C9")&gt;1991,0),IFERROR(INDIRECT("'"&amp;$D$43&amp;"'!C9")&lt;2021,0)),INDIRECT("'"&amp;$D$43&amp;"'!GO_2030"),0)
+IF(AND(IFERROR(INDIRECT("'"&amp;$D$44&amp;"'!C9")&gt;1991,0),IFERROR(INDIRECT("'"&amp;$D$44&amp;"'!C9")&lt;2021,0)),INDIRECT("'"&amp;$D$44&amp;"'!GO_2030"),0)
+IF(AND(IFERROR(INDIRECT("'"&amp;$D$45&amp;"'!C9")&gt;1991,0),IFERROR(INDIRECT("'"&amp;$D$45&amp;"'!C9")&lt;2021,0)),INDIRECT("'"&amp;$D$45&amp;"'!GO_2030"),0)
+IF(AND(IFERROR(INDIRECT("'"&amp;$D$46&amp;"'!C9")&gt;1991,0),IFERROR(INDIRECT("'"&amp;$D$46&amp;"'!C9")&lt;2021,0)),INDIRECT("'"&amp;$D$46&amp;"'!GO_2030"),0)
+IF(AND(IFERROR(INDIRECT("'"&amp;$D$47&amp;"'!C9")&gt;1991,0),IFERROR(INDIRECT("'"&amp;$D$47&amp;"'!C9")&lt;2021,0)),INDIRECT("'"&amp;$D$47&amp;"'!GO_2030"),0)
+IF(AND(IFERROR(INDIRECT("'"&amp;$D$48&amp;"'!C9")&gt;1991,0),IFERROR(INDIRECT("'"&amp;$D$48&amp;"'!C9")&lt;2021,0)),INDIRECT("'"&amp;$D$48&amp;"'!GO_2030"),0)
+IF(AND(IFERROR(INDIRECT("'"&amp;$D$49&amp;"'!C9")&gt;1991,0),IFERROR(INDIRECT("'"&amp;$D$49&amp;"'!C9")&lt;2021,0)),INDIRECT("'"&amp;$D$49&amp;"'!GO_2030"),0)
+IF(AND(IFERROR(INDIRECT("'"&amp;$D$50&amp;"'!C9")&gt;1991,0),IFERROR(INDIRECT("'"&amp;$D$50&amp;"'!C9")&lt;2021,0)),INDIRECT("'"&amp;$D$50&amp;"'!GO_2030"),0)
+IF(AND(IFERROR(INDIRECT("'"&amp;$D$51&amp;"'!C9")&gt;1991,0),IFERROR(INDIRECT("'"&amp;$D$51&amp;"'!C9")&lt;2021,0)),INDIRECT("'"&amp;$D$51&amp;"'!GO_2030"),0)
+IF(AND(IFERROR(INDIRECT("'"&amp;$D$52&amp;"'!C9")&gt;1991,0),IFERROR(INDIRECT("'"&amp;$D$52&amp;"'!C9")&lt;2021,0)),INDIRECT("'"&amp;$D$52&amp;"'!GO_2030"),0)
+IF(AND(IFERROR(INDIRECT("'"&amp;$D$53&amp;"'!C9")&gt;1991,0),IFERROR(INDIRECT("'"&amp;$D$53&amp;"'!C9")&lt;2021,0)),INDIRECT("'"&amp;$D$53&amp;"'!GO_2030"),0)
+IF(AND(IFERROR(INDIRECT("'"&amp;$D$54&amp;"'!C9")&gt;1991,0),IFERROR(INDIRECT("'"&amp;$D$54&amp;"'!C9")&lt;2021,0)),INDIRECT("'"&amp;$D$54&amp;"'!GO_2030"),0)</f>
        <v>0</v>
      </c>
      <c r="U27" s="321">
        <f ca="1">IF(AND(IFERROR(INDIRECT("'"&amp;$D$5&amp;"'!C9")&gt;1991,0),IFERROR(INDIRECT("'"&amp;$D$5&amp;"'!C9")&lt;2021,0)),INDIRECT("'"&amp;$D$5&amp;"'!GO_2031"),0)
+IF(AND(IFERROR(INDIRECT("'"&amp;$D$6&amp;"'!C9")&gt;1991,0),IFERROR(INDIRECT("'"&amp;$D$6&amp;"'!C9")&lt;2021,0)),INDIRECT("'"&amp;$D$6&amp;"'!GO_2031"),0)
+IF(AND(IFERROR(INDIRECT("'"&amp;$D$7&amp;"'!C9")&gt;1991,0),IFERROR(INDIRECT("'"&amp;$D$7&amp;"'!C9")&lt;2021,0)),INDIRECT("'"&amp;$D$7&amp;"'!GO_2031"),0)
+IF(AND(IFERROR(INDIRECT("'"&amp;$D$8&amp;"'!C9")&gt;1991,0),IFERROR(INDIRECT("'"&amp;$D$8&amp;"'!C9")&lt;2021,0)),INDIRECT("'"&amp;$D$8&amp;"'!GO_2031"),0)
+IF(AND(IFERROR(INDIRECT("'"&amp;$D$9&amp;"'!C9")&gt;1991,0),IFERROR(INDIRECT("'"&amp;$D$9&amp;"'!C9")&lt;2021,0)),INDIRECT("'"&amp;$D$9&amp;"'!GO_2031"),0)
+IF(AND(IFERROR(INDIRECT("'"&amp;$D$10&amp;"'!C9")&gt;1991,0),IFERROR(INDIRECT("'"&amp;$D$10&amp;"'!C9")&lt;2021,0)),INDIRECT("'"&amp;$D$10&amp;"'!GO_2031"),0)
+IF(AND(IFERROR(INDIRECT("'"&amp;$D$11&amp;"'!C9")&gt;1991,0),IFERROR(INDIRECT("'"&amp;$D$11&amp;"'!C9")&lt;2021,0)),INDIRECT("'"&amp;$D$11&amp;"'!GO_2031"),0)
+IF(AND(IFERROR(INDIRECT("'"&amp;$D$12&amp;"'!C9")&gt;1991,0),IFERROR(INDIRECT("'"&amp;$D$12&amp;"'!C9")&lt;2021,0)),INDIRECT("'"&amp;$D$12&amp;"'!GO_2031"),0)
+IF(AND(IFERROR(INDIRECT("'"&amp;$D$13&amp;"'!C9")&gt;1991,0),IFERROR(INDIRECT("'"&amp;$D$13&amp;"'!C9")&lt;2021,0)),INDIRECT("'"&amp;$D$13&amp;"'!GO_2031"),0)
+IF(AND(IFERROR(INDIRECT("'"&amp;$D$14&amp;"'!C9")&gt;1991,0),IFERROR(INDIRECT("'"&amp;$D$14&amp;"'!C9")&lt;2021,0)),INDIRECT("'"&amp;$D$14&amp;"'!GO_2031"),0)
+IF(AND(IFERROR(INDIRECT("'"&amp;$D$15&amp;"'!C9")&gt;1991,0),IFERROR(INDIRECT("'"&amp;$D$15&amp;"'!C9")&lt;2021,0)),INDIRECT("'"&amp;$D$15&amp;"'!GO_2031"),0)
+IF(AND(IFERROR(INDIRECT("'"&amp;$D$16&amp;"'!C9")&gt;1991,0),IFERROR(INDIRECT("'"&amp;$D$16&amp;"'!C9")&lt;2021,0)),INDIRECT("'"&amp;$D$16&amp;"'!GO_2031"),0)
+IF(AND(IFERROR(INDIRECT("'"&amp;$D$17&amp;"'!C9")&gt;1991,0),IFERROR(INDIRECT("'"&amp;$D$17&amp;"'!C9")&lt;2021,0)),INDIRECT("'"&amp;$D$17&amp;"'!GO_2031"),0)
+IF(AND(IFERROR(INDIRECT("'"&amp;$D$18&amp;"'!C9")&gt;1991,0),IFERROR(INDIRECT("'"&amp;$D$18&amp;"'!C9")&lt;2021,0)),INDIRECT("'"&amp;$D$18&amp;"'!GO_2031"),0)
+IF(AND(IFERROR(INDIRECT("'"&amp;$D$19&amp;"'!C9")&gt;1991,0),IFERROR(INDIRECT("'"&amp;$D$19&amp;"'!C9")&lt;2021,0)),INDIRECT("'"&amp;$D$19&amp;"'!GO_2031"),0)
+IF(AND(IFERROR(INDIRECT("'"&amp;$D$20&amp;"'!C9")&gt;1991,0),IFERROR(INDIRECT("'"&amp;$D$20&amp;"'!C9")&lt;2021,0)),INDIRECT("'"&amp;$D$20&amp;"'!GO_2031"),0)
+IF(AND(IFERROR(INDIRECT("'"&amp;$D$21&amp;"'!C9")&gt;1991,0),IFERROR(INDIRECT("'"&amp;$D$21&amp;"'!C9")&lt;2021,0)),INDIRECT("'"&amp;$D$21&amp;"'!GO_2031"),0)
+IF(AND(IFERROR(INDIRECT("'"&amp;$D$22&amp;"'!C9")&gt;1991,0),IFERROR(INDIRECT("'"&amp;$D$22&amp;"'!C9")&lt;2021,0)),INDIRECT("'"&amp;$D$22&amp;"'!GO_2031"),0)
+IF(AND(IFERROR(INDIRECT("'"&amp;$D$23&amp;"'!C9")&gt;1991,0),IFERROR(INDIRECT("'"&amp;$D$23&amp;"'!C9")&lt;2021,0)),INDIRECT("'"&amp;$D$23&amp;"'!GO_2031"),0)
+IF(AND(IFERROR(INDIRECT("'"&amp;$D$24&amp;"'!C9")&gt;1991,0),IFERROR(INDIRECT("'"&amp;$D$24&amp;"'!C9")&lt;2021,0)),INDIRECT("'"&amp;$D$24&amp;"'!GO_2031"),0)
+IF(AND(IFERROR(INDIRECT("'"&amp;$D$25&amp;"'!C9")&gt;1991,0),IFERROR(INDIRECT("'"&amp;$D$25&amp;"'!C9")&lt;2021,0)),INDIRECT("'"&amp;$D$25&amp;"'!GO_2031"),0)
+IF(AND(IFERROR(INDIRECT("'"&amp;$D$26&amp;"'!C9")&gt;1991,0),IFERROR(INDIRECT("'"&amp;$D$26&amp;"'!C9")&lt;2021,0)),INDIRECT("'"&amp;$D$26&amp;"'!GO_2031"),0)
+IF(AND(IFERROR(INDIRECT("'"&amp;$D$27&amp;"'!C9")&gt;1991,0),IFERROR(INDIRECT("'"&amp;$D$27&amp;"'!C9")&lt;2021,0)),INDIRECT("'"&amp;$D$27&amp;"'!GO_2031"),0)
+IF(AND(IFERROR(INDIRECT("'"&amp;$D$28&amp;"'!C9")&gt;1991,0),IFERROR(INDIRECT("'"&amp;$D$28&amp;"'!C9")&lt;2021,0)),INDIRECT("'"&amp;$D$28&amp;"'!GO_2031"),0)
+IF(AND(IFERROR(INDIRECT("'"&amp;$D$29&amp;"'!C9")&gt;1991,0),IFERROR(INDIRECT("'"&amp;$D$29&amp;"'!C9")&lt;2021,0)),INDIRECT("'"&amp;$D$29&amp;"'!GO_2031"),0)
+IF(AND(IFERROR(INDIRECT("'"&amp;$D$30&amp;"'!C9")&gt;1991,0),IFERROR(INDIRECT("'"&amp;$D$30&amp;"'!C9")&lt;2021,0)),INDIRECT("'"&amp;$D$30&amp;"'!GO_2031"),0)
+IF(AND(IFERROR(INDIRECT("'"&amp;$D$31&amp;"'!C9")&gt;1991,0),IFERROR(INDIRECT("'"&amp;$D$31&amp;"'!C9")&lt;2021,0)),INDIRECT("'"&amp;$D$31&amp;"'!GO_2031"),0)
+IF(AND(IFERROR(INDIRECT("'"&amp;$D$32&amp;"'!C9")&gt;1991,0),IFERROR(INDIRECT("'"&amp;$D$32&amp;"'!C9")&lt;2021,0)),INDIRECT("'"&amp;$D$32&amp;"'!GO_2031"),0)
+IF(AND(IFERROR(INDIRECT("'"&amp;$D$33&amp;"'!C9")&gt;1991,0),IFERROR(INDIRECT("'"&amp;$D$33&amp;"'!C9")&lt;2021,0)),INDIRECT("'"&amp;$D$33&amp;"'!GO_2031"),0)
+IF(AND(IFERROR(INDIRECT("'"&amp;$D$34&amp;"'!C9")&gt;1991,0),IFERROR(INDIRECT("'"&amp;$D$34&amp;"'!C9")&lt;2021,0)),INDIRECT("'"&amp;$D$34&amp;"'!GO_2031"),0)
+IF(AND(IFERROR(INDIRECT("'"&amp;$D$35&amp;"'!C9")&gt;1991,0),IFERROR(INDIRECT("'"&amp;$D$35&amp;"'!C9")&lt;2021,0)),INDIRECT("'"&amp;$D$35&amp;"'!GO_2031"),0)
+IF(AND(IFERROR(INDIRECT("'"&amp;$D$36&amp;"'!C9")&gt;1991,0),IFERROR(INDIRECT("'"&amp;$D$36&amp;"'!C9")&lt;2021,0)),INDIRECT("'"&amp;$D$36&amp;"'!GO_2031"),0)
+IF(AND(IFERROR(INDIRECT("'"&amp;$D$37&amp;"'!C9")&gt;1991,0),IFERROR(INDIRECT("'"&amp;$D$37&amp;"'!C9")&lt;2021,0)),INDIRECT("'"&amp;$D$37&amp;"'!GO_2031"),0)
+IF(AND(IFERROR(INDIRECT("'"&amp;$D$38&amp;"'!C9")&gt;1991,0),IFERROR(INDIRECT("'"&amp;$D$38&amp;"'!C9")&lt;2021,0)),INDIRECT("'"&amp;$D$38&amp;"'!GO_2031"),0)
+IF(AND(IFERROR(INDIRECT("'"&amp;$D$39&amp;"'!C9")&gt;1991,0),IFERROR(INDIRECT("'"&amp;$D$39&amp;"'!C9")&lt;2021,0)),INDIRECT("'"&amp;$D$39&amp;"'!GO_2031"),0)
+IF(AND(IFERROR(INDIRECT("'"&amp;$D$40&amp;"'!C9")&gt;1991,0),IFERROR(INDIRECT("'"&amp;$D$40&amp;"'!C9")&lt;2021,0)),INDIRECT("'"&amp;$D$40&amp;"'!GO_2031"),0)
+IF(AND(IFERROR(INDIRECT("'"&amp;$D$41&amp;"'!C9")&gt;1991,0),IFERROR(INDIRECT("'"&amp;$D$41&amp;"'!C9")&lt;2021,0)),INDIRECT("'"&amp;$D$41&amp;"'!GO_2031"),0)
+IF(AND(IFERROR(INDIRECT("'"&amp;$D$42&amp;"'!C9")&gt;1991,0),IFERROR(INDIRECT("'"&amp;$D$42&amp;"'!C9")&lt;2021,0)),INDIRECT("'"&amp;$D$42&amp;"'!GO_2031"),0)
+IF(AND(IFERROR(INDIRECT("'"&amp;$D$43&amp;"'!C9")&gt;1991,0),IFERROR(INDIRECT("'"&amp;$D$43&amp;"'!C9")&lt;2021,0)),INDIRECT("'"&amp;$D$43&amp;"'!GO_2031"),0)
+IF(AND(IFERROR(INDIRECT("'"&amp;$D$44&amp;"'!C9")&gt;1991,0),IFERROR(INDIRECT("'"&amp;$D$44&amp;"'!C9")&lt;2021,0)),INDIRECT("'"&amp;$D$44&amp;"'!GO_2031"),0)
+IF(AND(IFERROR(INDIRECT("'"&amp;$D$45&amp;"'!C9")&gt;1991,0),IFERROR(INDIRECT("'"&amp;$D$45&amp;"'!C9")&lt;2021,0)),INDIRECT("'"&amp;$D$45&amp;"'!GO_2031"),0)
+IF(AND(IFERROR(INDIRECT("'"&amp;$D$46&amp;"'!C9")&gt;1991,0),IFERROR(INDIRECT("'"&amp;$D$46&amp;"'!C9")&lt;2021,0)),INDIRECT("'"&amp;$D$46&amp;"'!GO_2031"),0)
+IF(AND(IFERROR(INDIRECT("'"&amp;$D$47&amp;"'!C9")&gt;1991,0),IFERROR(INDIRECT("'"&amp;$D$47&amp;"'!C9")&lt;2021,0)),INDIRECT("'"&amp;$D$47&amp;"'!GO_2031"),0)
+IF(AND(IFERROR(INDIRECT("'"&amp;$D$48&amp;"'!C9")&gt;1991,0),IFERROR(INDIRECT("'"&amp;$D$48&amp;"'!C9")&lt;2021,0)),INDIRECT("'"&amp;$D$48&amp;"'!GO_2031"),0)
+IF(AND(IFERROR(INDIRECT("'"&amp;$D$49&amp;"'!C9")&gt;1991,0),IFERROR(INDIRECT("'"&amp;$D$49&amp;"'!C9")&lt;2021,0)),INDIRECT("'"&amp;$D$49&amp;"'!GO_2031"),0)
+IF(AND(IFERROR(INDIRECT("'"&amp;$D$50&amp;"'!C9")&gt;1991,0),IFERROR(INDIRECT("'"&amp;$D$50&amp;"'!C9")&lt;2021,0)),INDIRECT("'"&amp;$D$50&amp;"'!GO_2031"),0)
+IF(AND(IFERROR(INDIRECT("'"&amp;$D$51&amp;"'!C9")&gt;1991,0),IFERROR(INDIRECT("'"&amp;$D$51&amp;"'!C9")&lt;2021,0)),INDIRECT("'"&amp;$D$51&amp;"'!GO_2031"),0)
+IF(AND(IFERROR(INDIRECT("'"&amp;$D$52&amp;"'!C9")&gt;1991,0),IFERROR(INDIRECT("'"&amp;$D$52&amp;"'!C9")&lt;2021,0)),INDIRECT("'"&amp;$D$52&amp;"'!GO_2031"),0)
+IF(AND(IFERROR(INDIRECT("'"&amp;$D$53&amp;"'!C9")&gt;1991,0),IFERROR(INDIRECT("'"&amp;$D$53&amp;"'!C9")&lt;2021,0)),INDIRECT("'"&amp;$D$53&amp;"'!GO_2031"),0)
+IF(AND(IFERROR(INDIRECT("'"&amp;$D$54&amp;"'!C9")&gt;1991,0),IFERROR(INDIRECT("'"&amp;$D$54&amp;"'!C9")&lt;2021,0)),INDIRECT("'"&amp;$D$54&amp;"'!GO_2031"),0)</f>
        <v>0</v>
      </c>
      <c r="V27" s="321">
        <f ca="1">IF(AND(IFERROR(INDIRECT("'"&amp;$D$5&amp;"'!C9")&gt;1991,0),IFERROR(INDIRECT("'"&amp;$D$5&amp;"'!C9")&lt;2021,0)),INDIRECT("'"&amp;$D$5&amp;"'!GO_2032"),0)
+IF(AND(IFERROR(INDIRECT("'"&amp;$D$6&amp;"'!C9")&gt;1991,0),IFERROR(INDIRECT("'"&amp;$D$6&amp;"'!C9")&lt;2021,0)),INDIRECT("'"&amp;$D$6&amp;"'!GO_2032"),0)
+IF(AND(IFERROR(INDIRECT("'"&amp;$D$7&amp;"'!C9")&gt;1991,0),IFERROR(INDIRECT("'"&amp;$D$7&amp;"'!C9")&lt;2021,0)),INDIRECT("'"&amp;$D$7&amp;"'!GO_2032"),0)
+IF(AND(IFERROR(INDIRECT("'"&amp;$D$8&amp;"'!C9")&gt;1991,0),IFERROR(INDIRECT("'"&amp;$D$8&amp;"'!C9")&lt;2021,0)),INDIRECT("'"&amp;$D$8&amp;"'!GO_2032"),0)
+IF(AND(IFERROR(INDIRECT("'"&amp;$D$9&amp;"'!C9")&gt;1991,0),IFERROR(INDIRECT("'"&amp;$D$9&amp;"'!C9")&lt;2021,0)),INDIRECT("'"&amp;$D$9&amp;"'!GO_2032"),0)
+IF(AND(IFERROR(INDIRECT("'"&amp;$D$10&amp;"'!C9")&gt;1991,0),IFERROR(INDIRECT("'"&amp;$D$10&amp;"'!C9")&lt;2021,0)),INDIRECT("'"&amp;$D$10&amp;"'!GO_2032"),0)
+IF(AND(IFERROR(INDIRECT("'"&amp;$D$11&amp;"'!C9")&gt;1991,0),IFERROR(INDIRECT("'"&amp;$D$11&amp;"'!C9")&lt;2021,0)),INDIRECT("'"&amp;$D$11&amp;"'!GO_2032"),0)
+IF(AND(IFERROR(INDIRECT("'"&amp;$D$12&amp;"'!C9")&gt;1991,0),IFERROR(INDIRECT("'"&amp;$D$12&amp;"'!C9")&lt;2021,0)),INDIRECT("'"&amp;$D$12&amp;"'!GO_2032"),0)
+IF(AND(IFERROR(INDIRECT("'"&amp;$D$13&amp;"'!C9")&gt;1991,0),IFERROR(INDIRECT("'"&amp;$D$13&amp;"'!C9")&lt;2021,0)),INDIRECT("'"&amp;$D$13&amp;"'!GO_2032"),0)
+IF(AND(IFERROR(INDIRECT("'"&amp;$D$14&amp;"'!C9")&gt;1991,0),IFERROR(INDIRECT("'"&amp;$D$14&amp;"'!C9")&lt;2021,0)),INDIRECT("'"&amp;$D$14&amp;"'!GO_2032"),0)
+IF(AND(IFERROR(INDIRECT("'"&amp;$D$15&amp;"'!C9")&gt;1991,0),IFERROR(INDIRECT("'"&amp;$D$15&amp;"'!C9")&lt;2021,0)),INDIRECT("'"&amp;$D$15&amp;"'!GO_2032"),0)
+IF(AND(IFERROR(INDIRECT("'"&amp;$D$16&amp;"'!C9")&gt;1991,0),IFERROR(INDIRECT("'"&amp;$D$16&amp;"'!C9")&lt;2021,0)),INDIRECT("'"&amp;$D$16&amp;"'!GO_2032"),0)
+IF(AND(IFERROR(INDIRECT("'"&amp;$D$17&amp;"'!C9")&gt;1991,0),IFERROR(INDIRECT("'"&amp;$D$17&amp;"'!C9")&lt;2021,0)),INDIRECT("'"&amp;$D$17&amp;"'!GO_2032"),0)
+IF(AND(IFERROR(INDIRECT("'"&amp;$D$18&amp;"'!C9")&gt;1991,0),IFERROR(INDIRECT("'"&amp;$D$18&amp;"'!C9")&lt;2021,0)),INDIRECT("'"&amp;$D$18&amp;"'!GO_2032"),0)
+IF(AND(IFERROR(INDIRECT("'"&amp;$D$19&amp;"'!C9")&gt;1991,0),IFERROR(INDIRECT("'"&amp;$D$19&amp;"'!C9")&lt;2021,0)),INDIRECT("'"&amp;$D$19&amp;"'!GO_2032"),0)
+IF(AND(IFERROR(INDIRECT("'"&amp;$D$20&amp;"'!C9")&gt;1991,0),IFERROR(INDIRECT("'"&amp;$D$20&amp;"'!C9")&lt;2021,0)),INDIRECT("'"&amp;$D$20&amp;"'!GO_2032"),0)
+IF(AND(IFERROR(INDIRECT("'"&amp;$D$21&amp;"'!C9")&gt;1991,0),IFERROR(INDIRECT("'"&amp;$D$21&amp;"'!C9")&lt;2021,0)),INDIRECT("'"&amp;$D$21&amp;"'!GO_2032"),0)
+IF(AND(IFERROR(INDIRECT("'"&amp;$D$22&amp;"'!C9")&gt;1991,0),IFERROR(INDIRECT("'"&amp;$D$22&amp;"'!C9")&lt;2021,0)),INDIRECT("'"&amp;$D$22&amp;"'!GO_2032"),0)
+IF(AND(IFERROR(INDIRECT("'"&amp;$D$23&amp;"'!C9")&gt;1991,0),IFERROR(INDIRECT("'"&amp;$D$23&amp;"'!C9")&lt;2021,0)),INDIRECT("'"&amp;$D$23&amp;"'!GO_2032"),0)
+IF(AND(IFERROR(INDIRECT("'"&amp;$D$24&amp;"'!C9")&gt;1991,0),IFERROR(INDIRECT("'"&amp;$D$24&amp;"'!C9")&lt;2021,0)),INDIRECT("'"&amp;$D$24&amp;"'!GO_2032"),0)
+IF(AND(IFERROR(INDIRECT("'"&amp;$D$25&amp;"'!C9")&gt;1991,0),IFERROR(INDIRECT("'"&amp;$D$25&amp;"'!C9")&lt;2021,0)),INDIRECT("'"&amp;$D$25&amp;"'!GO_2032"),0)
+IF(AND(IFERROR(INDIRECT("'"&amp;$D$26&amp;"'!C9")&gt;1991,0),IFERROR(INDIRECT("'"&amp;$D$26&amp;"'!C9")&lt;2021,0)),INDIRECT("'"&amp;$D$26&amp;"'!GO_2032"),0)
+IF(AND(IFERROR(INDIRECT("'"&amp;$D$27&amp;"'!C9")&gt;1991,0),IFERROR(INDIRECT("'"&amp;$D$27&amp;"'!C9")&lt;2021,0)),INDIRECT("'"&amp;$D$27&amp;"'!GO_2032"),0)
+IF(AND(IFERROR(INDIRECT("'"&amp;$D$28&amp;"'!C9")&gt;1991,0),IFERROR(INDIRECT("'"&amp;$D$28&amp;"'!C9")&lt;2021,0)),INDIRECT("'"&amp;$D$28&amp;"'!GO_2032"),0)
+IF(AND(IFERROR(INDIRECT("'"&amp;$D$29&amp;"'!C9")&gt;1991,0),IFERROR(INDIRECT("'"&amp;$D$29&amp;"'!C9")&lt;2021,0)),INDIRECT("'"&amp;$D$29&amp;"'!GO_2032"),0)
+IF(AND(IFERROR(INDIRECT("'"&amp;$D$30&amp;"'!C9")&gt;1991,0),IFERROR(INDIRECT("'"&amp;$D$30&amp;"'!C9")&lt;2021,0)),INDIRECT("'"&amp;$D$30&amp;"'!GO_2032"),0)
+IF(AND(IFERROR(INDIRECT("'"&amp;$D$31&amp;"'!C9")&gt;1991,0),IFERROR(INDIRECT("'"&amp;$D$31&amp;"'!C9")&lt;2021,0)),INDIRECT("'"&amp;$D$31&amp;"'!GO_2032"),0)
+IF(AND(IFERROR(INDIRECT("'"&amp;$D$32&amp;"'!C9")&gt;1991,0),IFERROR(INDIRECT("'"&amp;$D$32&amp;"'!C9")&lt;2021,0)),INDIRECT("'"&amp;$D$32&amp;"'!GO_2032"),0)
+IF(AND(IFERROR(INDIRECT("'"&amp;$D$33&amp;"'!C9")&gt;1991,0),IFERROR(INDIRECT("'"&amp;$D$33&amp;"'!C9")&lt;2021,0)),INDIRECT("'"&amp;$D$33&amp;"'!GO_2032"),0)
+IF(AND(IFERROR(INDIRECT("'"&amp;$D$34&amp;"'!C9")&gt;1991,0),IFERROR(INDIRECT("'"&amp;$D$34&amp;"'!C9")&lt;2021,0)),INDIRECT("'"&amp;$D$34&amp;"'!GO_2032"),0)
+IF(AND(IFERROR(INDIRECT("'"&amp;$D$35&amp;"'!C9")&gt;1991,0),IFERROR(INDIRECT("'"&amp;$D$35&amp;"'!C9")&lt;2021,0)),INDIRECT("'"&amp;$D$35&amp;"'!GO_2032"),0)
+IF(AND(IFERROR(INDIRECT("'"&amp;$D$36&amp;"'!C9")&gt;1991,0),IFERROR(INDIRECT("'"&amp;$D$36&amp;"'!C9")&lt;2021,0)),INDIRECT("'"&amp;$D$36&amp;"'!GO_2032"),0)
+IF(AND(IFERROR(INDIRECT("'"&amp;$D$37&amp;"'!C9")&gt;1991,0),IFERROR(INDIRECT("'"&amp;$D$37&amp;"'!C9")&lt;2021,0)),INDIRECT("'"&amp;$D$37&amp;"'!GO_2032"),0)
+IF(AND(IFERROR(INDIRECT("'"&amp;$D$38&amp;"'!C9")&gt;1991,0),IFERROR(INDIRECT("'"&amp;$D$38&amp;"'!C9")&lt;2021,0)),INDIRECT("'"&amp;$D$38&amp;"'!GO_2032"),0)
+IF(AND(IFERROR(INDIRECT("'"&amp;$D$39&amp;"'!C9")&gt;1991,0),IFERROR(INDIRECT("'"&amp;$D$39&amp;"'!C9")&lt;2021,0)),INDIRECT("'"&amp;$D$39&amp;"'!GO_2032"),0)
+IF(AND(IFERROR(INDIRECT("'"&amp;$D$40&amp;"'!C9")&gt;1991,0),IFERROR(INDIRECT("'"&amp;$D$40&amp;"'!C9")&lt;2021,0)),INDIRECT("'"&amp;$D$40&amp;"'!GO_2032"),0)
+IF(AND(IFERROR(INDIRECT("'"&amp;$D$41&amp;"'!C9")&gt;1991,0),IFERROR(INDIRECT("'"&amp;$D$41&amp;"'!C9")&lt;2021,0)),INDIRECT("'"&amp;$D$41&amp;"'!GO_2032"),0)
+IF(AND(IFERROR(INDIRECT("'"&amp;$D$42&amp;"'!C9")&gt;1991,0),IFERROR(INDIRECT("'"&amp;$D$42&amp;"'!C9")&lt;2021,0)),INDIRECT("'"&amp;$D$42&amp;"'!GO_2032"),0)
+IF(AND(IFERROR(INDIRECT("'"&amp;$D$43&amp;"'!C9")&gt;1991,0),IFERROR(INDIRECT("'"&amp;$D$43&amp;"'!C9")&lt;2021,0)),INDIRECT("'"&amp;$D$43&amp;"'!GO_2032"),0)
+IF(AND(IFERROR(INDIRECT("'"&amp;$D$44&amp;"'!C9")&gt;1991,0),IFERROR(INDIRECT("'"&amp;$D$44&amp;"'!C9")&lt;2021,0)),INDIRECT("'"&amp;$D$44&amp;"'!GO_2032"),0)
+IF(AND(IFERROR(INDIRECT("'"&amp;$D$45&amp;"'!C9")&gt;1991,0),IFERROR(INDIRECT("'"&amp;$D$45&amp;"'!C9")&lt;2021,0)),INDIRECT("'"&amp;$D$45&amp;"'!GO_2032"),0)
+IF(AND(IFERROR(INDIRECT("'"&amp;$D$46&amp;"'!C9")&gt;1991,0),IFERROR(INDIRECT("'"&amp;$D$46&amp;"'!C9")&lt;2021,0)),INDIRECT("'"&amp;$D$46&amp;"'!GO_2032"),0)
+IF(AND(IFERROR(INDIRECT("'"&amp;$D$47&amp;"'!C9")&gt;1991,0),IFERROR(INDIRECT("'"&amp;$D$47&amp;"'!C9")&lt;2021,0)),INDIRECT("'"&amp;$D$47&amp;"'!GO_2032"),0)
+IF(AND(IFERROR(INDIRECT("'"&amp;$D$48&amp;"'!C9")&gt;1991,0),IFERROR(INDIRECT("'"&amp;$D$48&amp;"'!C9")&lt;2021,0)),INDIRECT("'"&amp;$D$48&amp;"'!GO_2032"),0)
+IF(AND(IFERROR(INDIRECT("'"&amp;$D$49&amp;"'!C9")&gt;1991,0),IFERROR(INDIRECT("'"&amp;$D$49&amp;"'!C9")&lt;2021,0)),INDIRECT("'"&amp;$D$49&amp;"'!GO_2032"),0)
+IF(AND(IFERROR(INDIRECT("'"&amp;$D$50&amp;"'!C9")&gt;1991,0),IFERROR(INDIRECT("'"&amp;$D$50&amp;"'!C9")&lt;2021,0)),INDIRECT("'"&amp;$D$50&amp;"'!GO_2032"),0)
+IF(AND(IFERROR(INDIRECT("'"&amp;$D$51&amp;"'!C9")&gt;1991,0),IFERROR(INDIRECT("'"&amp;$D$51&amp;"'!C9")&lt;2021,0)),INDIRECT("'"&amp;$D$51&amp;"'!GO_2032"),0)
+IF(AND(IFERROR(INDIRECT("'"&amp;$D$52&amp;"'!C9")&gt;1991,0),IFERROR(INDIRECT("'"&amp;$D$52&amp;"'!C9")&lt;2021,0)),INDIRECT("'"&amp;$D$52&amp;"'!GO_2032"),0)
+IF(AND(IFERROR(INDIRECT("'"&amp;$D$53&amp;"'!C9")&gt;1991,0),IFERROR(INDIRECT("'"&amp;$D$53&amp;"'!C9")&lt;2021,0)),INDIRECT("'"&amp;$D$53&amp;"'!GO_2032"),0)
+IF(AND(IFERROR(INDIRECT("'"&amp;$D$54&amp;"'!C9")&gt;1991,0),IFERROR(INDIRECT("'"&amp;$D$54&amp;"'!C9")&lt;2021,0)),INDIRECT("'"&amp;$D$54&amp;"'!GO_2032"),0)</f>
        <v>0</v>
      </c>
      <c r="W27" s="321">
        <f ca="1">IF(AND(IFERROR(INDIRECT("'"&amp;$D$5&amp;"'!C9")&gt;1991,0),IFERROR(INDIRECT("'"&amp;$D$5&amp;"'!C9")&lt;2021,0)),INDIRECT("'"&amp;$D$5&amp;"'!GO_2033"),0)
+IF(AND(IFERROR(INDIRECT("'"&amp;$D$6&amp;"'!C9")&gt;1991,0),IFERROR(INDIRECT("'"&amp;$D$6&amp;"'!C9")&lt;2021,0)),INDIRECT("'"&amp;$D$6&amp;"'!GO_2033"),0)
+IF(AND(IFERROR(INDIRECT("'"&amp;$D$7&amp;"'!C9")&gt;1991,0),IFERROR(INDIRECT("'"&amp;$D$7&amp;"'!C9")&lt;2021,0)),INDIRECT("'"&amp;$D$7&amp;"'!GO_2033"),0)
+IF(AND(IFERROR(INDIRECT("'"&amp;$D$8&amp;"'!C9")&gt;1991,0),IFERROR(INDIRECT("'"&amp;$D$8&amp;"'!C9")&lt;2021,0)),INDIRECT("'"&amp;$D$8&amp;"'!GO_2033"),0)
+IF(AND(IFERROR(INDIRECT("'"&amp;$D$9&amp;"'!C9")&gt;1991,0),IFERROR(INDIRECT("'"&amp;$D$9&amp;"'!C9")&lt;2021,0)),INDIRECT("'"&amp;$D$9&amp;"'!GO_2033"),0)
+IF(AND(IFERROR(INDIRECT("'"&amp;$D$10&amp;"'!C9")&gt;1991,0),IFERROR(INDIRECT("'"&amp;$D$10&amp;"'!C9")&lt;2021,0)),INDIRECT("'"&amp;$D$10&amp;"'!GO_2033"),0)
+IF(AND(IFERROR(INDIRECT("'"&amp;$D$11&amp;"'!C9")&gt;1991,0),IFERROR(INDIRECT("'"&amp;$D$11&amp;"'!C9")&lt;2021,0)),INDIRECT("'"&amp;$D$11&amp;"'!GO_2033"),0)
+IF(AND(IFERROR(INDIRECT("'"&amp;$D$12&amp;"'!C9")&gt;1991,0),IFERROR(INDIRECT("'"&amp;$D$12&amp;"'!C9")&lt;2021,0)),INDIRECT("'"&amp;$D$12&amp;"'!GO_2033"),0)
+IF(AND(IFERROR(INDIRECT("'"&amp;$D$13&amp;"'!C9")&gt;1991,0),IFERROR(INDIRECT("'"&amp;$D$13&amp;"'!C9")&lt;2021,0)),INDIRECT("'"&amp;$D$13&amp;"'!GO_2033"),0)
+IF(AND(IFERROR(INDIRECT("'"&amp;$D$14&amp;"'!C9")&gt;1991,0),IFERROR(INDIRECT("'"&amp;$D$14&amp;"'!C9")&lt;2021,0)),INDIRECT("'"&amp;$D$14&amp;"'!GO_2033"),0)
+IF(AND(IFERROR(INDIRECT("'"&amp;$D$15&amp;"'!C9")&gt;1991,0),IFERROR(INDIRECT("'"&amp;$D$15&amp;"'!C9")&lt;2021,0)),INDIRECT("'"&amp;$D$15&amp;"'!GO_2033"),0)
+IF(AND(IFERROR(INDIRECT("'"&amp;$D$16&amp;"'!C9")&gt;1991,0),IFERROR(INDIRECT("'"&amp;$D$16&amp;"'!C9")&lt;2021,0)),INDIRECT("'"&amp;$D$16&amp;"'!GO_2033"),0)
+IF(AND(IFERROR(INDIRECT("'"&amp;$D$17&amp;"'!C9")&gt;1991,0),IFERROR(INDIRECT("'"&amp;$D$17&amp;"'!C9")&lt;2021,0)),INDIRECT("'"&amp;$D$17&amp;"'!GO_2033"),0)
+IF(AND(IFERROR(INDIRECT("'"&amp;$D$18&amp;"'!C9")&gt;1991,0),IFERROR(INDIRECT("'"&amp;$D$18&amp;"'!C9")&lt;2021,0)),INDIRECT("'"&amp;$D$18&amp;"'!GO_2033"),0)
+IF(AND(IFERROR(INDIRECT("'"&amp;$D$19&amp;"'!C9")&gt;1991,0),IFERROR(INDIRECT("'"&amp;$D$19&amp;"'!C9")&lt;2021,0)),INDIRECT("'"&amp;$D$19&amp;"'!GO_2033"),0)
+IF(AND(IFERROR(INDIRECT("'"&amp;$D$20&amp;"'!C9")&gt;1991,0),IFERROR(INDIRECT("'"&amp;$D$20&amp;"'!C9")&lt;2021,0)),INDIRECT("'"&amp;$D$20&amp;"'!GO_2033"),0)
+IF(AND(IFERROR(INDIRECT("'"&amp;$D$21&amp;"'!C9")&gt;1991,0),IFERROR(INDIRECT("'"&amp;$D$21&amp;"'!C9")&lt;2021,0)),INDIRECT("'"&amp;$D$21&amp;"'!GO_2033"),0)
+IF(AND(IFERROR(INDIRECT("'"&amp;$D$22&amp;"'!C9")&gt;1991,0),IFERROR(INDIRECT("'"&amp;$D$22&amp;"'!C9")&lt;2021,0)),INDIRECT("'"&amp;$D$22&amp;"'!GO_2033"),0)
+IF(AND(IFERROR(INDIRECT("'"&amp;$D$23&amp;"'!C9")&gt;1991,0),IFERROR(INDIRECT("'"&amp;$D$23&amp;"'!C9")&lt;2021,0)),INDIRECT("'"&amp;$D$23&amp;"'!GO_2033"),0)
+IF(AND(IFERROR(INDIRECT("'"&amp;$D$24&amp;"'!C9")&gt;1991,0),IFERROR(INDIRECT("'"&amp;$D$24&amp;"'!C9")&lt;2021,0)),INDIRECT("'"&amp;$D$24&amp;"'!GO_2033"),0)
+IF(AND(IFERROR(INDIRECT("'"&amp;$D$25&amp;"'!C9")&gt;1991,0),IFERROR(INDIRECT("'"&amp;$D$25&amp;"'!C9")&lt;2021,0)),INDIRECT("'"&amp;$D$25&amp;"'!GO_2033"),0)
+IF(AND(IFERROR(INDIRECT("'"&amp;$D$26&amp;"'!C9")&gt;1991,0),IFERROR(INDIRECT("'"&amp;$D$26&amp;"'!C9")&lt;2021,0)),INDIRECT("'"&amp;$D$26&amp;"'!GO_2033"),0)
+IF(AND(IFERROR(INDIRECT("'"&amp;$D$27&amp;"'!C9")&gt;1991,0),IFERROR(INDIRECT("'"&amp;$D$27&amp;"'!C9")&lt;2021,0)),INDIRECT("'"&amp;$D$27&amp;"'!GO_2033"),0)
+IF(AND(IFERROR(INDIRECT("'"&amp;$D$28&amp;"'!C9")&gt;1991,0),IFERROR(INDIRECT("'"&amp;$D$28&amp;"'!C9")&lt;2021,0)),INDIRECT("'"&amp;$D$28&amp;"'!GO_2033"),0)
+IF(AND(IFERROR(INDIRECT("'"&amp;$D$29&amp;"'!C9")&gt;1991,0),IFERROR(INDIRECT("'"&amp;$D$29&amp;"'!C9")&lt;2021,0)),INDIRECT("'"&amp;$D$29&amp;"'!GO_2033"),0)
+IF(AND(IFERROR(INDIRECT("'"&amp;$D$30&amp;"'!C9")&gt;1991,0),IFERROR(INDIRECT("'"&amp;$D$30&amp;"'!C9")&lt;2021,0)),INDIRECT("'"&amp;$D$30&amp;"'!GO_2033"),0)
+IF(AND(IFERROR(INDIRECT("'"&amp;$D$31&amp;"'!C9")&gt;1991,0),IFERROR(INDIRECT("'"&amp;$D$31&amp;"'!C9")&lt;2021,0)),INDIRECT("'"&amp;$D$31&amp;"'!GO_2033"),0)
+IF(AND(IFERROR(INDIRECT("'"&amp;$D$32&amp;"'!C9")&gt;1991,0),IFERROR(INDIRECT("'"&amp;$D$32&amp;"'!C9")&lt;2021,0)),INDIRECT("'"&amp;$D$32&amp;"'!GO_2033"),0)
+IF(AND(IFERROR(INDIRECT("'"&amp;$D$33&amp;"'!C9")&gt;1991,0),IFERROR(INDIRECT("'"&amp;$D$33&amp;"'!C9")&lt;2021,0)),INDIRECT("'"&amp;$D$33&amp;"'!GO_2033"),0)
+IF(AND(IFERROR(INDIRECT("'"&amp;$D$34&amp;"'!C9")&gt;1991,0),IFERROR(INDIRECT("'"&amp;$D$34&amp;"'!C9")&lt;2021,0)),INDIRECT("'"&amp;$D$34&amp;"'!GO_2033"),0)
+IF(AND(IFERROR(INDIRECT("'"&amp;$D$35&amp;"'!C9")&gt;1991,0),IFERROR(INDIRECT("'"&amp;$D$35&amp;"'!C9")&lt;2021,0)),INDIRECT("'"&amp;$D$35&amp;"'!GO_2033"),0)
+IF(AND(IFERROR(INDIRECT("'"&amp;$D$36&amp;"'!C9")&gt;1991,0),IFERROR(INDIRECT("'"&amp;$D$36&amp;"'!C9")&lt;2021,0)),INDIRECT("'"&amp;$D$36&amp;"'!GO_2033"),0)
+IF(AND(IFERROR(INDIRECT("'"&amp;$D$37&amp;"'!C9")&gt;1991,0),IFERROR(INDIRECT("'"&amp;$D$37&amp;"'!C9")&lt;2021,0)),INDIRECT("'"&amp;$D$37&amp;"'!GO_2033"),0)
+IF(AND(IFERROR(INDIRECT("'"&amp;$D$38&amp;"'!C9")&gt;1991,0),IFERROR(INDIRECT("'"&amp;$D$38&amp;"'!C9")&lt;2021,0)),INDIRECT("'"&amp;$D$38&amp;"'!GO_2033"),0)
+IF(AND(IFERROR(INDIRECT("'"&amp;$D$39&amp;"'!C9")&gt;1991,0),IFERROR(INDIRECT("'"&amp;$D$39&amp;"'!C9")&lt;2021,0)),INDIRECT("'"&amp;$D$39&amp;"'!GO_2033"),0)
+IF(AND(IFERROR(INDIRECT("'"&amp;$D$40&amp;"'!C9")&gt;1991,0),IFERROR(INDIRECT("'"&amp;$D$40&amp;"'!C9")&lt;2021,0)),INDIRECT("'"&amp;$D$40&amp;"'!GO_2033"),0)
+IF(AND(IFERROR(INDIRECT("'"&amp;$D$41&amp;"'!C9")&gt;1991,0),IFERROR(INDIRECT("'"&amp;$D$41&amp;"'!C9")&lt;2021,0)),INDIRECT("'"&amp;$D$41&amp;"'!GO_2033"),0)
+IF(AND(IFERROR(INDIRECT("'"&amp;$D$42&amp;"'!C9")&gt;1991,0),IFERROR(INDIRECT("'"&amp;$D$42&amp;"'!C9")&lt;2021,0)),INDIRECT("'"&amp;$D$42&amp;"'!GO_2033"),0)
+IF(AND(IFERROR(INDIRECT("'"&amp;$D$43&amp;"'!C9")&gt;1991,0),IFERROR(INDIRECT("'"&amp;$D$43&amp;"'!C9")&lt;2021,0)),INDIRECT("'"&amp;$D$43&amp;"'!GO_2033"),0)
+IF(AND(IFERROR(INDIRECT("'"&amp;$D$44&amp;"'!C9")&gt;1991,0),IFERROR(INDIRECT("'"&amp;$D$44&amp;"'!C9")&lt;2021,0)),INDIRECT("'"&amp;$D$44&amp;"'!GO_2033"),0)
+IF(AND(IFERROR(INDIRECT("'"&amp;$D$45&amp;"'!C9")&gt;1991,0),IFERROR(INDIRECT("'"&amp;$D$45&amp;"'!C9")&lt;2021,0)),INDIRECT("'"&amp;$D$45&amp;"'!GO_2033"),0)
+IF(AND(IFERROR(INDIRECT("'"&amp;$D$46&amp;"'!C9")&gt;1991,0),IFERROR(INDIRECT("'"&amp;$D$46&amp;"'!C9")&lt;2021,0)),INDIRECT("'"&amp;$D$46&amp;"'!GO_2033"),0)
+IF(AND(IFERROR(INDIRECT("'"&amp;$D$47&amp;"'!C9")&gt;1991,0),IFERROR(INDIRECT("'"&amp;$D$47&amp;"'!C9")&lt;2021,0)),INDIRECT("'"&amp;$D$47&amp;"'!GO_2033"),0)
+IF(AND(IFERROR(INDIRECT("'"&amp;$D$48&amp;"'!C9")&gt;1991,0),IFERROR(INDIRECT("'"&amp;$D$48&amp;"'!C9")&lt;2021,0)),INDIRECT("'"&amp;$D$48&amp;"'!GO_2033"),0)
+IF(AND(IFERROR(INDIRECT("'"&amp;$D$49&amp;"'!C9")&gt;1991,0),IFERROR(INDIRECT("'"&amp;$D$49&amp;"'!C9")&lt;2021,0)),INDIRECT("'"&amp;$D$49&amp;"'!GO_2033"),0)
+IF(AND(IFERROR(INDIRECT("'"&amp;$D$50&amp;"'!C9")&gt;1991,0),IFERROR(INDIRECT("'"&amp;$D$50&amp;"'!C9")&lt;2021,0)),INDIRECT("'"&amp;$D$50&amp;"'!GO_2033"),0)
+IF(AND(IFERROR(INDIRECT("'"&amp;$D$51&amp;"'!C9")&gt;1991,0),IFERROR(INDIRECT("'"&amp;$D$51&amp;"'!C9")&lt;2021,0)),INDIRECT("'"&amp;$D$51&amp;"'!GO_2033"),0)
+IF(AND(IFERROR(INDIRECT("'"&amp;$D$52&amp;"'!C9")&gt;1991,0),IFERROR(INDIRECT("'"&amp;$D$52&amp;"'!C9")&lt;2021,0)),INDIRECT("'"&amp;$D$52&amp;"'!GO_2033"),0)
+IF(AND(IFERROR(INDIRECT("'"&amp;$D$53&amp;"'!C9")&gt;1991,0),IFERROR(INDIRECT("'"&amp;$D$53&amp;"'!C9")&lt;2021,0)),INDIRECT("'"&amp;$D$53&amp;"'!GO_2033"),0)
+IF(AND(IFERROR(INDIRECT("'"&amp;$D$54&amp;"'!C9")&gt;1991,0),IFERROR(INDIRECT("'"&amp;$D$54&amp;"'!C9")&lt;2021,0)),INDIRECT("'"&amp;$D$54&amp;"'!GO_2033"),0)</f>
        <v>0</v>
      </c>
      <c r="X27" s="321">
        <f ca="1">IF(AND(IFERROR(INDIRECT("'"&amp;$D$5&amp;"'!C9")&gt;1991,0),IFERROR(INDIRECT("'"&amp;$D$5&amp;"'!C9")&lt;2021,0)),INDIRECT("'"&amp;$D$5&amp;"'!GO_2034"),0)
+IF(AND(IFERROR(INDIRECT("'"&amp;$D$6&amp;"'!C9")&gt;1991,0),IFERROR(INDIRECT("'"&amp;$D$6&amp;"'!C9")&lt;2021,0)),INDIRECT("'"&amp;$D$6&amp;"'!GO_2034"),0)
+IF(AND(IFERROR(INDIRECT("'"&amp;$D$7&amp;"'!C9")&gt;1991,0),IFERROR(INDIRECT("'"&amp;$D$7&amp;"'!C9")&lt;2021,0)),INDIRECT("'"&amp;$D$7&amp;"'!GO_2034"),0)
+IF(AND(IFERROR(INDIRECT("'"&amp;$D$8&amp;"'!C9")&gt;1991,0),IFERROR(INDIRECT("'"&amp;$D$8&amp;"'!C9")&lt;2021,0)),INDIRECT("'"&amp;$D$8&amp;"'!GO_2034"),0)
+IF(AND(IFERROR(INDIRECT("'"&amp;$D$9&amp;"'!C9")&gt;1991,0),IFERROR(INDIRECT("'"&amp;$D$9&amp;"'!C9")&lt;2021,0)),INDIRECT("'"&amp;$D$9&amp;"'!GO_2034"),0)
+IF(AND(IFERROR(INDIRECT("'"&amp;$D$10&amp;"'!C9")&gt;1991,0),IFERROR(INDIRECT("'"&amp;$D$10&amp;"'!C9")&lt;2021,0)),INDIRECT("'"&amp;$D$10&amp;"'!GO_2034"),0)
+IF(AND(IFERROR(INDIRECT("'"&amp;$D$11&amp;"'!C9")&gt;1991,0),IFERROR(INDIRECT("'"&amp;$D$11&amp;"'!C9")&lt;2021,0)),INDIRECT("'"&amp;$D$11&amp;"'!GO_2034"),0)
+IF(AND(IFERROR(INDIRECT("'"&amp;$D$12&amp;"'!C9")&gt;1991,0),IFERROR(INDIRECT("'"&amp;$D$12&amp;"'!C9")&lt;2021,0)),INDIRECT("'"&amp;$D$12&amp;"'!GO_2034"),0)
+IF(AND(IFERROR(INDIRECT("'"&amp;$D$13&amp;"'!C9")&gt;1991,0),IFERROR(INDIRECT("'"&amp;$D$13&amp;"'!C9")&lt;2021,0)),INDIRECT("'"&amp;$D$13&amp;"'!GO_2034"),0)
+IF(AND(IFERROR(INDIRECT("'"&amp;$D$14&amp;"'!C9")&gt;1991,0),IFERROR(INDIRECT("'"&amp;$D$14&amp;"'!C9")&lt;2021,0)),INDIRECT("'"&amp;$D$14&amp;"'!GO_2034"),0)
+IF(AND(IFERROR(INDIRECT("'"&amp;$D$15&amp;"'!C9")&gt;1991,0),IFERROR(INDIRECT("'"&amp;$D$15&amp;"'!C9")&lt;2021,0)),INDIRECT("'"&amp;$D$15&amp;"'!GO_2034"),0)
+IF(AND(IFERROR(INDIRECT("'"&amp;$D$16&amp;"'!C9")&gt;1991,0),IFERROR(INDIRECT("'"&amp;$D$16&amp;"'!C9")&lt;2021,0)),INDIRECT("'"&amp;$D$16&amp;"'!GO_2034"),0)
+IF(AND(IFERROR(INDIRECT("'"&amp;$D$17&amp;"'!C9")&gt;1991,0),IFERROR(INDIRECT("'"&amp;$D$17&amp;"'!C9")&lt;2021,0)),INDIRECT("'"&amp;$D$17&amp;"'!GO_2034"),0)
+IF(AND(IFERROR(INDIRECT("'"&amp;$D$18&amp;"'!C9")&gt;1991,0),IFERROR(INDIRECT("'"&amp;$D$18&amp;"'!C9")&lt;2021,0)),INDIRECT("'"&amp;$D$18&amp;"'!GO_2034"),0)
+IF(AND(IFERROR(INDIRECT("'"&amp;$D$19&amp;"'!C9")&gt;1991,0),IFERROR(INDIRECT("'"&amp;$D$19&amp;"'!C9")&lt;2021,0)),INDIRECT("'"&amp;$D$19&amp;"'!GO_2034"),0)
+IF(AND(IFERROR(INDIRECT("'"&amp;$D$20&amp;"'!C9")&gt;1991,0),IFERROR(INDIRECT("'"&amp;$D$20&amp;"'!C9")&lt;2021,0)),INDIRECT("'"&amp;$D$20&amp;"'!GO_2034"),0)
+IF(AND(IFERROR(INDIRECT("'"&amp;$D$21&amp;"'!C9")&gt;1991,0),IFERROR(INDIRECT("'"&amp;$D$21&amp;"'!C9")&lt;2021,0)),INDIRECT("'"&amp;$D$21&amp;"'!GO_2034"),0)
+IF(AND(IFERROR(INDIRECT("'"&amp;$D$22&amp;"'!C9")&gt;1991,0),IFERROR(INDIRECT("'"&amp;$D$22&amp;"'!C9")&lt;2021,0)),INDIRECT("'"&amp;$D$22&amp;"'!GO_2034"),0)
+IF(AND(IFERROR(INDIRECT("'"&amp;$D$23&amp;"'!C9")&gt;1991,0),IFERROR(INDIRECT("'"&amp;$D$23&amp;"'!C9")&lt;2021,0)),INDIRECT("'"&amp;$D$23&amp;"'!GO_2034"),0)
+IF(AND(IFERROR(INDIRECT("'"&amp;$D$24&amp;"'!C9")&gt;1991,0),IFERROR(INDIRECT("'"&amp;$D$24&amp;"'!C9")&lt;2021,0)),INDIRECT("'"&amp;$D$24&amp;"'!GO_2034"),0)
+IF(AND(IFERROR(INDIRECT("'"&amp;$D$25&amp;"'!C9")&gt;1991,0),IFERROR(INDIRECT("'"&amp;$D$25&amp;"'!C9")&lt;2021,0)),INDIRECT("'"&amp;$D$25&amp;"'!GO_2034"),0)
+IF(AND(IFERROR(INDIRECT("'"&amp;$D$26&amp;"'!C9")&gt;1991,0),IFERROR(INDIRECT("'"&amp;$D$26&amp;"'!C9")&lt;2021,0)),INDIRECT("'"&amp;$D$26&amp;"'!GO_2034"),0)
+IF(AND(IFERROR(INDIRECT("'"&amp;$D$27&amp;"'!C9")&gt;1991,0),IFERROR(INDIRECT("'"&amp;$D$27&amp;"'!C9")&lt;2021,0)),INDIRECT("'"&amp;$D$27&amp;"'!GO_2034"),0)
+IF(AND(IFERROR(INDIRECT("'"&amp;$D$28&amp;"'!C9")&gt;1991,0),IFERROR(INDIRECT("'"&amp;$D$28&amp;"'!C9")&lt;2021,0)),INDIRECT("'"&amp;$D$28&amp;"'!GO_2034"),0)
+IF(AND(IFERROR(INDIRECT("'"&amp;$D$29&amp;"'!C9")&gt;1991,0),IFERROR(INDIRECT("'"&amp;$D$29&amp;"'!C9")&lt;2021,0)),INDIRECT("'"&amp;$D$29&amp;"'!GO_2034"),0)
+IF(AND(IFERROR(INDIRECT("'"&amp;$D$30&amp;"'!C9")&gt;1991,0),IFERROR(INDIRECT("'"&amp;$D$30&amp;"'!C9")&lt;2021,0)),INDIRECT("'"&amp;$D$30&amp;"'!GO_2034"),0)
+IF(AND(IFERROR(INDIRECT("'"&amp;$D$31&amp;"'!C9")&gt;1991,0),IFERROR(INDIRECT("'"&amp;$D$31&amp;"'!C9")&lt;2021,0)),INDIRECT("'"&amp;$D$31&amp;"'!GO_2034"),0)
+IF(AND(IFERROR(INDIRECT("'"&amp;$D$32&amp;"'!C9")&gt;1991,0),IFERROR(INDIRECT("'"&amp;$D$32&amp;"'!C9")&lt;2021,0)),INDIRECT("'"&amp;$D$32&amp;"'!GO_2034"),0)
+IF(AND(IFERROR(INDIRECT("'"&amp;$D$33&amp;"'!C9")&gt;1991,0),IFERROR(INDIRECT("'"&amp;$D$33&amp;"'!C9")&lt;2021,0)),INDIRECT("'"&amp;$D$33&amp;"'!GO_2034"),0)
+IF(AND(IFERROR(INDIRECT("'"&amp;$D$34&amp;"'!C9")&gt;1991,0),IFERROR(INDIRECT("'"&amp;$D$34&amp;"'!C9")&lt;2021,0)),INDIRECT("'"&amp;$D$34&amp;"'!GO_2034"),0)
+IF(AND(IFERROR(INDIRECT("'"&amp;$D$35&amp;"'!C9")&gt;1991,0),IFERROR(INDIRECT("'"&amp;$D$35&amp;"'!C9")&lt;2021,0)),INDIRECT("'"&amp;$D$35&amp;"'!GO_2034"),0)
+IF(AND(IFERROR(INDIRECT("'"&amp;$D$36&amp;"'!C9")&gt;1991,0),IFERROR(INDIRECT("'"&amp;$D$36&amp;"'!C9")&lt;2021,0)),INDIRECT("'"&amp;$D$36&amp;"'!GO_2034"),0)
+IF(AND(IFERROR(INDIRECT("'"&amp;$D$37&amp;"'!C9")&gt;1991,0),IFERROR(INDIRECT("'"&amp;$D$37&amp;"'!C9")&lt;2021,0)),INDIRECT("'"&amp;$D$37&amp;"'!GO_2034"),0)
+IF(AND(IFERROR(INDIRECT("'"&amp;$D$38&amp;"'!C9")&gt;1991,0),IFERROR(INDIRECT("'"&amp;$D$38&amp;"'!C9")&lt;2021,0)),INDIRECT("'"&amp;$D$38&amp;"'!GO_2034"),0)
+IF(AND(IFERROR(INDIRECT("'"&amp;$D$39&amp;"'!C9")&gt;1991,0),IFERROR(INDIRECT("'"&amp;$D$39&amp;"'!C9")&lt;2021,0)),INDIRECT("'"&amp;$D$39&amp;"'!GO_2034"),0)
+IF(AND(IFERROR(INDIRECT("'"&amp;$D$40&amp;"'!C9")&gt;1991,0),IFERROR(INDIRECT("'"&amp;$D$40&amp;"'!C9")&lt;2021,0)),INDIRECT("'"&amp;$D$40&amp;"'!GO_2034"),0)
+IF(AND(IFERROR(INDIRECT("'"&amp;$D$41&amp;"'!C9")&gt;1991,0),IFERROR(INDIRECT("'"&amp;$D$41&amp;"'!C9")&lt;2021,0)),INDIRECT("'"&amp;$D$41&amp;"'!GO_2034"),0)
+IF(AND(IFERROR(INDIRECT("'"&amp;$D$42&amp;"'!C9")&gt;1991,0),IFERROR(INDIRECT("'"&amp;$D$42&amp;"'!C9")&lt;2021,0)),INDIRECT("'"&amp;$D$42&amp;"'!GO_2034"),0)
+IF(AND(IFERROR(INDIRECT("'"&amp;$D$43&amp;"'!C9")&gt;1991,0),IFERROR(INDIRECT("'"&amp;$D$43&amp;"'!C9")&lt;2021,0)),INDIRECT("'"&amp;$D$43&amp;"'!GO_2034"),0)
+IF(AND(IFERROR(INDIRECT("'"&amp;$D$44&amp;"'!C9")&gt;1991,0),IFERROR(INDIRECT("'"&amp;$D$44&amp;"'!C9")&lt;2021,0)),INDIRECT("'"&amp;$D$44&amp;"'!GO_2034"),0)
+IF(AND(IFERROR(INDIRECT("'"&amp;$D$45&amp;"'!C9")&gt;1991,0),IFERROR(INDIRECT("'"&amp;$D$45&amp;"'!C9")&lt;2021,0)),INDIRECT("'"&amp;$D$45&amp;"'!GO_2034"),0)
+IF(AND(IFERROR(INDIRECT("'"&amp;$D$46&amp;"'!C9")&gt;1991,0),IFERROR(INDIRECT("'"&amp;$D$46&amp;"'!C9")&lt;2021,0)),INDIRECT("'"&amp;$D$46&amp;"'!GO_2034"),0)
+IF(AND(IFERROR(INDIRECT("'"&amp;$D$47&amp;"'!C9")&gt;1991,0),IFERROR(INDIRECT("'"&amp;$D$47&amp;"'!C9")&lt;2021,0)),INDIRECT("'"&amp;$D$47&amp;"'!GO_2034"),0)
+IF(AND(IFERROR(INDIRECT("'"&amp;$D$48&amp;"'!C9")&gt;1991,0),IFERROR(INDIRECT("'"&amp;$D$48&amp;"'!C9")&lt;2021,0)),INDIRECT("'"&amp;$D$48&amp;"'!GO_2034"),0)
+IF(AND(IFERROR(INDIRECT("'"&amp;$D$49&amp;"'!C9")&gt;1991,0),IFERROR(INDIRECT("'"&amp;$D$49&amp;"'!C9")&lt;2021,0)),INDIRECT("'"&amp;$D$49&amp;"'!GO_2034"),0)
+IF(AND(IFERROR(INDIRECT("'"&amp;$D$50&amp;"'!C9")&gt;1991,0),IFERROR(INDIRECT("'"&amp;$D$50&amp;"'!C9")&lt;2021,0)),INDIRECT("'"&amp;$D$50&amp;"'!GO_2034"),0)
+IF(AND(IFERROR(INDIRECT("'"&amp;$D$51&amp;"'!C9")&gt;1991,0),IFERROR(INDIRECT("'"&amp;$D$51&amp;"'!C9")&lt;2021,0)),INDIRECT("'"&amp;$D$51&amp;"'!GO_2034"),0)
+IF(AND(IFERROR(INDIRECT("'"&amp;$D$52&amp;"'!C9")&gt;1991,0),IFERROR(INDIRECT("'"&amp;$D$52&amp;"'!C9")&lt;2021,0)),INDIRECT("'"&amp;$D$52&amp;"'!GO_2034"),0)
+IF(AND(IFERROR(INDIRECT("'"&amp;$D$53&amp;"'!C9")&gt;1991,0),IFERROR(INDIRECT("'"&amp;$D$53&amp;"'!C9")&lt;2021,0)),INDIRECT("'"&amp;$D$53&amp;"'!GO_2034"),0)
+IF(AND(IFERROR(INDIRECT("'"&amp;$D$54&amp;"'!C9")&gt;1991,0),IFERROR(INDIRECT("'"&amp;$D$54&amp;"'!C9")&lt;2021,0)),INDIRECT("'"&amp;$D$54&amp;"'!GO_2034"),0)</f>
        <v>0</v>
      </c>
      <c r="Y27" s="321">
        <f ca="1">IF(AND(IFERROR(INDIRECT("'"&amp;$D$5&amp;"'!C9")&gt;1991,0),IFERROR(INDIRECT("'"&amp;$D$5&amp;"'!C9")&lt;2021,0)),INDIRECT("'"&amp;$D$5&amp;"'!GO_2035"),0)
+IF(AND(IFERROR(INDIRECT("'"&amp;$D$6&amp;"'!C9")&gt;1991,0),IFERROR(INDIRECT("'"&amp;$D$6&amp;"'!C9")&lt;2021,0)),INDIRECT("'"&amp;$D$6&amp;"'!GO_2035"),0)
+IF(AND(IFERROR(INDIRECT("'"&amp;$D$7&amp;"'!C9")&gt;1991,0),IFERROR(INDIRECT("'"&amp;$D$7&amp;"'!C9")&lt;2021,0)),INDIRECT("'"&amp;$D$7&amp;"'!GO_2035"),0)
+IF(AND(IFERROR(INDIRECT("'"&amp;$D$8&amp;"'!C9")&gt;1991,0),IFERROR(INDIRECT("'"&amp;$D$8&amp;"'!C9")&lt;2021,0)),INDIRECT("'"&amp;$D$8&amp;"'!GO_2035"),0)
+IF(AND(IFERROR(INDIRECT("'"&amp;$D$9&amp;"'!C9")&gt;1991,0),IFERROR(INDIRECT("'"&amp;$D$9&amp;"'!C9")&lt;2021,0)),INDIRECT("'"&amp;$D$9&amp;"'!GO_2035"),0)
+IF(AND(IFERROR(INDIRECT("'"&amp;$D$10&amp;"'!C9")&gt;1991,0),IFERROR(INDIRECT("'"&amp;$D$10&amp;"'!C9")&lt;2021,0)),INDIRECT("'"&amp;$D$10&amp;"'!GO_2035"),0)
+IF(AND(IFERROR(INDIRECT("'"&amp;$D$11&amp;"'!C9")&gt;1991,0),IFERROR(INDIRECT("'"&amp;$D$11&amp;"'!C9")&lt;2021,0)),INDIRECT("'"&amp;$D$11&amp;"'!GO_2035"),0)
+IF(AND(IFERROR(INDIRECT("'"&amp;$D$12&amp;"'!C9")&gt;1991,0),IFERROR(INDIRECT("'"&amp;$D$12&amp;"'!C9")&lt;2021,0)),INDIRECT("'"&amp;$D$12&amp;"'!GO_2035"),0)
+IF(AND(IFERROR(INDIRECT("'"&amp;$D$13&amp;"'!C9")&gt;1991,0),IFERROR(INDIRECT("'"&amp;$D$13&amp;"'!C9")&lt;2021,0)),INDIRECT("'"&amp;$D$13&amp;"'!GO_2035"),0)
+IF(AND(IFERROR(INDIRECT("'"&amp;$D$14&amp;"'!C9")&gt;1991,0),IFERROR(INDIRECT("'"&amp;$D$14&amp;"'!C9")&lt;2021,0)),INDIRECT("'"&amp;$D$14&amp;"'!GO_2035"),0)
+IF(AND(IFERROR(INDIRECT("'"&amp;$D$15&amp;"'!C9")&gt;1991,0),IFERROR(INDIRECT("'"&amp;$D$15&amp;"'!C9")&lt;2021,0)),INDIRECT("'"&amp;$D$15&amp;"'!GO_2035"),0)
+IF(AND(IFERROR(INDIRECT("'"&amp;$D$16&amp;"'!C9")&gt;1991,0),IFERROR(INDIRECT("'"&amp;$D$16&amp;"'!C9")&lt;2021,0)),INDIRECT("'"&amp;$D$16&amp;"'!GO_2035"),0)
+IF(AND(IFERROR(INDIRECT("'"&amp;$D$17&amp;"'!C9")&gt;1991,0),IFERROR(INDIRECT("'"&amp;$D$17&amp;"'!C9")&lt;2021,0)),INDIRECT("'"&amp;$D$17&amp;"'!GO_2035"),0)
+IF(AND(IFERROR(INDIRECT("'"&amp;$D$18&amp;"'!C9")&gt;1991,0),IFERROR(INDIRECT("'"&amp;$D$18&amp;"'!C9")&lt;2021,0)),INDIRECT("'"&amp;$D$18&amp;"'!GO_2035"),0)
+IF(AND(IFERROR(INDIRECT("'"&amp;$D$19&amp;"'!C9")&gt;1991,0),IFERROR(INDIRECT("'"&amp;$D$19&amp;"'!C9")&lt;2021,0)),INDIRECT("'"&amp;$D$19&amp;"'!GO_2035"),0)
+IF(AND(IFERROR(INDIRECT("'"&amp;$D$20&amp;"'!C9")&gt;1991,0),IFERROR(INDIRECT("'"&amp;$D$20&amp;"'!C9")&lt;2021,0)),INDIRECT("'"&amp;$D$20&amp;"'!GO_2035"),0)
+IF(AND(IFERROR(INDIRECT("'"&amp;$D$21&amp;"'!C9")&gt;1991,0),IFERROR(INDIRECT("'"&amp;$D$21&amp;"'!C9")&lt;2021,0)),INDIRECT("'"&amp;$D$21&amp;"'!GO_2035"),0)
+IF(AND(IFERROR(INDIRECT("'"&amp;$D$22&amp;"'!C9")&gt;1991,0),IFERROR(INDIRECT("'"&amp;$D$22&amp;"'!C9")&lt;2021,0)),INDIRECT("'"&amp;$D$22&amp;"'!GO_2035"),0)
+IF(AND(IFERROR(INDIRECT("'"&amp;$D$23&amp;"'!C9")&gt;1991,0),IFERROR(INDIRECT("'"&amp;$D$23&amp;"'!C9")&lt;2021,0)),INDIRECT("'"&amp;$D$23&amp;"'!GO_2035"),0)
+IF(AND(IFERROR(INDIRECT("'"&amp;$D$24&amp;"'!C9")&gt;1991,0),IFERROR(INDIRECT("'"&amp;$D$24&amp;"'!C9")&lt;2021,0)),INDIRECT("'"&amp;$D$24&amp;"'!GO_2035"),0)
+IF(AND(IFERROR(INDIRECT("'"&amp;$D$25&amp;"'!C9")&gt;1991,0),IFERROR(INDIRECT("'"&amp;$D$25&amp;"'!C9")&lt;2021,0)),INDIRECT("'"&amp;$D$25&amp;"'!GO_2035"),0)
+IF(AND(IFERROR(INDIRECT("'"&amp;$D$26&amp;"'!C9")&gt;1991,0),IFERROR(INDIRECT("'"&amp;$D$26&amp;"'!C9")&lt;2021,0)),INDIRECT("'"&amp;$D$26&amp;"'!GO_2035"),0)
+IF(AND(IFERROR(INDIRECT("'"&amp;$D$27&amp;"'!C9")&gt;1991,0),IFERROR(INDIRECT("'"&amp;$D$27&amp;"'!C9")&lt;2021,0)),INDIRECT("'"&amp;$D$27&amp;"'!GO_2035"),0)
+IF(AND(IFERROR(INDIRECT("'"&amp;$D$28&amp;"'!C9")&gt;1991,0),IFERROR(INDIRECT("'"&amp;$D$28&amp;"'!C9")&lt;2021,0)),INDIRECT("'"&amp;$D$28&amp;"'!GO_2035"),0)
+IF(AND(IFERROR(INDIRECT("'"&amp;$D$29&amp;"'!C9")&gt;1991,0),IFERROR(INDIRECT("'"&amp;$D$29&amp;"'!C9")&lt;2021,0)),INDIRECT("'"&amp;$D$29&amp;"'!GO_2035"),0)
+IF(AND(IFERROR(INDIRECT("'"&amp;$D$30&amp;"'!C9")&gt;1991,0),IFERROR(INDIRECT("'"&amp;$D$30&amp;"'!C9")&lt;2021,0)),INDIRECT("'"&amp;$D$30&amp;"'!GO_2035"),0)
+IF(AND(IFERROR(INDIRECT("'"&amp;$D$31&amp;"'!C9")&gt;1991,0),IFERROR(INDIRECT("'"&amp;$D$31&amp;"'!C9")&lt;2021,0)),INDIRECT("'"&amp;$D$31&amp;"'!GO_2035"),0)
+IF(AND(IFERROR(INDIRECT("'"&amp;$D$32&amp;"'!C9")&gt;1991,0),IFERROR(INDIRECT("'"&amp;$D$32&amp;"'!C9")&lt;2021,0)),INDIRECT("'"&amp;$D$32&amp;"'!GO_2035"),0)
+IF(AND(IFERROR(INDIRECT("'"&amp;$D$33&amp;"'!C9")&gt;1991,0),IFERROR(INDIRECT("'"&amp;$D$33&amp;"'!C9")&lt;2021,0)),INDIRECT("'"&amp;$D$33&amp;"'!GO_2035"),0)
+IF(AND(IFERROR(INDIRECT("'"&amp;$D$34&amp;"'!C9")&gt;1991,0),IFERROR(INDIRECT("'"&amp;$D$34&amp;"'!C9")&lt;2021,0)),INDIRECT("'"&amp;$D$34&amp;"'!GO_2035"),0)
+IF(AND(IFERROR(INDIRECT("'"&amp;$D$35&amp;"'!C9")&gt;1991,0),IFERROR(INDIRECT("'"&amp;$D$35&amp;"'!C9")&lt;2021,0)),INDIRECT("'"&amp;$D$35&amp;"'!GO_2035"),0)
+IF(AND(IFERROR(INDIRECT("'"&amp;$D$36&amp;"'!C9")&gt;1991,0),IFERROR(INDIRECT("'"&amp;$D$36&amp;"'!C9")&lt;2021,0)),INDIRECT("'"&amp;$D$36&amp;"'!GO_2035"),0)
+IF(AND(IFERROR(INDIRECT("'"&amp;$D$37&amp;"'!C9")&gt;1991,0),IFERROR(INDIRECT("'"&amp;$D$37&amp;"'!C9")&lt;2021,0)),INDIRECT("'"&amp;$D$37&amp;"'!GO_2035"),0)
+IF(AND(IFERROR(INDIRECT("'"&amp;$D$38&amp;"'!C9")&gt;1991,0),IFERROR(INDIRECT("'"&amp;$D$38&amp;"'!C9")&lt;2021,0)),INDIRECT("'"&amp;$D$38&amp;"'!GO_2035"),0)
+IF(AND(IFERROR(INDIRECT("'"&amp;$D$39&amp;"'!C9")&gt;1991,0),IFERROR(INDIRECT("'"&amp;$D$39&amp;"'!C9")&lt;2021,0)),INDIRECT("'"&amp;$D$39&amp;"'!GO_2035"),0)
+IF(AND(IFERROR(INDIRECT("'"&amp;$D$40&amp;"'!C9")&gt;1991,0),IFERROR(INDIRECT("'"&amp;$D$40&amp;"'!C9")&lt;2021,0)),INDIRECT("'"&amp;$D$40&amp;"'!GO_2035"),0)
+IF(AND(IFERROR(INDIRECT("'"&amp;$D$41&amp;"'!C9")&gt;1991,0),IFERROR(INDIRECT("'"&amp;$D$41&amp;"'!C9")&lt;2021,0)),INDIRECT("'"&amp;$D$41&amp;"'!GO_2035"),0)
+IF(AND(IFERROR(INDIRECT("'"&amp;$D$42&amp;"'!C9")&gt;1991,0),IFERROR(INDIRECT("'"&amp;$D$42&amp;"'!C9")&lt;2021,0)),INDIRECT("'"&amp;$D$42&amp;"'!GO_2035"),0)
+IF(AND(IFERROR(INDIRECT("'"&amp;$D$43&amp;"'!C9")&gt;1991,0),IFERROR(INDIRECT("'"&amp;$D$43&amp;"'!C9")&lt;2021,0)),INDIRECT("'"&amp;$D$43&amp;"'!GO_2035"),0)
+IF(AND(IFERROR(INDIRECT("'"&amp;$D$44&amp;"'!C9")&gt;1991,0),IFERROR(INDIRECT("'"&amp;$D$44&amp;"'!C9")&lt;2021,0)),INDIRECT("'"&amp;$D$44&amp;"'!GO_2035"),0)
+IF(AND(IFERROR(INDIRECT("'"&amp;$D$45&amp;"'!C9")&gt;1991,0),IFERROR(INDIRECT("'"&amp;$D$45&amp;"'!C9")&lt;2021,0)),INDIRECT("'"&amp;$D$45&amp;"'!GO_2035"),0)
+IF(AND(IFERROR(INDIRECT("'"&amp;$D$46&amp;"'!C9")&gt;1991,0),IFERROR(INDIRECT("'"&amp;$D$46&amp;"'!C9")&lt;2021,0)),INDIRECT("'"&amp;$D$46&amp;"'!GO_2035"),0)
+IF(AND(IFERROR(INDIRECT("'"&amp;$D$47&amp;"'!C9")&gt;1991,0),IFERROR(INDIRECT("'"&amp;$D$47&amp;"'!C9")&lt;2021,0)),INDIRECT("'"&amp;$D$47&amp;"'!GO_2035"),0)
+IF(AND(IFERROR(INDIRECT("'"&amp;$D$48&amp;"'!C9")&gt;1991,0),IFERROR(INDIRECT("'"&amp;$D$48&amp;"'!C9")&lt;2021,0)),INDIRECT("'"&amp;$D$48&amp;"'!GO_2035"),0)
+IF(AND(IFERROR(INDIRECT("'"&amp;$D$49&amp;"'!C9")&gt;1991,0),IFERROR(INDIRECT("'"&amp;$D$49&amp;"'!C9")&lt;2021,0)),INDIRECT("'"&amp;$D$49&amp;"'!GO_2035"),0)
+IF(AND(IFERROR(INDIRECT("'"&amp;$D$50&amp;"'!C9")&gt;1991,0),IFERROR(INDIRECT("'"&amp;$D$50&amp;"'!C9")&lt;2021,0)),INDIRECT("'"&amp;$D$50&amp;"'!GO_2035"),0)
+IF(AND(IFERROR(INDIRECT("'"&amp;$D$51&amp;"'!C9")&gt;1991,0),IFERROR(INDIRECT("'"&amp;$D$51&amp;"'!C9")&lt;2021,0)),INDIRECT("'"&amp;$D$51&amp;"'!GO_2035"),0)
+IF(AND(IFERROR(INDIRECT("'"&amp;$D$52&amp;"'!C9")&gt;1991,0),IFERROR(INDIRECT("'"&amp;$D$52&amp;"'!C9")&lt;2021,0)),INDIRECT("'"&amp;$D$52&amp;"'!GO_2035"),0)
+IF(AND(IFERROR(INDIRECT("'"&amp;$D$53&amp;"'!C9")&gt;1991,0),IFERROR(INDIRECT("'"&amp;$D$53&amp;"'!C9")&lt;2021,0)),INDIRECT("'"&amp;$D$53&amp;"'!GO_2035"),0)
+IF(AND(IFERROR(INDIRECT("'"&amp;$D$54&amp;"'!C9")&gt;1991,0),IFERROR(INDIRECT("'"&amp;$D$54&amp;"'!C9")&lt;2021,0)),INDIRECT("'"&amp;$D$54&amp;"'!GO_2035"),0)</f>
        <v>0</v>
      </c>
      <c r="Z27" s="321">
        <f ca="1">IF(AND(IFERROR(INDIRECT("'"&amp;$D$5&amp;"'!C9")&gt;1991,0),IFERROR(INDIRECT("'"&amp;$D$5&amp;"'!C9")&lt;2021,0)),INDIRECT("'"&amp;$D$5&amp;"'!GO_2036"),0)
+IF(AND(IFERROR(INDIRECT("'"&amp;$D$6&amp;"'!C9")&gt;1991,0),IFERROR(INDIRECT("'"&amp;$D$6&amp;"'!C9")&lt;2021,0)),INDIRECT("'"&amp;$D$6&amp;"'!GO_2036"),0)
+IF(AND(IFERROR(INDIRECT("'"&amp;$D$7&amp;"'!C9")&gt;1991,0),IFERROR(INDIRECT("'"&amp;$D$7&amp;"'!C9")&lt;2021,0)),INDIRECT("'"&amp;$D$7&amp;"'!GO_2036"),0)
+IF(AND(IFERROR(INDIRECT("'"&amp;$D$8&amp;"'!C9")&gt;1991,0),IFERROR(INDIRECT("'"&amp;$D$8&amp;"'!C9")&lt;2021,0)),INDIRECT("'"&amp;$D$8&amp;"'!GO_2036"),0)
+IF(AND(IFERROR(INDIRECT("'"&amp;$D$9&amp;"'!C9")&gt;1991,0),IFERROR(INDIRECT("'"&amp;$D$9&amp;"'!C9")&lt;2021,0)),INDIRECT("'"&amp;$D$9&amp;"'!GO_2036"),0)
+IF(AND(IFERROR(INDIRECT("'"&amp;$D$10&amp;"'!C9")&gt;1991,0),IFERROR(INDIRECT("'"&amp;$D$10&amp;"'!C9")&lt;2021,0)),INDIRECT("'"&amp;$D$10&amp;"'!GO_2036"),0)
+IF(AND(IFERROR(INDIRECT("'"&amp;$D$11&amp;"'!C9")&gt;1991,0),IFERROR(INDIRECT("'"&amp;$D$11&amp;"'!C9")&lt;2021,0)),INDIRECT("'"&amp;$D$11&amp;"'!GO_2036"),0)
+IF(AND(IFERROR(INDIRECT("'"&amp;$D$12&amp;"'!C9")&gt;1991,0),IFERROR(INDIRECT("'"&amp;$D$12&amp;"'!C9")&lt;2021,0)),INDIRECT("'"&amp;$D$12&amp;"'!GO_2036"),0)
+IF(AND(IFERROR(INDIRECT("'"&amp;$D$13&amp;"'!C9")&gt;1991,0),IFERROR(INDIRECT("'"&amp;$D$13&amp;"'!C9")&lt;2021,0)),INDIRECT("'"&amp;$D$13&amp;"'!GO_2036"),0)
+IF(AND(IFERROR(INDIRECT("'"&amp;$D$14&amp;"'!C9")&gt;1991,0),IFERROR(INDIRECT("'"&amp;$D$14&amp;"'!C9")&lt;2021,0)),INDIRECT("'"&amp;$D$14&amp;"'!GO_2036"),0)
+IF(AND(IFERROR(INDIRECT("'"&amp;$D$15&amp;"'!C9")&gt;1991,0),IFERROR(INDIRECT("'"&amp;$D$15&amp;"'!C9")&lt;2021,0)),INDIRECT("'"&amp;$D$15&amp;"'!GO_2036"),0)
+IF(AND(IFERROR(INDIRECT("'"&amp;$D$16&amp;"'!C9")&gt;1991,0),IFERROR(INDIRECT("'"&amp;$D$16&amp;"'!C9")&lt;2021,0)),INDIRECT("'"&amp;$D$16&amp;"'!GO_2036"),0)
+IF(AND(IFERROR(INDIRECT("'"&amp;$D$17&amp;"'!C9")&gt;1991,0),IFERROR(INDIRECT("'"&amp;$D$17&amp;"'!C9")&lt;2021,0)),INDIRECT("'"&amp;$D$17&amp;"'!GO_2036"),0)
+IF(AND(IFERROR(INDIRECT("'"&amp;$D$18&amp;"'!C9")&gt;1991,0),IFERROR(INDIRECT("'"&amp;$D$18&amp;"'!C9")&lt;2021,0)),INDIRECT("'"&amp;$D$18&amp;"'!GO_2036"),0)
+IF(AND(IFERROR(INDIRECT("'"&amp;$D$19&amp;"'!C9")&gt;1991,0),IFERROR(INDIRECT("'"&amp;$D$19&amp;"'!C9")&lt;2021,0)),INDIRECT("'"&amp;$D$19&amp;"'!GO_2036"),0)
+IF(AND(IFERROR(INDIRECT("'"&amp;$D$20&amp;"'!C9")&gt;1991,0),IFERROR(INDIRECT("'"&amp;$D$20&amp;"'!C9")&lt;2021,0)),INDIRECT("'"&amp;$D$20&amp;"'!GO_2036"),0)
+IF(AND(IFERROR(INDIRECT("'"&amp;$D$21&amp;"'!C9")&gt;1991,0),IFERROR(INDIRECT("'"&amp;$D$21&amp;"'!C9")&lt;2021,0)),INDIRECT("'"&amp;$D$21&amp;"'!GO_2036"),0)
+IF(AND(IFERROR(INDIRECT("'"&amp;$D$22&amp;"'!C9")&gt;1991,0),IFERROR(INDIRECT("'"&amp;$D$22&amp;"'!C9")&lt;2021,0)),INDIRECT("'"&amp;$D$22&amp;"'!GO_2036"),0)
+IF(AND(IFERROR(INDIRECT("'"&amp;$D$23&amp;"'!C9")&gt;1991,0),IFERROR(INDIRECT("'"&amp;$D$23&amp;"'!C9")&lt;2021,0)),INDIRECT("'"&amp;$D$23&amp;"'!GO_2036"),0)
+IF(AND(IFERROR(INDIRECT("'"&amp;$D$24&amp;"'!C9")&gt;1991,0),IFERROR(INDIRECT("'"&amp;$D$24&amp;"'!C9")&lt;2021,0)),INDIRECT("'"&amp;$D$24&amp;"'!GO_2036"),0)
+IF(AND(IFERROR(INDIRECT("'"&amp;$D$25&amp;"'!C9")&gt;1991,0),IFERROR(INDIRECT("'"&amp;$D$25&amp;"'!C9")&lt;2021,0)),INDIRECT("'"&amp;$D$25&amp;"'!GO_2036"),0)
+IF(AND(IFERROR(INDIRECT("'"&amp;$D$26&amp;"'!C9")&gt;1991,0),IFERROR(INDIRECT("'"&amp;$D$26&amp;"'!C9")&lt;2021,0)),INDIRECT("'"&amp;$D$26&amp;"'!GO_2036"),0)
+IF(AND(IFERROR(INDIRECT("'"&amp;$D$27&amp;"'!C9")&gt;1991,0),IFERROR(INDIRECT("'"&amp;$D$27&amp;"'!C9")&lt;2021,0)),INDIRECT("'"&amp;$D$27&amp;"'!GO_2036"),0)
+IF(AND(IFERROR(INDIRECT("'"&amp;$D$28&amp;"'!C9")&gt;1991,0),IFERROR(INDIRECT("'"&amp;$D$28&amp;"'!C9")&lt;2021,0)),INDIRECT("'"&amp;$D$28&amp;"'!GO_2036"),0)
+IF(AND(IFERROR(INDIRECT("'"&amp;$D$29&amp;"'!C9")&gt;1991,0),IFERROR(INDIRECT("'"&amp;$D$29&amp;"'!C9")&lt;2021,0)),INDIRECT("'"&amp;$D$29&amp;"'!GO_2036"),0)
+IF(AND(IFERROR(INDIRECT("'"&amp;$D$30&amp;"'!C9")&gt;1991,0),IFERROR(INDIRECT("'"&amp;$D$30&amp;"'!C9")&lt;2021,0)),INDIRECT("'"&amp;$D$30&amp;"'!GO_2036"),0)
+IF(AND(IFERROR(INDIRECT("'"&amp;$D$31&amp;"'!C9")&gt;1991,0),IFERROR(INDIRECT("'"&amp;$D$31&amp;"'!C9")&lt;2021,0)),INDIRECT("'"&amp;$D$31&amp;"'!GO_2036"),0)
+IF(AND(IFERROR(INDIRECT("'"&amp;$D$32&amp;"'!C9")&gt;1991,0),IFERROR(INDIRECT("'"&amp;$D$32&amp;"'!C9")&lt;2021,0)),INDIRECT("'"&amp;$D$32&amp;"'!GO_2036"),0)
+IF(AND(IFERROR(INDIRECT("'"&amp;$D$33&amp;"'!C9")&gt;1991,0),IFERROR(INDIRECT("'"&amp;$D$33&amp;"'!C9")&lt;2021,0)),INDIRECT("'"&amp;$D$33&amp;"'!GO_2036"),0)
+IF(AND(IFERROR(INDIRECT("'"&amp;$D$34&amp;"'!C9")&gt;1991,0),IFERROR(INDIRECT("'"&amp;$D$34&amp;"'!C9")&lt;2021,0)),INDIRECT("'"&amp;$D$34&amp;"'!GO_2036"),0)
+IF(AND(IFERROR(INDIRECT("'"&amp;$D$35&amp;"'!C9")&gt;1991,0),IFERROR(INDIRECT("'"&amp;$D$35&amp;"'!C9")&lt;2021,0)),INDIRECT("'"&amp;$D$35&amp;"'!GO_2036"),0)
+IF(AND(IFERROR(INDIRECT("'"&amp;$D$36&amp;"'!C9")&gt;1991,0),IFERROR(INDIRECT("'"&amp;$D$36&amp;"'!C9")&lt;2021,0)),INDIRECT("'"&amp;$D$36&amp;"'!GO_2036"),0)
+IF(AND(IFERROR(INDIRECT("'"&amp;$D$37&amp;"'!C9")&gt;1991,0),IFERROR(INDIRECT("'"&amp;$D$37&amp;"'!C9")&lt;2021,0)),INDIRECT("'"&amp;$D$37&amp;"'!GO_2036"),0)
+IF(AND(IFERROR(INDIRECT("'"&amp;$D$38&amp;"'!C9")&gt;1991,0),IFERROR(INDIRECT("'"&amp;$D$38&amp;"'!C9")&lt;2021,0)),INDIRECT("'"&amp;$D$38&amp;"'!GO_2036"),0)
+IF(AND(IFERROR(INDIRECT("'"&amp;$D$39&amp;"'!C9")&gt;1991,0),IFERROR(INDIRECT("'"&amp;$D$39&amp;"'!C9")&lt;2021,0)),INDIRECT("'"&amp;$D$39&amp;"'!GO_2036"),0)
+IF(AND(IFERROR(INDIRECT("'"&amp;$D$40&amp;"'!C9")&gt;1991,0),IFERROR(INDIRECT("'"&amp;$D$40&amp;"'!C9")&lt;2021,0)),INDIRECT("'"&amp;$D$40&amp;"'!GO_2036"),0)
+IF(AND(IFERROR(INDIRECT("'"&amp;$D$41&amp;"'!C9")&gt;1991,0),IFERROR(INDIRECT("'"&amp;$D$41&amp;"'!C9")&lt;2021,0)),INDIRECT("'"&amp;$D$41&amp;"'!GO_2036"),0)
+IF(AND(IFERROR(INDIRECT("'"&amp;$D$42&amp;"'!C9")&gt;1991,0),IFERROR(INDIRECT("'"&amp;$D$42&amp;"'!C9")&lt;2021,0)),INDIRECT("'"&amp;$D$42&amp;"'!GO_2036"),0)
+IF(AND(IFERROR(INDIRECT("'"&amp;$D$43&amp;"'!C9")&gt;1991,0),IFERROR(INDIRECT("'"&amp;$D$43&amp;"'!C9")&lt;2021,0)),INDIRECT("'"&amp;$D$43&amp;"'!GO_2036"),0)
+IF(AND(IFERROR(INDIRECT("'"&amp;$D$44&amp;"'!C9")&gt;1991,0),IFERROR(INDIRECT("'"&amp;$D$44&amp;"'!C9")&lt;2021,0)),INDIRECT("'"&amp;$D$44&amp;"'!GO_2036"),0)
+IF(AND(IFERROR(INDIRECT("'"&amp;$D$45&amp;"'!C9")&gt;1991,0),IFERROR(INDIRECT("'"&amp;$D$45&amp;"'!C9")&lt;2021,0)),INDIRECT("'"&amp;$D$45&amp;"'!GO_2036"),0)
+IF(AND(IFERROR(INDIRECT("'"&amp;$D$46&amp;"'!C9")&gt;1991,0),IFERROR(INDIRECT("'"&amp;$D$46&amp;"'!C9")&lt;2021,0)),INDIRECT("'"&amp;$D$46&amp;"'!GO_2036"),0)
+IF(AND(IFERROR(INDIRECT("'"&amp;$D$47&amp;"'!C9")&gt;1991,0),IFERROR(INDIRECT("'"&amp;$D$47&amp;"'!C9")&lt;2021,0)),INDIRECT("'"&amp;$D$47&amp;"'!GO_2036"),0)
+IF(AND(IFERROR(INDIRECT("'"&amp;$D$48&amp;"'!C9")&gt;1991,0),IFERROR(INDIRECT("'"&amp;$D$48&amp;"'!C9")&lt;2021,0)),INDIRECT("'"&amp;$D$48&amp;"'!GO_2036"),0)
+IF(AND(IFERROR(INDIRECT("'"&amp;$D$49&amp;"'!C9")&gt;1991,0),IFERROR(INDIRECT("'"&amp;$D$49&amp;"'!C9")&lt;2021,0)),INDIRECT("'"&amp;$D$49&amp;"'!GO_2036"),0)
+IF(AND(IFERROR(INDIRECT("'"&amp;$D$50&amp;"'!C9")&gt;1991,0),IFERROR(INDIRECT("'"&amp;$D$50&amp;"'!C9")&lt;2021,0)),INDIRECT("'"&amp;$D$50&amp;"'!GO_2036"),0)
+IF(AND(IFERROR(INDIRECT("'"&amp;$D$51&amp;"'!C9")&gt;1991,0),IFERROR(INDIRECT("'"&amp;$D$51&amp;"'!C9")&lt;2021,0)),INDIRECT("'"&amp;$D$51&amp;"'!GO_2036"),0)
+IF(AND(IFERROR(INDIRECT("'"&amp;$D$52&amp;"'!C9")&gt;1991,0),IFERROR(INDIRECT("'"&amp;$D$52&amp;"'!C9")&lt;2021,0)),INDIRECT("'"&amp;$D$52&amp;"'!GO_2036"),0)
+IF(AND(IFERROR(INDIRECT("'"&amp;$D$53&amp;"'!C9")&gt;1991,0),IFERROR(INDIRECT("'"&amp;$D$53&amp;"'!C9")&lt;2021,0)),INDIRECT("'"&amp;$D$53&amp;"'!GO_2036"),0)
+IF(AND(IFERROR(INDIRECT("'"&amp;$D$54&amp;"'!C9")&gt;1991,0),IFERROR(INDIRECT("'"&amp;$D$54&amp;"'!C9")&lt;2021,0)),INDIRECT("'"&amp;$D$54&amp;"'!GO_2036"),0)</f>
        <v>0</v>
      </c>
      <c r="AA27" s="321">
        <f ca="1">IF(AND(IFERROR(INDIRECT("'"&amp;$D$5&amp;"'!C9")&gt;1991,0),IFERROR(INDIRECT("'"&amp;$D$5&amp;"'!C9")&lt;2021,0)),INDIRECT("'"&amp;$D$5&amp;"'!GO_2037"),0)
+IF(AND(IFERROR(INDIRECT("'"&amp;$D$6&amp;"'!C9")&gt;1991,0),IFERROR(INDIRECT("'"&amp;$D$6&amp;"'!C9")&lt;2021,0)),INDIRECT("'"&amp;$D$6&amp;"'!GO_2037"),0)
+IF(AND(IFERROR(INDIRECT("'"&amp;$D$7&amp;"'!C9")&gt;1991,0),IFERROR(INDIRECT("'"&amp;$D$7&amp;"'!C9")&lt;2021,0)),INDIRECT("'"&amp;$D$7&amp;"'!GO_2037"),0)
+IF(AND(IFERROR(INDIRECT("'"&amp;$D$8&amp;"'!C9")&gt;1991,0),IFERROR(INDIRECT("'"&amp;$D$8&amp;"'!C9")&lt;2021,0)),INDIRECT("'"&amp;$D$8&amp;"'!GO_2037"),0)
+IF(AND(IFERROR(INDIRECT("'"&amp;$D$9&amp;"'!C9")&gt;1991,0),IFERROR(INDIRECT("'"&amp;$D$9&amp;"'!C9")&lt;2021,0)),INDIRECT("'"&amp;$D$9&amp;"'!GO_2037"),0)
+IF(AND(IFERROR(INDIRECT("'"&amp;$D$10&amp;"'!C9")&gt;1991,0),IFERROR(INDIRECT("'"&amp;$D$10&amp;"'!C9")&lt;2021,0)),INDIRECT("'"&amp;$D$10&amp;"'!GO_2037"),0)
+IF(AND(IFERROR(INDIRECT("'"&amp;$D$11&amp;"'!C9")&gt;1991,0),IFERROR(INDIRECT("'"&amp;$D$11&amp;"'!C9")&lt;2021,0)),INDIRECT("'"&amp;$D$11&amp;"'!GO_2037"),0)
+IF(AND(IFERROR(INDIRECT("'"&amp;$D$12&amp;"'!C9")&gt;1991,0),IFERROR(INDIRECT("'"&amp;$D$12&amp;"'!C9")&lt;2021,0)),INDIRECT("'"&amp;$D$12&amp;"'!GO_2037"),0)
+IF(AND(IFERROR(INDIRECT("'"&amp;$D$13&amp;"'!C9")&gt;1991,0),IFERROR(INDIRECT("'"&amp;$D$13&amp;"'!C9")&lt;2021,0)),INDIRECT("'"&amp;$D$13&amp;"'!GO_2037"),0)
+IF(AND(IFERROR(INDIRECT("'"&amp;$D$14&amp;"'!C9")&gt;1991,0),IFERROR(INDIRECT("'"&amp;$D$14&amp;"'!C9")&lt;2021,0)),INDIRECT("'"&amp;$D$14&amp;"'!GO_2037"),0)
+IF(AND(IFERROR(INDIRECT("'"&amp;$D$15&amp;"'!C9")&gt;1991,0),IFERROR(INDIRECT("'"&amp;$D$15&amp;"'!C9")&lt;2021,0)),INDIRECT("'"&amp;$D$15&amp;"'!GO_2037"),0)
+IF(AND(IFERROR(INDIRECT("'"&amp;$D$16&amp;"'!C9")&gt;1991,0),IFERROR(INDIRECT("'"&amp;$D$16&amp;"'!C9")&lt;2021,0)),INDIRECT("'"&amp;$D$16&amp;"'!GO_2037"),0)
+IF(AND(IFERROR(INDIRECT("'"&amp;$D$17&amp;"'!C9")&gt;1991,0),IFERROR(INDIRECT("'"&amp;$D$17&amp;"'!C9")&lt;2021,0)),INDIRECT("'"&amp;$D$17&amp;"'!GO_2037"),0)
+IF(AND(IFERROR(INDIRECT("'"&amp;$D$18&amp;"'!C9")&gt;1991,0),IFERROR(INDIRECT("'"&amp;$D$18&amp;"'!C9")&lt;2021,0)),INDIRECT("'"&amp;$D$18&amp;"'!GO_2037"),0)
+IF(AND(IFERROR(INDIRECT("'"&amp;$D$19&amp;"'!C9")&gt;1991,0),IFERROR(INDIRECT("'"&amp;$D$19&amp;"'!C9")&lt;2021,0)),INDIRECT("'"&amp;$D$19&amp;"'!GO_2037"),0)
+IF(AND(IFERROR(INDIRECT("'"&amp;$D$20&amp;"'!C9")&gt;1991,0),IFERROR(INDIRECT("'"&amp;$D$20&amp;"'!C9")&lt;2021,0)),INDIRECT("'"&amp;$D$20&amp;"'!GO_2037"),0)
+IF(AND(IFERROR(INDIRECT("'"&amp;$D$21&amp;"'!C9")&gt;1991,0),IFERROR(INDIRECT("'"&amp;$D$21&amp;"'!C9")&lt;2021,0)),INDIRECT("'"&amp;$D$21&amp;"'!GO_2037"),0)
+IF(AND(IFERROR(INDIRECT("'"&amp;$D$22&amp;"'!C9")&gt;1991,0),IFERROR(INDIRECT("'"&amp;$D$22&amp;"'!C9")&lt;2021,0)),INDIRECT("'"&amp;$D$22&amp;"'!GO_2037"),0)
+IF(AND(IFERROR(INDIRECT("'"&amp;$D$23&amp;"'!C9")&gt;1991,0),IFERROR(INDIRECT("'"&amp;$D$23&amp;"'!C9")&lt;2021,0)),INDIRECT("'"&amp;$D$23&amp;"'!GO_2037"),0)
+IF(AND(IFERROR(INDIRECT("'"&amp;$D$24&amp;"'!C9")&gt;1991,0),IFERROR(INDIRECT("'"&amp;$D$24&amp;"'!C9")&lt;2021,0)),INDIRECT("'"&amp;$D$24&amp;"'!GO_2037"),0)
+IF(AND(IFERROR(INDIRECT("'"&amp;$D$25&amp;"'!C9")&gt;1991,0),IFERROR(INDIRECT("'"&amp;$D$25&amp;"'!C9")&lt;2021,0)),INDIRECT("'"&amp;$D$25&amp;"'!GO_2037"),0)
+IF(AND(IFERROR(INDIRECT("'"&amp;$D$26&amp;"'!C9")&gt;1991,0),IFERROR(INDIRECT("'"&amp;$D$26&amp;"'!C9")&lt;2021,0)),INDIRECT("'"&amp;$D$26&amp;"'!GO_2037"),0)
+IF(AND(IFERROR(INDIRECT("'"&amp;$D$27&amp;"'!C9")&gt;1991,0),IFERROR(INDIRECT("'"&amp;$D$27&amp;"'!C9")&lt;2021,0)),INDIRECT("'"&amp;$D$27&amp;"'!GO_2037"),0)
+IF(AND(IFERROR(INDIRECT("'"&amp;$D$28&amp;"'!C9")&gt;1991,0),IFERROR(INDIRECT("'"&amp;$D$28&amp;"'!C9")&lt;2021,0)),INDIRECT("'"&amp;$D$28&amp;"'!GO_2037"),0)
+IF(AND(IFERROR(INDIRECT("'"&amp;$D$29&amp;"'!C9")&gt;1991,0),IFERROR(INDIRECT("'"&amp;$D$29&amp;"'!C9")&lt;2021,0)),INDIRECT("'"&amp;$D$29&amp;"'!GO_2037"),0)
+IF(AND(IFERROR(INDIRECT("'"&amp;$D$30&amp;"'!C9")&gt;1991,0),IFERROR(INDIRECT("'"&amp;$D$30&amp;"'!C9")&lt;2021,0)),INDIRECT("'"&amp;$D$30&amp;"'!GO_2037"),0)
+IF(AND(IFERROR(INDIRECT("'"&amp;$D$31&amp;"'!C9")&gt;1991,0),IFERROR(INDIRECT("'"&amp;$D$31&amp;"'!C9")&lt;2021,0)),INDIRECT("'"&amp;$D$31&amp;"'!GO_2037"),0)
+IF(AND(IFERROR(INDIRECT("'"&amp;$D$32&amp;"'!C9")&gt;1991,0),IFERROR(INDIRECT("'"&amp;$D$32&amp;"'!C9")&lt;2021,0)),INDIRECT("'"&amp;$D$32&amp;"'!GO_2037"),0)
+IF(AND(IFERROR(INDIRECT("'"&amp;$D$33&amp;"'!C9")&gt;1991,0),IFERROR(INDIRECT("'"&amp;$D$33&amp;"'!C9")&lt;2021,0)),INDIRECT("'"&amp;$D$33&amp;"'!GO_2037"),0)
+IF(AND(IFERROR(INDIRECT("'"&amp;$D$34&amp;"'!C9")&gt;1991,0),IFERROR(INDIRECT("'"&amp;$D$34&amp;"'!C9")&lt;2021,0)),INDIRECT("'"&amp;$D$34&amp;"'!GO_2037"),0)
+IF(AND(IFERROR(INDIRECT("'"&amp;$D$35&amp;"'!C9")&gt;1991,0),IFERROR(INDIRECT("'"&amp;$D$35&amp;"'!C9")&lt;2021,0)),INDIRECT("'"&amp;$D$35&amp;"'!GO_2037"),0)
+IF(AND(IFERROR(INDIRECT("'"&amp;$D$36&amp;"'!C9")&gt;1991,0),IFERROR(INDIRECT("'"&amp;$D$36&amp;"'!C9")&lt;2021,0)),INDIRECT("'"&amp;$D$36&amp;"'!GO_2037"),0)
+IF(AND(IFERROR(INDIRECT("'"&amp;$D$37&amp;"'!C9")&gt;1991,0),IFERROR(INDIRECT("'"&amp;$D$37&amp;"'!C9")&lt;2021,0)),INDIRECT("'"&amp;$D$37&amp;"'!GO_2037"),0)
+IF(AND(IFERROR(INDIRECT("'"&amp;$D$38&amp;"'!C9")&gt;1991,0),IFERROR(INDIRECT("'"&amp;$D$38&amp;"'!C9")&lt;2021,0)),INDIRECT("'"&amp;$D$38&amp;"'!GO_2037"),0)
+IF(AND(IFERROR(INDIRECT("'"&amp;$D$39&amp;"'!C9")&gt;1991,0),IFERROR(INDIRECT("'"&amp;$D$39&amp;"'!C9")&lt;2021,0)),INDIRECT("'"&amp;$D$39&amp;"'!GO_2037"),0)
+IF(AND(IFERROR(INDIRECT("'"&amp;$D$40&amp;"'!C9")&gt;1991,0),IFERROR(INDIRECT("'"&amp;$D$40&amp;"'!C9")&lt;2021,0)),INDIRECT("'"&amp;$D$40&amp;"'!GO_2037"),0)
+IF(AND(IFERROR(INDIRECT("'"&amp;$D$41&amp;"'!C9")&gt;1991,0),IFERROR(INDIRECT("'"&amp;$D$41&amp;"'!C9")&lt;2021,0)),INDIRECT("'"&amp;$D$41&amp;"'!GO_2037"),0)
+IF(AND(IFERROR(INDIRECT("'"&amp;$D$42&amp;"'!C9")&gt;1991,0),IFERROR(INDIRECT("'"&amp;$D$42&amp;"'!C9")&lt;2021,0)),INDIRECT("'"&amp;$D$42&amp;"'!GO_2037"),0)
+IF(AND(IFERROR(INDIRECT("'"&amp;$D$43&amp;"'!C9")&gt;1991,0),IFERROR(INDIRECT("'"&amp;$D$43&amp;"'!C9")&lt;2021,0)),INDIRECT("'"&amp;$D$43&amp;"'!GO_2037"),0)
+IF(AND(IFERROR(INDIRECT("'"&amp;$D$44&amp;"'!C9")&gt;1991,0),IFERROR(INDIRECT("'"&amp;$D$44&amp;"'!C9")&lt;2021,0)),INDIRECT("'"&amp;$D$44&amp;"'!GO_2037"),0)
+IF(AND(IFERROR(INDIRECT("'"&amp;$D$45&amp;"'!C9")&gt;1991,0),IFERROR(INDIRECT("'"&amp;$D$45&amp;"'!C9")&lt;2021,0)),INDIRECT("'"&amp;$D$45&amp;"'!GO_2037"),0)
+IF(AND(IFERROR(INDIRECT("'"&amp;$D$46&amp;"'!C9")&gt;1991,0),IFERROR(INDIRECT("'"&amp;$D$46&amp;"'!C9")&lt;2021,0)),INDIRECT("'"&amp;$D$46&amp;"'!GO_2037"),0)
+IF(AND(IFERROR(INDIRECT("'"&amp;$D$47&amp;"'!C9")&gt;1991,0),IFERROR(INDIRECT("'"&amp;$D$47&amp;"'!C9")&lt;2021,0)),INDIRECT("'"&amp;$D$47&amp;"'!GO_2037"),0)
+IF(AND(IFERROR(INDIRECT("'"&amp;$D$48&amp;"'!C9")&gt;1991,0),IFERROR(INDIRECT("'"&amp;$D$48&amp;"'!C9")&lt;2021,0)),INDIRECT("'"&amp;$D$48&amp;"'!GO_2037"),0)
+IF(AND(IFERROR(INDIRECT("'"&amp;$D$49&amp;"'!C9")&gt;1991,0),IFERROR(INDIRECT("'"&amp;$D$49&amp;"'!C9")&lt;2021,0)),INDIRECT("'"&amp;$D$49&amp;"'!GO_2037"),0)
+IF(AND(IFERROR(INDIRECT("'"&amp;$D$50&amp;"'!C9")&gt;1991,0),IFERROR(INDIRECT("'"&amp;$D$50&amp;"'!C9")&lt;2021,0)),INDIRECT("'"&amp;$D$50&amp;"'!GO_2037"),0)
+IF(AND(IFERROR(INDIRECT("'"&amp;$D$51&amp;"'!C9")&gt;1991,0),IFERROR(INDIRECT("'"&amp;$D$51&amp;"'!C9")&lt;2021,0)),INDIRECT("'"&amp;$D$51&amp;"'!GO_2037"),0)
+IF(AND(IFERROR(INDIRECT("'"&amp;$D$52&amp;"'!C9")&gt;1991,0),IFERROR(INDIRECT("'"&amp;$D$52&amp;"'!C9")&lt;2021,0)),INDIRECT("'"&amp;$D$52&amp;"'!GO_2037"),0)
+IF(AND(IFERROR(INDIRECT("'"&amp;$D$53&amp;"'!C9")&gt;1991,0),IFERROR(INDIRECT("'"&amp;$D$53&amp;"'!C9")&lt;2021,0)),INDIRECT("'"&amp;$D$53&amp;"'!GO_2037"),0)
+IF(AND(IFERROR(INDIRECT("'"&amp;$D$54&amp;"'!C9")&gt;1991,0),IFERROR(INDIRECT("'"&amp;$D$54&amp;"'!C9")&lt;2021,0)),INDIRECT("'"&amp;$D$54&amp;"'!GO_2037"),0)</f>
        <v>0</v>
      </c>
      <c r="AB27" s="321">
        <f ca="1">IF(AND(IFERROR(INDIRECT("'"&amp;$D$5&amp;"'!C9")&gt;1991,0),IFERROR(INDIRECT("'"&amp;$D$5&amp;"'!C9")&lt;2021,0)),INDIRECT("'"&amp;$D$5&amp;"'!GO_2038"),0)
+IF(AND(IFERROR(INDIRECT("'"&amp;$D$6&amp;"'!C9")&gt;1991,0),IFERROR(INDIRECT("'"&amp;$D$6&amp;"'!C9")&lt;2021,0)),INDIRECT("'"&amp;$D$6&amp;"'!GO_2038"),0)
+IF(AND(IFERROR(INDIRECT("'"&amp;$D$7&amp;"'!C9")&gt;1991,0),IFERROR(INDIRECT("'"&amp;$D$7&amp;"'!C9")&lt;2021,0)),INDIRECT("'"&amp;$D$7&amp;"'!GO_2038"),0)
+IF(AND(IFERROR(INDIRECT("'"&amp;$D$8&amp;"'!C9")&gt;1991,0),IFERROR(INDIRECT("'"&amp;$D$8&amp;"'!C9")&lt;2021,0)),INDIRECT("'"&amp;$D$8&amp;"'!GO_2038"),0)
+IF(AND(IFERROR(INDIRECT("'"&amp;$D$9&amp;"'!C9")&gt;1991,0),IFERROR(INDIRECT("'"&amp;$D$9&amp;"'!C9")&lt;2021,0)),INDIRECT("'"&amp;$D$9&amp;"'!GO_2038"),0)
+IF(AND(IFERROR(INDIRECT("'"&amp;$D$10&amp;"'!C9")&gt;1991,0),IFERROR(INDIRECT("'"&amp;$D$10&amp;"'!C9")&lt;2021,0)),INDIRECT("'"&amp;$D$10&amp;"'!GO_2038"),0)
+IF(AND(IFERROR(INDIRECT("'"&amp;$D$11&amp;"'!C9")&gt;1991,0),IFERROR(INDIRECT("'"&amp;$D$11&amp;"'!C9")&lt;2021,0)),INDIRECT("'"&amp;$D$11&amp;"'!GO_2038"),0)
+IF(AND(IFERROR(INDIRECT("'"&amp;$D$12&amp;"'!C9")&gt;1991,0),IFERROR(INDIRECT("'"&amp;$D$12&amp;"'!C9")&lt;2021,0)),INDIRECT("'"&amp;$D$12&amp;"'!GO_2038"),0)
+IF(AND(IFERROR(INDIRECT("'"&amp;$D$13&amp;"'!C9")&gt;1991,0),IFERROR(INDIRECT("'"&amp;$D$13&amp;"'!C9")&lt;2021,0)),INDIRECT("'"&amp;$D$13&amp;"'!GO_2038"),0)
+IF(AND(IFERROR(INDIRECT("'"&amp;$D$14&amp;"'!C9")&gt;1991,0),IFERROR(INDIRECT("'"&amp;$D$14&amp;"'!C9")&lt;2021,0)),INDIRECT("'"&amp;$D$14&amp;"'!GO_2038"),0)
+IF(AND(IFERROR(INDIRECT("'"&amp;$D$15&amp;"'!C9")&gt;1991,0),IFERROR(INDIRECT("'"&amp;$D$15&amp;"'!C9")&lt;2021,0)),INDIRECT("'"&amp;$D$15&amp;"'!GO_2038"),0)
+IF(AND(IFERROR(INDIRECT("'"&amp;$D$16&amp;"'!C9")&gt;1991,0),IFERROR(INDIRECT("'"&amp;$D$16&amp;"'!C9")&lt;2021,0)),INDIRECT("'"&amp;$D$16&amp;"'!GO_2038"),0)
+IF(AND(IFERROR(INDIRECT("'"&amp;$D$17&amp;"'!C9")&gt;1991,0),IFERROR(INDIRECT("'"&amp;$D$17&amp;"'!C9")&lt;2021,0)),INDIRECT("'"&amp;$D$17&amp;"'!GO_2038"),0)
+IF(AND(IFERROR(INDIRECT("'"&amp;$D$18&amp;"'!C9")&gt;1991,0),IFERROR(INDIRECT("'"&amp;$D$18&amp;"'!C9")&lt;2021,0)),INDIRECT("'"&amp;$D$18&amp;"'!GO_2038"),0)
+IF(AND(IFERROR(INDIRECT("'"&amp;$D$19&amp;"'!C9")&gt;1991,0),IFERROR(INDIRECT("'"&amp;$D$19&amp;"'!C9")&lt;2021,0)),INDIRECT("'"&amp;$D$19&amp;"'!GO_2038"),0)
+IF(AND(IFERROR(INDIRECT("'"&amp;$D$20&amp;"'!C9")&gt;1991,0),IFERROR(INDIRECT("'"&amp;$D$20&amp;"'!C9")&lt;2021,0)),INDIRECT("'"&amp;$D$20&amp;"'!GO_2038"),0)
+IF(AND(IFERROR(INDIRECT("'"&amp;$D$21&amp;"'!C9")&gt;1991,0),IFERROR(INDIRECT("'"&amp;$D$21&amp;"'!C9")&lt;2021,0)),INDIRECT("'"&amp;$D$21&amp;"'!GO_2038"),0)
+IF(AND(IFERROR(INDIRECT("'"&amp;$D$22&amp;"'!C9")&gt;1991,0),IFERROR(INDIRECT("'"&amp;$D$22&amp;"'!C9")&lt;2021,0)),INDIRECT("'"&amp;$D$22&amp;"'!GO_2038"),0)
+IF(AND(IFERROR(INDIRECT("'"&amp;$D$23&amp;"'!C9")&gt;1991,0),IFERROR(INDIRECT("'"&amp;$D$23&amp;"'!C9")&lt;2021,0)),INDIRECT("'"&amp;$D$23&amp;"'!GO_2038"),0)
+IF(AND(IFERROR(INDIRECT("'"&amp;$D$24&amp;"'!C9")&gt;1991,0),IFERROR(INDIRECT("'"&amp;$D$24&amp;"'!C9")&lt;2021,0)),INDIRECT("'"&amp;$D$24&amp;"'!GO_2038"),0)
+IF(AND(IFERROR(INDIRECT("'"&amp;$D$25&amp;"'!C9")&gt;1991,0),IFERROR(INDIRECT("'"&amp;$D$25&amp;"'!C9")&lt;2021,0)),INDIRECT("'"&amp;$D$25&amp;"'!GO_2038"),0)
+IF(AND(IFERROR(INDIRECT("'"&amp;$D$26&amp;"'!C9")&gt;1991,0),IFERROR(INDIRECT("'"&amp;$D$26&amp;"'!C9")&lt;2021,0)),INDIRECT("'"&amp;$D$26&amp;"'!GO_2038"),0)
+IF(AND(IFERROR(INDIRECT("'"&amp;$D$27&amp;"'!C9")&gt;1991,0),IFERROR(INDIRECT("'"&amp;$D$27&amp;"'!C9")&lt;2021,0)),INDIRECT("'"&amp;$D$27&amp;"'!GO_2038"),0)
+IF(AND(IFERROR(INDIRECT("'"&amp;$D$28&amp;"'!C9")&gt;1991,0),IFERROR(INDIRECT("'"&amp;$D$28&amp;"'!C9")&lt;2021,0)),INDIRECT("'"&amp;$D$28&amp;"'!GO_2038"),0)
+IF(AND(IFERROR(INDIRECT("'"&amp;$D$29&amp;"'!C9")&gt;1991,0),IFERROR(INDIRECT("'"&amp;$D$29&amp;"'!C9")&lt;2021,0)),INDIRECT("'"&amp;$D$29&amp;"'!GO_2038"),0)
+IF(AND(IFERROR(INDIRECT("'"&amp;$D$30&amp;"'!C9")&gt;1991,0),IFERROR(INDIRECT("'"&amp;$D$30&amp;"'!C9")&lt;2021,0)),INDIRECT("'"&amp;$D$30&amp;"'!GO_2038"),0)
+IF(AND(IFERROR(INDIRECT("'"&amp;$D$31&amp;"'!C9")&gt;1991,0),IFERROR(INDIRECT("'"&amp;$D$31&amp;"'!C9")&lt;2021,0)),INDIRECT("'"&amp;$D$31&amp;"'!GO_2038"),0)
+IF(AND(IFERROR(INDIRECT("'"&amp;$D$32&amp;"'!C9")&gt;1991,0),IFERROR(INDIRECT("'"&amp;$D$32&amp;"'!C9")&lt;2021,0)),INDIRECT("'"&amp;$D$32&amp;"'!GO_2038"),0)
+IF(AND(IFERROR(INDIRECT("'"&amp;$D$33&amp;"'!C9")&gt;1991,0),IFERROR(INDIRECT("'"&amp;$D$33&amp;"'!C9")&lt;2021,0)),INDIRECT("'"&amp;$D$33&amp;"'!GO_2038"),0)
+IF(AND(IFERROR(INDIRECT("'"&amp;$D$34&amp;"'!C9")&gt;1991,0),IFERROR(INDIRECT("'"&amp;$D$34&amp;"'!C9")&lt;2021,0)),INDIRECT("'"&amp;$D$34&amp;"'!GO_2038"),0)
+IF(AND(IFERROR(INDIRECT("'"&amp;$D$35&amp;"'!C9")&gt;1991,0),IFERROR(INDIRECT("'"&amp;$D$35&amp;"'!C9")&lt;2021,0)),INDIRECT("'"&amp;$D$35&amp;"'!GO_2038"),0)
+IF(AND(IFERROR(INDIRECT("'"&amp;$D$36&amp;"'!C9")&gt;1991,0),IFERROR(INDIRECT("'"&amp;$D$36&amp;"'!C9")&lt;2021,0)),INDIRECT("'"&amp;$D$36&amp;"'!GO_2038"),0)
+IF(AND(IFERROR(INDIRECT("'"&amp;$D$37&amp;"'!C9")&gt;1991,0),IFERROR(INDIRECT("'"&amp;$D$37&amp;"'!C9")&lt;2021,0)),INDIRECT("'"&amp;$D$37&amp;"'!GO_2038"),0)
+IF(AND(IFERROR(INDIRECT("'"&amp;$D$38&amp;"'!C9")&gt;1991,0),IFERROR(INDIRECT("'"&amp;$D$38&amp;"'!C9")&lt;2021,0)),INDIRECT("'"&amp;$D$38&amp;"'!GO_2038"),0)
+IF(AND(IFERROR(INDIRECT("'"&amp;$D$39&amp;"'!C9")&gt;1991,0),IFERROR(INDIRECT("'"&amp;$D$39&amp;"'!C9")&lt;2021,0)),INDIRECT("'"&amp;$D$39&amp;"'!GO_2038"),0)
+IF(AND(IFERROR(INDIRECT("'"&amp;$D$40&amp;"'!C9")&gt;1991,0),IFERROR(INDIRECT("'"&amp;$D$40&amp;"'!C9")&lt;2021,0)),INDIRECT("'"&amp;$D$40&amp;"'!GO_2038"),0)
+IF(AND(IFERROR(INDIRECT("'"&amp;$D$41&amp;"'!C9")&gt;1991,0),IFERROR(INDIRECT("'"&amp;$D$41&amp;"'!C9")&lt;2021,0)),INDIRECT("'"&amp;$D$41&amp;"'!GO_2038"),0)
+IF(AND(IFERROR(INDIRECT("'"&amp;$D$42&amp;"'!C9")&gt;1991,0),IFERROR(INDIRECT("'"&amp;$D$42&amp;"'!C9")&lt;2021,0)),INDIRECT("'"&amp;$D$42&amp;"'!GO_2038"),0)
+IF(AND(IFERROR(INDIRECT("'"&amp;$D$43&amp;"'!C9")&gt;1991,0),IFERROR(INDIRECT("'"&amp;$D$43&amp;"'!C9")&lt;2021,0)),INDIRECT("'"&amp;$D$43&amp;"'!GO_2038"),0)
+IF(AND(IFERROR(INDIRECT("'"&amp;$D$44&amp;"'!C9")&gt;1991,0),IFERROR(INDIRECT("'"&amp;$D$44&amp;"'!C9")&lt;2021,0)),INDIRECT("'"&amp;$D$44&amp;"'!GO_2038"),0)
+IF(AND(IFERROR(INDIRECT("'"&amp;$D$45&amp;"'!C9")&gt;1991,0),IFERROR(INDIRECT("'"&amp;$D$45&amp;"'!C9")&lt;2021,0)),INDIRECT("'"&amp;$D$45&amp;"'!GO_2038"),0)
+IF(AND(IFERROR(INDIRECT("'"&amp;$D$46&amp;"'!C9")&gt;1991,0),IFERROR(INDIRECT("'"&amp;$D$46&amp;"'!C9")&lt;2021,0)),INDIRECT("'"&amp;$D$46&amp;"'!GO_2038"),0)
+IF(AND(IFERROR(INDIRECT("'"&amp;$D$47&amp;"'!C9")&gt;1991,0),IFERROR(INDIRECT("'"&amp;$D$47&amp;"'!C9")&lt;2021,0)),INDIRECT("'"&amp;$D$47&amp;"'!GO_2038"),0)
+IF(AND(IFERROR(INDIRECT("'"&amp;$D$48&amp;"'!C9")&gt;1991,0),IFERROR(INDIRECT("'"&amp;$D$48&amp;"'!C9")&lt;2021,0)),INDIRECT("'"&amp;$D$48&amp;"'!GO_2038"),0)
+IF(AND(IFERROR(INDIRECT("'"&amp;$D$49&amp;"'!C9")&gt;1991,0),IFERROR(INDIRECT("'"&amp;$D$49&amp;"'!C9")&lt;2021,0)),INDIRECT("'"&amp;$D$49&amp;"'!GO_2038"),0)
+IF(AND(IFERROR(INDIRECT("'"&amp;$D$50&amp;"'!C9")&gt;1991,0),IFERROR(INDIRECT("'"&amp;$D$50&amp;"'!C9")&lt;2021,0)),INDIRECT("'"&amp;$D$50&amp;"'!GO_2038"),0)
+IF(AND(IFERROR(INDIRECT("'"&amp;$D$51&amp;"'!C9")&gt;1991,0),IFERROR(INDIRECT("'"&amp;$D$51&amp;"'!C9")&lt;2021,0)),INDIRECT("'"&amp;$D$51&amp;"'!GO_2038"),0)
+IF(AND(IFERROR(INDIRECT("'"&amp;$D$52&amp;"'!C9")&gt;1991,0),IFERROR(INDIRECT("'"&amp;$D$52&amp;"'!C9")&lt;2021,0)),INDIRECT("'"&amp;$D$52&amp;"'!GO_2038"),0)
+IF(AND(IFERROR(INDIRECT("'"&amp;$D$53&amp;"'!C9")&gt;1991,0),IFERROR(INDIRECT("'"&amp;$D$53&amp;"'!C9")&lt;2021,0)),INDIRECT("'"&amp;$D$53&amp;"'!GO_2038"),0)
+IF(AND(IFERROR(INDIRECT("'"&amp;$D$54&amp;"'!C9")&gt;1991,0),IFERROR(INDIRECT("'"&amp;$D$54&amp;"'!C9")&lt;2021,0)),INDIRECT("'"&amp;$D$54&amp;"'!GO_2038"),0)</f>
        <v>0</v>
      </c>
      <c r="AC27" s="321">
        <f ca="1">IF(AND(IFERROR(INDIRECT("'"&amp;$D$5&amp;"'!C9")&gt;1991,0),IFERROR(INDIRECT("'"&amp;$D$5&amp;"'!C9")&lt;2021,0)),INDIRECT("'"&amp;$D$5&amp;"'!GO_2039"),0)
+IF(AND(IFERROR(INDIRECT("'"&amp;$D$6&amp;"'!C9")&gt;1991,0),IFERROR(INDIRECT("'"&amp;$D$6&amp;"'!C9")&lt;2021,0)),INDIRECT("'"&amp;$D$6&amp;"'!GO_2039"),0)
+IF(AND(IFERROR(INDIRECT("'"&amp;$D$7&amp;"'!C9")&gt;1991,0),IFERROR(INDIRECT("'"&amp;$D$7&amp;"'!C9")&lt;2021,0)),INDIRECT("'"&amp;$D$7&amp;"'!GO_2039"),0)
+IF(AND(IFERROR(INDIRECT("'"&amp;$D$8&amp;"'!C9")&gt;1991,0),IFERROR(INDIRECT("'"&amp;$D$8&amp;"'!C9")&lt;2021,0)),INDIRECT("'"&amp;$D$8&amp;"'!GO_2039"),0)
+IF(AND(IFERROR(INDIRECT("'"&amp;$D$9&amp;"'!C9")&gt;1991,0),IFERROR(INDIRECT("'"&amp;$D$9&amp;"'!C9")&lt;2021,0)),INDIRECT("'"&amp;$D$9&amp;"'!GO_2039"),0)
+IF(AND(IFERROR(INDIRECT("'"&amp;$D$10&amp;"'!C9")&gt;1991,0),IFERROR(INDIRECT("'"&amp;$D$10&amp;"'!C9")&lt;2021,0)),INDIRECT("'"&amp;$D$10&amp;"'!GO_2039"),0)
+IF(AND(IFERROR(INDIRECT("'"&amp;$D$11&amp;"'!C9")&gt;1991,0),IFERROR(INDIRECT("'"&amp;$D$11&amp;"'!C9")&lt;2021,0)),INDIRECT("'"&amp;$D$11&amp;"'!GO_2039"),0)
+IF(AND(IFERROR(INDIRECT("'"&amp;$D$12&amp;"'!C9")&gt;1991,0),IFERROR(INDIRECT("'"&amp;$D$12&amp;"'!C9")&lt;2021,0)),INDIRECT("'"&amp;$D$12&amp;"'!GO_2039"),0)
+IF(AND(IFERROR(INDIRECT("'"&amp;$D$13&amp;"'!C9")&gt;1991,0),IFERROR(INDIRECT("'"&amp;$D$13&amp;"'!C9")&lt;2021,0)),INDIRECT("'"&amp;$D$13&amp;"'!GO_2039"),0)
+IF(AND(IFERROR(INDIRECT("'"&amp;$D$14&amp;"'!C9")&gt;1991,0),IFERROR(INDIRECT("'"&amp;$D$14&amp;"'!C9")&lt;2021,0)),INDIRECT("'"&amp;$D$14&amp;"'!GO_2039"),0)
+IF(AND(IFERROR(INDIRECT("'"&amp;$D$15&amp;"'!C9")&gt;1991,0),IFERROR(INDIRECT("'"&amp;$D$15&amp;"'!C9")&lt;2021,0)),INDIRECT("'"&amp;$D$15&amp;"'!GO_2039"),0)
+IF(AND(IFERROR(INDIRECT("'"&amp;$D$16&amp;"'!C9")&gt;1991,0),IFERROR(INDIRECT("'"&amp;$D$16&amp;"'!C9")&lt;2021,0)),INDIRECT("'"&amp;$D$16&amp;"'!GO_2039"),0)
+IF(AND(IFERROR(INDIRECT("'"&amp;$D$17&amp;"'!C9")&gt;1991,0),IFERROR(INDIRECT("'"&amp;$D$17&amp;"'!C9")&lt;2021,0)),INDIRECT("'"&amp;$D$17&amp;"'!GO_2039"),0)
+IF(AND(IFERROR(INDIRECT("'"&amp;$D$18&amp;"'!C9")&gt;1991,0),IFERROR(INDIRECT("'"&amp;$D$18&amp;"'!C9")&lt;2021,0)),INDIRECT("'"&amp;$D$18&amp;"'!GO_2039"),0)
+IF(AND(IFERROR(INDIRECT("'"&amp;$D$19&amp;"'!C9")&gt;1991,0),IFERROR(INDIRECT("'"&amp;$D$19&amp;"'!C9")&lt;2021,0)),INDIRECT("'"&amp;$D$19&amp;"'!GO_2039"),0)
+IF(AND(IFERROR(INDIRECT("'"&amp;$D$20&amp;"'!C9")&gt;1991,0),IFERROR(INDIRECT("'"&amp;$D$20&amp;"'!C9")&lt;2021,0)),INDIRECT("'"&amp;$D$20&amp;"'!GO_2039"),0)
+IF(AND(IFERROR(INDIRECT("'"&amp;$D$21&amp;"'!C9")&gt;1991,0),IFERROR(INDIRECT("'"&amp;$D$21&amp;"'!C9")&lt;2021,0)),INDIRECT("'"&amp;$D$21&amp;"'!GO_2039"),0)
+IF(AND(IFERROR(INDIRECT("'"&amp;$D$22&amp;"'!C9")&gt;1991,0),IFERROR(INDIRECT("'"&amp;$D$22&amp;"'!C9")&lt;2021,0)),INDIRECT("'"&amp;$D$22&amp;"'!GO_2039"),0)
+IF(AND(IFERROR(INDIRECT("'"&amp;$D$23&amp;"'!C9")&gt;1991,0),IFERROR(INDIRECT("'"&amp;$D$23&amp;"'!C9")&lt;2021,0)),INDIRECT("'"&amp;$D$23&amp;"'!GO_2039"),0)
+IF(AND(IFERROR(INDIRECT("'"&amp;$D$24&amp;"'!C9")&gt;1991,0),IFERROR(INDIRECT("'"&amp;$D$24&amp;"'!C9")&lt;2021,0)),INDIRECT("'"&amp;$D$24&amp;"'!GO_2039"),0)
+IF(AND(IFERROR(INDIRECT("'"&amp;$D$25&amp;"'!C9")&gt;1991,0),IFERROR(INDIRECT("'"&amp;$D$25&amp;"'!C9")&lt;2021,0)),INDIRECT("'"&amp;$D$25&amp;"'!GO_2039"),0)
+IF(AND(IFERROR(INDIRECT("'"&amp;$D$26&amp;"'!C9")&gt;1991,0),IFERROR(INDIRECT("'"&amp;$D$26&amp;"'!C9")&lt;2021,0)),INDIRECT("'"&amp;$D$26&amp;"'!GO_2039"),0)
+IF(AND(IFERROR(INDIRECT("'"&amp;$D$27&amp;"'!C9")&gt;1991,0),IFERROR(INDIRECT("'"&amp;$D$27&amp;"'!C9")&lt;2021,0)),INDIRECT("'"&amp;$D$27&amp;"'!GO_2039"),0)
+IF(AND(IFERROR(INDIRECT("'"&amp;$D$28&amp;"'!C9")&gt;1991,0),IFERROR(INDIRECT("'"&amp;$D$28&amp;"'!C9")&lt;2021,0)),INDIRECT("'"&amp;$D$28&amp;"'!GO_2039"),0)
+IF(AND(IFERROR(INDIRECT("'"&amp;$D$29&amp;"'!C9")&gt;1991,0),IFERROR(INDIRECT("'"&amp;$D$29&amp;"'!C9")&lt;2021,0)),INDIRECT("'"&amp;$D$29&amp;"'!GO_2039"),0)
+IF(AND(IFERROR(INDIRECT("'"&amp;$D$30&amp;"'!C9")&gt;1991,0),IFERROR(INDIRECT("'"&amp;$D$30&amp;"'!C9")&lt;2021,0)),INDIRECT("'"&amp;$D$30&amp;"'!GO_2039"),0)
+IF(AND(IFERROR(INDIRECT("'"&amp;$D$31&amp;"'!C9")&gt;1991,0),IFERROR(INDIRECT("'"&amp;$D$31&amp;"'!C9")&lt;2021,0)),INDIRECT("'"&amp;$D$31&amp;"'!GO_2039"),0)
+IF(AND(IFERROR(INDIRECT("'"&amp;$D$32&amp;"'!C9")&gt;1991,0),IFERROR(INDIRECT("'"&amp;$D$32&amp;"'!C9")&lt;2021,0)),INDIRECT("'"&amp;$D$32&amp;"'!GO_2039"),0)
+IF(AND(IFERROR(INDIRECT("'"&amp;$D$33&amp;"'!C9")&gt;1991,0),IFERROR(INDIRECT("'"&amp;$D$33&amp;"'!C9")&lt;2021,0)),INDIRECT("'"&amp;$D$33&amp;"'!GO_2039"),0)
+IF(AND(IFERROR(INDIRECT("'"&amp;$D$34&amp;"'!C9")&gt;1991,0),IFERROR(INDIRECT("'"&amp;$D$34&amp;"'!C9")&lt;2021,0)),INDIRECT("'"&amp;$D$34&amp;"'!GO_2039"),0)
+IF(AND(IFERROR(INDIRECT("'"&amp;$D$35&amp;"'!C9")&gt;1991,0),IFERROR(INDIRECT("'"&amp;$D$35&amp;"'!C9")&lt;2021,0)),INDIRECT("'"&amp;$D$35&amp;"'!GO_2039"),0)
+IF(AND(IFERROR(INDIRECT("'"&amp;$D$36&amp;"'!C9")&gt;1991,0),IFERROR(INDIRECT("'"&amp;$D$36&amp;"'!C9")&lt;2021,0)),INDIRECT("'"&amp;$D$36&amp;"'!GO_2039"),0)
+IF(AND(IFERROR(INDIRECT("'"&amp;$D$37&amp;"'!C9")&gt;1991,0),IFERROR(INDIRECT("'"&amp;$D$37&amp;"'!C9")&lt;2021,0)),INDIRECT("'"&amp;$D$37&amp;"'!GO_2039"),0)
+IF(AND(IFERROR(INDIRECT("'"&amp;$D$38&amp;"'!C9")&gt;1991,0),IFERROR(INDIRECT("'"&amp;$D$38&amp;"'!C9")&lt;2021,0)),INDIRECT("'"&amp;$D$38&amp;"'!GO_2039"),0)
+IF(AND(IFERROR(INDIRECT("'"&amp;$D$39&amp;"'!C9")&gt;1991,0),IFERROR(INDIRECT("'"&amp;$D$39&amp;"'!C9")&lt;2021,0)),INDIRECT("'"&amp;$D$39&amp;"'!GO_2039"),0)
+IF(AND(IFERROR(INDIRECT("'"&amp;$D$40&amp;"'!C9")&gt;1991,0),IFERROR(INDIRECT("'"&amp;$D$40&amp;"'!C9")&lt;2021,0)),INDIRECT("'"&amp;$D$40&amp;"'!GO_2039"),0)
+IF(AND(IFERROR(INDIRECT("'"&amp;$D$41&amp;"'!C9")&gt;1991,0),IFERROR(INDIRECT("'"&amp;$D$41&amp;"'!C9")&lt;2021,0)),INDIRECT("'"&amp;$D$41&amp;"'!GO_2039"),0)
+IF(AND(IFERROR(INDIRECT("'"&amp;$D$42&amp;"'!C9")&gt;1991,0),IFERROR(INDIRECT("'"&amp;$D$42&amp;"'!C9")&lt;2021,0)),INDIRECT("'"&amp;$D$42&amp;"'!GO_2039"),0)
+IF(AND(IFERROR(INDIRECT("'"&amp;$D$43&amp;"'!C9")&gt;1991,0),IFERROR(INDIRECT("'"&amp;$D$43&amp;"'!C9")&lt;2021,0)),INDIRECT("'"&amp;$D$43&amp;"'!GO_2039"),0)
+IF(AND(IFERROR(INDIRECT("'"&amp;$D$44&amp;"'!C9")&gt;1991,0),IFERROR(INDIRECT("'"&amp;$D$44&amp;"'!C9")&lt;2021,0)),INDIRECT("'"&amp;$D$44&amp;"'!GO_2039"),0)
+IF(AND(IFERROR(INDIRECT("'"&amp;$D$45&amp;"'!C9")&gt;1991,0),IFERROR(INDIRECT("'"&amp;$D$45&amp;"'!C9")&lt;2021,0)),INDIRECT("'"&amp;$D$45&amp;"'!GO_2039"),0)
+IF(AND(IFERROR(INDIRECT("'"&amp;$D$46&amp;"'!C9")&gt;1991,0),IFERROR(INDIRECT("'"&amp;$D$46&amp;"'!C9")&lt;2021,0)),INDIRECT("'"&amp;$D$46&amp;"'!GO_2039"),0)
+IF(AND(IFERROR(INDIRECT("'"&amp;$D$47&amp;"'!C9")&gt;1991,0),IFERROR(INDIRECT("'"&amp;$D$47&amp;"'!C9")&lt;2021,0)),INDIRECT("'"&amp;$D$47&amp;"'!GO_2039"),0)
+IF(AND(IFERROR(INDIRECT("'"&amp;$D$48&amp;"'!C9")&gt;1991,0),IFERROR(INDIRECT("'"&amp;$D$48&amp;"'!C9")&lt;2021,0)),INDIRECT("'"&amp;$D$48&amp;"'!GO_2039"),0)
+IF(AND(IFERROR(INDIRECT("'"&amp;$D$49&amp;"'!C9")&gt;1991,0),IFERROR(INDIRECT("'"&amp;$D$49&amp;"'!C9")&lt;2021,0)),INDIRECT("'"&amp;$D$49&amp;"'!GO_2039"),0)
+IF(AND(IFERROR(INDIRECT("'"&amp;$D$50&amp;"'!C9")&gt;1991,0),IFERROR(INDIRECT("'"&amp;$D$50&amp;"'!C9")&lt;2021,0)),INDIRECT("'"&amp;$D$50&amp;"'!GO_2039"),0)
+IF(AND(IFERROR(INDIRECT("'"&amp;$D$51&amp;"'!C9")&gt;1991,0),IFERROR(INDIRECT("'"&amp;$D$51&amp;"'!C9")&lt;2021,0)),INDIRECT("'"&amp;$D$51&amp;"'!GO_2039"),0)
+IF(AND(IFERROR(INDIRECT("'"&amp;$D$52&amp;"'!C9")&gt;1991,0),IFERROR(INDIRECT("'"&amp;$D$52&amp;"'!C9")&lt;2021,0)),INDIRECT("'"&amp;$D$52&amp;"'!GO_2039"),0)
+IF(AND(IFERROR(INDIRECT("'"&amp;$D$53&amp;"'!C9")&gt;1991,0),IFERROR(INDIRECT("'"&amp;$D$53&amp;"'!C9")&lt;2021,0)),INDIRECT("'"&amp;$D$53&amp;"'!GO_2039"),0)
+IF(AND(IFERROR(INDIRECT("'"&amp;$D$54&amp;"'!C9")&gt;1991,0),IFERROR(INDIRECT("'"&amp;$D$54&amp;"'!C9")&lt;2021,0)),INDIRECT("'"&amp;$D$54&amp;"'!GO_2039"),0)</f>
        <v>0</v>
      </c>
      <c r="AD27" s="321">
        <f ca="1">IF(AND(IFERROR(INDIRECT("'"&amp;$D$5&amp;"'!C9")&gt;1991,0),IFERROR(INDIRECT("'"&amp;$D$5&amp;"'!C9")&lt;2021,0)),INDIRECT("'"&amp;$D$5&amp;"'!GO_2040"),0)
+IF(AND(IFERROR(INDIRECT("'"&amp;$D$6&amp;"'!C9")&gt;1991,0),IFERROR(INDIRECT("'"&amp;$D$6&amp;"'!C9")&lt;2021,0)),INDIRECT("'"&amp;$D$6&amp;"'!GO_2040"),0)
+IF(AND(IFERROR(INDIRECT("'"&amp;$D$7&amp;"'!C9")&gt;1991,0),IFERROR(INDIRECT("'"&amp;$D$7&amp;"'!C9")&lt;2021,0)),INDIRECT("'"&amp;$D$7&amp;"'!GO_2040"),0)
+IF(AND(IFERROR(INDIRECT("'"&amp;$D$8&amp;"'!C9")&gt;1991,0),IFERROR(INDIRECT("'"&amp;$D$8&amp;"'!C9")&lt;2021,0)),INDIRECT("'"&amp;$D$8&amp;"'!GO_2040"),0)
+IF(AND(IFERROR(INDIRECT("'"&amp;$D$9&amp;"'!C9")&gt;1991,0),IFERROR(INDIRECT("'"&amp;$D$9&amp;"'!C9")&lt;2021,0)),INDIRECT("'"&amp;$D$9&amp;"'!GO_2040"),0)
+IF(AND(IFERROR(INDIRECT("'"&amp;$D$10&amp;"'!C9")&gt;1991,0),IFERROR(INDIRECT("'"&amp;$D$10&amp;"'!C9")&lt;2021,0)),INDIRECT("'"&amp;$D$10&amp;"'!GO_2040"),0)
+IF(AND(IFERROR(INDIRECT("'"&amp;$D$11&amp;"'!C9")&gt;1991,0),IFERROR(INDIRECT("'"&amp;$D$11&amp;"'!C9")&lt;2021,0)),INDIRECT("'"&amp;$D$11&amp;"'!GO_2040"),0)
+IF(AND(IFERROR(INDIRECT("'"&amp;$D$12&amp;"'!C9")&gt;1991,0),IFERROR(INDIRECT("'"&amp;$D$12&amp;"'!C9")&lt;2021,0)),INDIRECT("'"&amp;$D$12&amp;"'!GO_2040"),0)
+IF(AND(IFERROR(INDIRECT("'"&amp;$D$13&amp;"'!C9")&gt;1991,0),IFERROR(INDIRECT("'"&amp;$D$13&amp;"'!C9")&lt;2021,0)),INDIRECT("'"&amp;$D$13&amp;"'!GO_2040"),0)
+IF(AND(IFERROR(INDIRECT("'"&amp;$D$14&amp;"'!C9")&gt;1991,0),IFERROR(INDIRECT("'"&amp;$D$14&amp;"'!C9")&lt;2021,0)),INDIRECT("'"&amp;$D$14&amp;"'!GO_2040"),0)
+IF(AND(IFERROR(INDIRECT("'"&amp;$D$15&amp;"'!C9")&gt;1991,0),IFERROR(INDIRECT("'"&amp;$D$15&amp;"'!C9")&lt;2021,0)),INDIRECT("'"&amp;$D$15&amp;"'!GO_2040"),0)
+IF(AND(IFERROR(INDIRECT("'"&amp;$D$16&amp;"'!C9")&gt;1991,0),IFERROR(INDIRECT("'"&amp;$D$16&amp;"'!C9")&lt;2021,0)),INDIRECT("'"&amp;$D$16&amp;"'!GO_2040"),0)
+IF(AND(IFERROR(INDIRECT("'"&amp;$D$17&amp;"'!C9")&gt;1991,0),IFERROR(INDIRECT("'"&amp;$D$17&amp;"'!C9")&lt;2021,0)),INDIRECT("'"&amp;$D$17&amp;"'!GO_2040"),0)
+IF(AND(IFERROR(INDIRECT("'"&amp;$D$18&amp;"'!C9")&gt;1991,0),IFERROR(INDIRECT("'"&amp;$D$18&amp;"'!C9")&lt;2021,0)),INDIRECT("'"&amp;$D$18&amp;"'!GO_2040"),0)
+IF(AND(IFERROR(INDIRECT("'"&amp;$D$19&amp;"'!C9")&gt;1991,0),IFERROR(INDIRECT("'"&amp;$D$19&amp;"'!C9")&lt;2021,0)),INDIRECT("'"&amp;$D$19&amp;"'!GO_2040"),0)
+IF(AND(IFERROR(INDIRECT("'"&amp;$D$20&amp;"'!C9")&gt;1991,0),IFERROR(INDIRECT("'"&amp;$D$20&amp;"'!C9")&lt;2021,0)),INDIRECT("'"&amp;$D$20&amp;"'!GO_2040"),0)
+IF(AND(IFERROR(INDIRECT("'"&amp;$D$21&amp;"'!C9")&gt;1991,0),IFERROR(INDIRECT("'"&amp;$D$21&amp;"'!C9")&lt;2021,0)),INDIRECT("'"&amp;$D$21&amp;"'!GO_2040"),0)
+IF(AND(IFERROR(INDIRECT("'"&amp;$D$22&amp;"'!C9")&gt;1991,0),IFERROR(INDIRECT("'"&amp;$D$22&amp;"'!C9")&lt;2021,0)),INDIRECT("'"&amp;$D$22&amp;"'!GO_2040"),0)
+IF(AND(IFERROR(INDIRECT("'"&amp;$D$23&amp;"'!C9")&gt;1991,0),IFERROR(INDIRECT("'"&amp;$D$23&amp;"'!C9")&lt;2021,0)),INDIRECT("'"&amp;$D$23&amp;"'!GO_2040"),0)
+IF(AND(IFERROR(INDIRECT("'"&amp;$D$24&amp;"'!C9")&gt;1991,0),IFERROR(INDIRECT("'"&amp;$D$24&amp;"'!C9")&lt;2021,0)),INDIRECT("'"&amp;$D$24&amp;"'!GO_2040"),0)
+IF(AND(IFERROR(INDIRECT("'"&amp;$D$25&amp;"'!C9")&gt;1991,0),IFERROR(INDIRECT("'"&amp;$D$25&amp;"'!C9")&lt;2021,0)),INDIRECT("'"&amp;$D$25&amp;"'!GO_2040"),0)
+IF(AND(IFERROR(INDIRECT("'"&amp;$D$26&amp;"'!C9")&gt;1991,0),IFERROR(INDIRECT("'"&amp;$D$26&amp;"'!C9")&lt;2021,0)),INDIRECT("'"&amp;$D$26&amp;"'!GO_2040"),0)
+IF(AND(IFERROR(INDIRECT("'"&amp;$D$27&amp;"'!C9")&gt;1991,0),IFERROR(INDIRECT("'"&amp;$D$27&amp;"'!C9")&lt;2021,0)),INDIRECT("'"&amp;$D$27&amp;"'!GO_2040"),0)
+IF(AND(IFERROR(INDIRECT("'"&amp;$D$28&amp;"'!C9")&gt;1991,0),IFERROR(INDIRECT("'"&amp;$D$28&amp;"'!C9")&lt;2021,0)),INDIRECT("'"&amp;$D$28&amp;"'!GO_2040"),0)
+IF(AND(IFERROR(INDIRECT("'"&amp;$D$29&amp;"'!C9")&gt;1991,0),IFERROR(INDIRECT("'"&amp;$D$29&amp;"'!C9")&lt;2021,0)),INDIRECT("'"&amp;$D$29&amp;"'!GO_2040"),0)
+IF(AND(IFERROR(INDIRECT("'"&amp;$D$30&amp;"'!C9")&gt;1991,0),IFERROR(INDIRECT("'"&amp;$D$30&amp;"'!C9")&lt;2021,0)),INDIRECT("'"&amp;$D$30&amp;"'!GO_2040"),0)
+IF(AND(IFERROR(INDIRECT("'"&amp;$D$31&amp;"'!C9")&gt;1991,0),IFERROR(INDIRECT("'"&amp;$D$31&amp;"'!C9")&lt;2021,0)),INDIRECT("'"&amp;$D$31&amp;"'!GO_2040"),0)
+IF(AND(IFERROR(INDIRECT("'"&amp;$D$32&amp;"'!C9")&gt;1991,0),IFERROR(INDIRECT("'"&amp;$D$32&amp;"'!C9")&lt;2021,0)),INDIRECT("'"&amp;$D$32&amp;"'!GO_2040"),0)
+IF(AND(IFERROR(INDIRECT("'"&amp;$D$33&amp;"'!C9")&gt;1991,0),IFERROR(INDIRECT("'"&amp;$D$33&amp;"'!C9")&lt;2021,0)),INDIRECT("'"&amp;$D$33&amp;"'!GO_2040"),0)
+IF(AND(IFERROR(INDIRECT("'"&amp;$D$34&amp;"'!C9")&gt;1991,0),IFERROR(INDIRECT("'"&amp;$D$34&amp;"'!C9")&lt;2021,0)),INDIRECT("'"&amp;$D$34&amp;"'!GO_2040"),0)
+IF(AND(IFERROR(INDIRECT("'"&amp;$D$35&amp;"'!C9")&gt;1991,0),IFERROR(INDIRECT("'"&amp;$D$35&amp;"'!C9")&lt;2021,0)),INDIRECT("'"&amp;$D$35&amp;"'!GO_2040"),0)
+IF(AND(IFERROR(INDIRECT("'"&amp;$D$36&amp;"'!C9")&gt;1991,0),IFERROR(INDIRECT("'"&amp;$D$36&amp;"'!C9")&lt;2021,0)),INDIRECT("'"&amp;$D$36&amp;"'!GO_2040"),0)
+IF(AND(IFERROR(INDIRECT("'"&amp;$D$37&amp;"'!C9")&gt;1991,0),IFERROR(INDIRECT("'"&amp;$D$37&amp;"'!C9")&lt;2021,0)),INDIRECT("'"&amp;$D$37&amp;"'!GO_2040"),0)
+IF(AND(IFERROR(INDIRECT("'"&amp;$D$38&amp;"'!C9")&gt;1991,0),IFERROR(INDIRECT("'"&amp;$D$38&amp;"'!C9")&lt;2021,0)),INDIRECT("'"&amp;$D$38&amp;"'!GO_2040"),0)
+IF(AND(IFERROR(INDIRECT("'"&amp;$D$39&amp;"'!C9")&gt;1991,0),IFERROR(INDIRECT("'"&amp;$D$39&amp;"'!C9")&lt;2021,0)),INDIRECT("'"&amp;$D$39&amp;"'!GO_2040"),0)
+IF(AND(IFERROR(INDIRECT("'"&amp;$D$40&amp;"'!C9")&gt;1991,0),IFERROR(INDIRECT("'"&amp;$D$40&amp;"'!C9")&lt;2021,0)),INDIRECT("'"&amp;$D$40&amp;"'!GO_2040"),0)
+IF(AND(IFERROR(INDIRECT("'"&amp;$D$41&amp;"'!C9")&gt;1991,0),IFERROR(INDIRECT("'"&amp;$D$41&amp;"'!C9")&lt;2021,0)),INDIRECT("'"&amp;$D$41&amp;"'!GO_2040"),0)
+IF(AND(IFERROR(INDIRECT("'"&amp;$D$42&amp;"'!C9")&gt;1991,0),IFERROR(INDIRECT("'"&amp;$D$42&amp;"'!C9")&lt;2021,0)),INDIRECT("'"&amp;$D$42&amp;"'!GO_2040"),0)
+IF(AND(IFERROR(INDIRECT("'"&amp;$D$43&amp;"'!C9")&gt;1991,0),IFERROR(INDIRECT("'"&amp;$D$43&amp;"'!C9")&lt;2021,0)),INDIRECT("'"&amp;$D$43&amp;"'!GO_2040"),0)
+IF(AND(IFERROR(INDIRECT("'"&amp;$D$44&amp;"'!C9")&gt;1991,0),IFERROR(INDIRECT("'"&amp;$D$44&amp;"'!C9")&lt;2021,0)),INDIRECT("'"&amp;$D$44&amp;"'!GO_2040"),0)
+IF(AND(IFERROR(INDIRECT("'"&amp;$D$45&amp;"'!C9")&gt;1991,0),IFERROR(INDIRECT("'"&amp;$D$45&amp;"'!C9")&lt;2021,0)),INDIRECT("'"&amp;$D$45&amp;"'!GO_2040"),0)
+IF(AND(IFERROR(INDIRECT("'"&amp;$D$46&amp;"'!C9")&gt;1991,0),IFERROR(INDIRECT("'"&amp;$D$46&amp;"'!C9")&lt;2021,0)),INDIRECT("'"&amp;$D$46&amp;"'!GO_2040"),0)
+IF(AND(IFERROR(INDIRECT("'"&amp;$D$47&amp;"'!C9")&gt;1991,0),IFERROR(INDIRECT("'"&amp;$D$47&amp;"'!C9")&lt;2021,0)),INDIRECT("'"&amp;$D$47&amp;"'!GO_2040"),0)
+IF(AND(IFERROR(INDIRECT("'"&amp;$D$48&amp;"'!C9")&gt;1991,0),IFERROR(INDIRECT("'"&amp;$D$48&amp;"'!C9")&lt;2021,0)),INDIRECT("'"&amp;$D$48&amp;"'!GO_2040"),0)
+IF(AND(IFERROR(INDIRECT("'"&amp;$D$49&amp;"'!C9")&gt;1991,0),IFERROR(INDIRECT("'"&amp;$D$49&amp;"'!C9")&lt;2021,0)),INDIRECT("'"&amp;$D$49&amp;"'!GO_2040"),0)
+IF(AND(IFERROR(INDIRECT("'"&amp;$D$50&amp;"'!C9")&gt;1991,0),IFERROR(INDIRECT("'"&amp;$D$50&amp;"'!C9")&lt;2021,0)),INDIRECT("'"&amp;$D$50&amp;"'!GO_2040"),0)
+IF(AND(IFERROR(INDIRECT("'"&amp;$D$51&amp;"'!C9")&gt;1991,0),IFERROR(INDIRECT("'"&amp;$D$51&amp;"'!C9")&lt;2021,0)),INDIRECT("'"&amp;$D$51&amp;"'!GO_2040"),0)
+IF(AND(IFERROR(INDIRECT("'"&amp;$D$52&amp;"'!C9")&gt;1991,0),IFERROR(INDIRECT("'"&amp;$D$52&amp;"'!C9")&lt;2021,0)),INDIRECT("'"&amp;$D$52&amp;"'!GO_2040"),0)
+IF(AND(IFERROR(INDIRECT("'"&amp;$D$53&amp;"'!C9")&gt;1991,0),IFERROR(INDIRECT("'"&amp;$D$53&amp;"'!C9")&lt;2021,0)),INDIRECT("'"&amp;$D$53&amp;"'!GO_2040"),0)
+IF(AND(IFERROR(INDIRECT("'"&amp;$D$54&amp;"'!C9")&gt;1991,0),IFERROR(INDIRECT("'"&amp;$D$54&amp;"'!C9")&lt;2021,0)),INDIRECT("'"&amp;$D$54&amp;"'!GO_2040"),0)</f>
        <v>0</v>
      </c>
      <c r="AE27" s="321">
        <f ca="1">IF(AND(IFERROR(INDIRECT("'"&amp;$D$5&amp;"'!C9")&gt;1991,0),IFERROR(INDIRECT("'"&amp;$D$5&amp;"'!C9")&lt;2021,0)),INDIRECT("'"&amp;$D$5&amp;"'!GO_2041"),0)
+IF(AND(IFERROR(INDIRECT("'"&amp;$D$6&amp;"'!C9")&gt;1991,0),IFERROR(INDIRECT("'"&amp;$D$6&amp;"'!C9")&lt;2021,0)),INDIRECT("'"&amp;$D$6&amp;"'!GO_2041"),0)
+IF(AND(IFERROR(INDIRECT("'"&amp;$D$7&amp;"'!C9")&gt;1991,0),IFERROR(INDIRECT("'"&amp;$D$7&amp;"'!C9")&lt;2021,0)),INDIRECT("'"&amp;$D$7&amp;"'!GO_2041"),0)
+IF(AND(IFERROR(INDIRECT("'"&amp;$D$8&amp;"'!C9")&gt;1991,0),IFERROR(INDIRECT("'"&amp;$D$8&amp;"'!C9")&lt;2021,0)),INDIRECT("'"&amp;$D$8&amp;"'!GO_2041"),0)
+IF(AND(IFERROR(INDIRECT("'"&amp;$D$9&amp;"'!C9")&gt;1991,0),IFERROR(INDIRECT("'"&amp;$D$9&amp;"'!C9")&lt;2021,0)),INDIRECT("'"&amp;$D$9&amp;"'!GO_2041"),0)
+IF(AND(IFERROR(INDIRECT("'"&amp;$D$10&amp;"'!C9")&gt;1991,0),IFERROR(INDIRECT("'"&amp;$D$10&amp;"'!C9")&lt;2021,0)),INDIRECT("'"&amp;$D$10&amp;"'!GO_2041"),0)
+IF(AND(IFERROR(INDIRECT("'"&amp;$D$11&amp;"'!C9")&gt;1991,0),IFERROR(INDIRECT("'"&amp;$D$11&amp;"'!C9")&lt;2021,0)),INDIRECT("'"&amp;$D$11&amp;"'!GO_2041"),0)
+IF(AND(IFERROR(INDIRECT("'"&amp;$D$12&amp;"'!C9")&gt;1991,0),IFERROR(INDIRECT("'"&amp;$D$12&amp;"'!C9")&lt;2021,0)),INDIRECT("'"&amp;$D$12&amp;"'!GO_2041"),0)
+IF(AND(IFERROR(INDIRECT("'"&amp;$D$13&amp;"'!C9")&gt;1991,0),IFERROR(INDIRECT("'"&amp;$D$13&amp;"'!C9")&lt;2021,0)),INDIRECT("'"&amp;$D$13&amp;"'!GO_2041"),0)
+IF(AND(IFERROR(INDIRECT("'"&amp;$D$14&amp;"'!C9")&gt;1991,0),IFERROR(INDIRECT("'"&amp;$D$14&amp;"'!C9")&lt;2021,0)),INDIRECT("'"&amp;$D$14&amp;"'!GO_2041"),0)
+IF(AND(IFERROR(INDIRECT("'"&amp;$D$15&amp;"'!C9")&gt;1991,0),IFERROR(INDIRECT("'"&amp;$D$15&amp;"'!C9")&lt;2021,0)),INDIRECT("'"&amp;$D$15&amp;"'!GO_2041"),0)
+IF(AND(IFERROR(INDIRECT("'"&amp;$D$16&amp;"'!C9")&gt;1991,0),IFERROR(INDIRECT("'"&amp;$D$16&amp;"'!C9")&lt;2021,0)),INDIRECT("'"&amp;$D$16&amp;"'!GO_2041"),0)
+IF(AND(IFERROR(INDIRECT("'"&amp;$D$17&amp;"'!C9")&gt;1991,0),IFERROR(INDIRECT("'"&amp;$D$17&amp;"'!C9")&lt;2021,0)),INDIRECT("'"&amp;$D$17&amp;"'!GO_2041"),0)
+IF(AND(IFERROR(INDIRECT("'"&amp;$D$18&amp;"'!C9")&gt;1991,0),IFERROR(INDIRECT("'"&amp;$D$18&amp;"'!C9")&lt;2021,0)),INDIRECT("'"&amp;$D$18&amp;"'!GO_2041"),0)
+IF(AND(IFERROR(INDIRECT("'"&amp;$D$19&amp;"'!C9")&gt;1991,0),IFERROR(INDIRECT("'"&amp;$D$19&amp;"'!C9")&lt;2021,0)),INDIRECT("'"&amp;$D$19&amp;"'!GO_2041"),0)
+IF(AND(IFERROR(INDIRECT("'"&amp;$D$20&amp;"'!C9")&gt;1991,0),IFERROR(INDIRECT("'"&amp;$D$20&amp;"'!C9")&lt;2021,0)),INDIRECT("'"&amp;$D$20&amp;"'!GO_2041"),0)
+IF(AND(IFERROR(INDIRECT("'"&amp;$D$21&amp;"'!C9")&gt;1991,0),IFERROR(INDIRECT("'"&amp;$D$21&amp;"'!C9")&lt;2021,0)),INDIRECT("'"&amp;$D$21&amp;"'!GO_2041"),0)
+IF(AND(IFERROR(INDIRECT("'"&amp;$D$22&amp;"'!C9")&gt;1991,0),IFERROR(INDIRECT("'"&amp;$D$22&amp;"'!C9")&lt;2021,0)),INDIRECT("'"&amp;$D$22&amp;"'!GO_2041"),0)
+IF(AND(IFERROR(INDIRECT("'"&amp;$D$23&amp;"'!C9")&gt;1991,0),IFERROR(INDIRECT("'"&amp;$D$23&amp;"'!C9")&lt;2021,0)),INDIRECT("'"&amp;$D$23&amp;"'!GO_2041"),0)
+IF(AND(IFERROR(INDIRECT("'"&amp;$D$24&amp;"'!C9")&gt;1991,0),IFERROR(INDIRECT("'"&amp;$D$24&amp;"'!C9")&lt;2021,0)),INDIRECT("'"&amp;$D$24&amp;"'!GO_2041"),0)
+IF(AND(IFERROR(INDIRECT("'"&amp;$D$25&amp;"'!C9")&gt;1991,0),IFERROR(INDIRECT("'"&amp;$D$25&amp;"'!C9")&lt;2021,0)),INDIRECT("'"&amp;$D$25&amp;"'!GO_2041"),0)
+IF(AND(IFERROR(INDIRECT("'"&amp;$D$26&amp;"'!C9")&gt;1991,0),IFERROR(INDIRECT("'"&amp;$D$26&amp;"'!C9")&lt;2021,0)),INDIRECT("'"&amp;$D$26&amp;"'!GO_2041"),0)
+IF(AND(IFERROR(INDIRECT("'"&amp;$D$27&amp;"'!C9")&gt;1991,0),IFERROR(INDIRECT("'"&amp;$D$27&amp;"'!C9")&lt;2021,0)),INDIRECT("'"&amp;$D$27&amp;"'!GO_2041"),0)
+IF(AND(IFERROR(INDIRECT("'"&amp;$D$28&amp;"'!C9")&gt;1991,0),IFERROR(INDIRECT("'"&amp;$D$28&amp;"'!C9")&lt;2021,0)),INDIRECT("'"&amp;$D$28&amp;"'!GO_2041"),0)
+IF(AND(IFERROR(INDIRECT("'"&amp;$D$29&amp;"'!C9")&gt;1991,0),IFERROR(INDIRECT("'"&amp;$D$29&amp;"'!C9")&lt;2021,0)),INDIRECT("'"&amp;$D$29&amp;"'!GO_2041"),0)
+IF(AND(IFERROR(INDIRECT("'"&amp;$D$30&amp;"'!C9")&gt;1991,0),IFERROR(INDIRECT("'"&amp;$D$30&amp;"'!C9")&lt;2021,0)),INDIRECT("'"&amp;$D$30&amp;"'!GO_2041"),0)
+IF(AND(IFERROR(INDIRECT("'"&amp;$D$31&amp;"'!C9")&gt;1991,0),IFERROR(INDIRECT("'"&amp;$D$31&amp;"'!C9")&lt;2021,0)),INDIRECT("'"&amp;$D$31&amp;"'!GO_2041"),0)
+IF(AND(IFERROR(INDIRECT("'"&amp;$D$32&amp;"'!C9")&gt;1991,0),IFERROR(INDIRECT("'"&amp;$D$32&amp;"'!C9")&lt;2021,0)),INDIRECT("'"&amp;$D$32&amp;"'!GO_2041"),0)
+IF(AND(IFERROR(INDIRECT("'"&amp;$D$33&amp;"'!C9")&gt;1991,0),IFERROR(INDIRECT("'"&amp;$D$33&amp;"'!C9")&lt;2021,0)),INDIRECT("'"&amp;$D$33&amp;"'!GO_2041"),0)
+IF(AND(IFERROR(INDIRECT("'"&amp;$D$34&amp;"'!C9")&gt;1991,0),IFERROR(INDIRECT("'"&amp;$D$34&amp;"'!C9")&lt;2021,0)),INDIRECT("'"&amp;$D$34&amp;"'!GO_2041"),0)
+IF(AND(IFERROR(INDIRECT("'"&amp;$D$35&amp;"'!C9")&gt;1991,0),IFERROR(INDIRECT("'"&amp;$D$35&amp;"'!C9")&lt;2021,0)),INDIRECT("'"&amp;$D$35&amp;"'!GO_2041"),0)
+IF(AND(IFERROR(INDIRECT("'"&amp;$D$36&amp;"'!C9")&gt;1991,0),IFERROR(INDIRECT("'"&amp;$D$36&amp;"'!C9")&lt;2021,0)),INDIRECT("'"&amp;$D$36&amp;"'!GO_2041"),0)
+IF(AND(IFERROR(INDIRECT("'"&amp;$D$37&amp;"'!C9")&gt;1991,0),IFERROR(INDIRECT("'"&amp;$D$37&amp;"'!C9")&lt;2021,0)),INDIRECT("'"&amp;$D$37&amp;"'!GO_2041"),0)
+IF(AND(IFERROR(INDIRECT("'"&amp;$D$38&amp;"'!C9")&gt;1991,0),IFERROR(INDIRECT("'"&amp;$D$38&amp;"'!C9")&lt;2021,0)),INDIRECT("'"&amp;$D$38&amp;"'!GO_2041"),0)
+IF(AND(IFERROR(INDIRECT("'"&amp;$D$39&amp;"'!C9")&gt;1991,0),IFERROR(INDIRECT("'"&amp;$D$39&amp;"'!C9")&lt;2021,0)),INDIRECT("'"&amp;$D$39&amp;"'!GO_2041"),0)
+IF(AND(IFERROR(INDIRECT("'"&amp;$D$40&amp;"'!C9")&gt;1991,0),IFERROR(INDIRECT("'"&amp;$D$40&amp;"'!C9")&lt;2021,0)),INDIRECT("'"&amp;$D$40&amp;"'!GO_2041"),0)
+IF(AND(IFERROR(INDIRECT("'"&amp;$D$41&amp;"'!C9")&gt;1991,0),IFERROR(INDIRECT("'"&amp;$D$41&amp;"'!C9")&lt;2021,0)),INDIRECT("'"&amp;$D$41&amp;"'!GO_2041"),0)
+IF(AND(IFERROR(INDIRECT("'"&amp;$D$42&amp;"'!C9")&gt;1991,0),IFERROR(INDIRECT("'"&amp;$D$42&amp;"'!C9")&lt;2021,0)),INDIRECT("'"&amp;$D$42&amp;"'!GO_2041"),0)
+IF(AND(IFERROR(INDIRECT("'"&amp;$D$43&amp;"'!C9")&gt;1991,0),IFERROR(INDIRECT("'"&amp;$D$43&amp;"'!C9")&lt;2021,0)),INDIRECT("'"&amp;$D$43&amp;"'!GO_2041"),0)
+IF(AND(IFERROR(INDIRECT("'"&amp;$D$44&amp;"'!C9")&gt;1991,0),IFERROR(INDIRECT("'"&amp;$D$44&amp;"'!C9")&lt;2021,0)),INDIRECT("'"&amp;$D$44&amp;"'!GO_2041"),0)
+IF(AND(IFERROR(INDIRECT("'"&amp;$D$45&amp;"'!C9")&gt;1991,0),IFERROR(INDIRECT("'"&amp;$D$45&amp;"'!C9")&lt;2021,0)),INDIRECT("'"&amp;$D$45&amp;"'!GO_2041"),0)
+IF(AND(IFERROR(INDIRECT("'"&amp;$D$46&amp;"'!C9")&gt;1991,0),IFERROR(INDIRECT("'"&amp;$D$46&amp;"'!C9")&lt;2021,0)),INDIRECT("'"&amp;$D$46&amp;"'!GO_2041"),0)
+IF(AND(IFERROR(INDIRECT("'"&amp;$D$47&amp;"'!C9")&gt;1991,0),IFERROR(INDIRECT("'"&amp;$D$47&amp;"'!C9")&lt;2021,0)),INDIRECT("'"&amp;$D$47&amp;"'!GO_2041"),0)
+IF(AND(IFERROR(INDIRECT("'"&amp;$D$48&amp;"'!C9")&gt;1991,0),IFERROR(INDIRECT("'"&amp;$D$48&amp;"'!C9")&lt;2021,0)),INDIRECT("'"&amp;$D$48&amp;"'!GO_2041"),0)
+IF(AND(IFERROR(INDIRECT("'"&amp;$D$49&amp;"'!C9")&gt;1991,0),IFERROR(INDIRECT("'"&amp;$D$49&amp;"'!C9")&lt;2021,0)),INDIRECT("'"&amp;$D$49&amp;"'!GO_2041"),0)
+IF(AND(IFERROR(INDIRECT("'"&amp;$D$50&amp;"'!C9")&gt;1991,0),IFERROR(INDIRECT("'"&amp;$D$50&amp;"'!C9")&lt;2021,0)),INDIRECT("'"&amp;$D$50&amp;"'!GO_2041"),0)
+IF(AND(IFERROR(INDIRECT("'"&amp;$D$51&amp;"'!C9")&gt;1991,0),IFERROR(INDIRECT("'"&amp;$D$51&amp;"'!C9")&lt;2021,0)),INDIRECT("'"&amp;$D$51&amp;"'!GO_2041"),0)
+IF(AND(IFERROR(INDIRECT("'"&amp;$D$52&amp;"'!C9")&gt;1991,0),IFERROR(INDIRECT("'"&amp;$D$52&amp;"'!C9")&lt;2021,0)),INDIRECT("'"&amp;$D$52&amp;"'!GO_2041"),0)
+IF(AND(IFERROR(INDIRECT("'"&amp;$D$53&amp;"'!C9")&gt;1991,0),IFERROR(INDIRECT("'"&amp;$D$53&amp;"'!C9")&lt;2021,0)),INDIRECT("'"&amp;$D$53&amp;"'!GO_2041"),0)
+IF(AND(IFERROR(INDIRECT("'"&amp;$D$54&amp;"'!C9")&gt;1991,0),IFERROR(INDIRECT("'"&amp;$D$54&amp;"'!C9")&lt;2021,0)),INDIRECT("'"&amp;$D$54&amp;"'!GO_2041"),0)</f>
        <v>0</v>
      </c>
      <c r="AF27" s="321">
        <f ca="1">IF(AND(IFERROR(INDIRECT("'"&amp;$D$5&amp;"'!C9")&gt;1991,0),IFERROR(INDIRECT("'"&amp;$D$5&amp;"'!C9")&lt;2021,0)),INDIRECT("'"&amp;$D$5&amp;"'!GO_2042"),0)
+IF(AND(IFERROR(INDIRECT("'"&amp;$D$6&amp;"'!C9")&gt;1991,0),IFERROR(INDIRECT("'"&amp;$D$6&amp;"'!C9")&lt;2021,0)),INDIRECT("'"&amp;$D$6&amp;"'!GO_2042"),0)
+IF(AND(IFERROR(INDIRECT("'"&amp;$D$7&amp;"'!C9")&gt;1991,0),IFERROR(INDIRECT("'"&amp;$D$7&amp;"'!C9")&lt;2021,0)),INDIRECT("'"&amp;$D$7&amp;"'!GO_2042"),0)
+IF(AND(IFERROR(INDIRECT("'"&amp;$D$8&amp;"'!C9")&gt;1991,0),IFERROR(INDIRECT("'"&amp;$D$8&amp;"'!C9")&lt;2021,0)),INDIRECT("'"&amp;$D$8&amp;"'!GO_2042"),0)
+IF(AND(IFERROR(INDIRECT("'"&amp;$D$9&amp;"'!C9")&gt;1991,0),IFERROR(INDIRECT("'"&amp;$D$9&amp;"'!C9")&lt;2021,0)),INDIRECT("'"&amp;$D$9&amp;"'!GO_2042"),0)
+IF(AND(IFERROR(INDIRECT("'"&amp;$D$10&amp;"'!C9")&gt;1991,0),IFERROR(INDIRECT("'"&amp;$D$10&amp;"'!C9")&lt;2021,0)),INDIRECT("'"&amp;$D$10&amp;"'!GO_2042"),0)
+IF(AND(IFERROR(INDIRECT("'"&amp;$D$11&amp;"'!C9")&gt;1991,0),IFERROR(INDIRECT("'"&amp;$D$11&amp;"'!C9")&lt;2021,0)),INDIRECT("'"&amp;$D$11&amp;"'!GO_2042"),0)
+IF(AND(IFERROR(INDIRECT("'"&amp;$D$12&amp;"'!C9")&gt;1991,0),IFERROR(INDIRECT("'"&amp;$D$12&amp;"'!C9")&lt;2021,0)),INDIRECT("'"&amp;$D$12&amp;"'!GO_2042"),0)
+IF(AND(IFERROR(INDIRECT("'"&amp;$D$13&amp;"'!C9")&gt;1991,0),IFERROR(INDIRECT("'"&amp;$D$13&amp;"'!C9")&lt;2021,0)),INDIRECT("'"&amp;$D$13&amp;"'!GO_2042"),0)
+IF(AND(IFERROR(INDIRECT("'"&amp;$D$14&amp;"'!C9")&gt;1991,0),IFERROR(INDIRECT("'"&amp;$D$14&amp;"'!C9")&lt;2021,0)),INDIRECT("'"&amp;$D$14&amp;"'!GO_2042"),0)
+IF(AND(IFERROR(INDIRECT("'"&amp;$D$15&amp;"'!C9")&gt;1991,0),IFERROR(INDIRECT("'"&amp;$D$15&amp;"'!C9")&lt;2021,0)),INDIRECT("'"&amp;$D$15&amp;"'!GO_2042"),0)
+IF(AND(IFERROR(INDIRECT("'"&amp;$D$16&amp;"'!C9")&gt;1991,0),IFERROR(INDIRECT("'"&amp;$D$16&amp;"'!C9")&lt;2021,0)),INDIRECT("'"&amp;$D$16&amp;"'!GO_2042"),0)
+IF(AND(IFERROR(INDIRECT("'"&amp;$D$17&amp;"'!C9")&gt;1991,0),IFERROR(INDIRECT("'"&amp;$D$17&amp;"'!C9")&lt;2021,0)),INDIRECT("'"&amp;$D$17&amp;"'!GO_2042"),0)
+IF(AND(IFERROR(INDIRECT("'"&amp;$D$18&amp;"'!C9")&gt;1991,0),IFERROR(INDIRECT("'"&amp;$D$18&amp;"'!C9")&lt;2021,0)),INDIRECT("'"&amp;$D$18&amp;"'!GO_2042"),0)
+IF(AND(IFERROR(INDIRECT("'"&amp;$D$19&amp;"'!C9")&gt;1991,0),IFERROR(INDIRECT("'"&amp;$D$19&amp;"'!C9")&lt;2021,0)),INDIRECT("'"&amp;$D$19&amp;"'!GO_2042"),0)
+IF(AND(IFERROR(INDIRECT("'"&amp;$D$20&amp;"'!C9")&gt;1991,0),IFERROR(INDIRECT("'"&amp;$D$20&amp;"'!C9")&lt;2021,0)),INDIRECT("'"&amp;$D$20&amp;"'!GO_2042"),0)
+IF(AND(IFERROR(INDIRECT("'"&amp;$D$21&amp;"'!C9")&gt;1991,0),IFERROR(INDIRECT("'"&amp;$D$21&amp;"'!C9")&lt;2021,0)),INDIRECT("'"&amp;$D$21&amp;"'!GO_2042"),0)
+IF(AND(IFERROR(INDIRECT("'"&amp;$D$22&amp;"'!C9")&gt;1991,0),IFERROR(INDIRECT("'"&amp;$D$22&amp;"'!C9")&lt;2021,0)),INDIRECT("'"&amp;$D$22&amp;"'!GO_2042"),0)
+IF(AND(IFERROR(INDIRECT("'"&amp;$D$23&amp;"'!C9")&gt;1991,0),IFERROR(INDIRECT("'"&amp;$D$23&amp;"'!C9")&lt;2021,0)),INDIRECT("'"&amp;$D$23&amp;"'!GO_2042"),0)
+IF(AND(IFERROR(INDIRECT("'"&amp;$D$24&amp;"'!C9")&gt;1991,0),IFERROR(INDIRECT("'"&amp;$D$24&amp;"'!C9")&lt;2021,0)),INDIRECT("'"&amp;$D$24&amp;"'!GO_2042"),0)
+IF(AND(IFERROR(INDIRECT("'"&amp;$D$25&amp;"'!C9")&gt;1991,0),IFERROR(INDIRECT("'"&amp;$D$25&amp;"'!C9")&lt;2021,0)),INDIRECT("'"&amp;$D$25&amp;"'!GO_2042"),0)
+IF(AND(IFERROR(INDIRECT("'"&amp;$D$26&amp;"'!C9")&gt;1991,0),IFERROR(INDIRECT("'"&amp;$D$26&amp;"'!C9")&lt;2021,0)),INDIRECT("'"&amp;$D$26&amp;"'!GO_2042"),0)
+IF(AND(IFERROR(INDIRECT("'"&amp;$D$27&amp;"'!C9")&gt;1991,0),IFERROR(INDIRECT("'"&amp;$D$27&amp;"'!C9")&lt;2021,0)),INDIRECT("'"&amp;$D$27&amp;"'!GO_2042"),0)
+IF(AND(IFERROR(INDIRECT("'"&amp;$D$28&amp;"'!C9")&gt;1991,0),IFERROR(INDIRECT("'"&amp;$D$28&amp;"'!C9")&lt;2021,0)),INDIRECT("'"&amp;$D$28&amp;"'!GO_2042"),0)
+IF(AND(IFERROR(INDIRECT("'"&amp;$D$29&amp;"'!C9")&gt;1991,0),IFERROR(INDIRECT("'"&amp;$D$29&amp;"'!C9")&lt;2021,0)),INDIRECT("'"&amp;$D$29&amp;"'!GO_2042"),0)
+IF(AND(IFERROR(INDIRECT("'"&amp;$D$30&amp;"'!C9")&gt;1991,0),IFERROR(INDIRECT("'"&amp;$D$30&amp;"'!C9")&lt;2021,0)),INDIRECT("'"&amp;$D$30&amp;"'!GO_2042"),0)
+IF(AND(IFERROR(INDIRECT("'"&amp;$D$31&amp;"'!C9")&gt;1991,0),IFERROR(INDIRECT("'"&amp;$D$31&amp;"'!C9")&lt;2021,0)),INDIRECT("'"&amp;$D$31&amp;"'!GO_2042"),0)
+IF(AND(IFERROR(INDIRECT("'"&amp;$D$32&amp;"'!C9")&gt;1991,0),IFERROR(INDIRECT("'"&amp;$D$32&amp;"'!C9")&lt;2021,0)),INDIRECT("'"&amp;$D$32&amp;"'!GO_2042"),0)
+IF(AND(IFERROR(INDIRECT("'"&amp;$D$33&amp;"'!C9")&gt;1991,0),IFERROR(INDIRECT("'"&amp;$D$33&amp;"'!C9")&lt;2021,0)),INDIRECT("'"&amp;$D$33&amp;"'!GO_2042"),0)
+IF(AND(IFERROR(INDIRECT("'"&amp;$D$34&amp;"'!C9")&gt;1991,0),IFERROR(INDIRECT("'"&amp;$D$34&amp;"'!C9")&lt;2021,0)),INDIRECT("'"&amp;$D$34&amp;"'!GO_2042"),0)
+IF(AND(IFERROR(INDIRECT("'"&amp;$D$35&amp;"'!C9")&gt;1991,0),IFERROR(INDIRECT("'"&amp;$D$35&amp;"'!C9")&lt;2021,0)),INDIRECT("'"&amp;$D$35&amp;"'!GO_2042"),0)
+IF(AND(IFERROR(INDIRECT("'"&amp;$D$36&amp;"'!C9")&gt;1991,0),IFERROR(INDIRECT("'"&amp;$D$36&amp;"'!C9")&lt;2021,0)),INDIRECT("'"&amp;$D$36&amp;"'!GO_2042"),0)
+IF(AND(IFERROR(INDIRECT("'"&amp;$D$37&amp;"'!C9")&gt;1991,0),IFERROR(INDIRECT("'"&amp;$D$37&amp;"'!C9")&lt;2021,0)),INDIRECT("'"&amp;$D$37&amp;"'!GO_2042"),0)
+IF(AND(IFERROR(INDIRECT("'"&amp;$D$38&amp;"'!C9")&gt;1991,0),IFERROR(INDIRECT("'"&amp;$D$38&amp;"'!C9")&lt;2021,0)),INDIRECT("'"&amp;$D$38&amp;"'!GO_2042"),0)
+IF(AND(IFERROR(INDIRECT("'"&amp;$D$39&amp;"'!C9")&gt;1991,0),IFERROR(INDIRECT("'"&amp;$D$39&amp;"'!C9")&lt;2021,0)),INDIRECT("'"&amp;$D$39&amp;"'!GO_2042"),0)
+IF(AND(IFERROR(INDIRECT("'"&amp;$D$40&amp;"'!C9")&gt;1991,0),IFERROR(INDIRECT("'"&amp;$D$40&amp;"'!C9")&lt;2021,0)),INDIRECT("'"&amp;$D$40&amp;"'!GO_2042"),0)
+IF(AND(IFERROR(INDIRECT("'"&amp;$D$41&amp;"'!C9")&gt;1991,0),IFERROR(INDIRECT("'"&amp;$D$41&amp;"'!C9")&lt;2021,0)),INDIRECT("'"&amp;$D$41&amp;"'!GO_2042"),0)
+IF(AND(IFERROR(INDIRECT("'"&amp;$D$42&amp;"'!C9")&gt;1991,0),IFERROR(INDIRECT("'"&amp;$D$42&amp;"'!C9")&lt;2021,0)),INDIRECT("'"&amp;$D$42&amp;"'!GO_2042"),0)
+IF(AND(IFERROR(INDIRECT("'"&amp;$D$43&amp;"'!C9")&gt;1991,0),IFERROR(INDIRECT("'"&amp;$D$43&amp;"'!C9")&lt;2021,0)),INDIRECT("'"&amp;$D$43&amp;"'!GO_2042"),0)
+IF(AND(IFERROR(INDIRECT("'"&amp;$D$44&amp;"'!C9")&gt;1991,0),IFERROR(INDIRECT("'"&amp;$D$44&amp;"'!C9")&lt;2021,0)),INDIRECT("'"&amp;$D$44&amp;"'!GO_2042"),0)
+IF(AND(IFERROR(INDIRECT("'"&amp;$D$45&amp;"'!C9")&gt;1991,0),IFERROR(INDIRECT("'"&amp;$D$45&amp;"'!C9")&lt;2021,0)),INDIRECT("'"&amp;$D$45&amp;"'!GO_2042"),0)
+IF(AND(IFERROR(INDIRECT("'"&amp;$D$46&amp;"'!C9")&gt;1991,0),IFERROR(INDIRECT("'"&amp;$D$46&amp;"'!C9")&lt;2021,0)),INDIRECT("'"&amp;$D$46&amp;"'!GO_2042"),0)
+IF(AND(IFERROR(INDIRECT("'"&amp;$D$47&amp;"'!C9")&gt;1991,0),IFERROR(INDIRECT("'"&amp;$D$47&amp;"'!C9")&lt;2021,0)),INDIRECT("'"&amp;$D$47&amp;"'!GO_2042"),0)
+IF(AND(IFERROR(INDIRECT("'"&amp;$D$48&amp;"'!C9")&gt;1991,0),IFERROR(INDIRECT("'"&amp;$D$48&amp;"'!C9")&lt;2021,0)),INDIRECT("'"&amp;$D$48&amp;"'!GO_2042"),0)
+IF(AND(IFERROR(INDIRECT("'"&amp;$D$49&amp;"'!C9")&gt;1991,0),IFERROR(INDIRECT("'"&amp;$D$49&amp;"'!C9")&lt;2021,0)),INDIRECT("'"&amp;$D$49&amp;"'!GO_2042"),0)
+IF(AND(IFERROR(INDIRECT("'"&amp;$D$50&amp;"'!C9")&gt;1991,0),IFERROR(INDIRECT("'"&amp;$D$50&amp;"'!C9")&lt;2021,0)),INDIRECT("'"&amp;$D$50&amp;"'!GO_2042"),0)
+IF(AND(IFERROR(INDIRECT("'"&amp;$D$51&amp;"'!C9")&gt;1991,0),IFERROR(INDIRECT("'"&amp;$D$51&amp;"'!C9")&lt;2021,0)),INDIRECT("'"&amp;$D$51&amp;"'!GO_2042"),0)
+IF(AND(IFERROR(INDIRECT("'"&amp;$D$52&amp;"'!C9")&gt;1991,0),IFERROR(INDIRECT("'"&amp;$D$52&amp;"'!C9")&lt;2021,0)),INDIRECT("'"&amp;$D$52&amp;"'!GO_2042"),0)
+IF(AND(IFERROR(INDIRECT("'"&amp;$D$53&amp;"'!C9")&gt;1991,0),IFERROR(INDIRECT("'"&amp;$D$53&amp;"'!C9")&lt;2021,0)),INDIRECT("'"&amp;$D$53&amp;"'!GO_2042"),0)
+IF(AND(IFERROR(INDIRECT("'"&amp;$D$54&amp;"'!C9")&gt;1991,0),IFERROR(INDIRECT("'"&amp;$D$54&amp;"'!C9")&lt;2021,0)),INDIRECT("'"&amp;$D$54&amp;"'!GO_2042"),0)</f>
        <v>0</v>
      </c>
      <c r="AG27" s="321">
        <f ca="1">IF(AND(IFERROR(INDIRECT("'"&amp;$D$5&amp;"'!C9")&gt;1991,0),IFERROR(INDIRECT("'"&amp;$D$5&amp;"'!C9")&lt;2021,0)),INDIRECT("'"&amp;$D$5&amp;"'!GO_2043"),0)
+IF(AND(IFERROR(INDIRECT("'"&amp;$D$6&amp;"'!C9")&gt;1991,0),IFERROR(INDIRECT("'"&amp;$D$6&amp;"'!C9")&lt;2021,0)),INDIRECT("'"&amp;$D$6&amp;"'!GO_2043"),0)
+IF(AND(IFERROR(INDIRECT("'"&amp;$D$7&amp;"'!C9")&gt;1991,0),IFERROR(INDIRECT("'"&amp;$D$7&amp;"'!C9")&lt;2021,0)),INDIRECT("'"&amp;$D$7&amp;"'!GO_2043"),0)
+IF(AND(IFERROR(INDIRECT("'"&amp;$D$8&amp;"'!C9")&gt;1991,0),IFERROR(INDIRECT("'"&amp;$D$8&amp;"'!C9")&lt;2021,0)),INDIRECT("'"&amp;$D$8&amp;"'!GO_2043"),0)
+IF(AND(IFERROR(INDIRECT("'"&amp;$D$9&amp;"'!C9")&gt;1991,0),IFERROR(INDIRECT("'"&amp;$D$9&amp;"'!C9")&lt;2021,0)),INDIRECT("'"&amp;$D$9&amp;"'!GO_2043"),0)
+IF(AND(IFERROR(INDIRECT("'"&amp;$D$10&amp;"'!C9")&gt;1991,0),IFERROR(INDIRECT("'"&amp;$D$10&amp;"'!C9")&lt;2021,0)),INDIRECT("'"&amp;$D$10&amp;"'!GO_2043"),0)
+IF(AND(IFERROR(INDIRECT("'"&amp;$D$11&amp;"'!C9")&gt;1991,0),IFERROR(INDIRECT("'"&amp;$D$11&amp;"'!C9")&lt;2021,0)),INDIRECT("'"&amp;$D$11&amp;"'!GO_2043"),0)
+IF(AND(IFERROR(INDIRECT("'"&amp;$D$12&amp;"'!C9")&gt;1991,0),IFERROR(INDIRECT("'"&amp;$D$12&amp;"'!C9")&lt;2021,0)),INDIRECT("'"&amp;$D$12&amp;"'!GO_2043"),0)
+IF(AND(IFERROR(INDIRECT("'"&amp;$D$13&amp;"'!C9")&gt;1991,0),IFERROR(INDIRECT("'"&amp;$D$13&amp;"'!C9")&lt;2021,0)),INDIRECT("'"&amp;$D$13&amp;"'!GO_2043"),0)
+IF(AND(IFERROR(INDIRECT("'"&amp;$D$14&amp;"'!C9")&gt;1991,0),IFERROR(INDIRECT("'"&amp;$D$14&amp;"'!C9")&lt;2021,0)),INDIRECT("'"&amp;$D$14&amp;"'!GO_2043"),0)
+IF(AND(IFERROR(INDIRECT("'"&amp;$D$15&amp;"'!C9")&gt;1991,0),IFERROR(INDIRECT("'"&amp;$D$15&amp;"'!C9")&lt;2021,0)),INDIRECT("'"&amp;$D$15&amp;"'!GO_2043"),0)
+IF(AND(IFERROR(INDIRECT("'"&amp;$D$16&amp;"'!C9")&gt;1991,0),IFERROR(INDIRECT("'"&amp;$D$16&amp;"'!C9")&lt;2021,0)),INDIRECT("'"&amp;$D$16&amp;"'!GO_2043"),0)
+IF(AND(IFERROR(INDIRECT("'"&amp;$D$17&amp;"'!C9")&gt;1991,0),IFERROR(INDIRECT("'"&amp;$D$17&amp;"'!C9")&lt;2021,0)),INDIRECT("'"&amp;$D$17&amp;"'!GO_2043"),0)
+IF(AND(IFERROR(INDIRECT("'"&amp;$D$18&amp;"'!C9")&gt;1991,0),IFERROR(INDIRECT("'"&amp;$D$18&amp;"'!C9")&lt;2021,0)),INDIRECT("'"&amp;$D$18&amp;"'!GO_2043"),0)
+IF(AND(IFERROR(INDIRECT("'"&amp;$D$19&amp;"'!C9")&gt;1991,0),IFERROR(INDIRECT("'"&amp;$D$19&amp;"'!C9")&lt;2021,0)),INDIRECT("'"&amp;$D$19&amp;"'!GO_2043"),0)
+IF(AND(IFERROR(INDIRECT("'"&amp;$D$20&amp;"'!C9")&gt;1991,0),IFERROR(INDIRECT("'"&amp;$D$20&amp;"'!C9")&lt;2021,0)),INDIRECT("'"&amp;$D$20&amp;"'!GO_2043"),0)
+IF(AND(IFERROR(INDIRECT("'"&amp;$D$21&amp;"'!C9")&gt;1991,0),IFERROR(INDIRECT("'"&amp;$D$21&amp;"'!C9")&lt;2021,0)),INDIRECT("'"&amp;$D$21&amp;"'!GO_2043"),0)
+IF(AND(IFERROR(INDIRECT("'"&amp;$D$22&amp;"'!C9")&gt;1991,0),IFERROR(INDIRECT("'"&amp;$D$22&amp;"'!C9")&lt;2021,0)),INDIRECT("'"&amp;$D$22&amp;"'!GO_2043"),0)
+IF(AND(IFERROR(INDIRECT("'"&amp;$D$23&amp;"'!C9")&gt;1991,0),IFERROR(INDIRECT("'"&amp;$D$23&amp;"'!C9")&lt;2021,0)),INDIRECT("'"&amp;$D$23&amp;"'!GO_2043"),0)
+IF(AND(IFERROR(INDIRECT("'"&amp;$D$24&amp;"'!C9")&gt;1991,0),IFERROR(INDIRECT("'"&amp;$D$24&amp;"'!C9")&lt;2021,0)),INDIRECT("'"&amp;$D$24&amp;"'!GO_2043"),0)
+IF(AND(IFERROR(INDIRECT("'"&amp;$D$25&amp;"'!C9")&gt;1991,0),IFERROR(INDIRECT("'"&amp;$D$25&amp;"'!C9")&lt;2021,0)),INDIRECT("'"&amp;$D$25&amp;"'!GO_2043"),0)
+IF(AND(IFERROR(INDIRECT("'"&amp;$D$26&amp;"'!C9")&gt;1991,0),IFERROR(INDIRECT("'"&amp;$D$26&amp;"'!C9")&lt;2021,0)),INDIRECT("'"&amp;$D$26&amp;"'!GO_2043"),0)
+IF(AND(IFERROR(INDIRECT("'"&amp;$D$27&amp;"'!C9")&gt;1991,0),IFERROR(INDIRECT("'"&amp;$D$27&amp;"'!C9")&lt;2021,0)),INDIRECT("'"&amp;$D$27&amp;"'!GO_2043"),0)
+IF(AND(IFERROR(INDIRECT("'"&amp;$D$28&amp;"'!C9")&gt;1991,0),IFERROR(INDIRECT("'"&amp;$D$28&amp;"'!C9")&lt;2021,0)),INDIRECT("'"&amp;$D$28&amp;"'!GO_2043"),0)
+IF(AND(IFERROR(INDIRECT("'"&amp;$D$29&amp;"'!C9")&gt;1991,0),IFERROR(INDIRECT("'"&amp;$D$29&amp;"'!C9")&lt;2021,0)),INDIRECT("'"&amp;$D$29&amp;"'!GO_2043"),0)
+IF(AND(IFERROR(INDIRECT("'"&amp;$D$30&amp;"'!C9")&gt;1991,0),IFERROR(INDIRECT("'"&amp;$D$30&amp;"'!C9")&lt;2021,0)),INDIRECT("'"&amp;$D$30&amp;"'!GO_2043"),0)
+IF(AND(IFERROR(INDIRECT("'"&amp;$D$31&amp;"'!C9")&gt;1991,0),IFERROR(INDIRECT("'"&amp;$D$31&amp;"'!C9")&lt;2021,0)),INDIRECT("'"&amp;$D$31&amp;"'!GO_2043"),0)
+IF(AND(IFERROR(INDIRECT("'"&amp;$D$32&amp;"'!C9")&gt;1991,0),IFERROR(INDIRECT("'"&amp;$D$32&amp;"'!C9")&lt;2021,0)),INDIRECT("'"&amp;$D$32&amp;"'!GO_2043"),0)
+IF(AND(IFERROR(INDIRECT("'"&amp;$D$33&amp;"'!C9")&gt;1991,0),IFERROR(INDIRECT("'"&amp;$D$33&amp;"'!C9")&lt;2021,0)),INDIRECT("'"&amp;$D$33&amp;"'!GO_2043"),0)
+IF(AND(IFERROR(INDIRECT("'"&amp;$D$34&amp;"'!C9")&gt;1991,0),IFERROR(INDIRECT("'"&amp;$D$34&amp;"'!C9")&lt;2021,0)),INDIRECT("'"&amp;$D$34&amp;"'!GO_2043"),0)
+IF(AND(IFERROR(INDIRECT("'"&amp;$D$35&amp;"'!C9")&gt;1991,0),IFERROR(INDIRECT("'"&amp;$D$35&amp;"'!C9")&lt;2021,0)),INDIRECT("'"&amp;$D$35&amp;"'!GO_2043"),0)
+IF(AND(IFERROR(INDIRECT("'"&amp;$D$36&amp;"'!C9")&gt;1991,0),IFERROR(INDIRECT("'"&amp;$D$36&amp;"'!C9")&lt;2021,0)),INDIRECT("'"&amp;$D$36&amp;"'!GO_2043"),0)
+IF(AND(IFERROR(INDIRECT("'"&amp;$D$37&amp;"'!C9")&gt;1991,0),IFERROR(INDIRECT("'"&amp;$D$37&amp;"'!C9")&lt;2021,0)),INDIRECT("'"&amp;$D$37&amp;"'!GO_2043"),0)
+IF(AND(IFERROR(INDIRECT("'"&amp;$D$38&amp;"'!C9")&gt;1991,0),IFERROR(INDIRECT("'"&amp;$D$38&amp;"'!C9")&lt;2021,0)),INDIRECT("'"&amp;$D$38&amp;"'!GO_2043"),0)
+IF(AND(IFERROR(INDIRECT("'"&amp;$D$39&amp;"'!C9")&gt;1991,0),IFERROR(INDIRECT("'"&amp;$D$39&amp;"'!C9")&lt;2021,0)),INDIRECT("'"&amp;$D$39&amp;"'!GO_2043"),0)
+IF(AND(IFERROR(INDIRECT("'"&amp;$D$40&amp;"'!C9")&gt;1991,0),IFERROR(INDIRECT("'"&amp;$D$40&amp;"'!C9")&lt;2021,0)),INDIRECT("'"&amp;$D$40&amp;"'!GO_2043"),0)
+IF(AND(IFERROR(INDIRECT("'"&amp;$D$41&amp;"'!C9")&gt;1991,0),IFERROR(INDIRECT("'"&amp;$D$41&amp;"'!C9")&lt;2021,0)),INDIRECT("'"&amp;$D$41&amp;"'!GO_2043"),0)
+IF(AND(IFERROR(INDIRECT("'"&amp;$D$42&amp;"'!C9")&gt;1991,0),IFERROR(INDIRECT("'"&amp;$D$42&amp;"'!C9")&lt;2021,0)),INDIRECT("'"&amp;$D$42&amp;"'!GO_2043"),0)
+IF(AND(IFERROR(INDIRECT("'"&amp;$D$43&amp;"'!C9")&gt;1991,0),IFERROR(INDIRECT("'"&amp;$D$43&amp;"'!C9")&lt;2021,0)),INDIRECT("'"&amp;$D$43&amp;"'!GO_2043"),0)
+IF(AND(IFERROR(INDIRECT("'"&amp;$D$44&amp;"'!C9")&gt;1991,0),IFERROR(INDIRECT("'"&amp;$D$44&amp;"'!C9")&lt;2021,0)),INDIRECT("'"&amp;$D$44&amp;"'!GO_2043"),0)
+IF(AND(IFERROR(INDIRECT("'"&amp;$D$45&amp;"'!C9")&gt;1991,0),IFERROR(INDIRECT("'"&amp;$D$45&amp;"'!C9")&lt;2021,0)),INDIRECT("'"&amp;$D$45&amp;"'!GO_2043"),0)
+IF(AND(IFERROR(INDIRECT("'"&amp;$D$46&amp;"'!C9")&gt;1991,0),IFERROR(INDIRECT("'"&amp;$D$46&amp;"'!C9")&lt;2021,0)),INDIRECT("'"&amp;$D$46&amp;"'!GO_2043"),0)
+IF(AND(IFERROR(INDIRECT("'"&amp;$D$47&amp;"'!C9")&gt;1991,0),IFERROR(INDIRECT("'"&amp;$D$47&amp;"'!C9")&lt;2021,0)),INDIRECT("'"&amp;$D$47&amp;"'!GO_2043"),0)
+IF(AND(IFERROR(INDIRECT("'"&amp;$D$48&amp;"'!C9")&gt;1991,0),IFERROR(INDIRECT("'"&amp;$D$48&amp;"'!C9")&lt;2021,0)),INDIRECT("'"&amp;$D$48&amp;"'!GO_2043"),0)
+IF(AND(IFERROR(INDIRECT("'"&amp;$D$49&amp;"'!C9")&gt;1991,0),IFERROR(INDIRECT("'"&amp;$D$49&amp;"'!C9")&lt;2021,0)),INDIRECT("'"&amp;$D$49&amp;"'!GO_2043"),0)
+IF(AND(IFERROR(INDIRECT("'"&amp;$D$50&amp;"'!C9")&gt;1991,0),IFERROR(INDIRECT("'"&amp;$D$50&amp;"'!C9")&lt;2021,0)),INDIRECT("'"&amp;$D$50&amp;"'!GO_2043"),0)
+IF(AND(IFERROR(INDIRECT("'"&amp;$D$51&amp;"'!C9")&gt;1991,0),IFERROR(INDIRECT("'"&amp;$D$51&amp;"'!C9")&lt;2021,0)),INDIRECT("'"&amp;$D$51&amp;"'!GO_2043"),0)
+IF(AND(IFERROR(INDIRECT("'"&amp;$D$52&amp;"'!C9")&gt;1991,0),IFERROR(INDIRECT("'"&amp;$D$52&amp;"'!C9")&lt;2021,0)),INDIRECT("'"&amp;$D$52&amp;"'!GO_2043"),0)
+IF(AND(IFERROR(INDIRECT("'"&amp;$D$53&amp;"'!C9")&gt;1991,0),IFERROR(INDIRECT("'"&amp;$D$53&amp;"'!C9")&lt;2021,0)),INDIRECT("'"&amp;$D$53&amp;"'!GO_2043"),0)
+IF(AND(IFERROR(INDIRECT("'"&amp;$D$54&amp;"'!C9")&gt;1991,0),IFERROR(INDIRECT("'"&amp;$D$54&amp;"'!C9")&lt;2021,0)),INDIRECT("'"&amp;$D$54&amp;"'!GO_2043"),0)</f>
        <v>0</v>
      </c>
      <c r="AH27" s="321">
        <f ca="1">IF(AND(IFERROR(INDIRECT("'"&amp;$D$5&amp;"'!C9")&gt;1991,0),IFERROR(INDIRECT("'"&amp;$D$5&amp;"'!C9")&lt;2021,0)),INDIRECT("'"&amp;$D$5&amp;"'!GO_2044"),0)
+IF(AND(IFERROR(INDIRECT("'"&amp;$D$6&amp;"'!C9")&gt;1991,0),IFERROR(INDIRECT("'"&amp;$D$6&amp;"'!C9")&lt;2021,0)),INDIRECT("'"&amp;$D$6&amp;"'!GO_2044"),0)
+IF(AND(IFERROR(INDIRECT("'"&amp;$D$7&amp;"'!C9")&gt;1991,0),IFERROR(INDIRECT("'"&amp;$D$7&amp;"'!C9")&lt;2021,0)),INDIRECT("'"&amp;$D$7&amp;"'!GO_2044"),0)
+IF(AND(IFERROR(INDIRECT("'"&amp;$D$8&amp;"'!C9")&gt;1991,0),IFERROR(INDIRECT("'"&amp;$D$8&amp;"'!C9")&lt;2021,0)),INDIRECT("'"&amp;$D$8&amp;"'!GO_2044"),0)
+IF(AND(IFERROR(INDIRECT("'"&amp;$D$9&amp;"'!C9")&gt;1991,0),IFERROR(INDIRECT("'"&amp;$D$9&amp;"'!C9")&lt;2021,0)),INDIRECT("'"&amp;$D$9&amp;"'!GO_2044"),0)
+IF(AND(IFERROR(INDIRECT("'"&amp;$D$10&amp;"'!C9")&gt;1991,0),IFERROR(INDIRECT("'"&amp;$D$10&amp;"'!C9")&lt;2021,0)),INDIRECT("'"&amp;$D$10&amp;"'!GO_2044"),0)
+IF(AND(IFERROR(INDIRECT("'"&amp;$D$11&amp;"'!C9")&gt;1991,0),IFERROR(INDIRECT("'"&amp;$D$11&amp;"'!C9")&lt;2021,0)),INDIRECT("'"&amp;$D$11&amp;"'!GO_2044"),0)
+IF(AND(IFERROR(INDIRECT("'"&amp;$D$12&amp;"'!C9")&gt;1991,0),IFERROR(INDIRECT("'"&amp;$D$12&amp;"'!C9")&lt;2021,0)),INDIRECT("'"&amp;$D$12&amp;"'!GO_2044"),0)
+IF(AND(IFERROR(INDIRECT("'"&amp;$D$13&amp;"'!C9")&gt;1991,0),IFERROR(INDIRECT("'"&amp;$D$13&amp;"'!C9")&lt;2021,0)),INDIRECT("'"&amp;$D$13&amp;"'!GO_2044"),0)
+IF(AND(IFERROR(INDIRECT("'"&amp;$D$14&amp;"'!C9")&gt;1991,0),IFERROR(INDIRECT("'"&amp;$D$14&amp;"'!C9")&lt;2021,0)),INDIRECT("'"&amp;$D$14&amp;"'!GO_2044"),0)
+IF(AND(IFERROR(INDIRECT("'"&amp;$D$15&amp;"'!C9")&gt;1991,0),IFERROR(INDIRECT("'"&amp;$D$15&amp;"'!C9")&lt;2021,0)),INDIRECT("'"&amp;$D$15&amp;"'!GO_2044"),0)
+IF(AND(IFERROR(INDIRECT("'"&amp;$D$16&amp;"'!C9")&gt;1991,0),IFERROR(INDIRECT("'"&amp;$D$16&amp;"'!C9")&lt;2021,0)),INDIRECT("'"&amp;$D$16&amp;"'!GO_2044"),0)
+IF(AND(IFERROR(INDIRECT("'"&amp;$D$17&amp;"'!C9")&gt;1991,0),IFERROR(INDIRECT("'"&amp;$D$17&amp;"'!C9")&lt;2021,0)),INDIRECT("'"&amp;$D$17&amp;"'!GO_2044"),0)
+IF(AND(IFERROR(INDIRECT("'"&amp;$D$18&amp;"'!C9")&gt;1991,0),IFERROR(INDIRECT("'"&amp;$D$18&amp;"'!C9")&lt;2021,0)),INDIRECT("'"&amp;$D$18&amp;"'!GO_2044"),0)
+IF(AND(IFERROR(INDIRECT("'"&amp;$D$19&amp;"'!C9")&gt;1991,0),IFERROR(INDIRECT("'"&amp;$D$19&amp;"'!C9")&lt;2021,0)),INDIRECT("'"&amp;$D$19&amp;"'!GO_2044"),0)
+IF(AND(IFERROR(INDIRECT("'"&amp;$D$20&amp;"'!C9")&gt;1991,0),IFERROR(INDIRECT("'"&amp;$D$20&amp;"'!C9")&lt;2021,0)),INDIRECT("'"&amp;$D$20&amp;"'!GO_2044"),0)
+IF(AND(IFERROR(INDIRECT("'"&amp;$D$21&amp;"'!C9")&gt;1991,0),IFERROR(INDIRECT("'"&amp;$D$21&amp;"'!C9")&lt;2021,0)),INDIRECT("'"&amp;$D$21&amp;"'!GO_2044"),0)
+IF(AND(IFERROR(INDIRECT("'"&amp;$D$22&amp;"'!C9")&gt;1991,0),IFERROR(INDIRECT("'"&amp;$D$22&amp;"'!C9")&lt;2021,0)),INDIRECT("'"&amp;$D$22&amp;"'!GO_2044"),0)
+IF(AND(IFERROR(INDIRECT("'"&amp;$D$23&amp;"'!C9")&gt;1991,0),IFERROR(INDIRECT("'"&amp;$D$23&amp;"'!C9")&lt;2021,0)),INDIRECT("'"&amp;$D$23&amp;"'!GO_2044"),0)
+IF(AND(IFERROR(INDIRECT("'"&amp;$D$24&amp;"'!C9")&gt;1991,0),IFERROR(INDIRECT("'"&amp;$D$24&amp;"'!C9")&lt;2021,0)),INDIRECT("'"&amp;$D$24&amp;"'!GO_2044"),0)
+IF(AND(IFERROR(INDIRECT("'"&amp;$D$25&amp;"'!C9")&gt;1991,0),IFERROR(INDIRECT("'"&amp;$D$25&amp;"'!C9")&lt;2021,0)),INDIRECT("'"&amp;$D$25&amp;"'!GO_2044"),0)
+IF(AND(IFERROR(INDIRECT("'"&amp;$D$26&amp;"'!C9")&gt;1991,0),IFERROR(INDIRECT("'"&amp;$D$26&amp;"'!C9")&lt;2021,0)),INDIRECT("'"&amp;$D$26&amp;"'!GO_2044"),0)
+IF(AND(IFERROR(INDIRECT("'"&amp;$D$27&amp;"'!C9")&gt;1991,0),IFERROR(INDIRECT("'"&amp;$D$27&amp;"'!C9")&lt;2021,0)),INDIRECT("'"&amp;$D$27&amp;"'!GO_2044"),0)
+IF(AND(IFERROR(INDIRECT("'"&amp;$D$28&amp;"'!C9")&gt;1991,0),IFERROR(INDIRECT("'"&amp;$D$28&amp;"'!C9")&lt;2021,0)),INDIRECT("'"&amp;$D$28&amp;"'!GO_2044"),0)
+IF(AND(IFERROR(INDIRECT("'"&amp;$D$29&amp;"'!C9")&gt;1991,0),IFERROR(INDIRECT("'"&amp;$D$29&amp;"'!C9")&lt;2021,0)),INDIRECT("'"&amp;$D$29&amp;"'!GO_2044"),0)
+IF(AND(IFERROR(INDIRECT("'"&amp;$D$30&amp;"'!C9")&gt;1991,0),IFERROR(INDIRECT("'"&amp;$D$30&amp;"'!C9")&lt;2021,0)),INDIRECT("'"&amp;$D$30&amp;"'!GO_2044"),0)
+IF(AND(IFERROR(INDIRECT("'"&amp;$D$31&amp;"'!C9")&gt;1991,0),IFERROR(INDIRECT("'"&amp;$D$31&amp;"'!C9")&lt;2021,0)),INDIRECT("'"&amp;$D$31&amp;"'!GO_2044"),0)
+IF(AND(IFERROR(INDIRECT("'"&amp;$D$32&amp;"'!C9")&gt;1991,0),IFERROR(INDIRECT("'"&amp;$D$32&amp;"'!C9")&lt;2021,0)),INDIRECT("'"&amp;$D$32&amp;"'!GO_2044"),0)
+IF(AND(IFERROR(INDIRECT("'"&amp;$D$33&amp;"'!C9")&gt;1991,0),IFERROR(INDIRECT("'"&amp;$D$33&amp;"'!C9")&lt;2021,0)),INDIRECT("'"&amp;$D$33&amp;"'!GO_2044"),0)
+IF(AND(IFERROR(INDIRECT("'"&amp;$D$34&amp;"'!C9")&gt;1991,0),IFERROR(INDIRECT("'"&amp;$D$34&amp;"'!C9")&lt;2021,0)),INDIRECT("'"&amp;$D$34&amp;"'!GO_2044"),0)
+IF(AND(IFERROR(INDIRECT("'"&amp;$D$35&amp;"'!C9")&gt;1991,0),IFERROR(INDIRECT("'"&amp;$D$35&amp;"'!C9")&lt;2021,0)),INDIRECT("'"&amp;$D$35&amp;"'!GO_2044"),0)
+IF(AND(IFERROR(INDIRECT("'"&amp;$D$36&amp;"'!C9")&gt;1991,0),IFERROR(INDIRECT("'"&amp;$D$36&amp;"'!C9")&lt;2021,0)),INDIRECT("'"&amp;$D$36&amp;"'!GO_2044"),0)
+IF(AND(IFERROR(INDIRECT("'"&amp;$D$37&amp;"'!C9")&gt;1991,0),IFERROR(INDIRECT("'"&amp;$D$37&amp;"'!C9")&lt;2021,0)),INDIRECT("'"&amp;$D$37&amp;"'!GO_2044"),0)
+IF(AND(IFERROR(INDIRECT("'"&amp;$D$38&amp;"'!C9")&gt;1991,0),IFERROR(INDIRECT("'"&amp;$D$38&amp;"'!C9")&lt;2021,0)),INDIRECT("'"&amp;$D$38&amp;"'!GO_2044"),0)
+IF(AND(IFERROR(INDIRECT("'"&amp;$D$39&amp;"'!C9")&gt;1991,0),IFERROR(INDIRECT("'"&amp;$D$39&amp;"'!C9")&lt;2021,0)),INDIRECT("'"&amp;$D$39&amp;"'!GO_2044"),0)
+IF(AND(IFERROR(INDIRECT("'"&amp;$D$40&amp;"'!C9")&gt;1991,0),IFERROR(INDIRECT("'"&amp;$D$40&amp;"'!C9")&lt;2021,0)),INDIRECT("'"&amp;$D$40&amp;"'!GO_2044"),0)
+IF(AND(IFERROR(INDIRECT("'"&amp;$D$41&amp;"'!C9")&gt;1991,0),IFERROR(INDIRECT("'"&amp;$D$41&amp;"'!C9")&lt;2021,0)),INDIRECT("'"&amp;$D$41&amp;"'!GO_2044"),0)
+IF(AND(IFERROR(INDIRECT("'"&amp;$D$42&amp;"'!C9")&gt;1991,0),IFERROR(INDIRECT("'"&amp;$D$42&amp;"'!C9")&lt;2021,0)),INDIRECT("'"&amp;$D$42&amp;"'!GO_2044"),0)
+IF(AND(IFERROR(INDIRECT("'"&amp;$D$43&amp;"'!C9")&gt;1991,0),IFERROR(INDIRECT("'"&amp;$D$43&amp;"'!C9")&lt;2021,0)),INDIRECT("'"&amp;$D$43&amp;"'!GO_2044"),0)
+IF(AND(IFERROR(INDIRECT("'"&amp;$D$44&amp;"'!C9")&gt;1991,0),IFERROR(INDIRECT("'"&amp;$D$44&amp;"'!C9")&lt;2021,0)),INDIRECT("'"&amp;$D$44&amp;"'!GO_2044"),0)
+IF(AND(IFERROR(INDIRECT("'"&amp;$D$45&amp;"'!C9")&gt;1991,0),IFERROR(INDIRECT("'"&amp;$D$45&amp;"'!C9")&lt;2021,0)),INDIRECT("'"&amp;$D$45&amp;"'!GO_2044"),0)
+IF(AND(IFERROR(INDIRECT("'"&amp;$D$46&amp;"'!C9")&gt;1991,0),IFERROR(INDIRECT("'"&amp;$D$46&amp;"'!C9")&lt;2021,0)),INDIRECT("'"&amp;$D$46&amp;"'!GO_2044"),0)
+IF(AND(IFERROR(INDIRECT("'"&amp;$D$47&amp;"'!C9")&gt;1991,0),IFERROR(INDIRECT("'"&amp;$D$47&amp;"'!C9")&lt;2021,0)),INDIRECT("'"&amp;$D$47&amp;"'!GO_2044"),0)
+IF(AND(IFERROR(INDIRECT("'"&amp;$D$48&amp;"'!C9")&gt;1991,0),IFERROR(INDIRECT("'"&amp;$D$48&amp;"'!C9")&lt;2021,0)),INDIRECT("'"&amp;$D$48&amp;"'!GO_2044"),0)
+IF(AND(IFERROR(INDIRECT("'"&amp;$D$49&amp;"'!C9")&gt;1991,0),IFERROR(INDIRECT("'"&amp;$D$49&amp;"'!C9")&lt;2021,0)),INDIRECT("'"&amp;$D$49&amp;"'!GO_2044"),0)
+IF(AND(IFERROR(INDIRECT("'"&amp;$D$50&amp;"'!C9")&gt;1991,0),IFERROR(INDIRECT("'"&amp;$D$50&amp;"'!C9")&lt;2021,0)),INDIRECT("'"&amp;$D$50&amp;"'!GO_2044"),0)
+IF(AND(IFERROR(INDIRECT("'"&amp;$D$51&amp;"'!C9")&gt;1991,0),IFERROR(INDIRECT("'"&amp;$D$51&amp;"'!C9")&lt;2021,0)),INDIRECT("'"&amp;$D$51&amp;"'!GO_2044"),0)
+IF(AND(IFERROR(INDIRECT("'"&amp;$D$52&amp;"'!C9")&gt;1991,0),IFERROR(INDIRECT("'"&amp;$D$52&amp;"'!C9")&lt;2021,0)),INDIRECT("'"&amp;$D$52&amp;"'!GO_2044"),0)
+IF(AND(IFERROR(INDIRECT("'"&amp;$D$53&amp;"'!C9")&gt;1991,0),IFERROR(INDIRECT("'"&amp;$D$53&amp;"'!C9")&lt;2021,0)),INDIRECT("'"&amp;$D$53&amp;"'!GO_2044"),0)
+IF(AND(IFERROR(INDIRECT("'"&amp;$D$54&amp;"'!C9")&gt;1991,0),IFERROR(INDIRECT("'"&amp;$D$54&amp;"'!C9")&lt;2021,0)),INDIRECT("'"&amp;$D$54&amp;"'!GO_2044"),0)</f>
        <v>0</v>
      </c>
      <c r="AI27" s="321">
        <f ca="1">IF(AND(IFERROR(INDIRECT("'"&amp;$D$5&amp;"'!C9")&gt;1991,0),IFERROR(INDIRECT("'"&amp;$D$5&amp;"'!C9")&lt;2021,0)),INDIRECT("'"&amp;$D$5&amp;"'!GO_2045"),0)
+IF(AND(IFERROR(INDIRECT("'"&amp;$D$6&amp;"'!C9")&gt;1991,0),IFERROR(INDIRECT("'"&amp;$D$6&amp;"'!C9")&lt;2021,0)),INDIRECT("'"&amp;$D$6&amp;"'!GO_2045"),0)
+IF(AND(IFERROR(INDIRECT("'"&amp;$D$7&amp;"'!C9")&gt;1991,0),IFERROR(INDIRECT("'"&amp;$D$7&amp;"'!C9")&lt;2021,0)),INDIRECT("'"&amp;$D$7&amp;"'!GO_2045"),0)
+IF(AND(IFERROR(INDIRECT("'"&amp;$D$8&amp;"'!C9")&gt;1991,0),IFERROR(INDIRECT("'"&amp;$D$8&amp;"'!C9")&lt;2021,0)),INDIRECT("'"&amp;$D$8&amp;"'!GO_2045"),0)
+IF(AND(IFERROR(INDIRECT("'"&amp;$D$9&amp;"'!C9")&gt;1991,0),IFERROR(INDIRECT("'"&amp;$D$9&amp;"'!C9")&lt;2021,0)),INDIRECT("'"&amp;$D$9&amp;"'!GO_2045"),0)
+IF(AND(IFERROR(INDIRECT("'"&amp;$D$10&amp;"'!C9")&gt;1991,0),IFERROR(INDIRECT("'"&amp;$D$10&amp;"'!C9")&lt;2021,0)),INDIRECT("'"&amp;$D$10&amp;"'!GO_2045"),0)
+IF(AND(IFERROR(INDIRECT("'"&amp;$D$11&amp;"'!C9")&gt;1991,0),IFERROR(INDIRECT("'"&amp;$D$11&amp;"'!C9")&lt;2021,0)),INDIRECT("'"&amp;$D$11&amp;"'!GO_2045"),0)
+IF(AND(IFERROR(INDIRECT("'"&amp;$D$12&amp;"'!C9")&gt;1991,0),IFERROR(INDIRECT("'"&amp;$D$12&amp;"'!C9")&lt;2021,0)),INDIRECT("'"&amp;$D$12&amp;"'!GO_2045"),0)
+IF(AND(IFERROR(INDIRECT("'"&amp;$D$13&amp;"'!C9")&gt;1991,0),IFERROR(INDIRECT("'"&amp;$D$13&amp;"'!C9")&lt;2021,0)),INDIRECT("'"&amp;$D$13&amp;"'!GO_2045"),0)
+IF(AND(IFERROR(INDIRECT("'"&amp;$D$14&amp;"'!C9")&gt;1991,0),IFERROR(INDIRECT("'"&amp;$D$14&amp;"'!C9")&lt;2021,0)),INDIRECT("'"&amp;$D$14&amp;"'!GO_2045"),0)
+IF(AND(IFERROR(INDIRECT("'"&amp;$D$15&amp;"'!C9")&gt;1991,0),IFERROR(INDIRECT("'"&amp;$D$15&amp;"'!C9")&lt;2021,0)),INDIRECT("'"&amp;$D$15&amp;"'!GO_2045"),0)
+IF(AND(IFERROR(INDIRECT("'"&amp;$D$16&amp;"'!C9")&gt;1991,0),IFERROR(INDIRECT("'"&amp;$D$16&amp;"'!C9")&lt;2021,0)),INDIRECT("'"&amp;$D$16&amp;"'!GO_2045"),0)
+IF(AND(IFERROR(INDIRECT("'"&amp;$D$17&amp;"'!C9")&gt;1991,0),IFERROR(INDIRECT("'"&amp;$D$17&amp;"'!C9")&lt;2021,0)),INDIRECT("'"&amp;$D$17&amp;"'!GO_2045"),0)
+IF(AND(IFERROR(INDIRECT("'"&amp;$D$18&amp;"'!C9")&gt;1991,0),IFERROR(INDIRECT("'"&amp;$D$18&amp;"'!C9")&lt;2021,0)),INDIRECT("'"&amp;$D$18&amp;"'!GO_2045"),0)
+IF(AND(IFERROR(INDIRECT("'"&amp;$D$19&amp;"'!C9")&gt;1991,0),IFERROR(INDIRECT("'"&amp;$D$19&amp;"'!C9")&lt;2021,0)),INDIRECT("'"&amp;$D$19&amp;"'!GO_2045"),0)
+IF(AND(IFERROR(INDIRECT("'"&amp;$D$20&amp;"'!C9")&gt;1991,0),IFERROR(INDIRECT("'"&amp;$D$20&amp;"'!C9")&lt;2021,0)),INDIRECT("'"&amp;$D$20&amp;"'!GO_2045"),0)
+IF(AND(IFERROR(INDIRECT("'"&amp;$D$21&amp;"'!C9")&gt;1991,0),IFERROR(INDIRECT("'"&amp;$D$21&amp;"'!C9")&lt;2021,0)),INDIRECT("'"&amp;$D$21&amp;"'!GO_2045"),0)
+IF(AND(IFERROR(INDIRECT("'"&amp;$D$22&amp;"'!C9")&gt;1991,0),IFERROR(INDIRECT("'"&amp;$D$22&amp;"'!C9")&lt;2021,0)),INDIRECT("'"&amp;$D$22&amp;"'!GO_2045"),0)
+IF(AND(IFERROR(INDIRECT("'"&amp;$D$23&amp;"'!C9")&gt;1991,0),IFERROR(INDIRECT("'"&amp;$D$23&amp;"'!C9")&lt;2021,0)),INDIRECT("'"&amp;$D$23&amp;"'!GO_2045"),0)
+IF(AND(IFERROR(INDIRECT("'"&amp;$D$24&amp;"'!C9")&gt;1991,0),IFERROR(INDIRECT("'"&amp;$D$24&amp;"'!C9")&lt;2021,0)),INDIRECT("'"&amp;$D$24&amp;"'!GO_2045"),0)
+IF(AND(IFERROR(INDIRECT("'"&amp;$D$25&amp;"'!C9")&gt;1991,0),IFERROR(INDIRECT("'"&amp;$D$25&amp;"'!C9")&lt;2021,0)),INDIRECT("'"&amp;$D$25&amp;"'!GO_2045"),0)
+IF(AND(IFERROR(INDIRECT("'"&amp;$D$26&amp;"'!C9")&gt;1991,0),IFERROR(INDIRECT("'"&amp;$D$26&amp;"'!C9")&lt;2021,0)),INDIRECT("'"&amp;$D$26&amp;"'!GO_2045"),0)
+IF(AND(IFERROR(INDIRECT("'"&amp;$D$27&amp;"'!C9")&gt;1991,0),IFERROR(INDIRECT("'"&amp;$D$27&amp;"'!C9")&lt;2021,0)),INDIRECT("'"&amp;$D$27&amp;"'!GO_2045"),0)
+IF(AND(IFERROR(INDIRECT("'"&amp;$D$28&amp;"'!C9")&gt;1991,0),IFERROR(INDIRECT("'"&amp;$D$28&amp;"'!C9")&lt;2021,0)),INDIRECT("'"&amp;$D$28&amp;"'!GO_2045"),0)
+IF(AND(IFERROR(INDIRECT("'"&amp;$D$29&amp;"'!C9")&gt;1991,0),IFERROR(INDIRECT("'"&amp;$D$29&amp;"'!C9")&lt;2021,0)),INDIRECT("'"&amp;$D$29&amp;"'!GO_2045"),0)
+IF(AND(IFERROR(INDIRECT("'"&amp;$D$30&amp;"'!C9")&gt;1991,0),IFERROR(INDIRECT("'"&amp;$D$30&amp;"'!C9")&lt;2021,0)),INDIRECT("'"&amp;$D$30&amp;"'!GO_2045"),0)
+IF(AND(IFERROR(INDIRECT("'"&amp;$D$31&amp;"'!C9")&gt;1991,0),IFERROR(INDIRECT("'"&amp;$D$31&amp;"'!C9")&lt;2021,0)),INDIRECT("'"&amp;$D$31&amp;"'!GO_2045"),0)
+IF(AND(IFERROR(INDIRECT("'"&amp;$D$32&amp;"'!C9")&gt;1991,0),IFERROR(INDIRECT("'"&amp;$D$32&amp;"'!C9")&lt;2021,0)),INDIRECT("'"&amp;$D$32&amp;"'!GO_2045"),0)
+IF(AND(IFERROR(INDIRECT("'"&amp;$D$33&amp;"'!C9")&gt;1991,0),IFERROR(INDIRECT("'"&amp;$D$33&amp;"'!C9")&lt;2021,0)),INDIRECT("'"&amp;$D$33&amp;"'!GO_2045"),0)
+IF(AND(IFERROR(INDIRECT("'"&amp;$D$34&amp;"'!C9")&gt;1991,0),IFERROR(INDIRECT("'"&amp;$D$34&amp;"'!C9")&lt;2021,0)),INDIRECT("'"&amp;$D$34&amp;"'!GO_2045"),0)
+IF(AND(IFERROR(INDIRECT("'"&amp;$D$35&amp;"'!C9")&gt;1991,0),IFERROR(INDIRECT("'"&amp;$D$35&amp;"'!C9")&lt;2021,0)),INDIRECT("'"&amp;$D$35&amp;"'!GO_2045"),0)
+IF(AND(IFERROR(INDIRECT("'"&amp;$D$36&amp;"'!C9")&gt;1991,0),IFERROR(INDIRECT("'"&amp;$D$36&amp;"'!C9")&lt;2021,0)),INDIRECT("'"&amp;$D$36&amp;"'!GO_2045"),0)
+IF(AND(IFERROR(INDIRECT("'"&amp;$D$37&amp;"'!C9")&gt;1991,0),IFERROR(INDIRECT("'"&amp;$D$37&amp;"'!C9")&lt;2021,0)),INDIRECT("'"&amp;$D$37&amp;"'!GO_2045"),0)
+IF(AND(IFERROR(INDIRECT("'"&amp;$D$38&amp;"'!C9")&gt;1991,0),IFERROR(INDIRECT("'"&amp;$D$38&amp;"'!C9")&lt;2021,0)),INDIRECT("'"&amp;$D$38&amp;"'!GO_2045"),0)
+IF(AND(IFERROR(INDIRECT("'"&amp;$D$39&amp;"'!C9")&gt;1991,0),IFERROR(INDIRECT("'"&amp;$D$39&amp;"'!C9")&lt;2021,0)),INDIRECT("'"&amp;$D$39&amp;"'!GO_2045"),0)
+IF(AND(IFERROR(INDIRECT("'"&amp;$D$40&amp;"'!C9")&gt;1991,0),IFERROR(INDIRECT("'"&amp;$D$40&amp;"'!C9")&lt;2021,0)),INDIRECT("'"&amp;$D$40&amp;"'!GO_2045"),0)
+IF(AND(IFERROR(INDIRECT("'"&amp;$D$41&amp;"'!C9")&gt;1991,0),IFERROR(INDIRECT("'"&amp;$D$41&amp;"'!C9")&lt;2021,0)),INDIRECT("'"&amp;$D$41&amp;"'!GO_2045"),0)
+IF(AND(IFERROR(INDIRECT("'"&amp;$D$42&amp;"'!C9")&gt;1991,0),IFERROR(INDIRECT("'"&amp;$D$42&amp;"'!C9")&lt;2021,0)),INDIRECT("'"&amp;$D$42&amp;"'!GO_2045"),0)
+IF(AND(IFERROR(INDIRECT("'"&amp;$D$43&amp;"'!C9")&gt;1991,0),IFERROR(INDIRECT("'"&amp;$D$43&amp;"'!C9")&lt;2021,0)),INDIRECT("'"&amp;$D$43&amp;"'!GO_2045"),0)
+IF(AND(IFERROR(INDIRECT("'"&amp;$D$44&amp;"'!C9")&gt;1991,0),IFERROR(INDIRECT("'"&amp;$D$44&amp;"'!C9")&lt;2021,0)),INDIRECT("'"&amp;$D$44&amp;"'!GO_2045"),0)
+IF(AND(IFERROR(INDIRECT("'"&amp;$D$45&amp;"'!C9")&gt;1991,0),IFERROR(INDIRECT("'"&amp;$D$45&amp;"'!C9")&lt;2021,0)),INDIRECT("'"&amp;$D$45&amp;"'!GO_2045"),0)
+IF(AND(IFERROR(INDIRECT("'"&amp;$D$46&amp;"'!C9")&gt;1991,0),IFERROR(INDIRECT("'"&amp;$D$46&amp;"'!C9")&lt;2021,0)),INDIRECT("'"&amp;$D$46&amp;"'!GO_2045"),0)
+IF(AND(IFERROR(INDIRECT("'"&amp;$D$47&amp;"'!C9")&gt;1991,0),IFERROR(INDIRECT("'"&amp;$D$47&amp;"'!C9")&lt;2021,0)),INDIRECT("'"&amp;$D$47&amp;"'!GO_2045"),0)
+IF(AND(IFERROR(INDIRECT("'"&amp;$D$48&amp;"'!C9")&gt;1991,0),IFERROR(INDIRECT("'"&amp;$D$48&amp;"'!C9")&lt;2021,0)),INDIRECT("'"&amp;$D$48&amp;"'!GO_2045"),0)
+IF(AND(IFERROR(INDIRECT("'"&amp;$D$49&amp;"'!C9")&gt;1991,0),IFERROR(INDIRECT("'"&amp;$D$49&amp;"'!C9")&lt;2021,0)),INDIRECT("'"&amp;$D$49&amp;"'!GO_2045"),0)
+IF(AND(IFERROR(INDIRECT("'"&amp;$D$50&amp;"'!C9")&gt;1991,0),IFERROR(INDIRECT("'"&amp;$D$50&amp;"'!C9")&lt;2021,0)),INDIRECT("'"&amp;$D$50&amp;"'!GO_2045"),0)
+IF(AND(IFERROR(INDIRECT("'"&amp;$D$51&amp;"'!C9")&gt;1991,0),IFERROR(INDIRECT("'"&amp;$D$51&amp;"'!C9")&lt;2021,0)),INDIRECT("'"&amp;$D$51&amp;"'!GO_2045"),0)
+IF(AND(IFERROR(INDIRECT("'"&amp;$D$52&amp;"'!C9")&gt;1991,0),IFERROR(INDIRECT("'"&amp;$D$52&amp;"'!C9")&lt;2021,0)),INDIRECT("'"&amp;$D$52&amp;"'!GO_2045"),0)
+IF(AND(IFERROR(INDIRECT("'"&amp;$D$53&amp;"'!C9")&gt;1991,0),IFERROR(INDIRECT("'"&amp;$D$53&amp;"'!C9")&lt;2021,0)),INDIRECT("'"&amp;$D$53&amp;"'!GO_2045"),0)
+IF(AND(IFERROR(INDIRECT("'"&amp;$D$54&amp;"'!C9")&gt;1991,0),IFERROR(INDIRECT("'"&amp;$D$54&amp;"'!C9")&lt;2021,0)),INDIRECT("'"&amp;$D$54&amp;"'!GO_2045"),0)</f>
        <v>0</v>
      </c>
      <c r="AJ27" s="321">
        <f ca="1">IF(AND(IFERROR(INDIRECT("'"&amp;$D$5&amp;"'!C9")&gt;1991,0),IFERROR(INDIRECT("'"&amp;$D$5&amp;"'!C9")&lt;2021,0)),INDIRECT("'"&amp;$D$5&amp;"'!GO_2046"),0)
+IF(AND(IFERROR(INDIRECT("'"&amp;$D$6&amp;"'!C9")&gt;1991,0),IFERROR(INDIRECT("'"&amp;$D$6&amp;"'!C9")&lt;2021,0)),INDIRECT("'"&amp;$D$6&amp;"'!GO_2046"),0)
+IF(AND(IFERROR(INDIRECT("'"&amp;$D$7&amp;"'!C9")&gt;1991,0),IFERROR(INDIRECT("'"&amp;$D$7&amp;"'!C9")&lt;2021,0)),INDIRECT("'"&amp;$D$7&amp;"'!GO_2046"),0)
+IF(AND(IFERROR(INDIRECT("'"&amp;$D$8&amp;"'!C9")&gt;1991,0),IFERROR(INDIRECT("'"&amp;$D$8&amp;"'!C9")&lt;2021,0)),INDIRECT("'"&amp;$D$8&amp;"'!GO_2046"),0)
+IF(AND(IFERROR(INDIRECT("'"&amp;$D$9&amp;"'!C9")&gt;1991,0),IFERROR(INDIRECT("'"&amp;$D$9&amp;"'!C9")&lt;2021,0)),INDIRECT("'"&amp;$D$9&amp;"'!GO_2046"),0)
+IF(AND(IFERROR(INDIRECT("'"&amp;$D$10&amp;"'!C9")&gt;1991,0),IFERROR(INDIRECT("'"&amp;$D$10&amp;"'!C9")&lt;2021,0)),INDIRECT("'"&amp;$D$10&amp;"'!GO_2046"),0)
+IF(AND(IFERROR(INDIRECT("'"&amp;$D$11&amp;"'!C9")&gt;1991,0),IFERROR(INDIRECT("'"&amp;$D$11&amp;"'!C9")&lt;2021,0)),INDIRECT("'"&amp;$D$11&amp;"'!GO_2046"),0)
+IF(AND(IFERROR(INDIRECT("'"&amp;$D$12&amp;"'!C9")&gt;1991,0),IFERROR(INDIRECT("'"&amp;$D$12&amp;"'!C9")&lt;2021,0)),INDIRECT("'"&amp;$D$12&amp;"'!GO_2046"),0)
+IF(AND(IFERROR(INDIRECT("'"&amp;$D$13&amp;"'!C9")&gt;1991,0),IFERROR(INDIRECT("'"&amp;$D$13&amp;"'!C9")&lt;2021,0)),INDIRECT("'"&amp;$D$13&amp;"'!GO_2046"),0)
+IF(AND(IFERROR(INDIRECT("'"&amp;$D$14&amp;"'!C9")&gt;1991,0),IFERROR(INDIRECT("'"&amp;$D$14&amp;"'!C9")&lt;2021,0)),INDIRECT("'"&amp;$D$14&amp;"'!GO_2046"),0)
+IF(AND(IFERROR(INDIRECT("'"&amp;$D$15&amp;"'!C9")&gt;1991,0),IFERROR(INDIRECT("'"&amp;$D$15&amp;"'!C9")&lt;2021,0)),INDIRECT("'"&amp;$D$15&amp;"'!GO_2046"),0)
+IF(AND(IFERROR(INDIRECT("'"&amp;$D$16&amp;"'!C9")&gt;1991,0),IFERROR(INDIRECT("'"&amp;$D$16&amp;"'!C9")&lt;2021,0)),INDIRECT("'"&amp;$D$16&amp;"'!GO_2046"),0)
+IF(AND(IFERROR(INDIRECT("'"&amp;$D$17&amp;"'!C9")&gt;1991,0),IFERROR(INDIRECT("'"&amp;$D$17&amp;"'!C9")&lt;2021,0)),INDIRECT("'"&amp;$D$17&amp;"'!GO_2046"),0)
+IF(AND(IFERROR(INDIRECT("'"&amp;$D$18&amp;"'!C9")&gt;1991,0),IFERROR(INDIRECT("'"&amp;$D$18&amp;"'!C9")&lt;2021,0)),INDIRECT("'"&amp;$D$18&amp;"'!GO_2046"),0)
+IF(AND(IFERROR(INDIRECT("'"&amp;$D$19&amp;"'!C9")&gt;1991,0),IFERROR(INDIRECT("'"&amp;$D$19&amp;"'!C9")&lt;2021,0)),INDIRECT("'"&amp;$D$19&amp;"'!GO_2046"),0)
+IF(AND(IFERROR(INDIRECT("'"&amp;$D$20&amp;"'!C9")&gt;1991,0),IFERROR(INDIRECT("'"&amp;$D$20&amp;"'!C9")&lt;2021,0)),INDIRECT("'"&amp;$D$20&amp;"'!GO_2046"),0)
+IF(AND(IFERROR(INDIRECT("'"&amp;$D$21&amp;"'!C9")&gt;1991,0),IFERROR(INDIRECT("'"&amp;$D$21&amp;"'!C9")&lt;2021,0)),INDIRECT("'"&amp;$D$21&amp;"'!GO_2046"),0)
+IF(AND(IFERROR(INDIRECT("'"&amp;$D$22&amp;"'!C9")&gt;1991,0),IFERROR(INDIRECT("'"&amp;$D$22&amp;"'!C9")&lt;2021,0)),INDIRECT("'"&amp;$D$22&amp;"'!GO_2046"),0)
+IF(AND(IFERROR(INDIRECT("'"&amp;$D$23&amp;"'!C9")&gt;1991,0),IFERROR(INDIRECT("'"&amp;$D$23&amp;"'!C9")&lt;2021,0)),INDIRECT("'"&amp;$D$23&amp;"'!GO_2046"),0)
+IF(AND(IFERROR(INDIRECT("'"&amp;$D$24&amp;"'!C9")&gt;1991,0),IFERROR(INDIRECT("'"&amp;$D$24&amp;"'!C9")&lt;2021,0)),INDIRECT("'"&amp;$D$24&amp;"'!GO_2046"),0)
+IF(AND(IFERROR(INDIRECT("'"&amp;$D$25&amp;"'!C9")&gt;1991,0),IFERROR(INDIRECT("'"&amp;$D$25&amp;"'!C9")&lt;2021,0)),INDIRECT("'"&amp;$D$25&amp;"'!GO_2046"),0)
+IF(AND(IFERROR(INDIRECT("'"&amp;$D$26&amp;"'!C9")&gt;1991,0),IFERROR(INDIRECT("'"&amp;$D$26&amp;"'!C9")&lt;2021,0)),INDIRECT("'"&amp;$D$26&amp;"'!GO_2046"),0)
+IF(AND(IFERROR(INDIRECT("'"&amp;$D$27&amp;"'!C9")&gt;1991,0),IFERROR(INDIRECT("'"&amp;$D$27&amp;"'!C9")&lt;2021,0)),INDIRECT("'"&amp;$D$27&amp;"'!GO_2046"),0)
+IF(AND(IFERROR(INDIRECT("'"&amp;$D$28&amp;"'!C9")&gt;1991,0),IFERROR(INDIRECT("'"&amp;$D$28&amp;"'!C9")&lt;2021,0)),INDIRECT("'"&amp;$D$28&amp;"'!GO_2046"),0)
+IF(AND(IFERROR(INDIRECT("'"&amp;$D$29&amp;"'!C9")&gt;1991,0),IFERROR(INDIRECT("'"&amp;$D$29&amp;"'!C9")&lt;2021,0)),INDIRECT("'"&amp;$D$29&amp;"'!GO_2046"),0)
+IF(AND(IFERROR(INDIRECT("'"&amp;$D$30&amp;"'!C9")&gt;1991,0),IFERROR(INDIRECT("'"&amp;$D$30&amp;"'!C9")&lt;2021,0)),INDIRECT("'"&amp;$D$30&amp;"'!GO_2046"),0)
+IF(AND(IFERROR(INDIRECT("'"&amp;$D$31&amp;"'!C9")&gt;1991,0),IFERROR(INDIRECT("'"&amp;$D$31&amp;"'!C9")&lt;2021,0)),INDIRECT("'"&amp;$D$31&amp;"'!GO_2046"),0)
+IF(AND(IFERROR(INDIRECT("'"&amp;$D$32&amp;"'!C9")&gt;1991,0),IFERROR(INDIRECT("'"&amp;$D$32&amp;"'!C9")&lt;2021,0)),INDIRECT("'"&amp;$D$32&amp;"'!GO_2046"),0)
+IF(AND(IFERROR(INDIRECT("'"&amp;$D$33&amp;"'!C9")&gt;1991,0),IFERROR(INDIRECT("'"&amp;$D$33&amp;"'!C9")&lt;2021,0)),INDIRECT("'"&amp;$D$33&amp;"'!GO_2046"),0)
+IF(AND(IFERROR(INDIRECT("'"&amp;$D$34&amp;"'!C9")&gt;1991,0),IFERROR(INDIRECT("'"&amp;$D$34&amp;"'!C9")&lt;2021,0)),INDIRECT("'"&amp;$D$34&amp;"'!GO_2046"),0)
+IF(AND(IFERROR(INDIRECT("'"&amp;$D$35&amp;"'!C9")&gt;1991,0),IFERROR(INDIRECT("'"&amp;$D$35&amp;"'!C9")&lt;2021,0)),INDIRECT("'"&amp;$D$35&amp;"'!GO_2046"),0)
+IF(AND(IFERROR(INDIRECT("'"&amp;$D$36&amp;"'!C9")&gt;1991,0),IFERROR(INDIRECT("'"&amp;$D$36&amp;"'!C9")&lt;2021,0)),INDIRECT("'"&amp;$D$36&amp;"'!GO_2046"),0)
+IF(AND(IFERROR(INDIRECT("'"&amp;$D$37&amp;"'!C9")&gt;1991,0),IFERROR(INDIRECT("'"&amp;$D$37&amp;"'!C9")&lt;2021,0)),INDIRECT("'"&amp;$D$37&amp;"'!GO_2046"),0)
+IF(AND(IFERROR(INDIRECT("'"&amp;$D$38&amp;"'!C9")&gt;1991,0),IFERROR(INDIRECT("'"&amp;$D$38&amp;"'!C9")&lt;2021,0)),INDIRECT("'"&amp;$D$38&amp;"'!GO_2046"),0)
+IF(AND(IFERROR(INDIRECT("'"&amp;$D$39&amp;"'!C9")&gt;1991,0),IFERROR(INDIRECT("'"&amp;$D$39&amp;"'!C9")&lt;2021,0)),INDIRECT("'"&amp;$D$39&amp;"'!GO_2046"),0)
+IF(AND(IFERROR(INDIRECT("'"&amp;$D$40&amp;"'!C9")&gt;1991,0),IFERROR(INDIRECT("'"&amp;$D$40&amp;"'!C9")&lt;2021,0)),INDIRECT("'"&amp;$D$40&amp;"'!GO_2046"),0)
+IF(AND(IFERROR(INDIRECT("'"&amp;$D$41&amp;"'!C9")&gt;1991,0),IFERROR(INDIRECT("'"&amp;$D$41&amp;"'!C9")&lt;2021,0)),INDIRECT("'"&amp;$D$41&amp;"'!GO_2046"),0)
+IF(AND(IFERROR(INDIRECT("'"&amp;$D$42&amp;"'!C9")&gt;1991,0),IFERROR(INDIRECT("'"&amp;$D$42&amp;"'!C9")&lt;2021,0)),INDIRECT("'"&amp;$D$42&amp;"'!GO_2046"),0)
+IF(AND(IFERROR(INDIRECT("'"&amp;$D$43&amp;"'!C9")&gt;1991,0),IFERROR(INDIRECT("'"&amp;$D$43&amp;"'!C9")&lt;2021,0)),INDIRECT("'"&amp;$D$43&amp;"'!GO_2046"),0)
+IF(AND(IFERROR(INDIRECT("'"&amp;$D$44&amp;"'!C9")&gt;1991,0),IFERROR(INDIRECT("'"&amp;$D$44&amp;"'!C9")&lt;2021,0)),INDIRECT("'"&amp;$D$44&amp;"'!GO_2046"),0)
+IF(AND(IFERROR(INDIRECT("'"&amp;$D$45&amp;"'!C9")&gt;1991,0),IFERROR(INDIRECT("'"&amp;$D$45&amp;"'!C9")&lt;2021,0)),INDIRECT("'"&amp;$D$45&amp;"'!GO_2046"),0)
+IF(AND(IFERROR(INDIRECT("'"&amp;$D$46&amp;"'!C9")&gt;1991,0),IFERROR(INDIRECT("'"&amp;$D$46&amp;"'!C9")&lt;2021,0)),INDIRECT("'"&amp;$D$46&amp;"'!GO_2046"),0)
+IF(AND(IFERROR(INDIRECT("'"&amp;$D$47&amp;"'!C9")&gt;1991,0),IFERROR(INDIRECT("'"&amp;$D$47&amp;"'!C9")&lt;2021,0)),INDIRECT("'"&amp;$D$47&amp;"'!GO_2046"),0)
+IF(AND(IFERROR(INDIRECT("'"&amp;$D$48&amp;"'!C9")&gt;1991,0),IFERROR(INDIRECT("'"&amp;$D$48&amp;"'!C9")&lt;2021,0)),INDIRECT("'"&amp;$D$48&amp;"'!GO_2046"),0)
+IF(AND(IFERROR(INDIRECT("'"&amp;$D$49&amp;"'!C9")&gt;1991,0),IFERROR(INDIRECT("'"&amp;$D$49&amp;"'!C9")&lt;2021,0)),INDIRECT("'"&amp;$D$49&amp;"'!GO_2046"),0)
+IF(AND(IFERROR(INDIRECT("'"&amp;$D$50&amp;"'!C9")&gt;1991,0),IFERROR(INDIRECT("'"&amp;$D$50&amp;"'!C9")&lt;2021,0)),INDIRECT("'"&amp;$D$50&amp;"'!GO_2046"),0)
+IF(AND(IFERROR(INDIRECT("'"&amp;$D$51&amp;"'!C9")&gt;1991,0),IFERROR(INDIRECT("'"&amp;$D$51&amp;"'!C9")&lt;2021,0)),INDIRECT("'"&amp;$D$51&amp;"'!GO_2046"),0)
+IF(AND(IFERROR(INDIRECT("'"&amp;$D$52&amp;"'!C9")&gt;1991,0),IFERROR(INDIRECT("'"&amp;$D$52&amp;"'!C9")&lt;2021,0)),INDIRECT("'"&amp;$D$52&amp;"'!GO_2046"),0)
+IF(AND(IFERROR(INDIRECT("'"&amp;$D$53&amp;"'!C9")&gt;1991,0),IFERROR(INDIRECT("'"&amp;$D$53&amp;"'!C9")&lt;2021,0)),INDIRECT("'"&amp;$D$53&amp;"'!GO_2046"),0)
+IF(AND(IFERROR(INDIRECT("'"&amp;$D$54&amp;"'!C9")&gt;1991,0),IFERROR(INDIRECT("'"&amp;$D$54&amp;"'!C9")&lt;2021,0)),INDIRECT("'"&amp;$D$54&amp;"'!GO_2046"),0)</f>
        <v>0</v>
      </c>
      <c r="AK27" s="321">
        <f ca="1">IF(AND(IFERROR(INDIRECT("'"&amp;$D$5&amp;"'!C9")&gt;1991,0),IFERROR(INDIRECT("'"&amp;$D$5&amp;"'!C9")&lt;2021,0)),INDIRECT("'"&amp;$D$5&amp;"'!GO_2047"),0)
+IF(AND(IFERROR(INDIRECT("'"&amp;$D$6&amp;"'!C9")&gt;1991,0),IFERROR(INDIRECT("'"&amp;$D$6&amp;"'!C9")&lt;2021,0)),INDIRECT("'"&amp;$D$6&amp;"'!GO_2047"),0)
+IF(AND(IFERROR(INDIRECT("'"&amp;$D$7&amp;"'!C9")&gt;1991,0),IFERROR(INDIRECT("'"&amp;$D$7&amp;"'!C9")&lt;2021,0)),INDIRECT("'"&amp;$D$7&amp;"'!GO_2047"),0)
+IF(AND(IFERROR(INDIRECT("'"&amp;$D$8&amp;"'!C9")&gt;1991,0),IFERROR(INDIRECT("'"&amp;$D$8&amp;"'!C9")&lt;2021,0)),INDIRECT("'"&amp;$D$8&amp;"'!GO_2047"),0)
+IF(AND(IFERROR(INDIRECT("'"&amp;$D$9&amp;"'!C9")&gt;1991,0),IFERROR(INDIRECT("'"&amp;$D$9&amp;"'!C9")&lt;2021,0)),INDIRECT("'"&amp;$D$9&amp;"'!GO_2047"),0)
+IF(AND(IFERROR(INDIRECT("'"&amp;$D$10&amp;"'!C9")&gt;1991,0),IFERROR(INDIRECT("'"&amp;$D$10&amp;"'!C9")&lt;2021,0)),INDIRECT("'"&amp;$D$10&amp;"'!GO_2047"),0)
+IF(AND(IFERROR(INDIRECT("'"&amp;$D$11&amp;"'!C9")&gt;1991,0),IFERROR(INDIRECT("'"&amp;$D$11&amp;"'!C9")&lt;2021,0)),INDIRECT("'"&amp;$D$11&amp;"'!GO_2047"),0)
+IF(AND(IFERROR(INDIRECT("'"&amp;$D$12&amp;"'!C9")&gt;1991,0),IFERROR(INDIRECT("'"&amp;$D$12&amp;"'!C9")&lt;2021,0)),INDIRECT("'"&amp;$D$12&amp;"'!GO_2047"),0)
+IF(AND(IFERROR(INDIRECT("'"&amp;$D$13&amp;"'!C9")&gt;1991,0),IFERROR(INDIRECT("'"&amp;$D$13&amp;"'!C9")&lt;2021,0)),INDIRECT("'"&amp;$D$13&amp;"'!GO_2047"),0)
+IF(AND(IFERROR(INDIRECT("'"&amp;$D$14&amp;"'!C9")&gt;1991,0),IFERROR(INDIRECT("'"&amp;$D$14&amp;"'!C9")&lt;2021,0)),INDIRECT("'"&amp;$D$14&amp;"'!GO_2047"),0)
+IF(AND(IFERROR(INDIRECT("'"&amp;$D$15&amp;"'!C9")&gt;1991,0),IFERROR(INDIRECT("'"&amp;$D$15&amp;"'!C9")&lt;2021,0)),INDIRECT("'"&amp;$D$15&amp;"'!GO_2047"),0)
+IF(AND(IFERROR(INDIRECT("'"&amp;$D$16&amp;"'!C9")&gt;1991,0),IFERROR(INDIRECT("'"&amp;$D$16&amp;"'!C9")&lt;2021,0)),INDIRECT("'"&amp;$D$16&amp;"'!GO_2047"),0)
+IF(AND(IFERROR(INDIRECT("'"&amp;$D$17&amp;"'!C9")&gt;1991,0),IFERROR(INDIRECT("'"&amp;$D$17&amp;"'!C9")&lt;2021,0)),INDIRECT("'"&amp;$D$17&amp;"'!GO_2047"),0)
+IF(AND(IFERROR(INDIRECT("'"&amp;$D$18&amp;"'!C9")&gt;1991,0),IFERROR(INDIRECT("'"&amp;$D$18&amp;"'!C9")&lt;2021,0)),INDIRECT("'"&amp;$D$18&amp;"'!GO_2047"),0)
+IF(AND(IFERROR(INDIRECT("'"&amp;$D$19&amp;"'!C9")&gt;1991,0),IFERROR(INDIRECT("'"&amp;$D$19&amp;"'!C9")&lt;2021,0)),INDIRECT("'"&amp;$D$19&amp;"'!GO_2047"),0)
+IF(AND(IFERROR(INDIRECT("'"&amp;$D$20&amp;"'!C9")&gt;1991,0),IFERROR(INDIRECT("'"&amp;$D$20&amp;"'!C9")&lt;2021,0)),INDIRECT("'"&amp;$D$20&amp;"'!GO_2047"),0)
+IF(AND(IFERROR(INDIRECT("'"&amp;$D$21&amp;"'!C9")&gt;1991,0),IFERROR(INDIRECT("'"&amp;$D$21&amp;"'!C9")&lt;2021,0)),INDIRECT("'"&amp;$D$21&amp;"'!GO_2047"),0)
+IF(AND(IFERROR(INDIRECT("'"&amp;$D$22&amp;"'!C9")&gt;1991,0),IFERROR(INDIRECT("'"&amp;$D$22&amp;"'!C9")&lt;2021,0)),INDIRECT("'"&amp;$D$22&amp;"'!GO_2047"),0)
+IF(AND(IFERROR(INDIRECT("'"&amp;$D$23&amp;"'!C9")&gt;1991,0),IFERROR(INDIRECT("'"&amp;$D$23&amp;"'!C9")&lt;2021,0)),INDIRECT("'"&amp;$D$23&amp;"'!GO_2047"),0)
+IF(AND(IFERROR(INDIRECT("'"&amp;$D$24&amp;"'!C9")&gt;1991,0),IFERROR(INDIRECT("'"&amp;$D$24&amp;"'!C9")&lt;2021,0)),INDIRECT("'"&amp;$D$24&amp;"'!GO_2047"),0)
+IF(AND(IFERROR(INDIRECT("'"&amp;$D$25&amp;"'!C9")&gt;1991,0),IFERROR(INDIRECT("'"&amp;$D$25&amp;"'!C9")&lt;2021,0)),INDIRECT("'"&amp;$D$25&amp;"'!GO_2047"),0)
+IF(AND(IFERROR(INDIRECT("'"&amp;$D$26&amp;"'!C9")&gt;1991,0),IFERROR(INDIRECT("'"&amp;$D$26&amp;"'!C9")&lt;2021,0)),INDIRECT("'"&amp;$D$26&amp;"'!GO_2047"),0)
+IF(AND(IFERROR(INDIRECT("'"&amp;$D$27&amp;"'!C9")&gt;1991,0),IFERROR(INDIRECT("'"&amp;$D$27&amp;"'!C9")&lt;2021,0)),INDIRECT("'"&amp;$D$27&amp;"'!GO_2047"),0)
+IF(AND(IFERROR(INDIRECT("'"&amp;$D$28&amp;"'!C9")&gt;1991,0),IFERROR(INDIRECT("'"&amp;$D$28&amp;"'!C9")&lt;2021,0)),INDIRECT("'"&amp;$D$28&amp;"'!GO_2047"),0)
+IF(AND(IFERROR(INDIRECT("'"&amp;$D$29&amp;"'!C9")&gt;1991,0),IFERROR(INDIRECT("'"&amp;$D$29&amp;"'!C9")&lt;2021,0)),INDIRECT("'"&amp;$D$29&amp;"'!GO_2047"),0)
+IF(AND(IFERROR(INDIRECT("'"&amp;$D$30&amp;"'!C9")&gt;1991,0),IFERROR(INDIRECT("'"&amp;$D$30&amp;"'!C9")&lt;2021,0)),INDIRECT("'"&amp;$D$30&amp;"'!GO_2047"),0)
+IF(AND(IFERROR(INDIRECT("'"&amp;$D$31&amp;"'!C9")&gt;1991,0),IFERROR(INDIRECT("'"&amp;$D$31&amp;"'!C9")&lt;2021,0)),INDIRECT("'"&amp;$D$31&amp;"'!GO_2047"),0)
+IF(AND(IFERROR(INDIRECT("'"&amp;$D$32&amp;"'!C9")&gt;1991,0),IFERROR(INDIRECT("'"&amp;$D$32&amp;"'!C9")&lt;2021,0)),INDIRECT("'"&amp;$D$32&amp;"'!GO_2047"),0)
+IF(AND(IFERROR(INDIRECT("'"&amp;$D$33&amp;"'!C9")&gt;1991,0),IFERROR(INDIRECT("'"&amp;$D$33&amp;"'!C9")&lt;2021,0)),INDIRECT("'"&amp;$D$33&amp;"'!GO_2047"),0)
+IF(AND(IFERROR(INDIRECT("'"&amp;$D$34&amp;"'!C9")&gt;1991,0),IFERROR(INDIRECT("'"&amp;$D$34&amp;"'!C9")&lt;2021,0)),INDIRECT("'"&amp;$D$34&amp;"'!GO_2047"),0)
+IF(AND(IFERROR(INDIRECT("'"&amp;$D$35&amp;"'!C9")&gt;1991,0),IFERROR(INDIRECT("'"&amp;$D$35&amp;"'!C9")&lt;2021,0)),INDIRECT("'"&amp;$D$35&amp;"'!GO_2047"),0)
+IF(AND(IFERROR(INDIRECT("'"&amp;$D$36&amp;"'!C9")&gt;1991,0),IFERROR(INDIRECT("'"&amp;$D$36&amp;"'!C9")&lt;2021,0)),INDIRECT("'"&amp;$D$36&amp;"'!GO_2047"),0)
+IF(AND(IFERROR(INDIRECT("'"&amp;$D$37&amp;"'!C9")&gt;1991,0),IFERROR(INDIRECT("'"&amp;$D$37&amp;"'!C9")&lt;2021,0)),INDIRECT("'"&amp;$D$37&amp;"'!GO_2047"),0)
+IF(AND(IFERROR(INDIRECT("'"&amp;$D$38&amp;"'!C9")&gt;1991,0),IFERROR(INDIRECT("'"&amp;$D$38&amp;"'!C9")&lt;2021,0)),INDIRECT("'"&amp;$D$38&amp;"'!GO_2047"),0)
+IF(AND(IFERROR(INDIRECT("'"&amp;$D$39&amp;"'!C9")&gt;1991,0),IFERROR(INDIRECT("'"&amp;$D$39&amp;"'!C9")&lt;2021,0)),INDIRECT("'"&amp;$D$39&amp;"'!GO_2047"),0)
+IF(AND(IFERROR(INDIRECT("'"&amp;$D$40&amp;"'!C9")&gt;1991,0),IFERROR(INDIRECT("'"&amp;$D$40&amp;"'!C9")&lt;2021,0)),INDIRECT("'"&amp;$D$40&amp;"'!GO_2047"),0)
+IF(AND(IFERROR(INDIRECT("'"&amp;$D$41&amp;"'!C9")&gt;1991,0),IFERROR(INDIRECT("'"&amp;$D$41&amp;"'!C9")&lt;2021,0)),INDIRECT("'"&amp;$D$41&amp;"'!GO_2047"),0)
+IF(AND(IFERROR(INDIRECT("'"&amp;$D$42&amp;"'!C9")&gt;1991,0),IFERROR(INDIRECT("'"&amp;$D$42&amp;"'!C9")&lt;2021,0)),INDIRECT("'"&amp;$D$42&amp;"'!GO_2047"),0)
+IF(AND(IFERROR(INDIRECT("'"&amp;$D$43&amp;"'!C9")&gt;1991,0),IFERROR(INDIRECT("'"&amp;$D$43&amp;"'!C9")&lt;2021,0)),INDIRECT("'"&amp;$D$43&amp;"'!GO_2047"),0)
+IF(AND(IFERROR(INDIRECT("'"&amp;$D$44&amp;"'!C9")&gt;1991,0),IFERROR(INDIRECT("'"&amp;$D$44&amp;"'!C9")&lt;2021,0)),INDIRECT("'"&amp;$D$44&amp;"'!GO_2047"),0)
+IF(AND(IFERROR(INDIRECT("'"&amp;$D$45&amp;"'!C9")&gt;1991,0),IFERROR(INDIRECT("'"&amp;$D$45&amp;"'!C9")&lt;2021,0)),INDIRECT("'"&amp;$D$45&amp;"'!GO_2047"),0)
+IF(AND(IFERROR(INDIRECT("'"&amp;$D$46&amp;"'!C9")&gt;1991,0),IFERROR(INDIRECT("'"&amp;$D$46&amp;"'!C9")&lt;2021,0)),INDIRECT("'"&amp;$D$46&amp;"'!GO_2047"),0)
+IF(AND(IFERROR(INDIRECT("'"&amp;$D$47&amp;"'!C9")&gt;1991,0),IFERROR(INDIRECT("'"&amp;$D$47&amp;"'!C9")&lt;2021,0)),INDIRECT("'"&amp;$D$47&amp;"'!GO_2047"),0)
+IF(AND(IFERROR(INDIRECT("'"&amp;$D$48&amp;"'!C9")&gt;1991,0),IFERROR(INDIRECT("'"&amp;$D$48&amp;"'!C9")&lt;2021,0)),INDIRECT("'"&amp;$D$48&amp;"'!GO_2047"),0)
+IF(AND(IFERROR(INDIRECT("'"&amp;$D$49&amp;"'!C9")&gt;1991,0),IFERROR(INDIRECT("'"&amp;$D$49&amp;"'!C9")&lt;2021,0)),INDIRECT("'"&amp;$D$49&amp;"'!GO_2047"),0)
+IF(AND(IFERROR(INDIRECT("'"&amp;$D$50&amp;"'!C9")&gt;1991,0),IFERROR(INDIRECT("'"&amp;$D$50&amp;"'!C9")&lt;2021,0)),INDIRECT("'"&amp;$D$50&amp;"'!GO_2047"),0)
+IF(AND(IFERROR(INDIRECT("'"&amp;$D$51&amp;"'!C9")&gt;1991,0),IFERROR(INDIRECT("'"&amp;$D$51&amp;"'!C9")&lt;2021,0)),INDIRECT("'"&amp;$D$51&amp;"'!GO_2047"),0)
+IF(AND(IFERROR(INDIRECT("'"&amp;$D$52&amp;"'!C9")&gt;1991,0),IFERROR(INDIRECT("'"&amp;$D$52&amp;"'!C9")&lt;2021,0)),INDIRECT("'"&amp;$D$52&amp;"'!GO_2047"),0)
+IF(AND(IFERROR(INDIRECT("'"&amp;$D$53&amp;"'!C9")&gt;1991,0),IFERROR(INDIRECT("'"&amp;$D$53&amp;"'!C9")&lt;2021,0)),INDIRECT("'"&amp;$D$53&amp;"'!GO_2047"),0)
+IF(AND(IFERROR(INDIRECT("'"&amp;$D$54&amp;"'!C9")&gt;1991,0),IFERROR(INDIRECT("'"&amp;$D$54&amp;"'!C9")&lt;2021,0)),INDIRECT("'"&amp;$D$54&amp;"'!GO_2047"),0)</f>
        <v>0</v>
      </c>
      <c r="AL27" s="321">
        <f ca="1">IF(AND(IFERROR(INDIRECT("'"&amp;$D$5&amp;"'!C9")&gt;1991,0),IFERROR(INDIRECT("'"&amp;$D$5&amp;"'!C9")&lt;2021,0)),INDIRECT("'"&amp;$D$5&amp;"'!GO_2048"),0)
+IF(AND(IFERROR(INDIRECT("'"&amp;$D$6&amp;"'!C9")&gt;1991,0),IFERROR(INDIRECT("'"&amp;$D$6&amp;"'!C9")&lt;2021,0)),INDIRECT("'"&amp;$D$6&amp;"'!GO_2048"),0)
+IF(AND(IFERROR(INDIRECT("'"&amp;$D$7&amp;"'!C9")&gt;1991,0),IFERROR(INDIRECT("'"&amp;$D$7&amp;"'!C9")&lt;2021,0)),INDIRECT("'"&amp;$D$7&amp;"'!GO_2048"),0)
+IF(AND(IFERROR(INDIRECT("'"&amp;$D$8&amp;"'!C9")&gt;1991,0),IFERROR(INDIRECT("'"&amp;$D$8&amp;"'!C9")&lt;2021,0)),INDIRECT("'"&amp;$D$8&amp;"'!GO_2048"),0)
+IF(AND(IFERROR(INDIRECT("'"&amp;$D$9&amp;"'!C9")&gt;1991,0),IFERROR(INDIRECT("'"&amp;$D$9&amp;"'!C9")&lt;2021,0)),INDIRECT("'"&amp;$D$9&amp;"'!GO_2048"),0)
+IF(AND(IFERROR(INDIRECT("'"&amp;$D$10&amp;"'!C9")&gt;1991,0),IFERROR(INDIRECT("'"&amp;$D$10&amp;"'!C9")&lt;2021,0)),INDIRECT("'"&amp;$D$10&amp;"'!GO_2048"),0)
+IF(AND(IFERROR(INDIRECT("'"&amp;$D$11&amp;"'!C9")&gt;1991,0),IFERROR(INDIRECT("'"&amp;$D$11&amp;"'!C9")&lt;2021,0)),INDIRECT("'"&amp;$D$11&amp;"'!GO_2048"),0)
+IF(AND(IFERROR(INDIRECT("'"&amp;$D$12&amp;"'!C9")&gt;1991,0),IFERROR(INDIRECT("'"&amp;$D$12&amp;"'!C9")&lt;2021,0)),INDIRECT("'"&amp;$D$12&amp;"'!GO_2048"),0)
+IF(AND(IFERROR(INDIRECT("'"&amp;$D$13&amp;"'!C9")&gt;1991,0),IFERROR(INDIRECT("'"&amp;$D$13&amp;"'!C9")&lt;2021,0)),INDIRECT("'"&amp;$D$13&amp;"'!GO_2048"),0)
+IF(AND(IFERROR(INDIRECT("'"&amp;$D$14&amp;"'!C9")&gt;1991,0),IFERROR(INDIRECT("'"&amp;$D$14&amp;"'!C9")&lt;2021,0)),INDIRECT("'"&amp;$D$14&amp;"'!GO_2048"),0)
+IF(AND(IFERROR(INDIRECT("'"&amp;$D$15&amp;"'!C9")&gt;1991,0),IFERROR(INDIRECT("'"&amp;$D$15&amp;"'!C9")&lt;2021,0)),INDIRECT("'"&amp;$D$15&amp;"'!GO_2048"),0)
+IF(AND(IFERROR(INDIRECT("'"&amp;$D$16&amp;"'!C9")&gt;1991,0),IFERROR(INDIRECT("'"&amp;$D$16&amp;"'!C9")&lt;2021,0)),INDIRECT("'"&amp;$D$16&amp;"'!GO_2048"),0)
+IF(AND(IFERROR(INDIRECT("'"&amp;$D$17&amp;"'!C9")&gt;1991,0),IFERROR(INDIRECT("'"&amp;$D$17&amp;"'!C9")&lt;2021,0)),INDIRECT("'"&amp;$D$17&amp;"'!GO_2048"),0)
+IF(AND(IFERROR(INDIRECT("'"&amp;$D$18&amp;"'!C9")&gt;1991,0),IFERROR(INDIRECT("'"&amp;$D$18&amp;"'!C9")&lt;2021,0)),INDIRECT("'"&amp;$D$18&amp;"'!GO_2048"),0)
+IF(AND(IFERROR(INDIRECT("'"&amp;$D$19&amp;"'!C9")&gt;1991,0),IFERROR(INDIRECT("'"&amp;$D$19&amp;"'!C9")&lt;2021,0)),INDIRECT("'"&amp;$D$19&amp;"'!GO_2048"),0)
+IF(AND(IFERROR(INDIRECT("'"&amp;$D$20&amp;"'!C9")&gt;1991,0),IFERROR(INDIRECT("'"&amp;$D$20&amp;"'!C9")&lt;2021,0)),INDIRECT("'"&amp;$D$20&amp;"'!GO_2048"),0)
+IF(AND(IFERROR(INDIRECT("'"&amp;$D$21&amp;"'!C9")&gt;1991,0),IFERROR(INDIRECT("'"&amp;$D$21&amp;"'!C9")&lt;2021,0)),INDIRECT("'"&amp;$D$21&amp;"'!GO_2048"),0)
+IF(AND(IFERROR(INDIRECT("'"&amp;$D$22&amp;"'!C9")&gt;1991,0),IFERROR(INDIRECT("'"&amp;$D$22&amp;"'!C9")&lt;2021,0)),INDIRECT("'"&amp;$D$22&amp;"'!GO_2048"),0)
+IF(AND(IFERROR(INDIRECT("'"&amp;$D$23&amp;"'!C9")&gt;1991,0),IFERROR(INDIRECT("'"&amp;$D$23&amp;"'!C9")&lt;2021,0)),INDIRECT("'"&amp;$D$23&amp;"'!GO_2048"),0)
+IF(AND(IFERROR(INDIRECT("'"&amp;$D$24&amp;"'!C9")&gt;1991,0),IFERROR(INDIRECT("'"&amp;$D$24&amp;"'!C9")&lt;2021,0)),INDIRECT("'"&amp;$D$24&amp;"'!GO_2048"),0)
+IF(AND(IFERROR(INDIRECT("'"&amp;$D$25&amp;"'!C9")&gt;1991,0),IFERROR(INDIRECT("'"&amp;$D$25&amp;"'!C9")&lt;2021,0)),INDIRECT("'"&amp;$D$25&amp;"'!GO_2048"),0)
+IF(AND(IFERROR(INDIRECT("'"&amp;$D$26&amp;"'!C9")&gt;1991,0),IFERROR(INDIRECT("'"&amp;$D$26&amp;"'!C9")&lt;2021,0)),INDIRECT("'"&amp;$D$26&amp;"'!GO_2048"),0)
+IF(AND(IFERROR(INDIRECT("'"&amp;$D$27&amp;"'!C9")&gt;1991,0),IFERROR(INDIRECT("'"&amp;$D$27&amp;"'!C9")&lt;2021,0)),INDIRECT("'"&amp;$D$27&amp;"'!GO_2048"),0)
+IF(AND(IFERROR(INDIRECT("'"&amp;$D$28&amp;"'!C9")&gt;1991,0),IFERROR(INDIRECT("'"&amp;$D$28&amp;"'!C9")&lt;2021,0)),INDIRECT("'"&amp;$D$28&amp;"'!GO_2048"),0)
+IF(AND(IFERROR(INDIRECT("'"&amp;$D$29&amp;"'!C9")&gt;1991,0),IFERROR(INDIRECT("'"&amp;$D$29&amp;"'!C9")&lt;2021,0)),INDIRECT("'"&amp;$D$29&amp;"'!GO_2048"),0)
+IF(AND(IFERROR(INDIRECT("'"&amp;$D$30&amp;"'!C9")&gt;1991,0),IFERROR(INDIRECT("'"&amp;$D$30&amp;"'!C9")&lt;2021,0)),INDIRECT("'"&amp;$D$30&amp;"'!GO_2048"),0)
+IF(AND(IFERROR(INDIRECT("'"&amp;$D$31&amp;"'!C9")&gt;1991,0),IFERROR(INDIRECT("'"&amp;$D$31&amp;"'!C9")&lt;2021,0)),INDIRECT("'"&amp;$D$31&amp;"'!GO_2048"),0)
+IF(AND(IFERROR(INDIRECT("'"&amp;$D$32&amp;"'!C9")&gt;1991,0),IFERROR(INDIRECT("'"&amp;$D$32&amp;"'!C9")&lt;2021,0)),INDIRECT("'"&amp;$D$32&amp;"'!GO_2048"),0)
+IF(AND(IFERROR(INDIRECT("'"&amp;$D$33&amp;"'!C9")&gt;1991,0),IFERROR(INDIRECT("'"&amp;$D$33&amp;"'!C9")&lt;2021,0)),INDIRECT("'"&amp;$D$33&amp;"'!GO_2048"),0)
+IF(AND(IFERROR(INDIRECT("'"&amp;$D$34&amp;"'!C9")&gt;1991,0),IFERROR(INDIRECT("'"&amp;$D$34&amp;"'!C9")&lt;2021,0)),INDIRECT("'"&amp;$D$34&amp;"'!GO_2048"),0)
+IF(AND(IFERROR(INDIRECT("'"&amp;$D$35&amp;"'!C9")&gt;1991,0),IFERROR(INDIRECT("'"&amp;$D$35&amp;"'!C9")&lt;2021,0)),INDIRECT("'"&amp;$D$35&amp;"'!GO_2048"),0)
+IF(AND(IFERROR(INDIRECT("'"&amp;$D$36&amp;"'!C9")&gt;1991,0),IFERROR(INDIRECT("'"&amp;$D$36&amp;"'!C9")&lt;2021,0)),INDIRECT("'"&amp;$D$36&amp;"'!GO_2048"),0)
+IF(AND(IFERROR(INDIRECT("'"&amp;$D$37&amp;"'!C9")&gt;1991,0),IFERROR(INDIRECT("'"&amp;$D$37&amp;"'!C9")&lt;2021,0)),INDIRECT("'"&amp;$D$37&amp;"'!GO_2048"),0)
+IF(AND(IFERROR(INDIRECT("'"&amp;$D$38&amp;"'!C9")&gt;1991,0),IFERROR(INDIRECT("'"&amp;$D$38&amp;"'!C9")&lt;2021,0)),INDIRECT("'"&amp;$D$38&amp;"'!GO_2048"),0)
+IF(AND(IFERROR(INDIRECT("'"&amp;$D$39&amp;"'!C9")&gt;1991,0),IFERROR(INDIRECT("'"&amp;$D$39&amp;"'!C9")&lt;2021,0)),INDIRECT("'"&amp;$D$39&amp;"'!GO_2048"),0)
+IF(AND(IFERROR(INDIRECT("'"&amp;$D$40&amp;"'!C9")&gt;1991,0),IFERROR(INDIRECT("'"&amp;$D$40&amp;"'!C9")&lt;2021,0)),INDIRECT("'"&amp;$D$40&amp;"'!GO_2048"),0)
+IF(AND(IFERROR(INDIRECT("'"&amp;$D$41&amp;"'!C9")&gt;1991,0),IFERROR(INDIRECT("'"&amp;$D$41&amp;"'!C9")&lt;2021,0)),INDIRECT("'"&amp;$D$41&amp;"'!GO_2048"),0)
+IF(AND(IFERROR(INDIRECT("'"&amp;$D$42&amp;"'!C9")&gt;1991,0),IFERROR(INDIRECT("'"&amp;$D$42&amp;"'!C9")&lt;2021,0)),INDIRECT("'"&amp;$D$42&amp;"'!GO_2048"),0)
+IF(AND(IFERROR(INDIRECT("'"&amp;$D$43&amp;"'!C9")&gt;1991,0),IFERROR(INDIRECT("'"&amp;$D$43&amp;"'!C9")&lt;2021,0)),INDIRECT("'"&amp;$D$43&amp;"'!GO_2048"),0)
+IF(AND(IFERROR(INDIRECT("'"&amp;$D$44&amp;"'!C9")&gt;1991,0),IFERROR(INDIRECT("'"&amp;$D$44&amp;"'!C9")&lt;2021,0)),INDIRECT("'"&amp;$D$44&amp;"'!GO_2048"),0)
+IF(AND(IFERROR(INDIRECT("'"&amp;$D$45&amp;"'!C9")&gt;1991,0),IFERROR(INDIRECT("'"&amp;$D$45&amp;"'!C9")&lt;2021,0)),INDIRECT("'"&amp;$D$45&amp;"'!GO_2048"),0)
+IF(AND(IFERROR(INDIRECT("'"&amp;$D$46&amp;"'!C9")&gt;1991,0),IFERROR(INDIRECT("'"&amp;$D$46&amp;"'!C9")&lt;2021,0)),INDIRECT("'"&amp;$D$46&amp;"'!GO_2048"),0)
+IF(AND(IFERROR(INDIRECT("'"&amp;$D$47&amp;"'!C9")&gt;1991,0),IFERROR(INDIRECT("'"&amp;$D$47&amp;"'!C9")&lt;2021,0)),INDIRECT("'"&amp;$D$47&amp;"'!GO_2048"),0)
+IF(AND(IFERROR(INDIRECT("'"&amp;$D$48&amp;"'!C9")&gt;1991,0),IFERROR(INDIRECT("'"&amp;$D$48&amp;"'!C9")&lt;2021,0)),INDIRECT("'"&amp;$D$48&amp;"'!GO_2048"),0)
+IF(AND(IFERROR(INDIRECT("'"&amp;$D$49&amp;"'!C9")&gt;1991,0),IFERROR(INDIRECT("'"&amp;$D$49&amp;"'!C9")&lt;2021,0)),INDIRECT("'"&amp;$D$49&amp;"'!GO_2048"),0)
+IF(AND(IFERROR(INDIRECT("'"&amp;$D$50&amp;"'!C9")&gt;1991,0),IFERROR(INDIRECT("'"&amp;$D$50&amp;"'!C9")&lt;2021,0)),INDIRECT("'"&amp;$D$50&amp;"'!GO_2048"),0)
+IF(AND(IFERROR(INDIRECT("'"&amp;$D$51&amp;"'!C9")&gt;1991,0),IFERROR(INDIRECT("'"&amp;$D$51&amp;"'!C9")&lt;2021,0)),INDIRECT("'"&amp;$D$51&amp;"'!GO_2048"),0)
+IF(AND(IFERROR(INDIRECT("'"&amp;$D$52&amp;"'!C9")&gt;1991,0),IFERROR(INDIRECT("'"&amp;$D$52&amp;"'!C9")&lt;2021,0)),INDIRECT("'"&amp;$D$52&amp;"'!GO_2048"),0)
+IF(AND(IFERROR(INDIRECT("'"&amp;$D$53&amp;"'!C9")&gt;1991,0),IFERROR(INDIRECT("'"&amp;$D$53&amp;"'!C9")&lt;2021,0)),INDIRECT("'"&amp;$D$53&amp;"'!GO_2048"),0)
+IF(AND(IFERROR(INDIRECT("'"&amp;$D$54&amp;"'!C9")&gt;1991,0),IFERROR(INDIRECT("'"&amp;$D$54&amp;"'!C9")&lt;2021,0)),INDIRECT("'"&amp;$D$54&amp;"'!GO_2048"),0)</f>
        <v>0</v>
      </c>
      <c r="AM27" s="321">
        <f ca="1">IF(AND(IFERROR(INDIRECT("'"&amp;$D$5&amp;"'!C9")&gt;1991,0),IFERROR(INDIRECT("'"&amp;$D$5&amp;"'!C9")&lt;2021,0)),INDIRECT("'"&amp;$D$5&amp;"'!GO_2049"),0)
+IF(AND(IFERROR(INDIRECT("'"&amp;$D$6&amp;"'!C9")&gt;1991,0),IFERROR(INDIRECT("'"&amp;$D$6&amp;"'!C9")&lt;2021,0)),INDIRECT("'"&amp;$D$6&amp;"'!GO_2049"),0)
+IF(AND(IFERROR(INDIRECT("'"&amp;$D$7&amp;"'!C9")&gt;1991,0),IFERROR(INDIRECT("'"&amp;$D$7&amp;"'!C9")&lt;2021,0)),INDIRECT("'"&amp;$D$7&amp;"'!GO_2049"),0)
+IF(AND(IFERROR(INDIRECT("'"&amp;$D$8&amp;"'!C9")&gt;1991,0),IFERROR(INDIRECT("'"&amp;$D$8&amp;"'!C9")&lt;2021,0)),INDIRECT("'"&amp;$D$8&amp;"'!GO_2049"),0)
+IF(AND(IFERROR(INDIRECT("'"&amp;$D$9&amp;"'!C9")&gt;1991,0),IFERROR(INDIRECT("'"&amp;$D$9&amp;"'!C9")&lt;2021,0)),INDIRECT("'"&amp;$D$9&amp;"'!GO_2049"),0)
+IF(AND(IFERROR(INDIRECT("'"&amp;$D$10&amp;"'!C9")&gt;1991,0),IFERROR(INDIRECT("'"&amp;$D$10&amp;"'!C9")&lt;2021,0)),INDIRECT("'"&amp;$D$10&amp;"'!GO_2049"),0)
+IF(AND(IFERROR(INDIRECT("'"&amp;$D$11&amp;"'!C9")&gt;1991,0),IFERROR(INDIRECT("'"&amp;$D$11&amp;"'!C9")&lt;2021,0)),INDIRECT("'"&amp;$D$11&amp;"'!GO_2049"),0)
+IF(AND(IFERROR(INDIRECT("'"&amp;$D$12&amp;"'!C9")&gt;1991,0),IFERROR(INDIRECT("'"&amp;$D$12&amp;"'!C9")&lt;2021,0)),INDIRECT("'"&amp;$D$12&amp;"'!GO_2049"),0)
+IF(AND(IFERROR(INDIRECT("'"&amp;$D$13&amp;"'!C9")&gt;1991,0),IFERROR(INDIRECT("'"&amp;$D$13&amp;"'!C9")&lt;2021,0)),INDIRECT("'"&amp;$D$13&amp;"'!GO_2049"),0)
+IF(AND(IFERROR(INDIRECT("'"&amp;$D$14&amp;"'!C9")&gt;1991,0),IFERROR(INDIRECT("'"&amp;$D$14&amp;"'!C9")&lt;2021,0)),INDIRECT("'"&amp;$D$14&amp;"'!GO_2049"),0)
+IF(AND(IFERROR(INDIRECT("'"&amp;$D$15&amp;"'!C9")&gt;1991,0),IFERROR(INDIRECT("'"&amp;$D$15&amp;"'!C9")&lt;2021,0)),INDIRECT("'"&amp;$D$15&amp;"'!GO_2049"),0)
+IF(AND(IFERROR(INDIRECT("'"&amp;$D$16&amp;"'!C9")&gt;1991,0),IFERROR(INDIRECT("'"&amp;$D$16&amp;"'!C9")&lt;2021,0)),INDIRECT("'"&amp;$D$16&amp;"'!GO_2049"),0)
+IF(AND(IFERROR(INDIRECT("'"&amp;$D$17&amp;"'!C9")&gt;1991,0),IFERROR(INDIRECT("'"&amp;$D$17&amp;"'!C9")&lt;2021,0)),INDIRECT("'"&amp;$D$17&amp;"'!GO_2049"),0)
+IF(AND(IFERROR(INDIRECT("'"&amp;$D$18&amp;"'!C9")&gt;1991,0),IFERROR(INDIRECT("'"&amp;$D$18&amp;"'!C9")&lt;2021,0)),INDIRECT("'"&amp;$D$18&amp;"'!GO_2049"),0)
+IF(AND(IFERROR(INDIRECT("'"&amp;$D$19&amp;"'!C9")&gt;1991,0),IFERROR(INDIRECT("'"&amp;$D$19&amp;"'!C9")&lt;2021,0)),INDIRECT("'"&amp;$D$19&amp;"'!GO_2049"),0)
+IF(AND(IFERROR(INDIRECT("'"&amp;$D$20&amp;"'!C9")&gt;1991,0),IFERROR(INDIRECT("'"&amp;$D$20&amp;"'!C9")&lt;2021,0)),INDIRECT("'"&amp;$D$20&amp;"'!GO_2049"),0)
+IF(AND(IFERROR(INDIRECT("'"&amp;$D$21&amp;"'!C9")&gt;1991,0),IFERROR(INDIRECT("'"&amp;$D$21&amp;"'!C9")&lt;2021,0)),INDIRECT("'"&amp;$D$21&amp;"'!GO_2049"),0)
+IF(AND(IFERROR(INDIRECT("'"&amp;$D$22&amp;"'!C9")&gt;1991,0),IFERROR(INDIRECT("'"&amp;$D$22&amp;"'!C9")&lt;2021,0)),INDIRECT("'"&amp;$D$22&amp;"'!GO_2049"),0)
+IF(AND(IFERROR(INDIRECT("'"&amp;$D$23&amp;"'!C9")&gt;1991,0),IFERROR(INDIRECT("'"&amp;$D$23&amp;"'!C9")&lt;2021,0)),INDIRECT("'"&amp;$D$23&amp;"'!GO_2049"),0)
+IF(AND(IFERROR(INDIRECT("'"&amp;$D$24&amp;"'!C9")&gt;1991,0),IFERROR(INDIRECT("'"&amp;$D$24&amp;"'!C9")&lt;2021,0)),INDIRECT("'"&amp;$D$24&amp;"'!GO_2049"),0)
+IF(AND(IFERROR(INDIRECT("'"&amp;$D$25&amp;"'!C9")&gt;1991,0),IFERROR(INDIRECT("'"&amp;$D$25&amp;"'!C9")&lt;2021,0)),INDIRECT("'"&amp;$D$25&amp;"'!GO_2049"),0)
+IF(AND(IFERROR(INDIRECT("'"&amp;$D$26&amp;"'!C9")&gt;1991,0),IFERROR(INDIRECT("'"&amp;$D$26&amp;"'!C9")&lt;2021,0)),INDIRECT("'"&amp;$D$26&amp;"'!GO_2049"),0)
+IF(AND(IFERROR(INDIRECT("'"&amp;$D$27&amp;"'!C9")&gt;1991,0),IFERROR(INDIRECT("'"&amp;$D$27&amp;"'!C9")&lt;2021,0)),INDIRECT("'"&amp;$D$27&amp;"'!GO_2049"),0)
+IF(AND(IFERROR(INDIRECT("'"&amp;$D$28&amp;"'!C9")&gt;1991,0),IFERROR(INDIRECT("'"&amp;$D$28&amp;"'!C9")&lt;2021,0)),INDIRECT("'"&amp;$D$28&amp;"'!GO_2049"),0)
+IF(AND(IFERROR(INDIRECT("'"&amp;$D$29&amp;"'!C9")&gt;1991,0),IFERROR(INDIRECT("'"&amp;$D$29&amp;"'!C9")&lt;2021,0)),INDIRECT("'"&amp;$D$29&amp;"'!GO_2049"),0)
+IF(AND(IFERROR(INDIRECT("'"&amp;$D$30&amp;"'!C9")&gt;1991,0),IFERROR(INDIRECT("'"&amp;$D$30&amp;"'!C9")&lt;2021,0)),INDIRECT("'"&amp;$D$30&amp;"'!GO_2049"),0)
+IF(AND(IFERROR(INDIRECT("'"&amp;$D$31&amp;"'!C9")&gt;1991,0),IFERROR(INDIRECT("'"&amp;$D$31&amp;"'!C9")&lt;2021,0)),INDIRECT("'"&amp;$D$31&amp;"'!GO_2049"),0)
+IF(AND(IFERROR(INDIRECT("'"&amp;$D$32&amp;"'!C9")&gt;1991,0),IFERROR(INDIRECT("'"&amp;$D$32&amp;"'!C9")&lt;2021,0)),INDIRECT("'"&amp;$D$32&amp;"'!GO_2049"),0)
+IF(AND(IFERROR(INDIRECT("'"&amp;$D$33&amp;"'!C9")&gt;1991,0),IFERROR(INDIRECT("'"&amp;$D$33&amp;"'!C9")&lt;2021,0)),INDIRECT("'"&amp;$D$33&amp;"'!GO_2049"),0)
+IF(AND(IFERROR(INDIRECT("'"&amp;$D$34&amp;"'!C9")&gt;1991,0),IFERROR(INDIRECT("'"&amp;$D$34&amp;"'!C9")&lt;2021,0)),INDIRECT("'"&amp;$D$34&amp;"'!GO_2049"),0)
+IF(AND(IFERROR(INDIRECT("'"&amp;$D$35&amp;"'!C9")&gt;1991,0),IFERROR(INDIRECT("'"&amp;$D$35&amp;"'!C9")&lt;2021,0)),INDIRECT("'"&amp;$D$35&amp;"'!GO_2049"),0)
+IF(AND(IFERROR(INDIRECT("'"&amp;$D$36&amp;"'!C9")&gt;1991,0),IFERROR(INDIRECT("'"&amp;$D$36&amp;"'!C9")&lt;2021,0)),INDIRECT("'"&amp;$D$36&amp;"'!GO_2049"),0)
+IF(AND(IFERROR(INDIRECT("'"&amp;$D$37&amp;"'!C9")&gt;1991,0),IFERROR(INDIRECT("'"&amp;$D$37&amp;"'!C9")&lt;2021,0)),INDIRECT("'"&amp;$D$37&amp;"'!GO_2049"),0)
+IF(AND(IFERROR(INDIRECT("'"&amp;$D$38&amp;"'!C9")&gt;1991,0),IFERROR(INDIRECT("'"&amp;$D$38&amp;"'!C9")&lt;2021,0)),INDIRECT("'"&amp;$D$38&amp;"'!GO_2049"),0)
+IF(AND(IFERROR(INDIRECT("'"&amp;$D$39&amp;"'!C9")&gt;1991,0),IFERROR(INDIRECT("'"&amp;$D$39&amp;"'!C9")&lt;2021,0)),INDIRECT("'"&amp;$D$39&amp;"'!GO_2049"),0)
+IF(AND(IFERROR(INDIRECT("'"&amp;$D$40&amp;"'!C9")&gt;1991,0),IFERROR(INDIRECT("'"&amp;$D$40&amp;"'!C9")&lt;2021,0)),INDIRECT("'"&amp;$D$40&amp;"'!GO_2049"),0)
+IF(AND(IFERROR(INDIRECT("'"&amp;$D$41&amp;"'!C9")&gt;1991,0),IFERROR(INDIRECT("'"&amp;$D$41&amp;"'!C9")&lt;2021,0)),INDIRECT("'"&amp;$D$41&amp;"'!GO_2049"),0)
+IF(AND(IFERROR(INDIRECT("'"&amp;$D$42&amp;"'!C9")&gt;1991,0),IFERROR(INDIRECT("'"&amp;$D$42&amp;"'!C9")&lt;2021,0)),INDIRECT("'"&amp;$D$42&amp;"'!GO_2049"),0)
+IF(AND(IFERROR(INDIRECT("'"&amp;$D$43&amp;"'!C9")&gt;1991,0),IFERROR(INDIRECT("'"&amp;$D$43&amp;"'!C9")&lt;2021,0)),INDIRECT("'"&amp;$D$43&amp;"'!GO_2049"),0)
+IF(AND(IFERROR(INDIRECT("'"&amp;$D$44&amp;"'!C9")&gt;1991,0),IFERROR(INDIRECT("'"&amp;$D$44&amp;"'!C9")&lt;2021,0)),INDIRECT("'"&amp;$D$44&amp;"'!GO_2049"),0)
+IF(AND(IFERROR(INDIRECT("'"&amp;$D$45&amp;"'!C9")&gt;1991,0),IFERROR(INDIRECT("'"&amp;$D$45&amp;"'!C9")&lt;2021,0)),INDIRECT("'"&amp;$D$45&amp;"'!GO_2049"),0)
+IF(AND(IFERROR(INDIRECT("'"&amp;$D$46&amp;"'!C9")&gt;1991,0),IFERROR(INDIRECT("'"&amp;$D$46&amp;"'!C9")&lt;2021,0)),INDIRECT("'"&amp;$D$46&amp;"'!GO_2049"),0)
+IF(AND(IFERROR(INDIRECT("'"&amp;$D$47&amp;"'!C9")&gt;1991,0),IFERROR(INDIRECT("'"&amp;$D$47&amp;"'!C9")&lt;2021,0)),INDIRECT("'"&amp;$D$47&amp;"'!GO_2049"),0)
+IF(AND(IFERROR(INDIRECT("'"&amp;$D$48&amp;"'!C9")&gt;1991,0),IFERROR(INDIRECT("'"&amp;$D$48&amp;"'!C9")&lt;2021,0)),INDIRECT("'"&amp;$D$48&amp;"'!GO_2049"),0)
+IF(AND(IFERROR(INDIRECT("'"&amp;$D$49&amp;"'!C9")&gt;1991,0),IFERROR(INDIRECT("'"&amp;$D$49&amp;"'!C9")&lt;2021,0)),INDIRECT("'"&amp;$D$49&amp;"'!GO_2049"),0)
+IF(AND(IFERROR(INDIRECT("'"&amp;$D$50&amp;"'!C9")&gt;1991,0),IFERROR(INDIRECT("'"&amp;$D$50&amp;"'!C9")&lt;2021,0)),INDIRECT("'"&amp;$D$50&amp;"'!GO_2049"),0)
+IF(AND(IFERROR(INDIRECT("'"&amp;$D$51&amp;"'!C9")&gt;1991,0),IFERROR(INDIRECT("'"&amp;$D$51&amp;"'!C9")&lt;2021,0)),INDIRECT("'"&amp;$D$51&amp;"'!GO_2049"),0)
+IF(AND(IFERROR(INDIRECT("'"&amp;$D$52&amp;"'!C9")&gt;1991,0),IFERROR(INDIRECT("'"&amp;$D$52&amp;"'!C9")&lt;2021,0)),INDIRECT("'"&amp;$D$52&amp;"'!GO_2049"),0)
+IF(AND(IFERROR(INDIRECT("'"&amp;$D$53&amp;"'!C9")&gt;1991,0),IFERROR(INDIRECT("'"&amp;$D$53&amp;"'!C9")&lt;2021,0)),INDIRECT("'"&amp;$D$53&amp;"'!GO_2049"),0)
+IF(AND(IFERROR(INDIRECT("'"&amp;$D$54&amp;"'!C9")&gt;1991,0),IFERROR(INDIRECT("'"&amp;$D$54&amp;"'!C9")&lt;2021,0)),INDIRECT("'"&amp;$D$54&amp;"'!GO_2049"),0)</f>
        <v>0</v>
      </c>
      <c r="AN27" s="321">
        <f ca="1">IF(AND(IFERROR(INDIRECT("'"&amp;$D$5&amp;"'!C9")&gt;1991,0),IFERROR(INDIRECT("'"&amp;$D$5&amp;"'!C9")&lt;2021,0)),INDIRECT("'"&amp;$D$5&amp;"'!GO_2050"),0)
+IF(AND(IFERROR(INDIRECT("'"&amp;$D$6&amp;"'!C9")&gt;1991,0),IFERROR(INDIRECT("'"&amp;$D$6&amp;"'!C9")&lt;2021,0)),INDIRECT("'"&amp;$D$6&amp;"'!GO_2050"),0)
+IF(AND(IFERROR(INDIRECT("'"&amp;$D$7&amp;"'!C9")&gt;1991,0),IFERROR(INDIRECT("'"&amp;$D$7&amp;"'!C9")&lt;2021,0)),INDIRECT("'"&amp;$D$7&amp;"'!GO_2050"),0)
+IF(AND(IFERROR(INDIRECT("'"&amp;$D$8&amp;"'!C9")&gt;1991,0),IFERROR(INDIRECT("'"&amp;$D$8&amp;"'!C9")&lt;2021,0)),INDIRECT("'"&amp;$D$8&amp;"'!GO_2050"),0)
+IF(AND(IFERROR(INDIRECT("'"&amp;$D$9&amp;"'!C9")&gt;1991,0),IFERROR(INDIRECT("'"&amp;$D$9&amp;"'!C9")&lt;2021,0)),INDIRECT("'"&amp;$D$9&amp;"'!GO_2050"),0)
+IF(AND(IFERROR(INDIRECT("'"&amp;$D$10&amp;"'!C9")&gt;1991,0),IFERROR(INDIRECT("'"&amp;$D$10&amp;"'!C9")&lt;2021,0)),INDIRECT("'"&amp;$D$10&amp;"'!GO_2050"),0)
+IF(AND(IFERROR(INDIRECT("'"&amp;$D$11&amp;"'!C9")&gt;1991,0),IFERROR(INDIRECT("'"&amp;$D$11&amp;"'!C9")&lt;2021,0)),INDIRECT("'"&amp;$D$11&amp;"'!GO_2050"),0)
+IF(AND(IFERROR(INDIRECT("'"&amp;$D$12&amp;"'!C9")&gt;1991,0),IFERROR(INDIRECT("'"&amp;$D$12&amp;"'!C9")&lt;2021,0)),INDIRECT("'"&amp;$D$12&amp;"'!GO_2050"),0)
+IF(AND(IFERROR(INDIRECT("'"&amp;$D$13&amp;"'!C9")&gt;1991,0),IFERROR(INDIRECT("'"&amp;$D$13&amp;"'!C9")&lt;2021,0)),INDIRECT("'"&amp;$D$13&amp;"'!GO_2050"),0)
+IF(AND(IFERROR(INDIRECT("'"&amp;$D$14&amp;"'!C9")&gt;1991,0),IFERROR(INDIRECT("'"&amp;$D$14&amp;"'!C9")&lt;2021,0)),INDIRECT("'"&amp;$D$14&amp;"'!GO_2050"),0)
+IF(AND(IFERROR(INDIRECT("'"&amp;$D$15&amp;"'!C9")&gt;1991,0),IFERROR(INDIRECT("'"&amp;$D$15&amp;"'!C9")&lt;2021,0)),INDIRECT("'"&amp;$D$15&amp;"'!GO_2050"),0)
+IF(AND(IFERROR(INDIRECT("'"&amp;$D$16&amp;"'!C9")&gt;1991,0),IFERROR(INDIRECT("'"&amp;$D$16&amp;"'!C9")&lt;2021,0)),INDIRECT("'"&amp;$D$16&amp;"'!GO_2050"),0)
+IF(AND(IFERROR(INDIRECT("'"&amp;$D$17&amp;"'!C9")&gt;1991,0),IFERROR(INDIRECT("'"&amp;$D$17&amp;"'!C9")&lt;2021,0)),INDIRECT("'"&amp;$D$17&amp;"'!GO_2050"),0)
+IF(AND(IFERROR(INDIRECT("'"&amp;$D$18&amp;"'!C9")&gt;1991,0),IFERROR(INDIRECT("'"&amp;$D$18&amp;"'!C9")&lt;2021,0)),INDIRECT("'"&amp;$D$18&amp;"'!GO_2050"),0)
+IF(AND(IFERROR(INDIRECT("'"&amp;$D$19&amp;"'!C9")&gt;1991,0),IFERROR(INDIRECT("'"&amp;$D$19&amp;"'!C9")&lt;2021,0)),INDIRECT("'"&amp;$D$19&amp;"'!GO_2050"),0)
+IF(AND(IFERROR(INDIRECT("'"&amp;$D$20&amp;"'!C9")&gt;1991,0),IFERROR(INDIRECT("'"&amp;$D$20&amp;"'!C9")&lt;2021,0)),INDIRECT("'"&amp;$D$20&amp;"'!GO_2050"),0)
+IF(AND(IFERROR(INDIRECT("'"&amp;$D$21&amp;"'!C9")&gt;1991,0),IFERROR(INDIRECT("'"&amp;$D$21&amp;"'!C9")&lt;2021,0)),INDIRECT("'"&amp;$D$21&amp;"'!GO_2050"),0)
+IF(AND(IFERROR(INDIRECT("'"&amp;$D$22&amp;"'!C9")&gt;1991,0),IFERROR(INDIRECT("'"&amp;$D$22&amp;"'!C9")&lt;2021,0)),INDIRECT("'"&amp;$D$22&amp;"'!GO_2050"),0)
+IF(AND(IFERROR(INDIRECT("'"&amp;$D$23&amp;"'!C9")&gt;1991,0),IFERROR(INDIRECT("'"&amp;$D$23&amp;"'!C9")&lt;2021,0)),INDIRECT("'"&amp;$D$23&amp;"'!GO_2050"),0)
+IF(AND(IFERROR(INDIRECT("'"&amp;$D$24&amp;"'!C9")&gt;1991,0),IFERROR(INDIRECT("'"&amp;$D$24&amp;"'!C9")&lt;2021,0)),INDIRECT("'"&amp;$D$24&amp;"'!GO_2050"),0)
+IF(AND(IFERROR(INDIRECT("'"&amp;$D$25&amp;"'!C9")&gt;1991,0),IFERROR(INDIRECT("'"&amp;$D$25&amp;"'!C9")&lt;2021,0)),INDIRECT("'"&amp;$D$25&amp;"'!GO_2050"),0)
+IF(AND(IFERROR(INDIRECT("'"&amp;$D$26&amp;"'!C9")&gt;1991,0),IFERROR(INDIRECT("'"&amp;$D$26&amp;"'!C9")&lt;2021,0)),INDIRECT("'"&amp;$D$26&amp;"'!GO_2050"),0)
+IF(AND(IFERROR(INDIRECT("'"&amp;$D$27&amp;"'!C9")&gt;1991,0),IFERROR(INDIRECT("'"&amp;$D$27&amp;"'!C9")&lt;2021,0)),INDIRECT("'"&amp;$D$27&amp;"'!GO_2050"),0)
+IF(AND(IFERROR(INDIRECT("'"&amp;$D$28&amp;"'!C9")&gt;1991,0),IFERROR(INDIRECT("'"&amp;$D$28&amp;"'!C9")&lt;2021,0)),INDIRECT("'"&amp;$D$28&amp;"'!GO_2050"),0)
+IF(AND(IFERROR(INDIRECT("'"&amp;$D$29&amp;"'!C9")&gt;1991,0),IFERROR(INDIRECT("'"&amp;$D$29&amp;"'!C9")&lt;2021,0)),INDIRECT("'"&amp;$D$29&amp;"'!GO_2050"),0)
+IF(AND(IFERROR(INDIRECT("'"&amp;$D$30&amp;"'!C9")&gt;1991,0),IFERROR(INDIRECT("'"&amp;$D$30&amp;"'!C9")&lt;2021,0)),INDIRECT("'"&amp;$D$30&amp;"'!GO_2050"),0)
+IF(AND(IFERROR(INDIRECT("'"&amp;$D$31&amp;"'!C9")&gt;1991,0),IFERROR(INDIRECT("'"&amp;$D$31&amp;"'!C9")&lt;2021,0)),INDIRECT("'"&amp;$D$31&amp;"'!GO_2050"),0)
+IF(AND(IFERROR(INDIRECT("'"&amp;$D$32&amp;"'!C9")&gt;1991,0),IFERROR(INDIRECT("'"&amp;$D$32&amp;"'!C9")&lt;2021,0)),INDIRECT("'"&amp;$D$32&amp;"'!GO_2050"),0)
+IF(AND(IFERROR(INDIRECT("'"&amp;$D$33&amp;"'!C9")&gt;1991,0),IFERROR(INDIRECT("'"&amp;$D$33&amp;"'!C9")&lt;2021,0)),INDIRECT("'"&amp;$D$33&amp;"'!GO_2050"),0)
+IF(AND(IFERROR(INDIRECT("'"&amp;$D$34&amp;"'!C9")&gt;1991,0),IFERROR(INDIRECT("'"&amp;$D$34&amp;"'!C9")&lt;2021,0)),INDIRECT("'"&amp;$D$34&amp;"'!GO_2050"),0)
+IF(AND(IFERROR(INDIRECT("'"&amp;$D$35&amp;"'!C9")&gt;1991,0),IFERROR(INDIRECT("'"&amp;$D$35&amp;"'!C9")&lt;2021,0)),INDIRECT("'"&amp;$D$35&amp;"'!GO_2050"),0)
+IF(AND(IFERROR(INDIRECT("'"&amp;$D$36&amp;"'!C9")&gt;1991,0),IFERROR(INDIRECT("'"&amp;$D$36&amp;"'!C9")&lt;2021,0)),INDIRECT("'"&amp;$D$36&amp;"'!GO_2050"),0)
+IF(AND(IFERROR(INDIRECT("'"&amp;$D$37&amp;"'!C9")&gt;1991,0),IFERROR(INDIRECT("'"&amp;$D$37&amp;"'!C9")&lt;2021,0)),INDIRECT("'"&amp;$D$37&amp;"'!GO_2050"),0)
+IF(AND(IFERROR(INDIRECT("'"&amp;$D$38&amp;"'!C9")&gt;1991,0),IFERROR(INDIRECT("'"&amp;$D$38&amp;"'!C9")&lt;2021,0)),INDIRECT("'"&amp;$D$38&amp;"'!GO_2050"),0)
+IF(AND(IFERROR(INDIRECT("'"&amp;$D$39&amp;"'!C9")&gt;1991,0),IFERROR(INDIRECT("'"&amp;$D$39&amp;"'!C9")&lt;2021,0)),INDIRECT("'"&amp;$D$39&amp;"'!GO_2050"),0)
+IF(AND(IFERROR(INDIRECT("'"&amp;$D$40&amp;"'!C9")&gt;1991,0),IFERROR(INDIRECT("'"&amp;$D$40&amp;"'!C9")&lt;2021,0)),INDIRECT("'"&amp;$D$40&amp;"'!GO_2050"),0)
+IF(AND(IFERROR(INDIRECT("'"&amp;$D$41&amp;"'!C9")&gt;1991,0),IFERROR(INDIRECT("'"&amp;$D$41&amp;"'!C9")&lt;2021,0)),INDIRECT("'"&amp;$D$41&amp;"'!GO_2050"),0)
+IF(AND(IFERROR(INDIRECT("'"&amp;$D$42&amp;"'!C9")&gt;1991,0),IFERROR(INDIRECT("'"&amp;$D$42&amp;"'!C9")&lt;2021,0)),INDIRECT("'"&amp;$D$42&amp;"'!GO_2050"),0)
+IF(AND(IFERROR(INDIRECT("'"&amp;$D$43&amp;"'!C9")&gt;1991,0),IFERROR(INDIRECT("'"&amp;$D$43&amp;"'!C9")&lt;2021,0)),INDIRECT("'"&amp;$D$43&amp;"'!GO_2050"),0)
+IF(AND(IFERROR(INDIRECT("'"&amp;$D$44&amp;"'!C9")&gt;1991,0),IFERROR(INDIRECT("'"&amp;$D$44&amp;"'!C9")&lt;2021,0)),INDIRECT("'"&amp;$D$44&amp;"'!GO_2050"),0)
+IF(AND(IFERROR(INDIRECT("'"&amp;$D$45&amp;"'!C9")&gt;1991,0),IFERROR(INDIRECT("'"&amp;$D$45&amp;"'!C9")&lt;2021,0)),INDIRECT("'"&amp;$D$45&amp;"'!GO_2050"),0)
+IF(AND(IFERROR(INDIRECT("'"&amp;$D$46&amp;"'!C9")&gt;1991,0),IFERROR(INDIRECT("'"&amp;$D$46&amp;"'!C9")&lt;2021,0)),INDIRECT("'"&amp;$D$46&amp;"'!GO_2050"),0)
+IF(AND(IFERROR(INDIRECT("'"&amp;$D$47&amp;"'!C9")&gt;1991,0),IFERROR(INDIRECT("'"&amp;$D$47&amp;"'!C9")&lt;2021,0)),INDIRECT("'"&amp;$D$47&amp;"'!GO_2050"),0)
+IF(AND(IFERROR(INDIRECT("'"&amp;$D$48&amp;"'!C9")&gt;1991,0),IFERROR(INDIRECT("'"&amp;$D$48&amp;"'!C9")&lt;2021,0)),INDIRECT("'"&amp;$D$48&amp;"'!GO_2050"),0)
+IF(AND(IFERROR(INDIRECT("'"&amp;$D$49&amp;"'!C9")&gt;1991,0),IFERROR(INDIRECT("'"&amp;$D$49&amp;"'!C9")&lt;2021,0)),INDIRECT("'"&amp;$D$49&amp;"'!GO_2050"),0)
+IF(AND(IFERROR(INDIRECT("'"&amp;$D$50&amp;"'!C9")&gt;1991,0),IFERROR(INDIRECT("'"&amp;$D$50&amp;"'!C9")&lt;2021,0)),INDIRECT("'"&amp;$D$50&amp;"'!GO_2050"),0)
+IF(AND(IFERROR(INDIRECT("'"&amp;$D$51&amp;"'!C9")&gt;1991,0),IFERROR(INDIRECT("'"&amp;$D$51&amp;"'!C9")&lt;2021,0)),INDIRECT("'"&amp;$D$51&amp;"'!GO_2050"),0)
+IF(AND(IFERROR(INDIRECT("'"&amp;$D$52&amp;"'!C9")&gt;1991,0),IFERROR(INDIRECT("'"&amp;$D$52&amp;"'!C9")&lt;2021,0)),INDIRECT("'"&amp;$D$52&amp;"'!GO_2050"),0)
+IF(AND(IFERROR(INDIRECT("'"&amp;$D$53&amp;"'!C9")&gt;1991,0),IFERROR(INDIRECT("'"&amp;$D$53&amp;"'!C9")&lt;2021,0)),INDIRECT("'"&amp;$D$53&amp;"'!GO_2050"),0)
+IF(AND(IFERROR(INDIRECT("'"&amp;$D$54&amp;"'!C9")&gt;1991,0),IFERROR(INDIRECT("'"&amp;$D$54&amp;"'!C9")&lt;2021,0)),INDIRECT("'"&amp;$D$54&amp;"'!GO_2050"),0)</f>
        <v>0</v>
      </c>
      <c r="AO27" s="123"/>
    </row>
    <row r="28" spans="2:41" ht="18.75">
      <c r="B28" s="8"/>
      <c r="C28" s="279" t="s">
        <v>65</v>
      </c>
      <c r="D28" s="115"/>
      <c r="E28" s="8"/>
      <c r="F28" s="8"/>
      <c r="G28" s="323" t="s">
        <v>41</v>
      </c>
      <c r="H28" s="322">
        <f ca="1">Nieuwbouw!E38+IF(
    IFERROR(INDIRECT("'"&amp;$D$5&amp;"'!C9")&gt;2020, 0),
    INDIRECT("'"&amp;$D$5&amp;"'!GO_2018"),
    0
)
+IF(
    IFERROR(INDIRECT("'"&amp;$D$6&amp;"'!C9")&gt;2020, 0),
    INDIRECT("'"&amp;$D$6&amp;"'!GO_2018"),
    0
)
+IF(
    IFERROR(INDIRECT("'"&amp;$D$7&amp;"'!C9")&gt;2020, 0),
    INDIRECT("'"&amp;$D$7&amp;"'!GO_2018"),
    0
)
+IF(
    IFERROR(INDIRECT("'"&amp;$D$8&amp;"'!C9")&gt;2020, 0),
    INDIRECT("'"&amp;$D$8&amp;"'!GO_2018"),
    0
)
+IF(
    IFERROR(INDIRECT("'"&amp;$D$9&amp;"'!C9")&gt;2020, 0),
    INDIRECT("'"&amp;$D$9&amp;"'!GO_2018"),
    0
)
+IF(
    IFERROR(INDIRECT("'"&amp;$D$10&amp;"'!C9")&gt;2020, 0),
    INDIRECT("'"&amp;$D$10&amp;"'!GO_2018"),
    0
)
+IF(
    IFERROR(INDIRECT("'"&amp;$D$11&amp;"'!C9")&gt;2020, 0),
    INDIRECT("'"&amp;$D$11&amp;"'!GO_2018"),
    0
)
+IF(
    IFERROR(INDIRECT("'"&amp;$D$12&amp;"'!C9")&gt;2020, 0),
    INDIRECT("'"&amp;$D$12&amp;"'!GO_2018"),
    0
)
+IF(
    IFERROR(INDIRECT("'"&amp;$D$13&amp;"'!C9")&gt;2020, 0),
    INDIRECT("'"&amp;$D$13&amp;"'!GO_2018"),
    0
)
+IF(
    IFERROR(INDIRECT("'"&amp;$D$14&amp;"'!C9")&gt;2020, 0),
    INDIRECT("'"&amp;$D$14&amp;"'!GO_2018"),
    0
)
+IF(
    IFERROR(INDIRECT("'"&amp;$D$15&amp;"'!C9")&gt;2020, 0),
    INDIRECT("'"&amp;$D$15&amp;"'!GO_2018"),
    0
)
+IF(
    IFERROR(INDIRECT("'"&amp;$D$16&amp;"'!C9")&gt;2020, 0),
    INDIRECT("'"&amp;$D$16&amp;"'!GO_2018"),
    0
)
+IF(
    IFERROR(INDIRECT("'"&amp;$D$17&amp;"'!C9")&gt;2020, 0),
    INDIRECT("'"&amp;$D$17&amp;"'!GO_2018"),
    0
)
+IF(
    IFERROR(INDIRECT("'"&amp;$D$18&amp;"'!C9")&gt;2020, 0),
    INDIRECT("'"&amp;$D$18&amp;"'!GO_2018"),
    0
)
+IF(
    IFERROR(INDIRECT("'"&amp;$D$19&amp;"'!C9")&gt;2020, 0),
    INDIRECT("'"&amp;$D$19&amp;"'!GO_2018"),
    0
)
+IF(
    IFERROR(INDIRECT("'"&amp;$D$20&amp;"'!C9")&gt;2020, 0),
    INDIRECT("'"&amp;$D$20&amp;"'!GO_2018"),
    0
)
+IF(
    IFERROR(INDIRECT("'"&amp;$D$21&amp;"'!C9")&gt;2020, 0),
    INDIRECT("'"&amp;$D$21&amp;"'!GO_2018"),
    0
)
+IF(
    IFERROR(INDIRECT("'"&amp;$D$22&amp;"'!C9")&gt;2020, 0),
    INDIRECT("'"&amp;$D$22&amp;"'!GO_2018"),
    0
)
+IF(
    IFERROR(INDIRECT("'"&amp;$D$23&amp;"'!C9")&gt;2020, 0),
    INDIRECT("'"&amp;$D$23&amp;"'!GO_2018"),
    0
)
+IF(
    IFERROR(INDIRECT("'"&amp;$D$24&amp;"'!C9")&gt;2020, 0),
    INDIRECT("'"&amp;$D$24&amp;"'!GO_2018"),
    0
)
+IF(
    IFERROR(INDIRECT("'"&amp;$D$25&amp;"'!C9")&gt;2020, 0),
    INDIRECT("'"&amp;$D$25&amp;"'!GO_2018"),
    0
)
+IF(
    IFERROR(INDIRECT("'"&amp;$D$26&amp;"'!C9")&gt;2020, 0),
    INDIRECT("'"&amp;$D$26&amp;"'!GO_2018"),
    0
)
+IF(
    IFERROR(INDIRECT("'"&amp;$D$27&amp;"'!C9")&gt;2020, 0),
    INDIRECT("'"&amp;$D$27&amp;"'!GO_2018"),
    0
)
+IF(
    IFERROR(INDIRECT("'"&amp;$D$28&amp;"'!C9")&gt;2020, 0),
    INDIRECT("'"&amp;$D$28&amp;"'!GO_2018"),
    0
)
+IF(
    IFERROR(INDIRECT("'"&amp;$D$29&amp;"'!C9")&gt;2020, 0),
    INDIRECT("'"&amp;$D$29&amp;"'!GO_2018"),
    0
)
+IF(
    IFERROR(INDIRECT("'"&amp;$D$30&amp;"'!C9")&gt;2020, 0),
    INDIRECT("'"&amp;$D$30&amp;"'!GO_2018"),
    0
)
+IF(
    IFERROR(INDIRECT("'"&amp;$D$31&amp;"'!C9")&gt;2020, 0),
    INDIRECT("'"&amp;$D$31&amp;"'!GO_2018"),
    0
)
+IF(
    IFERROR(INDIRECT("'"&amp;$D$32&amp;"'!C9")&gt;2020, 0),
    INDIRECT("'"&amp;$D$32&amp;"'!GO_2018"),
    0
)
+IF(
    IFERROR(INDIRECT("'"&amp;$D$33&amp;"'!C9")&gt;2020, 0),
    INDIRECT("'"&amp;$D$33&amp;"'!GO_2018"),
    0
)
+IF(
    IFERROR(INDIRECT("'"&amp;$D$34&amp;"'!C9")&gt;2020, 0),
    INDIRECT("'"&amp;$D$34&amp;"'!GO_2018"),
    0
)
+IF(
    IFERROR(INDIRECT("'"&amp;$D$35&amp;"'!C9")&gt;2020, 0),
    INDIRECT("'"&amp;$D$35&amp;"'!GO_2018"),
    0
)
+IF(
    IFERROR(INDIRECT("'"&amp;$D$36&amp;"'!C9")&gt;2020, 0),
    INDIRECT("'"&amp;$D$36&amp;"'!GO_2018"),
    0
)
+IF(
    IFERROR(INDIRECT("'"&amp;$D$37&amp;"'!C9")&gt;2020, 0),
    INDIRECT("'"&amp;$D$37&amp;"'!GO_2018"),
    0
)
+IF(
    IFERROR(INDIRECT("'"&amp;$D$38&amp;"'!C9")&gt;2020, 0),
    INDIRECT("'"&amp;$D$38&amp;"'!GO_2018"),
    0
)
+IF(
    IFERROR(INDIRECT("'"&amp;$D$39&amp;"'!C9")&gt;2020, 0),
    INDIRECT("'"&amp;$D$39&amp;"'!GO_2018"),
    0
)
+IF(
    IFERROR(INDIRECT("'"&amp;$D$40&amp;"'!C9")&gt;2020, 0),
    INDIRECT("'"&amp;$D$40&amp;"'!GO_2018"),
    0
)
+IF(
    IFERROR(INDIRECT("'"&amp;$D$41&amp;"'!C9")&gt;2020, 0),
    INDIRECT("'"&amp;$D$41&amp;"'!GO_2018"),
    0
)
+IF(
    IFERROR(INDIRECT("'"&amp;$D$42&amp;"'!C9")&gt;2020, 0),
    INDIRECT("'"&amp;$D$42&amp;"'!GO_2018"),
    0
)
+IF(
    IFERROR(INDIRECT("'"&amp;$D$43&amp;"'!C9")&gt;2020, 0),
    INDIRECT("'"&amp;$D$43&amp;"'!GO_2018"),
    0
)
+IF(
    IFERROR(INDIRECT("'"&amp;$D$44&amp;"'!C9")&gt;2020, 0),
    INDIRECT("'"&amp;$D$44&amp;"'!GO_2018"),
    0
)
+IF(
    IFERROR(INDIRECT("'"&amp;$D$45&amp;"'!C9")&gt;2020, 0),
    INDIRECT("'"&amp;$D$45&amp;"'!GO_2018"),
    0
)
+IF(
    IFERROR(INDIRECT("'"&amp;$D$46&amp;"'!C9")&gt;2020, 0),
    INDIRECT("'"&amp;$D$46&amp;"'!GO_2018"),
    0
)
+IF(
    IFERROR(INDIRECT("'"&amp;$D$47&amp;"'!C9")&gt;2020, 0),
    INDIRECT("'"&amp;$D$47&amp;"'!GO_2018"),
    0
)
+IF(
    IFERROR(INDIRECT("'"&amp;$D$48&amp;"'!C9")&gt;2020, 0),
    INDIRECT("'"&amp;$D$48&amp;"'!GO_2018"),
    0
)
+IF(
    IFERROR(INDIRECT("'"&amp;$D$49&amp;"'!C9")&gt;2020, 0),
    INDIRECT("'"&amp;$D$49&amp;"'!GO_2018"),
    0
)
+IF(
    IFERROR(INDIRECT("'"&amp;$D$50&amp;"'!C9")&gt;2020, 0),
    INDIRECT("'"&amp;$D$50&amp;"'!GO_2018"),
    0
)
+IF(
    IFERROR(INDIRECT("'"&amp;$D$51&amp;"'!C9")&gt;2020, 0),
    INDIRECT("'"&amp;$D$51&amp;"'!GO_2018"),
    0
)
+IF(
    IFERROR(INDIRECT("'"&amp;$D$52&amp;"'!C9")&gt;2020, 0),
    INDIRECT("'"&amp;$D$52&amp;"'!GO_2018"),
    0
)
+IF(
    IFERROR(INDIRECT("'"&amp;$D$53&amp;"'!C9")&gt;2020, 0),
    INDIRECT("'"&amp;$D$53&amp;"'!GO_2018"),
    0
)
+IF(
    IFERROR(INDIRECT("'"&amp;$D$54&amp;"'!C9")&gt;2020, 0),
    INDIRECT("'"&amp;$D$54&amp;"'!GO_2018"),
    0
)</f>
        <v>0</v>
      </c>
      <c r="I28" s="322">
        <f ca="1">Nieuwbouw!F38+IF(
    IFERROR(INDIRECT("'"&amp;$D$5&amp;"'!C9")&gt;2020, 0),
    INDIRECT("'"&amp;$D$5&amp;"'!GO_2019"),
    0
)
+IF(
    IFERROR(INDIRECT("'"&amp;$D$6&amp;"'!C9")&gt;2020, 0),
    INDIRECT("'"&amp;$D$6&amp;"'!GO_2019"),
    0
)
+IF(
    IFERROR(INDIRECT("'"&amp;$D$7&amp;"'!C9")&gt;2020, 0),
    INDIRECT("'"&amp;$D$7&amp;"'!GO_2019"),
    0
)
+IF(
    IFERROR(INDIRECT("'"&amp;$D$8&amp;"'!C9")&gt;2020, 0),
    INDIRECT("'"&amp;$D$8&amp;"'!GO_2019"),
    0
)
+IF(
    IFERROR(INDIRECT("'"&amp;$D$9&amp;"'!C9")&gt;2020, 0),
    INDIRECT("'"&amp;$D$9&amp;"'!GO_2019"),
    0
)
+IF(
    IFERROR(INDIRECT("'"&amp;$D$10&amp;"'!C9")&gt;2020, 0),
    INDIRECT("'"&amp;$D$10&amp;"'!GO_2019"),
    0
)
+IF(
    IFERROR(INDIRECT("'"&amp;$D$11&amp;"'!C9")&gt;2020, 0),
    INDIRECT("'"&amp;$D$11&amp;"'!GO_2019"),
    0
)
+IF(
    IFERROR(INDIRECT("'"&amp;$D$12&amp;"'!C9")&gt;2020, 0),
    INDIRECT("'"&amp;$D$12&amp;"'!GO_2019"),
    0
)
+IF(
    IFERROR(INDIRECT("'"&amp;$D$13&amp;"'!C9")&gt;2020, 0),
    INDIRECT("'"&amp;$D$13&amp;"'!GO_2019"),
    0
)
+IF(
    IFERROR(INDIRECT("'"&amp;$D$14&amp;"'!C9")&gt;2020, 0),
    INDIRECT("'"&amp;$D$14&amp;"'!GO_2019"),
    0
)
+IF(
    IFERROR(INDIRECT("'"&amp;$D$15&amp;"'!C9")&gt;2020, 0),
    INDIRECT("'"&amp;$D$15&amp;"'!GO_2019"),
    0
)
+IF(
    IFERROR(INDIRECT("'"&amp;$D$16&amp;"'!C9")&gt;2020, 0),
    INDIRECT("'"&amp;$D$16&amp;"'!GO_2019"),
    0
)
+IF(
    IFERROR(INDIRECT("'"&amp;$D$17&amp;"'!C9")&gt;2020, 0),
    INDIRECT("'"&amp;$D$17&amp;"'!GO_2019"),
    0
)
+IF(
    IFERROR(INDIRECT("'"&amp;$D$18&amp;"'!C9")&gt;2020, 0),
    INDIRECT("'"&amp;$D$18&amp;"'!GO_2019"),
    0
)
+IF(
    IFERROR(INDIRECT("'"&amp;$D$19&amp;"'!C9")&gt;2020, 0),
    INDIRECT("'"&amp;$D$19&amp;"'!GO_2019"),
    0
)
+IF(
    IFERROR(INDIRECT("'"&amp;$D$20&amp;"'!C9")&gt;2020, 0),
    INDIRECT("'"&amp;$D$20&amp;"'!GO_2019"),
    0
)
+IF(
    IFERROR(INDIRECT("'"&amp;$D$21&amp;"'!C9")&gt;2020, 0),
    INDIRECT("'"&amp;$D$21&amp;"'!GO_2019"),
    0
)
+IF(
    IFERROR(INDIRECT("'"&amp;$D$22&amp;"'!C9")&gt;2020, 0),
    INDIRECT("'"&amp;$D$22&amp;"'!GO_2019"),
    0
)
+IF(
    IFERROR(INDIRECT("'"&amp;$D$23&amp;"'!C9")&gt;2020, 0),
    INDIRECT("'"&amp;$D$23&amp;"'!GO_2019"),
    0
)
+IF(
    IFERROR(INDIRECT("'"&amp;$D$24&amp;"'!C9")&gt;2020, 0),
    INDIRECT("'"&amp;$D$24&amp;"'!GO_2019"),
    0
)
+IF(
    IFERROR(INDIRECT("'"&amp;$D$25&amp;"'!C9")&gt;2020, 0),
    INDIRECT("'"&amp;$D$25&amp;"'!GO_2019"),
    0
)
+IF(
    IFERROR(INDIRECT("'"&amp;$D$26&amp;"'!C9")&gt;2020, 0),
    INDIRECT("'"&amp;$D$26&amp;"'!GO_2019"),
    0
)
+IF(
    IFERROR(INDIRECT("'"&amp;$D$27&amp;"'!C9")&gt;2020, 0),
    INDIRECT("'"&amp;$D$27&amp;"'!GO_2019"),
    0
)
+IF(
    IFERROR(INDIRECT("'"&amp;$D$28&amp;"'!C9")&gt;2020, 0),
    INDIRECT("'"&amp;$D$28&amp;"'!GO_2019"),
    0
)
+IF(
    IFERROR(INDIRECT("'"&amp;$D$29&amp;"'!C9")&gt;2020, 0),
    INDIRECT("'"&amp;$D$29&amp;"'!GO_2019"),
    0
)
+IF(
    IFERROR(INDIRECT("'"&amp;$D$30&amp;"'!C9")&gt;2020, 0),
    INDIRECT("'"&amp;$D$30&amp;"'!GO_2019"),
    0
)
+IF(
    IFERROR(INDIRECT("'"&amp;$D$31&amp;"'!C9")&gt;2020, 0),
    INDIRECT("'"&amp;$D$31&amp;"'!GO_2019"),
    0
)
+IF(
    IFERROR(INDIRECT("'"&amp;$D$32&amp;"'!C9")&gt;2020, 0),
    INDIRECT("'"&amp;$D$32&amp;"'!GO_2019"),
    0
)
+IF(
    IFERROR(INDIRECT("'"&amp;$D$33&amp;"'!C9")&gt;2020, 0),
    INDIRECT("'"&amp;$D$33&amp;"'!GO_2019"),
    0
)
+IF(
    IFERROR(INDIRECT("'"&amp;$D$34&amp;"'!C9")&gt;2020, 0),
    INDIRECT("'"&amp;$D$34&amp;"'!GO_2019"),
    0
)
+IF(
    IFERROR(INDIRECT("'"&amp;$D$35&amp;"'!C9")&gt;2020, 0),
    INDIRECT("'"&amp;$D$35&amp;"'!GO_2019"),
    0
)
+IF(
    IFERROR(INDIRECT("'"&amp;$D$36&amp;"'!C9")&gt;2020, 0),
    INDIRECT("'"&amp;$D$36&amp;"'!GO_2019"),
    0
)
+IF(
    IFERROR(INDIRECT("'"&amp;$D$37&amp;"'!C9")&gt;2020, 0),
    INDIRECT("'"&amp;$D$37&amp;"'!GO_2019"),
    0
)
+IF(
    IFERROR(INDIRECT("'"&amp;$D$38&amp;"'!C9")&gt;2020, 0),
    INDIRECT("'"&amp;$D$38&amp;"'!GO_2019"),
    0
)
+IF(
    IFERROR(INDIRECT("'"&amp;$D$39&amp;"'!C9")&gt;2020, 0),
    INDIRECT("'"&amp;$D$39&amp;"'!GO_2019"),
    0
)
+IF(
    IFERROR(INDIRECT("'"&amp;$D$40&amp;"'!C9")&gt;2020, 0),
    INDIRECT("'"&amp;$D$40&amp;"'!GO_2019"),
    0
)
+IF(
    IFERROR(INDIRECT("'"&amp;$D$41&amp;"'!C9")&gt;2020, 0),
    INDIRECT("'"&amp;$D$41&amp;"'!GO_2019"),
    0
)
+IF(
    IFERROR(INDIRECT("'"&amp;$D$42&amp;"'!C9")&gt;2020, 0),
    INDIRECT("'"&amp;$D$42&amp;"'!GO_2019"),
    0
)
+IF(
    IFERROR(INDIRECT("'"&amp;$D$43&amp;"'!C9")&gt;2020, 0),
    INDIRECT("'"&amp;$D$43&amp;"'!GO_2019"),
    0
)
+IF(
    IFERROR(INDIRECT("'"&amp;$D$44&amp;"'!C9")&gt;2020, 0),
    INDIRECT("'"&amp;$D$44&amp;"'!GO_2019"),
    0
)
+IF(
    IFERROR(INDIRECT("'"&amp;$D$45&amp;"'!C9")&gt;2020, 0),
    INDIRECT("'"&amp;$D$45&amp;"'!GO_2019"),
    0
)
+IF(
    IFERROR(INDIRECT("'"&amp;$D$46&amp;"'!C9")&gt;2020, 0),
    INDIRECT("'"&amp;$D$46&amp;"'!GO_2019"),
    0
)
+IF(
    IFERROR(INDIRECT("'"&amp;$D$47&amp;"'!C9")&gt;2020, 0),
    INDIRECT("'"&amp;$D$47&amp;"'!GO_2019"),
    0
)
+IF(
    IFERROR(INDIRECT("'"&amp;$D$48&amp;"'!C9")&gt;2020, 0),
    INDIRECT("'"&amp;$D$48&amp;"'!GO_2019"),
    0
)
+IF(
    IFERROR(INDIRECT("'"&amp;$D$49&amp;"'!C9")&gt;2020, 0),
    INDIRECT("'"&amp;$D$49&amp;"'!GO_2019"),
    0
)
+IF(
    IFERROR(INDIRECT("'"&amp;$D$50&amp;"'!C9")&gt;2020, 0),
    INDIRECT("'"&amp;$D$50&amp;"'!GO_2019"),
    0
)
+IF(
    IFERROR(INDIRECT("'"&amp;$D$51&amp;"'!C9")&gt;2020, 0),
    INDIRECT("'"&amp;$D$51&amp;"'!GO_2019"),
    0
)
+IF(
    IFERROR(INDIRECT("'"&amp;$D$52&amp;"'!C9")&gt;2020, 0),
    INDIRECT("'"&amp;$D$52&amp;"'!GO_2019"),
    0
)
+IF(
    IFERROR(INDIRECT("'"&amp;$D$53&amp;"'!C9")&gt;2020, 0),
    INDIRECT("'"&amp;$D$53&amp;"'!GO_2019"),
    0
)
+IF(
    IFERROR(INDIRECT("'"&amp;$D$54&amp;"'!C9")&gt;2020, 0),
    INDIRECT("'"&amp;$D$54&amp;"'!GO_2019"),
    0
)</f>
        <v>0</v>
      </c>
      <c r="J28" s="322">
        <f ca="1">Nieuwbouw!G38+IF(
    IFERROR(INDIRECT("'"&amp;$D$5&amp;"'!C9")&gt;2020, 0),
    INDIRECT("'"&amp;$D$5&amp;"'!GO_2020"),
    0
)
+IF(
    IFERROR(INDIRECT("'"&amp;$D$6&amp;"'!C9")&gt;2020, 0),
    INDIRECT("'"&amp;$D$6&amp;"'!GO_2020"),
    0
)
+IF(
    IFERROR(INDIRECT("'"&amp;$D$7&amp;"'!C9")&gt;2020, 0),
    INDIRECT("'"&amp;$D$7&amp;"'!GO_2020"),
    0
)
+IF(
    IFERROR(INDIRECT("'"&amp;$D$8&amp;"'!C9")&gt;2020, 0),
    INDIRECT("'"&amp;$D$8&amp;"'!GO_2020"),
    0
)
+IF(
    IFERROR(INDIRECT("'"&amp;$D$9&amp;"'!C9")&gt;2020, 0),
    INDIRECT("'"&amp;$D$9&amp;"'!GO_2020"),
    0
)
+IF(
    IFERROR(INDIRECT("'"&amp;$D$10&amp;"'!C9")&gt;2020, 0),
    INDIRECT("'"&amp;$D$10&amp;"'!GO_2020"),
    0
)
+IF(
    IFERROR(INDIRECT("'"&amp;$D$11&amp;"'!C9")&gt;2020, 0),
    INDIRECT("'"&amp;$D$11&amp;"'!GO_2020"),
    0
)
+IF(
    IFERROR(INDIRECT("'"&amp;$D$12&amp;"'!C9")&gt;2020, 0),
    INDIRECT("'"&amp;$D$12&amp;"'!GO_2020"),
    0
)
+IF(
    IFERROR(INDIRECT("'"&amp;$D$13&amp;"'!C9")&gt;2020, 0),
    INDIRECT("'"&amp;$D$13&amp;"'!GO_2020"),
    0
)
+IF(
    IFERROR(INDIRECT("'"&amp;$D$14&amp;"'!C9")&gt;2020, 0),
    INDIRECT("'"&amp;$D$14&amp;"'!GO_2020"),
    0
)
+IF(
    IFERROR(INDIRECT("'"&amp;$D$15&amp;"'!C9")&gt;2020, 0),
    INDIRECT("'"&amp;$D$15&amp;"'!GO_2020"),
    0
)
+IF(
    IFERROR(INDIRECT("'"&amp;$D$16&amp;"'!C9")&gt;2020, 0),
    INDIRECT("'"&amp;$D$16&amp;"'!GO_2020"),
    0
)
+IF(
    IFERROR(INDIRECT("'"&amp;$D$17&amp;"'!C9")&gt;2020, 0),
    INDIRECT("'"&amp;$D$17&amp;"'!GO_2020"),
    0
)
+IF(
    IFERROR(INDIRECT("'"&amp;$D$18&amp;"'!C9")&gt;2020, 0),
    INDIRECT("'"&amp;$D$18&amp;"'!GO_2020"),
    0
)
+IF(
    IFERROR(INDIRECT("'"&amp;$D$19&amp;"'!C9")&gt;2020, 0),
    INDIRECT("'"&amp;$D$19&amp;"'!GO_2020"),
    0
)
+IF(
    IFERROR(INDIRECT("'"&amp;$D$20&amp;"'!C9")&gt;2020, 0),
    INDIRECT("'"&amp;$D$20&amp;"'!GO_2020"),
    0
)
+IF(
    IFERROR(INDIRECT("'"&amp;$D$21&amp;"'!C9")&gt;2020, 0),
    INDIRECT("'"&amp;$D$21&amp;"'!GO_2020"),
    0
)
+IF(
    IFERROR(INDIRECT("'"&amp;$D$22&amp;"'!C9")&gt;2020, 0),
    INDIRECT("'"&amp;$D$22&amp;"'!GO_2020"),
    0
)
+IF(
    IFERROR(INDIRECT("'"&amp;$D$23&amp;"'!C9")&gt;2020, 0),
    INDIRECT("'"&amp;$D$23&amp;"'!GO_2020"),
    0
)
+IF(
    IFERROR(INDIRECT("'"&amp;$D$24&amp;"'!C9")&gt;2020, 0),
    INDIRECT("'"&amp;$D$24&amp;"'!GO_2020"),
    0
)
+IF(
    IFERROR(INDIRECT("'"&amp;$D$25&amp;"'!C9")&gt;2020, 0),
    INDIRECT("'"&amp;$D$25&amp;"'!GO_2020"),
    0
)
+IF(
    IFERROR(INDIRECT("'"&amp;$D$26&amp;"'!C9")&gt;2020, 0),
    INDIRECT("'"&amp;$D$26&amp;"'!GO_2020"),
    0
)
+IF(
    IFERROR(INDIRECT("'"&amp;$D$27&amp;"'!C9")&gt;2020, 0),
    INDIRECT("'"&amp;$D$27&amp;"'!GO_2020"),
    0
)
+IF(
    IFERROR(INDIRECT("'"&amp;$D$28&amp;"'!C9")&gt;2020, 0),
    INDIRECT("'"&amp;$D$28&amp;"'!GO_2020"),
    0
)
+IF(
    IFERROR(INDIRECT("'"&amp;$D$29&amp;"'!C9")&gt;2020, 0),
    INDIRECT("'"&amp;$D$29&amp;"'!GO_2020"),
    0
)
+IF(
    IFERROR(INDIRECT("'"&amp;$D$30&amp;"'!C9")&gt;2020, 0),
    INDIRECT("'"&amp;$D$30&amp;"'!GO_2020"),
    0
)
+IF(
    IFERROR(INDIRECT("'"&amp;$D$31&amp;"'!C9")&gt;2020, 0),
    INDIRECT("'"&amp;$D$31&amp;"'!GO_2020"),
    0
)
+IF(
    IFERROR(INDIRECT("'"&amp;$D$32&amp;"'!C9")&gt;2020, 0),
    INDIRECT("'"&amp;$D$32&amp;"'!GO_2020"),
    0
)
+IF(
    IFERROR(INDIRECT("'"&amp;$D$33&amp;"'!C9")&gt;2020, 0),
    INDIRECT("'"&amp;$D$33&amp;"'!GO_2020"),
    0
)
+IF(
    IFERROR(INDIRECT("'"&amp;$D$34&amp;"'!C9")&gt;2020, 0),
    INDIRECT("'"&amp;$D$34&amp;"'!GO_2020"),
    0
)
+IF(
    IFERROR(INDIRECT("'"&amp;$D$35&amp;"'!C9")&gt;2020, 0),
    INDIRECT("'"&amp;$D$35&amp;"'!GO_2020"),
    0
)
+IF(
    IFERROR(INDIRECT("'"&amp;$D$36&amp;"'!C9")&gt;2020, 0),
    INDIRECT("'"&amp;$D$36&amp;"'!GO_2020"),
    0
)
+IF(
    IFERROR(INDIRECT("'"&amp;$D$37&amp;"'!C9")&gt;2020, 0),
    INDIRECT("'"&amp;$D$37&amp;"'!GO_2020"),
    0
)
+IF(
    IFERROR(INDIRECT("'"&amp;$D$38&amp;"'!C9")&gt;2020, 0),
    INDIRECT("'"&amp;$D$38&amp;"'!GO_2020"),
    0
)
+IF(
    IFERROR(INDIRECT("'"&amp;$D$39&amp;"'!C9")&gt;2020, 0),
    INDIRECT("'"&amp;$D$39&amp;"'!GO_2020"),
    0
)
+IF(
    IFERROR(INDIRECT("'"&amp;$D$40&amp;"'!C9")&gt;2020, 0),
    INDIRECT("'"&amp;$D$40&amp;"'!GO_2020"),
    0
)
+IF(
    IFERROR(INDIRECT("'"&amp;$D$41&amp;"'!C9")&gt;2020, 0),
    INDIRECT("'"&amp;$D$41&amp;"'!GO_2020"),
    0
)
+IF(
    IFERROR(INDIRECT("'"&amp;$D$42&amp;"'!C9")&gt;2020, 0),
    INDIRECT("'"&amp;$D$42&amp;"'!GO_2020"),
    0
)
+IF(
    IFERROR(INDIRECT("'"&amp;$D$43&amp;"'!C9")&gt;2020, 0),
    INDIRECT("'"&amp;$D$43&amp;"'!GO_2020"),
    0
)
+IF(
    IFERROR(INDIRECT("'"&amp;$D$44&amp;"'!C9")&gt;2020, 0),
    INDIRECT("'"&amp;$D$44&amp;"'!GO_2020"),
    0
)
+IF(
    IFERROR(INDIRECT("'"&amp;$D$45&amp;"'!C9")&gt;2020, 0),
    INDIRECT("'"&amp;$D$45&amp;"'!GO_2020"),
    0
)
+IF(
    IFERROR(INDIRECT("'"&amp;$D$46&amp;"'!C9")&gt;2020, 0),
    INDIRECT("'"&amp;$D$46&amp;"'!GO_2020"),
    0
)
+IF(
    IFERROR(INDIRECT("'"&amp;$D$47&amp;"'!C9")&gt;2020, 0),
    INDIRECT("'"&amp;$D$47&amp;"'!GO_2020"),
    0
)
+IF(
    IFERROR(INDIRECT("'"&amp;$D$48&amp;"'!C9")&gt;2020, 0),
    INDIRECT("'"&amp;$D$48&amp;"'!GO_2020"),
    0
)
+IF(
    IFERROR(INDIRECT("'"&amp;$D$49&amp;"'!C9")&gt;2020, 0),
    INDIRECT("'"&amp;$D$49&amp;"'!GO_2020"),
    0
)
+IF(
    IFERROR(INDIRECT("'"&amp;$D$50&amp;"'!C9")&gt;2020, 0),
    INDIRECT("'"&amp;$D$50&amp;"'!GO_2020"),
    0
)
+IF(
    IFERROR(INDIRECT("'"&amp;$D$51&amp;"'!C9")&gt;2020, 0),
    INDIRECT("'"&amp;$D$51&amp;"'!GO_2020"),
    0
)
+IF(
    IFERROR(INDIRECT("'"&amp;$D$52&amp;"'!C9")&gt;2020, 0),
    INDIRECT("'"&amp;$D$52&amp;"'!GO_2020"),
    0
)
+IF(
    IFERROR(INDIRECT("'"&amp;$D$53&amp;"'!C9")&gt;2020, 0),
    INDIRECT("'"&amp;$D$53&amp;"'!GO_2020"),
    0
)
+IF(
    IFERROR(INDIRECT("'"&amp;$D$54&amp;"'!C9")&gt;2020, 0),
    INDIRECT("'"&amp;$D$54&amp;"'!GO_2020"),
    0
)</f>
        <v>0</v>
      </c>
      <c r="K28" s="322">
        <f ca="1">Nieuwbouw!H38+IF(
    IFERROR(INDIRECT("'"&amp;$D$5&amp;"'!C9")&gt;2020, 0),
    INDIRECT("'"&amp;$D$5&amp;"'!GO_2021"),
    0
)
+IF(
    IFERROR(INDIRECT("'"&amp;$D$6&amp;"'!C9")&gt;2020, 0),
    INDIRECT("'"&amp;$D$6&amp;"'!GO_2021"),
    0
)
+IF(
    IFERROR(INDIRECT("'"&amp;$D$7&amp;"'!C9")&gt;2020, 0),
    INDIRECT("'"&amp;$D$7&amp;"'!GO_2021"),
    0
)
+IF(
    IFERROR(INDIRECT("'"&amp;$D$8&amp;"'!C9")&gt;2020, 0),
    INDIRECT("'"&amp;$D$8&amp;"'!GO_2021"),
    0
)
+IF(
    IFERROR(INDIRECT("'"&amp;$D$9&amp;"'!C9")&gt;2020, 0),
    INDIRECT("'"&amp;$D$9&amp;"'!GO_2021"),
    0
)
+IF(
    IFERROR(INDIRECT("'"&amp;$D$10&amp;"'!C9")&gt;2020, 0),
    INDIRECT("'"&amp;$D$10&amp;"'!GO_2021"),
    0
)
+IF(
    IFERROR(INDIRECT("'"&amp;$D$11&amp;"'!C9")&gt;2020, 0),
    INDIRECT("'"&amp;$D$11&amp;"'!GO_2021"),
    0
)
+IF(
    IFERROR(INDIRECT("'"&amp;$D$12&amp;"'!C9")&gt;2020, 0),
    INDIRECT("'"&amp;$D$12&amp;"'!GO_2021"),
    0
)
+IF(
    IFERROR(INDIRECT("'"&amp;$D$13&amp;"'!C9")&gt;2020, 0),
    INDIRECT("'"&amp;$D$13&amp;"'!GO_2021"),
    0
)
+IF(
    IFERROR(INDIRECT("'"&amp;$D$14&amp;"'!C9")&gt;2020, 0),
    INDIRECT("'"&amp;$D$14&amp;"'!GO_2021"),
    0
)
+IF(
    IFERROR(INDIRECT("'"&amp;$D$15&amp;"'!C9")&gt;2020, 0),
    INDIRECT("'"&amp;$D$15&amp;"'!GO_2021"),
    0
)
+IF(
    IFERROR(INDIRECT("'"&amp;$D$16&amp;"'!C9")&gt;2020, 0),
    INDIRECT("'"&amp;$D$16&amp;"'!GO_2021"),
    0
)
+IF(
    IFERROR(INDIRECT("'"&amp;$D$17&amp;"'!C9")&gt;2020, 0),
    INDIRECT("'"&amp;$D$17&amp;"'!GO_2021"),
    0
)
+IF(
    IFERROR(INDIRECT("'"&amp;$D$18&amp;"'!C9")&gt;2020, 0),
    INDIRECT("'"&amp;$D$18&amp;"'!GO_2021"),
    0
)
+IF(
    IFERROR(INDIRECT("'"&amp;$D$19&amp;"'!C9")&gt;2020, 0),
    INDIRECT("'"&amp;$D$19&amp;"'!GO_2021"),
    0
)
+IF(
    IFERROR(INDIRECT("'"&amp;$D$20&amp;"'!C9")&gt;2020, 0),
    INDIRECT("'"&amp;$D$20&amp;"'!GO_2021"),
    0
)
+IF(
    IFERROR(INDIRECT("'"&amp;$D$21&amp;"'!C9")&gt;2020, 0),
    INDIRECT("'"&amp;$D$21&amp;"'!GO_2021"),
    0
)
+IF(
    IFERROR(INDIRECT("'"&amp;$D$22&amp;"'!C9")&gt;2020, 0),
    INDIRECT("'"&amp;$D$22&amp;"'!GO_2021"),
    0
)
+IF(
    IFERROR(INDIRECT("'"&amp;$D$23&amp;"'!C9")&gt;2020, 0),
    INDIRECT("'"&amp;$D$23&amp;"'!GO_2021"),
    0
)
+IF(
    IFERROR(INDIRECT("'"&amp;$D$24&amp;"'!C9")&gt;2020, 0),
    INDIRECT("'"&amp;$D$24&amp;"'!GO_2021"),
    0
)
+IF(
    IFERROR(INDIRECT("'"&amp;$D$25&amp;"'!C9")&gt;2020, 0),
    INDIRECT("'"&amp;$D$25&amp;"'!GO_2021"),
    0
)
+IF(
    IFERROR(INDIRECT("'"&amp;$D$26&amp;"'!C9")&gt;2020, 0),
    INDIRECT("'"&amp;$D$26&amp;"'!GO_2021"),
    0
)
+IF(
    IFERROR(INDIRECT("'"&amp;$D$27&amp;"'!C9")&gt;2020, 0),
    INDIRECT("'"&amp;$D$27&amp;"'!GO_2021"),
    0
)
+IF(
    IFERROR(INDIRECT("'"&amp;$D$28&amp;"'!C9")&gt;2020, 0),
    INDIRECT("'"&amp;$D$28&amp;"'!GO_2021"),
    0
)
+IF(
    IFERROR(INDIRECT("'"&amp;$D$29&amp;"'!C9")&gt;2020, 0),
    INDIRECT("'"&amp;$D$29&amp;"'!GO_2021"),
    0
)
+IF(
    IFERROR(INDIRECT("'"&amp;$D$30&amp;"'!C9")&gt;2020, 0),
    INDIRECT("'"&amp;$D$30&amp;"'!GO_2021"),
    0
)
+IF(
    IFERROR(INDIRECT("'"&amp;$D$31&amp;"'!C9")&gt;2020, 0),
    INDIRECT("'"&amp;$D$31&amp;"'!GO_2021"),
    0
)
+IF(
    IFERROR(INDIRECT("'"&amp;$D$32&amp;"'!C9")&gt;2020, 0),
    INDIRECT("'"&amp;$D$32&amp;"'!GO_2021"),
    0
)
+IF(
    IFERROR(INDIRECT("'"&amp;$D$33&amp;"'!C9")&gt;2020, 0),
    INDIRECT("'"&amp;$D$33&amp;"'!GO_2021"),
    0
)
+IF(
    IFERROR(INDIRECT("'"&amp;$D$34&amp;"'!C9")&gt;2020, 0),
    INDIRECT("'"&amp;$D$34&amp;"'!GO_2021"),
    0
)
+IF(
    IFERROR(INDIRECT("'"&amp;$D$35&amp;"'!C9")&gt;2020, 0),
    INDIRECT("'"&amp;$D$35&amp;"'!GO_2021"),
    0
)
+IF(
    IFERROR(INDIRECT("'"&amp;$D$36&amp;"'!C9")&gt;2020, 0),
    INDIRECT("'"&amp;$D$36&amp;"'!GO_2021"),
    0
)
+IF(
    IFERROR(INDIRECT("'"&amp;$D$37&amp;"'!C9")&gt;2020, 0),
    INDIRECT("'"&amp;$D$37&amp;"'!GO_2021"),
    0
)
+IF(
    IFERROR(INDIRECT("'"&amp;$D$38&amp;"'!C9")&gt;2020, 0),
    INDIRECT("'"&amp;$D$38&amp;"'!GO_2021"),
    0
)
+IF(
    IFERROR(INDIRECT("'"&amp;$D$39&amp;"'!C9")&gt;2020, 0),
    INDIRECT("'"&amp;$D$39&amp;"'!GO_2021"),
    0
)
+IF(
    IFERROR(INDIRECT("'"&amp;$D$40&amp;"'!C9")&gt;2020, 0),
    INDIRECT("'"&amp;$D$40&amp;"'!GO_2021"),
    0
)
+IF(
    IFERROR(INDIRECT("'"&amp;$D$41&amp;"'!C9")&gt;2020, 0),
    INDIRECT("'"&amp;$D$41&amp;"'!GO_2021"),
    0
)
+IF(
    IFERROR(INDIRECT("'"&amp;$D$42&amp;"'!C9")&gt;2020, 0),
    INDIRECT("'"&amp;$D$42&amp;"'!GO_2021"),
    0
)
+IF(
    IFERROR(INDIRECT("'"&amp;$D$43&amp;"'!C9")&gt;2020, 0),
    INDIRECT("'"&amp;$D$43&amp;"'!GO_2021"),
    0
)
+IF(
    IFERROR(INDIRECT("'"&amp;$D$44&amp;"'!C9")&gt;2020, 0),
    INDIRECT("'"&amp;$D$44&amp;"'!GO_2021"),
    0
)
+IF(
    IFERROR(INDIRECT("'"&amp;$D$45&amp;"'!C9")&gt;2020, 0),
    INDIRECT("'"&amp;$D$45&amp;"'!GO_2021"),
    0
)
+IF(
    IFERROR(INDIRECT("'"&amp;$D$46&amp;"'!C9")&gt;2020, 0),
    INDIRECT("'"&amp;$D$46&amp;"'!GO_2021"),
    0
)
+IF(
    IFERROR(INDIRECT("'"&amp;$D$47&amp;"'!C9")&gt;2020, 0),
    INDIRECT("'"&amp;$D$47&amp;"'!GO_2021"),
    0
)
+IF(
    IFERROR(INDIRECT("'"&amp;$D$48&amp;"'!C9")&gt;2020, 0),
    INDIRECT("'"&amp;$D$48&amp;"'!GO_2021"),
    0
)
+IF(
    IFERROR(INDIRECT("'"&amp;$D$49&amp;"'!C9")&gt;2020, 0),
    INDIRECT("'"&amp;$D$49&amp;"'!GO_2021"),
    0
)
+IF(
    IFERROR(INDIRECT("'"&amp;$D$50&amp;"'!C9")&gt;2020, 0),
    INDIRECT("'"&amp;$D$50&amp;"'!GO_2021"),
    0
)
+IF(
    IFERROR(INDIRECT("'"&amp;$D$51&amp;"'!C9")&gt;2020, 0),
    INDIRECT("'"&amp;$D$51&amp;"'!GO_2021"),
    0
)
+IF(
    IFERROR(INDIRECT("'"&amp;$D$52&amp;"'!C9")&gt;2020, 0),
    INDIRECT("'"&amp;$D$52&amp;"'!GO_2021"),
    0
)
+IF(
    IFERROR(INDIRECT("'"&amp;$D$53&amp;"'!C9")&gt;2020, 0),
    INDIRECT("'"&amp;$D$53&amp;"'!GO_2021"),
    0
)
+IF(
    IFERROR(INDIRECT("'"&amp;$D$54&amp;"'!C9")&gt;2020, 0),
    INDIRECT("'"&amp;$D$54&amp;"'!GO_2021"),
    0
)</f>
        <v>0</v>
      </c>
      <c r="L28" s="322">
        <f ca="1">Nieuwbouw!I38+IF(
    IFERROR(INDIRECT("'"&amp;$D$5&amp;"'!C9")&gt;2020, 0),
    INDIRECT("'"&amp;$D$5&amp;"'!GO_2022"),
    0
)
+IF(
    IFERROR(INDIRECT("'"&amp;$D$6&amp;"'!C9")&gt;2020, 0),
    INDIRECT("'"&amp;$D$6&amp;"'!GO_2022"),
    0
)
+IF(
    IFERROR(INDIRECT("'"&amp;$D$7&amp;"'!C9")&gt;2020, 0),
    INDIRECT("'"&amp;$D$7&amp;"'!GO_2022"),
    0
)
+IF(
    IFERROR(INDIRECT("'"&amp;$D$8&amp;"'!C9")&gt;2020, 0),
    INDIRECT("'"&amp;$D$8&amp;"'!GO_2022"),
    0
)
+IF(
    IFERROR(INDIRECT("'"&amp;$D$9&amp;"'!C9")&gt;2020, 0),
    INDIRECT("'"&amp;$D$9&amp;"'!GO_2022"),
    0
)
+IF(
    IFERROR(INDIRECT("'"&amp;$D$10&amp;"'!C9")&gt;2020, 0),
    INDIRECT("'"&amp;$D$10&amp;"'!GO_2022"),
    0
)
+IF(
    IFERROR(INDIRECT("'"&amp;$D$11&amp;"'!C9")&gt;2020, 0),
    INDIRECT("'"&amp;$D$11&amp;"'!GO_2022"),
    0
)
+IF(
    IFERROR(INDIRECT("'"&amp;$D$12&amp;"'!C9")&gt;2020, 0),
    INDIRECT("'"&amp;$D$12&amp;"'!GO_2022"),
    0
)
+IF(
    IFERROR(INDIRECT("'"&amp;$D$13&amp;"'!C9")&gt;2020, 0),
    INDIRECT("'"&amp;$D$13&amp;"'!GO_2022"),
    0
)
+IF(
    IFERROR(INDIRECT("'"&amp;$D$14&amp;"'!C9")&gt;2020, 0),
    INDIRECT("'"&amp;$D$14&amp;"'!GO_2022"),
    0
)
+IF(
    IFERROR(INDIRECT("'"&amp;$D$15&amp;"'!C9")&gt;2020, 0),
    INDIRECT("'"&amp;$D$15&amp;"'!GO_2022"),
    0
)
+IF(
    IFERROR(INDIRECT("'"&amp;$D$16&amp;"'!C9")&gt;2020, 0),
    INDIRECT("'"&amp;$D$16&amp;"'!GO_2022"),
    0
)
+IF(
    IFERROR(INDIRECT("'"&amp;$D$17&amp;"'!C9")&gt;2020, 0),
    INDIRECT("'"&amp;$D$17&amp;"'!GO_2022"),
    0
)
+IF(
    IFERROR(INDIRECT("'"&amp;$D$18&amp;"'!C9")&gt;2020, 0),
    INDIRECT("'"&amp;$D$18&amp;"'!GO_2022"),
    0
)
+IF(
    IFERROR(INDIRECT("'"&amp;$D$19&amp;"'!C9")&gt;2020, 0),
    INDIRECT("'"&amp;$D$19&amp;"'!GO_2022"),
    0
)
+IF(
    IFERROR(INDIRECT("'"&amp;$D$20&amp;"'!C9")&gt;2020, 0),
    INDIRECT("'"&amp;$D$20&amp;"'!GO_2022"),
    0
)
+IF(
    IFERROR(INDIRECT("'"&amp;$D$21&amp;"'!C9")&gt;2020, 0),
    INDIRECT("'"&amp;$D$21&amp;"'!GO_2022"),
    0
)
+IF(
    IFERROR(INDIRECT("'"&amp;$D$22&amp;"'!C9")&gt;2020, 0),
    INDIRECT("'"&amp;$D$22&amp;"'!GO_2022"),
    0
)
+IF(
    IFERROR(INDIRECT("'"&amp;$D$23&amp;"'!C9")&gt;2020, 0),
    INDIRECT("'"&amp;$D$23&amp;"'!GO_2022"),
    0
)
+IF(
    IFERROR(INDIRECT("'"&amp;$D$24&amp;"'!C9")&gt;2020, 0),
    INDIRECT("'"&amp;$D$24&amp;"'!GO_2022"),
    0
)
+IF(
    IFERROR(INDIRECT("'"&amp;$D$25&amp;"'!C9")&gt;2020, 0),
    INDIRECT("'"&amp;$D$25&amp;"'!GO_2022"),
    0
)
+IF(
    IFERROR(INDIRECT("'"&amp;$D$26&amp;"'!C9")&gt;2020, 0),
    INDIRECT("'"&amp;$D$26&amp;"'!GO_2022"),
    0
)
+IF(
    IFERROR(INDIRECT("'"&amp;$D$27&amp;"'!C9")&gt;2020, 0),
    INDIRECT("'"&amp;$D$27&amp;"'!GO_2022"),
    0
)
+IF(
    IFERROR(INDIRECT("'"&amp;$D$28&amp;"'!C9")&gt;2020, 0),
    INDIRECT("'"&amp;$D$28&amp;"'!GO_2022"),
    0
)
+IF(
    IFERROR(INDIRECT("'"&amp;$D$29&amp;"'!C9")&gt;2020, 0),
    INDIRECT("'"&amp;$D$29&amp;"'!GO_2022"),
    0
)
+IF(
    IFERROR(INDIRECT("'"&amp;$D$30&amp;"'!C9")&gt;2020, 0),
    INDIRECT("'"&amp;$D$30&amp;"'!GO_2022"),
    0
)
+IF(
    IFERROR(INDIRECT("'"&amp;$D$31&amp;"'!C9")&gt;2020, 0),
    INDIRECT("'"&amp;$D$31&amp;"'!GO_2022"),
    0
)
+IF(
    IFERROR(INDIRECT("'"&amp;$D$32&amp;"'!C9")&gt;2020, 0),
    INDIRECT("'"&amp;$D$32&amp;"'!GO_2022"),
    0
)
+IF(
    IFERROR(INDIRECT("'"&amp;$D$33&amp;"'!C9")&gt;2020, 0),
    INDIRECT("'"&amp;$D$33&amp;"'!GO_2022"),
    0
)
+IF(
    IFERROR(INDIRECT("'"&amp;$D$34&amp;"'!C9")&gt;2020, 0),
    INDIRECT("'"&amp;$D$34&amp;"'!GO_2022"),
    0
)
+IF(
    IFERROR(INDIRECT("'"&amp;$D$35&amp;"'!C9")&gt;2020, 0),
    INDIRECT("'"&amp;$D$35&amp;"'!GO_2022"),
    0
)
+IF(
    IFERROR(INDIRECT("'"&amp;$D$36&amp;"'!C9")&gt;2020, 0),
    INDIRECT("'"&amp;$D$36&amp;"'!GO_2022"),
    0
)
+IF(
    IFERROR(INDIRECT("'"&amp;$D$37&amp;"'!C9")&gt;2020, 0),
    INDIRECT("'"&amp;$D$37&amp;"'!GO_2022"),
    0
)
+IF(
    IFERROR(INDIRECT("'"&amp;$D$38&amp;"'!C9")&gt;2020, 0),
    INDIRECT("'"&amp;$D$38&amp;"'!GO_2022"),
    0
)
+IF(
    IFERROR(INDIRECT("'"&amp;$D$39&amp;"'!C9")&gt;2020, 0),
    INDIRECT("'"&amp;$D$39&amp;"'!GO_2022"),
    0
)
+IF(
    IFERROR(INDIRECT("'"&amp;$D$40&amp;"'!C9")&gt;2020, 0),
    INDIRECT("'"&amp;$D$40&amp;"'!GO_2022"),
    0
)
+IF(
    IFERROR(INDIRECT("'"&amp;$D$41&amp;"'!C9")&gt;2020, 0),
    INDIRECT("'"&amp;$D$41&amp;"'!GO_2022"),
    0
)
+IF(
    IFERROR(INDIRECT("'"&amp;$D$42&amp;"'!C9")&gt;2020, 0),
    INDIRECT("'"&amp;$D$42&amp;"'!GO_2022"),
    0
)
+IF(
    IFERROR(INDIRECT("'"&amp;$D$43&amp;"'!C9")&gt;2020, 0),
    INDIRECT("'"&amp;$D$43&amp;"'!GO_2022"),
    0
)
+IF(
    IFERROR(INDIRECT("'"&amp;$D$44&amp;"'!C9")&gt;2020, 0),
    INDIRECT("'"&amp;$D$44&amp;"'!GO_2022"),
    0
)
+IF(
    IFERROR(INDIRECT("'"&amp;$D$45&amp;"'!C9")&gt;2020, 0),
    INDIRECT("'"&amp;$D$45&amp;"'!GO_2022"),
    0
)
+IF(
    IFERROR(INDIRECT("'"&amp;$D$46&amp;"'!C9")&gt;2020, 0),
    INDIRECT("'"&amp;$D$46&amp;"'!GO_2022"),
    0
)
+IF(
    IFERROR(INDIRECT("'"&amp;$D$47&amp;"'!C9")&gt;2020, 0),
    INDIRECT("'"&amp;$D$47&amp;"'!GO_2022"),
    0
)
+IF(
    IFERROR(INDIRECT("'"&amp;$D$48&amp;"'!C9")&gt;2020, 0),
    INDIRECT("'"&amp;$D$48&amp;"'!GO_2022"),
    0
)
+IF(
    IFERROR(INDIRECT("'"&amp;$D$49&amp;"'!C9")&gt;2020, 0),
    INDIRECT("'"&amp;$D$49&amp;"'!GO_2022"),
    0
)
+IF(
    IFERROR(INDIRECT("'"&amp;$D$50&amp;"'!C9")&gt;2020, 0),
    INDIRECT("'"&amp;$D$50&amp;"'!GO_2022"),
    0
)
+IF(
    IFERROR(INDIRECT("'"&amp;$D$51&amp;"'!C9")&gt;2020, 0),
    INDIRECT("'"&amp;$D$51&amp;"'!GO_2022"),
    0
)
+IF(
    IFERROR(INDIRECT("'"&amp;$D$52&amp;"'!C9")&gt;2020, 0),
    INDIRECT("'"&amp;$D$52&amp;"'!GO_2022"),
    0
)
+IF(
    IFERROR(INDIRECT("'"&amp;$D$53&amp;"'!C9")&gt;2020, 0),
    INDIRECT("'"&amp;$D$53&amp;"'!GO_2022"),
    0
)
+IF(
    IFERROR(INDIRECT("'"&amp;$D$54&amp;"'!C9")&gt;2020, 0),
    INDIRECT("'"&amp;$D$54&amp;"'!GO_2022"),
    0
)</f>
        <v>0</v>
      </c>
      <c r="M28" s="322">
        <f ca="1">Nieuwbouw!J38+IF(
    IFERROR(INDIRECT("'"&amp;$D$5&amp;"'!C9")&gt;2020, 0),
    INDIRECT("'"&amp;$D$5&amp;"'!GO_2023"),
    0
)
+IF(
    IFERROR(INDIRECT("'"&amp;$D$6&amp;"'!C9")&gt;2020, 0),
    INDIRECT("'"&amp;$D$6&amp;"'!GO_2023"),
    0
)
+IF(
    IFERROR(INDIRECT("'"&amp;$D$7&amp;"'!C9")&gt;2020, 0),
    INDIRECT("'"&amp;$D$7&amp;"'!GO_2023"),
    0
)
+IF(
    IFERROR(INDIRECT("'"&amp;$D$8&amp;"'!C9")&gt;2020, 0),
    INDIRECT("'"&amp;$D$8&amp;"'!GO_2023"),
    0
)
+IF(
    IFERROR(INDIRECT("'"&amp;$D$9&amp;"'!C9")&gt;2020, 0),
    INDIRECT("'"&amp;$D$9&amp;"'!GO_2023"),
    0
)
+IF(
    IFERROR(INDIRECT("'"&amp;$D$10&amp;"'!C9")&gt;2020, 0),
    INDIRECT("'"&amp;$D$10&amp;"'!GO_2023"),
    0
)
+IF(
    IFERROR(INDIRECT("'"&amp;$D$11&amp;"'!C9")&gt;2020, 0),
    INDIRECT("'"&amp;$D$11&amp;"'!GO_2023"),
    0
)
+IF(
    IFERROR(INDIRECT("'"&amp;$D$12&amp;"'!C9")&gt;2020, 0),
    INDIRECT("'"&amp;$D$12&amp;"'!GO_2023"),
    0
)
+IF(
    IFERROR(INDIRECT("'"&amp;$D$13&amp;"'!C9")&gt;2020, 0),
    INDIRECT("'"&amp;$D$13&amp;"'!GO_2023"),
    0
)
+IF(
    IFERROR(INDIRECT("'"&amp;$D$14&amp;"'!C9")&gt;2020, 0),
    INDIRECT("'"&amp;$D$14&amp;"'!GO_2023"),
    0
)
+IF(
    IFERROR(INDIRECT("'"&amp;$D$15&amp;"'!C9")&gt;2020, 0),
    INDIRECT("'"&amp;$D$15&amp;"'!GO_2023"),
    0
)
+IF(
    IFERROR(INDIRECT("'"&amp;$D$16&amp;"'!C9")&gt;2020, 0),
    INDIRECT("'"&amp;$D$16&amp;"'!GO_2023"),
    0
)
+IF(
    IFERROR(INDIRECT("'"&amp;$D$17&amp;"'!C9")&gt;2020, 0),
    INDIRECT("'"&amp;$D$17&amp;"'!GO_2023"),
    0
)
+IF(
    IFERROR(INDIRECT("'"&amp;$D$18&amp;"'!C9")&gt;2020, 0),
    INDIRECT("'"&amp;$D$18&amp;"'!GO_2023"),
    0
)
+IF(
    IFERROR(INDIRECT("'"&amp;$D$19&amp;"'!C9")&gt;2020, 0),
    INDIRECT("'"&amp;$D$19&amp;"'!GO_2023"),
    0
)
+IF(
    IFERROR(INDIRECT("'"&amp;$D$20&amp;"'!C9")&gt;2020, 0),
    INDIRECT("'"&amp;$D$20&amp;"'!GO_2023"),
    0
)
+IF(
    IFERROR(INDIRECT("'"&amp;$D$21&amp;"'!C9")&gt;2020, 0),
    INDIRECT("'"&amp;$D$21&amp;"'!GO_2023"),
    0
)
+IF(
    IFERROR(INDIRECT("'"&amp;$D$22&amp;"'!C9")&gt;2020, 0),
    INDIRECT("'"&amp;$D$22&amp;"'!GO_2023"),
    0
)
+IF(
    IFERROR(INDIRECT("'"&amp;$D$23&amp;"'!C9")&gt;2020, 0),
    INDIRECT("'"&amp;$D$23&amp;"'!GO_2023"),
    0
)
+IF(
    IFERROR(INDIRECT("'"&amp;$D$24&amp;"'!C9")&gt;2020, 0),
    INDIRECT("'"&amp;$D$24&amp;"'!GO_2023"),
    0
)
+IF(
    IFERROR(INDIRECT("'"&amp;$D$25&amp;"'!C9")&gt;2020, 0),
    INDIRECT("'"&amp;$D$25&amp;"'!GO_2023"),
    0
)
+IF(
    IFERROR(INDIRECT("'"&amp;$D$26&amp;"'!C9")&gt;2020, 0),
    INDIRECT("'"&amp;$D$26&amp;"'!GO_2023"),
    0
)
+IF(
    IFERROR(INDIRECT("'"&amp;$D$27&amp;"'!C9")&gt;2020, 0),
    INDIRECT("'"&amp;$D$27&amp;"'!GO_2023"),
    0
)
+IF(
    IFERROR(INDIRECT("'"&amp;$D$28&amp;"'!C9")&gt;2020, 0),
    INDIRECT("'"&amp;$D$28&amp;"'!GO_2023"),
    0
)
+IF(
    IFERROR(INDIRECT("'"&amp;$D$29&amp;"'!C9")&gt;2020, 0),
    INDIRECT("'"&amp;$D$29&amp;"'!GO_2023"),
    0
)
+IF(
    IFERROR(INDIRECT("'"&amp;$D$30&amp;"'!C9")&gt;2020, 0),
    INDIRECT("'"&amp;$D$30&amp;"'!GO_2023"),
    0
)
+IF(
    IFERROR(INDIRECT("'"&amp;$D$31&amp;"'!C9")&gt;2020, 0),
    INDIRECT("'"&amp;$D$31&amp;"'!GO_2023"),
    0
)
+IF(
    IFERROR(INDIRECT("'"&amp;$D$32&amp;"'!C9")&gt;2020, 0),
    INDIRECT("'"&amp;$D$32&amp;"'!GO_2023"),
    0
)
+IF(
    IFERROR(INDIRECT("'"&amp;$D$33&amp;"'!C9")&gt;2020, 0),
    INDIRECT("'"&amp;$D$33&amp;"'!GO_2023"),
    0
)
+IF(
    IFERROR(INDIRECT("'"&amp;$D$34&amp;"'!C9")&gt;2020, 0),
    INDIRECT("'"&amp;$D$34&amp;"'!GO_2023"),
    0
)
+IF(
    IFERROR(INDIRECT("'"&amp;$D$35&amp;"'!C9")&gt;2020, 0),
    INDIRECT("'"&amp;$D$35&amp;"'!GO_2023"),
    0
)
+IF(
    IFERROR(INDIRECT("'"&amp;$D$36&amp;"'!C9")&gt;2020, 0),
    INDIRECT("'"&amp;$D$36&amp;"'!GO_2023"),
    0
)
+IF(
    IFERROR(INDIRECT("'"&amp;$D$37&amp;"'!C9")&gt;2020, 0),
    INDIRECT("'"&amp;$D$37&amp;"'!GO_2023"),
    0
)
+IF(
    IFERROR(INDIRECT("'"&amp;$D$38&amp;"'!C9")&gt;2020, 0),
    INDIRECT("'"&amp;$D$38&amp;"'!GO_2023"),
    0
)
+IF(
    IFERROR(INDIRECT("'"&amp;$D$39&amp;"'!C9")&gt;2020, 0),
    INDIRECT("'"&amp;$D$39&amp;"'!GO_2023"),
    0
)
+IF(
    IFERROR(INDIRECT("'"&amp;$D$40&amp;"'!C9")&gt;2020, 0),
    INDIRECT("'"&amp;$D$40&amp;"'!GO_2023"),
    0
)
+IF(
    IFERROR(INDIRECT("'"&amp;$D$41&amp;"'!C9")&gt;2020, 0),
    INDIRECT("'"&amp;$D$41&amp;"'!GO_2023"),
    0
)
+IF(
    IFERROR(INDIRECT("'"&amp;$D$42&amp;"'!C9")&gt;2020, 0),
    INDIRECT("'"&amp;$D$42&amp;"'!GO_2023"),
    0
)
+IF(
    IFERROR(INDIRECT("'"&amp;$D$43&amp;"'!C9")&gt;2020, 0),
    INDIRECT("'"&amp;$D$43&amp;"'!GO_2023"),
    0
)
+IF(
    IFERROR(INDIRECT("'"&amp;$D$44&amp;"'!C9")&gt;2020, 0),
    INDIRECT("'"&amp;$D$44&amp;"'!GO_2023"),
    0
)
+IF(
    IFERROR(INDIRECT("'"&amp;$D$45&amp;"'!C9")&gt;2020, 0),
    INDIRECT("'"&amp;$D$45&amp;"'!GO_2023"),
    0
)
+IF(
    IFERROR(INDIRECT("'"&amp;$D$46&amp;"'!C9")&gt;2020, 0),
    INDIRECT("'"&amp;$D$46&amp;"'!GO_2023"),
    0
)
+IF(
    IFERROR(INDIRECT("'"&amp;$D$47&amp;"'!C9")&gt;2020, 0),
    INDIRECT("'"&amp;$D$47&amp;"'!GO_2023"),
    0
)
+IF(
    IFERROR(INDIRECT("'"&amp;$D$48&amp;"'!C9")&gt;2020, 0),
    INDIRECT("'"&amp;$D$48&amp;"'!GO_2023"),
    0
)
+IF(
    IFERROR(INDIRECT("'"&amp;$D$49&amp;"'!C9")&gt;2020, 0),
    INDIRECT("'"&amp;$D$49&amp;"'!GO_2023"),
    0
)
+IF(
    IFERROR(INDIRECT("'"&amp;$D$50&amp;"'!C9")&gt;2020, 0),
    INDIRECT("'"&amp;$D$50&amp;"'!GO_2023"),
    0
)
+IF(
    IFERROR(INDIRECT("'"&amp;$D$51&amp;"'!C9")&gt;2020, 0),
    INDIRECT("'"&amp;$D$51&amp;"'!GO_2023"),
    0
)
+IF(
    IFERROR(INDIRECT("'"&amp;$D$52&amp;"'!C9")&gt;2020, 0),
    INDIRECT("'"&amp;$D$52&amp;"'!GO_2023"),
    0
)
+IF(
    IFERROR(INDIRECT("'"&amp;$D$53&amp;"'!C9")&gt;2020, 0),
    INDIRECT("'"&amp;$D$53&amp;"'!GO_2023"),
    0
)
+IF(
    IFERROR(INDIRECT("'"&amp;$D$54&amp;"'!C9")&gt;2020, 0),
    INDIRECT("'"&amp;$D$54&amp;"'!GO_2023"),
    0
)</f>
        <v>0</v>
      </c>
      <c r="N28" s="322">
        <f ca="1">Nieuwbouw!K38+IF(
    IFERROR(INDIRECT("'"&amp;$D$5&amp;"'!C9")&gt;2020, 0),
    INDIRECT("'"&amp;$D$5&amp;"'!GO_2024"),
    0
)
+IF(
    IFERROR(INDIRECT("'"&amp;$D$6&amp;"'!C9")&gt;2020, 0),
    INDIRECT("'"&amp;$D$6&amp;"'!GO_2024"),
    0
)
+IF(
    IFERROR(INDIRECT("'"&amp;$D$7&amp;"'!C9")&gt;2020, 0),
    INDIRECT("'"&amp;$D$7&amp;"'!GO_2024"),
    0
)
+IF(
    IFERROR(INDIRECT("'"&amp;$D$8&amp;"'!C9")&gt;2020, 0),
    INDIRECT("'"&amp;$D$8&amp;"'!GO_2024"),
    0
)
+IF(
    IFERROR(INDIRECT("'"&amp;$D$9&amp;"'!C9")&gt;2020, 0),
    INDIRECT("'"&amp;$D$9&amp;"'!GO_2024"),
    0
)
+IF(
    IFERROR(INDIRECT("'"&amp;$D$10&amp;"'!C9")&gt;2020, 0),
    INDIRECT("'"&amp;$D$10&amp;"'!GO_2024"),
    0
)
+IF(
    IFERROR(INDIRECT("'"&amp;$D$11&amp;"'!C9")&gt;2020, 0),
    INDIRECT("'"&amp;$D$11&amp;"'!GO_2024"),
    0
)
+IF(
    IFERROR(INDIRECT("'"&amp;$D$12&amp;"'!C9")&gt;2020, 0),
    INDIRECT("'"&amp;$D$12&amp;"'!GO_2024"),
    0
)
+IF(
    IFERROR(INDIRECT("'"&amp;$D$13&amp;"'!C9")&gt;2020, 0),
    INDIRECT("'"&amp;$D$13&amp;"'!GO_2024"),
    0
)
+IF(
    IFERROR(INDIRECT("'"&amp;$D$14&amp;"'!C9")&gt;2020, 0),
    INDIRECT("'"&amp;$D$14&amp;"'!GO_2024"),
    0
)
+IF(
    IFERROR(INDIRECT("'"&amp;$D$15&amp;"'!C9")&gt;2020, 0),
    INDIRECT("'"&amp;$D$15&amp;"'!GO_2024"),
    0
)
+IF(
    IFERROR(INDIRECT("'"&amp;$D$16&amp;"'!C9")&gt;2020, 0),
    INDIRECT("'"&amp;$D$16&amp;"'!GO_2024"),
    0
)
+IF(
    IFERROR(INDIRECT("'"&amp;$D$17&amp;"'!C9")&gt;2020, 0),
    INDIRECT("'"&amp;$D$17&amp;"'!GO_2024"),
    0
)
+IF(
    IFERROR(INDIRECT("'"&amp;$D$18&amp;"'!C9")&gt;2020, 0),
    INDIRECT("'"&amp;$D$18&amp;"'!GO_2024"),
    0
)
+IF(
    IFERROR(INDIRECT("'"&amp;$D$19&amp;"'!C9")&gt;2020, 0),
    INDIRECT("'"&amp;$D$19&amp;"'!GO_2024"),
    0
)
+IF(
    IFERROR(INDIRECT("'"&amp;$D$20&amp;"'!C9")&gt;2020, 0),
    INDIRECT("'"&amp;$D$20&amp;"'!GO_2024"),
    0
)
+IF(
    IFERROR(INDIRECT("'"&amp;$D$21&amp;"'!C9")&gt;2020, 0),
    INDIRECT("'"&amp;$D$21&amp;"'!GO_2024"),
    0
)
+IF(
    IFERROR(INDIRECT("'"&amp;$D$22&amp;"'!C9")&gt;2020, 0),
    INDIRECT("'"&amp;$D$22&amp;"'!GO_2024"),
    0
)
+IF(
    IFERROR(INDIRECT("'"&amp;$D$23&amp;"'!C9")&gt;2020, 0),
    INDIRECT("'"&amp;$D$23&amp;"'!GO_2024"),
    0
)
+IF(
    IFERROR(INDIRECT("'"&amp;$D$24&amp;"'!C9")&gt;2020, 0),
    INDIRECT("'"&amp;$D$24&amp;"'!GO_2024"),
    0
)
+IF(
    IFERROR(INDIRECT("'"&amp;$D$25&amp;"'!C9")&gt;2020, 0),
    INDIRECT("'"&amp;$D$25&amp;"'!GO_2024"),
    0
)
+IF(
    IFERROR(INDIRECT("'"&amp;$D$26&amp;"'!C9")&gt;2020, 0),
    INDIRECT("'"&amp;$D$26&amp;"'!GO_2024"),
    0
)
+IF(
    IFERROR(INDIRECT("'"&amp;$D$27&amp;"'!C9")&gt;2020, 0),
    INDIRECT("'"&amp;$D$27&amp;"'!GO_2024"),
    0
)
+IF(
    IFERROR(INDIRECT("'"&amp;$D$28&amp;"'!C9")&gt;2020, 0),
    INDIRECT("'"&amp;$D$28&amp;"'!GO_2024"),
    0
)
+IF(
    IFERROR(INDIRECT("'"&amp;$D$29&amp;"'!C9")&gt;2020, 0),
    INDIRECT("'"&amp;$D$29&amp;"'!GO_2024"),
    0
)
+IF(
    IFERROR(INDIRECT("'"&amp;$D$30&amp;"'!C9")&gt;2020, 0),
    INDIRECT("'"&amp;$D$30&amp;"'!GO_2024"),
    0
)
+IF(
    IFERROR(INDIRECT("'"&amp;$D$31&amp;"'!C9")&gt;2020, 0),
    INDIRECT("'"&amp;$D$31&amp;"'!GO_2024"),
    0
)
+IF(
    IFERROR(INDIRECT("'"&amp;$D$32&amp;"'!C9")&gt;2020, 0),
    INDIRECT("'"&amp;$D$32&amp;"'!GO_2024"),
    0
)
+IF(
    IFERROR(INDIRECT("'"&amp;$D$33&amp;"'!C9")&gt;2020, 0),
    INDIRECT("'"&amp;$D$33&amp;"'!GO_2024"),
    0
)
+IF(
    IFERROR(INDIRECT("'"&amp;$D$34&amp;"'!C9")&gt;2020, 0),
    INDIRECT("'"&amp;$D$34&amp;"'!GO_2024"),
    0
)
+IF(
    IFERROR(INDIRECT("'"&amp;$D$35&amp;"'!C9")&gt;2020, 0),
    INDIRECT("'"&amp;$D$35&amp;"'!GO_2024"),
    0
)
+IF(
    IFERROR(INDIRECT("'"&amp;$D$36&amp;"'!C9")&gt;2020, 0),
    INDIRECT("'"&amp;$D$36&amp;"'!GO_2024"),
    0
)
+IF(
    IFERROR(INDIRECT("'"&amp;$D$37&amp;"'!C9")&gt;2020, 0),
    INDIRECT("'"&amp;$D$37&amp;"'!GO_2024"),
    0
)
+IF(
    IFERROR(INDIRECT("'"&amp;$D$38&amp;"'!C9")&gt;2020, 0),
    INDIRECT("'"&amp;$D$38&amp;"'!GO_2024"),
    0
)
+IF(
    IFERROR(INDIRECT("'"&amp;$D$39&amp;"'!C9")&gt;2020, 0),
    INDIRECT("'"&amp;$D$39&amp;"'!GO_2024"),
    0
)
+IF(
    IFERROR(INDIRECT("'"&amp;$D$40&amp;"'!C9")&gt;2020, 0),
    INDIRECT("'"&amp;$D$40&amp;"'!GO_2024"),
    0
)
+IF(
    IFERROR(INDIRECT("'"&amp;$D$41&amp;"'!C9")&gt;2020, 0),
    INDIRECT("'"&amp;$D$41&amp;"'!GO_2024"),
    0
)
+IF(
    IFERROR(INDIRECT("'"&amp;$D$42&amp;"'!C9")&gt;2020, 0),
    INDIRECT("'"&amp;$D$42&amp;"'!GO_2024"),
    0
)
+IF(
    IFERROR(INDIRECT("'"&amp;$D$43&amp;"'!C9")&gt;2020, 0),
    INDIRECT("'"&amp;$D$43&amp;"'!GO_2024"),
    0
)
+IF(
    IFERROR(INDIRECT("'"&amp;$D$44&amp;"'!C9")&gt;2020, 0),
    INDIRECT("'"&amp;$D$44&amp;"'!GO_2024"),
    0
)
+IF(
    IFERROR(INDIRECT("'"&amp;$D$45&amp;"'!C9")&gt;2020, 0),
    INDIRECT("'"&amp;$D$45&amp;"'!GO_2024"),
    0
)
+IF(
    IFERROR(INDIRECT("'"&amp;$D$46&amp;"'!C9")&gt;2020, 0),
    INDIRECT("'"&amp;$D$46&amp;"'!GO_2024"),
    0
)
+IF(
    IFERROR(INDIRECT("'"&amp;$D$47&amp;"'!C9")&gt;2020, 0),
    INDIRECT("'"&amp;$D$47&amp;"'!GO_2024"),
    0
)
+IF(
    IFERROR(INDIRECT("'"&amp;$D$48&amp;"'!C9")&gt;2020, 0),
    INDIRECT("'"&amp;$D$48&amp;"'!GO_2024"),
    0
)
+IF(
    IFERROR(INDIRECT("'"&amp;$D$49&amp;"'!C9")&gt;2020, 0),
    INDIRECT("'"&amp;$D$49&amp;"'!GO_2024"),
    0
)
+IF(
    IFERROR(INDIRECT("'"&amp;$D$50&amp;"'!C9")&gt;2020, 0),
    INDIRECT("'"&amp;$D$50&amp;"'!GO_2024"),
    0
)
+IF(
    IFERROR(INDIRECT("'"&amp;$D$51&amp;"'!C9")&gt;2020, 0),
    INDIRECT("'"&amp;$D$51&amp;"'!GO_2024"),
    0
)
+IF(
    IFERROR(INDIRECT("'"&amp;$D$52&amp;"'!C9")&gt;2020, 0),
    INDIRECT("'"&amp;$D$52&amp;"'!GO_2024"),
    0
)
+IF(
    IFERROR(INDIRECT("'"&amp;$D$53&amp;"'!C9")&gt;2020, 0),
    INDIRECT("'"&amp;$D$53&amp;"'!GO_2024"),
    0
)
+IF(
    IFERROR(INDIRECT("'"&amp;$D$54&amp;"'!C9")&gt;2020, 0),
    INDIRECT("'"&amp;$D$54&amp;"'!GO_2024"),
    0
)</f>
        <v>0</v>
      </c>
      <c r="O28" s="322">
        <f ca="1">Nieuwbouw!L38+IF(
    IFERROR(INDIRECT("'"&amp;$D$5&amp;"'!C9")&gt;2020, 0),
    INDIRECT("'"&amp;$D$5&amp;"'!GO_2025"),
    0
)
+IF(
    IFERROR(INDIRECT("'"&amp;$D$6&amp;"'!C9")&gt;2020, 0),
    INDIRECT("'"&amp;$D$6&amp;"'!GO_2025"),
    0
)
+IF(
    IFERROR(INDIRECT("'"&amp;$D$7&amp;"'!C9")&gt;2020, 0),
    INDIRECT("'"&amp;$D$7&amp;"'!GO_2025"),
    0
)
+IF(
    IFERROR(INDIRECT("'"&amp;$D$8&amp;"'!C9")&gt;2020, 0),
    INDIRECT("'"&amp;$D$8&amp;"'!GO_2025"),
    0
)
+IF(
    IFERROR(INDIRECT("'"&amp;$D$9&amp;"'!C9")&gt;2020, 0),
    INDIRECT("'"&amp;$D$9&amp;"'!GO_2025"),
    0
)
+IF(
    IFERROR(INDIRECT("'"&amp;$D$10&amp;"'!C9")&gt;2020, 0),
    INDIRECT("'"&amp;$D$10&amp;"'!GO_2025"),
    0
)
+IF(
    IFERROR(INDIRECT("'"&amp;$D$11&amp;"'!C9")&gt;2020, 0),
    INDIRECT("'"&amp;$D$11&amp;"'!GO_2025"),
    0
)
+IF(
    IFERROR(INDIRECT("'"&amp;$D$12&amp;"'!C9")&gt;2020, 0),
    INDIRECT("'"&amp;$D$12&amp;"'!GO_2025"),
    0
)
+IF(
    IFERROR(INDIRECT("'"&amp;$D$13&amp;"'!C9")&gt;2020, 0),
    INDIRECT("'"&amp;$D$13&amp;"'!GO_2025"),
    0
)
+IF(
    IFERROR(INDIRECT("'"&amp;$D$14&amp;"'!C9")&gt;2020, 0),
    INDIRECT("'"&amp;$D$14&amp;"'!GO_2025"),
    0
)
+IF(
    IFERROR(INDIRECT("'"&amp;$D$15&amp;"'!C9")&gt;2020, 0),
    INDIRECT("'"&amp;$D$15&amp;"'!GO_2025"),
    0
)
+IF(
    IFERROR(INDIRECT("'"&amp;$D$16&amp;"'!C9")&gt;2020, 0),
    INDIRECT("'"&amp;$D$16&amp;"'!GO_2025"),
    0
)
+IF(
    IFERROR(INDIRECT("'"&amp;$D$17&amp;"'!C9")&gt;2020, 0),
    INDIRECT("'"&amp;$D$17&amp;"'!GO_2025"),
    0
)
+IF(
    IFERROR(INDIRECT("'"&amp;$D$18&amp;"'!C9")&gt;2020, 0),
    INDIRECT("'"&amp;$D$18&amp;"'!GO_2025"),
    0
)
+IF(
    IFERROR(INDIRECT("'"&amp;$D$19&amp;"'!C9")&gt;2020, 0),
    INDIRECT("'"&amp;$D$19&amp;"'!GO_2025"),
    0
)
+IF(
    IFERROR(INDIRECT("'"&amp;$D$20&amp;"'!C9")&gt;2020, 0),
    INDIRECT("'"&amp;$D$20&amp;"'!GO_2025"),
    0
)
+IF(
    IFERROR(INDIRECT("'"&amp;$D$21&amp;"'!C9")&gt;2020, 0),
    INDIRECT("'"&amp;$D$21&amp;"'!GO_2025"),
    0
)
+IF(
    IFERROR(INDIRECT("'"&amp;$D$22&amp;"'!C9")&gt;2020, 0),
    INDIRECT("'"&amp;$D$22&amp;"'!GO_2025"),
    0
)
+IF(
    IFERROR(INDIRECT("'"&amp;$D$23&amp;"'!C9")&gt;2020, 0),
    INDIRECT("'"&amp;$D$23&amp;"'!GO_2025"),
    0
)
+IF(
    IFERROR(INDIRECT("'"&amp;$D$24&amp;"'!C9")&gt;2020, 0),
    INDIRECT("'"&amp;$D$24&amp;"'!GO_2025"),
    0
)
+IF(
    IFERROR(INDIRECT("'"&amp;$D$25&amp;"'!C9")&gt;2020, 0),
    INDIRECT("'"&amp;$D$25&amp;"'!GO_2025"),
    0
)
+IF(
    IFERROR(INDIRECT("'"&amp;$D$26&amp;"'!C9")&gt;2020, 0),
    INDIRECT("'"&amp;$D$26&amp;"'!GO_2025"),
    0
)
+IF(
    IFERROR(INDIRECT("'"&amp;$D$27&amp;"'!C9")&gt;2020, 0),
    INDIRECT("'"&amp;$D$27&amp;"'!GO_2025"),
    0
)
+IF(
    IFERROR(INDIRECT("'"&amp;$D$28&amp;"'!C9")&gt;2020, 0),
    INDIRECT("'"&amp;$D$28&amp;"'!GO_2025"),
    0
)
+IF(
    IFERROR(INDIRECT("'"&amp;$D$29&amp;"'!C9")&gt;2020, 0),
    INDIRECT("'"&amp;$D$29&amp;"'!GO_2025"),
    0
)
+IF(
    IFERROR(INDIRECT("'"&amp;$D$30&amp;"'!C9")&gt;2020, 0),
    INDIRECT("'"&amp;$D$30&amp;"'!GO_2025"),
    0
)
+IF(
    IFERROR(INDIRECT("'"&amp;$D$31&amp;"'!C9")&gt;2020, 0),
    INDIRECT("'"&amp;$D$31&amp;"'!GO_2025"),
    0
)
+IF(
    IFERROR(INDIRECT("'"&amp;$D$32&amp;"'!C9")&gt;2020, 0),
    INDIRECT("'"&amp;$D$32&amp;"'!GO_2025"),
    0
)
+IF(
    IFERROR(INDIRECT("'"&amp;$D$33&amp;"'!C9")&gt;2020, 0),
    INDIRECT("'"&amp;$D$33&amp;"'!GO_2025"),
    0
)
+IF(
    IFERROR(INDIRECT("'"&amp;$D$34&amp;"'!C9")&gt;2020, 0),
    INDIRECT("'"&amp;$D$34&amp;"'!GO_2025"),
    0
)
+IF(
    IFERROR(INDIRECT("'"&amp;$D$35&amp;"'!C9")&gt;2020, 0),
    INDIRECT("'"&amp;$D$35&amp;"'!GO_2025"),
    0
)
+IF(
    IFERROR(INDIRECT("'"&amp;$D$36&amp;"'!C9")&gt;2020, 0),
    INDIRECT("'"&amp;$D$36&amp;"'!GO_2025"),
    0
)
+IF(
    IFERROR(INDIRECT("'"&amp;$D$37&amp;"'!C9")&gt;2020, 0),
    INDIRECT("'"&amp;$D$37&amp;"'!GO_2025"),
    0
)
+IF(
    IFERROR(INDIRECT("'"&amp;$D$38&amp;"'!C9")&gt;2020, 0),
    INDIRECT("'"&amp;$D$38&amp;"'!GO_2025"),
    0
)
+IF(
    IFERROR(INDIRECT("'"&amp;$D$39&amp;"'!C9")&gt;2020, 0),
    INDIRECT("'"&amp;$D$39&amp;"'!GO_2025"),
    0
)
+IF(
    IFERROR(INDIRECT("'"&amp;$D$40&amp;"'!C9")&gt;2020, 0),
    INDIRECT("'"&amp;$D$40&amp;"'!GO_2025"),
    0
)
+IF(
    IFERROR(INDIRECT("'"&amp;$D$41&amp;"'!C9")&gt;2020, 0),
    INDIRECT("'"&amp;$D$41&amp;"'!GO_2025"),
    0
)
+IF(
    IFERROR(INDIRECT("'"&amp;$D$42&amp;"'!C9")&gt;2020, 0),
    INDIRECT("'"&amp;$D$42&amp;"'!GO_2025"),
    0
)
+IF(
    IFERROR(INDIRECT("'"&amp;$D$43&amp;"'!C9")&gt;2020, 0),
    INDIRECT("'"&amp;$D$43&amp;"'!GO_2025"),
    0
)
+IF(
    IFERROR(INDIRECT("'"&amp;$D$44&amp;"'!C9")&gt;2020, 0),
    INDIRECT("'"&amp;$D$44&amp;"'!GO_2025"),
    0
)
+IF(
    IFERROR(INDIRECT("'"&amp;$D$45&amp;"'!C9")&gt;2020, 0),
    INDIRECT("'"&amp;$D$45&amp;"'!GO_2025"),
    0
)
+IF(
    IFERROR(INDIRECT("'"&amp;$D$46&amp;"'!C9")&gt;2020, 0),
    INDIRECT("'"&amp;$D$46&amp;"'!GO_2025"),
    0
)
+IF(
    IFERROR(INDIRECT("'"&amp;$D$47&amp;"'!C9")&gt;2020, 0),
    INDIRECT("'"&amp;$D$47&amp;"'!GO_2025"),
    0
)
+IF(
    IFERROR(INDIRECT("'"&amp;$D$48&amp;"'!C9")&gt;2020, 0),
    INDIRECT("'"&amp;$D$48&amp;"'!GO_2025"),
    0
)
+IF(
    IFERROR(INDIRECT("'"&amp;$D$49&amp;"'!C9")&gt;2020, 0),
    INDIRECT("'"&amp;$D$49&amp;"'!GO_2025"),
    0
)
+IF(
    IFERROR(INDIRECT("'"&amp;$D$50&amp;"'!C9")&gt;2020, 0),
    INDIRECT("'"&amp;$D$50&amp;"'!GO_2025"),
    0
)
+IF(
    IFERROR(INDIRECT("'"&amp;$D$51&amp;"'!C9")&gt;2020, 0),
    INDIRECT("'"&amp;$D$51&amp;"'!GO_2025"),
    0
)
+IF(
    IFERROR(INDIRECT("'"&amp;$D$52&amp;"'!C9")&gt;2020, 0),
    INDIRECT("'"&amp;$D$52&amp;"'!GO_2025"),
    0
)
+IF(
    IFERROR(INDIRECT("'"&amp;$D$53&amp;"'!C9")&gt;2020, 0),
    INDIRECT("'"&amp;$D$53&amp;"'!GO_2025"),
    0
)
+IF(
    IFERROR(INDIRECT("'"&amp;$D$54&amp;"'!C9")&gt;2020, 0),
    INDIRECT("'"&amp;$D$54&amp;"'!GO_2025"),
    0
)</f>
        <v>0</v>
      </c>
      <c r="P28" s="322">
        <f ca="1">Nieuwbouw!M38+IF(
    IFERROR(INDIRECT("'"&amp;$D$5&amp;"'!C9")&gt;2020, 0),
    INDIRECT("'"&amp;$D$5&amp;"'!GO_2026"),
    0
)
+IF(
    IFERROR(INDIRECT("'"&amp;$D$6&amp;"'!C9")&gt;2020, 0),
    INDIRECT("'"&amp;$D$6&amp;"'!GO_2026"),
    0
)
+IF(
    IFERROR(INDIRECT("'"&amp;$D$7&amp;"'!C9")&gt;2020, 0),
    INDIRECT("'"&amp;$D$7&amp;"'!GO_2026"),
    0
)
+IF(
    IFERROR(INDIRECT("'"&amp;$D$8&amp;"'!C9")&gt;2020, 0),
    INDIRECT("'"&amp;$D$8&amp;"'!GO_2026"),
    0
)
+IF(
    IFERROR(INDIRECT("'"&amp;$D$9&amp;"'!C9")&gt;2020, 0),
    INDIRECT("'"&amp;$D$9&amp;"'!GO_2026"),
    0
)
+IF(
    IFERROR(INDIRECT("'"&amp;$D$10&amp;"'!C9")&gt;2020, 0),
    INDIRECT("'"&amp;$D$10&amp;"'!GO_2026"),
    0
)
+IF(
    IFERROR(INDIRECT("'"&amp;$D$11&amp;"'!C9")&gt;2020, 0),
    INDIRECT("'"&amp;$D$11&amp;"'!GO_2026"),
    0
)
+IF(
    IFERROR(INDIRECT("'"&amp;$D$12&amp;"'!C9")&gt;2020, 0),
    INDIRECT("'"&amp;$D$12&amp;"'!GO_2026"),
    0
)
+IF(
    IFERROR(INDIRECT("'"&amp;$D$13&amp;"'!C9")&gt;2020, 0),
    INDIRECT("'"&amp;$D$13&amp;"'!GO_2026"),
    0
)
+IF(
    IFERROR(INDIRECT("'"&amp;$D$14&amp;"'!C9")&gt;2020, 0),
    INDIRECT("'"&amp;$D$14&amp;"'!GO_2026"),
    0
)
+IF(
    IFERROR(INDIRECT("'"&amp;$D$15&amp;"'!C9")&gt;2020, 0),
    INDIRECT("'"&amp;$D$15&amp;"'!GO_2026"),
    0
)
+IF(
    IFERROR(INDIRECT("'"&amp;$D$16&amp;"'!C9")&gt;2020, 0),
    INDIRECT("'"&amp;$D$16&amp;"'!GO_2026"),
    0
)
+IF(
    IFERROR(INDIRECT("'"&amp;$D$17&amp;"'!C9")&gt;2020, 0),
    INDIRECT("'"&amp;$D$17&amp;"'!GO_2026"),
    0
)
+IF(
    IFERROR(INDIRECT("'"&amp;$D$18&amp;"'!C9")&gt;2020, 0),
    INDIRECT("'"&amp;$D$18&amp;"'!GO_2026"),
    0
)
+IF(
    IFERROR(INDIRECT("'"&amp;$D$19&amp;"'!C9")&gt;2020, 0),
    INDIRECT("'"&amp;$D$19&amp;"'!GO_2026"),
    0
)
+IF(
    IFERROR(INDIRECT("'"&amp;$D$20&amp;"'!C9")&gt;2020, 0),
    INDIRECT("'"&amp;$D$20&amp;"'!GO_2026"),
    0
)
+IF(
    IFERROR(INDIRECT("'"&amp;$D$21&amp;"'!C9")&gt;2020, 0),
    INDIRECT("'"&amp;$D$21&amp;"'!GO_2026"),
    0
)
+IF(
    IFERROR(INDIRECT("'"&amp;$D$22&amp;"'!C9")&gt;2020, 0),
    INDIRECT("'"&amp;$D$22&amp;"'!GO_2026"),
    0
)
+IF(
    IFERROR(INDIRECT("'"&amp;$D$23&amp;"'!C9")&gt;2020, 0),
    INDIRECT("'"&amp;$D$23&amp;"'!GO_2026"),
    0
)
+IF(
    IFERROR(INDIRECT("'"&amp;$D$24&amp;"'!C9")&gt;2020, 0),
    INDIRECT("'"&amp;$D$24&amp;"'!GO_2026"),
    0
)
+IF(
    IFERROR(INDIRECT("'"&amp;$D$25&amp;"'!C9")&gt;2020, 0),
    INDIRECT("'"&amp;$D$25&amp;"'!GO_2026"),
    0
)
+IF(
    IFERROR(INDIRECT("'"&amp;$D$26&amp;"'!C9")&gt;2020, 0),
    INDIRECT("'"&amp;$D$26&amp;"'!GO_2026"),
    0
)
+IF(
    IFERROR(INDIRECT("'"&amp;$D$27&amp;"'!C9")&gt;2020, 0),
    INDIRECT("'"&amp;$D$27&amp;"'!GO_2026"),
    0
)
+IF(
    IFERROR(INDIRECT("'"&amp;$D$28&amp;"'!C9")&gt;2020, 0),
    INDIRECT("'"&amp;$D$28&amp;"'!GO_2026"),
    0
)
+IF(
    IFERROR(INDIRECT("'"&amp;$D$29&amp;"'!C9")&gt;2020, 0),
    INDIRECT("'"&amp;$D$29&amp;"'!GO_2026"),
    0
)
+IF(
    IFERROR(INDIRECT("'"&amp;$D$30&amp;"'!C9")&gt;2020, 0),
    INDIRECT("'"&amp;$D$30&amp;"'!GO_2026"),
    0
)
+IF(
    IFERROR(INDIRECT("'"&amp;$D$31&amp;"'!C9")&gt;2020, 0),
    INDIRECT("'"&amp;$D$31&amp;"'!GO_2026"),
    0
)
+IF(
    IFERROR(INDIRECT("'"&amp;$D$32&amp;"'!C9")&gt;2020, 0),
    INDIRECT("'"&amp;$D$32&amp;"'!GO_2026"),
    0
)
+IF(
    IFERROR(INDIRECT("'"&amp;$D$33&amp;"'!C9")&gt;2020, 0),
    INDIRECT("'"&amp;$D$33&amp;"'!GO_2026"),
    0
)
+IF(
    IFERROR(INDIRECT("'"&amp;$D$34&amp;"'!C9")&gt;2020, 0),
    INDIRECT("'"&amp;$D$34&amp;"'!GO_2026"),
    0
)
+IF(
    IFERROR(INDIRECT("'"&amp;$D$35&amp;"'!C9")&gt;2020, 0),
    INDIRECT("'"&amp;$D$35&amp;"'!GO_2026"),
    0
)
+IF(
    IFERROR(INDIRECT("'"&amp;$D$36&amp;"'!C9")&gt;2020, 0),
    INDIRECT("'"&amp;$D$36&amp;"'!GO_2026"),
    0
)
+IF(
    IFERROR(INDIRECT("'"&amp;$D$37&amp;"'!C9")&gt;2020, 0),
    INDIRECT("'"&amp;$D$37&amp;"'!GO_2026"),
    0
)
+IF(
    IFERROR(INDIRECT("'"&amp;$D$38&amp;"'!C9")&gt;2020, 0),
    INDIRECT("'"&amp;$D$38&amp;"'!GO_2026"),
    0
)
+IF(
    IFERROR(INDIRECT("'"&amp;$D$39&amp;"'!C9")&gt;2020, 0),
    INDIRECT("'"&amp;$D$39&amp;"'!GO_2026"),
    0
)
+IF(
    IFERROR(INDIRECT("'"&amp;$D$40&amp;"'!C9")&gt;2020, 0),
    INDIRECT("'"&amp;$D$40&amp;"'!GO_2026"),
    0
)
+IF(
    IFERROR(INDIRECT("'"&amp;$D$41&amp;"'!C9")&gt;2020, 0),
    INDIRECT("'"&amp;$D$41&amp;"'!GO_2026"),
    0
)
+IF(
    IFERROR(INDIRECT("'"&amp;$D$42&amp;"'!C9")&gt;2020, 0),
    INDIRECT("'"&amp;$D$42&amp;"'!GO_2026"),
    0
)
+IF(
    IFERROR(INDIRECT("'"&amp;$D$43&amp;"'!C9")&gt;2020, 0),
    INDIRECT("'"&amp;$D$43&amp;"'!GO_2026"),
    0
)
+IF(
    IFERROR(INDIRECT("'"&amp;$D$44&amp;"'!C9")&gt;2020, 0),
    INDIRECT("'"&amp;$D$44&amp;"'!GO_2026"),
    0
)
+IF(
    IFERROR(INDIRECT("'"&amp;$D$45&amp;"'!C9")&gt;2020, 0),
    INDIRECT("'"&amp;$D$45&amp;"'!GO_2026"),
    0
)
+IF(
    IFERROR(INDIRECT("'"&amp;$D$46&amp;"'!C9")&gt;2020, 0),
    INDIRECT("'"&amp;$D$46&amp;"'!GO_2026"),
    0
)
+IF(
    IFERROR(INDIRECT("'"&amp;$D$47&amp;"'!C9")&gt;2020, 0),
    INDIRECT("'"&amp;$D$47&amp;"'!GO_2026"),
    0
)
+IF(
    IFERROR(INDIRECT("'"&amp;$D$48&amp;"'!C9")&gt;2020, 0),
    INDIRECT("'"&amp;$D$48&amp;"'!GO_2026"),
    0
)
+IF(
    IFERROR(INDIRECT("'"&amp;$D$49&amp;"'!C9")&gt;2020, 0),
    INDIRECT("'"&amp;$D$49&amp;"'!GO_2026"),
    0
)
+IF(
    IFERROR(INDIRECT("'"&amp;$D$50&amp;"'!C9")&gt;2020, 0),
    INDIRECT("'"&amp;$D$50&amp;"'!GO_2026"),
    0
)
+IF(
    IFERROR(INDIRECT("'"&amp;$D$51&amp;"'!C9")&gt;2020, 0),
    INDIRECT("'"&amp;$D$51&amp;"'!GO_2026"),
    0
)
+IF(
    IFERROR(INDIRECT("'"&amp;$D$52&amp;"'!C9")&gt;2020, 0),
    INDIRECT("'"&amp;$D$52&amp;"'!GO_2026"),
    0
)
+IF(
    IFERROR(INDIRECT("'"&amp;$D$53&amp;"'!C9")&gt;2020, 0),
    INDIRECT("'"&amp;$D$53&amp;"'!GO_2026"),
    0
)
+IF(
    IFERROR(INDIRECT("'"&amp;$D$54&amp;"'!C9")&gt;2020, 0),
    INDIRECT("'"&amp;$D$54&amp;"'!GO_2026"),
    0
)</f>
        <v>0</v>
      </c>
      <c r="Q28" s="322">
        <f ca="1">Nieuwbouw!N38+IF(
    IFERROR(INDIRECT("'"&amp;$D$5&amp;"'!C9")&gt;2020, 0),
    INDIRECT("'"&amp;$D$5&amp;"'!GO_2027"),
    0
)
+IF(
    IFERROR(INDIRECT("'"&amp;$D$6&amp;"'!C9")&gt;2020, 0),
    INDIRECT("'"&amp;$D$6&amp;"'!GO_2027"),
    0
)
+IF(
    IFERROR(INDIRECT("'"&amp;$D$7&amp;"'!C9")&gt;2020, 0),
    INDIRECT("'"&amp;$D$7&amp;"'!GO_2027"),
    0
)
+IF(
    IFERROR(INDIRECT("'"&amp;$D$8&amp;"'!C9")&gt;2020, 0),
    INDIRECT("'"&amp;$D$8&amp;"'!GO_2027"),
    0
)
+IF(
    IFERROR(INDIRECT("'"&amp;$D$9&amp;"'!C9")&gt;2020, 0),
    INDIRECT("'"&amp;$D$9&amp;"'!GO_2027"),
    0
)
+IF(
    IFERROR(INDIRECT("'"&amp;$D$10&amp;"'!C9")&gt;2020, 0),
    INDIRECT("'"&amp;$D$10&amp;"'!GO_2027"),
    0
)
+IF(
    IFERROR(INDIRECT("'"&amp;$D$11&amp;"'!C9")&gt;2020, 0),
    INDIRECT("'"&amp;$D$11&amp;"'!GO_2027"),
    0
)
+IF(
    IFERROR(INDIRECT("'"&amp;$D$12&amp;"'!C9")&gt;2020, 0),
    INDIRECT("'"&amp;$D$12&amp;"'!GO_2027"),
    0
)
+IF(
    IFERROR(INDIRECT("'"&amp;$D$13&amp;"'!C9")&gt;2020, 0),
    INDIRECT("'"&amp;$D$13&amp;"'!GO_2027"),
    0
)
+IF(
    IFERROR(INDIRECT("'"&amp;$D$14&amp;"'!C9")&gt;2020, 0),
    INDIRECT("'"&amp;$D$14&amp;"'!GO_2027"),
    0
)
+IF(
    IFERROR(INDIRECT("'"&amp;$D$15&amp;"'!C9")&gt;2020, 0),
    INDIRECT("'"&amp;$D$15&amp;"'!GO_2027"),
    0
)
+IF(
    IFERROR(INDIRECT("'"&amp;$D$16&amp;"'!C9")&gt;2020, 0),
    INDIRECT("'"&amp;$D$16&amp;"'!GO_2027"),
    0
)
+IF(
    IFERROR(INDIRECT("'"&amp;$D$17&amp;"'!C9")&gt;2020, 0),
    INDIRECT("'"&amp;$D$17&amp;"'!GO_2027"),
    0
)
+IF(
    IFERROR(INDIRECT("'"&amp;$D$18&amp;"'!C9")&gt;2020, 0),
    INDIRECT("'"&amp;$D$18&amp;"'!GO_2027"),
    0
)
+IF(
    IFERROR(INDIRECT("'"&amp;$D$19&amp;"'!C9")&gt;2020, 0),
    INDIRECT("'"&amp;$D$19&amp;"'!GO_2027"),
    0
)
+IF(
    IFERROR(INDIRECT("'"&amp;$D$20&amp;"'!C9")&gt;2020, 0),
    INDIRECT("'"&amp;$D$20&amp;"'!GO_2027"),
    0
)
+IF(
    IFERROR(INDIRECT("'"&amp;$D$21&amp;"'!C9")&gt;2020, 0),
    INDIRECT("'"&amp;$D$21&amp;"'!GO_2027"),
    0
)
+IF(
    IFERROR(INDIRECT("'"&amp;$D$22&amp;"'!C9")&gt;2020, 0),
    INDIRECT("'"&amp;$D$22&amp;"'!GO_2027"),
    0
)
+IF(
    IFERROR(INDIRECT("'"&amp;$D$23&amp;"'!C9")&gt;2020, 0),
    INDIRECT("'"&amp;$D$23&amp;"'!GO_2027"),
    0
)
+IF(
    IFERROR(INDIRECT("'"&amp;$D$24&amp;"'!C9")&gt;2020, 0),
    INDIRECT("'"&amp;$D$24&amp;"'!GO_2027"),
    0
)
+IF(
    IFERROR(INDIRECT("'"&amp;$D$25&amp;"'!C9")&gt;2020, 0),
    INDIRECT("'"&amp;$D$25&amp;"'!GO_2027"),
    0
)
+IF(
    IFERROR(INDIRECT("'"&amp;$D$26&amp;"'!C9")&gt;2020, 0),
    INDIRECT("'"&amp;$D$26&amp;"'!GO_2027"),
    0
)
+IF(
    IFERROR(INDIRECT("'"&amp;$D$27&amp;"'!C9")&gt;2020, 0),
    INDIRECT("'"&amp;$D$27&amp;"'!GO_2027"),
    0
)
+IF(
    IFERROR(INDIRECT("'"&amp;$D$28&amp;"'!C9")&gt;2020, 0),
    INDIRECT("'"&amp;$D$28&amp;"'!GO_2027"),
    0
)
+IF(
    IFERROR(INDIRECT("'"&amp;$D$29&amp;"'!C9")&gt;2020, 0),
    INDIRECT("'"&amp;$D$29&amp;"'!GO_2027"),
    0
)
+IF(
    IFERROR(INDIRECT("'"&amp;$D$30&amp;"'!C9")&gt;2020, 0),
    INDIRECT("'"&amp;$D$30&amp;"'!GO_2027"),
    0
)
+IF(
    IFERROR(INDIRECT("'"&amp;$D$31&amp;"'!C9")&gt;2020, 0),
    INDIRECT("'"&amp;$D$31&amp;"'!GO_2027"),
    0
)
+IF(
    IFERROR(INDIRECT("'"&amp;$D$32&amp;"'!C9")&gt;2020, 0),
    INDIRECT("'"&amp;$D$32&amp;"'!GO_2027"),
    0
)
+IF(
    IFERROR(INDIRECT("'"&amp;$D$33&amp;"'!C9")&gt;2020, 0),
    INDIRECT("'"&amp;$D$33&amp;"'!GO_2027"),
    0
)
+IF(
    IFERROR(INDIRECT("'"&amp;$D$34&amp;"'!C9")&gt;2020, 0),
    INDIRECT("'"&amp;$D$34&amp;"'!GO_2027"),
    0
)
+IF(
    IFERROR(INDIRECT("'"&amp;$D$35&amp;"'!C9")&gt;2020, 0),
    INDIRECT("'"&amp;$D$35&amp;"'!GO_2027"),
    0
)
+IF(
    IFERROR(INDIRECT("'"&amp;$D$36&amp;"'!C9")&gt;2020, 0),
    INDIRECT("'"&amp;$D$36&amp;"'!GO_2027"),
    0
)
+IF(
    IFERROR(INDIRECT("'"&amp;$D$37&amp;"'!C9")&gt;2020, 0),
    INDIRECT("'"&amp;$D$37&amp;"'!GO_2027"),
    0
)
+IF(
    IFERROR(INDIRECT("'"&amp;$D$38&amp;"'!C9")&gt;2020, 0),
    INDIRECT("'"&amp;$D$38&amp;"'!GO_2027"),
    0
)
+IF(
    IFERROR(INDIRECT("'"&amp;$D$39&amp;"'!C9")&gt;2020, 0),
    INDIRECT("'"&amp;$D$39&amp;"'!GO_2027"),
    0
)
+IF(
    IFERROR(INDIRECT("'"&amp;$D$40&amp;"'!C9")&gt;2020, 0),
    INDIRECT("'"&amp;$D$40&amp;"'!GO_2027"),
    0
)
+IF(
    IFERROR(INDIRECT("'"&amp;$D$41&amp;"'!C9")&gt;2020, 0),
    INDIRECT("'"&amp;$D$41&amp;"'!GO_2027"),
    0
)
+IF(
    IFERROR(INDIRECT("'"&amp;$D$42&amp;"'!C9")&gt;2020, 0),
    INDIRECT("'"&amp;$D$42&amp;"'!GO_2027"),
    0
)
+IF(
    IFERROR(INDIRECT("'"&amp;$D$43&amp;"'!C9")&gt;2020, 0),
    INDIRECT("'"&amp;$D$43&amp;"'!GO_2027"),
    0
)
+IF(
    IFERROR(INDIRECT("'"&amp;$D$44&amp;"'!C9")&gt;2020, 0),
    INDIRECT("'"&amp;$D$44&amp;"'!GO_2027"),
    0
)
+IF(
    IFERROR(INDIRECT("'"&amp;$D$45&amp;"'!C9")&gt;2020, 0),
    INDIRECT("'"&amp;$D$45&amp;"'!GO_2027"),
    0
)
+IF(
    IFERROR(INDIRECT("'"&amp;$D$46&amp;"'!C9")&gt;2020, 0),
    INDIRECT("'"&amp;$D$46&amp;"'!GO_2027"),
    0
)
+IF(
    IFERROR(INDIRECT("'"&amp;$D$47&amp;"'!C9")&gt;2020, 0),
    INDIRECT("'"&amp;$D$47&amp;"'!GO_2027"),
    0
)
+IF(
    IFERROR(INDIRECT("'"&amp;$D$48&amp;"'!C9")&gt;2020, 0),
    INDIRECT("'"&amp;$D$48&amp;"'!GO_2027"),
    0
)
+IF(
    IFERROR(INDIRECT("'"&amp;$D$49&amp;"'!C9")&gt;2020, 0),
    INDIRECT("'"&amp;$D$49&amp;"'!GO_2027"),
    0
)
+IF(
    IFERROR(INDIRECT("'"&amp;$D$50&amp;"'!C9")&gt;2020, 0),
    INDIRECT("'"&amp;$D$50&amp;"'!GO_2027"),
    0
)
+IF(
    IFERROR(INDIRECT("'"&amp;$D$51&amp;"'!C9")&gt;2020, 0),
    INDIRECT("'"&amp;$D$51&amp;"'!GO_2027"),
    0
)
+IF(
    IFERROR(INDIRECT("'"&amp;$D$52&amp;"'!C9")&gt;2020, 0),
    INDIRECT("'"&amp;$D$52&amp;"'!GO_2027"),
    0
)
+IF(
    IFERROR(INDIRECT("'"&amp;$D$53&amp;"'!C9")&gt;2020, 0),
    INDIRECT("'"&amp;$D$53&amp;"'!GO_2027"),
    0
)
+IF(
    IFERROR(INDIRECT("'"&amp;$D$54&amp;"'!C9")&gt;2020, 0),
    INDIRECT("'"&amp;$D$54&amp;"'!GO_2027"),
    0
)</f>
        <v>10439</v>
      </c>
      <c r="R28" s="322">
        <f ca="1">Nieuwbouw!O38+IF(
    IFERROR(INDIRECT("'"&amp;$D$5&amp;"'!C9")&gt;2020, 0),
    INDIRECT("'"&amp;$D$5&amp;"'!GO_2028"),
    0
)
+IF(
    IFERROR(INDIRECT("'"&amp;$D$6&amp;"'!C9")&gt;2020, 0),
    INDIRECT("'"&amp;$D$6&amp;"'!GO_2028"),
    0
)
+IF(
    IFERROR(INDIRECT("'"&amp;$D$7&amp;"'!C9")&gt;2020, 0),
    INDIRECT("'"&amp;$D$7&amp;"'!GO_2028"),
    0
)
+IF(
    IFERROR(INDIRECT("'"&amp;$D$8&amp;"'!C9")&gt;2020, 0),
    INDIRECT("'"&amp;$D$8&amp;"'!GO_2028"),
    0
)
+IF(
    IFERROR(INDIRECT("'"&amp;$D$9&amp;"'!C9")&gt;2020, 0),
    INDIRECT("'"&amp;$D$9&amp;"'!GO_2028"),
    0
)
+IF(
    IFERROR(INDIRECT("'"&amp;$D$10&amp;"'!C9")&gt;2020, 0),
    INDIRECT("'"&amp;$D$10&amp;"'!GO_2028"),
    0
)
+IF(
    IFERROR(INDIRECT("'"&amp;$D$11&amp;"'!C9")&gt;2020, 0),
    INDIRECT("'"&amp;$D$11&amp;"'!GO_2028"),
    0
)
+IF(
    IFERROR(INDIRECT("'"&amp;$D$12&amp;"'!C9")&gt;2020, 0),
    INDIRECT("'"&amp;$D$12&amp;"'!GO_2028"),
    0
)
+IF(
    IFERROR(INDIRECT("'"&amp;$D$13&amp;"'!C9")&gt;2020, 0),
    INDIRECT("'"&amp;$D$13&amp;"'!GO_2028"),
    0
)
+IF(
    IFERROR(INDIRECT("'"&amp;$D$14&amp;"'!C9")&gt;2020, 0),
    INDIRECT("'"&amp;$D$14&amp;"'!GO_2028"),
    0
)
+IF(
    IFERROR(INDIRECT("'"&amp;$D$15&amp;"'!C9")&gt;2020, 0),
    INDIRECT("'"&amp;$D$15&amp;"'!GO_2028"),
    0
)
+IF(
    IFERROR(INDIRECT("'"&amp;$D$16&amp;"'!C9")&gt;2020, 0),
    INDIRECT("'"&amp;$D$16&amp;"'!GO_2028"),
    0
)
+IF(
    IFERROR(INDIRECT("'"&amp;$D$17&amp;"'!C9")&gt;2020, 0),
    INDIRECT("'"&amp;$D$17&amp;"'!GO_2028"),
    0
)
+IF(
    IFERROR(INDIRECT("'"&amp;$D$18&amp;"'!C9")&gt;2020, 0),
    INDIRECT("'"&amp;$D$18&amp;"'!GO_2028"),
    0
)
+IF(
    IFERROR(INDIRECT("'"&amp;$D$19&amp;"'!C9")&gt;2020, 0),
    INDIRECT("'"&amp;$D$19&amp;"'!GO_2028"),
    0
)
+IF(
    IFERROR(INDIRECT("'"&amp;$D$20&amp;"'!C9")&gt;2020, 0),
    INDIRECT("'"&amp;$D$20&amp;"'!GO_2028"),
    0
)
+IF(
    IFERROR(INDIRECT("'"&amp;$D$21&amp;"'!C9")&gt;2020, 0),
    INDIRECT("'"&amp;$D$21&amp;"'!GO_2028"),
    0
)
+IF(
    IFERROR(INDIRECT("'"&amp;$D$22&amp;"'!C9")&gt;2020, 0),
    INDIRECT("'"&amp;$D$22&amp;"'!GO_2028"),
    0
)
+IF(
    IFERROR(INDIRECT("'"&amp;$D$23&amp;"'!C9")&gt;2020, 0),
    INDIRECT("'"&amp;$D$23&amp;"'!GO_2028"),
    0
)
+IF(
    IFERROR(INDIRECT("'"&amp;$D$24&amp;"'!C9")&gt;2020, 0),
    INDIRECT("'"&amp;$D$24&amp;"'!GO_2028"),
    0
)
+IF(
    IFERROR(INDIRECT("'"&amp;$D$25&amp;"'!C9")&gt;2020, 0),
    INDIRECT("'"&amp;$D$25&amp;"'!GO_2028"),
    0
)
+IF(
    IFERROR(INDIRECT("'"&amp;$D$26&amp;"'!C9")&gt;2020, 0),
    INDIRECT("'"&amp;$D$26&amp;"'!GO_2028"),
    0
)
+IF(
    IFERROR(INDIRECT("'"&amp;$D$27&amp;"'!C9")&gt;2020, 0),
    INDIRECT("'"&amp;$D$27&amp;"'!GO_2028"),
    0
)
+IF(
    IFERROR(INDIRECT("'"&amp;$D$28&amp;"'!C9")&gt;2020, 0),
    INDIRECT("'"&amp;$D$28&amp;"'!GO_2028"),
    0
)
+IF(
    IFERROR(INDIRECT("'"&amp;$D$29&amp;"'!C9")&gt;2020, 0),
    INDIRECT("'"&amp;$D$29&amp;"'!GO_2028"),
    0
)
+IF(
    IFERROR(INDIRECT("'"&amp;$D$30&amp;"'!C9")&gt;2020, 0),
    INDIRECT("'"&amp;$D$30&amp;"'!GO_2028"),
    0
)
+IF(
    IFERROR(INDIRECT("'"&amp;$D$31&amp;"'!C9")&gt;2020, 0),
    INDIRECT("'"&amp;$D$31&amp;"'!GO_2028"),
    0
)
+IF(
    IFERROR(INDIRECT("'"&amp;$D$32&amp;"'!C9")&gt;2020, 0),
    INDIRECT("'"&amp;$D$32&amp;"'!GO_2028"),
    0
)
+IF(
    IFERROR(INDIRECT("'"&amp;$D$33&amp;"'!C9")&gt;2020, 0),
    INDIRECT("'"&amp;$D$33&amp;"'!GO_2028"),
    0
)
+IF(
    IFERROR(INDIRECT("'"&amp;$D$34&amp;"'!C9")&gt;2020, 0),
    INDIRECT("'"&amp;$D$34&amp;"'!GO_2028"),
    0
)
+IF(
    IFERROR(INDIRECT("'"&amp;$D$35&amp;"'!C9")&gt;2020, 0),
    INDIRECT("'"&amp;$D$35&amp;"'!GO_2028"),
    0
)
+IF(
    IFERROR(INDIRECT("'"&amp;$D$36&amp;"'!C9")&gt;2020, 0),
    INDIRECT("'"&amp;$D$36&amp;"'!GO_2028"),
    0
)
+IF(
    IFERROR(INDIRECT("'"&amp;$D$37&amp;"'!C9")&gt;2020, 0),
    INDIRECT("'"&amp;$D$37&amp;"'!GO_2028"),
    0
)
+IF(
    IFERROR(INDIRECT("'"&amp;$D$38&amp;"'!C9")&gt;2020, 0),
    INDIRECT("'"&amp;$D$38&amp;"'!GO_2028"),
    0
)
+IF(
    IFERROR(INDIRECT("'"&amp;$D$39&amp;"'!C9")&gt;2020, 0),
    INDIRECT("'"&amp;$D$39&amp;"'!GO_2028"),
    0
)
+IF(
    IFERROR(INDIRECT("'"&amp;$D$40&amp;"'!C9")&gt;2020, 0),
    INDIRECT("'"&amp;$D$40&amp;"'!GO_2028"),
    0
)
+IF(
    IFERROR(INDIRECT("'"&amp;$D$41&amp;"'!C9")&gt;2020, 0),
    INDIRECT("'"&amp;$D$41&amp;"'!GO_2028"),
    0
)
+IF(
    IFERROR(INDIRECT("'"&amp;$D$42&amp;"'!C9")&gt;2020, 0),
    INDIRECT("'"&amp;$D$42&amp;"'!GO_2028"),
    0
)
+IF(
    IFERROR(INDIRECT("'"&amp;$D$43&amp;"'!C9")&gt;2020, 0),
    INDIRECT("'"&amp;$D$43&amp;"'!GO_2028"),
    0
)
+IF(
    IFERROR(INDIRECT("'"&amp;$D$44&amp;"'!C9")&gt;2020, 0),
    INDIRECT("'"&amp;$D$44&amp;"'!GO_2028"),
    0
)
+IF(
    IFERROR(INDIRECT("'"&amp;$D$45&amp;"'!C9")&gt;2020, 0),
    INDIRECT("'"&amp;$D$45&amp;"'!GO_2028"),
    0
)
+IF(
    IFERROR(INDIRECT("'"&amp;$D$46&amp;"'!C9")&gt;2020, 0),
    INDIRECT("'"&amp;$D$46&amp;"'!GO_2028"),
    0
)
+IF(
    IFERROR(INDIRECT("'"&amp;$D$47&amp;"'!C9")&gt;2020, 0),
    INDIRECT("'"&amp;$D$47&amp;"'!GO_2028"),
    0
)
+IF(
    IFERROR(INDIRECT("'"&amp;$D$48&amp;"'!C9")&gt;2020, 0),
    INDIRECT("'"&amp;$D$48&amp;"'!GO_2028"),
    0
)
+IF(
    IFERROR(INDIRECT("'"&amp;$D$49&amp;"'!C9")&gt;2020, 0),
    INDIRECT("'"&amp;$D$49&amp;"'!GO_2028"),
    0
)
+IF(
    IFERROR(INDIRECT("'"&amp;$D$50&amp;"'!C9")&gt;2020, 0),
    INDIRECT("'"&amp;$D$50&amp;"'!GO_2028"),
    0
)
+IF(
    IFERROR(INDIRECT("'"&amp;$D$51&amp;"'!C9")&gt;2020, 0),
    INDIRECT("'"&amp;$D$51&amp;"'!GO_2028"),
    0
)
+IF(
    IFERROR(INDIRECT("'"&amp;$D$52&amp;"'!C9")&gt;2020, 0),
    INDIRECT("'"&amp;$D$52&amp;"'!GO_2028"),
    0
)
+IF(
    IFERROR(INDIRECT("'"&amp;$D$53&amp;"'!C9")&gt;2020, 0),
    INDIRECT("'"&amp;$D$53&amp;"'!GO_2028"),
    0
)
+IF(
    IFERROR(INDIRECT("'"&amp;$D$54&amp;"'!C9")&gt;2020, 0),
    INDIRECT("'"&amp;$D$54&amp;"'!GO_2028"),
    0
)</f>
        <v>10439</v>
      </c>
      <c r="S28" s="322">
        <f ca="1">Nieuwbouw!P38+IF(
    IFERROR(INDIRECT("'"&amp;$D$5&amp;"'!C9")&gt;2020, 0),
    INDIRECT("'"&amp;$D$5&amp;"'!GO_2029"),
    0
)
+IF(
    IFERROR(INDIRECT("'"&amp;$D$6&amp;"'!C9")&gt;2020, 0),
    INDIRECT("'"&amp;$D$6&amp;"'!GO_2029"),
    0
)
+IF(
    IFERROR(INDIRECT("'"&amp;$D$7&amp;"'!C9")&gt;2020, 0),
    INDIRECT("'"&amp;$D$7&amp;"'!GO_2029"),
    0
)
+IF(
    IFERROR(INDIRECT("'"&amp;$D$8&amp;"'!C9")&gt;2020, 0),
    INDIRECT("'"&amp;$D$8&amp;"'!GO_2029"),
    0
)
+IF(
    IFERROR(INDIRECT("'"&amp;$D$9&amp;"'!C9")&gt;2020, 0),
    INDIRECT("'"&amp;$D$9&amp;"'!GO_2029"),
    0
)
+IF(
    IFERROR(INDIRECT("'"&amp;$D$10&amp;"'!C9")&gt;2020, 0),
    INDIRECT("'"&amp;$D$10&amp;"'!GO_2029"),
    0
)
+IF(
    IFERROR(INDIRECT("'"&amp;$D$11&amp;"'!C9")&gt;2020, 0),
    INDIRECT("'"&amp;$D$11&amp;"'!GO_2029"),
    0
)
+IF(
    IFERROR(INDIRECT("'"&amp;$D$12&amp;"'!C9")&gt;2020, 0),
    INDIRECT("'"&amp;$D$12&amp;"'!GO_2029"),
    0
)
+IF(
    IFERROR(INDIRECT("'"&amp;$D$13&amp;"'!C9")&gt;2020, 0),
    INDIRECT("'"&amp;$D$13&amp;"'!GO_2029"),
    0
)
+IF(
    IFERROR(INDIRECT("'"&amp;$D$14&amp;"'!C9")&gt;2020, 0),
    INDIRECT("'"&amp;$D$14&amp;"'!GO_2029"),
    0
)
+IF(
    IFERROR(INDIRECT("'"&amp;$D$15&amp;"'!C9")&gt;2020, 0),
    INDIRECT("'"&amp;$D$15&amp;"'!GO_2029"),
    0
)
+IF(
    IFERROR(INDIRECT("'"&amp;$D$16&amp;"'!C9")&gt;2020, 0),
    INDIRECT("'"&amp;$D$16&amp;"'!GO_2029"),
    0
)
+IF(
    IFERROR(INDIRECT("'"&amp;$D$17&amp;"'!C9")&gt;2020, 0),
    INDIRECT("'"&amp;$D$17&amp;"'!GO_2029"),
    0
)
+IF(
    IFERROR(INDIRECT("'"&amp;$D$18&amp;"'!C9")&gt;2020, 0),
    INDIRECT("'"&amp;$D$18&amp;"'!GO_2029"),
    0
)
+IF(
    IFERROR(INDIRECT("'"&amp;$D$19&amp;"'!C9")&gt;2020, 0),
    INDIRECT("'"&amp;$D$19&amp;"'!GO_2029"),
    0
)
+IF(
    IFERROR(INDIRECT("'"&amp;$D$20&amp;"'!C9")&gt;2020, 0),
    INDIRECT("'"&amp;$D$20&amp;"'!GO_2029"),
    0
)
+IF(
    IFERROR(INDIRECT("'"&amp;$D$21&amp;"'!C9")&gt;2020, 0),
    INDIRECT("'"&amp;$D$21&amp;"'!GO_2029"),
    0
)
+IF(
    IFERROR(INDIRECT("'"&amp;$D$22&amp;"'!C9")&gt;2020, 0),
    INDIRECT("'"&amp;$D$22&amp;"'!GO_2029"),
    0
)
+IF(
    IFERROR(INDIRECT("'"&amp;$D$23&amp;"'!C9")&gt;2020, 0),
    INDIRECT("'"&amp;$D$23&amp;"'!GO_2029"),
    0
)
+IF(
    IFERROR(INDIRECT("'"&amp;$D$24&amp;"'!C9")&gt;2020, 0),
    INDIRECT("'"&amp;$D$24&amp;"'!GO_2029"),
    0
)
+IF(
    IFERROR(INDIRECT("'"&amp;$D$25&amp;"'!C9")&gt;2020, 0),
    INDIRECT("'"&amp;$D$25&amp;"'!GO_2029"),
    0
)
+IF(
    IFERROR(INDIRECT("'"&amp;$D$26&amp;"'!C9")&gt;2020, 0),
    INDIRECT("'"&amp;$D$26&amp;"'!GO_2029"),
    0
)
+IF(
    IFERROR(INDIRECT("'"&amp;$D$27&amp;"'!C9")&gt;2020, 0),
    INDIRECT("'"&amp;$D$27&amp;"'!GO_2029"),
    0
)
+IF(
    IFERROR(INDIRECT("'"&amp;$D$28&amp;"'!C9")&gt;2020, 0),
    INDIRECT("'"&amp;$D$28&amp;"'!GO_2029"),
    0
)
+IF(
    IFERROR(INDIRECT("'"&amp;$D$29&amp;"'!C9")&gt;2020, 0),
    INDIRECT("'"&amp;$D$29&amp;"'!GO_2029"),
    0
)
+IF(
    IFERROR(INDIRECT("'"&amp;$D$30&amp;"'!C9")&gt;2020, 0),
    INDIRECT("'"&amp;$D$30&amp;"'!GO_2029"),
    0
)
+IF(
    IFERROR(INDIRECT("'"&amp;$D$31&amp;"'!C9")&gt;2020, 0),
    INDIRECT("'"&amp;$D$31&amp;"'!GO_2029"),
    0
)
+IF(
    IFERROR(INDIRECT("'"&amp;$D$32&amp;"'!C9")&gt;2020, 0),
    INDIRECT("'"&amp;$D$32&amp;"'!GO_2029"),
    0
)
+IF(
    IFERROR(INDIRECT("'"&amp;$D$33&amp;"'!C9")&gt;2020, 0),
    INDIRECT("'"&amp;$D$33&amp;"'!GO_2029"),
    0
)
+IF(
    IFERROR(INDIRECT("'"&amp;$D$34&amp;"'!C9")&gt;2020, 0),
    INDIRECT("'"&amp;$D$34&amp;"'!GO_2029"),
    0
)
+IF(
    IFERROR(INDIRECT("'"&amp;$D$35&amp;"'!C9")&gt;2020, 0),
    INDIRECT("'"&amp;$D$35&amp;"'!GO_2029"),
    0
)
+IF(
    IFERROR(INDIRECT("'"&amp;$D$36&amp;"'!C9")&gt;2020, 0),
    INDIRECT("'"&amp;$D$36&amp;"'!GO_2029"),
    0
)
+IF(
    IFERROR(INDIRECT("'"&amp;$D$37&amp;"'!C9")&gt;2020, 0),
    INDIRECT("'"&amp;$D$37&amp;"'!GO_2029"),
    0
)
+IF(
    IFERROR(INDIRECT("'"&amp;$D$38&amp;"'!C9")&gt;2020, 0),
    INDIRECT("'"&amp;$D$38&amp;"'!GO_2029"),
    0
)
+IF(
    IFERROR(INDIRECT("'"&amp;$D$39&amp;"'!C9")&gt;2020, 0),
    INDIRECT("'"&amp;$D$39&amp;"'!GO_2029"),
    0
)
+IF(
    IFERROR(INDIRECT("'"&amp;$D$40&amp;"'!C9")&gt;2020, 0),
    INDIRECT("'"&amp;$D$40&amp;"'!GO_2029"),
    0
)
+IF(
    IFERROR(INDIRECT("'"&amp;$D$41&amp;"'!C9")&gt;2020, 0),
    INDIRECT("'"&amp;$D$41&amp;"'!GO_2029"),
    0
)
+IF(
    IFERROR(INDIRECT("'"&amp;$D$42&amp;"'!C9")&gt;2020, 0),
    INDIRECT("'"&amp;$D$42&amp;"'!GO_2029"),
    0
)
+IF(
    IFERROR(INDIRECT("'"&amp;$D$43&amp;"'!C9")&gt;2020, 0),
    INDIRECT("'"&amp;$D$43&amp;"'!GO_2029"),
    0
)
+IF(
    IFERROR(INDIRECT("'"&amp;$D$44&amp;"'!C9")&gt;2020, 0),
    INDIRECT("'"&amp;$D$44&amp;"'!GO_2029"),
    0
)
+IF(
    IFERROR(INDIRECT("'"&amp;$D$45&amp;"'!C9")&gt;2020, 0),
    INDIRECT("'"&amp;$D$45&amp;"'!GO_2029"),
    0
)
+IF(
    IFERROR(INDIRECT("'"&amp;$D$46&amp;"'!C9")&gt;2020, 0),
    INDIRECT("'"&amp;$D$46&amp;"'!GO_2029"),
    0
)
+IF(
    IFERROR(INDIRECT("'"&amp;$D$47&amp;"'!C9")&gt;2020, 0),
    INDIRECT("'"&amp;$D$47&amp;"'!GO_2029"),
    0
)
+IF(
    IFERROR(INDIRECT("'"&amp;$D$48&amp;"'!C9")&gt;2020, 0),
    INDIRECT("'"&amp;$D$48&amp;"'!GO_2029"),
    0
)
+IF(
    IFERROR(INDIRECT("'"&amp;$D$49&amp;"'!C9")&gt;2020, 0),
    INDIRECT("'"&amp;$D$49&amp;"'!GO_2029"),
    0
)
+IF(
    IFERROR(INDIRECT("'"&amp;$D$50&amp;"'!C9")&gt;2020, 0),
    INDIRECT("'"&amp;$D$50&amp;"'!GO_2029"),
    0
)
+IF(
    IFERROR(INDIRECT("'"&amp;$D$51&amp;"'!C9")&gt;2020, 0),
    INDIRECT("'"&amp;$D$51&amp;"'!GO_2029"),
    0
)
+IF(
    IFERROR(INDIRECT("'"&amp;$D$52&amp;"'!C9")&gt;2020, 0),
    INDIRECT("'"&amp;$D$52&amp;"'!GO_2029"),
    0
)
+IF(
    IFERROR(INDIRECT("'"&amp;$D$53&amp;"'!C9")&gt;2020, 0),
    INDIRECT("'"&amp;$D$53&amp;"'!GO_2029"),
    0
)
+IF(
    IFERROR(INDIRECT("'"&amp;$D$54&amp;"'!C9")&gt;2020, 0),
    INDIRECT("'"&amp;$D$54&amp;"'!GO_2029"),
    0
)</f>
        <v>10439</v>
      </c>
      <c r="T28" s="322">
        <f ca="1">Nieuwbouw!Q38+IF(
    IFERROR(INDIRECT("'"&amp;$D$5&amp;"'!C9")&gt;2020, 0),
    INDIRECT("'"&amp;$D$5&amp;"'!GO_2030"),
    0
)
+IF(
    IFERROR(INDIRECT("'"&amp;$D$6&amp;"'!C9")&gt;2020, 0),
    INDIRECT("'"&amp;$D$6&amp;"'!GO_2030"),
    0
)
+IF(
    IFERROR(INDIRECT("'"&amp;$D$7&amp;"'!C9")&gt;2020, 0),
    INDIRECT("'"&amp;$D$7&amp;"'!GO_2030"),
    0
)
+IF(
    IFERROR(INDIRECT("'"&amp;$D$8&amp;"'!C9")&gt;2020, 0),
    INDIRECT("'"&amp;$D$8&amp;"'!GO_2030"),
    0
)
+IF(
    IFERROR(INDIRECT("'"&amp;$D$9&amp;"'!C9")&gt;2020, 0),
    INDIRECT("'"&amp;$D$9&amp;"'!GO_2030"),
    0
)
+IF(
    IFERROR(INDIRECT("'"&amp;$D$10&amp;"'!C9")&gt;2020, 0),
    INDIRECT("'"&amp;$D$10&amp;"'!GO_2030"),
    0
)
+IF(
    IFERROR(INDIRECT("'"&amp;$D$11&amp;"'!C9")&gt;2020, 0),
    INDIRECT("'"&amp;$D$11&amp;"'!GO_2030"),
    0
)
+IF(
    IFERROR(INDIRECT("'"&amp;$D$12&amp;"'!C9")&gt;2020, 0),
    INDIRECT("'"&amp;$D$12&amp;"'!GO_2030"),
    0
)
+IF(
    IFERROR(INDIRECT("'"&amp;$D$13&amp;"'!C9")&gt;2020, 0),
    INDIRECT("'"&amp;$D$13&amp;"'!GO_2030"),
    0
)
+IF(
    IFERROR(INDIRECT("'"&amp;$D$14&amp;"'!C9")&gt;2020, 0),
    INDIRECT("'"&amp;$D$14&amp;"'!GO_2030"),
    0
)
+IF(
    IFERROR(INDIRECT("'"&amp;$D$15&amp;"'!C9")&gt;2020, 0),
    INDIRECT("'"&amp;$D$15&amp;"'!GO_2030"),
    0
)
+IF(
    IFERROR(INDIRECT("'"&amp;$D$16&amp;"'!C9")&gt;2020, 0),
    INDIRECT("'"&amp;$D$16&amp;"'!GO_2030"),
    0
)
+IF(
    IFERROR(INDIRECT("'"&amp;$D$17&amp;"'!C9")&gt;2020, 0),
    INDIRECT("'"&amp;$D$17&amp;"'!GO_2030"),
    0
)
+IF(
    IFERROR(INDIRECT("'"&amp;$D$18&amp;"'!C9")&gt;2020, 0),
    INDIRECT("'"&amp;$D$18&amp;"'!GO_2030"),
    0
)
+IF(
    IFERROR(INDIRECT("'"&amp;$D$19&amp;"'!C9")&gt;2020, 0),
    INDIRECT("'"&amp;$D$19&amp;"'!GO_2030"),
    0
)
+IF(
    IFERROR(INDIRECT("'"&amp;$D$20&amp;"'!C9")&gt;2020, 0),
    INDIRECT("'"&amp;$D$20&amp;"'!GO_2030"),
    0
)
+IF(
    IFERROR(INDIRECT("'"&amp;$D$21&amp;"'!C9")&gt;2020, 0),
    INDIRECT("'"&amp;$D$21&amp;"'!GO_2030"),
    0
)
+IF(
    IFERROR(INDIRECT("'"&amp;$D$22&amp;"'!C9")&gt;2020, 0),
    INDIRECT("'"&amp;$D$22&amp;"'!GO_2030"),
    0
)
+IF(
    IFERROR(INDIRECT("'"&amp;$D$23&amp;"'!C9")&gt;2020, 0),
    INDIRECT("'"&amp;$D$23&amp;"'!GO_2030"),
    0
)
+IF(
    IFERROR(INDIRECT("'"&amp;$D$24&amp;"'!C9")&gt;2020, 0),
    INDIRECT("'"&amp;$D$24&amp;"'!GO_2030"),
    0
)
+IF(
    IFERROR(INDIRECT("'"&amp;$D$25&amp;"'!C9")&gt;2020, 0),
    INDIRECT("'"&amp;$D$25&amp;"'!GO_2030"),
    0
)
+IF(
    IFERROR(INDIRECT("'"&amp;$D$26&amp;"'!C9")&gt;2020, 0),
    INDIRECT("'"&amp;$D$26&amp;"'!GO_2030"),
    0
)
+IF(
    IFERROR(INDIRECT("'"&amp;$D$27&amp;"'!C9")&gt;2020, 0),
    INDIRECT("'"&amp;$D$27&amp;"'!GO_2030"),
    0
)
+IF(
    IFERROR(INDIRECT("'"&amp;$D$28&amp;"'!C9")&gt;2020, 0),
    INDIRECT("'"&amp;$D$28&amp;"'!GO_2030"),
    0
)
+IF(
    IFERROR(INDIRECT("'"&amp;$D$29&amp;"'!C9")&gt;2020, 0),
    INDIRECT("'"&amp;$D$29&amp;"'!GO_2030"),
    0
)
+IF(
    IFERROR(INDIRECT("'"&amp;$D$30&amp;"'!C9")&gt;2020, 0),
    INDIRECT("'"&amp;$D$30&amp;"'!GO_2030"),
    0
)
+IF(
    IFERROR(INDIRECT("'"&amp;$D$31&amp;"'!C9")&gt;2020, 0),
    INDIRECT("'"&amp;$D$31&amp;"'!GO_2030"),
    0
)
+IF(
    IFERROR(INDIRECT("'"&amp;$D$32&amp;"'!C9")&gt;2020, 0),
    INDIRECT("'"&amp;$D$32&amp;"'!GO_2030"),
    0
)
+IF(
    IFERROR(INDIRECT("'"&amp;$D$33&amp;"'!C9")&gt;2020, 0),
    INDIRECT("'"&amp;$D$33&amp;"'!GO_2030"),
    0
)
+IF(
    IFERROR(INDIRECT("'"&amp;$D$34&amp;"'!C9")&gt;2020, 0),
    INDIRECT("'"&amp;$D$34&amp;"'!GO_2030"),
    0
)
+IF(
    IFERROR(INDIRECT("'"&amp;$D$35&amp;"'!C9")&gt;2020, 0),
    INDIRECT("'"&amp;$D$35&amp;"'!GO_2030"),
    0
)
+IF(
    IFERROR(INDIRECT("'"&amp;$D$36&amp;"'!C9")&gt;2020, 0),
    INDIRECT("'"&amp;$D$36&amp;"'!GO_2030"),
    0
)
+IF(
    IFERROR(INDIRECT("'"&amp;$D$37&amp;"'!C9")&gt;2020, 0),
    INDIRECT("'"&amp;$D$37&amp;"'!GO_2030"),
    0
)
+IF(
    IFERROR(INDIRECT("'"&amp;$D$38&amp;"'!C9")&gt;2020, 0),
    INDIRECT("'"&amp;$D$38&amp;"'!GO_2030"),
    0
)
+IF(
    IFERROR(INDIRECT("'"&amp;$D$39&amp;"'!C9")&gt;2020, 0),
    INDIRECT("'"&amp;$D$39&amp;"'!GO_2030"),
    0
)
+IF(
    IFERROR(INDIRECT("'"&amp;$D$40&amp;"'!C9")&gt;2020, 0),
    INDIRECT("'"&amp;$D$40&amp;"'!GO_2030"),
    0
)
+IF(
    IFERROR(INDIRECT("'"&amp;$D$41&amp;"'!C9")&gt;2020, 0),
    INDIRECT("'"&amp;$D$41&amp;"'!GO_2030"),
    0
)
+IF(
    IFERROR(INDIRECT("'"&amp;$D$42&amp;"'!C9")&gt;2020, 0),
    INDIRECT("'"&amp;$D$42&amp;"'!GO_2030"),
    0
)
+IF(
    IFERROR(INDIRECT("'"&amp;$D$43&amp;"'!C9")&gt;2020, 0),
    INDIRECT("'"&amp;$D$43&amp;"'!GO_2030"),
    0
)
+IF(
    IFERROR(INDIRECT("'"&amp;$D$44&amp;"'!C9")&gt;2020, 0),
    INDIRECT("'"&amp;$D$44&amp;"'!GO_2030"),
    0
)
+IF(
    IFERROR(INDIRECT("'"&amp;$D$45&amp;"'!C9")&gt;2020, 0),
    INDIRECT("'"&amp;$D$45&amp;"'!GO_2030"),
    0
)
+IF(
    IFERROR(INDIRECT("'"&amp;$D$46&amp;"'!C9")&gt;2020, 0),
    INDIRECT("'"&amp;$D$46&amp;"'!GO_2030"),
    0
)
+IF(
    IFERROR(INDIRECT("'"&amp;$D$47&amp;"'!C9")&gt;2020, 0),
    INDIRECT("'"&amp;$D$47&amp;"'!GO_2030"),
    0
)
+IF(
    IFERROR(INDIRECT("'"&amp;$D$48&amp;"'!C9")&gt;2020, 0),
    INDIRECT("'"&amp;$D$48&amp;"'!GO_2030"),
    0
)
+IF(
    IFERROR(INDIRECT("'"&amp;$D$49&amp;"'!C9")&gt;2020, 0),
    INDIRECT("'"&amp;$D$49&amp;"'!GO_2030"),
    0
)
+IF(
    IFERROR(INDIRECT("'"&amp;$D$50&amp;"'!C9")&gt;2020, 0),
    INDIRECT("'"&amp;$D$50&amp;"'!GO_2030"),
    0
)
+IF(
    IFERROR(INDIRECT("'"&amp;$D$51&amp;"'!C9")&gt;2020, 0),
    INDIRECT("'"&amp;$D$51&amp;"'!GO_2030"),
    0
)
+IF(
    IFERROR(INDIRECT("'"&amp;$D$52&amp;"'!C9")&gt;2020, 0),
    INDIRECT("'"&amp;$D$52&amp;"'!GO_2030"),
    0
)
+IF(
    IFERROR(INDIRECT("'"&amp;$D$53&amp;"'!C9")&gt;2020, 0),
    INDIRECT("'"&amp;$D$53&amp;"'!GO_2030"),
    0
)
+IF(
    IFERROR(INDIRECT("'"&amp;$D$54&amp;"'!C9")&gt;2020, 0),
    INDIRECT("'"&amp;$D$54&amp;"'!GO_2030"),
    0
)</f>
        <v>10439</v>
      </c>
      <c r="U28" s="322">
        <f ca="1">Nieuwbouw!R38+IF(
    IFERROR(INDIRECT("'"&amp;$D$5&amp;"'!C9")&gt;2020, 0),
    INDIRECT("'"&amp;$D$5&amp;"'!GO_2031"),
    0
)
+IF(
    IFERROR(INDIRECT("'"&amp;$D$6&amp;"'!C9")&gt;2020, 0),
    INDIRECT("'"&amp;$D$6&amp;"'!GO_2031"),
    0
)
+IF(
    IFERROR(INDIRECT("'"&amp;$D$7&amp;"'!C9")&gt;2020, 0),
    INDIRECT("'"&amp;$D$7&amp;"'!GO_2031"),
    0
)
+IF(
    IFERROR(INDIRECT("'"&amp;$D$8&amp;"'!C9")&gt;2020, 0),
    INDIRECT("'"&amp;$D$8&amp;"'!GO_2031"),
    0
)
+IF(
    IFERROR(INDIRECT("'"&amp;$D$9&amp;"'!C9")&gt;2020, 0),
    INDIRECT("'"&amp;$D$9&amp;"'!GO_2031"),
    0
)
+IF(
    IFERROR(INDIRECT("'"&amp;$D$10&amp;"'!C9")&gt;2020, 0),
    INDIRECT("'"&amp;$D$10&amp;"'!GO_2031"),
    0
)
+IF(
    IFERROR(INDIRECT("'"&amp;$D$11&amp;"'!C9")&gt;2020, 0),
    INDIRECT("'"&amp;$D$11&amp;"'!GO_2031"),
    0
)
+IF(
    IFERROR(INDIRECT("'"&amp;$D$12&amp;"'!C9")&gt;2020, 0),
    INDIRECT("'"&amp;$D$12&amp;"'!GO_2031"),
    0
)
+IF(
    IFERROR(INDIRECT("'"&amp;$D$13&amp;"'!C9")&gt;2020, 0),
    INDIRECT("'"&amp;$D$13&amp;"'!GO_2031"),
    0
)
+IF(
    IFERROR(INDIRECT("'"&amp;$D$14&amp;"'!C9")&gt;2020, 0),
    INDIRECT("'"&amp;$D$14&amp;"'!GO_2031"),
    0
)
+IF(
    IFERROR(INDIRECT("'"&amp;$D$15&amp;"'!C9")&gt;2020, 0),
    INDIRECT("'"&amp;$D$15&amp;"'!GO_2031"),
    0
)
+IF(
    IFERROR(INDIRECT("'"&amp;$D$16&amp;"'!C9")&gt;2020, 0),
    INDIRECT("'"&amp;$D$16&amp;"'!GO_2031"),
    0
)
+IF(
    IFERROR(INDIRECT("'"&amp;$D$17&amp;"'!C9")&gt;2020, 0),
    INDIRECT("'"&amp;$D$17&amp;"'!GO_2031"),
    0
)
+IF(
    IFERROR(INDIRECT("'"&amp;$D$18&amp;"'!C9")&gt;2020, 0),
    INDIRECT("'"&amp;$D$18&amp;"'!GO_2031"),
    0
)
+IF(
    IFERROR(INDIRECT("'"&amp;$D$19&amp;"'!C9")&gt;2020, 0),
    INDIRECT("'"&amp;$D$19&amp;"'!GO_2031"),
    0
)
+IF(
    IFERROR(INDIRECT("'"&amp;$D$20&amp;"'!C9")&gt;2020, 0),
    INDIRECT("'"&amp;$D$20&amp;"'!GO_2031"),
    0
)
+IF(
    IFERROR(INDIRECT("'"&amp;$D$21&amp;"'!C9")&gt;2020, 0),
    INDIRECT("'"&amp;$D$21&amp;"'!GO_2031"),
    0
)
+IF(
    IFERROR(INDIRECT("'"&amp;$D$22&amp;"'!C9")&gt;2020, 0),
    INDIRECT("'"&amp;$D$22&amp;"'!GO_2031"),
    0
)
+IF(
    IFERROR(INDIRECT("'"&amp;$D$23&amp;"'!C9")&gt;2020, 0),
    INDIRECT("'"&amp;$D$23&amp;"'!GO_2031"),
    0
)
+IF(
    IFERROR(INDIRECT("'"&amp;$D$24&amp;"'!C9")&gt;2020, 0),
    INDIRECT("'"&amp;$D$24&amp;"'!GO_2031"),
    0
)
+IF(
    IFERROR(INDIRECT("'"&amp;$D$25&amp;"'!C9")&gt;2020, 0),
    INDIRECT("'"&amp;$D$25&amp;"'!GO_2031"),
    0
)
+IF(
    IFERROR(INDIRECT("'"&amp;$D$26&amp;"'!C9")&gt;2020, 0),
    INDIRECT("'"&amp;$D$26&amp;"'!GO_2031"),
    0
)
+IF(
    IFERROR(INDIRECT("'"&amp;$D$27&amp;"'!C9")&gt;2020, 0),
    INDIRECT("'"&amp;$D$27&amp;"'!GO_2031"),
    0
)
+IF(
    IFERROR(INDIRECT("'"&amp;$D$28&amp;"'!C9")&gt;2020, 0),
    INDIRECT("'"&amp;$D$28&amp;"'!GO_2031"),
    0
)
+IF(
    IFERROR(INDIRECT("'"&amp;$D$29&amp;"'!C9")&gt;2020, 0),
    INDIRECT("'"&amp;$D$29&amp;"'!GO_2031"),
    0
)
+IF(
    IFERROR(INDIRECT("'"&amp;$D$30&amp;"'!C9")&gt;2020, 0),
    INDIRECT("'"&amp;$D$30&amp;"'!GO_2031"),
    0
)
+IF(
    IFERROR(INDIRECT("'"&amp;$D$31&amp;"'!C9")&gt;2020, 0),
    INDIRECT("'"&amp;$D$31&amp;"'!GO_2031"),
    0
)
+IF(
    IFERROR(INDIRECT("'"&amp;$D$32&amp;"'!C9")&gt;2020, 0),
    INDIRECT("'"&amp;$D$32&amp;"'!GO_2031"),
    0
)
+IF(
    IFERROR(INDIRECT("'"&amp;$D$33&amp;"'!C9")&gt;2020, 0),
    INDIRECT("'"&amp;$D$33&amp;"'!GO_2031"),
    0
)
+IF(
    IFERROR(INDIRECT("'"&amp;$D$34&amp;"'!C9")&gt;2020, 0),
    INDIRECT("'"&amp;$D$34&amp;"'!GO_2031"),
    0
)
+IF(
    IFERROR(INDIRECT("'"&amp;$D$35&amp;"'!C9")&gt;2020, 0),
    INDIRECT("'"&amp;$D$35&amp;"'!GO_2031"),
    0
)
+IF(
    IFERROR(INDIRECT("'"&amp;$D$36&amp;"'!C9")&gt;2020, 0),
    INDIRECT("'"&amp;$D$36&amp;"'!GO_2031"),
    0
)
+IF(
    IFERROR(INDIRECT("'"&amp;$D$37&amp;"'!C9")&gt;2020, 0),
    INDIRECT("'"&amp;$D$37&amp;"'!GO_2031"),
    0
)
+IF(
    IFERROR(INDIRECT("'"&amp;$D$38&amp;"'!C9")&gt;2020, 0),
    INDIRECT("'"&amp;$D$38&amp;"'!GO_2031"),
    0
)
+IF(
    IFERROR(INDIRECT("'"&amp;$D$39&amp;"'!C9")&gt;2020, 0),
    INDIRECT("'"&amp;$D$39&amp;"'!GO_2031"),
    0
)
+IF(
    IFERROR(INDIRECT("'"&amp;$D$40&amp;"'!C9")&gt;2020, 0),
    INDIRECT("'"&amp;$D$40&amp;"'!GO_2031"),
    0
)
+IF(
    IFERROR(INDIRECT("'"&amp;$D$41&amp;"'!C9")&gt;2020, 0),
    INDIRECT("'"&amp;$D$41&amp;"'!GO_2031"),
    0
)
+IF(
    IFERROR(INDIRECT("'"&amp;$D$42&amp;"'!C9")&gt;2020, 0),
    INDIRECT("'"&amp;$D$42&amp;"'!GO_2031"),
    0
)
+IF(
    IFERROR(INDIRECT("'"&amp;$D$43&amp;"'!C9")&gt;2020, 0),
    INDIRECT("'"&amp;$D$43&amp;"'!GO_2031"),
    0
)
+IF(
    IFERROR(INDIRECT("'"&amp;$D$44&amp;"'!C9")&gt;2020, 0),
    INDIRECT("'"&amp;$D$44&amp;"'!GO_2031"),
    0
)
+IF(
    IFERROR(INDIRECT("'"&amp;$D$45&amp;"'!C9")&gt;2020, 0),
    INDIRECT("'"&amp;$D$45&amp;"'!GO_2031"),
    0
)
+IF(
    IFERROR(INDIRECT("'"&amp;$D$46&amp;"'!C9")&gt;2020, 0),
    INDIRECT("'"&amp;$D$46&amp;"'!GO_2031"),
    0
)
+IF(
    IFERROR(INDIRECT("'"&amp;$D$47&amp;"'!C9")&gt;2020, 0),
    INDIRECT("'"&amp;$D$47&amp;"'!GO_2031"),
    0
)
+IF(
    IFERROR(INDIRECT("'"&amp;$D$48&amp;"'!C9")&gt;2020, 0),
    INDIRECT("'"&amp;$D$48&amp;"'!GO_2031"),
    0
)
+IF(
    IFERROR(INDIRECT("'"&amp;$D$49&amp;"'!C9")&gt;2020, 0),
    INDIRECT("'"&amp;$D$49&amp;"'!GO_2031"),
    0
)
+IF(
    IFERROR(INDIRECT("'"&amp;$D$50&amp;"'!C9")&gt;2020, 0),
    INDIRECT("'"&amp;$D$50&amp;"'!GO_2031"),
    0
)
+IF(
    IFERROR(INDIRECT("'"&amp;$D$51&amp;"'!C9")&gt;2020, 0),
    INDIRECT("'"&amp;$D$51&amp;"'!GO_2031"),
    0
)
+IF(
    IFERROR(INDIRECT("'"&amp;$D$52&amp;"'!C9")&gt;2020, 0),
    INDIRECT("'"&amp;$D$52&amp;"'!GO_2031"),
    0
)
+IF(
    IFERROR(INDIRECT("'"&amp;$D$53&amp;"'!C9")&gt;2020, 0),
    INDIRECT("'"&amp;$D$53&amp;"'!GO_2031"),
    0
)
+IF(
    IFERROR(INDIRECT("'"&amp;$D$54&amp;"'!C9")&gt;2020, 0),
    INDIRECT("'"&amp;$D$54&amp;"'!GO_2031"),
    0
)</f>
        <v>10439</v>
      </c>
      <c r="V28" s="322">
        <f ca="1">Nieuwbouw!S38+IF(
    IFERROR(INDIRECT("'"&amp;$D$5&amp;"'!C9")&gt;2020, 0),
    INDIRECT("'"&amp;$D$5&amp;"'!GO_2032"),
    0
)
+IF(
    IFERROR(INDIRECT("'"&amp;$D$6&amp;"'!C9")&gt;2020, 0),
    INDIRECT("'"&amp;$D$6&amp;"'!GO_2032"),
    0
)
+IF(
    IFERROR(INDIRECT("'"&amp;$D$7&amp;"'!C9")&gt;2020, 0),
    INDIRECT("'"&amp;$D$7&amp;"'!GO_2032"),
    0
)
+IF(
    IFERROR(INDIRECT("'"&amp;$D$8&amp;"'!C9")&gt;2020, 0),
    INDIRECT("'"&amp;$D$8&amp;"'!GO_2032"),
    0
)
+IF(
    IFERROR(INDIRECT("'"&amp;$D$9&amp;"'!C9")&gt;2020, 0),
    INDIRECT("'"&amp;$D$9&amp;"'!GO_2032"),
    0
)
+IF(
    IFERROR(INDIRECT("'"&amp;$D$10&amp;"'!C9")&gt;2020, 0),
    INDIRECT("'"&amp;$D$10&amp;"'!GO_2032"),
    0
)
+IF(
    IFERROR(INDIRECT("'"&amp;$D$11&amp;"'!C9")&gt;2020, 0),
    INDIRECT("'"&amp;$D$11&amp;"'!GO_2032"),
    0
)
+IF(
    IFERROR(INDIRECT("'"&amp;$D$12&amp;"'!C9")&gt;2020, 0),
    INDIRECT("'"&amp;$D$12&amp;"'!GO_2032"),
    0
)
+IF(
    IFERROR(INDIRECT("'"&amp;$D$13&amp;"'!C9")&gt;2020, 0),
    INDIRECT("'"&amp;$D$13&amp;"'!GO_2032"),
    0
)
+IF(
    IFERROR(INDIRECT("'"&amp;$D$14&amp;"'!C9")&gt;2020, 0),
    INDIRECT("'"&amp;$D$14&amp;"'!GO_2032"),
    0
)
+IF(
    IFERROR(INDIRECT("'"&amp;$D$15&amp;"'!C9")&gt;2020, 0),
    INDIRECT("'"&amp;$D$15&amp;"'!GO_2032"),
    0
)
+IF(
    IFERROR(INDIRECT("'"&amp;$D$16&amp;"'!C9")&gt;2020, 0),
    INDIRECT("'"&amp;$D$16&amp;"'!GO_2032"),
    0
)
+IF(
    IFERROR(INDIRECT("'"&amp;$D$17&amp;"'!C9")&gt;2020, 0),
    INDIRECT("'"&amp;$D$17&amp;"'!GO_2032"),
    0
)
+IF(
    IFERROR(INDIRECT("'"&amp;$D$18&amp;"'!C9")&gt;2020, 0),
    INDIRECT("'"&amp;$D$18&amp;"'!GO_2032"),
    0
)
+IF(
    IFERROR(INDIRECT("'"&amp;$D$19&amp;"'!C9")&gt;2020, 0),
    INDIRECT("'"&amp;$D$19&amp;"'!GO_2032"),
    0
)
+IF(
    IFERROR(INDIRECT("'"&amp;$D$20&amp;"'!C9")&gt;2020, 0),
    INDIRECT("'"&amp;$D$20&amp;"'!GO_2032"),
    0
)
+IF(
    IFERROR(INDIRECT("'"&amp;$D$21&amp;"'!C9")&gt;2020, 0),
    INDIRECT("'"&amp;$D$21&amp;"'!GO_2032"),
    0
)
+IF(
    IFERROR(INDIRECT("'"&amp;$D$22&amp;"'!C9")&gt;2020, 0),
    INDIRECT("'"&amp;$D$22&amp;"'!GO_2032"),
    0
)
+IF(
    IFERROR(INDIRECT("'"&amp;$D$23&amp;"'!C9")&gt;2020, 0),
    INDIRECT("'"&amp;$D$23&amp;"'!GO_2032"),
    0
)
+IF(
    IFERROR(INDIRECT("'"&amp;$D$24&amp;"'!C9")&gt;2020, 0),
    INDIRECT("'"&amp;$D$24&amp;"'!GO_2032"),
    0
)
+IF(
    IFERROR(INDIRECT("'"&amp;$D$25&amp;"'!C9")&gt;2020, 0),
    INDIRECT("'"&amp;$D$25&amp;"'!GO_2032"),
    0
)
+IF(
    IFERROR(INDIRECT("'"&amp;$D$26&amp;"'!C9")&gt;2020, 0),
    INDIRECT("'"&amp;$D$26&amp;"'!GO_2032"),
    0
)
+IF(
    IFERROR(INDIRECT("'"&amp;$D$27&amp;"'!C9")&gt;2020, 0),
    INDIRECT("'"&amp;$D$27&amp;"'!GO_2032"),
    0
)
+IF(
    IFERROR(INDIRECT("'"&amp;$D$28&amp;"'!C9")&gt;2020, 0),
    INDIRECT("'"&amp;$D$28&amp;"'!GO_2032"),
    0
)
+IF(
    IFERROR(INDIRECT("'"&amp;$D$29&amp;"'!C9")&gt;2020, 0),
    INDIRECT("'"&amp;$D$29&amp;"'!GO_2032"),
    0
)
+IF(
    IFERROR(INDIRECT("'"&amp;$D$30&amp;"'!C9")&gt;2020, 0),
    INDIRECT("'"&amp;$D$30&amp;"'!GO_2032"),
    0
)
+IF(
    IFERROR(INDIRECT("'"&amp;$D$31&amp;"'!C9")&gt;2020, 0),
    INDIRECT("'"&amp;$D$31&amp;"'!GO_2032"),
    0
)
+IF(
    IFERROR(INDIRECT("'"&amp;$D$32&amp;"'!C9")&gt;2020, 0),
    INDIRECT("'"&amp;$D$32&amp;"'!GO_2032"),
    0
)
+IF(
    IFERROR(INDIRECT("'"&amp;$D$33&amp;"'!C9")&gt;2020, 0),
    INDIRECT("'"&amp;$D$33&amp;"'!GO_2032"),
    0
)
+IF(
    IFERROR(INDIRECT("'"&amp;$D$34&amp;"'!C9")&gt;2020, 0),
    INDIRECT("'"&amp;$D$34&amp;"'!GO_2032"),
    0
)
+IF(
    IFERROR(INDIRECT("'"&amp;$D$35&amp;"'!C9")&gt;2020, 0),
    INDIRECT("'"&amp;$D$35&amp;"'!GO_2032"),
    0
)
+IF(
    IFERROR(INDIRECT("'"&amp;$D$36&amp;"'!C9")&gt;2020, 0),
    INDIRECT("'"&amp;$D$36&amp;"'!GO_2032"),
    0
)
+IF(
    IFERROR(INDIRECT("'"&amp;$D$37&amp;"'!C9")&gt;2020, 0),
    INDIRECT("'"&amp;$D$37&amp;"'!GO_2032"),
    0
)
+IF(
    IFERROR(INDIRECT("'"&amp;$D$38&amp;"'!C9")&gt;2020, 0),
    INDIRECT("'"&amp;$D$38&amp;"'!GO_2032"),
    0
)
+IF(
    IFERROR(INDIRECT("'"&amp;$D$39&amp;"'!C9")&gt;2020, 0),
    INDIRECT("'"&amp;$D$39&amp;"'!GO_2032"),
    0
)
+IF(
    IFERROR(INDIRECT("'"&amp;$D$40&amp;"'!C9")&gt;2020, 0),
    INDIRECT("'"&amp;$D$40&amp;"'!GO_2032"),
    0
)
+IF(
    IFERROR(INDIRECT("'"&amp;$D$41&amp;"'!C9")&gt;2020, 0),
    INDIRECT("'"&amp;$D$41&amp;"'!GO_2032"),
    0
)
+IF(
    IFERROR(INDIRECT("'"&amp;$D$42&amp;"'!C9")&gt;2020, 0),
    INDIRECT("'"&amp;$D$42&amp;"'!GO_2032"),
    0
)
+IF(
    IFERROR(INDIRECT("'"&amp;$D$43&amp;"'!C9")&gt;2020, 0),
    INDIRECT("'"&amp;$D$43&amp;"'!GO_2032"),
    0
)
+IF(
    IFERROR(INDIRECT("'"&amp;$D$44&amp;"'!C9")&gt;2020, 0),
    INDIRECT("'"&amp;$D$44&amp;"'!GO_2032"),
    0
)
+IF(
    IFERROR(INDIRECT("'"&amp;$D$45&amp;"'!C9")&gt;2020, 0),
    INDIRECT("'"&amp;$D$45&amp;"'!GO_2032"),
    0
)
+IF(
    IFERROR(INDIRECT("'"&amp;$D$46&amp;"'!C9")&gt;2020, 0),
    INDIRECT("'"&amp;$D$46&amp;"'!GO_2032"),
    0
)
+IF(
    IFERROR(INDIRECT("'"&amp;$D$47&amp;"'!C9")&gt;2020, 0),
    INDIRECT("'"&amp;$D$47&amp;"'!GO_2032"),
    0
)
+IF(
    IFERROR(INDIRECT("'"&amp;$D$48&amp;"'!C9")&gt;2020, 0),
    INDIRECT("'"&amp;$D$48&amp;"'!GO_2032"),
    0
)
+IF(
    IFERROR(INDIRECT("'"&amp;$D$49&amp;"'!C9")&gt;2020, 0),
    INDIRECT("'"&amp;$D$49&amp;"'!GO_2032"),
    0
)
+IF(
    IFERROR(INDIRECT("'"&amp;$D$50&amp;"'!C9")&gt;2020, 0),
    INDIRECT("'"&amp;$D$50&amp;"'!GO_2032"),
    0
)
+IF(
    IFERROR(INDIRECT("'"&amp;$D$51&amp;"'!C9")&gt;2020, 0),
    INDIRECT("'"&amp;$D$51&amp;"'!GO_2032"),
    0
)
+IF(
    IFERROR(INDIRECT("'"&amp;$D$52&amp;"'!C9")&gt;2020, 0),
    INDIRECT("'"&amp;$D$52&amp;"'!GO_2032"),
    0
)
+IF(
    IFERROR(INDIRECT("'"&amp;$D$53&amp;"'!C9")&gt;2020, 0),
    INDIRECT("'"&amp;$D$53&amp;"'!GO_2032"),
    0
)
+IF(
    IFERROR(INDIRECT("'"&amp;$D$54&amp;"'!C9")&gt;2020, 0),
    INDIRECT("'"&amp;$D$54&amp;"'!GO_2032"),
    0
)</f>
        <v>13218</v>
      </c>
      <c r="W28" s="322">
        <f ca="1">Nieuwbouw!T38+IF(
    IFERROR(INDIRECT("'"&amp;$D$5&amp;"'!C9")&gt;2020, 0),
    INDIRECT("'"&amp;$D$5&amp;"'!GO_2033"),
    0
)
+IF(
    IFERROR(INDIRECT("'"&amp;$D$6&amp;"'!C9")&gt;2020, 0),
    INDIRECT("'"&amp;$D$6&amp;"'!GO_2033"),
    0
)
+IF(
    IFERROR(INDIRECT("'"&amp;$D$7&amp;"'!C9")&gt;2020, 0),
    INDIRECT("'"&amp;$D$7&amp;"'!GO_2033"),
    0
)
+IF(
    IFERROR(INDIRECT("'"&amp;$D$8&amp;"'!C9")&gt;2020, 0),
    INDIRECT("'"&amp;$D$8&amp;"'!GO_2033"),
    0
)
+IF(
    IFERROR(INDIRECT("'"&amp;$D$9&amp;"'!C9")&gt;2020, 0),
    INDIRECT("'"&amp;$D$9&amp;"'!GO_2033"),
    0
)
+IF(
    IFERROR(INDIRECT("'"&amp;$D$10&amp;"'!C9")&gt;2020, 0),
    INDIRECT("'"&amp;$D$10&amp;"'!GO_2033"),
    0
)
+IF(
    IFERROR(INDIRECT("'"&amp;$D$11&amp;"'!C9")&gt;2020, 0),
    INDIRECT("'"&amp;$D$11&amp;"'!GO_2033"),
    0
)
+IF(
    IFERROR(INDIRECT("'"&amp;$D$12&amp;"'!C9")&gt;2020, 0),
    INDIRECT("'"&amp;$D$12&amp;"'!GO_2033"),
    0
)
+IF(
    IFERROR(INDIRECT("'"&amp;$D$13&amp;"'!C9")&gt;2020, 0),
    INDIRECT("'"&amp;$D$13&amp;"'!GO_2033"),
    0
)
+IF(
    IFERROR(INDIRECT("'"&amp;$D$14&amp;"'!C9")&gt;2020, 0),
    INDIRECT("'"&amp;$D$14&amp;"'!GO_2033"),
    0
)
+IF(
    IFERROR(INDIRECT("'"&amp;$D$15&amp;"'!C9")&gt;2020, 0),
    INDIRECT("'"&amp;$D$15&amp;"'!GO_2033"),
    0
)
+IF(
    IFERROR(INDIRECT("'"&amp;$D$16&amp;"'!C9")&gt;2020, 0),
    INDIRECT("'"&amp;$D$16&amp;"'!GO_2033"),
    0
)
+IF(
    IFERROR(INDIRECT("'"&amp;$D$17&amp;"'!C9")&gt;2020, 0),
    INDIRECT("'"&amp;$D$17&amp;"'!GO_2033"),
    0
)
+IF(
    IFERROR(INDIRECT("'"&amp;$D$18&amp;"'!C9")&gt;2020, 0),
    INDIRECT("'"&amp;$D$18&amp;"'!GO_2033"),
    0
)
+IF(
    IFERROR(INDIRECT("'"&amp;$D$19&amp;"'!C9")&gt;2020, 0),
    INDIRECT("'"&amp;$D$19&amp;"'!GO_2033"),
    0
)
+IF(
    IFERROR(INDIRECT("'"&amp;$D$20&amp;"'!C9")&gt;2020, 0),
    INDIRECT("'"&amp;$D$20&amp;"'!GO_2033"),
    0
)
+IF(
    IFERROR(INDIRECT("'"&amp;$D$21&amp;"'!C9")&gt;2020, 0),
    INDIRECT("'"&amp;$D$21&amp;"'!GO_2033"),
    0
)
+IF(
    IFERROR(INDIRECT("'"&amp;$D$22&amp;"'!C9")&gt;2020, 0),
    INDIRECT("'"&amp;$D$22&amp;"'!GO_2033"),
    0
)
+IF(
    IFERROR(INDIRECT("'"&amp;$D$23&amp;"'!C9")&gt;2020, 0),
    INDIRECT("'"&amp;$D$23&amp;"'!GO_2033"),
    0
)
+IF(
    IFERROR(INDIRECT("'"&amp;$D$24&amp;"'!C9")&gt;2020, 0),
    INDIRECT("'"&amp;$D$24&amp;"'!GO_2033"),
    0
)
+IF(
    IFERROR(INDIRECT("'"&amp;$D$25&amp;"'!C9")&gt;2020, 0),
    INDIRECT("'"&amp;$D$25&amp;"'!GO_2033"),
    0
)
+IF(
    IFERROR(INDIRECT("'"&amp;$D$26&amp;"'!C9")&gt;2020, 0),
    INDIRECT("'"&amp;$D$26&amp;"'!GO_2033"),
    0
)
+IF(
    IFERROR(INDIRECT("'"&amp;$D$27&amp;"'!C9")&gt;2020, 0),
    INDIRECT("'"&amp;$D$27&amp;"'!GO_2033"),
    0
)
+IF(
    IFERROR(INDIRECT("'"&amp;$D$28&amp;"'!C9")&gt;2020, 0),
    INDIRECT("'"&amp;$D$28&amp;"'!GO_2033"),
    0
)
+IF(
    IFERROR(INDIRECT("'"&amp;$D$29&amp;"'!C9")&gt;2020, 0),
    INDIRECT("'"&amp;$D$29&amp;"'!GO_2033"),
    0
)
+IF(
    IFERROR(INDIRECT("'"&amp;$D$30&amp;"'!C9")&gt;2020, 0),
    INDIRECT("'"&amp;$D$30&amp;"'!GO_2033"),
    0
)
+IF(
    IFERROR(INDIRECT("'"&amp;$D$31&amp;"'!C9")&gt;2020, 0),
    INDIRECT("'"&amp;$D$31&amp;"'!GO_2033"),
    0
)
+IF(
    IFERROR(INDIRECT("'"&amp;$D$32&amp;"'!C9")&gt;2020, 0),
    INDIRECT("'"&amp;$D$32&amp;"'!GO_2033"),
    0
)
+IF(
    IFERROR(INDIRECT("'"&amp;$D$33&amp;"'!C9")&gt;2020, 0),
    INDIRECT("'"&amp;$D$33&amp;"'!GO_2033"),
    0
)
+IF(
    IFERROR(INDIRECT("'"&amp;$D$34&amp;"'!C9")&gt;2020, 0),
    INDIRECT("'"&amp;$D$34&amp;"'!GO_2033"),
    0
)
+IF(
    IFERROR(INDIRECT("'"&amp;$D$35&amp;"'!C9")&gt;2020, 0),
    INDIRECT("'"&amp;$D$35&amp;"'!GO_2033"),
    0
)
+IF(
    IFERROR(INDIRECT("'"&amp;$D$36&amp;"'!C9")&gt;2020, 0),
    INDIRECT("'"&amp;$D$36&amp;"'!GO_2033"),
    0
)
+IF(
    IFERROR(INDIRECT("'"&amp;$D$37&amp;"'!C9")&gt;2020, 0),
    INDIRECT("'"&amp;$D$37&amp;"'!GO_2033"),
    0
)
+IF(
    IFERROR(INDIRECT("'"&amp;$D$38&amp;"'!C9")&gt;2020, 0),
    INDIRECT("'"&amp;$D$38&amp;"'!GO_2033"),
    0
)
+IF(
    IFERROR(INDIRECT("'"&amp;$D$39&amp;"'!C9")&gt;2020, 0),
    INDIRECT("'"&amp;$D$39&amp;"'!GO_2033"),
    0
)
+IF(
    IFERROR(INDIRECT("'"&amp;$D$40&amp;"'!C9")&gt;2020, 0),
    INDIRECT("'"&amp;$D$40&amp;"'!GO_2033"),
    0
)
+IF(
    IFERROR(INDIRECT("'"&amp;$D$41&amp;"'!C9")&gt;2020, 0),
    INDIRECT("'"&amp;$D$41&amp;"'!GO_2033"),
    0
)
+IF(
    IFERROR(INDIRECT("'"&amp;$D$42&amp;"'!C9")&gt;2020, 0),
    INDIRECT("'"&amp;$D$42&amp;"'!GO_2033"),
    0
)
+IF(
    IFERROR(INDIRECT("'"&amp;$D$43&amp;"'!C9")&gt;2020, 0),
    INDIRECT("'"&amp;$D$43&amp;"'!GO_2033"),
    0
)
+IF(
    IFERROR(INDIRECT("'"&amp;$D$44&amp;"'!C9")&gt;2020, 0),
    INDIRECT("'"&amp;$D$44&amp;"'!GO_2033"),
    0
)
+IF(
    IFERROR(INDIRECT("'"&amp;$D$45&amp;"'!C9")&gt;2020, 0),
    INDIRECT("'"&amp;$D$45&amp;"'!GO_2033"),
    0
)
+IF(
    IFERROR(INDIRECT("'"&amp;$D$46&amp;"'!C9")&gt;2020, 0),
    INDIRECT("'"&amp;$D$46&amp;"'!GO_2033"),
    0
)
+IF(
    IFERROR(INDIRECT("'"&amp;$D$47&amp;"'!C9")&gt;2020, 0),
    INDIRECT("'"&amp;$D$47&amp;"'!GO_2033"),
    0
)
+IF(
    IFERROR(INDIRECT("'"&amp;$D$48&amp;"'!C9")&gt;2020, 0),
    INDIRECT("'"&amp;$D$48&amp;"'!GO_2033"),
    0
)
+IF(
    IFERROR(INDIRECT("'"&amp;$D$49&amp;"'!C9")&gt;2020, 0),
    INDIRECT("'"&amp;$D$49&amp;"'!GO_2033"),
    0
)
+IF(
    IFERROR(INDIRECT("'"&amp;$D$50&amp;"'!C9")&gt;2020, 0),
    INDIRECT("'"&amp;$D$50&amp;"'!GO_2033"),
    0
)
+IF(
    IFERROR(INDIRECT("'"&amp;$D$51&amp;"'!C9")&gt;2020, 0),
    INDIRECT("'"&amp;$D$51&amp;"'!GO_2033"),
    0
)
+IF(
    IFERROR(INDIRECT("'"&amp;$D$52&amp;"'!C9")&gt;2020, 0),
    INDIRECT("'"&amp;$D$52&amp;"'!GO_2033"),
    0
)
+IF(
    IFERROR(INDIRECT("'"&amp;$D$53&amp;"'!C9")&gt;2020, 0),
    INDIRECT("'"&amp;$D$53&amp;"'!GO_2033"),
    0
)
+IF(
    IFERROR(INDIRECT("'"&amp;$D$54&amp;"'!C9")&gt;2020, 0),
    INDIRECT("'"&amp;$D$54&amp;"'!GO_2033"),
    0
)</f>
        <v>13218</v>
      </c>
      <c r="X28" s="322">
        <f ca="1">Nieuwbouw!U38+IF(
    IFERROR(INDIRECT("'"&amp;$D$5&amp;"'!C9")&gt;2020, 0),
    INDIRECT("'"&amp;$D$5&amp;"'!GO_2034"),
    0
)
+IF(
    IFERROR(INDIRECT("'"&amp;$D$6&amp;"'!C9")&gt;2020, 0),
    INDIRECT("'"&amp;$D$6&amp;"'!GO_2034"),
    0
)
+IF(
    IFERROR(INDIRECT("'"&amp;$D$7&amp;"'!C9")&gt;2020, 0),
    INDIRECT("'"&amp;$D$7&amp;"'!GO_2034"),
    0
)
+IF(
    IFERROR(INDIRECT("'"&amp;$D$8&amp;"'!C9")&gt;2020, 0),
    INDIRECT("'"&amp;$D$8&amp;"'!GO_2034"),
    0
)
+IF(
    IFERROR(INDIRECT("'"&amp;$D$9&amp;"'!C9")&gt;2020, 0),
    INDIRECT("'"&amp;$D$9&amp;"'!GO_2034"),
    0
)
+IF(
    IFERROR(INDIRECT("'"&amp;$D$10&amp;"'!C9")&gt;2020, 0),
    INDIRECT("'"&amp;$D$10&amp;"'!GO_2034"),
    0
)
+IF(
    IFERROR(INDIRECT("'"&amp;$D$11&amp;"'!C9")&gt;2020, 0),
    INDIRECT("'"&amp;$D$11&amp;"'!GO_2034"),
    0
)
+IF(
    IFERROR(INDIRECT("'"&amp;$D$12&amp;"'!C9")&gt;2020, 0),
    INDIRECT("'"&amp;$D$12&amp;"'!GO_2034"),
    0
)
+IF(
    IFERROR(INDIRECT("'"&amp;$D$13&amp;"'!C9")&gt;2020, 0),
    INDIRECT("'"&amp;$D$13&amp;"'!GO_2034"),
    0
)
+IF(
    IFERROR(INDIRECT("'"&amp;$D$14&amp;"'!C9")&gt;2020, 0),
    INDIRECT("'"&amp;$D$14&amp;"'!GO_2034"),
    0
)
+IF(
    IFERROR(INDIRECT("'"&amp;$D$15&amp;"'!C9")&gt;2020, 0),
    INDIRECT("'"&amp;$D$15&amp;"'!GO_2034"),
    0
)
+IF(
    IFERROR(INDIRECT("'"&amp;$D$16&amp;"'!C9")&gt;2020, 0),
    INDIRECT("'"&amp;$D$16&amp;"'!GO_2034"),
    0
)
+IF(
    IFERROR(INDIRECT("'"&amp;$D$17&amp;"'!C9")&gt;2020, 0),
    INDIRECT("'"&amp;$D$17&amp;"'!GO_2034"),
    0
)
+IF(
    IFERROR(INDIRECT("'"&amp;$D$18&amp;"'!C9")&gt;2020, 0),
    INDIRECT("'"&amp;$D$18&amp;"'!GO_2034"),
    0
)
+IF(
    IFERROR(INDIRECT("'"&amp;$D$19&amp;"'!C9")&gt;2020, 0),
    INDIRECT("'"&amp;$D$19&amp;"'!GO_2034"),
    0
)
+IF(
    IFERROR(INDIRECT("'"&amp;$D$20&amp;"'!C9")&gt;2020, 0),
    INDIRECT("'"&amp;$D$20&amp;"'!GO_2034"),
    0
)
+IF(
    IFERROR(INDIRECT("'"&amp;$D$21&amp;"'!C9")&gt;2020, 0),
    INDIRECT("'"&amp;$D$21&amp;"'!GO_2034"),
    0
)
+IF(
    IFERROR(INDIRECT("'"&amp;$D$22&amp;"'!C9")&gt;2020, 0),
    INDIRECT("'"&amp;$D$22&amp;"'!GO_2034"),
    0
)
+IF(
    IFERROR(INDIRECT("'"&amp;$D$23&amp;"'!C9")&gt;2020, 0),
    INDIRECT("'"&amp;$D$23&amp;"'!GO_2034"),
    0
)
+IF(
    IFERROR(INDIRECT("'"&amp;$D$24&amp;"'!C9")&gt;2020, 0),
    INDIRECT("'"&amp;$D$24&amp;"'!GO_2034"),
    0
)
+IF(
    IFERROR(INDIRECT("'"&amp;$D$25&amp;"'!C9")&gt;2020, 0),
    INDIRECT("'"&amp;$D$25&amp;"'!GO_2034"),
    0
)
+IF(
    IFERROR(INDIRECT("'"&amp;$D$26&amp;"'!C9")&gt;2020, 0),
    INDIRECT("'"&amp;$D$26&amp;"'!GO_2034"),
    0
)
+IF(
    IFERROR(INDIRECT("'"&amp;$D$27&amp;"'!C9")&gt;2020, 0),
    INDIRECT("'"&amp;$D$27&amp;"'!GO_2034"),
    0
)
+IF(
    IFERROR(INDIRECT("'"&amp;$D$28&amp;"'!C9")&gt;2020, 0),
    INDIRECT("'"&amp;$D$28&amp;"'!GO_2034"),
    0
)
+IF(
    IFERROR(INDIRECT("'"&amp;$D$29&amp;"'!C9")&gt;2020, 0),
    INDIRECT("'"&amp;$D$29&amp;"'!GO_2034"),
    0
)
+IF(
    IFERROR(INDIRECT("'"&amp;$D$30&amp;"'!C9")&gt;2020, 0),
    INDIRECT("'"&amp;$D$30&amp;"'!GO_2034"),
    0
)
+IF(
    IFERROR(INDIRECT("'"&amp;$D$31&amp;"'!C9")&gt;2020, 0),
    INDIRECT("'"&amp;$D$31&amp;"'!GO_2034"),
    0
)
+IF(
    IFERROR(INDIRECT("'"&amp;$D$32&amp;"'!C9")&gt;2020, 0),
    INDIRECT("'"&amp;$D$32&amp;"'!GO_2034"),
    0
)
+IF(
    IFERROR(INDIRECT("'"&amp;$D$33&amp;"'!C9")&gt;2020, 0),
    INDIRECT("'"&amp;$D$33&amp;"'!GO_2034"),
    0
)
+IF(
    IFERROR(INDIRECT("'"&amp;$D$34&amp;"'!C9")&gt;2020, 0),
    INDIRECT("'"&amp;$D$34&amp;"'!GO_2034"),
    0
)
+IF(
    IFERROR(INDIRECT("'"&amp;$D$35&amp;"'!C9")&gt;2020, 0),
    INDIRECT("'"&amp;$D$35&amp;"'!GO_2034"),
    0
)
+IF(
    IFERROR(INDIRECT("'"&amp;$D$36&amp;"'!C9")&gt;2020, 0),
    INDIRECT("'"&amp;$D$36&amp;"'!GO_2034"),
    0
)
+IF(
    IFERROR(INDIRECT("'"&amp;$D$37&amp;"'!C9")&gt;2020, 0),
    INDIRECT("'"&amp;$D$37&amp;"'!GO_2034"),
    0
)
+IF(
    IFERROR(INDIRECT("'"&amp;$D$38&amp;"'!C9")&gt;2020, 0),
    INDIRECT("'"&amp;$D$38&amp;"'!GO_2034"),
    0
)
+IF(
    IFERROR(INDIRECT("'"&amp;$D$39&amp;"'!C9")&gt;2020, 0),
    INDIRECT("'"&amp;$D$39&amp;"'!GO_2034"),
    0
)
+IF(
    IFERROR(INDIRECT("'"&amp;$D$40&amp;"'!C9")&gt;2020, 0),
    INDIRECT("'"&amp;$D$40&amp;"'!GO_2034"),
    0
)
+IF(
    IFERROR(INDIRECT("'"&amp;$D$41&amp;"'!C9")&gt;2020, 0),
    INDIRECT("'"&amp;$D$41&amp;"'!GO_2034"),
    0
)
+IF(
    IFERROR(INDIRECT("'"&amp;$D$42&amp;"'!C9")&gt;2020, 0),
    INDIRECT("'"&amp;$D$42&amp;"'!GO_2034"),
    0
)
+IF(
    IFERROR(INDIRECT("'"&amp;$D$43&amp;"'!C9")&gt;2020, 0),
    INDIRECT("'"&amp;$D$43&amp;"'!GO_2034"),
    0
)
+IF(
    IFERROR(INDIRECT("'"&amp;$D$44&amp;"'!C9")&gt;2020, 0),
    INDIRECT("'"&amp;$D$44&amp;"'!GO_2034"),
    0
)
+IF(
    IFERROR(INDIRECT("'"&amp;$D$45&amp;"'!C9")&gt;2020, 0),
    INDIRECT("'"&amp;$D$45&amp;"'!GO_2034"),
    0
)
+IF(
    IFERROR(INDIRECT("'"&amp;$D$46&amp;"'!C9")&gt;2020, 0),
    INDIRECT("'"&amp;$D$46&amp;"'!GO_2034"),
    0
)
+IF(
    IFERROR(INDIRECT("'"&amp;$D$47&amp;"'!C9")&gt;2020, 0),
    INDIRECT("'"&amp;$D$47&amp;"'!GO_2034"),
    0
)
+IF(
    IFERROR(INDIRECT("'"&amp;$D$48&amp;"'!C9")&gt;2020, 0),
    INDIRECT("'"&amp;$D$48&amp;"'!GO_2034"),
    0
)
+IF(
    IFERROR(INDIRECT("'"&amp;$D$49&amp;"'!C9")&gt;2020, 0),
    INDIRECT("'"&amp;$D$49&amp;"'!GO_2034"),
    0
)
+IF(
    IFERROR(INDIRECT("'"&amp;$D$50&amp;"'!C9")&gt;2020, 0),
    INDIRECT("'"&amp;$D$50&amp;"'!GO_2034"),
    0
)
+IF(
    IFERROR(INDIRECT("'"&amp;$D$51&amp;"'!C9")&gt;2020, 0),
    INDIRECT("'"&amp;$D$51&amp;"'!GO_2034"),
    0
)
+IF(
    IFERROR(INDIRECT("'"&amp;$D$52&amp;"'!C9")&gt;2020, 0),
    INDIRECT("'"&amp;$D$52&amp;"'!GO_2034"),
    0
)
+IF(
    IFERROR(INDIRECT("'"&amp;$D$53&amp;"'!C9")&gt;2020, 0),
    INDIRECT("'"&amp;$D$53&amp;"'!GO_2034"),
    0
)
+IF(
    IFERROR(INDIRECT("'"&amp;$D$54&amp;"'!C9")&gt;2020, 0),
    INDIRECT("'"&amp;$D$54&amp;"'!GO_2034"),
    0
)</f>
        <v>13218</v>
      </c>
      <c r="Y28" s="322">
        <f ca="1">Nieuwbouw!V38+IF(
    IFERROR(INDIRECT("'"&amp;$D$5&amp;"'!C9")&gt;2020, 0),
    INDIRECT("'"&amp;$D$5&amp;"'!GO_2035"),
    0
)
+IF(
    IFERROR(INDIRECT("'"&amp;$D$6&amp;"'!C9")&gt;2020, 0),
    INDIRECT("'"&amp;$D$6&amp;"'!GO_2035"),
    0
)
+IF(
    IFERROR(INDIRECT("'"&amp;$D$7&amp;"'!C9")&gt;2020, 0),
    INDIRECT("'"&amp;$D$7&amp;"'!GO_2035"),
    0
)
+IF(
    IFERROR(INDIRECT("'"&amp;$D$8&amp;"'!C9")&gt;2020, 0),
    INDIRECT("'"&amp;$D$8&amp;"'!GO_2035"),
    0
)
+IF(
    IFERROR(INDIRECT("'"&amp;$D$9&amp;"'!C9")&gt;2020, 0),
    INDIRECT("'"&amp;$D$9&amp;"'!GO_2035"),
    0
)
+IF(
    IFERROR(INDIRECT("'"&amp;$D$10&amp;"'!C9")&gt;2020, 0),
    INDIRECT("'"&amp;$D$10&amp;"'!GO_2035"),
    0
)
+IF(
    IFERROR(INDIRECT("'"&amp;$D$11&amp;"'!C9")&gt;2020, 0),
    INDIRECT("'"&amp;$D$11&amp;"'!GO_2035"),
    0
)
+IF(
    IFERROR(INDIRECT("'"&amp;$D$12&amp;"'!C9")&gt;2020, 0),
    INDIRECT("'"&amp;$D$12&amp;"'!GO_2035"),
    0
)
+IF(
    IFERROR(INDIRECT("'"&amp;$D$13&amp;"'!C9")&gt;2020, 0),
    INDIRECT("'"&amp;$D$13&amp;"'!GO_2035"),
    0
)
+IF(
    IFERROR(INDIRECT("'"&amp;$D$14&amp;"'!C9")&gt;2020, 0),
    INDIRECT("'"&amp;$D$14&amp;"'!GO_2035"),
    0
)
+IF(
    IFERROR(INDIRECT("'"&amp;$D$15&amp;"'!C9")&gt;2020, 0),
    INDIRECT("'"&amp;$D$15&amp;"'!GO_2035"),
    0
)
+IF(
    IFERROR(INDIRECT("'"&amp;$D$16&amp;"'!C9")&gt;2020, 0),
    INDIRECT("'"&amp;$D$16&amp;"'!GO_2035"),
    0
)
+IF(
    IFERROR(INDIRECT("'"&amp;$D$17&amp;"'!C9")&gt;2020, 0),
    INDIRECT("'"&amp;$D$17&amp;"'!GO_2035"),
    0
)
+IF(
    IFERROR(INDIRECT("'"&amp;$D$18&amp;"'!C9")&gt;2020, 0),
    INDIRECT("'"&amp;$D$18&amp;"'!GO_2035"),
    0
)
+IF(
    IFERROR(INDIRECT("'"&amp;$D$19&amp;"'!C9")&gt;2020, 0),
    INDIRECT("'"&amp;$D$19&amp;"'!GO_2035"),
    0
)
+IF(
    IFERROR(INDIRECT("'"&amp;$D$20&amp;"'!C9")&gt;2020, 0),
    INDIRECT("'"&amp;$D$20&amp;"'!GO_2035"),
    0
)
+IF(
    IFERROR(INDIRECT("'"&amp;$D$21&amp;"'!C9")&gt;2020, 0),
    INDIRECT("'"&amp;$D$21&amp;"'!GO_2035"),
    0
)
+IF(
    IFERROR(INDIRECT("'"&amp;$D$22&amp;"'!C9")&gt;2020, 0),
    INDIRECT("'"&amp;$D$22&amp;"'!GO_2035"),
    0
)
+IF(
    IFERROR(INDIRECT("'"&amp;$D$23&amp;"'!C9")&gt;2020, 0),
    INDIRECT("'"&amp;$D$23&amp;"'!GO_2035"),
    0
)
+IF(
    IFERROR(INDIRECT("'"&amp;$D$24&amp;"'!C9")&gt;2020, 0),
    INDIRECT("'"&amp;$D$24&amp;"'!GO_2035"),
    0
)
+IF(
    IFERROR(INDIRECT("'"&amp;$D$25&amp;"'!C9")&gt;2020, 0),
    INDIRECT("'"&amp;$D$25&amp;"'!GO_2035"),
    0
)
+IF(
    IFERROR(INDIRECT("'"&amp;$D$26&amp;"'!C9")&gt;2020, 0),
    INDIRECT("'"&amp;$D$26&amp;"'!GO_2035"),
    0
)
+IF(
    IFERROR(INDIRECT("'"&amp;$D$27&amp;"'!C9")&gt;2020, 0),
    INDIRECT("'"&amp;$D$27&amp;"'!GO_2035"),
    0
)
+IF(
    IFERROR(INDIRECT("'"&amp;$D$28&amp;"'!C9")&gt;2020, 0),
    INDIRECT("'"&amp;$D$28&amp;"'!GO_2035"),
    0
)
+IF(
    IFERROR(INDIRECT("'"&amp;$D$29&amp;"'!C9")&gt;2020, 0),
    INDIRECT("'"&amp;$D$29&amp;"'!GO_2035"),
    0
)
+IF(
    IFERROR(INDIRECT("'"&amp;$D$30&amp;"'!C9")&gt;2020, 0),
    INDIRECT("'"&amp;$D$30&amp;"'!GO_2035"),
    0
)
+IF(
    IFERROR(INDIRECT("'"&amp;$D$31&amp;"'!C9")&gt;2020, 0),
    INDIRECT("'"&amp;$D$31&amp;"'!GO_2035"),
    0
)
+IF(
    IFERROR(INDIRECT("'"&amp;$D$32&amp;"'!C9")&gt;2020, 0),
    INDIRECT("'"&amp;$D$32&amp;"'!GO_2035"),
    0
)
+IF(
    IFERROR(INDIRECT("'"&amp;$D$33&amp;"'!C9")&gt;2020, 0),
    INDIRECT("'"&amp;$D$33&amp;"'!GO_2035"),
    0
)
+IF(
    IFERROR(INDIRECT("'"&amp;$D$34&amp;"'!C9")&gt;2020, 0),
    INDIRECT("'"&amp;$D$34&amp;"'!GO_2035"),
    0
)
+IF(
    IFERROR(INDIRECT("'"&amp;$D$35&amp;"'!C9")&gt;2020, 0),
    INDIRECT("'"&amp;$D$35&amp;"'!GO_2035"),
    0
)
+IF(
    IFERROR(INDIRECT("'"&amp;$D$36&amp;"'!C9")&gt;2020, 0),
    INDIRECT("'"&amp;$D$36&amp;"'!GO_2035"),
    0
)
+IF(
    IFERROR(INDIRECT("'"&amp;$D$37&amp;"'!C9")&gt;2020, 0),
    INDIRECT("'"&amp;$D$37&amp;"'!GO_2035"),
    0
)
+IF(
    IFERROR(INDIRECT("'"&amp;$D$38&amp;"'!C9")&gt;2020, 0),
    INDIRECT("'"&amp;$D$38&amp;"'!GO_2035"),
    0
)
+IF(
    IFERROR(INDIRECT("'"&amp;$D$39&amp;"'!C9")&gt;2020, 0),
    INDIRECT("'"&amp;$D$39&amp;"'!GO_2035"),
    0
)
+IF(
    IFERROR(INDIRECT("'"&amp;$D$40&amp;"'!C9")&gt;2020, 0),
    INDIRECT("'"&amp;$D$40&amp;"'!GO_2035"),
    0
)
+IF(
    IFERROR(INDIRECT("'"&amp;$D$41&amp;"'!C9")&gt;2020, 0),
    INDIRECT("'"&amp;$D$41&amp;"'!GO_2035"),
    0
)
+IF(
    IFERROR(INDIRECT("'"&amp;$D$42&amp;"'!C9")&gt;2020, 0),
    INDIRECT("'"&amp;$D$42&amp;"'!GO_2035"),
    0
)
+IF(
    IFERROR(INDIRECT("'"&amp;$D$43&amp;"'!C9")&gt;2020, 0),
    INDIRECT("'"&amp;$D$43&amp;"'!GO_2035"),
    0
)
+IF(
    IFERROR(INDIRECT("'"&amp;$D$44&amp;"'!C9")&gt;2020, 0),
    INDIRECT("'"&amp;$D$44&amp;"'!GO_2035"),
    0
)
+IF(
    IFERROR(INDIRECT("'"&amp;$D$45&amp;"'!C9")&gt;2020, 0),
    INDIRECT("'"&amp;$D$45&amp;"'!GO_2035"),
    0
)
+IF(
    IFERROR(INDIRECT("'"&amp;$D$46&amp;"'!C9")&gt;2020, 0),
    INDIRECT("'"&amp;$D$46&amp;"'!GO_2035"),
    0
)
+IF(
    IFERROR(INDIRECT("'"&amp;$D$47&amp;"'!C9")&gt;2020, 0),
    INDIRECT("'"&amp;$D$47&amp;"'!GO_2035"),
    0
)
+IF(
    IFERROR(INDIRECT("'"&amp;$D$48&amp;"'!C9")&gt;2020, 0),
    INDIRECT("'"&amp;$D$48&amp;"'!GO_2035"),
    0
)
+IF(
    IFERROR(INDIRECT("'"&amp;$D$49&amp;"'!C9")&gt;2020, 0),
    INDIRECT("'"&amp;$D$49&amp;"'!GO_2035"),
    0
)
+IF(
    IFERROR(INDIRECT("'"&amp;$D$50&amp;"'!C9")&gt;2020, 0),
    INDIRECT("'"&amp;$D$50&amp;"'!GO_2035"),
    0
)
+IF(
    IFERROR(INDIRECT("'"&amp;$D$51&amp;"'!C9")&gt;2020, 0),
    INDIRECT("'"&amp;$D$51&amp;"'!GO_2035"),
    0
)
+IF(
    IFERROR(INDIRECT("'"&amp;$D$52&amp;"'!C9")&gt;2020, 0),
    INDIRECT("'"&amp;$D$52&amp;"'!GO_2035"),
    0
)
+IF(
    IFERROR(INDIRECT("'"&amp;$D$53&amp;"'!C9")&gt;2020, 0),
    INDIRECT("'"&amp;$D$53&amp;"'!GO_2035"),
    0
)
+IF(
    IFERROR(INDIRECT("'"&amp;$D$54&amp;"'!C9")&gt;2020, 0),
    INDIRECT("'"&amp;$D$54&amp;"'!GO_2035"),
    0
)</f>
        <v>13218</v>
      </c>
      <c r="Z28" s="322">
        <f ca="1">Nieuwbouw!W38+IF(
    IFERROR(INDIRECT("'"&amp;$D$5&amp;"'!C9")&gt;2020, 0),
    INDIRECT("'"&amp;$D$5&amp;"'!GO_2036"),
    0
)
+IF(
    IFERROR(INDIRECT("'"&amp;$D$6&amp;"'!C9")&gt;2020, 0),
    INDIRECT("'"&amp;$D$6&amp;"'!GO_2036"),
    0
)
+IF(
    IFERROR(INDIRECT("'"&amp;$D$7&amp;"'!C9")&gt;2020, 0),
    INDIRECT("'"&amp;$D$7&amp;"'!GO_2036"),
    0
)
+IF(
    IFERROR(INDIRECT("'"&amp;$D$8&amp;"'!C9")&gt;2020, 0),
    INDIRECT("'"&amp;$D$8&amp;"'!GO_2036"),
    0
)
+IF(
    IFERROR(INDIRECT("'"&amp;$D$9&amp;"'!C9")&gt;2020, 0),
    INDIRECT("'"&amp;$D$9&amp;"'!GO_2036"),
    0
)
+IF(
    IFERROR(INDIRECT("'"&amp;$D$10&amp;"'!C9")&gt;2020, 0),
    INDIRECT("'"&amp;$D$10&amp;"'!GO_2036"),
    0
)
+IF(
    IFERROR(INDIRECT("'"&amp;$D$11&amp;"'!C9")&gt;2020, 0),
    INDIRECT("'"&amp;$D$11&amp;"'!GO_2036"),
    0
)
+IF(
    IFERROR(INDIRECT("'"&amp;$D$12&amp;"'!C9")&gt;2020, 0),
    INDIRECT("'"&amp;$D$12&amp;"'!GO_2036"),
    0
)
+IF(
    IFERROR(INDIRECT("'"&amp;$D$13&amp;"'!C9")&gt;2020, 0),
    INDIRECT("'"&amp;$D$13&amp;"'!GO_2036"),
    0
)
+IF(
    IFERROR(INDIRECT("'"&amp;$D$14&amp;"'!C9")&gt;2020, 0),
    INDIRECT("'"&amp;$D$14&amp;"'!GO_2036"),
    0
)
+IF(
    IFERROR(INDIRECT("'"&amp;$D$15&amp;"'!C9")&gt;2020, 0),
    INDIRECT("'"&amp;$D$15&amp;"'!GO_2036"),
    0
)
+IF(
    IFERROR(INDIRECT("'"&amp;$D$16&amp;"'!C9")&gt;2020, 0),
    INDIRECT("'"&amp;$D$16&amp;"'!GO_2036"),
    0
)
+IF(
    IFERROR(INDIRECT("'"&amp;$D$17&amp;"'!C9")&gt;2020, 0),
    INDIRECT("'"&amp;$D$17&amp;"'!GO_2036"),
    0
)
+IF(
    IFERROR(INDIRECT("'"&amp;$D$18&amp;"'!C9")&gt;2020, 0),
    INDIRECT("'"&amp;$D$18&amp;"'!GO_2036"),
    0
)
+IF(
    IFERROR(INDIRECT("'"&amp;$D$19&amp;"'!C9")&gt;2020, 0),
    INDIRECT("'"&amp;$D$19&amp;"'!GO_2036"),
    0
)
+IF(
    IFERROR(INDIRECT("'"&amp;$D$20&amp;"'!C9")&gt;2020, 0),
    INDIRECT("'"&amp;$D$20&amp;"'!GO_2036"),
    0
)
+IF(
    IFERROR(INDIRECT("'"&amp;$D$21&amp;"'!C9")&gt;2020, 0),
    INDIRECT("'"&amp;$D$21&amp;"'!GO_2036"),
    0
)
+IF(
    IFERROR(INDIRECT("'"&amp;$D$22&amp;"'!C9")&gt;2020, 0),
    INDIRECT("'"&amp;$D$22&amp;"'!GO_2036"),
    0
)
+IF(
    IFERROR(INDIRECT("'"&amp;$D$23&amp;"'!C9")&gt;2020, 0),
    INDIRECT("'"&amp;$D$23&amp;"'!GO_2036"),
    0
)
+IF(
    IFERROR(INDIRECT("'"&amp;$D$24&amp;"'!C9")&gt;2020, 0),
    INDIRECT("'"&amp;$D$24&amp;"'!GO_2036"),
    0
)
+IF(
    IFERROR(INDIRECT("'"&amp;$D$25&amp;"'!C9")&gt;2020, 0),
    INDIRECT("'"&amp;$D$25&amp;"'!GO_2036"),
    0
)
+IF(
    IFERROR(INDIRECT("'"&amp;$D$26&amp;"'!C9")&gt;2020, 0),
    INDIRECT("'"&amp;$D$26&amp;"'!GO_2036"),
    0
)
+IF(
    IFERROR(INDIRECT("'"&amp;$D$27&amp;"'!C9")&gt;2020, 0),
    INDIRECT("'"&amp;$D$27&amp;"'!GO_2036"),
    0
)
+IF(
    IFERROR(INDIRECT("'"&amp;$D$28&amp;"'!C9")&gt;2020, 0),
    INDIRECT("'"&amp;$D$28&amp;"'!GO_2036"),
    0
)
+IF(
    IFERROR(INDIRECT("'"&amp;$D$29&amp;"'!C9")&gt;2020, 0),
    INDIRECT("'"&amp;$D$29&amp;"'!GO_2036"),
    0
)
+IF(
    IFERROR(INDIRECT("'"&amp;$D$30&amp;"'!C9")&gt;2020, 0),
    INDIRECT("'"&amp;$D$30&amp;"'!GO_2036"),
    0
)
+IF(
    IFERROR(INDIRECT("'"&amp;$D$31&amp;"'!C9")&gt;2020, 0),
    INDIRECT("'"&amp;$D$31&amp;"'!GO_2036"),
    0
)
+IF(
    IFERROR(INDIRECT("'"&amp;$D$32&amp;"'!C9")&gt;2020, 0),
    INDIRECT("'"&amp;$D$32&amp;"'!GO_2036"),
    0
)
+IF(
    IFERROR(INDIRECT("'"&amp;$D$33&amp;"'!C9")&gt;2020, 0),
    INDIRECT("'"&amp;$D$33&amp;"'!GO_2036"),
    0
)
+IF(
    IFERROR(INDIRECT("'"&amp;$D$34&amp;"'!C9")&gt;2020, 0),
    INDIRECT("'"&amp;$D$34&amp;"'!GO_2036"),
    0
)
+IF(
    IFERROR(INDIRECT("'"&amp;$D$35&amp;"'!C9")&gt;2020, 0),
    INDIRECT("'"&amp;$D$35&amp;"'!GO_2036"),
    0
)
+IF(
    IFERROR(INDIRECT("'"&amp;$D$36&amp;"'!C9")&gt;2020, 0),
    INDIRECT("'"&amp;$D$36&amp;"'!GO_2036"),
    0
)
+IF(
    IFERROR(INDIRECT("'"&amp;$D$37&amp;"'!C9")&gt;2020, 0),
    INDIRECT("'"&amp;$D$37&amp;"'!GO_2036"),
    0
)
+IF(
    IFERROR(INDIRECT("'"&amp;$D$38&amp;"'!C9")&gt;2020, 0),
    INDIRECT("'"&amp;$D$38&amp;"'!GO_2036"),
    0
)
+IF(
    IFERROR(INDIRECT("'"&amp;$D$39&amp;"'!C9")&gt;2020, 0),
    INDIRECT("'"&amp;$D$39&amp;"'!GO_2036"),
    0
)
+IF(
    IFERROR(INDIRECT("'"&amp;$D$40&amp;"'!C9")&gt;2020, 0),
    INDIRECT("'"&amp;$D$40&amp;"'!GO_2036"),
    0
)
+IF(
    IFERROR(INDIRECT("'"&amp;$D$41&amp;"'!C9")&gt;2020, 0),
    INDIRECT("'"&amp;$D$41&amp;"'!GO_2036"),
    0
)
+IF(
    IFERROR(INDIRECT("'"&amp;$D$42&amp;"'!C9")&gt;2020, 0),
    INDIRECT("'"&amp;$D$42&amp;"'!GO_2036"),
    0
)
+IF(
    IFERROR(INDIRECT("'"&amp;$D$43&amp;"'!C9")&gt;2020, 0),
    INDIRECT("'"&amp;$D$43&amp;"'!GO_2036"),
    0
)
+IF(
    IFERROR(INDIRECT("'"&amp;$D$44&amp;"'!C9")&gt;2020, 0),
    INDIRECT("'"&amp;$D$44&amp;"'!GO_2036"),
    0
)
+IF(
    IFERROR(INDIRECT("'"&amp;$D$45&amp;"'!C9")&gt;2020, 0),
    INDIRECT("'"&amp;$D$45&amp;"'!GO_2036"),
    0
)
+IF(
    IFERROR(INDIRECT("'"&amp;$D$46&amp;"'!C9")&gt;2020, 0),
    INDIRECT("'"&amp;$D$46&amp;"'!GO_2036"),
    0
)
+IF(
    IFERROR(INDIRECT("'"&amp;$D$47&amp;"'!C9")&gt;2020, 0),
    INDIRECT("'"&amp;$D$47&amp;"'!GO_2036"),
    0
)
+IF(
    IFERROR(INDIRECT("'"&amp;$D$48&amp;"'!C9")&gt;2020, 0),
    INDIRECT("'"&amp;$D$48&amp;"'!GO_2036"),
    0
)
+IF(
    IFERROR(INDIRECT("'"&amp;$D$49&amp;"'!C9")&gt;2020, 0),
    INDIRECT("'"&amp;$D$49&amp;"'!GO_2036"),
    0
)
+IF(
    IFERROR(INDIRECT("'"&amp;$D$50&amp;"'!C9")&gt;2020, 0),
    INDIRECT("'"&amp;$D$50&amp;"'!GO_2036"),
    0
)
+IF(
    IFERROR(INDIRECT("'"&amp;$D$51&amp;"'!C9")&gt;2020, 0),
    INDIRECT("'"&amp;$D$51&amp;"'!GO_2036"),
    0
)
+IF(
    IFERROR(INDIRECT("'"&amp;$D$52&amp;"'!C9")&gt;2020, 0),
    INDIRECT("'"&amp;$D$52&amp;"'!GO_2036"),
    0
)
+IF(
    IFERROR(INDIRECT("'"&amp;$D$53&amp;"'!C9")&gt;2020, 0),
    INDIRECT("'"&amp;$D$53&amp;"'!GO_2036"),
    0
)
+IF(
    IFERROR(INDIRECT("'"&amp;$D$54&amp;"'!C9")&gt;2020, 0),
    INDIRECT("'"&amp;$D$54&amp;"'!GO_2036"),
    0
)</f>
        <v>13218</v>
      </c>
      <c r="AA28" s="322">
        <f ca="1">Nieuwbouw!X38+IF(
    IFERROR(INDIRECT("'"&amp;$D$5&amp;"'!C9")&gt;2020, 0),
    INDIRECT("'"&amp;$D$5&amp;"'!GO_2037"),
    0
)
+IF(
    IFERROR(INDIRECT("'"&amp;$D$6&amp;"'!C9")&gt;2020, 0),
    INDIRECT("'"&amp;$D$6&amp;"'!GO_2037"),
    0
)
+IF(
    IFERROR(INDIRECT("'"&amp;$D$7&amp;"'!C9")&gt;2020, 0),
    INDIRECT("'"&amp;$D$7&amp;"'!GO_2037"),
    0
)
+IF(
    IFERROR(INDIRECT("'"&amp;$D$8&amp;"'!C9")&gt;2020, 0),
    INDIRECT("'"&amp;$D$8&amp;"'!GO_2037"),
    0
)
+IF(
    IFERROR(INDIRECT("'"&amp;$D$9&amp;"'!C9")&gt;2020, 0),
    INDIRECT("'"&amp;$D$9&amp;"'!GO_2037"),
    0
)
+IF(
    IFERROR(INDIRECT("'"&amp;$D$10&amp;"'!C9")&gt;2020, 0),
    INDIRECT("'"&amp;$D$10&amp;"'!GO_2037"),
    0
)
+IF(
    IFERROR(INDIRECT("'"&amp;$D$11&amp;"'!C9")&gt;2020, 0),
    INDIRECT("'"&amp;$D$11&amp;"'!GO_2037"),
    0
)
+IF(
    IFERROR(INDIRECT("'"&amp;$D$12&amp;"'!C9")&gt;2020, 0),
    INDIRECT("'"&amp;$D$12&amp;"'!GO_2037"),
    0
)
+IF(
    IFERROR(INDIRECT("'"&amp;$D$13&amp;"'!C9")&gt;2020, 0),
    INDIRECT("'"&amp;$D$13&amp;"'!GO_2037"),
    0
)
+IF(
    IFERROR(INDIRECT("'"&amp;$D$14&amp;"'!C9")&gt;2020, 0),
    INDIRECT("'"&amp;$D$14&amp;"'!GO_2037"),
    0
)
+IF(
    IFERROR(INDIRECT("'"&amp;$D$15&amp;"'!C9")&gt;2020, 0),
    INDIRECT("'"&amp;$D$15&amp;"'!GO_2037"),
    0
)
+IF(
    IFERROR(INDIRECT("'"&amp;$D$16&amp;"'!C9")&gt;2020, 0),
    INDIRECT("'"&amp;$D$16&amp;"'!GO_2037"),
    0
)
+IF(
    IFERROR(INDIRECT("'"&amp;$D$17&amp;"'!C9")&gt;2020, 0),
    INDIRECT("'"&amp;$D$17&amp;"'!GO_2037"),
    0
)
+IF(
    IFERROR(INDIRECT("'"&amp;$D$18&amp;"'!C9")&gt;2020, 0),
    INDIRECT("'"&amp;$D$18&amp;"'!GO_2037"),
    0
)
+IF(
    IFERROR(INDIRECT("'"&amp;$D$19&amp;"'!C9")&gt;2020, 0),
    INDIRECT("'"&amp;$D$19&amp;"'!GO_2037"),
    0
)
+IF(
    IFERROR(INDIRECT("'"&amp;$D$20&amp;"'!C9")&gt;2020, 0),
    INDIRECT("'"&amp;$D$20&amp;"'!GO_2037"),
    0
)
+IF(
    IFERROR(INDIRECT("'"&amp;$D$21&amp;"'!C9")&gt;2020, 0),
    INDIRECT("'"&amp;$D$21&amp;"'!GO_2037"),
    0
)
+IF(
    IFERROR(INDIRECT("'"&amp;$D$22&amp;"'!C9")&gt;2020, 0),
    INDIRECT("'"&amp;$D$22&amp;"'!GO_2037"),
    0
)
+IF(
    IFERROR(INDIRECT("'"&amp;$D$23&amp;"'!C9")&gt;2020, 0),
    INDIRECT("'"&amp;$D$23&amp;"'!GO_2037"),
    0
)
+IF(
    IFERROR(INDIRECT("'"&amp;$D$24&amp;"'!C9")&gt;2020, 0),
    INDIRECT("'"&amp;$D$24&amp;"'!GO_2037"),
    0
)
+IF(
    IFERROR(INDIRECT("'"&amp;$D$25&amp;"'!C9")&gt;2020, 0),
    INDIRECT("'"&amp;$D$25&amp;"'!GO_2037"),
    0
)
+IF(
    IFERROR(INDIRECT("'"&amp;$D$26&amp;"'!C9")&gt;2020, 0),
    INDIRECT("'"&amp;$D$26&amp;"'!GO_2037"),
    0
)
+IF(
    IFERROR(INDIRECT("'"&amp;$D$27&amp;"'!C9")&gt;2020, 0),
    INDIRECT("'"&amp;$D$27&amp;"'!GO_2037"),
    0
)
+IF(
    IFERROR(INDIRECT("'"&amp;$D$28&amp;"'!C9")&gt;2020, 0),
    INDIRECT("'"&amp;$D$28&amp;"'!GO_2037"),
    0
)
+IF(
    IFERROR(INDIRECT("'"&amp;$D$29&amp;"'!C9")&gt;2020, 0),
    INDIRECT("'"&amp;$D$29&amp;"'!GO_2037"),
    0
)
+IF(
    IFERROR(INDIRECT("'"&amp;$D$30&amp;"'!C9")&gt;2020, 0),
    INDIRECT("'"&amp;$D$30&amp;"'!GO_2037"),
    0
)
+IF(
    IFERROR(INDIRECT("'"&amp;$D$31&amp;"'!C9")&gt;2020, 0),
    INDIRECT("'"&amp;$D$31&amp;"'!GO_2037"),
    0
)
+IF(
    IFERROR(INDIRECT("'"&amp;$D$32&amp;"'!C9")&gt;2020, 0),
    INDIRECT("'"&amp;$D$32&amp;"'!GO_2037"),
    0
)
+IF(
    IFERROR(INDIRECT("'"&amp;$D$33&amp;"'!C9")&gt;2020, 0),
    INDIRECT("'"&amp;$D$33&amp;"'!GO_2037"),
    0
)
+IF(
    IFERROR(INDIRECT("'"&amp;$D$34&amp;"'!C9")&gt;2020, 0),
    INDIRECT("'"&amp;$D$34&amp;"'!GO_2037"),
    0
)
+IF(
    IFERROR(INDIRECT("'"&amp;$D$35&amp;"'!C9")&gt;2020, 0),
    INDIRECT("'"&amp;$D$35&amp;"'!GO_2037"),
    0
)
+IF(
    IFERROR(INDIRECT("'"&amp;$D$36&amp;"'!C9")&gt;2020, 0),
    INDIRECT("'"&amp;$D$36&amp;"'!GO_2037"),
    0
)
+IF(
    IFERROR(INDIRECT("'"&amp;$D$37&amp;"'!C9")&gt;2020, 0),
    INDIRECT("'"&amp;$D$37&amp;"'!GO_2037"),
    0
)
+IF(
    IFERROR(INDIRECT("'"&amp;$D$38&amp;"'!C9")&gt;2020, 0),
    INDIRECT("'"&amp;$D$38&amp;"'!GO_2037"),
    0
)
+IF(
    IFERROR(INDIRECT("'"&amp;$D$39&amp;"'!C9")&gt;2020, 0),
    INDIRECT("'"&amp;$D$39&amp;"'!GO_2037"),
    0
)
+IF(
    IFERROR(INDIRECT("'"&amp;$D$40&amp;"'!C9")&gt;2020, 0),
    INDIRECT("'"&amp;$D$40&amp;"'!GO_2037"),
    0
)
+IF(
    IFERROR(INDIRECT("'"&amp;$D$41&amp;"'!C9")&gt;2020, 0),
    INDIRECT("'"&amp;$D$41&amp;"'!GO_2037"),
    0
)
+IF(
    IFERROR(INDIRECT("'"&amp;$D$42&amp;"'!C9")&gt;2020, 0),
    INDIRECT("'"&amp;$D$42&amp;"'!GO_2037"),
    0
)
+IF(
    IFERROR(INDIRECT("'"&amp;$D$43&amp;"'!C9")&gt;2020, 0),
    INDIRECT("'"&amp;$D$43&amp;"'!GO_2037"),
    0
)
+IF(
    IFERROR(INDIRECT("'"&amp;$D$44&amp;"'!C9")&gt;2020, 0),
    INDIRECT("'"&amp;$D$44&amp;"'!GO_2037"),
    0
)
+IF(
    IFERROR(INDIRECT("'"&amp;$D$45&amp;"'!C9")&gt;2020, 0),
    INDIRECT("'"&amp;$D$45&amp;"'!GO_2037"),
    0
)
+IF(
    IFERROR(INDIRECT("'"&amp;$D$46&amp;"'!C9")&gt;2020, 0),
    INDIRECT("'"&amp;$D$46&amp;"'!GO_2037"),
    0
)
+IF(
    IFERROR(INDIRECT("'"&amp;$D$47&amp;"'!C9")&gt;2020, 0),
    INDIRECT("'"&amp;$D$47&amp;"'!GO_2037"),
    0
)
+IF(
    IFERROR(INDIRECT("'"&amp;$D$48&amp;"'!C9")&gt;2020, 0),
    INDIRECT("'"&amp;$D$48&amp;"'!GO_2037"),
    0
)
+IF(
    IFERROR(INDIRECT("'"&amp;$D$49&amp;"'!C9")&gt;2020, 0),
    INDIRECT("'"&amp;$D$49&amp;"'!GO_2037"),
    0
)
+IF(
    IFERROR(INDIRECT("'"&amp;$D$50&amp;"'!C9")&gt;2020, 0),
    INDIRECT("'"&amp;$D$50&amp;"'!GO_2037"),
    0
)
+IF(
    IFERROR(INDIRECT("'"&amp;$D$51&amp;"'!C9")&gt;2020, 0),
    INDIRECT("'"&amp;$D$51&amp;"'!GO_2037"),
    0
)
+IF(
    IFERROR(INDIRECT("'"&amp;$D$52&amp;"'!C9")&gt;2020, 0),
    INDIRECT("'"&amp;$D$52&amp;"'!GO_2037"),
    0
)
+IF(
    IFERROR(INDIRECT("'"&amp;$D$53&amp;"'!C9")&gt;2020, 0),
    INDIRECT("'"&amp;$D$53&amp;"'!GO_2037"),
    0
)
+IF(
    IFERROR(INDIRECT("'"&amp;$D$54&amp;"'!C9")&gt;2020, 0),
    INDIRECT("'"&amp;$D$54&amp;"'!GO_2037"),
    0
)</f>
        <v>13218</v>
      </c>
      <c r="AB28" s="322">
        <f ca="1">Nieuwbouw!Y38+IF(
    IFERROR(INDIRECT("'"&amp;$D$5&amp;"'!C9")&gt;2020, 0),
    INDIRECT("'"&amp;$D$5&amp;"'!GO_2038"),
    0
)
+IF(
    IFERROR(INDIRECT("'"&amp;$D$6&amp;"'!C9")&gt;2020, 0),
    INDIRECT("'"&amp;$D$6&amp;"'!GO_2038"),
    0
)
+IF(
    IFERROR(INDIRECT("'"&amp;$D$7&amp;"'!C9")&gt;2020, 0),
    INDIRECT("'"&amp;$D$7&amp;"'!GO_2038"),
    0
)
+IF(
    IFERROR(INDIRECT("'"&amp;$D$8&amp;"'!C9")&gt;2020, 0),
    INDIRECT("'"&amp;$D$8&amp;"'!GO_2038"),
    0
)
+IF(
    IFERROR(INDIRECT("'"&amp;$D$9&amp;"'!C9")&gt;2020, 0),
    INDIRECT("'"&amp;$D$9&amp;"'!GO_2038"),
    0
)
+IF(
    IFERROR(INDIRECT("'"&amp;$D$10&amp;"'!C9")&gt;2020, 0),
    INDIRECT("'"&amp;$D$10&amp;"'!GO_2038"),
    0
)
+IF(
    IFERROR(INDIRECT("'"&amp;$D$11&amp;"'!C9")&gt;2020, 0),
    INDIRECT("'"&amp;$D$11&amp;"'!GO_2038"),
    0
)
+IF(
    IFERROR(INDIRECT("'"&amp;$D$12&amp;"'!C9")&gt;2020, 0),
    INDIRECT("'"&amp;$D$12&amp;"'!GO_2038"),
    0
)
+IF(
    IFERROR(INDIRECT("'"&amp;$D$13&amp;"'!C9")&gt;2020, 0),
    INDIRECT("'"&amp;$D$13&amp;"'!GO_2038"),
    0
)
+IF(
    IFERROR(INDIRECT("'"&amp;$D$14&amp;"'!C9")&gt;2020, 0),
    INDIRECT("'"&amp;$D$14&amp;"'!GO_2038"),
    0
)
+IF(
    IFERROR(INDIRECT("'"&amp;$D$15&amp;"'!C9")&gt;2020, 0),
    INDIRECT("'"&amp;$D$15&amp;"'!GO_2038"),
    0
)
+IF(
    IFERROR(INDIRECT("'"&amp;$D$16&amp;"'!C9")&gt;2020, 0),
    INDIRECT("'"&amp;$D$16&amp;"'!GO_2038"),
    0
)
+IF(
    IFERROR(INDIRECT("'"&amp;$D$17&amp;"'!C9")&gt;2020, 0),
    INDIRECT("'"&amp;$D$17&amp;"'!GO_2038"),
    0
)
+IF(
    IFERROR(INDIRECT("'"&amp;$D$18&amp;"'!C9")&gt;2020, 0),
    INDIRECT("'"&amp;$D$18&amp;"'!GO_2038"),
    0
)
+IF(
    IFERROR(INDIRECT("'"&amp;$D$19&amp;"'!C9")&gt;2020, 0),
    INDIRECT("'"&amp;$D$19&amp;"'!GO_2038"),
    0
)
+IF(
    IFERROR(INDIRECT("'"&amp;$D$20&amp;"'!C9")&gt;2020, 0),
    INDIRECT("'"&amp;$D$20&amp;"'!GO_2038"),
    0
)
+IF(
    IFERROR(INDIRECT("'"&amp;$D$21&amp;"'!C9")&gt;2020, 0),
    INDIRECT("'"&amp;$D$21&amp;"'!GO_2038"),
    0
)
+IF(
    IFERROR(INDIRECT("'"&amp;$D$22&amp;"'!C9")&gt;2020, 0),
    INDIRECT("'"&amp;$D$22&amp;"'!GO_2038"),
    0
)
+IF(
    IFERROR(INDIRECT("'"&amp;$D$23&amp;"'!C9")&gt;2020, 0),
    INDIRECT("'"&amp;$D$23&amp;"'!GO_2038"),
    0
)
+IF(
    IFERROR(INDIRECT("'"&amp;$D$24&amp;"'!C9")&gt;2020, 0),
    INDIRECT("'"&amp;$D$24&amp;"'!GO_2038"),
    0
)
+IF(
    IFERROR(INDIRECT("'"&amp;$D$25&amp;"'!C9")&gt;2020, 0),
    INDIRECT("'"&amp;$D$25&amp;"'!GO_2038"),
    0
)
+IF(
    IFERROR(INDIRECT("'"&amp;$D$26&amp;"'!C9")&gt;2020, 0),
    INDIRECT("'"&amp;$D$26&amp;"'!GO_2038"),
    0
)
+IF(
    IFERROR(INDIRECT("'"&amp;$D$27&amp;"'!C9")&gt;2020, 0),
    INDIRECT("'"&amp;$D$27&amp;"'!GO_2038"),
    0
)
+IF(
    IFERROR(INDIRECT("'"&amp;$D$28&amp;"'!C9")&gt;2020, 0),
    INDIRECT("'"&amp;$D$28&amp;"'!GO_2038"),
    0
)
+IF(
    IFERROR(INDIRECT("'"&amp;$D$29&amp;"'!C9")&gt;2020, 0),
    INDIRECT("'"&amp;$D$29&amp;"'!GO_2038"),
    0
)
+IF(
    IFERROR(INDIRECT("'"&amp;$D$30&amp;"'!C9")&gt;2020, 0),
    INDIRECT("'"&amp;$D$30&amp;"'!GO_2038"),
    0
)
+IF(
    IFERROR(INDIRECT("'"&amp;$D$31&amp;"'!C9")&gt;2020, 0),
    INDIRECT("'"&amp;$D$31&amp;"'!GO_2038"),
    0
)
+IF(
    IFERROR(INDIRECT("'"&amp;$D$32&amp;"'!C9")&gt;2020, 0),
    INDIRECT("'"&amp;$D$32&amp;"'!GO_2038"),
    0
)
+IF(
    IFERROR(INDIRECT("'"&amp;$D$33&amp;"'!C9")&gt;2020, 0),
    INDIRECT("'"&amp;$D$33&amp;"'!GO_2038"),
    0
)
+IF(
    IFERROR(INDIRECT("'"&amp;$D$34&amp;"'!C9")&gt;2020, 0),
    INDIRECT("'"&amp;$D$34&amp;"'!GO_2038"),
    0
)
+IF(
    IFERROR(INDIRECT("'"&amp;$D$35&amp;"'!C9")&gt;2020, 0),
    INDIRECT("'"&amp;$D$35&amp;"'!GO_2038"),
    0
)
+IF(
    IFERROR(INDIRECT("'"&amp;$D$36&amp;"'!C9")&gt;2020, 0),
    INDIRECT("'"&amp;$D$36&amp;"'!GO_2038"),
    0
)
+IF(
    IFERROR(INDIRECT("'"&amp;$D$37&amp;"'!C9")&gt;2020, 0),
    INDIRECT("'"&amp;$D$37&amp;"'!GO_2038"),
    0
)
+IF(
    IFERROR(INDIRECT("'"&amp;$D$38&amp;"'!C9")&gt;2020, 0),
    INDIRECT("'"&amp;$D$38&amp;"'!GO_2038"),
    0
)
+IF(
    IFERROR(INDIRECT("'"&amp;$D$39&amp;"'!C9")&gt;2020, 0),
    INDIRECT("'"&amp;$D$39&amp;"'!GO_2038"),
    0
)
+IF(
    IFERROR(INDIRECT("'"&amp;$D$40&amp;"'!C9")&gt;2020, 0),
    INDIRECT("'"&amp;$D$40&amp;"'!GO_2038"),
    0
)
+IF(
    IFERROR(INDIRECT("'"&amp;$D$41&amp;"'!C9")&gt;2020, 0),
    INDIRECT("'"&amp;$D$41&amp;"'!GO_2038"),
    0
)
+IF(
    IFERROR(INDIRECT("'"&amp;$D$42&amp;"'!C9")&gt;2020, 0),
    INDIRECT("'"&amp;$D$42&amp;"'!GO_2038"),
    0
)
+IF(
    IFERROR(INDIRECT("'"&amp;$D$43&amp;"'!C9")&gt;2020, 0),
    INDIRECT("'"&amp;$D$43&amp;"'!GO_2038"),
    0
)
+IF(
    IFERROR(INDIRECT("'"&amp;$D$44&amp;"'!C9")&gt;2020, 0),
    INDIRECT("'"&amp;$D$44&amp;"'!GO_2038"),
    0
)
+IF(
    IFERROR(INDIRECT("'"&amp;$D$45&amp;"'!C9")&gt;2020, 0),
    INDIRECT("'"&amp;$D$45&amp;"'!GO_2038"),
    0
)
+IF(
    IFERROR(INDIRECT("'"&amp;$D$46&amp;"'!C9")&gt;2020, 0),
    INDIRECT("'"&amp;$D$46&amp;"'!GO_2038"),
    0
)
+IF(
    IFERROR(INDIRECT("'"&amp;$D$47&amp;"'!C9")&gt;2020, 0),
    INDIRECT("'"&amp;$D$47&amp;"'!GO_2038"),
    0
)
+IF(
    IFERROR(INDIRECT("'"&amp;$D$48&amp;"'!C9")&gt;2020, 0),
    INDIRECT("'"&amp;$D$48&amp;"'!GO_2038"),
    0
)
+IF(
    IFERROR(INDIRECT("'"&amp;$D$49&amp;"'!C9")&gt;2020, 0),
    INDIRECT("'"&amp;$D$49&amp;"'!GO_2038"),
    0
)
+IF(
    IFERROR(INDIRECT("'"&amp;$D$50&amp;"'!C9")&gt;2020, 0),
    INDIRECT("'"&amp;$D$50&amp;"'!GO_2038"),
    0
)
+IF(
    IFERROR(INDIRECT("'"&amp;$D$51&amp;"'!C9")&gt;2020, 0),
    INDIRECT("'"&amp;$D$51&amp;"'!GO_2038"),
    0
)
+IF(
    IFERROR(INDIRECT("'"&amp;$D$52&amp;"'!C9")&gt;2020, 0),
    INDIRECT("'"&amp;$D$52&amp;"'!GO_2038"),
    0
)
+IF(
    IFERROR(INDIRECT("'"&amp;$D$53&amp;"'!C9")&gt;2020, 0),
    INDIRECT("'"&amp;$D$53&amp;"'!GO_2038"),
    0
)
+IF(
    IFERROR(INDIRECT("'"&amp;$D$54&amp;"'!C9")&gt;2020, 0),
    INDIRECT("'"&amp;$D$54&amp;"'!GO_2038"),
    0
)</f>
        <v>13218</v>
      </c>
      <c r="AC28" s="322">
        <f ca="1">Nieuwbouw!Z38+IF(
    IFERROR(INDIRECT("'"&amp;$D$5&amp;"'!C9")&gt;2020, 0),
    INDIRECT("'"&amp;$D$5&amp;"'!GO_2039"),
    0
)
+IF(
    IFERROR(INDIRECT("'"&amp;$D$6&amp;"'!C9")&gt;2020, 0),
    INDIRECT("'"&amp;$D$6&amp;"'!GO_2039"),
    0
)
+IF(
    IFERROR(INDIRECT("'"&amp;$D$7&amp;"'!C9")&gt;2020, 0),
    INDIRECT("'"&amp;$D$7&amp;"'!GO_2039"),
    0
)
+IF(
    IFERROR(INDIRECT("'"&amp;$D$8&amp;"'!C9")&gt;2020, 0),
    INDIRECT("'"&amp;$D$8&amp;"'!GO_2039"),
    0
)
+IF(
    IFERROR(INDIRECT("'"&amp;$D$9&amp;"'!C9")&gt;2020, 0),
    INDIRECT("'"&amp;$D$9&amp;"'!GO_2039"),
    0
)
+IF(
    IFERROR(INDIRECT("'"&amp;$D$10&amp;"'!C9")&gt;2020, 0),
    INDIRECT("'"&amp;$D$10&amp;"'!GO_2039"),
    0
)
+IF(
    IFERROR(INDIRECT("'"&amp;$D$11&amp;"'!C9")&gt;2020, 0),
    INDIRECT("'"&amp;$D$11&amp;"'!GO_2039"),
    0
)
+IF(
    IFERROR(INDIRECT("'"&amp;$D$12&amp;"'!C9")&gt;2020, 0),
    INDIRECT("'"&amp;$D$12&amp;"'!GO_2039"),
    0
)
+IF(
    IFERROR(INDIRECT("'"&amp;$D$13&amp;"'!C9")&gt;2020, 0),
    INDIRECT("'"&amp;$D$13&amp;"'!GO_2039"),
    0
)
+IF(
    IFERROR(INDIRECT("'"&amp;$D$14&amp;"'!C9")&gt;2020, 0),
    INDIRECT("'"&amp;$D$14&amp;"'!GO_2039"),
    0
)
+IF(
    IFERROR(INDIRECT("'"&amp;$D$15&amp;"'!C9")&gt;2020, 0),
    INDIRECT("'"&amp;$D$15&amp;"'!GO_2039"),
    0
)
+IF(
    IFERROR(INDIRECT("'"&amp;$D$16&amp;"'!C9")&gt;2020, 0),
    INDIRECT("'"&amp;$D$16&amp;"'!GO_2039"),
    0
)
+IF(
    IFERROR(INDIRECT("'"&amp;$D$17&amp;"'!C9")&gt;2020, 0),
    INDIRECT("'"&amp;$D$17&amp;"'!GO_2039"),
    0
)
+IF(
    IFERROR(INDIRECT("'"&amp;$D$18&amp;"'!C9")&gt;2020, 0),
    INDIRECT("'"&amp;$D$18&amp;"'!GO_2039"),
    0
)
+IF(
    IFERROR(INDIRECT("'"&amp;$D$19&amp;"'!C9")&gt;2020, 0),
    INDIRECT("'"&amp;$D$19&amp;"'!GO_2039"),
    0
)
+IF(
    IFERROR(INDIRECT("'"&amp;$D$20&amp;"'!C9")&gt;2020, 0),
    INDIRECT("'"&amp;$D$20&amp;"'!GO_2039"),
    0
)
+IF(
    IFERROR(INDIRECT("'"&amp;$D$21&amp;"'!C9")&gt;2020, 0),
    INDIRECT("'"&amp;$D$21&amp;"'!GO_2039"),
    0
)
+IF(
    IFERROR(INDIRECT("'"&amp;$D$22&amp;"'!C9")&gt;2020, 0),
    INDIRECT("'"&amp;$D$22&amp;"'!GO_2039"),
    0
)
+IF(
    IFERROR(INDIRECT("'"&amp;$D$23&amp;"'!C9")&gt;2020, 0),
    INDIRECT("'"&amp;$D$23&amp;"'!GO_2039"),
    0
)
+IF(
    IFERROR(INDIRECT("'"&amp;$D$24&amp;"'!C9")&gt;2020, 0),
    INDIRECT("'"&amp;$D$24&amp;"'!GO_2039"),
    0
)
+IF(
    IFERROR(INDIRECT("'"&amp;$D$25&amp;"'!C9")&gt;2020, 0),
    INDIRECT("'"&amp;$D$25&amp;"'!GO_2039"),
    0
)
+IF(
    IFERROR(INDIRECT("'"&amp;$D$26&amp;"'!C9")&gt;2020, 0),
    INDIRECT("'"&amp;$D$26&amp;"'!GO_2039"),
    0
)
+IF(
    IFERROR(INDIRECT("'"&amp;$D$27&amp;"'!C9")&gt;2020, 0),
    INDIRECT("'"&amp;$D$27&amp;"'!GO_2039"),
    0
)
+IF(
    IFERROR(INDIRECT("'"&amp;$D$28&amp;"'!C9")&gt;2020, 0),
    INDIRECT("'"&amp;$D$28&amp;"'!GO_2039"),
    0
)
+IF(
    IFERROR(INDIRECT("'"&amp;$D$29&amp;"'!C9")&gt;2020, 0),
    INDIRECT("'"&amp;$D$29&amp;"'!GO_2039"),
    0
)
+IF(
    IFERROR(INDIRECT("'"&amp;$D$30&amp;"'!C9")&gt;2020, 0),
    INDIRECT("'"&amp;$D$30&amp;"'!GO_2039"),
    0
)
+IF(
    IFERROR(INDIRECT("'"&amp;$D$31&amp;"'!C9")&gt;2020, 0),
    INDIRECT("'"&amp;$D$31&amp;"'!GO_2039"),
    0
)
+IF(
    IFERROR(INDIRECT("'"&amp;$D$32&amp;"'!C9")&gt;2020, 0),
    INDIRECT("'"&amp;$D$32&amp;"'!GO_2039"),
    0
)
+IF(
    IFERROR(INDIRECT("'"&amp;$D$33&amp;"'!C9")&gt;2020, 0),
    INDIRECT("'"&amp;$D$33&amp;"'!GO_2039"),
    0
)
+IF(
    IFERROR(INDIRECT("'"&amp;$D$34&amp;"'!C9")&gt;2020, 0),
    INDIRECT("'"&amp;$D$34&amp;"'!GO_2039"),
    0
)
+IF(
    IFERROR(INDIRECT("'"&amp;$D$35&amp;"'!C9")&gt;2020, 0),
    INDIRECT("'"&amp;$D$35&amp;"'!GO_2039"),
    0
)
+IF(
    IFERROR(INDIRECT("'"&amp;$D$36&amp;"'!C9")&gt;2020, 0),
    INDIRECT("'"&amp;$D$36&amp;"'!GO_2039"),
    0
)
+IF(
    IFERROR(INDIRECT("'"&amp;$D$37&amp;"'!C9")&gt;2020, 0),
    INDIRECT("'"&amp;$D$37&amp;"'!GO_2039"),
    0
)
+IF(
    IFERROR(INDIRECT("'"&amp;$D$38&amp;"'!C9")&gt;2020, 0),
    INDIRECT("'"&amp;$D$38&amp;"'!GO_2039"),
    0
)
+IF(
    IFERROR(INDIRECT("'"&amp;$D$39&amp;"'!C9")&gt;2020, 0),
    INDIRECT("'"&amp;$D$39&amp;"'!GO_2039"),
    0
)
+IF(
    IFERROR(INDIRECT("'"&amp;$D$40&amp;"'!C9")&gt;2020, 0),
    INDIRECT("'"&amp;$D$40&amp;"'!GO_2039"),
    0
)
+IF(
    IFERROR(INDIRECT("'"&amp;$D$41&amp;"'!C9")&gt;2020, 0),
    INDIRECT("'"&amp;$D$41&amp;"'!GO_2039"),
    0
)
+IF(
    IFERROR(INDIRECT("'"&amp;$D$42&amp;"'!C9")&gt;2020, 0),
    INDIRECT("'"&amp;$D$42&amp;"'!GO_2039"),
    0
)
+IF(
    IFERROR(INDIRECT("'"&amp;$D$43&amp;"'!C9")&gt;2020, 0),
    INDIRECT("'"&amp;$D$43&amp;"'!GO_2039"),
    0
)
+IF(
    IFERROR(INDIRECT("'"&amp;$D$44&amp;"'!C9")&gt;2020, 0),
    INDIRECT("'"&amp;$D$44&amp;"'!GO_2039"),
    0
)
+IF(
    IFERROR(INDIRECT("'"&amp;$D$45&amp;"'!C9")&gt;2020, 0),
    INDIRECT("'"&amp;$D$45&amp;"'!GO_2039"),
    0
)
+IF(
    IFERROR(INDIRECT("'"&amp;$D$46&amp;"'!C9")&gt;2020, 0),
    INDIRECT("'"&amp;$D$46&amp;"'!GO_2039"),
    0
)
+IF(
    IFERROR(INDIRECT("'"&amp;$D$47&amp;"'!C9")&gt;2020, 0),
    INDIRECT("'"&amp;$D$47&amp;"'!GO_2039"),
    0
)
+IF(
    IFERROR(INDIRECT("'"&amp;$D$48&amp;"'!C9")&gt;2020, 0),
    INDIRECT("'"&amp;$D$48&amp;"'!GO_2039"),
    0
)
+IF(
    IFERROR(INDIRECT("'"&amp;$D$49&amp;"'!C9")&gt;2020, 0),
    INDIRECT("'"&amp;$D$49&amp;"'!GO_2039"),
    0
)
+IF(
    IFERROR(INDIRECT("'"&amp;$D$50&amp;"'!C9")&gt;2020, 0),
    INDIRECT("'"&amp;$D$50&amp;"'!GO_2039"),
    0
)
+IF(
    IFERROR(INDIRECT("'"&amp;$D$51&amp;"'!C9")&gt;2020, 0),
    INDIRECT("'"&amp;$D$51&amp;"'!GO_2039"),
    0
)
+IF(
    IFERROR(INDIRECT("'"&amp;$D$52&amp;"'!C9")&gt;2020, 0),
    INDIRECT("'"&amp;$D$52&amp;"'!GO_2039"),
    0
)
+IF(
    IFERROR(INDIRECT("'"&amp;$D$53&amp;"'!C9")&gt;2020, 0),
    INDIRECT("'"&amp;$D$53&amp;"'!GO_2039"),
    0
)
+IF(
    IFERROR(INDIRECT("'"&amp;$D$54&amp;"'!C9")&gt;2020, 0),
    INDIRECT("'"&amp;$D$54&amp;"'!GO_2039"),
    0
)</f>
        <v>13218</v>
      </c>
      <c r="AD28" s="322">
        <f ca="1">Nieuwbouw!AA38+IF(
    IFERROR(INDIRECT("'"&amp;$D$5&amp;"'!C9")&gt;2020, 0),
    INDIRECT("'"&amp;$D$5&amp;"'!GO_2040"),
    0
)
+IF(
    IFERROR(INDIRECT("'"&amp;$D$6&amp;"'!C9")&gt;2020, 0),
    INDIRECT("'"&amp;$D$6&amp;"'!GO_2040"),
    0
)
+IF(
    IFERROR(INDIRECT("'"&amp;$D$7&amp;"'!C9")&gt;2020, 0),
    INDIRECT("'"&amp;$D$7&amp;"'!GO_2040"),
    0
)
+IF(
    IFERROR(INDIRECT("'"&amp;$D$8&amp;"'!C9")&gt;2020, 0),
    INDIRECT("'"&amp;$D$8&amp;"'!GO_2040"),
    0
)
+IF(
    IFERROR(INDIRECT("'"&amp;$D$9&amp;"'!C9")&gt;2020, 0),
    INDIRECT("'"&amp;$D$9&amp;"'!GO_2040"),
    0
)
+IF(
    IFERROR(INDIRECT("'"&amp;$D$10&amp;"'!C9")&gt;2020, 0),
    INDIRECT("'"&amp;$D$10&amp;"'!GO_2040"),
    0
)
+IF(
    IFERROR(INDIRECT("'"&amp;$D$11&amp;"'!C9")&gt;2020, 0),
    INDIRECT("'"&amp;$D$11&amp;"'!GO_2040"),
    0
)
+IF(
    IFERROR(INDIRECT("'"&amp;$D$12&amp;"'!C9")&gt;2020, 0),
    INDIRECT("'"&amp;$D$12&amp;"'!GO_2040"),
    0
)
+IF(
    IFERROR(INDIRECT("'"&amp;$D$13&amp;"'!C9")&gt;2020, 0),
    INDIRECT("'"&amp;$D$13&amp;"'!GO_2040"),
    0
)
+IF(
    IFERROR(INDIRECT("'"&amp;$D$14&amp;"'!C9")&gt;2020, 0),
    INDIRECT("'"&amp;$D$14&amp;"'!GO_2040"),
    0
)
+IF(
    IFERROR(INDIRECT("'"&amp;$D$15&amp;"'!C9")&gt;2020, 0),
    INDIRECT("'"&amp;$D$15&amp;"'!GO_2040"),
    0
)
+IF(
    IFERROR(INDIRECT("'"&amp;$D$16&amp;"'!C9")&gt;2020, 0),
    INDIRECT("'"&amp;$D$16&amp;"'!GO_2040"),
    0
)
+IF(
    IFERROR(INDIRECT("'"&amp;$D$17&amp;"'!C9")&gt;2020, 0),
    INDIRECT("'"&amp;$D$17&amp;"'!GO_2040"),
    0
)
+IF(
    IFERROR(INDIRECT("'"&amp;$D$18&amp;"'!C9")&gt;2020, 0),
    INDIRECT("'"&amp;$D$18&amp;"'!GO_2040"),
    0
)
+IF(
    IFERROR(INDIRECT("'"&amp;$D$19&amp;"'!C9")&gt;2020, 0),
    INDIRECT("'"&amp;$D$19&amp;"'!GO_2040"),
    0
)
+IF(
    IFERROR(INDIRECT("'"&amp;$D$20&amp;"'!C9")&gt;2020, 0),
    INDIRECT("'"&amp;$D$20&amp;"'!GO_2040"),
    0
)
+IF(
    IFERROR(INDIRECT("'"&amp;$D$21&amp;"'!C9")&gt;2020, 0),
    INDIRECT("'"&amp;$D$21&amp;"'!GO_2040"),
    0
)
+IF(
    IFERROR(INDIRECT("'"&amp;$D$22&amp;"'!C9")&gt;2020, 0),
    INDIRECT("'"&amp;$D$22&amp;"'!GO_2040"),
    0
)
+IF(
    IFERROR(INDIRECT("'"&amp;$D$23&amp;"'!C9")&gt;2020, 0),
    INDIRECT("'"&amp;$D$23&amp;"'!GO_2040"),
    0
)
+IF(
    IFERROR(INDIRECT("'"&amp;$D$24&amp;"'!C9")&gt;2020, 0),
    INDIRECT("'"&amp;$D$24&amp;"'!GO_2040"),
    0
)
+IF(
    IFERROR(INDIRECT("'"&amp;$D$25&amp;"'!C9")&gt;2020, 0),
    INDIRECT("'"&amp;$D$25&amp;"'!GO_2040"),
    0
)
+IF(
    IFERROR(INDIRECT("'"&amp;$D$26&amp;"'!C9")&gt;2020, 0),
    INDIRECT("'"&amp;$D$26&amp;"'!GO_2040"),
    0
)
+IF(
    IFERROR(INDIRECT("'"&amp;$D$27&amp;"'!C9")&gt;2020, 0),
    INDIRECT("'"&amp;$D$27&amp;"'!GO_2040"),
    0
)
+IF(
    IFERROR(INDIRECT("'"&amp;$D$28&amp;"'!C9")&gt;2020, 0),
    INDIRECT("'"&amp;$D$28&amp;"'!GO_2040"),
    0
)
+IF(
    IFERROR(INDIRECT("'"&amp;$D$29&amp;"'!C9")&gt;2020, 0),
    INDIRECT("'"&amp;$D$29&amp;"'!GO_2040"),
    0
)
+IF(
    IFERROR(INDIRECT("'"&amp;$D$30&amp;"'!C9")&gt;2020, 0),
    INDIRECT("'"&amp;$D$30&amp;"'!GO_2040"),
    0
)
+IF(
    IFERROR(INDIRECT("'"&amp;$D$31&amp;"'!C9")&gt;2020, 0),
    INDIRECT("'"&amp;$D$31&amp;"'!GO_2040"),
    0
)
+IF(
    IFERROR(INDIRECT("'"&amp;$D$32&amp;"'!C9")&gt;2020, 0),
    INDIRECT("'"&amp;$D$32&amp;"'!GO_2040"),
    0
)
+IF(
    IFERROR(INDIRECT("'"&amp;$D$33&amp;"'!C9")&gt;2020, 0),
    INDIRECT("'"&amp;$D$33&amp;"'!GO_2040"),
    0
)
+IF(
    IFERROR(INDIRECT("'"&amp;$D$34&amp;"'!C9")&gt;2020, 0),
    INDIRECT("'"&amp;$D$34&amp;"'!GO_2040"),
    0
)
+IF(
    IFERROR(INDIRECT("'"&amp;$D$35&amp;"'!C9")&gt;2020, 0),
    INDIRECT("'"&amp;$D$35&amp;"'!GO_2040"),
    0
)
+IF(
    IFERROR(INDIRECT("'"&amp;$D$36&amp;"'!C9")&gt;2020, 0),
    INDIRECT("'"&amp;$D$36&amp;"'!GO_2040"),
    0
)
+IF(
    IFERROR(INDIRECT("'"&amp;$D$37&amp;"'!C9")&gt;2020, 0),
    INDIRECT("'"&amp;$D$37&amp;"'!GO_2040"),
    0
)
+IF(
    IFERROR(INDIRECT("'"&amp;$D$38&amp;"'!C9")&gt;2020, 0),
    INDIRECT("'"&amp;$D$38&amp;"'!GO_2040"),
    0
)
+IF(
    IFERROR(INDIRECT("'"&amp;$D$39&amp;"'!C9")&gt;2020, 0),
    INDIRECT("'"&amp;$D$39&amp;"'!GO_2040"),
    0
)
+IF(
    IFERROR(INDIRECT("'"&amp;$D$40&amp;"'!C9")&gt;2020, 0),
    INDIRECT("'"&amp;$D$40&amp;"'!GO_2040"),
    0
)
+IF(
    IFERROR(INDIRECT("'"&amp;$D$41&amp;"'!C9")&gt;2020, 0),
    INDIRECT("'"&amp;$D$41&amp;"'!GO_2040"),
    0
)
+IF(
    IFERROR(INDIRECT("'"&amp;$D$42&amp;"'!C9")&gt;2020, 0),
    INDIRECT("'"&amp;$D$42&amp;"'!GO_2040"),
    0
)
+IF(
    IFERROR(INDIRECT("'"&amp;$D$43&amp;"'!C9")&gt;2020, 0),
    INDIRECT("'"&amp;$D$43&amp;"'!GO_2040"),
    0
)
+IF(
    IFERROR(INDIRECT("'"&amp;$D$44&amp;"'!C9")&gt;2020, 0),
    INDIRECT("'"&amp;$D$44&amp;"'!GO_2040"),
    0
)
+IF(
    IFERROR(INDIRECT("'"&amp;$D$45&amp;"'!C9")&gt;2020, 0),
    INDIRECT("'"&amp;$D$45&amp;"'!GO_2040"),
    0
)
+IF(
    IFERROR(INDIRECT("'"&amp;$D$46&amp;"'!C9")&gt;2020, 0),
    INDIRECT("'"&amp;$D$46&amp;"'!GO_2040"),
    0
)
+IF(
    IFERROR(INDIRECT("'"&amp;$D$47&amp;"'!C9")&gt;2020, 0),
    INDIRECT("'"&amp;$D$47&amp;"'!GO_2040"),
    0
)
+IF(
    IFERROR(INDIRECT("'"&amp;$D$48&amp;"'!C9")&gt;2020, 0),
    INDIRECT("'"&amp;$D$48&amp;"'!GO_2040"),
    0
)
+IF(
    IFERROR(INDIRECT("'"&amp;$D$49&amp;"'!C9")&gt;2020, 0),
    INDIRECT("'"&amp;$D$49&amp;"'!GO_2040"),
    0
)
+IF(
    IFERROR(INDIRECT("'"&amp;$D$50&amp;"'!C9")&gt;2020, 0),
    INDIRECT("'"&amp;$D$50&amp;"'!GO_2040"),
    0
)
+IF(
    IFERROR(INDIRECT("'"&amp;$D$51&amp;"'!C9")&gt;2020, 0),
    INDIRECT("'"&amp;$D$51&amp;"'!GO_2040"),
    0
)
+IF(
    IFERROR(INDIRECT("'"&amp;$D$52&amp;"'!C9")&gt;2020, 0),
    INDIRECT("'"&amp;$D$52&amp;"'!GO_2040"),
    0
)
+IF(
    IFERROR(INDIRECT("'"&amp;$D$53&amp;"'!C9")&gt;2020, 0),
    INDIRECT("'"&amp;$D$53&amp;"'!GO_2040"),
    0
)
+IF(
    IFERROR(INDIRECT("'"&amp;$D$54&amp;"'!C9")&gt;2020, 0),
    INDIRECT("'"&amp;$D$54&amp;"'!GO_2040"),
    0
)</f>
        <v>15389</v>
      </c>
      <c r="AE28" s="322">
        <f ca="1">Nieuwbouw!AB38+IF(
    IFERROR(INDIRECT("'"&amp;$D$5&amp;"'!C9")&gt;2020, 0),
    INDIRECT("'"&amp;$D$5&amp;"'!GO_2041"),
    0
)
+IF(
    IFERROR(INDIRECT("'"&amp;$D$6&amp;"'!C9")&gt;2020, 0),
    INDIRECT("'"&amp;$D$6&amp;"'!GO_2041"),
    0
)
+IF(
    IFERROR(INDIRECT("'"&amp;$D$7&amp;"'!C9")&gt;2020, 0),
    INDIRECT("'"&amp;$D$7&amp;"'!GO_2041"),
    0
)
+IF(
    IFERROR(INDIRECT("'"&amp;$D$8&amp;"'!C9")&gt;2020, 0),
    INDIRECT("'"&amp;$D$8&amp;"'!GO_2041"),
    0
)
+IF(
    IFERROR(INDIRECT("'"&amp;$D$9&amp;"'!C9")&gt;2020, 0),
    INDIRECT("'"&amp;$D$9&amp;"'!GO_2041"),
    0
)
+IF(
    IFERROR(INDIRECT("'"&amp;$D$10&amp;"'!C9")&gt;2020, 0),
    INDIRECT("'"&amp;$D$10&amp;"'!GO_2041"),
    0
)
+IF(
    IFERROR(INDIRECT("'"&amp;$D$11&amp;"'!C9")&gt;2020, 0),
    INDIRECT("'"&amp;$D$11&amp;"'!GO_2041"),
    0
)
+IF(
    IFERROR(INDIRECT("'"&amp;$D$12&amp;"'!C9")&gt;2020, 0),
    INDIRECT("'"&amp;$D$12&amp;"'!GO_2041"),
    0
)
+IF(
    IFERROR(INDIRECT("'"&amp;$D$13&amp;"'!C9")&gt;2020, 0),
    INDIRECT("'"&amp;$D$13&amp;"'!GO_2041"),
    0
)
+IF(
    IFERROR(INDIRECT("'"&amp;$D$14&amp;"'!C9")&gt;2020, 0),
    INDIRECT("'"&amp;$D$14&amp;"'!GO_2041"),
    0
)
+IF(
    IFERROR(INDIRECT("'"&amp;$D$15&amp;"'!C9")&gt;2020, 0),
    INDIRECT("'"&amp;$D$15&amp;"'!GO_2041"),
    0
)
+IF(
    IFERROR(INDIRECT("'"&amp;$D$16&amp;"'!C9")&gt;2020, 0),
    INDIRECT("'"&amp;$D$16&amp;"'!GO_2041"),
    0
)
+IF(
    IFERROR(INDIRECT("'"&amp;$D$17&amp;"'!C9")&gt;2020, 0),
    INDIRECT("'"&amp;$D$17&amp;"'!GO_2041"),
    0
)
+IF(
    IFERROR(INDIRECT("'"&amp;$D$18&amp;"'!C9")&gt;2020, 0),
    INDIRECT("'"&amp;$D$18&amp;"'!GO_2041"),
    0
)
+IF(
    IFERROR(INDIRECT("'"&amp;$D$19&amp;"'!C9")&gt;2020, 0),
    INDIRECT("'"&amp;$D$19&amp;"'!GO_2041"),
    0
)
+IF(
    IFERROR(INDIRECT("'"&amp;$D$20&amp;"'!C9")&gt;2020, 0),
    INDIRECT("'"&amp;$D$20&amp;"'!GO_2041"),
    0
)
+IF(
    IFERROR(INDIRECT("'"&amp;$D$21&amp;"'!C9")&gt;2020, 0),
    INDIRECT("'"&amp;$D$21&amp;"'!GO_2041"),
    0
)
+IF(
    IFERROR(INDIRECT("'"&amp;$D$22&amp;"'!C9")&gt;2020, 0),
    INDIRECT("'"&amp;$D$22&amp;"'!GO_2041"),
    0
)
+IF(
    IFERROR(INDIRECT("'"&amp;$D$23&amp;"'!C9")&gt;2020, 0),
    INDIRECT("'"&amp;$D$23&amp;"'!GO_2041"),
    0
)
+IF(
    IFERROR(INDIRECT("'"&amp;$D$24&amp;"'!C9")&gt;2020, 0),
    INDIRECT("'"&amp;$D$24&amp;"'!GO_2041"),
    0
)
+IF(
    IFERROR(INDIRECT("'"&amp;$D$25&amp;"'!C9")&gt;2020, 0),
    INDIRECT("'"&amp;$D$25&amp;"'!GO_2041"),
    0
)
+IF(
    IFERROR(INDIRECT("'"&amp;$D$26&amp;"'!C9")&gt;2020, 0),
    INDIRECT("'"&amp;$D$26&amp;"'!GO_2041"),
    0
)
+IF(
    IFERROR(INDIRECT("'"&amp;$D$27&amp;"'!C9")&gt;2020, 0),
    INDIRECT("'"&amp;$D$27&amp;"'!GO_2041"),
    0
)
+IF(
    IFERROR(INDIRECT("'"&amp;$D$28&amp;"'!C9")&gt;2020, 0),
    INDIRECT("'"&amp;$D$28&amp;"'!GO_2041"),
    0
)
+IF(
    IFERROR(INDIRECT("'"&amp;$D$29&amp;"'!C9")&gt;2020, 0),
    INDIRECT("'"&amp;$D$29&amp;"'!GO_2041"),
    0
)
+IF(
    IFERROR(INDIRECT("'"&amp;$D$30&amp;"'!C9")&gt;2020, 0),
    INDIRECT("'"&amp;$D$30&amp;"'!GO_2041"),
    0
)
+IF(
    IFERROR(INDIRECT("'"&amp;$D$31&amp;"'!C9")&gt;2020, 0),
    INDIRECT("'"&amp;$D$31&amp;"'!GO_2041"),
    0
)
+IF(
    IFERROR(INDIRECT("'"&amp;$D$32&amp;"'!C9")&gt;2020, 0),
    INDIRECT("'"&amp;$D$32&amp;"'!GO_2041"),
    0
)
+IF(
    IFERROR(INDIRECT("'"&amp;$D$33&amp;"'!C9")&gt;2020, 0),
    INDIRECT("'"&amp;$D$33&amp;"'!GO_2041"),
    0
)
+IF(
    IFERROR(INDIRECT("'"&amp;$D$34&amp;"'!C9")&gt;2020, 0),
    INDIRECT("'"&amp;$D$34&amp;"'!GO_2041"),
    0
)
+IF(
    IFERROR(INDIRECT("'"&amp;$D$35&amp;"'!C9")&gt;2020, 0),
    INDIRECT("'"&amp;$D$35&amp;"'!GO_2041"),
    0
)
+IF(
    IFERROR(INDIRECT("'"&amp;$D$36&amp;"'!C9")&gt;2020, 0),
    INDIRECT("'"&amp;$D$36&amp;"'!GO_2041"),
    0
)
+IF(
    IFERROR(INDIRECT("'"&amp;$D$37&amp;"'!C9")&gt;2020, 0),
    INDIRECT("'"&amp;$D$37&amp;"'!GO_2041"),
    0
)
+IF(
    IFERROR(INDIRECT("'"&amp;$D$38&amp;"'!C9")&gt;2020, 0),
    INDIRECT("'"&amp;$D$38&amp;"'!GO_2041"),
    0
)
+IF(
    IFERROR(INDIRECT("'"&amp;$D$39&amp;"'!C9")&gt;2020, 0),
    INDIRECT("'"&amp;$D$39&amp;"'!GO_2041"),
    0
)
+IF(
    IFERROR(INDIRECT("'"&amp;$D$40&amp;"'!C9")&gt;2020, 0),
    INDIRECT("'"&amp;$D$40&amp;"'!GO_2041"),
    0
)
+IF(
    IFERROR(INDIRECT("'"&amp;$D$41&amp;"'!C9")&gt;2020, 0),
    INDIRECT("'"&amp;$D$41&amp;"'!GO_2041"),
    0
)
+IF(
    IFERROR(INDIRECT("'"&amp;$D$42&amp;"'!C9")&gt;2020, 0),
    INDIRECT("'"&amp;$D$42&amp;"'!GO_2041"),
    0
)
+IF(
    IFERROR(INDIRECT("'"&amp;$D$43&amp;"'!C9")&gt;2020, 0),
    INDIRECT("'"&amp;$D$43&amp;"'!GO_2041"),
    0
)
+IF(
    IFERROR(INDIRECT("'"&amp;$D$44&amp;"'!C9")&gt;2020, 0),
    INDIRECT("'"&amp;$D$44&amp;"'!GO_2041"),
    0
)
+IF(
    IFERROR(INDIRECT("'"&amp;$D$45&amp;"'!C9")&gt;2020, 0),
    INDIRECT("'"&amp;$D$45&amp;"'!GO_2041"),
    0
)
+IF(
    IFERROR(INDIRECT("'"&amp;$D$46&amp;"'!C9")&gt;2020, 0),
    INDIRECT("'"&amp;$D$46&amp;"'!GO_2041"),
    0
)
+IF(
    IFERROR(INDIRECT("'"&amp;$D$47&amp;"'!C9")&gt;2020, 0),
    INDIRECT("'"&amp;$D$47&amp;"'!GO_2041"),
    0
)
+IF(
    IFERROR(INDIRECT("'"&amp;$D$48&amp;"'!C9")&gt;2020, 0),
    INDIRECT("'"&amp;$D$48&amp;"'!GO_2041"),
    0
)
+IF(
    IFERROR(INDIRECT("'"&amp;$D$49&amp;"'!C9")&gt;2020, 0),
    INDIRECT("'"&amp;$D$49&amp;"'!GO_2041"),
    0
)
+IF(
    IFERROR(INDIRECT("'"&amp;$D$50&amp;"'!C9")&gt;2020, 0),
    INDIRECT("'"&amp;$D$50&amp;"'!GO_2041"),
    0
)
+IF(
    IFERROR(INDIRECT("'"&amp;$D$51&amp;"'!C9")&gt;2020, 0),
    INDIRECT("'"&amp;$D$51&amp;"'!GO_2041"),
    0
)
+IF(
    IFERROR(INDIRECT("'"&amp;$D$52&amp;"'!C9")&gt;2020, 0),
    INDIRECT("'"&amp;$D$52&amp;"'!GO_2041"),
    0
)
+IF(
    IFERROR(INDIRECT("'"&amp;$D$53&amp;"'!C9")&gt;2020, 0),
    INDIRECT("'"&amp;$D$53&amp;"'!GO_2041"),
    0
)
+IF(
    IFERROR(INDIRECT("'"&amp;$D$54&amp;"'!C9")&gt;2020, 0),
    INDIRECT("'"&amp;$D$54&amp;"'!GO_2041"),
    0
)</f>
        <v>15389</v>
      </c>
      <c r="AF28" s="322">
        <f ca="1">Nieuwbouw!AC38+IF(
    IFERROR(INDIRECT("'"&amp;$D$5&amp;"'!C9")&gt;2020, 0),
    INDIRECT("'"&amp;$D$5&amp;"'!GO_2042"),
    0
)
+IF(
    IFERROR(INDIRECT("'"&amp;$D$6&amp;"'!C9")&gt;2020, 0),
    INDIRECT("'"&amp;$D$6&amp;"'!GO_2042"),
    0
)
+IF(
    IFERROR(INDIRECT("'"&amp;$D$7&amp;"'!C9")&gt;2020, 0),
    INDIRECT("'"&amp;$D$7&amp;"'!GO_2042"),
    0
)
+IF(
    IFERROR(INDIRECT("'"&amp;$D$8&amp;"'!C9")&gt;2020, 0),
    INDIRECT("'"&amp;$D$8&amp;"'!GO_2042"),
    0
)
+IF(
    IFERROR(INDIRECT("'"&amp;$D$9&amp;"'!C9")&gt;2020, 0),
    INDIRECT("'"&amp;$D$9&amp;"'!GO_2042"),
    0
)
+IF(
    IFERROR(INDIRECT("'"&amp;$D$10&amp;"'!C9")&gt;2020, 0),
    INDIRECT("'"&amp;$D$10&amp;"'!GO_2042"),
    0
)
+IF(
    IFERROR(INDIRECT("'"&amp;$D$11&amp;"'!C9")&gt;2020, 0),
    INDIRECT("'"&amp;$D$11&amp;"'!GO_2042"),
    0
)
+IF(
    IFERROR(INDIRECT("'"&amp;$D$12&amp;"'!C9")&gt;2020, 0),
    INDIRECT("'"&amp;$D$12&amp;"'!GO_2042"),
    0
)
+IF(
    IFERROR(INDIRECT("'"&amp;$D$13&amp;"'!C9")&gt;2020, 0),
    INDIRECT("'"&amp;$D$13&amp;"'!GO_2042"),
    0
)
+IF(
    IFERROR(INDIRECT("'"&amp;$D$14&amp;"'!C9")&gt;2020, 0),
    INDIRECT("'"&amp;$D$14&amp;"'!GO_2042"),
    0
)
+IF(
    IFERROR(INDIRECT("'"&amp;$D$15&amp;"'!C9")&gt;2020, 0),
    INDIRECT("'"&amp;$D$15&amp;"'!GO_2042"),
    0
)
+IF(
    IFERROR(INDIRECT("'"&amp;$D$16&amp;"'!C9")&gt;2020, 0),
    INDIRECT("'"&amp;$D$16&amp;"'!GO_2042"),
    0
)
+IF(
    IFERROR(INDIRECT("'"&amp;$D$17&amp;"'!C9")&gt;2020, 0),
    INDIRECT("'"&amp;$D$17&amp;"'!GO_2042"),
    0
)
+IF(
    IFERROR(INDIRECT("'"&amp;$D$18&amp;"'!C9")&gt;2020, 0),
    INDIRECT("'"&amp;$D$18&amp;"'!GO_2042"),
    0
)
+IF(
    IFERROR(INDIRECT("'"&amp;$D$19&amp;"'!C9")&gt;2020, 0),
    INDIRECT("'"&amp;$D$19&amp;"'!GO_2042"),
    0
)
+IF(
    IFERROR(INDIRECT("'"&amp;$D$20&amp;"'!C9")&gt;2020, 0),
    INDIRECT("'"&amp;$D$20&amp;"'!GO_2042"),
    0
)
+IF(
    IFERROR(INDIRECT("'"&amp;$D$21&amp;"'!C9")&gt;2020, 0),
    INDIRECT("'"&amp;$D$21&amp;"'!GO_2042"),
    0
)
+IF(
    IFERROR(INDIRECT("'"&amp;$D$22&amp;"'!C9")&gt;2020, 0),
    INDIRECT("'"&amp;$D$22&amp;"'!GO_2042"),
    0
)
+IF(
    IFERROR(INDIRECT("'"&amp;$D$23&amp;"'!C9")&gt;2020, 0),
    INDIRECT("'"&amp;$D$23&amp;"'!GO_2042"),
    0
)
+IF(
    IFERROR(INDIRECT("'"&amp;$D$24&amp;"'!C9")&gt;2020, 0),
    INDIRECT("'"&amp;$D$24&amp;"'!GO_2042"),
    0
)
+IF(
    IFERROR(INDIRECT("'"&amp;$D$25&amp;"'!C9")&gt;2020, 0),
    INDIRECT("'"&amp;$D$25&amp;"'!GO_2042"),
    0
)
+IF(
    IFERROR(INDIRECT("'"&amp;$D$26&amp;"'!C9")&gt;2020, 0),
    INDIRECT("'"&amp;$D$26&amp;"'!GO_2042"),
    0
)
+IF(
    IFERROR(INDIRECT("'"&amp;$D$27&amp;"'!C9")&gt;2020, 0),
    INDIRECT("'"&amp;$D$27&amp;"'!GO_2042"),
    0
)
+IF(
    IFERROR(INDIRECT("'"&amp;$D$28&amp;"'!C9")&gt;2020, 0),
    INDIRECT("'"&amp;$D$28&amp;"'!GO_2042"),
    0
)
+IF(
    IFERROR(INDIRECT("'"&amp;$D$29&amp;"'!C9")&gt;2020, 0),
    INDIRECT("'"&amp;$D$29&amp;"'!GO_2042"),
    0
)
+IF(
    IFERROR(INDIRECT("'"&amp;$D$30&amp;"'!C9")&gt;2020, 0),
    INDIRECT("'"&amp;$D$30&amp;"'!GO_2042"),
    0
)
+IF(
    IFERROR(INDIRECT("'"&amp;$D$31&amp;"'!C9")&gt;2020, 0),
    INDIRECT("'"&amp;$D$31&amp;"'!GO_2042"),
    0
)
+IF(
    IFERROR(INDIRECT("'"&amp;$D$32&amp;"'!C9")&gt;2020, 0),
    INDIRECT("'"&amp;$D$32&amp;"'!GO_2042"),
    0
)
+IF(
    IFERROR(INDIRECT("'"&amp;$D$33&amp;"'!C9")&gt;2020, 0),
    INDIRECT("'"&amp;$D$33&amp;"'!GO_2042"),
    0
)
+IF(
    IFERROR(INDIRECT("'"&amp;$D$34&amp;"'!C9")&gt;2020, 0),
    INDIRECT("'"&amp;$D$34&amp;"'!GO_2042"),
    0
)
+IF(
    IFERROR(INDIRECT("'"&amp;$D$35&amp;"'!C9")&gt;2020, 0),
    INDIRECT("'"&amp;$D$35&amp;"'!GO_2042"),
    0
)
+IF(
    IFERROR(INDIRECT("'"&amp;$D$36&amp;"'!C9")&gt;2020, 0),
    INDIRECT("'"&amp;$D$36&amp;"'!GO_2042"),
    0
)
+IF(
    IFERROR(INDIRECT("'"&amp;$D$37&amp;"'!C9")&gt;2020, 0),
    INDIRECT("'"&amp;$D$37&amp;"'!GO_2042"),
    0
)
+IF(
    IFERROR(INDIRECT("'"&amp;$D$38&amp;"'!C9")&gt;2020, 0),
    INDIRECT("'"&amp;$D$38&amp;"'!GO_2042"),
    0
)
+IF(
    IFERROR(INDIRECT("'"&amp;$D$39&amp;"'!C9")&gt;2020, 0),
    INDIRECT("'"&amp;$D$39&amp;"'!GO_2042"),
    0
)
+IF(
    IFERROR(INDIRECT("'"&amp;$D$40&amp;"'!C9")&gt;2020, 0),
    INDIRECT("'"&amp;$D$40&amp;"'!GO_2042"),
    0
)
+IF(
    IFERROR(INDIRECT("'"&amp;$D$41&amp;"'!C9")&gt;2020, 0),
    INDIRECT("'"&amp;$D$41&amp;"'!GO_2042"),
    0
)
+IF(
    IFERROR(INDIRECT("'"&amp;$D$42&amp;"'!C9")&gt;2020, 0),
    INDIRECT("'"&amp;$D$42&amp;"'!GO_2042"),
    0
)
+IF(
    IFERROR(INDIRECT("'"&amp;$D$43&amp;"'!C9")&gt;2020, 0),
    INDIRECT("'"&amp;$D$43&amp;"'!GO_2042"),
    0
)
+IF(
    IFERROR(INDIRECT("'"&amp;$D$44&amp;"'!C9")&gt;2020, 0),
    INDIRECT("'"&amp;$D$44&amp;"'!GO_2042"),
    0
)
+IF(
    IFERROR(INDIRECT("'"&amp;$D$45&amp;"'!C9")&gt;2020, 0),
    INDIRECT("'"&amp;$D$45&amp;"'!GO_2042"),
    0
)
+IF(
    IFERROR(INDIRECT("'"&amp;$D$46&amp;"'!C9")&gt;2020, 0),
    INDIRECT("'"&amp;$D$46&amp;"'!GO_2042"),
    0
)
+IF(
    IFERROR(INDIRECT("'"&amp;$D$47&amp;"'!C9")&gt;2020, 0),
    INDIRECT("'"&amp;$D$47&amp;"'!GO_2042"),
    0
)
+IF(
    IFERROR(INDIRECT("'"&amp;$D$48&amp;"'!C9")&gt;2020, 0),
    INDIRECT("'"&amp;$D$48&amp;"'!GO_2042"),
    0
)
+IF(
    IFERROR(INDIRECT("'"&amp;$D$49&amp;"'!C9")&gt;2020, 0),
    INDIRECT("'"&amp;$D$49&amp;"'!GO_2042"),
    0
)
+IF(
    IFERROR(INDIRECT("'"&amp;$D$50&amp;"'!C9")&gt;2020, 0),
    INDIRECT("'"&amp;$D$50&amp;"'!GO_2042"),
    0
)
+IF(
    IFERROR(INDIRECT("'"&amp;$D$51&amp;"'!C9")&gt;2020, 0),
    INDIRECT("'"&amp;$D$51&amp;"'!GO_2042"),
    0
)
+IF(
    IFERROR(INDIRECT("'"&amp;$D$52&amp;"'!C9")&gt;2020, 0),
    INDIRECT("'"&amp;$D$52&amp;"'!GO_2042"),
    0
)
+IF(
    IFERROR(INDIRECT("'"&amp;$D$53&amp;"'!C9")&gt;2020, 0),
    INDIRECT("'"&amp;$D$53&amp;"'!GO_2042"),
    0
)
+IF(
    IFERROR(INDIRECT("'"&amp;$D$54&amp;"'!C9")&gt;2020, 0),
    INDIRECT("'"&amp;$D$54&amp;"'!GO_2042"),
    0
)</f>
        <v>15389</v>
      </c>
      <c r="AG28" s="322">
        <f ca="1">Nieuwbouw!AD38+IF(
    IFERROR(INDIRECT("'"&amp;$D$5&amp;"'!C9")&gt;2020, 0),
    INDIRECT("'"&amp;$D$5&amp;"'!GO_2043"),
    0
)
+IF(
    IFERROR(INDIRECT("'"&amp;$D$6&amp;"'!C9")&gt;2020, 0),
    INDIRECT("'"&amp;$D$6&amp;"'!GO_2043"),
    0
)
+IF(
    IFERROR(INDIRECT("'"&amp;$D$7&amp;"'!C9")&gt;2020, 0),
    INDIRECT("'"&amp;$D$7&amp;"'!GO_2043"),
    0
)
+IF(
    IFERROR(INDIRECT("'"&amp;$D$8&amp;"'!C9")&gt;2020, 0),
    INDIRECT("'"&amp;$D$8&amp;"'!GO_2043"),
    0
)
+IF(
    IFERROR(INDIRECT("'"&amp;$D$9&amp;"'!C9")&gt;2020, 0),
    INDIRECT("'"&amp;$D$9&amp;"'!GO_2043"),
    0
)
+IF(
    IFERROR(INDIRECT("'"&amp;$D$10&amp;"'!C9")&gt;2020, 0),
    INDIRECT("'"&amp;$D$10&amp;"'!GO_2043"),
    0
)
+IF(
    IFERROR(INDIRECT("'"&amp;$D$11&amp;"'!C9")&gt;2020, 0),
    INDIRECT("'"&amp;$D$11&amp;"'!GO_2043"),
    0
)
+IF(
    IFERROR(INDIRECT("'"&amp;$D$12&amp;"'!C9")&gt;2020, 0),
    INDIRECT("'"&amp;$D$12&amp;"'!GO_2043"),
    0
)
+IF(
    IFERROR(INDIRECT("'"&amp;$D$13&amp;"'!C9")&gt;2020, 0),
    INDIRECT("'"&amp;$D$13&amp;"'!GO_2043"),
    0
)
+IF(
    IFERROR(INDIRECT("'"&amp;$D$14&amp;"'!C9")&gt;2020, 0),
    INDIRECT("'"&amp;$D$14&amp;"'!GO_2043"),
    0
)
+IF(
    IFERROR(INDIRECT("'"&amp;$D$15&amp;"'!C9")&gt;2020, 0),
    INDIRECT("'"&amp;$D$15&amp;"'!GO_2043"),
    0
)
+IF(
    IFERROR(INDIRECT("'"&amp;$D$16&amp;"'!C9")&gt;2020, 0),
    INDIRECT("'"&amp;$D$16&amp;"'!GO_2043"),
    0
)
+IF(
    IFERROR(INDIRECT("'"&amp;$D$17&amp;"'!C9")&gt;2020, 0),
    INDIRECT("'"&amp;$D$17&amp;"'!GO_2043"),
    0
)
+IF(
    IFERROR(INDIRECT("'"&amp;$D$18&amp;"'!C9")&gt;2020, 0),
    INDIRECT("'"&amp;$D$18&amp;"'!GO_2043"),
    0
)
+IF(
    IFERROR(INDIRECT("'"&amp;$D$19&amp;"'!C9")&gt;2020, 0),
    INDIRECT("'"&amp;$D$19&amp;"'!GO_2043"),
    0
)
+IF(
    IFERROR(INDIRECT("'"&amp;$D$20&amp;"'!C9")&gt;2020, 0),
    INDIRECT("'"&amp;$D$20&amp;"'!GO_2043"),
    0
)
+IF(
    IFERROR(INDIRECT("'"&amp;$D$21&amp;"'!C9")&gt;2020, 0),
    INDIRECT("'"&amp;$D$21&amp;"'!GO_2043"),
    0
)
+IF(
    IFERROR(INDIRECT("'"&amp;$D$22&amp;"'!C9")&gt;2020, 0),
    INDIRECT("'"&amp;$D$22&amp;"'!GO_2043"),
    0
)
+IF(
    IFERROR(INDIRECT("'"&amp;$D$23&amp;"'!C9")&gt;2020, 0),
    INDIRECT("'"&amp;$D$23&amp;"'!GO_2043"),
    0
)
+IF(
    IFERROR(INDIRECT("'"&amp;$D$24&amp;"'!C9")&gt;2020, 0),
    INDIRECT("'"&amp;$D$24&amp;"'!GO_2043"),
    0
)
+IF(
    IFERROR(INDIRECT("'"&amp;$D$25&amp;"'!C9")&gt;2020, 0),
    INDIRECT("'"&amp;$D$25&amp;"'!GO_2043"),
    0
)
+IF(
    IFERROR(INDIRECT("'"&amp;$D$26&amp;"'!C9")&gt;2020, 0),
    INDIRECT("'"&amp;$D$26&amp;"'!GO_2043"),
    0
)
+IF(
    IFERROR(INDIRECT("'"&amp;$D$27&amp;"'!C9")&gt;2020, 0),
    INDIRECT("'"&amp;$D$27&amp;"'!GO_2043"),
    0
)
+IF(
    IFERROR(INDIRECT("'"&amp;$D$28&amp;"'!C9")&gt;2020, 0),
    INDIRECT("'"&amp;$D$28&amp;"'!GO_2043"),
    0
)
+IF(
    IFERROR(INDIRECT("'"&amp;$D$29&amp;"'!C9")&gt;2020, 0),
    INDIRECT("'"&amp;$D$29&amp;"'!GO_2043"),
    0
)
+IF(
    IFERROR(INDIRECT("'"&amp;$D$30&amp;"'!C9")&gt;2020, 0),
    INDIRECT("'"&amp;$D$30&amp;"'!GO_2043"),
    0
)
+IF(
    IFERROR(INDIRECT("'"&amp;$D$31&amp;"'!C9")&gt;2020, 0),
    INDIRECT("'"&amp;$D$31&amp;"'!GO_2043"),
    0
)
+IF(
    IFERROR(INDIRECT("'"&amp;$D$32&amp;"'!C9")&gt;2020, 0),
    INDIRECT("'"&amp;$D$32&amp;"'!GO_2043"),
    0
)
+IF(
    IFERROR(INDIRECT("'"&amp;$D$33&amp;"'!C9")&gt;2020, 0),
    INDIRECT("'"&amp;$D$33&amp;"'!GO_2043"),
    0
)
+IF(
    IFERROR(INDIRECT("'"&amp;$D$34&amp;"'!C9")&gt;2020, 0),
    INDIRECT("'"&amp;$D$34&amp;"'!GO_2043"),
    0
)
+IF(
    IFERROR(INDIRECT("'"&amp;$D$35&amp;"'!C9")&gt;2020, 0),
    INDIRECT("'"&amp;$D$35&amp;"'!GO_2043"),
    0
)
+IF(
    IFERROR(INDIRECT("'"&amp;$D$36&amp;"'!C9")&gt;2020, 0),
    INDIRECT("'"&amp;$D$36&amp;"'!GO_2043"),
    0
)
+IF(
    IFERROR(INDIRECT("'"&amp;$D$37&amp;"'!C9")&gt;2020, 0),
    INDIRECT("'"&amp;$D$37&amp;"'!GO_2043"),
    0
)
+IF(
    IFERROR(INDIRECT("'"&amp;$D$38&amp;"'!C9")&gt;2020, 0),
    INDIRECT("'"&amp;$D$38&amp;"'!GO_2043"),
    0
)
+IF(
    IFERROR(INDIRECT("'"&amp;$D$39&amp;"'!C9")&gt;2020, 0),
    INDIRECT("'"&amp;$D$39&amp;"'!GO_2043"),
    0
)
+IF(
    IFERROR(INDIRECT("'"&amp;$D$40&amp;"'!C9")&gt;2020, 0),
    INDIRECT("'"&amp;$D$40&amp;"'!GO_2043"),
    0
)
+IF(
    IFERROR(INDIRECT("'"&amp;$D$41&amp;"'!C9")&gt;2020, 0),
    INDIRECT("'"&amp;$D$41&amp;"'!GO_2043"),
    0
)
+IF(
    IFERROR(INDIRECT("'"&amp;$D$42&amp;"'!C9")&gt;2020, 0),
    INDIRECT("'"&amp;$D$42&amp;"'!GO_2043"),
    0
)
+IF(
    IFERROR(INDIRECT("'"&amp;$D$43&amp;"'!C9")&gt;2020, 0),
    INDIRECT("'"&amp;$D$43&amp;"'!GO_2043"),
    0
)
+IF(
    IFERROR(INDIRECT("'"&amp;$D$44&amp;"'!C9")&gt;2020, 0),
    INDIRECT("'"&amp;$D$44&amp;"'!GO_2043"),
    0
)
+IF(
    IFERROR(INDIRECT("'"&amp;$D$45&amp;"'!C9")&gt;2020, 0),
    INDIRECT("'"&amp;$D$45&amp;"'!GO_2043"),
    0
)
+IF(
    IFERROR(INDIRECT("'"&amp;$D$46&amp;"'!C9")&gt;2020, 0),
    INDIRECT("'"&amp;$D$46&amp;"'!GO_2043"),
    0
)
+IF(
    IFERROR(INDIRECT("'"&amp;$D$47&amp;"'!C9")&gt;2020, 0),
    INDIRECT("'"&amp;$D$47&amp;"'!GO_2043"),
    0
)
+IF(
    IFERROR(INDIRECT("'"&amp;$D$48&amp;"'!C9")&gt;2020, 0),
    INDIRECT("'"&amp;$D$48&amp;"'!GO_2043"),
    0
)
+IF(
    IFERROR(INDIRECT("'"&amp;$D$49&amp;"'!C9")&gt;2020, 0),
    INDIRECT("'"&amp;$D$49&amp;"'!GO_2043"),
    0
)
+IF(
    IFERROR(INDIRECT("'"&amp;$D$50&amp;"'!C9")&gt;2020, 0),
    INDIRECT("'"&amp;$D$50&amp;"'!GO_2043"),
    0
)
+IF(
    IFERROR(INDIRECT("'"&amp;$D$51&amp;"'!C9")&gt;2020, 0),
    INDIRECT("'"&amp;$D$51&amp;"'!GO_2043"),
    0
)
+IF(
    IFERROR(INDIRECT("'"&amp;$D$52&amp;"'!C9")&gt;2020, 0),
    INDIRECT("'"&amp;$D$52&amp;"'!GO_2043"),
    0
)
+IF(
    IFERROR(INDIRECT("'"&amp;$D$53&amp;"'!C9")&gt;2020, 0),
    INDIRECT("'"&amp;$D$53&amp;"'!GO_2043"),
    0
)
+IF(
    IFERROR(INDIRECT("'"&amp;$D$54&amp;"'!C9")&gt;2020, 0),
    INDIRECT("'"&amp;$D$54&amp;"'!GO_2043"),
    0
)</f>
        <v>15389</v>
      </c>
      <c r="AH28" s="322">
        <f ca="1">Nieuwbouw!AE38+IF(
    IFERROR(INDIRECT("'"&amp;$D$5&amp;"'!C9")&gt;2020, 0),
    INDIRECT("'"&amp;$D$5&amp;"'!GO_2044"),
    0
)
+IF(
    IFERROR(INDIRECT("'"&amp;$D$6&amp;"'!C9")&gt;2020, 0),
    INDIRECT("'"&amp;$D$6&amp;"'!GO_2044"),
    0
)
+IF(
    IFERROR(INDIRECT("'"&amp;$D$7&amp;"'!C9")&gt;2020, 0),
    INDIRECT("'"&amp;$D$7&amp;"'!GO_2044"),
    0
)
+IF(
    IFERROR(INDIRECT("'"&amp;$D$8&amp;"'!C9")&gt;2020, 0),
    INDIRECT("'"&amp;$D$8&amp;"'!GO_2044"),
    0
)
+IF(
    IFERROR(INDIRECT("'"&amp;$D$9&amp;"'!C9")&gt;2020, 0),
    INDIRECT("'"&amp;$D$9&amp;"'!GO_2044"),
    0
)
+IF(
    IFERROR(INDIRECT("'"&amp;$D$10&amp;"'!C9")&gt;2020, 0),
    INDIRECT("'"&amp;$D$10&amp;"'!GO_2044"),
    0
)
+IF(
    IFERROR(INDIRECT("'"&amp;$D$11&amp;"'!C9")&gt;2020, 0),
    INDIRECT("'"&amp;$D$11&amp;"'!GO_2044"),
    0
)
+IF(
    IFERROR(INDIRECT("'"&amp;$D$12&amp;"'!C9")&gt;2020, 0),
    INDIRECT("'"&amp;$D$12&amp;"'!GO_2044"),
    0
)
+IF(
    IFERROR(INDIRECT("'"&amp;$D$13&amp;"'!C9")&gt;2020, 0),
    INDIRECT("'"&amp;$D$13&amp;"'!GO_2044"),
    0
)
+IF(
    IFERROR(INDIRECT("'"&amp;$D$14&amp;"'!C9")&gt;2020, 0),
    INDIRECT("'"&amp;$D$14&amp;"'!GO_2044"),
    0
)
+IF(
    IFERROR(INDIRECT("'"&amp;$D$15&amp;"'!C9")&gt;2020, 0),
    INDIRECT("'"&amp;$D$15&amp;"'!GO_2044"),
    0
)
+IF(
    IFERROR(INDIRECT("'"&amp;$D$16&amp;"'!C9")&gt;2020, 0),
    INDIRECT("'"&amp;$D$16&amp;"'!GO_2044"),
    0
)
+IF(
    IFERROR(INDIRECT("'"&amp;$D$17&amp;"'!C9")&gt;2020, 0),
    INDIRECT("'"&amp;$D$17&amp;"'!GO_2044"),
    0
)
+IF(
    IFERROR(INDIRECT("'"&amp;$D$18&amp;"'!C9")&gt;2020, 0),
    INDIRECT("'"&amp;$D$18&amp;"'!GO_2044"),
    0
)
+IF(
    IFERROR(INDIRECT("'"&amp;$D$19&amp;"'!C9")&gt;2020, 0),
    INDIRECT("'"&amp;$D$19&amp;"'!GO_2044"),
    0
)
+IF(
    IFERROR(INDIRECT("'"&amp;$D$20&amp;"'!C9")&gt;2020, 0),
    INDIRECT("'"&amp;$D$20&amp;"'!GO_2044"),
    0
)
+IF(
    IFERROR(INDIRECT("'"&amp;$D$21&amp;"'!C9")&gt;2020, 0),
    INDIRECT("'"&amp;$D$21&amp;"'!GO_2044"),
    0
)
+IF(
    IFERROR(INDIRECT("'"&amp;$D$22&amp;"'!C9")&gt;2020, 0),
    INDIRECT("'"&amp;$D$22&amp;"'!GO_2044"),
    0
)
+IF(
    IFERROR(INDIRECT("'"&amp;$D$23&amp;"'!C9")&gt;2020, 0),
    INDIRECT("'"&amp;$D$23&amp;"'!GO_2044"),
    0
)
+IF(
    IFERROR(INDIRECT("'"&amp;$D$24&amp;"'!C9")&gt;2020, 0),
    INDIRECT("'"&amp;$D$24&amp;"'!GO_2044"),
    0
)
+IF(
    IFERROR(INDIRECT("'"&amp;$D$25&amp;"'!C9")&gt;2020, 0),
    INDIRECT("'"&amp;$D$25&amp;"'!GO_2044"),
    0
)
+IF(
    IFERROR(INDIRECT("'"&amp;$D$26&amp;"'!C9")&gt;2020, 0),
    INDIRECT("'"&amp;$D$26&amp;"'!GO_2044"),
    0
)
+IF(
    IFERROR(INDIRECT("'"&amp;$D$27&amp;"'!C9")&gt;2020, 0),
    INDIRECT("'"&amp;$D$27&amp;"'!GO_2044"),
    0
)
+IF(
    IFERROR(INDIRECT("'"&amp;$D$28&amp;"'!C9")&gt;2020, 0),
    INDIRECT("'"&amp;$D$28&amp;"'!GO_2044"),
    0
)
+IF(
    IFERROR(INDIRECT("'"&amp;$D$29&amp;"'!C9")&gt;2020, 0),
    INDIRECT("'"&amp;$D$29&amp;"'!GO_2044"),
    0
)
+IF(
    IFERROR(INDIRECT("'"&amp;$D$30&amp;"'!C9")&gt;2020, 0),
    INDIRECT("'"&amp;$D$30&amp;"'!GO_2044"),
    0
)
+IF(
    IFERROR(INDIRECT("'"&amp;$D$31&amp;"'!C9")&gt;2020, 0),
    INDIRECT("'"&amp;$D$31&amp;"'!GO_2044"),
    0
)
+IF(
    IFERROR(INDIRECT("'"&amp;$D$32&amp;"'!C9")&gt;2020, 0),
    INDIRECT("'"&amp;$D$32&amp;"'!GO_2044"),
    0
)
+IF(
    IFERROR(INDIRECT("'"&amp;$D$33&amp;"'!C9")&gt;2020, 0),
    INDIRECT("'"&amp;$D$33&amp;"'!GO_2044"),
    0
)
+IF(
    IFERROR(INDIRECT("'"&amp;$D$34&amp;"'!C9")&gt;2020, 0),
    INDIRECT("'"&amp;$D$34&amp;"'!GO_2044"),
    0
)
+IF(
    IFERROR(INDIRECT("'"&amp;$D$35&amp;"'!C9")&gt;2020, 0),
    INDIRECT("'"&amp;$D$35&amp;"'!GO_2044"),
    0
)
+IF(
    IFERROR(INDIRECT("'"&amp;$D$36&amp;"'!C9")&gt;2020, 0),
    INDIRECT("'"&amp;$D$36&amp;"'!GO_2044"),
    0
)
+IF(
    IFERROR(INDIRECT("'"&amp;$D$37&amp;"'!C9")&gt;2020, 0),
    INDIRECT("'"&amp;$D$37&amp;"'!GO_2044"),
    0
)
+IF(
    IFERROR(INDIRECT("'"&amp;$D$38&amp;"'!C9")&gt;2020, 0),
    INDIRECT("'"&amp;$D$38&amp;"'!GO_2044"),
    0
)
+IF(
    IFERROR(INDIRECT("'"&amp;$D$39&amp;"'!C9")&gt;2020, 0),
    INDIRECT("'"&amp;$D$39&amp;"'!GO_2044"),
    0
)
+IF(
    IFERROR(INDIRECT("'"&amp;$D$40&amp;"'!C9")&gt;2020, 0),
    INDIRECT("'"&amp;$D$40&amp;"'!GO_2044"),
    0
)
+IF(
    IFERROR(INDIRECT("'"&amp;$D$41&amp;"'!C9")&gt;2020, 0),
    INDIRECT("'"&amp;$D$41&amp;"'!GO_2044"),
    0
)
+IF(
    IFERROR(INDIRECT("'"&amp;$D$42&amp;"'!C9")&gt;2020, 0),
    INDIRECT("'"&amp;$D$42&amp;"'!GO_2044"),
    0
)
+IF(
    IFERROR(INDIRECT("'"&amp;$D$43&amp;"'!C9")&gt;2020, 0),
    INDIRECT("'"&amp;$D$43&amp;"'!GO_2044"),
    0
)
+IF(
    IFERROR(INDIRECT("'"&amp;$D$44&amp;"'!C9")&gt;2020, 0),
    INDIRECT("'"&amp;$D$44&amp;"'!GO_2044"),
    0
)
+IF(
    IFERROR(INDIRECT("'"&amp;$D$45&amp;"'!C9")&gt;2020, 0),
    INDIRECT("'"&amp;$D$45&amp;"'!GO_2044"),
    0
)
+IF(
    IFERROR(INDIRECT("'"&amp;$D$46&amp;"'!C9")&gt;2020, 0),
    INDIRECT("'"&amp;$D$46&amp;"'!GO_2044"),
    0
)
+IF(
    IFERROR(INDIRECT("'"&amp;$D$47&amp;"'!C9")&gt;2020, 0),
    INDIRECT("'"&amp;$D$47&amp;"'!GO_2044"),
    0
)
+IF(
    IFERROR(INDIRECT("'"&amp;$D$48&amp;"'!C9")&gt;2020, 0),
    INDIRECT("'"&amp;$D$48&amp;"'!GO_2044"),
    0
)
+IF(
    IFERROR(INDIRECT("'"&amp;$D$49&amp;"'!C9")&gt;2020, 0),
    INDIRECT("'"&amp;$D$49&amp;"'!GO_2044"),
    0
)
+IF(
    IFERROR(INDIRECT("'"&amp;$D$50&amp;"'!C9")&gt;2020, 0),
    INDIRECT("'"&amp;$D$50&amp;"'!GO_2044"),
    0
)
+IF(
    IFERROR(INDIRECT("'"&amp;$D$51&amp;"'!C9")&gt;2020, 0),
    INDIRECT("'"&amp;$D$51&amp;"'!GO_2044"),
    0
)
+IF(
    IFERROR(INDIRECT("'"&amp;$D$52&amp;"'!C9")&gt;2020, 0),
    INDIRECT("'"&amp;$D$52&amp;"'!GO_2044"),
    0
)
+IF(
    IFERROR(INDIRECT("'"&amp;$D$53&amp;"'!C9")&gt;2020, 0),
    INDIRECT("'"&amp;$D$53&amp;"'!GO_2044"),
    0
)
+IF(
    IFERROR(INDIRECT("'"&amp;$D$54&amp;"'!C9")&gt;2020, 0),
    INDIRECT("'"&amp;$D$54&amp;"'!GO_2044"),
    0
)</f>
        <v>15389</v>
      </c>
      <c r="AI28" s="322">
        <f ca="1">Nieuwbouw!AF38+IF(
    IFERROR(INDIRECT("'"&amp;$D$5&amp;"'!C9")&gt;2020, 0),
    INDIRECT("'"&amp;$D$5&amp;"'!GO_2045"),
    0
)
+IF(
    IFERROR(INDIRECT("'"&amp;$D$6&amp;"'!C9")&gt;2020, 0),
    INDIRECT("'"&amp;$D$6&amp;"'!GO_2045"),
    0
)
+IF(
    IFERROR(INDIRECT("'"&amp;$D$7&amp;"'!C9")&gt;2020, 0),
    INDIRECT("'"&amp;$D$7&amp;"'!GO_2045"),
    0
)
+IF(
    IFERROR(INDIRECT("'"&amp;$D$8&amp;"'!C9")&gt;2020, 0),
    INDIRECT("'"&amp;$D$8&amp;"'!GO_2045"),
    0
)
+IF(
    IFERROR(INDIRECT("'"&amp;$D$9&amp;"'!C9")&gt;2020, 0),
    INDIRECT("'"&amp;$D$9&amp;"'!GO_2045"),
    0
)
+IF(
    IFERROR(INDIRECT("'"&amp;$D$10&amp;"'!C9")&gt;2020, 0),
    INDIRECT("'"&amp;$D$10&amp;"'!GO_2045"),
    0
)
+IF(
    IFERROR(INDIRECT("'"&amp;$D$11&amp;"'!C9")&gt;2020, 0),
    INDIRECT("'"&amp;$D$11&amp;"'!GO_2045"),
    0
)
+IF(
    IFERROR(INDIRECT("'"&amp;$D$12&amp;"'!C9")&gt;2020, 0),
    INDIRECT("'"&amp;$D$12&amp;"'!GO_2045"),
    0
)
+IF(
    IFERROR(INDIRECT("'"&amp;$D$13&amp;"'!C9")&gt;2020, 0),
    INDIRECT("'"&amp;$D$13&amp;"'!GO_2045"),
    0
)
+IF(
    IFERROR(INDIRECT("'"&amp;$D$14&amp;"'!C9")&gt;2020, 0),
    INDIRECT("'"&amp;$D$14&amp;"'!GO_2045"),
    0
)
+IF(
    IFERROR(INDIRECT("'"&amp;$D$15&amp;"'!C9")&gt;2020, 0),
    INDIRECT("'"&amp;$D$15&amp;"'!GO_2045"),
    0
)
+IF(
    IFERROR(INDIRECT("'"&amp;$D$16&amp;"'!C9")&gt;2020, 0),
    INDIRECT("'"&amp;$D$16&amp;"'!GO_2045"),
    0
)
+IF(
    IFERROR(INDIRECT("'"&amp;$D$17&amp;"'!C9")&gt;2020, 0),
    INDIRECT("'"&amp;$D$17&amp;"'!GO_2045"),
    0
)
+IF(
    IFERROR(INDIRECT("'"&amp;$D$18&amp;"'!C9")&gt;2020, 0),
    INDIRECT("'"&amp;$D$18&amp;"'!GO_2045"),
    0
)
+IF(
    IFERROR(INDIRECT("'"&amp;$D$19&amp;"'!C9")&gt;2020, 0),
    INDIRECT("'"&amp;$D$19&amp;"'!GO_2045"),
    0
)
+IF(
    IFERROR(INDIRECT("'"&amp;$D$20&amp;"'!C9")&gt;2020, 0),
    INDIRECT("'"&amp;$D$20&amp;"'!GO_2045"),
    0
)
+IF(
    IFERROR(INDIRECT("'"&amp;$D$21&amp;"'!C9")&gt;2020, 0),
    INDIRECT("'"&amp;$D$21&amp;"'!GO_2045"),
    0
)
+IF(
    IFERROR(INDIRECT("'"&amp;$D$22&amp;"'!C9")&gt;2020, 0),
    INDIRECT("'"&amp;$D$22&amp;"'!GO_2045"),
    0
)
+IF(
    IFERROR(INDIRECT("'"&amp;$D$23&amp;"'!C9")&gt;2020, 0),
    INDIRECT("'"&amp;$D$23&amp;"'!GO_2045"),
    0
)
+IF(
    IFERROR(INDIRECT("'"&amp;$D$24&amp;"'!C9")&gt;2020, 0),
    INDIRECT("'"&amp;$D$24&amp;"'!GO_2045"),
    0
)
+IF(
    IFERROR(INDIRECT("'"&amp;$D$25&amp;"'!C9")&gt;2020, 0),
    INDIRECT("'"&amp;$D$25&amp;"'!GO_2045"),
    0
)
+IF(
    IFERROR(INDIRECT("'"&amp;$D$26&amp;"'!C9")&gt;2020, 0),
    INDIRECT("'"&amp;$D$26&amp;"'!GO_2045"),
    0
)
+IF(
    IFERROR(INDIRECT("'"&amp;$D$27&amp;"'!C9")&gt;2020, 0),
    INDIRECT("'"&amp;$D$27&amp;"'!GO_2045"),
    0
)
+IF(
    IFERROR(INDIRECT("'"&amp;$D$28&amp;"'!C9")&gt;2020, 0),
    INDIRECT("'"&amp;$D$28&amp;"'!GO_2045"),
    0
)
+IF(
    IFERROR(INDIRECT("'"&amp;$D$29&amp;"'!C9")&gt;2020, 0),
    INDIRECT("'"&amp;$D$29&amp;"'!GO_2045"),
    0
)
+IF(
    IFERROR(INDIRECT("'"&amp;$D$30&amp;"'!C9")&gt;2020, 0),
    INDIRECT("'"&amp;$D$30&amp;"'!GO_2045"),
    0
)
+IF(
    IFERROR(INDIRECT("'"&amp;$D$31&amp;"'!C9")&gt;2020, 0),
    INDIRECT("'"&amp;$D$31&amp;"'!GO_2045"),
    0
)
+IF(
    IFERROR(INDIRECT("'"&amp;$D$32&amp;"'!C9")&gt;2020, 0),
    INDIRECT("'"&amp;$D$32&amp;"'!GO_2045"),
    0
)
+IF(
    IFERROR(INDIRECT("'"&amp;$D$33&amp;"'!C9")&gt;2020, 0),
    INDIRECT("'"&amp;$D$33&amp;"'!GO_2045"),
    0
)
+IF(
    IFERROR(INDIRECT("'"&amp;$D$34&amp;"'!C9")&gt;2020, 0),
    INDIRECT("'"&amp;$D$34&amp;"'!GO_2045"),
    0
)
+IF(
    IFERROR(INDIRECT("'"&amp;$D$35&amp;"'!C9")&gt;2020, 0),
    INDIRECT("'"&amp;$D$35&amp;"'!GO_2045"),
    0
)
+IF(
    IFERROR(INDIRECT("'"&amp;$D$36&amp;"'!C9")&gt;2020, 0),
    INDIRECT("'"&amp;$D$36&amp;"'!GO_2045"),
    0
)
+IF(
    IFERROR(INDIRECT("'"&amp;$D$37&amp;"'!C9")&gt;2020, 0),
    INDIRECT("'"&amp;$D$37&amp;"'!GO_2045"),
    0
)
+IF(
    IFERROR(INDIRECT("'"&amp;$D$38&amp;"'!C9")&gt;2020, 0),
    INDIRECT("'"&amp;$D$38&amp;"'!GO_2045"),
    0
)
+IF(
    IFERROR(INDIRECT("'"&amp;$D$39&amp;"'!C9")&gt;2020, 0),
    INDIRECT("'"&amp;$D$39&amp;"'!GO_2045"),
    0
)
+IF(
    IFERROR(INDIRECT("'"&amp;$D$40&amp;"'!C9")&gt;2020, 0),
    INDIRECT("'"&amp;$D$40&amp;"'!GO_2045"),
    0
)
+IF(
    IFERROR(INDIRECT("'"&amp;$D$41&amp;"'!C9")&gt;2020, 0),
    INDIRECT("'"&amp;$D$41&amp;"'!GO_2045"),
    0
)
+IF(
    IFERROR(INDIRECT("'"&amp;$D$42&amp;"'!C9")&gt;2020, 0),
    INDIRECT("'"&amp;$D$42&amp;"'!GO_2045"),
    0
)
+IF(
    IFERROR(INDIRECT("'"&amp;$D$43&amp;"'!C9")&gt;2020, 0),
    INDIRECT("'"&amp;$D$43&amp;"'!GO_2045"),
    0
)
+IF(
    IFERROR(INDIRECT("'"&amp;$D$44&amp;"'!C9")&gt;2020, 0),
    INDIRECT("'"&amp;$D$44&amp;"'!GO_2045"),
    0
)
+IF(
    IFERROR(INDIRECT("'"&amp;$D$45&amp;"'!C9")&gt;2020, 0),
    INDIRECT("'"&amp;$D$45&amp;"'!GO_2045"),
    0
)
+IF(
    IFERROR(INDIRECT("'"&amp;$D$46&amp;"'!C9")&gt;2020, 0),
    INDIRECT("'"&amp;$D$46&amp;"'!GO_2045"),
    0
)
+IF(
    IFERROR(INDIRECT("'"&amp;$D$47&amp;"'!C9")&gt;2020, 0),
    INDIRECT("'"&amp;$D$47&amp;"'!GO_2045"),
    0
)
+IF(
    IFERROR(INDIRECT("'"&amp;$D$48&amp;"'!C9")&gt;2020, 0),
    INDIRECT("'"&amp;$D$48&amp;"'!GO_2045"),
    0
)
+IF(
    IFERROR(INDIRECT("'"&amp;$D$49&amp;"'!C9")&gt;2020, 0),
    INDIRECT("'"&amp;$D$49&amp;"'!GO_2045"),
    0
)
+IF(
    IFERROR(INDIRECT("'"&amp;$D$50&amp;"'!C9")&gt;2020, 0),
    INDIRECT("'"&amp;$D$50&amp;"'!GO_2045"),
    0
)
+IF(
    IFERROR(INDIRECT("'"&amp;$D$51&amp;"'!C9")&gt;2020, 0),
    INDIRECT("'"&amp;$D$51&amp;"'!GO_2045"),
    0
)
+IF(
    IFERROR(INDIRECT("'"&amp;$D$52&amp;"'!C9")&gt;2020, 0),
    INDIRECT("'"&amp;$D$52&amp;"'!GO_2045"),
    0
)
+IF(
    IFERROR(INDIRECT("'"&amp;$D$53&amp;"'!C9")&gt;2020, 0),
    INDIRECT("'"&amp;$D$53&amp;"'!GO_2045"),
    0
)
+IF(
    IFERROR(INDIRECT("'"&amp;$D$54&amp;"'!C9")&gt;2020, 0),
    INDIRECT("'"&amp;$D$54&amp;"'!GO_2045"),
    0
)</f>
        <v>15389</v>
      </c>
      <c r="AJ28" s="322">
        <f ca="1">Nieuwbouw!AG38+IF(
    IFERROR(INDIRECT("'"&amp;$D$5&amp;"'!C9")&gt;2020, 0),
    INDIRECT("'"&amp;$D$5&amp;"'!GO_2046"),
    0
)
+IF(
    IFERROR(INDIRECT("'"&amp;$D$6&amp;"'!C9")&gt;2020, 0),
    INDIRECT("'"&amp;$D$6&amp;"'!GO_2046"),
    0
)
+IF(
    IFERROR(INDIRECT("'"&amp;$D$7&amp;"'!C9")&gt;2020, 0),
    INDIRECT("'"&amp;$D$7&amp;"'!GO_2046"),
    0
)
+IF(
    IFERROR(INDIRECT("'"&amp;$D$8&amp;"'!C9")&gt;2020, 0),
    INDIRECT("'"&amp;$D$8&amp;"'!GO_2046"),
    0
)
+IF(
    IFERROR(INDIRECT("'"&amp;$D$9&amp;"'!C9")&gt;2020, 0),
    INDIRECT("'"&amp;$D$9&amp;"'!GO_2046"),
    0
)
+IF(
    IFERROR(INDIRECT("'"&amp;$D$10&amp;"'!C9")&gt;2020, 0),
    INDIRECT("'"&amp;$D$10&amp;"'!GO_2046"),
    0
)
+IF(
    IFERROR(INDIRECT("'"&amp;$D$11&amp;"'!C9")&gt;2020, 0),
    INDIRECT("'"&amp;$D$11&amp;"'!GO_2046"),
    0
)
+IF(
    IFERROR(INDIRECT("'"&amp;$D$12&amp;"'!C9")&gt;2020, 0),
    INDIRECT("'"&amp;$D$12&amp;"'!GO_2046"),
    0
)
+IF(
    IFERROR(INDIRECT("'"&amp;$D$13&amp;"'!C9")&gt;2020, 0),
    INDIRECT("'"&amp;$D$13&amp;"'!GO_2046"),
    0
)
+IF(
    IFERROR(INDIRECT("'"&amp;$D$14&amp;"'!C9")&gt;2020, 0),
    INDIRECT("'"&amp;$D$14&amp;"'!GO_2046"),
    0
)
+IF(
    IFERROR(INDIRECT("'"&amp;$D$15&amp;"'!C9")&gt;2020, 0),
    INDIRECT("'"&amp;$D$15&amp;"'!GO_2046"),
    0
)
+IF(
    IFERROR(INDIRECT("'"&amp;$D$16&amp;"'!C9")&gt;2020, 0),
    INDIRECT("'"&amp;$D$16&amp;"'!GO_2046"),
    0
)
+IF(
    IFERROR(INDIRECT("'"&amp;$D$17&amp;"'!C9")&gt;2020, 0),
    INDIRECT("'"&amp;$D$17&amp;"'!GO_2046"),
    0
)
+IF(
    IFERROR(INDIRECT("'"&amp;$D$18&amp;"'!C9")&gt;2020, 0),
    INDIRECT("'"&amp;$D$18&amp;"'!GO_2046"),
    0
)
+IF(
    IFERROR(INDIRECT("'"&amp;$D$19&amp;"'!C9")&gt;2020, 0),
    INDIRECT("'"&amp;$D$19&amp;"'!GO_2046"),
    0
)
+IF(
    IFERROR(INDIRECT("'"&amp;$D$20&amp;"'!C9")&gt;2020, 0),
    INDIRECT("'"&amp;$D$20&amp;"'!GO_2046"),
    0
)
+IF(
    IFERROR(INDIRECT("'"&amp;$D$21&amp;"'!C9")&gt;2020, 0),
    INDIRECT("'"&amp;$D$21&amp;"'!GO_2046"),
    0
)
+IF(
    IFERROR(INDIRECT("'"&amp;$D$22&amp;"'!C9")&gt;2020, 0),
    INDIRECT("'"&amp;$D$22&amp;"'!GO_2046"),
    0
)
+IF(
    IFERROR(INDIRECT("'"&amp;$D$23&amp;"'!C9")&gt;2020, 0),
    INDIRECT("'"&amp;$D$23&amp;"'!GO_2046"),
    0
)
+IF(
    IFERROR(INDIRECT("'"&amp;$D$24&amp;"'!C9")&gt;2020, 0),
    INDIRECT("'"&amp;$D$24&amp;"'!GO_2046"),
    0
)
+IF(
    IFERROR(INDIRECT("'"&amp;$D$25&amp;"'!C9")&gt;2020, 0),
    INDIRECT("'"&amp;$D$25&amp;"'!GO_2046"),
    0
)
+IF(
    IFERROR(INDIRECT("'"&amp;$D$26&amp;"'!C9")&gt;2020, 0),
    INDIRECT("'"&amp;$D$26&amp;"'!GO_2046"),
    0
)
+IF(
    IFERROR(INDIRECT("'"&amp;$D$27&amp;"'!C9")&gt;2020, 0),
    INDIRECT("'"&amp;$D$27&amp;"'!GO_2046"),
    0
)
+IF(
    IFERROR(INDIRECT("'"&amp;$D$28&amp;"'!C9")&gt;2020, 0),
    INDIRECT("'"&amp;$D$28&amp;"'!GO_2046"),
    0
)
+IF(
    IFERROR(INDIRECT("'"&amp;$D$29&amp;"'!C9")&gt;2020, 0),
    INDIRECT("'"&amp;$D$29&amp;"'!GO_2046"),
    0
)
+IF(
    IFERROR(INDIRECT("'"&amp;$D$30&amp;"'!C9")&gt;2020, 0),
    INDIRECT("'"&amp;$D$30&amp;"'!GO_2046"),
    0
)
+IF(
    IFERROR(INDIRECT("'"&amp;$D$31&amp;"'!C9")&gt;2020, 0),
    INDIRECT("'"&amp;$D$31&amp;"'!GO_2046"),
    0
)
+IF(
    IFERROR(INDIRECT("'"&amp;$D$32&amp;"'!C9")&gt;2020, 0),
    INDIRECT("'"&amp;$D$32&amp;"'!GO_2046"),
    0
)
+IF(
    IFERROR(INDIRECT("'"&amp;$D$33&amp;"'!C9")&gt;2020, 0),
    INDIRECT("'"&amp;$D$33&amp;"'!GO_2046"),
    0
)
+IF(
    IFERROR(INDIRECT("'"&amp;$D$34&amp;"'!C9")&gt;2020, 0),
    INDIRECT("'"&amp;$D$34&amp;"'!GO_2046"),
    0
)
+IF(
    IFERROR(INDIRECT("'"&amp;$D$35&amp;"'!C9")&gt;2020, 0),
    INDIRECT("'"&amp;$D$35&amp;"'!GO_2046"),
    0
)
+IF(
    IFERROR(INDIRECT("'"&amp;$D$36&amp;"'!C9")&gt;2020, 0),
    INDIRECT("'"&amp;$D$36&amp;"'!GO_2046"),
    0
)
+IF(
    IFERROR(INDIRECT("'"&amp;$D$37&amp;"'!C9")&gt;2020, 0),
    INDIRECT("'"&amp;$D$37&amp;"'!GO_2046"),
    0
)
+IF(
    IFERROR(INDIRECT("'"&amp;$D$38&amp;"'!C9")&gt;2020, 0),
    INDIRECT("'"&amp;$D$38&amp;"'!GO_2046"),
    0
)
+IF(
    IFERROR(INDIRECT("'"&amp;$D$39&amp;"'!C9")&gt;2020, 0),
    INDIRECT("'"&amp;$D$39&amp;"'!GO_2046"),
    0
)
+IF(
    IFERROR(INDIRECT("'"&amp;$D$40&amp;"'!C9")&gt;2020, 0),
    INDIRECT("'"&amp;$D$40&amp;"'!GO_2046"),
    0
)
+IF(
    IFERROR(INDIRECT("'"&amp;$D$41&amp;"'!C9")&gt;2020, 0),
    INDIRECT("'"&amp;$D$41&amp;"'!GO_2046"),
    0
)
+IF(
    IFERROR(INDIRECT("'"&amp;$D$42&amp;"'!C9")&gt;2020, 0),
    INDIRECT("'"&amp;$D$42&amp;"'!GO_2046"),
    0
)
+IF(
    IFERROR(INDIRECT("'"&amp;$D$43&amp;"'!C9")&gt;2020, 0),
    INDIRECT("'"&amp;$D$43&amp;"'!GO_2046"),
    0
)
+IF(
    IFERROR(INDIRECT("'"&amp;$D$44&amp;"'!C9")&gt;2020, 0),
    INDIRECT("'"&amp;$D$44&amp;"'!GO_2046"),
    0
)
+IF(
    IFERROR(INDIRECT("'"&amp;$D$45&amp;"'!C9")&gt;2020, 0),
    INDIRECT("'"&amp;$D$45&amp;"'!GO_2046"),
    0
)
+IF(
    IFERROR(INDIRECT("'"&amp;$D$46&amp;"'!C9")&gt;2020, 0),
    INDIRECT("'"&amp;$D$46&amp;"'!GO_2046"),
    0
)
+IF(
    IFERROR(INDIRECT("'"&amp;$D$47&amp;"'!C9")&gt;2020, 0),
    INDIRECT("'"&amp;$D$47&amp;"'!GO_2046"),
    0
)
+IF(
    IFERROR(INDIRECT("'"&amp;$D$48&amp;"'!C9")&gt;2020, 0),
    INDIRECT("'"&amp;$D$48&amp;"'!GO_2046"),
    0
)
+IF(
    IFERROR(INDIRECT("'"&amp;$D$49&amp;"'!C9")&gt;2020, 0),
    INDIRECT("'"&amp;$D$49&amp;"'!GO_2046"),
    0
)
+IF(
    IFERROR(INDIRECT("'"&amp;$D$50&amp;"'!C9")&gt;2020, 0),
    INDIRECT("'"&amp;$D$50&amp;"'!GO_2046"),
    0
)
+IF(
    IFERROR(INDIRECT("'"&amp;$D$51&amp;"'!C9")&gt;2020, 0),
    INDIRECT("'"&amp;$D$51&amp;"'!GO_2046"),
    0
)
+IF(
    IFERROR(INDIRECT("'"&amp;$D$52&amp;"'!C9")&gt;2020, 0),
    INDIRECT("'"&amp;$D$52&amp;"'!GO_2046"),
    0
)
+IF(
    IFERROR(INDIRECT("'"&amp;$D$53&amp;"'!C9")&gt;2020, 0),
    INDIRECT("'"&amp;$D$53&amp;"'!GO_2046"),
    0
)
+IF(
    IFERROR(INDIRECT("'"&amp;$D$54&amp;"'!C9")&gt;2020, 0),
    INDIRECT("'"&amp;$D$54&amp;"'!GO_2046"),
    0
)</f>
        <v>15389</v>
      </c>
      <c r="AK28" s="322">
        <f ca="1">Nieuwbouw!AH38+IF(
    IFERROR(INDIRECT("'"&amp;$D$5&amp;"'!C9")&gt;2020, 0),
    INDIRECT("'"&amp;$D$5&amp;"'!GO_2047"),
    0
)
+IF(
    IFERROR(INDIRECT("'"&amp;$D$6&amp;"'!C9")&gt;2020, 0),
    INDIRECT("'"&amp;$D$6&amp;"'!GO_2047"),
    0
)
+IF(
    IFERROR(INDIRECT("'"&amp;$D$7&amp;"'!C9")&gt;2020, 0),
    INDIRECT("'"&amp;$D$7&amp;"'!GO_2047"),
    0
)
+IF(
    IFERROR(INDIRECT("'"&amp;$D$8&amp;"'!C9")&gt;2020, 0),
    INDIRECT("'"&amp;$D$8&amp;"'!GO_2047"),
    0
)
+IF(
    IFERROR(INDIRECT("'"&amp;$D$9&amp;"'!C9")&gt;2020, 0),
    INDIRECT("'"&amp;$D$9&amp;"'!GO_2047"),
    0
)
+IF(
    IFERROR(INDIRECT("'"&amp;$D$10&amp;"'!C9")&gt;2020, 0),
    INDIRECT("'"&amp;$D$10&amp;"'!GO_2047"),
    0
)
+IF(
    IFERROR(INDIRECT("'"&amp;$D$11&amp;"'!C9")&gt;2020, 0),
    INDIRECT("'"&amp;$D$11&amp;"'!GO_2047"),
    0
)
+IF(
    IFERROR(INDIRECT("'"&amp;$D$12&amp;"'!C9")&gt;2020, 0),
    INDIRECT("'"&amp;$D$12&amp;"'!GO_2047"),
    0
)
+IF(
    IFERROR(INDIRECT("'"&amp;$D$13&amp;"'!C9")&gt;2020, 0),
    INDIRECT("'"&amp;$D$13&amp;"'!GO_2047"),
    0
)
+IF(
    IFERROR(INDIRECT("'"&amp;$D$14&amp;"'!C9")&gt;2020, 0),
    INDIRECT("'"&amp;$D$14&amp;"'!GO_2047"),
    0
)
+IF(
    IFERROR(INDIRECT("'"&amp;$D$15&amp;"'!C9")&gt;2020, 0),
    INDIRECT("'"&amp;$D$15&amp;"'!GO_2047"),
    0
)
+IF(
    IFERROR(INDIRECT("'"&amp;$D$16&amp;"'!C9")&gt;2020, 0),
    INDIRECT("'"&amp;$D$16&amp;"'!GO_2047"),
    0
)
+IF(
    IFERROR(INDIRECT("'"&amp;$D$17&amp;"'!C9")&gt;2020, 0),
    INDIRECT("'"&amp;$D$17&amp;"'!GO_2047"),
    0
)
+IF(
    IFERROR(INDIRECT("'"&amp;$D$18&amp;"'!C9")&gt;2020, 0),
    INDIRECT("'"&amp;$D$18&amp;"'!GO_2047"),
    0
)
+IF(
    IFERROR(INDIRECT("'"&amp;$D$19&amp;"'!C9")&gt;2020, 0),
    INDIRECT("'"&amp;$D$19&amp;"'!GO_2047"),
    0
)
+IF(
    IFERROR(INDIRECT("'"&amp;$D$20&amp;"'!C9")&gt;2020, 0),
    INDIRECT("'"&amp;$D$20&amp;"'!GO_2047"),
    0
)
+IF(
    IFERROR(INDIRECT("'"&amp;$D$21&amp;"'!C9")&gt;2020, 0),
    INDIRECT("'"&amp;$D$21&amp;"'!GO_2047"),
    0
)
+IF(
    IFERROR(INDIRECT("'"&amp;$D$22&amp;"'!C9")&gt;2020, 0),
    INDIRECT("'"&amp;$D$22&amp;"'!GO_2047"),
    0
)
+IF(
    IFERROR(INDIRECT("'"&amp;$D$23&amp;"'!C9")&gt;2020, 0),
    INDIRECT("'"&amp;$D$23&amp;"'!GO_2047"),
    0
)
+IF(
    IFERROR(INDIRECT("'"&amp;$D$24&amp;"'!C9")&gt;2020, 0),
    INDIRECT("'"&amp;$D$24&amp;"'!GO_2047"),
    0
)
+IF(
    IFERROR(INDIRECT("'"&amp;$D$25&amp;"'!C9")&gt;2020, 0),
    INDIRECT("'"&amp;$D$25&amp;"'!GO_2047"),
    0
)
+IF(
    IFERROR(INDIRECT("'"&amp;$D$26&amp;"'!C9")&gt;2020, 0),
    INDIRECT("'"&amp;$D$26&amp;"'!GO_2047"),
    0
)
+IF(
    IFERROR(INDIRECT("'"&amp;$D$27&amp;"'!C9")&gt;2020, 0),
    INDIRECT("'"&amp;$D$27&amp;"'!GO_2047"),
    0
)
+IF(
    IFERROR(INDIRECT("'"&amp;$D$28&amp;"'!C9")&gt;2020, 0),
    INDIRECT("'"&amp;$D$28&amp;"'!GO_2047"),
    0
)
+IF(
    IFERROR(INDIRECT("'"&amp;$D$29&amp;"'!C9")&gt;2020, 0),
    INDIRECT("'"&amp;$D$29&amp;"'!GO_2047"),
    0
)
+IF(
    IFERROR(INDIRECT("'"&amp;$D$30&amp;"'!C9")&gt;2020, 0),
    INDIRECT("'"&amp;$D$30&amp;"'!GO_2047"),
    0
)
+IF(
    IFERROR(INDIRECT("'"&amp;$D$31&amp;"'!C9")&gt;2020, 0),
    INDIRECT("'"&amp;$D$31&amp;"'!GO_2047"),
    0
)
+IF(
    IFERROR(INDIRECT("'"&amp;$D$32&amp;"'!C9")&gt;2020, 0),
    INDIRECT("'"&amp;$D$32&amp;"'!GO_2047"),
    0
)
+IF(
    IFERROR(INDIRECT("'"&amp;$D$33&amp;"'!C9")&gt;2020, 0),
    INDIRECT("'"&amp;$D$33&amp;"'!GO_2047"),
    0
)
+IF(
    IFERROR(INDIRECT("'"&amp;$D$34&amp;"'!C9")&gt;2020, 0),
    INDIRECT("'"&amp;$D$34&amp;"'!GO_2047"),
    0
)
+IF(
    IFERROR(INDIRECT("'"&amp;$D$35&amp;"'!C9")&gt;2020, 0),
    INDIRECT("'"&amp;$D$35&amp;"'!GO_2047"),
    0
)
+IF(
    IFERROR(INDIRECT("'"&amp;$D$36&amp;"'!C9")&gt;2020, 0),
    INDIRECT("'"&amp;$D$36&amp;"'!GO_2047"),
    0
)
+IF(
    IFERROR(INDIRECT("'"&amp;$D$37&amp;"'!C9")&gt;2020, 0),
    INDIRECT("'"&amp;$D$37&amp;"'!GO_2047"),
    0
)
+IF(
    IFERROR(INDIRECT("'"&amp;$D$38&amp;"'!C9")&gt;2020, 0),
    INDIRECT("'"&amp;$D$38&amp;"'!GO_2047"),
    0
)
+IF(
    IFERROR(INDIRECT("'"&amp;$D$39&amp;"'!C9")&gt;2020, 0),
    INDIRECT("'"&amp;$D$39&amp;"'!GO_2047"),
    0
)
+IF(
    IFERROR(INDIRECT("'"&amp;$D$40&amp;"'!C9")&gt;2020, 0),
    INDIRECT("'"&amp;$D$40&amp;"'!GO_2047"),
    0
)
+IF(
    IFERROR(INDIRECT("'"&amp;$D$41&amp;"'!C9")&gt;2020, 0),
    INDIRECT("'"&amp;$D$41&amp;"'!GO_2047"),
    0
)
+IF(
    IFERROR(INDIRECT("'"&amp;$D$42&amp;"'!C9")&gt;2020, 0),
    INDIRECT("'"&amp;$D$42&amp;"'!GO_2047"),
    0
)
+IF(
    IFERROR(INDIRECT("'"&amp;$D$43&amp;"'!C9")&gt;2020, 0),
    INDIRECT("'"&amp;$D$43&amp;"'!GO_2047"),
    0
)
+IF(
    IFERROR(INDIRECT("'"&amp;$D$44&amp;"'!C9")&gt;2020, 0),
    INDIRECT("'"&amp;$D$44&amp;"'!GO_2047"),
    0
)
+IF(
    IFERROR(INDIRECT("'"&amp;$D$45&amp;"'!C9")&gt;2020, 0),
    INDIRECT("'"&amp;$D$45&amp;"'!GO_2047"),
    0
)
+IF(
    IFERROR(INDIRECT("'"&amp;$D$46&amp;"'!C9")&gt;2020, 0),
    INDIRECT("'"&amp;$D$46&amp;"'!GO_2047"),
    0
)
+IF(
    IFERROR(INDIRECT("'"&amp;$D$47&amp;"'!C9")&gt;2020, 0),
    INDIRECT("'"&amp;$D$47&amp;"'!GO_2047"),
    0
)
+IF(
    IFERROR(INDIRECT("'"&amp;$D$48&amp;"'!C9")&gt;2020, 0),
    INDIRECT("'"&amp;$D$48&amp;"'!GO_2047"),
    0
)
+IF(
    IFERROR(INDIRECT("'"&amp;$D$49&amp;"'!C9")&gt;2020, 0),
    INDIRECT("'"&amp;$D$49&amp;"'!GO_2047"),
    0
)
+IF(
    IFERROR(INDIRECT("'"&amp;$D$50&amp;"'!C9")&gt;2020, 0),
    INDIRECT("'"&amp;$D$50&amp;"'!GO_2047"),
    0
)
+IF(
    IFERROR(INDIRECT("'"&amp;$D$51&amp;"'!C9")&gt;2020, 0),
    INDIRECT("'"&amp;$D$51&amp;"'!GO_2047"),
    0
)
+IF(
    IFERROR(INDIRECT("'"&amp;$D$52&amp;"'!C9")&gt;2020, 0),
    INDIRECT("'"&amp;$D$52&amp;"'!GO_2047"),
    0
)
+IF(
    IFERROR(INDIRECT("'"&amp;$D$53&amp;"'!C9")&gt;2020, 0),
    INDIRECT("'"&amp;$D$53&amp;"'!GO_2047"),
    0
)
+IF(
    IFERROR(INDIRECT("'"&amp;$D$54&amp;"'!C9")&gt;2020, 0),
    INDIRECT("'"&amp;$D$54&amp;"'!GO_2047"),
    0
)</f>
        <v>15389</v>
      </c>
      <c r="AL28" s="322">
        <f ca="1">Nieuwbouw!AI38+IF(
    IFERROR(INDIRECT("'"&amp;$D$5&amp;"'!C9")&gt;2020, 0),
    INDIRECT("'"&amp;$D$5&amp;"'!GO_2048"),
    0
)
+IF(
    IFERROR(INDIRECT("'"&amp;$D$6&amp;"'!C9")&gt;2020, 0),
    INDIRECT("'"&amp;$D$6&amp;"'!GO_2048"),
    0
)
+IF(
    IFERROR(INDIRECT("'"&amp;$D$7&amp;"'!C9")&gt;2020, 0),
    INDIRECT("'"&amp;$D$7&amp;"'!GO_2048"),
    0
)
+IF(
    IFERROR(INDIRECT("'"&amp;$D$8&amp;"'!C9")&gt;2020, 0),
    INDIRECT("'"&amp;$D$8&amp;"'!GO_2048"),
    0
)
+IF(
    IFERROR(INDIRECT("'"&amp;$D$9&amp;"'!C9")&gt;2020, 0),
    INDIRECT("'"&amp;$D$9&amp;"'!GO_2048"),
    0
)
+IF(
    IFERROR(INDIRECT("'"&amp;$D$10&amp;"'!C9")&gt;2020, 0),
    INDIRECT("'"&amp;$D$10&amp;"'!GO_2048"),
    0
)
+IF(
    IFERROR(INDIRECT("'"&amp;$D$11&amp;"'!C9")&gt;2020, 0),
    INDIRECT("'"&amp;$D$11&amp;"'!GO_2048"),
    0
)
+IF(
    IFERROR(INDIRECT("'"&amp;$D$12&amp;"'!C9")&gt;2020, 0),
    INDIRECT("'"&amp;$D$12&amp;"'!GO_2048"),
    0
)
+IF(
    IFERROR(INDIRECT("'"&amp;$D$13&amp;"'!C9")&gt;2020, 0),
    INDIRECT("'"&amp;$D$13&amp;"'!GO_2048"),
    0
)
+IF(
    IFERROR(INDIRECT("'"&amp;$D$14&amp;"'!C9")&gt;2020, 0),
    INDIRECT("'"&amp;$D$14&amp;"'!GO_2048"),
    0
)
+IF(
    IFERROR(INDIRECT("'"&amp;$D$15&amp;"'!C9")&gt;2020, 0),
    INDIRECT("'"&amp;$D$15&amp;"'!GO_2048"),
    0
)
+IF(
    IFERROR(INDIRECT("'"&amp;$D$16&amp;"'!C9")&gt;2020, 0),
    INDIRECT("'"&amp;$D$16&amp;"'!GO_2048"),
    0
)
+IF(
    IFERROR(INDIRECT("'"&amp;$D$17&amp;"'!C9")&gt;2020, 0),
    INDIRECT("'"&amp;$D$17&amp;"'!GO_2048"),
    0
)
+IF(
    IFERROR(INDIRECT("'"&amp;$D$18&amp;"'!C9")&gt;2020, 0),
    INDIRECT("'"&amp;$D$18&amp;"'!GO_2048"),
    0
)
+IF(
    IFERROR(INDIRECT("'"&amp;$D$19&amp;"'!C9")&gt;2020, 0),
    INDIRECT("'"&amp;$D$19&amp;"'!GO_2048"),
    0
)
+IF(
    IFERROR(INDIRECT("'"&amp;$D$20&amp;"'!C9")&gt;2020, 0),
    INDIRECT("'"&amp;$D$20&amp;"'!GO_2048"),
    0
)
+IF(
    IFERROR(INDIRECT("'"&amp;$D$21&amp;"'!C9")&gt;2020, 0),
    INDIRECT("'"&amp;$D$21&amp;"'!GO_2048"),
    0
)
+IF(
    IFERROR(INDIRECT("'"&amp;$D$22&amp;"'!C9")&gt;2020, 0),
    INDIRECT("'"&amp;$D$22&amp;"'!GO_2048"),
    0
)
+IF(
    IFERROR(INDIRECT("'"&amp;$D$23&amp;"'!C9")&gt;2020, 0),
    INDIRECT("'"&amp;$D$23&amp;"'!GO_2048"),
    0
)
+IF(
    IFERROR(INDIRECT("'"&amp;$D$24&amp;"'!C9")&gt;2020, 0),
    INDIRECT("'"&amp;$D$24&amp;"'!GO_2048"),
    0
)
+IF(
    IFERROR(INDIRECT("'"&amp;$D$25&amp;"'!C9")&gt;2020, 0),
    INDIRECT("'"&amp;$D$25&amp;"'!GO_2048"),
    0
)
+IF(
    IFERROR(INDIRECT("'"&amp;$D$26&amp;"'!C9")&gt;2020, 0),
    INDIRECT("'"&amp;$D$26&amp;"'!GO_2048"),
    0
)
+IF(
    IFERROR(INDIRECT("'"&amp;$D$27&amp;"'!C9")&gt;2020, 0),
    INDIRECT("'"&amp;$D$27&amp;"'!GO_2048"),
    0
)
+IF(
    IFERROR(INDIRECT("'"&amp;$D$28&amp;"'!C9")&gt;2020, 0),
    INDIRECT("'"&amp;$D$28&amp;"'!GO_2048"),
    0
)
+IF(
    IFERROR(INDIRECT("'"&amp;$D$29&amp;"'!C9")&gt;2020, 0),
    INDIRECT("'"&amp;$D$29&amp;"'!GO_2048"),
    0
)
+IF(
    IFERROR(INDIRECT("'"&amp;$D$30&amp;"'!C9")&gt;2020, 0),
    INDIRECT("'"&amp;$D$30&amp;"'!GO_2048"),
    0
)
+IF(
    IFERROR(INDIRECT("'"&amp;$D$31&amp;"'!C9")&gt;2020, 0),
    INDIRECT("'"&amp;$D$31&amp;"'!GO_2048"),
    0
)
+IF(
    IFERROR(INDIRECT("'"&amp;$D$32&amp;"'!C9")&gt;2020, 0),
    INDIRECT("'"&amp;$D$32&amp;"'!GO_2048"),
    0
)
+IF(
    IFERROR(INDIRECT("'"&amp;$D$33&amp;"'!C9")&gt;2020, 0),
    INDIRECT("'"&amp;$D$33&amp;"'!GO_2048"),
    0
)
+IF(
    IFERROR(INDIRECT("'"&amp;$D$34&amp;"'!C9")&gt;2020, 0),
    INDIRECT("'"&amp;$D$34&amp;"'!GO_2048"),
    0
)
+IF(
    IFERROR(INDIRECT("'"&amp;$D$35&amp;"'!C9")&gt;2020, 0),
    INDIRECT("'"&amp;$D$35&amp;"'!GO_2048"),
    0
)
+IF(
    IFERROR(INDIRECT("'"&amp;$D$36&amp;"'!C9")&gt;2020, 0),
    INDIRECT("'"&amp;$D$36&amp;"'!GO_2048"),
    0
)
+IF(
    IFERROR(INDIRECT("'"&amp;$D$37&amp;"'!C9")&gt;2020, 0),
    INDIRECT("'"&amp;$D$37&amp;"'!GO_2048"),
    0
)
+IF(
    IFERROR(INDIRECT("'"&amp;$D$38&amp;"'!C9")&gt;2020, 0),
    INDIRECT("'"&amp;$D$38&amp;"'!GO_2048"),
    0
)
+IF(
    IFERROR(INDIRECT("'"&amp;$D$39&amp;"'!C9")&gt;2020, 0),
    INDIRECT("'"&amp;$D$39&amp;"'!GO_2048"),
    0
)
+IF(
    IFERROR(INDIRECT("'"&amp;$D$40&amp;"'!C9")&gt;2020, 0),
    INDIRECT("'"&amp;$D$40&amp;"'!GO_2048"),
    0
)
+IF(
    IFERROR(INDIRECT("'"&amp;$D$41&amp;"'!C9")&gt;2020, 0),
    INDIRECT("'"&amp;$D$41&amp;"'!GO_2048"),
    0
)
+IF(
    IFERROR(INDIRECT("'"&amp;$D$42&amp;"'!C9")&gt;2020, 0),
    INDIRECT("'"&amp;$D$42&amp;"'!GO_2048"),
    0
)
+IF(
    IFERROR(INDIRECT("'"&amp;$D$43&amp;"'!C9")&gt;2020, 0),
    INDIRECT("'"&amp;$D$43&amp;"'!GO_2048"),
    0
)
+IF(
    IFERROR(INDIRECT("'"&amp;$D$44&amp;"'!C9")&gt;2020, 0),
    INDIRECT("'"&amp;$D$44&amp;"'!GO_2048"),
    0
)
+IF(
    IFERROR(INDIRECT("'"&amp;$D$45&amp;"'!C9")&gt;2020, 0),
    INDIRECT("'"&amp;$D$45&amp;"'!GO_2048"),
    0
)
+IF(
    IFERROR(INDIRECT("'"&amp;$D$46&amp;"'!C9")&gt;2020, 0),
    INDIRECT("'"&amp;$D$46&amp;"'!GO_2048"),
    0
)
+IF(
    IFERROR(INDIRECT("'"&amp;$D$47&amp;"'!C9")&gt;2020, 0),
    INDIRECT("'"&amp;$D$47&amp;"'!GO_2048"),
    0
)
+IF(
    IFERROR(INDIRECT("'"&amp;$D$48&amp;"'!C9")&gt;2020, 0),
    INDIRECT("'"&amp;$D$48&amp;"'!GO_2048"),
    0
)
+IF(
    IFERROR(INDIRECT("'"&amp;$D$49&amp;"'!C9")&gt;2020, 0),
    INDIRECT("'"&amp;$D$49&amp;"'!GO_2048"),
    0
)
+IF(
    IFERROR(INDIRECT("'"&amp;$D$50&amp;"'!C9")&gt;2020, 0),
    INDIRECT("'"&amp;$D$50&amp;"'!GO_2048"),
    0
)
+IF(
    IFERROR(INDIRECT("'"&amp;$D$51&amp;"'!C9")&gt;2020, 0),
    INDIRECT("'"&amp;$D$51&amp;"'!GO_2048"),
    0
)
+IF(
    IFERROR(INDIRECT("'"&amp;$D$52&amp;"'!C9")&gt;2020, 0),
    INDIRECT("'"&amp;$D$52&amp;"'!GO_2048"),
    0
)
+IF(
    IFERROR(INDIRECT("'"&amp;$D$53&amp;"'!C9")&gt;2020, 0),
    INDIRECT("'"&amp;$D$53&amp;"'!GO_2048"),
    0
)
+IF(
    IFERROR(INDIRECT("'"&amp;$D$54&amp;"'!C9")&gt;2020, 0),
    INDIRECT("'"&amp;$D$54&amp;"'!GO_2048"),
    0
)</f>
        <v>15389</v>
      </c>
      <c r="AM28" s="322">
        <f ca="1">Nieuwbouw!AJ38+IF(
    IFERROR(INDIRECT("'"&amp;$D$5&amp;"'!C9")&gt;2020, 0),
    INDIRECT("'"&amp;$D$5&amp;"'!GO_2049"),
    0
)
+IF(
    IFERROR(INDIRECT("'"&amp;$D$6&amp;"'!C9")&gt;2020, 0),
    INDIRECT("'"&amp;$D$6&amp;"'!GO_2049"),
    0
)
+IF(
    IFERROR(INDIRECT("'"&amp;$D$7&amp;"'!C9")&gt;2020, 0),
    INDIRECT("'"&amp;$D$7&amp;"'!GO_2049"),
    0
)
+IF(
    IFERROR(INDIRECT("'"&amp;$D$8&amp;"'!C9")&gt;2020, 0),
    INDIRECT("'"&amp;$D$8&amp;"'!GO_2049"),
    0
)
+IF(
    IFERROR(INDIRECT("'"&amp;$D$9&amp;"'!C9")&gt;2020, 0),
    INDIRECT("'"&amp;$D$9&amp;"'!GO_2049"),
    0
)
+IF(
    IFERROR(INDIRECT("'"&amp;$D$10&amp;"'!C9")&gt;2020, 0),
    INDIRECT("'"&amp;$D$10&amp;"'!GO_2049"),
    0
)
+IF(
    IFERROR(INDIRECT("'"&amp;$D$11&amp;"'!C9")&gt;2020, 0),
    INDIRECT("'"&amp;$D$11&amp;"'!GO_2049"),
    0
)
+IF(
    IFERROR(INDIRECT("'"&amp;$D$12&amp;"'!C9")&gt;2020, 0),
    INDIRECT("'"&amp;$D$12&amp;"'!GO_2049"),
    0
)
+IF(
    IFERROR(INDIRECT("'"&amp;$D$13&amp;"'!C9")&gt;2020, 0),
    INDIRECT("'"&amp;$D$13&amp;"'!GO_2049"),
    0
)
+IF(
    IFERROR(INDIRECT("'"&amp;$D$14&amp;"'!C9")&gt;2020, 0),
    INDIRECT("'"&amp;$D$14&amp;"'!GO_2049"),
    0
)
+IF(
    IFERROR(INDIRECT("'"&amp;$D$15&amp;"'!C9")&gt;2020, 0),
    INDIRECT("'"&amp;$D$15&amp;"'!GO_2049"),
    0
)
+IF(
    IFERROR(INDIRECT("'"&amp;$D$16&amp;"'!C9")&gt;2020, 0),
    INDIRECT("'"&amp;$D$16&amp;"'!GO_2049"),
    0
)
+IF(
    IFERROR(INDIRECT("'"&amp;$D$17&amp;"'!C9")&gt;2020, 0),
    INDIRECT("'"&amp;$D$17&amp;"'!GO_2049"),
    0
)
+IF(
    IFERROR(INDIRECT("'"&amp;$D$18&amp;"'!C9")&gt;2020, 0),
    INDIRECT("'"&amp;$D$18&amp;"'!GO_2049"),
    0
)
+IF(
    IFERROR(INDIRECT("'"&amp;$D$19&amp;"'!C9")&gt;2020, 0),
    INDIRECT("'"&amp;$D$19&amp;"'!GO_2049"),
    0
)
+IF(
    IFERROR(INDIRECT("'"&amp;$D$20&amp;"'!C9")&gt;2020, 0),
    INDIRECT("'"&amp;$D$20&amp;"'!GO_2049"),
    0
)
+IF(
    IFERROR(INDIRECT("'"&amp;$D$21&amp;"'!C9")&gt;2020, 0),
    INDIRECT("'"&amp;$D$21&amp;"'!GO_2049"),
    0
)
+IF(
    IFERROR(INDIRECT("'"&amp;$D$22&amp;"'!C9")&gt;2020, 0),
    INDIRECT("'"&amp;$D$22&amp;"'!GO_2049"),
    0
)
+IF(
    IFERROR(INDIRECT("'"&amp;$D$23&amp;"'!C9")&gt;2020, 0),
    INDIRECT("'"&amp;$D$23&amp;"'!GO_2049"),
    0
)
+IF(
    IFERROR(INDIRECT("'"&amp;$D$24&amp;"'!C9")&gt;2020, 0),
    INDIRECT("'"&amp;$D$24&amp;"'!GO_2049"),
    0
)
+IF(
    IFERROR(INDIRECT("'"&amp;$D$25&amp;"'!C9")&gt;2020, 0),
    INDIRECT("'"&amp;$D$25&amp;"'!GO_2049"),
    0
)
+IF(
    IFERROR(INDIRECT("'"&amp;$D$26&amp;"'!C9")&gt;2020, 0),
    INDIRECT("'"&amp;$D$26&amp;"'!GO_2049"),
    0
)
+IF(
    IFERROR(INDIRECT("'"&amp;$D$27&amp;"'!C9")&gt;2020, 0),
    INDIRECT("'"&amp;$D$27&amp;"'!GO_2049"),
    0
)
+IF(
    IFERROR(INDIRECT("'"&amp;$D$28&amp;"'!C9")&gt;2020, 0),
    INDIRECT("'"&amp;$D$28&amp;"'!GO_2049"),
    0
)
+IF(
    IFERROR(INDIRECT("'"&amp;$D$29&amp;"'!C9")&gt;2020, 0),
    INDIRECT("'"&amp;$D$29&amp;"'!GO_2049"),
    0
)
+IF(
    IFERROR(INDIRECT("'"&amp;$D$30&amp;"'!C9")&gt;2020, 0),
    INDIRECT("'"&amp;$D$30&amp;"'!GO_2049"),
    0
)
+IF(
    IFERROR(INDIRECT("'"&amp;$D$31&amp;"'!C9")&gt;2020, 0),
    INDIRECT("'"&amp;$D$31&amp;"'!GO_2049"),
    0
)
+IF(
    IFERROR(INDIRECT("'"&amp;$D$32&amp;"'!C9")&gt;2020, 0),
    INDIRECT("'"&amp;$D$32&amp;"'!GO_2049"),
    0
)
+IF(
    IFERROR(INDIRECT("'"&amp;$D$33&amp;"'!C9")&gt;2020, 0),
    INDIRECT("'"&amp;$D$33&amp;"'!GO_2049"),
    0
)
+IF(
    IFERROR(INDIRECT("'"&amp;$D$34&amp;"'!C9")&gt;2020, 0),
    INDIRECT("'"&amp;$D$34&amp;"'!GO_2049"),
    0
)
+IF(
    IFERROR(INDIRECT("'"&amp;$D$35&amp;"'!C9")&gt;2020, 0),
    INDIRECT("'"&amp;$D$35&amp;"'!GO_2049"),
    0
)
+IF(
    IFERROR(INDIRECT("'"&amp;$D$36&amp;"'!C9")&gt;2020, 0),
    INDIRECT("'"&amp;$D$36&amp;"'!GO_2049"),
    0
)
+IF(
    IFERROR(INDIRECT("'"&amp;$D$37&amp;"'!C9")&gt;2020, 0),
    INDIRECT("'"&amp;$D$37&amp;"'!GO_2049"),
    0
)
+IF(
    IFERROR(INDIRECT("'"&amp;$D$38&amp;"'!C9")&gt;2020, 0),
    INDIRECT("'"&amp;$D$38&amp;"'!GO_2049"),
    0
)
+IF(
    IFERROR(INDIRECT("'"&amp;$D$39&amp;"'!C9")&gt;2020, 0),
    INDIRECT("'"&amp;$D$39&amp;"'!GO_2049"),
    0
)
+IF(
    IFERROR(INDIRECT("'"&amp;$D$40&amp;"'!C9")&gt;2020, 0),
    INDIRECT("'"&amp;$D$40&amp;"'!GO_2049"),
    0
)
+IF(
    IFERROR(INDIRECT("'"&amp;$D$41&amp;"'!C9")&gt;2020, 0),
    INDIRECT("'"&amp;$D$41&amp;"'!GO_2049"),
    0
)
+IF(
    IFERROR(INDIRECT("'"&amp;$D$42&amp;"'!C9")&gt;2020, 0),
    INDIRECT("'"&amp;$D$42&amp;"'!GO_2049"),
    0
)
+IF(
    IFERROR(INDIRECT("'"&amp;$D$43&amp;"'!C9")&gt;2020, 0),
    INDIRECT("'"&amp;$D$43&amp;"'!GO_2049"),
    0
)
+IF(
    IFERROR(INDIRECT("'"&amp;$D$44&amp;"'!C9")&gt;2020, 0),
    INDIRECT("'"&amp;$D$44&amp;"'!GO_2049"),
    0
)
+IF(
    IFERROR(INDIRECT("'"&amp;$D$45&amp;"'!C9")&gt;2020, 0),
    INDIRECT("'"&amp;$D$45&amp;"'!GO_2049"),
    0
)
+IF(
    IFERROR(INDIRECT("'"&amp;$D$46&amp;"'!C9")&gt;2020, 0),
    INDIRECT("'"&amp;$D$46&amp;"'!GO_2049"),
    0
)
+IF(
    IFERROR(INDIRECT("'"&amp;$D$47&amp;"'!C9")&gt;2020, 0),
    INDIRECT("'"&amp;$D$47&amp;"'!GO_2049"),
    0
)
+IF(
    IFERROR(INDIRECT("'"&amp;$D$48&amp;"'!C9")&gt;2020, 0),
    INDIRECT("'"&amp;$D$48&amp;"'!GO_2049"),
    0
)
+IF(
    IFERROR(INDIRECT("'"&amp;$D$49&amp;"'!C9")&gt;2020, 0),
    INDIRECT("'"&amp;$D$49&amp;"'!GO_2049"),
    0
)
+IF(
    IFERROR(INDIRECT("'"&amp;$D$50&amp;"'!C9")&gt;2020, 0),
    INDIRECT("'"&amp;$D$50&amp;"'!GO_2049"),
    0
)
+IF(
    IFERROR(INDIRECT("'"&amp;$D$51&amp;"'!C9")&gt;2020, 0),
    INDIRECT("'"&amp;$D$51&amp;"'!GO_2049"),
    0
)
+IF(
    IFERROR(INDIRECT("'"&amp;$D$52&amp;"'!C9")&gt;2020, 0),
    INDIRECT("'"&amp;$D$52&amp;"'!GO_2049"),
    0
)
+IF(
    IFERROR(INDIRECT("'"&amp;$D$53&amp;"'!C9")&gt;2020, 0),
    INDIRECT("'"&amp;$D$53&amp;"'!GO_2049"),
    0
)
+IF(
    IFERROR(INDIRECT("'"&amp;$D$54&amp;"'!C9")&gt;2020, 0),
    INDIRECT("'"&amp;$D$54&amp;"'!GO_2049"),
    0
)</f>
        <v>15389</v>
      </c>
      <c r="AN28" s="322">
        <f ca="1">Nieuwbouw!AK38+IF(
    IFERROR(INDIRECT("'"&amp;$D$5&amp;"'!C9")&gt;2020, 0),
    INDIRECT("'"&amp;$D$5&amp;"'!GO_2050"),
    0
)
+IF(
    IFERROR(INDIRECT("'"&amp;$D$6&amp;"'!C9")&gt;2020, 0),
    INDIRECT("'"&amp;$D$6&amp;"'!GO_2050"),
    0
)
+IF(
    IFERROR(INDIRECT("'"&amp;$D$7&amp;"'!C9")&gt;2020, 0),
    INDIRECT("'"&amp;$D$7&amp;"'!GO_2050"),
    0
)
+IF(
    IFERROR(INDIRECT("'"&amp;$D$8&amp;"'!C9")&gt;2020, 0),
    INDIRECT("'"&amp;$D$8&amp;"'!GO_2050"),
    0
)
+IF(
    IFERROR(INDIRECT("'"&amp;$D$9&amp;"'!C9")&gt;2020, 0),
    INDIRECT("'"&amp;$D$9&amp;"'!GO_2050"),
    0
)
+IF(
    IFERROR(INDIRECT("'"&amp;$D$10&amp;"'!C9")&gt;2020, 0),
    INDIRECT("'"&amp;$D$10&amp;"'!GO_2050"),
    0
)
+IF(
    IFERROR(INDIRECT("'"&amp;$D$11&amp;"'!C9")&gt;2020, 0),
    INDIRECT("'"&amp;$D$11&amp;"'!GO_2050"),
    0
)
+IF(
    IFERROR(INDIRECT("'"&amp;$D$12&amp;"'!C9")&gt;2020, 0),
    INDIRECT("'"&amp;$D$12&amp;"'!GO_2050"),
    0
)
+IF(
    IFERROR(INDIRECT("'"&amp;$D$13&amp;"'!C9")&gt;2020, 0),
    INDIRECT("'"&amp;$D$13&amp;"'!GO_2050"),
    0
)
+IF(
    IFERROR(INDIRECT("'"&amp;$D$14&amp;"'!C9")&gt;2020, 0),
    INDIRECT("'"&amp;$D$14&amp;"'!GO_2050"),
    0
)
+IF(
    IFERROR(INDIRECT("'"&amp;$D$15&amp;"'!C9")&gt;2020, 0),
    INDIRECT("'"&amp;$D$15&amp;"'!GO_2050"),
    0
)
+IF(
    IFERROR(INDIRECT("'"&amp;$D$16&amp;"'!C9")&gt;2020, 0),
    INDIRECT("'"&amp;$D$16&amp;"'!GO_2050"),
    0
)
+IF(
    IFERROR(INDIRECT("'"&amp;$D$17&amp;"'!C9")&gt;2020, 0),
    INDIRECT("'"&amp;$D$17&amp;"'!GO_2050"),
    0
)
+IF(
    IFERROR(INDIRECT("'"&amp;$D$18&amp;"'!C9")&gt;2020, 0),
    INDIRECT("'"&amp;$D$18&amp;"'!GO_2050"),
    0
)
+IF(
    IFERROR(INDIRECT("'"&amp;$D$19&amp;"'!C9")&gt;2020, 0),
    INDIRECT("'"&amp;$D$19&amp;"'!GO_2050"),
    0
)
+IF(
    IFERROR(INDIRECT("'"&amp;$D$20&amp;"'!C9")&gt;2020, 0),
    INDIRECT("'"&amp;$D$20&amp;"'!GO_2050"),
    0
)
+IF(
    IFERROR(INDIRECT("'"&amp;$D$21&amp;"'!C9")&gt;2020, 0),
    INDIRECT("'"&amp;$D$21&amp;"'!GO_2050"),
    0
)
+IF(
    IFERROR(INDIRECT("'"&amp;$D$22&amp;"'!C9")&gt;2020, 0),
    INDIRECT("'"&amp;$D$22&amp;"'!GO_2050"),
    0
)
+IF(
    IFERROR(INDIRECT("'"&amp;$D$23&amp;"'!C9")&gt;2020, 0),
    INDIRECT("'"&amp;$D$23&amp;"'!GO_2050"),
    0
)
+IF(
    IFERROR(INDIRECT("'"&amp;$D$24&amp;"'!C9")&gt;2020, 0),
    INDIRECT("'"&amp;$D$24&amp;"'!GO_2050"),
    0
)
+IF(
    IFERROR(INDIRECT("'"&amp;$D$25&amp;"'!C9")&gt;2020, 0),
    INDIRECT("'"&amp;$D$25&amp;"'!GO_2050"),
    0
)
+IF(
    IFERROR(INDIRECT("'"&amp;$D$26&amp;"'!C9")&gt;2020, 0),
    INDIRECT("'"&amp;$D$26&amp;"'!GO_2050"),
    0
)
+IF(
    IFERROR(INDIRECT("'"&amp;$D$27&amp;"'!C9")&gt;2020, 0),
    INDIRECT("'"&amp;$D$27&amp;"'!GO_2050"),
    0
)
+IF(
    IFERROR(INDIRECT("'"&amp;$D$28&amp;"'!C9")&gt;2020, 0),
    INDIRECT("'"&amp;$D$28&amp;"'!GO_2050"),
    0
)
+IF(
    IFERROR(INDIRECT("'"&amp;$D$29&amp;"'!C9")&gt;2020, 0),
    INDIRECT("'"&amp;$D$29&amp;"'!GO_2050"),
    0
)
+IF(
    IFERROR(INDIRECT("'"&amp;$D$30&amp;"'!C9")&gt;2020, 0),
    INDIRECT("'"&amp;$D$30&amp;"'!GO_2050"),
    0
)
+IF(
    IFERROR(INDIRECT("'"&amp;$D$31&amp;"'!C9")&gt;2020, 0),
    INDIRECT("'"&amp;$D$31&amp;"'!GO_2050"),
    0
)
+IF(
    IFERROR(INDIRECT("'"&amp;$D$32&amp;"'!C9")&gt;2020, 0),
    INDIRECT("'"&amp;$D$32&amp;"'!GO_2050"),
    0
)
+IF(
    IFERROR(INDIRECT("'"&amp;$D$33&amp;"'!C9")&gt;2020, 0),
    INDIRECT("'"&amp;$D$33&amp;"'!GO_2050"),
    0
)
+IF(
    IFERROR(INDIRECT("'"&amp;$D$34&amp;"'!C9")&gt;2020, 0),
    INDIRECT("'"&amp;$D$34&amp;"'!GO_2050"),
    0
)
+IF(
    IFERROR(INDIRECT("'"&amp;$D$35&amp;"'!C9")&gt;2020, 0),
    INDIRECT("'"&amp;$D$35&amp;"'!GO_2050"),
    0
)
+IF(
    IFERROR(INDIRECT("'"&amp;$D$36&amp;"'!C9")&gt;2020, 0),
    INDIRECT("'"&amp;$D$36&amp;"'!GO_2050"),
    0
)
+IF(
    IFERROR(INDIRECT("'"&amp;$D$37&amp;"'!C9")&gt;2020, 0),
    INDIRECT("'"&amp;$D$37&amp;"'!GO_2050"),
    0
)
+IF(
    IFERROR(INDIRECT("'"&amp;$D$38&amp;"'!C9")&gt;2020, 0),
    INDIRECT("'"&amp;$D$38&amp;"'!GO_2050"),
    0
)
+IF(
    IFERROR(INDIRECT("'"&amp;$D$39&amp;"'!C9")&gt;2020, 0),
    INDIRECT("'"&amp;$D$39&amp;"'!GO_2050"),
    0
)
+IF(
    IFERROR(INDIRECT("'"&amp;$D$40&amp;"'!C9")&gt;2020, 0),
    INDIRECT("'"&amp;$D$40&amp;"'!GO_2050"),
    0
)
+IF(
    IFERROR(INDIRECT("'"&amp;$D$41&amp;"'!C9")&gt;2020, 0),
    INDIRECT("'"&amp;$D$41&amp;"'!GO_2050"),
    0
)
+IF(
    IFERROR(INDIRECT("'"&amp;$D$42&amp;"'!C9")&gt;2020, 0),
    INDIRECT("'"&amp;$D$42&amp;"'!GO_2050"),
    0
)
+IF(
    IFERROR(INDIRECT("'"&amp;$D$43&amp;"'!C9")&gt;2020, 0),
    INDIRECT("'"&amp;$D$43&amp;"'!GO_2050"),
    0
)
+IF(
    IFERROR(INDIRECT("'"&amp;$D$44&amp;"'!C9")&gt;2020, 0),
    INDIRECT("'"&amp;$D$44&amp;"'!GO_2050"),
    0
)
+IF(
    IFERROR(INDIRECT("'"&amp;$D$45&amp;"'!C9")&gt;2020, 0),
    INDIRECT("'"&amp;$D$45&amp;"'!GO_2050"),
    0
)
+IF(
    IFERROR(INDIRECT("'"&amp;$D$46&amp;"'!C9")&gt;2020, 0),
    INDIRECT("'"&amp;$D$46&amp;"'!GO_2050"),
    0
)
+IF(
    IFERROR(INDIRECT("'"&amp;$D$47&amp;"'!C9")&gt;2020, 0),
    INDIRECT("'"&amp;$D$47&amp;"'!GO_2050"),
    0
)
+IF(
    IFERROR(INDIRECT("'"&amp;$D$48&amp;"'!C9")&gt;2020, 0),
    INDIRECT("'"&amp;$D$48&amp;"'!GO_2050"),
    0
)
+IF(
    IFERROR(INDIRECT("'"&amp;$D$49&amp;"'!C9")&gt;2020, 0),
    INDIRECT("'"&amp;$D$49&amp;"'!GO_2050"),
    0
)
+IF(
    IFERROR(INDIRECT("'"&amp;$D$50&amp;"'!C9")&gt;2020, 0),
    INDIRECT("'"&amp;$D$50&amp;"'!GO_2050"),
    0
)
+IF(
    IFERROR(INDIRECT("'"&amp;$D$51&amp;"'!C9")&gt;2020, 0),
    INDIRECT("'"&amp;$D$51&amp;"'!GO_2050"),
    0
)
+IF(
    IFERROR(INDIRECT("'"&amp;$D$52&amp;"'!C9")&gt;2020, 0),
    INDIRECT("'"&amp;$D$52&amp;"'!GO_2050"),
    0
)
+IF(
    IFERROR(INDIRECT("'"&amp;$D$53&amp;"'!C9")&gt;2020, 0),
    INDIRECT("'"&amp;$D$53&amp;"'!GO_2050"),
    0
)
+IF(
    IFERROR(INDIRECT("'"&amp;$D$54&amp;"'!C9")&gt;2020, 0),
    INDIRECT("'"&amp;$D$54&amp;"'!GO_2050"),
    0
)</f>
        <v>15389</v>
      </c>
      <c r="AO28" s="123"/>
    </row>
    <row r="29" spans="2:41" ht="18.75">
      <c r="B29" s="8"/>
      <c r="C29" s="279" t="s">
        <v>66</v>
      </c>
      <c r="D29" s="115"/>
      <c r="E29" s="8"/>
      <c r="F29" s="303"/>
      <c r="G29" s="307" t="s">
        <v>643</v>
      </c>
      <c r="H29" s="320">
        <f ca="1">+IFERROR(INDIRECT("'"&amp;$D$5&amp;"'!Elekverbruik_2018"),0)
+IFERROR(INDIRECT("'"&amp;$D$6&amp;"'!Elekverbruik_2018"),0)
+IFERROR(INDIRECT("'"&amp;$D$7&amp;"'!Elekverbruik_2018"),0)
+IFERROR(INDIRECT("'"&amp;$D$8&amp;"'!Elekverbruik_2018"),0)
+IFERROR(INDIRECT("'"&amp;$D$9&amp;"'!Elekverbruik_2018"),0)
+IFERROR(INDIRECT("'"&amp;$D$10&amp;"'!Elekverbruik_2018"),0)
+IFERROR(INDIRECT("'"&amp;$D$11&amp;"'!Elekverbruik_2018"),0)
+IFERROR(INDIRECT("'"&amp;$D$12&amp;"'!Elekverbruik_2018"),0)
+IFERROR(INDIRECT("'"&amp;$D$13&amp;"'!Elekverbruik_2018"),0)
+IFERROR(INDIRECT("'"&amp;$D$14&amp;"'!Elekverbruik_2018"),0)
+IFERROR(INDIRECT("'"&amp;$D$15&amp;"'!Elekverbruik_2018"),0)
+IFERROR(INDIRECT("'"&amp;$D$16&amp;"'!Elekverbruik_2018"),0)
+IFERROR(INDIRECT("'"&amp;$D$17&amp;"'!Elekverbruik_2018"),0)
+IFERROR(INDIRECT("'"&amp;$D$18&amp;"'!Elekverbruik_2018"),0)
+IFERROR(INDIRECT("'"&amp;$D$19&amp;"'!Elekverbruik_2018"),0)
+IFERROR(INDIRECT("'"&amp;$D$20&amp;"'!Elekverbruik_2018"),0)
+IFERROR(INDIRECT("'"&amp;$D$21&amp;"'!Elekverbruik_2018"),0)
+IFERROR(INDIRECT("'"&amp;$D$22&amp;"'!Elekverbruik_2018"),0)
+IFERROR(INDIRECT("'"&amp;$D$23&amp;"'!Elekverbruik_2018"),0)
+IFERROR(INDIRECT("'"&amp;$D$24&amp;"'!Elekverbruik_2018"),0)
+IFERROR(INDIRECT("'"&amp;$D$25&amp;"'!Elekverbruik_2018"),0)
+IFERROR(INDIRECT("'"&amp;$D$26&amp;"'!Elekverbruik_2018"),0)
+IFERROR(INDIRECT("'"&amp;$D$27&amp;"'!Elekverbruik_2018"),0)
+IFERROR(INDIRECT("'"&amp;$D$28&amp;"'!Elekverbruik_2018"),0)
+IFERROR(INDIRECT("'"&amp;$D$29&amp;"'!Elekverbruik_2018"),0)
+IFERROR(INDIRECT("'"&amp;$D$30&amp;"'!Elekverbruik_2018"),0)
+IFERROR(INDIRECT("'"&amp;$D$31&amp;"'!Elekverbruik_2018"),0)
+IFERROR(INDIRECT("'"&amp;$D$32&amp;"'!Elekverbruik_2018"),0)
+IFERROR(INDIRECT("'"&amp;$D$33&amp;"'!Elekverbruik_2018"),0)
+IFERROR(INDIRECT("'"&amp;$D$34&amp;"'!Elekverbruik_2018"),0)
+IFERROR(INDIRECT("'"&amp;$D$35&amp;"'!Elekverbruik_2018"),0)
+IFERROR(INDIRECT("'"&amp;$D$36&amp;"'!Elekverbruik_2018"),0)
+IFERROR(INDIRECT("'"&amp;$D$37&amp;"'!Elekverbruik_2018"),0)
+IFERROR(INDIRECT("'"&amp;$D$38&amp;"'!Elekverbruik_2018"),0)
+IFERROR(INDIRECT("'"&amp;$D$39&amp;"'!Elekverbruik_2018"),0)
+IFERROR(INDIRECT("'"&amp;$D$40&amp;"'!Elekverbruik_2018"),0)
+IFERROR(INDIRECT("'"&amp;$D$41&amp;"'!Elekverbruik_2018"),0)
+IFERROR(INDIRECT("'"&amp;$D$42&amp;"'!Elekverbruik_2018"),0)
+IFERROR(INDIRECT("'"&amp;$D$43&amp;"'!Elekverbruik_2018"),0)
+IFERROR(INDIRECT("'"&amp;$D$44&amp;"'!Elekverbruik_2018"),0)
+IFERROR(INDIRECT("'"&amp;$D$45&amp;"'!Elekverbruik_2018"),0)
+IFERROR(INDIRECT("'"&amp;$D$46&amp;"'!Elekverbruik_2018"),0)
+IFERROR(INDIRECT("'"&amp;$D$47&amp;"'!Elekverbruik_2018"),0)
+IFERROR(INDIRECT("'"&amp;$D$48&amp;"'!Elekverbruik_2018"),0)
+IFERROR(INDIRECT("'"&amp;$D$49&amp;"'!Elekverbruik_2018"),0)
+IFERROR(INDIRECT("'"&amp;$D$50&amp;"'!Elekverbruik_2018"),0)
+IFERROR(INDIRECT("'"&amp;$D$51&amp;"'!Elekverbruik_2018"),0)
+IFERROR(INDIRECT("'"&amp;$D$52&amp;"'!Elekverbruik_2018"),0)
+IFERROR(INDIRECT("'"&amp;$D$53&amp;"'!Elekverbruik_2018"),0)
+IFERROR(INDIRECT("'"&amp;$D$54&amp;"'!Elekverbruik_2018"),0)
+Nieuwbouw!E54</f>
        <v>726663</v>
      </c>
      <c r="I29" s="320">
        <f ca="1">+IFERROR(INDIRECT("'"&amp;$D$5&amp;"'!Elekverbruik_2019"),0)
+IFERROR(INDIRECT("'"&amp;$D$6&amp;"'!Elekverbruik_2019"),0)
+IFERROR(INDIRECT("'"&amp;$D$7&amp;"'!Elekverbruik_2019"),0)
+IFERROR(INDIRECT("'"&amp;$D$8&amp;"'!Elekverbruik_2019"),0)
+IFERROR(INDIRECT("'"&amp;$D$9&amp;"'!Elekverbruik_2019"),0)
+IFERROR(INDIRECT("'"&amp;$D$10&amp;"'!Elekverbruik_2019"),0)
+IFERROR(INDIRECT("'"&amp;$D$11&amp;"'!Elekverbruik_2019"),0)
+IFERROR(INDIRECT("'"&amp;$D$12&amp;"'!Elekverbruik_2019"),0)
+IFERROR(INDIRECT("'"&amp;$D$13&amp;"'!Elekverbruik_2019"),0)
+IFERROR(INDIRECT("'"&amp;$D$14&amp;"'!Elekverbruik_2019"),0)
+IFERROR(INDIRECT("'"&amp;$D$15&amp;"'!Elekverbruik_2019"),0)
+IFERROR(INDIRECT("'"&amp;$D$16&amp;"'!Elekverbruik_2019"),0)
+IFERROR(INDIRECT("'"&amp;$D$17&amp;"'!Elekverbruik_2019"),0)
+IFERROR(INDIRECT("'"&amp;$D$18&amp;"'!Elekverbruik_2019"),0)
+IFERROR(INDIRECT("'"&amp;$D$19&amp;"'!Elekverbruik_2019"),0)
+IFERROR(INDIRECT("'"&amp;$D$20&amp;"'!Elekverbruik_2019"),0)
+IFERROR(INDIRECT("'"&amp;$D$21&amp;"'!Elekverbruik_2019"),0)
+IFERROR(INDIRECT("'"&amp;$D$22&amp;"'!Elekverbruik_2019"),0)
+IFERROR(INDIRECT("'"&amp;$D$23&amp;"'!Elekverbruik_2019"),0)
+IFERROR(INDIRECT("'"&amp;$D$24&amp;"'!Elekverbruik_2019"),0)
+IFERROR(INDIRECT("'"&amp;$D$25&amp;"'!Elekverbruik_2019"),0)
+IFERROR(INDIRECT("'"&amp;$D$26&amp;"'!Elekverbruik_2019"),0)
+IFERROR(INDIRECT("'"&amp;$D$27&amp;"'!Elekverbruik_2019"),0)
+IFERROR(INDIRECT("'"&amp;$D$28&amp;"'!Elekverbruik_2019"),0)
+IFERROR(INDIRECT("'"&amp;$D$29&amp;"'!Elekverbruik_2019"),0)
+IFERROR(INDIRECT("'"&amp;$D$30&amp;"'!Elekverbruik_2019"),0)
+IFERROR(INDIRECT("'"&amp;$D$31&amp;"'!Elekverbruik_2019"),0)
+IFERROR(INDIRECT("'"&amp;$D$32&amp;"'!Elekverbruik_2019"),0)
+IFERROR(INDIRECT("'"&amp;$D$33&amp;"'!Elekverbruik_2019"),0)
+IFERROR(INDIRECT("'"&amp;$D$34&amp;"'!Elekverbruik_2019"),0)
+IFERROR(INDIRECT("'"&amp;$D$35&amp;"'!Elekverbruik_2019"),0)
+IFERROR(INDIRECT("'"&amp;$D$36&amp;"'!Elekverbruik_2019"),0)
+IFERROR(INDIRECT("'"&amp;$D$37&amp;"'!Elekverbruik_2019"),0)
+IFERROR(INDIRECT("'"&amp;$D$38&amp;"'!Elekverbruik_2019"),0)
+IFERROR(INDIRECT("'"&amp;$D$39&amp;"'!Elekverbruik_2019"),0)
+IFERROR(INDIRECT("'"&amp;$D$40&amp;"'!Elekverbruik_2019"),0)
+IFERROR(INDIRECT("'"&amp;$D$41&amp;"'!Elekverbruik_2019"),0)
+IFERROR(INDIRECT("'"&amp;$D$42&amp;"'!Elekverbruik_2019"),0)
+IFERROR(INDIRECT("'"&amp;$D$43&amp;"'!Elekverbruik_2019"),0)
+IFERROR(INDIRECT("'"&amp;$D$44&amp;"'!Elekverbruik_2019"),0)
+IFERROR(INDIRECT("'"&amp;$D$45&amp;"'!Elekverbruik_2019"),0)
+IFERROR(INDIRECT("'"&amp;$D$46&amp;"'!Elekverbruik_2019"),0)
+IFERROR(INDIRECT("'"&amp;$D$47&amp;"'!Elekverbruik_2019"),0)
+IFERROR(INDIRECT("'"&amp;$D$48&amp;"'!Elekverbruik_2019"),0)
+IFERROR(INDIRECT("'"&amp;$D$49&amp;"'!Elekverbruik_2019"),0)
+IFERROR(INDIRECT("'"&amp;$D$50&amp;"'!Elekverbruik_2019"),0)
+IFERROR(INDIRECT("'"&amp;$D$51&amp;"'!Elekverbruik_2019"),0)
+IFERROR(INDIRECT("'"&amp;$D$52&amp;"'!Elekverbruik_2019"),0)
+IFERROR(INDIRECT("'"&amp;$D$53&amp;"'!Elekverbruik_2019"),0)
+IFERROR(INDIRECT("'"&amp;$D$54&amp;"'!Elekverbruik_2019"),0)
+Nieuwbouw!F54</f>
        <v>726663</v>
      </c>
      <c r="J29" s="320">
        <f ca="1">+IFERROR(INDIRECT("'"&amp;$D$5&amp;"'!Elekverbruik_2020"),0)
+IFERROR(INDIRECT("'"&amp;$D$6&amp;"'!Elekverbruik_2020"),0)
+IFERROR(INDIRECT("'"&amp;$D$7&amp;"'!Elekverbruik_2020"),0)
+IFERROR(INDIRECT("'"&amp;$D$8&amp;"'!Elekverbruik_2020"),0)
+IFERROR(INDIRECT("'"&amp;$D$9&amp;"'!Elekverbruik_2020"),0)
+IFERROR(INDIRECT("'"&amp;$D$10&amp;"'!Elekverbruik_2020"),0)
+IFERROR(INDIRECT("'"&amp;$D$11&amp;"'!Elekverbruik_2020"),0)
+IFERROR(INDIRECT("'"&amp;$D$12&amp;"'!Elekverbruik_2020"),0)
+IFERROR(INDIRECT("'"&amp;$D$13&amp;"'!Elekverbruik_2020"),0)
+IFERROR(INDIRECT("'"&amp;$D$14&amp;"'!Elekverbruik_2020"),0)
+IFERROR(INDIRECT("'"&amp;$D$15&amp;"'!Elekverbruik_2020"),0)
+IFERROR(INDIRECT("'"&amp;$D$16&amp;"'!Elekverbruik_2020"),0)
+IFERROR(INDIRECT("'"&amp;$D$17&amp;"'!Elekverbruik_2020"),0)
+IFERROR(INDIRECT("'"&amp;$D$18&amp;"'!Elekverbruik_2020"),0)
+IFERROR(INDIRECT("'"&amp;$D$19&amp;"'!Elekverbruik_2020"),0)
+IFERROR(INDIRECT("'"&amp;$D$20&amp;"'!Elekverbruik_2020"),0)
+IFERROR(INDIRECT("'"&amp;$D$21&amp;"'!Elekverbruik_2020"),0)
+IFERROR(INDIRECT("'"&amp;$D$22&amp;"'!Elekverbruik_2020"),0)
+IFERROR(INDIRECT("'"&amp;$D$23&amp;"'!Elekverbruik_2020"),0)
+IFERROR(INDIRECT("'"&amp;$D$24&amp;"'!Elekverbruik_2020"),0)
+IFERROR(INDIRECT("'"&amp;$D$25&amp;"'!Elekverbruik_2020"),0)
+IFERROR(INDIRECT("'"&amp;$D$26&amp;"'!Elekverbruik_2020"),0)
+IFERROR(INDIRECT("'"&amp;$D$27&amp;"'!Elekverbruik_2020"),0)
+IFERROR(INDIRECT("'"&amp;$D$28&amp;"'!Elekverbruik_2020"),0)
+IFERROR(INDIRECT("'"&amp;$D$29&amp;"'!Elekverbruik_2020"),0)
+IFERROR(INDIRECT("'"&amp;$D$30&amp;"'!Elekverbruik_2020"),0)
+IFERROR(INDIRECT("'"&amp;$D$31&amp;"'!Elekverbruik_2020"),0)
+IFERROR(INDIRECT("'"&amp;$D$32&amp;"'!Elekverbruik_2020"),0)
+IFERROR(INDIRECT("'"&amp;$D$33&amp;"'!Elekverbruik_2020"),0)
+IFERROR(INDIRECT("'"&amp;$D$34&amp;"'!Elekverbruik_2020"),0)
+IFERROR(INDIRECT("'"&amp;$D$35&amp;"'!Elekverbruik_2020"),0)
+IFERROR(INDIRECT("'"&amp;$D$36&amp;"'!Elekverbruik_2020"),0)
+IFERROR(INDIRECT("'"&amp;$D$37&amp;"'!Elekverbruik_2020"),0)
+IFERROR(INDIRECT("'"&amp;$D$38&amp;"'!Elekverbruik_2020"),0)
+IFERROR(INDIRECT("'"&amp;$D$39&amp;"'!Elekverbruik_2020"),0)
+IFERROR(INDIRECT("'"&amp;$D$40&amp;"'!Elekverbruik_2020"),0)
+IFERROR(INDIRECT("'"&amp;$D$41&amp;"'!Elekverbruik_2020"),0)
+IFERROR(INDIRECT("'"&amp;$D$42&amp;"'!Elekverbruik_2020"),0)
+IFERROR(INDIRECT("'"&amp;$D$43&amp;"'!Elekverbruik_2020"),0)
+IFERROR(INDIRECT("'"&amp;$D$44&amp;"'!Elekverbruik_2020"),0)
+IFERROR(INDIRECT("'"&amp;$D$45&amp;"'!Elekverbruik_2020"),0)
+IFERROR(INDIRECT("'"&amp;$D$46&amp;"'!Elekverbruik_2020"),0)
+IFERROR(INDIRECT("'"&amp;$D$47&amp;"'!Elekverbruik_2020"),0)
+IFERROR(INDIRECT("'"&amp;$D$48&amp;"'!Elekverbruik_2020"),0)
+IFERROR(INDIRECT("'"&amp;$D$49&amp;"'!Elekverbruik_2020"),0)
+IFERROR(INDIRECT("'"&amp;$D$50&amp;"'!Elekverbruik_2020"),0)
+IFERROR(INDIRECT("'"&amp;$D$51&amp;"'!Elekverbruik_2020"),0)
+IFERROR(INDIRECT("'"&amp;$D$52&amp;"'!Elekverbruik_2020"),0)
+IFERROR(INDIRECT("'"&amp;$D$53&amp;"'!Elekverbruik_2020"),0)
+IFERROR(INDIRECT("'"&amp;$D$54&amp;"'!Elekverbruik_2020"),0)
+Nieuwbouw!G54</f>
        <v>726663</v>
      </c>
      <c r="K29" s="320">
        <f ca="1">+IFERROR(INDIRECT("'"&amp;$D$5&amp;"'!Elekverbruik_2021"),0)
+IFERROR(INDIRECT("'"&amp;$D$6&amp;"'!Elekverbruik_2021"),0)
+IFERROR(INDIRECT("'"&amp;$D$7&amp;"'!Elekverbruik_2021"),0)
+IFERROR(INDIRECT("'"&amp;$D$8&amp;"'!Elekverbruik_2021"),0)
+IFERROR(INDIRECT("'"&amp;$D$9&amp;"'!Elekverbruik_2021"),0)
+IFERROR(INDIRECT("'"&amp;$D$10&amp;"'!Elekverbruik_2021"),0)
+IFERROR(INDIRECT("'"&amp;$D$11&amp;"'!Elekverbruik_2021"),0)
+IFERROR(INDIRECT("'"&amp;$D$12&amp;"'!Elekverbruik_2021"),0)
+IFERROR(INDIRECT("'"&amp;$D$13&amp;"'!Elekverbruik_2021"),0)
+IFERROR(INDIRECT("'"&amp;$D$14&amp;"'!Elekverbruik_2021"),0)
+IFERROR(INDIRECT("'"&amp;$D$15&amp;"'!Elekverbruik_2021"),0)
+IFERROR(INDIRECT("'"&amp;$D$16&amp;"'!Elekverbruik_2021"),0)
+IFERROR(INDIRECT("'"&amp;$D$17&amp;"'!Elekverbruik_2021"),0)
+IFERROR(INDIRECT("'"&amp;$D$18&amp;"'!Elekverbruik_2021"),0)
+IFERROR(INDIRECT("'"&amp;$D$19&amp;"'!Elekverbruik_2021"),0)
+IFERROR(INDIRECT("'"&amp;$D$20&amp;"'!Elekverbruik_2021"),0)
+IFERROR(INDIRECT("'"&amp;$D$21&amp;"'!Elekverbruik_2021"),0)
+IFERROR(INDIRECT("'"&amp;$D$22&amp;"'!Elekverbruik_2021"),0)
+IFERROR(INDIRECT("'"&amp;$D$23&amp;"'!Elekverbruik_2021"),0)
+IFERROR(INDIRECT("'"&amp;$D$24&amp;"'!Elekverbruik_2021"),0)
+IFERROR(INDIRECT("'"&amp;$D$25&amp;"'!Elekverbruik_2021"),0)
+IFERROR(INDIRECT("'"&amp;$D$26&amp;"'!Elekverbruik_2021"),0)
+IFERROR(INDIRECT("'"&amp;$D$27&amp;"'!Elekverbruik_2021"),0)
+IFERROR(INDIRECT("'"&amp;$D$28&amp;"'!Elekverbruik_2021"),0)
+IFERROR(INDIRECT("'"&amp;$D$29&amp;"'!Elekverbruik_2021"),0)
+IFERROR(INDIRECT("'"&amp;$D$30&amp;"'!Elekverbruik_2021"),0)
+IFERROR(INDIRECT("'"&amp;$D$31&amp;"'!Elekverbruik_2021"),0)
+IFERROR(INDIRECT("'"&amp;$D$32&amp;"'!Elekverbruik_2021"),0)
+IFERROR(INDIRECT("'"&amp;$D$33&amp;"'!Elekverbruik_2021"),0)
+IFERROR(INDIRECT("'"&amp;$D$34&amp;"'!Elekverbruik_2021"),0)
+IFERROR(INDIRECT("'"&amp;$D$35&amp;"'!Elekverbruik_2021"),0)
+IFERROR(INDIRECT("'"&amp;$D$36&amp;"'!Elekverbruik_2021"),0)
+IFERROR(INDIRECT("'"&amp;$D$37&amp;"'!Elekverbruik_2021"),0)
+IFERROR(INDIRECT("'"&amp;$D$38&amp;"'!Elekverbruik_2021"),0)
+IFERROR(INDIRECT("'"&amp;$D$39&amp;"'!Elekverbruik_2021"),0)
+IFERROR(INDIRECT("'"&amp;$D$40&amp;"'!Elekverbruik_2021"),0)
+IFERROR(INDIRECT("'"&amp;$D$41&amp;"'!Elekverbruik_2021"),0)
+IFERROR(INDIRECT("'"&amp;$D$42&amp;"'!Elekverbruik_2021"),0)
+IFERROR(INDIRECT("'"&amp;$D$43&amp;"'!Elekverbruik_2021"),0)
+IFERROR(INDIRECT("'"&amp;$D$44&amp;"'!Elekverbruik_2021"),0)
+IFERROR(INDIRECT("'"&amp;$D$45&amp;"'!Elekverbruik_2021"),0)
+IFERROR(INDIRECT("'"&amp;$D$46&amp;"'!Elekverbruik_2021"),0)
+IFERROR(INDIRECT("'"&amp;$D$47&amp;"'!Elekverbruik_2021"),0)
+IFERROR(INDIRECT("'"&amp;$D$48&amp;"'!Elekverbruik_2021"),0)
+IFERROR(INDIRECT("'"&amp;$D$49&amp;"'!Elekverbruik_2021"),0)
+IFERROR(INDIRECT("'"&amp;$D$50&amp;"'!Elekverbruik_2021"),0)
+IFERROR(INDIRECT("'"&amp;$D$51&amp;"'!Elekverbruik_2021"),0)
+IFERROR(INDIRECT("'"&amp;$D$52&amp;"'!Elekverbruik_2021"),0)
+IFERROR(INDIRECT("'"&amp;$D$53&amp;"'!Elekverbruik_2021"),0)
+IFERROR(INDIRECT("'"&amp;$D$54&amp;"'!Elekverbruik_2021"),0)
+Nieuwbouw!H54</f>
        <v>726663</v>
      </c>
      <c r="L29" s="320">
        <f ca="1">+IFERROR(INDIRECT("'"&amp;$D$5&amp;"'!Elekverbruik_2022"),0)
+IFERROR(INDIRECT("'"&amp;$D$6&amp;"'!Elekverbruik_2022"),0)
+IFERROR(INDIRECT("'"&amp;$D$7&amp;"'!Elekverbruik_2022"),0)
+IFERROR(INDIRECT("'"&amp;$D$8&amp;"'!Elekverbruik_2022"),0)
+IFERROR(INDIRECT("'"&amp;$D$9&amp;"'!Elekverbruik_2022"),0)
+IFERROR(INDIRECT("'"&amp;$D$10&amp;"'!Elekverbruik_2022"),0)
+IFERROR(INDIRECT("'"&amp;$D$11&amp;"'!Elekverbruik_2022"),0)
+IFERROR(INDIRECT("'"&amp;$D$12&amp;"'!Elekverbruik_2022"),0)
+IFERROR(INDIRECT("'"&amp;$D$13&amp;"'!Elekverbruik_2022"),0)
+IFERROR(INDIRECT("'"&amp;$D$14&amp;"'!Elekverbruik_2022"),0)
+IFERROR(INDIRECT("'"&amp;$D$15&amp;"'!Elekverbruik_2022"),0)
+IFERROR(INDIRECT("'"&amp;$D$16&amp;"'!Elekverbruik_2022"),0)
+IFERROR(INDIRECT("'"&amp;$D$17&amp;"'!Elekverbruik_2022"),0)
+IFERROR(INDIRECT("'"&amp;$D$18&amp;"'!Elekverbruik_2022"),0)
+IFERROR(INDIRECT("'"&amp;$D$19&amp;"'!Elekverbruik_2022"),0)
+IFERROR(INDIRECT("'"&amp;$D$20&amp;"'!Elekverbruik_2022"),0)
+IFERROR(INDIRECT("'"&amp;$D$21&amp;"'!Elekverbruik_2022"),0)
+IFERROR(INDIRECT("'"&amp;$D$22&amp;"'!Elekverbruik_2022"),0)
+IFERROR(INDIRECT("'"&amp;$D$23&amp;"'!Elekverbruik_2022"),0)
+IFERROR(INDIRECT("'"&amp;$D$24&amp;"'!Elekverbruik_2022"),0)
+IFERROR(INDIRECT("'"&amp;$D$25&amp;"'!Elekverbruik_2022"),0)
+IFERROR(INDIRECT("'"&amp;$D$26&amp;"'!Elekverbruik_2022"),0)
+IFERROR(INDIRECT("'"&amp;$D$27&amp;"'!Elekverbruik_2022"),0)
+IFERROR(INDIRECT("'"&amp;$D$28&amp;"'!Elekverbruik_2022"),0)
+IFERROR(INDIRECT("'"&amp;$D$29&amp;"'!Elekverbruik_2022"),0)
+IFERROR(INDIRECT("'"&amp;$D$30&amp;"'!Elekverbruik_2022"),0)
+IFERROR(INDIRECT("'"&amp;$D$31&amp;"'!Elekverbruik_2022"),0)
+IFERROR(INDIRECT("'"&amp;$D$32&amp;"'!Elekverbruik_2022"),0)
+IFERROR(INDIRECT("'"&amp;$D$33&amp;"'!Elekverbruik_2022"),0)
+IFERROR(INDIRECT("'"&amp;$D$34&amp;"'!Elekverbruik_2022"),0)
+IFERROR(INDIRECT("'"&amp;$D$35&amp;"'!Elekverbruik_2022"),0)
+IFERROR(INDIRECT("'"&amp;$D$36&amp;"'!Elekverbruik_2022"),0)
+IFERROR(INDIRECT("'"&amp;$D$37&amp;"'!Elekverbruik_2022"),0)
+IFERROR(INDIRECT("'"&amp;$D$38&amp;"'!Elekverbruik_2022"),0)
+IFERROR(INDIRECT("'"&amp;$D$39&amp;"'!Elekverbruik_2022"),0)
+IFERROR(INDIRECT("'"&amp;$D$40&amp;"'!Elekverbruik_2022"),0)
+IFERROR(INDIRECT("'"&amp;$D$41&amp;"'!Elekverbruik_2022"),0)
+IFERROR(INDIRECT("'"&amp;$D$42&amp;"'!Elekverbruik_2022"),0)
+IFERROR(INDIRECT("'"&amp;$D$43&amp;"'!Elekverbruik_2022"),0)
+IFERROR(INDIRECT("'"&amp;$D$44&amp;"'!Elekverbruik_2022"),0)
+IFERROR(INDIRECT("'"&amp;$D$45&amp;"'!Elekverbruik_2022"),0)
+IFERROR(INDIRECT("'"&amp;$D$46&amp;"'!Elekverbruik_2022"),0)
+IFERROR(INDIRECT("'"&amp;$D$47&amp;"'!Elekverbruik_2022"),0)
+IFERROR(INDIRECT("'"&amp;$D$48&amp;"'!Elekverbruik_2022"),0)
+IFERROR(INDIRECT("'"&amp;$D$49&amp;"'!Elekverbruik_2022"),0)
+IFERROR(INDIRECT("'"&amp;$D$50&amp;"'!Elekverbruik_2022"),0)
+IFERROR(INDIRECT("'"&amp;$D$51&amp;"'!Elekverbruik_2022"),0)
+IFERROR(INDIRECT("'"&amp;$D$52&amp;"'!Elekverbruik_2022"),0)
+IFERROR(INDIRECT("'"&amp;$D$53&amp;"'!Elekverbruik_2022"),0)
+IFERROR(INDIRECT("'"&amp;$D$54&amp;"'!Elekverbruik_2022"),0)
+Nieuwbouw!I54</f>
        <v>726663</v>
      </c>
      <c r="M29" s="320">
        <f ca="1">+IFERROR(INDIRECT("'"&amp;$D$5&amp;"'!Elekverbruik_2023"),0)
+IFERROR(INDIRECT("'"&amp;$D$6&amp;"'!Elekverbruik_2023"),0)
+IFERROR(INDIRECT("'"&amp;$D$7&amp;"'!Elekverbruik_2023"),0)
+IFERROR(INDIRECT("'"&amp;$D$8&amp;"'!Elekverbruik_2023"),0)
+IFERROR(INDIRECT("'"&amp;$D$9&amp;"'!Elekverbruik_2023"),0)
+IFERROR(INDIRECT("'"&amp;$D$10&amp;"'!Elekverbruik_2023"),0)
+IFERROR(INDIRECT("'"&amp;$D$11&amp;"'!Elekverbruik_2023"),0)
+IFERROR(INDIRECT("'"&amp;$D$12&amp;"'!Elekverbruik_2023"),0)
+IFERROR(INDIRECT("'"&amp;$D$13&amp;"'!Elekverbruik_2023"),0)
+IFERROR(INDIRECT("'"&amp;$D$14&amp;"'!Elekverbruik_2023"),0)
+IFERROR(INDIRECT("'"&amp;$D$15&amp;"'!Elekverbruik_2023"),0)
+IFERROR(INDIRECT("'"&amp;$D$16&amp;"'!Elekverbruik_2023"),0)
+IFERROR(INDIRECT("'"&amp;$D$17&amp;"'!Elekverbruik_2023"),0)
+IFERROR(INDIRECT("'"&amp;$D$18&amp;"'!Elekverbruik_2023"),0)
+IFERROR(INDIRECT("'"&amp;$D$19&amp;"'!Elekverbruik_2023"),0)
+IFERROR(INDIRECT("'"&amp;$D$20&amp;"'!Elekverbruik_2023"),0)
+IFERROR(INDIRECT("'"&amp;$D$21&amp;"'!Elekverbruik_2023"),0)
+IFERROR(INDIRECT("'"&amp;$D$22&amp;"'!Elekverbruik_2023"),0)
+IFERROR(INDIRECT("'"&amp;$D$23&amp;"'!Elekverbruik_2023"),0)
+IFERROR(INDIRECT("'"&amp;$D$24&amp;"'!Elekverbruik_2023"),0)
+IFERROR(INDIRECT("'"&amp;$D$25&amp;"'!Elekverbruik_2023"),0)
+IFERROR(INDIRECT("'"&amp;$D$26&amp;"'!Elekverbruik_2023"),0)
+IFERROR(INDIRECT("'"&amp;$D$27&amp;"'!Elekverbruik_2023"),0)
+IFERROR(INDIRECT("'"&amp;$D$28&amp;"'!Elekverbruik_2023"),0)
+IFERROR(INDIRECT("'"&amp;$D$29&amp;"'!Elekverbruik_2023"),0)
+IFERROR(INDIRECT("'"&amp;$D$30&amp;"'!Elekverbruik_2023"),0)
+IFERROR(INDIRECT("'"&amp;$D$31&amp;"'!Elekverbruik_2023"),0)
+IFERROR(INDIRECT("'"&amp;$D$32&amp;"'!Elekverbruik_2023"),0)
+IFERROR(INDIRECT("'"&amp;$D$33&amp;"'!Elekverbruik_2023"),0)
+IFERROR(INDIRECT("'"&amp;$D$34&amp;"'!Elekverbruik_2023"),0)
+IFERROR(INDIRECT("'"&amp;$D$35&amp;"'!Elekverbruik_2023"),0)
+IFERROR(INDIRECT("'"&amp;$D$36&amp;"'!Elekverbruik_2023"),0)
+IFERROR(INDIRECT("'"&amp;$D$37&amp;"'!Elekverbruik_2023"),0)
+IFERROR(INDIRECT("'"&amp;$D$38&amp;"'!Elekverbruik_2023"),0)
+IFERROR(INDIRECT("'"&amp;$D$39&amp;"'!Elekverbruik_2023"),0)
+IFERROR(INDIRECT("'"&amp;$D$40&amp;"'!Elekverbruik_2023"),0)
+IFERROR(INDIRECT("'"&amp;$D$41&amp;"'!Elekverbruik_2023"),0)
+IFERROR(INDIRECT("'"&amp;$D$42&amp;"'!Elekverbruik_2023"),0)
+IFERROR(INDIRECT("'"&amp;$D$43&amp;"'!Elekverbruik_2023"),0)
+IFERROR(INDIRECT("'"&amp;$D$44&amp;"'!Elekverbruik_2023"),0)
+IFERROR(INDIRECT("'"&amp;$D$45&amp;"'!Elekverbruik_2023"),0)
+IFERROR(INDIRECT("'"&amp;$D$46&amp;"'!Elekverbruik_2023"),0)
+IFERROR(INDIRECT("'"&amp;$D$47&amp;"'!Elekverbruik_2023"),0)
+IFERROR(INDIRECT("'"&amp;$D$48&amp;"'!Elekverbruik_2023"),0)
+IFERROR(INDIRECT("'"&amp;$D$49&amp;"'!Elekverbruik_2023"),0)
+IFERROR(INDIRECT("'"&amp;$D$50&amp;"'!Elekverbruik_2023"),0)
+IFERROR(INDIRECT("'"&amp;$D$51&amp;"'!Elekverbruik_2023"),0)
+IFERROR(INDIRECT("'"&amp;$D$52&amp;"'!Elekverbruik_2023"),0)
+IFERROR(INDIRECT("'"&amp;$D$53&amp;"'!Elekverbruik_2023"),0)
+IFERROR(INDIRECT("'"&amp;$D$54&amp;"'!Elekverbruik_2023"),0)
+Nieuwbouw!J54</f>
        <v>588947.33749133325</v>
      </c>
      <c r="N29" s="320">
        <f ca="1">+IFERROR(INDIRECT("'"&amp;$D$5&amp;"'!Elekverbruik_2024"),0)
+IFERROR(INDIRECT("'"&amp;$D$6&amp;"'!Elekverbruik_2024"),0)
+IFERROR(INDIRECT("'"&amp;$D$7&amp;"'!Elekverbruik_2024"),0)
+IFERROR(INDIRECT("'"&amp;$D$8&amp;"'!Elekverbruik_2024"),0)
+IFERROR(INDIRECT("'"&amp;$D$9&amp;"'!Elekverbruik_2024"),0)
+IFERROR(INDIRECT("'"&amp;$D$10&amp;"'!Elekverbruik_2024"),0)
+IFERROR(INDIRECT("'"&amp;$D$11&amp;"'!Elekverbruik_2024"),0)
+IFERROR(INDIRECT("'"&amp;$D$12&amp;"'!Elekverbruik_2024"),0)
+IFERROR(INDIRECT("'"&amp;$D$13&amp;"'!Elekverbruik_2024"),0)
+IFERROR(INDIRECT("'"&amp;$D$14&amp;"'!Elekverbruik_2024"),0)
+IFERROR(INDIRECT("'"&amp;$D$15&amp;"'!Elekverbruik_2024"),0)
+IFERROR(INDIRECT("'"&amp;$D$16&amp;"'!Elekverbruik_2024"),0)
+IFERROR(INDIRECT("'"&amp;$D$17&amp;"'!Elekverbruik_2024"),0)
+IFERROR(INDIRECT("'"&amp;$D$18&amp;"'!Elekverbruik_2024"),0)
+IFERROR(INDIRECT("'"&amp;$D$19&amp;"'!Elekverbruik_2024"),0)
+IFERROR(INDIRECT("'"&amp;$D$20&amp;"'!Elekverbruik_2024"),0)
+IFERROR(INDIRECT("'"&amp;$D$21&amp;"'!Elekverbruik_2024"),0)
+IFERROR(INDIRECT("'"&amp;$D$22&amp;"'!Elekverbruik_2024"),0)
+IFERROR(INDIRECT("'"&amp;$D$23&amp;"'!Elekverbruik_2024"),0)
+IFERROR(INDIRECT("'"&amp;$D$24&amp;"'!Elekverbruik_2024"),0)
+IFERROR(INDIRECT("'"&amp;$D$25&amp;"'!Elekverbruik_2024"),0)
+IFERROR(INDIRECT("'"&amp;$D$26&amp;"'!Elekverbruik_2024"),0)
+IFERROR(INDIRECT("'"&amp;$D$27&amp;"'!Elekverbruik_2024"),0)
+IFERROR(INDIRECT("'"&amp;$D$28&amp;"'!Elekverbruik_2024"),0)
+IFERROR(INDIRECT("'"&amp;$D$29&amp;"'!Elekverbruik_2024"),0)
+IFERROR(INDIRECT("'"&amp;$D$30&amp;"'!Elekverbruik_2024"),0)
+IFERROR(INDIRECT("'"&amp;$D$31&amp;"'!Elekverbruik_2024"),0)
+IFERROR(INDIRECT("'"&amp;$D$32&amp;"'!Elekverbruik_2024"),0)
+IFERROR(INDIRECT("'"&amp;$D$33&amp;"'!Elekverbruik_2024"),0)
+IFERROR(INDIRECT("'"&amp;$D$34&amp;"'!Elekverbruik_2024"),0)
+IFERROR(INDIRECT("'"&amp;$D$35&amp;"'!Elekverbruik_2024"),0)
+IFERROR(INDIRECT("'"&amp;$D$36&amp;"'!Elekverbruik_2024"),0)
+IFERROR(INDIRECT("'"&amp;$D$37&amp;"'!Elekverbruik_2024"),0)
+IFERROR(INDIRECT("'"&amp;$D$38&amp;"'!Elekverbruik_2024"),0)
+IFERROR(INDIRECT("'"&amp;$D$39&amp;"'!Elekverbruik_2024"),0)
+IFERROR(INDIRECT("'"&amp;$D$40&amp;"'!Elekverbruik_2024"),0)
+IFERROR(INDIRECT("'"&amp;$D$41&amp;"'!Elekverbruik_2024"),0)
+IFERROR(INDIRECT("'"&amp;$D$42&amp;"'!Elekverbruik_2024"),0)
+IFERROR(INDIRECT("'"&amp;$D$43&amp;"'!Elekverbruik_2024"),0)
+IFERROR(INDIRECT("'"&amp;$D$44&amp;"'!Elekverbruik_2024"),0)
+IFERROR(INDIRECT("'"&amp;$D$45&amp;"'!Elekverbruik_2024"),0)
+IFERROR(INDIRECT("'"&amp;$D$46&amp;"'!Elekverbruik_2024"),0)
+IFERROR(INDIRECT("'"&amp;$D$47&amp;"'!Elekverbruik_2024"),0)
+IFERROR(INDIRECT("'"&amp;$D$48&amp;"'!Elekverbruik_2024"),0)
+IFERROR(INDIRECT("'"&amp;$D$49&amp;"'!Elekverbruik_2024"),0)
+IFERROR(INDIRECT("'"&amp;$D$50&amp;"'!Elekverbruik_2024"),0)
+IFERROR(INDIRECT("'"&amp;$D$51&amp;"'!Elekverbruik_2024"),0)
+IFERROR(INDIRECT("'"&amp;$D$52&amp;"'!Elekverbruik_2024"),0)
+IFERROR(INDIRECT("'"&amp;$D$53&amp;"'!Elekverbruik_2024"),0)
+IFERROR(INDIRECT("'"&amp;$D$54&amp;"'!Elekverbruik_2024"),0)
+Nieuwbouw!K54</f>
        <v>566622.79042555473</v>
      </c>
      <c r="O29" s="320">
        <f ca="1">+IFERROR(INDIRECT("'"&amp;$D$5&amp;"'!Elekverbruik_2025"),0)
+IFERROR(INDIRECT("'"&amp;$D$6&amp;"'!Elekverbruik_2025"),0)
+IFERROR(INDIRECT("'"&amp;$D$7&amp;"'!Elekverbruik_2025"),0)
+IFERROR(INDIRECT("'"&amp;$D$8&amp;"'!Elekverbruik_2025"),0)
+IFERROR(INDIRECT("'"&amp;$D$9&amp;"'!Elekverbruik_2025"),0)
+IFERROR(INDIRECT("'"&amp;$D$10&amp;"'!Elekverbruik_2025"),0)
+IFERROR(INDIRECT("'"&amp;$D$11&amp;"'!Elekverbruik_2025"),0)
+IFERROR(INDIRECT("'"&amp;$D$12&amp;"'!Elekverbruik_2025"),0)
+IFERROR(INDIRECT("'"&amp;$D$13&amp;"'!Elekverbruik_2025"),0)
+IFERROR(INDIRECT("'"&amp;$D$14&amp;"'!Elekverbruik_2025"),0)
+IFERROR(INDIRECT("'"&amp;$D$15&amp;"'!Elekverbruik_2025"),0)
+IFERROR(INDIRECT("'"&amp;$D$16&amp;"'!Elekverbruik_2025"),0)
+IFERROR(INDIRECT("'"&amp;$D$17&amp;"'!Elekverbruik_2025"),0)
+IFERROR(INDIRECT("'"&amp;$D$18&amp;"'!Elekverbruik_2025"),0)
+IFERROR(INDIRECT("'"&amp;$D$19&amp;"'!Elekverbruik_2025"),0)
+IFERROR(INDIRECT("'"&amp;$D$20&amp;"'!Elekverbruik_2025"),0)
+IFERROR(INDIRECT("'"&amp;$D$21&amp;"'!Elekverbruik_2025"),0)
+IFERROR(INDIRECT("'"&amp;$D$22&amp;"'!Elekverbruik_2025"),0)
+IFERROR(INDIRECT("'"&amp;$D$23&amp;"'!Elekverbruik_2025"),0)
+IFERROR(INDIRECT("'"&amp;$D$24&amp;"'!Elekverbruik_2025"),0)
+IFERROR(INDIRECT("'"&amp;$D$25&amp;"'!Elekverbruik_2025"),0)
+IFERROR(INDIRECT("'"&amp;$D$26&amp;"'!Elekverbruik_2025"),0)
+IFERROR(INDIRECT("'"&amp;$D$27&amp;"'!Elekverbruik_2025"),0)
+IFERROR(INDIRECT("'"&amp;$D$28&amp;"'!Elekverbruik_2025"),0)
+IFERROR(INDIRECT("'"&amp;$D$29&amp;"'!Elekverbruik_2025"),0)
+IFERROR(INDIRECT("'"&amp;$D$30&amp;"'!Elekverbruik_2025"),0)
+IFERROR(INDIRECT("'"&amp;$D$31&amp;"'!Elekverbruik_2025"),0)
+IFERROR(INDIRECT("'"&amp;$D$32&amp;"'!Elekverbruik_2025"),0)
+IFERROR(INDIRECT("'"&amp;$D$33&amp;"'!Elekverbruik_2025"),0)
+IFERROR(INDIRECT("'"&amp;$D$34&amp;"'!Elekverbruik_2025"),0)
+IFERROR(INDIRECT("'"&amp;$D$35&amp;"'!Elekverbruik_2025"),0)
+IFERROR(INDIRECT("'"&amp;$D$36&amp;"'!Elekverbruik_2025"),0)
+IFERROR(INDIRECT("'"&amp;$D$37&amp;"'!Elekverbruik_2025"),0)
+IFERROR(INDIRECT("'"&amp;$D$38&amp;"'!Elekverbruik_2025"),0)
+IFERROR(INDIRECT("'"&amp;$D$39&amp;"'!Elekverbruik_2025"),0)
+IFERROR(INDIRECT("'"&amp;$D$40&amp;"'!Elekverbruik_2025"),0)
+IFERROR(INDIRECT("'"&amp;$D$41&amp;"'!Elekverbruik_2025"),0)
+IFERROR(INDIRECT("'"&amp;$D$42&amp;"'!Elekverbruik_2025"),0)
+IFERROR(INDIRECT("'"&amp;$D$43&amp;"'!Elekverbruik_2025"),0)
+IFERROR(INDIRECT("'"&amp;$D$44&amp;"'!Elekverbruik_2025"),0)
+IFERROR(INDIRECT("'"&amp;$D$45&amp;"'!Elekverbruik_2025"),0)
+IFERROR(INDIRECT("'"&amp;$D$46&amp;"'!Elekverbruik_2025"),0)
+IFERROR(INDIRECT("'"&amp;$D$47&amp;"'!Elekverbruik_2025"),0)
+IFERROR(INDIRECT("'"&amp;$D$48&amp;"'!Elekverbruik_2025"),0)
+IFERROR(INDIRECT("'"&amp;$D$49&amp;"'!Elekverbruik_2025"),0)
+IFERROR(INDIRECT("'"&amp;$D$50&amp;"'!Elekverbruik_2025"),0)
+IFERROR(INDIRECT("'"&amp;$D$51&amp;"'!Elekverbruik_2025"),0)
+IFERROR(INDIRECT("'"&amp;$D$52&amp;"'!Elekverbruik_2025"),0)
+IFERROR(INDIRECT("'"&amp;$D$53&amp;"'!Elekverbruik_2025"),0)
+IFERROR(INDIRECT("'"&amp;$D$54&amp;"'!Elekverbruik_2025"),0)
+Nieuwbouw!L54</f>
        <v>475023.93727287609</v>
      </c>
      <c r="P29" s="320">
        <f ca="1">+IFERROR(INDIRECT("'"&amp;$D$5&amp;"'!Elekverbruik_2026"),0)
+IFERROR(INDIRECT("'"&amp;$D$6&amp;"'!Elekverbruik_2026"),0)
+IFERROR(INDIRECT("'"&amp;$D$7&amp;"'!Elekverbruik_2026"),0)
+IFERROR(INDIRECT("'"&amp;$D$8&amp;"'!Elekverbruik_2026"),0)
+IFERROR(INDIRECT("'"&amp;$D$9&amp;"'!Elekverbruik_2026"),0)
+IFERROR(INDIRECT("'"&amp;$D$10&amp;"'!Elekverbruik_2026"),0)
+IFERROR(INDIRECT("'"&amp;$D$11&amp;"'!Elekverbruik_2026"),0)
+IFERROR(INDIRECT("'"&amp;$D$12&amp;"'!Elekverbruik_2026"),0)
+IFERROR(INDIRECT("'"&amp;$D$13&amp;"'!Elekverbruik_2026"),0)
+IFERROR(INDIRECT("'"&amp;$D$14&amp;"'!Elekverbruik_2026"),0)
+IFERROR(INDIRECT("'"&amp;$D$15&amp;"'!Elekverbruik_2026"),0)
+IFERROR(INDIRECT("'"&amp;$D$16&amp;"'!Elekverbruik_2026"),0)
+IFERROR(INDIRECT("'"&amp;$D$17&amp;"'!Elekverbruik_2026"),0)
+IFERROR(INDIRECT("'"&amp;$D$18&amp;"'!Elekverbruik_2026"),0)
+IFERROR(INDIRECT("'"&amp;$D$19&amp;"'!Elekverbruik_2026"),0)
+IFERROR(INDIRECT("'"&amp;$D$20&amp;"'!Elekverbruik_2026"),0)
+IFERROR(INDIRECT("'"&amp;$D$21&amp;"'!Elekverbruik_2026"),0)
+IFERROR(INDIRECT("'"&amp;$D$22&amp;"'!Elekverbruik_2026"),0)
+IFERROR(INDIRECT("'"&amp;$D$23&amp;"'!Elekverbruik_2026"),0)
+IFERROR(INDIRECT("'"&amp;$D$24&amp;"'!Elekverbruik_2026"),0)
+IFERROR(INDIRECT("'"&amp;$D$25&amp;"'!Elekverbruik_2026"),0)
+IFERROR(INDIRECT("'"&amp;$D$26&amp;"'!Elekverbruik_2026"),0)
+IFERROR(INDIRECT("'"&amp;$D$27&amp;"'!Elekverbruik_2026"),0)
+IFERROR(INDIRECT("'"&amp;$D$28&amp;"'!Elekverbruik_2026"),0)
+IFERROR(INDIRECT("'"&amp;$D$29&amp;"'!Elekverbruik_2026"),0)
+IFERROR(INDIRECT("'"&amp;$D$30&amp;"'!Elekverbruik_2026"),0)
+IFERROR(INDIRECT("'"&amp;$D$31&amp;"'!Elekverbruik_2026"),0)
+IFERROR(INDIRECT("'"&amp;$D$32&amp;"'!Elekverbruik_2026"),0)
+IFERROR(INDIRECT("'"&amp;$D$33&amp;"'!Elekverbruik_2026"),0)
+IFERROR(INDIRECT("'"&amp;$D$34&amp;"'!Elekverbruik_2026"),0)
+IFERROR(INDIRECT("'"&amp;$D$35&amp;"'!Elekverbruik_2026"),0)
+IFERROR(INDIRECT("'"&amp;$D$36&amp;"'!Elekverbruik_2026"),0)
+IFERROR(INDIRECT("'"&amp;$D$37&amp;"'!Elekverbruik_2026"),0)
+IFERROR(INDIRECT("'"&amp;$D$38&amp;"'!Elekverbruik_2026"),0)
+IFERROR(INDIRECT("'"&amp;$D$39&amp;"'!Elekverbruik_2026"),0)
+IFERROR(INDIRECT("'"&amp;$D$40&amp;"'!Elekverbruik_2026"),0)
+IFERROR(INDIRECT("'"&amp;$D$41&amp;"'!Elekverbruik_2026"),0)
+IFERROR(INDIRECT("'"&amp;$D$42&amp;"'!Elekverbruik_2026"),0)
+IFERROR(INDIRECT("'"&amp;$D$43&amp;"'!Elekverbruik_2026"),0)
+IFERROR(INDIRECT("'"&amp;$D$44&amp;"'!Elekverbruik_2026"),0)
+IFERROR(INDIRECT("'"&amp;$D$45&amp;"'!Elekverbruik_2026"),0)
+IFERROR(INDIRECT("'"&amp;$D$46&amp;"'!Elekverbruik_2026"),0)
+IFERROR(INDIRECT("'"&amp;$D$47&amp;"'!Elekverbruik_2026"),0)
+IFERROR(INDIRECT("'"&amp;$D$48&amp;"'!Elekverbruik_2026"),0)
+IFERROR(INDIRECT("'"&amp;$D$49&amp;"'!Elekverbruik_2026"),0)
+IFERROR(INDIRECT("'"&amp;$D$50&amp;"'!Elekverbruik_2026"),0)
+IFERROR(INDIRECT("'"&amp;$D$51&amp;"'!Elekverbruik_2026"),0)
+IFERROR(INDIRECT("'"&amp;$D$52&amp;"'!Elekverbruik_2026"),0)
+IFERROR(INDIRECT("'"&amp;$D$53&amp;"'!Elekverbruik_2026"),0)
+IFERROR(INDIRECT("'"&amp;$D$54&amp;"'!Elekverbruik_2026"),0)
+Nieuwbouw!M54</f>
        <v>497738.01912019757</v>
      </c>
      <c r="Q29" s="320">
        <f ca="1">+IFERROR(INDIRECT("'"&amp;$D$5&amp;"'!Elekverbruik_2027"),0)
+IFERROR(INDIRECT("'"&amp;$D$6&amp;"'!Elekverbruik_2027"),0)
+IFERROR(INDIRECT("'"&amp;$D$7&amp;"'!Elekverbruik_2027"),0)
+IFERROR(INDIRECT("'"&amp;$D$8&amp;"'!Elekverbruik_2027"),0)
+IFERROR(INDIRECT("'"&amp;$D$9&amp;"'!Elekverbruik_2027"),0)
+IFERROR(INDIRECT("'"&amp;$D$10&amp;"'!Elekverbruik_2027"),0)
+IFERROR(INDIRECT("'"&amp;$D$11&amp;"'!Elekverbruik_2027"),0)
+IFERROR(INDIRECT("'"&amp;$D$12&amp;"'!Elekverbruik_2027"),0)
+IFERROR(INDIRECT("'"&amp;$D$13&amp;"'!Elekverbruik_2027"),0)
+IFERROR(INDIRECT("'"&amp;$D$14&amp;"'!Elekverbruik_2027"),0)
+IFERROR(INDIRECT("'"&amp;$D$15&amp;"'!Elekverbruik_2027"),0)
+IFERROR(INDIRECT("'"&amp;$D$16&amp;"'!Elekverbruik_2027"),0)
+IFERROR(INDIRECT("'"&amp;$D$17&amp;"'!Elekverbruik_2027"),0)
+IFERROR(INDIRECT("'"&amp;$D$18&amp;"'!Elekverbruik_2027"),0)
+IFERROR(INDIRECT("'"&amp;$D$19&amp;"'!Elekverbruik_2027"),0)
+IFERROR(INDIRECT("'"&amp;$D$20&amp;"'!Elekverbruik_2027"),0)
+IFERROR(INDIRECT("'"&amp;$D$21&amp;"'!Elekverbruik_2027"),0)
+IFERROR(INDIRECT("'"&amp;$D$22&amp;"'!Elekverbruik_2027"),0)
+IFERROR(INDIRECT("'"&amp;$D$23&amp;"'!Elekverbruik_2027"),0)
+IFERROR(INDIRECT("'"&amp;$D$24&amp;"'!Elekverbruik_2027"),0)
+IFERROR(INDIRECT("'"&amp;$D$25&amp;"'!Elekverbruik_2027"),0)
+IFERROR(INDIRECT("'"&amp;$D$26&amp;"'!Elekverbruik_2027"),0)
+IFERROR(INDIRECT("'"&amp;$D$27&amp;"'!Elekverbruik_2027"),0)
+IFERROR(INDIRECT("'"&amp;$D$28&amp;"'!Elekverbruik_2027"),0)
+IFERROR(INDIRECT("'"&amp;$D$29&amp;"'!Elekverbruik_2027"),0)
+IFERROR(INDIRECT("'"&amp;$D$30&amp;"'!Elekverbruik_2027"),0)
+IFERROR(INDIRECT("'"&amp;$D$31&amp;"'!Elekverbruik_2027"),0)
+IFERROR(INDIRECT("'"&amp;$D$32&amp;"'!Elekverbruik_2027"),0)
+IFERROR(INDIRECT("'"&amp;$D$33&amp;"'!Elekverbruik_2027"),0)
+IFERROR(INDIRECT("'"&amp;$D$34&amp;"'!Elekverbruik_2027"),0)
+IFERROR(INDIRECT("'"&amp;$D$35&amp;"'!Elekverbruik_2027"),0)
+IFERROR(INDIRECT("'"&amp;$D$36&amp;"'!Elekverbruik_2027"),0)
+IFERROR(INDIRECT("'"&amp;$D$37&amp;"'!Elekverbruik_2027"),0)
+IFERROR(INDIRECT("'"&amp;$D$38&amp;"'!Elekverbruik_2027"),0)
+IFERROR(INDIRECT("'"&amp;$D$39&amp;"'!Elekverbruik_2027"),0)
+IFERROR(INDIRECT("'"&amp;$D$40&amp;"'!Elekverbruik_2027"),0)
+IFERROR(INDIRECT("'"&amp;$D$41&amp;"'!Elekverbruik_2027"),0)
+IFERROR(INDIRECT("'"&amp;$D$42&amp;"'!Elekverbruik_2027"),0)
+IFERROR(INDIRECT("'"&amp;$D$43&amp;"'!Elekverbruik_2027"),0)
+IFERROR(INDIRECT("'"&amp;$D$44&amp;"'!Elekverbruik_2027"),0)
+IFERROR(INDIRECT("'"&amp;$D$45&amp;"'!Elekverbruik_2027"),0)
+IFERROR(INDIRECT("'"&amp;$D$46&amp;"'!Elekverbruik_2027"),0)
+IFERROR(INDIRECT("'"&amp;$D$47&amp;"'!Elekverbruik_2027"),0)
+IFERROR(INDIRECT("'"&amp;$D$48&amp;"'!Elekverbruik_2027"),0)
+IFERROR(INDIRECT("'"&amp;$D$49&amp;"'!Elekverbruik_2027"),0)
+IFERROR(INDIRECT("'"&amp;$D$50&amp;"'!Elekverbruik_2027"),0)
+IFERROR(INDIRECT("'"&amp;$D$51&amp;"'!Elekverbruik_2027"),0)
+IFERROR(INDIRECT("'"&amp;$D$52&amp;"'!Elekverbruik_2027"),0)
+IFERROR(INDIRECT("'"&amp;$D$53&amp;"'!Elekverbruik_2027"),0)
+IFERROR(INDIRECT("'"&amp;$D$54&amp;"'!Elekverbruik_2027"),0)
+Nieuwbouw!N54</f>
        <v>590005.8474789951</v>
      </c>
      <c r="R29" s="320">
        <f ca="1">+IFERROR(INDIRECT("'"&amp;$D$5&amp;"'!Elekverbruik_2028"),0)
+IFERROR(INDIRECT("'"&amp;$D$6&amp;"'!Elekverbruik_2028"),0)
+IFERROR(INDIRECT("'"&amp;$D$7&amp;"'!Elekverbruik_2028"),0)
+IFERROR(INDIRECT("'"&amp;$D$8&amp;"'!Elekverbruik_2028"),0)
+IFERROR(INDIRECT("'"&amp;$D$9&amp;"'!Elekverbruik_2028"),0)
+IFERROR(INDIRECT("'"&amp;$D$10&amp;"'!Elekverbruik_2028"),0)
+IFERROR(INDIRECT("'"&amp;$D$11&amp;"'!Elekverbruik_2028"),0)
+IFERROR(INDIRECT("'"&amp;$D$12&amp;"'!Elekverbruik_2028"),0)
+IFERROR(INDIRECT("'"&amp;$D$13&amp;"'!Elekverbruik_2028"),0)
+IFERROR(INDIRECT("'"&amp;$D$14&amp;"'!Elekverbruik_2028"),0)
+IFERROR(INDIRECT("'"&amp;$D$15&amp;"'!Elekverbruik_2028"),0)
+IFERROR(INDIRECT("'"&amp;$D$16&amp;"'!Elekverbruik_2028"),0)
+IFERROR(INDIRECT("'"&amp;$D$17&amp;"'!Elekverbruik_2028"),0)
+IFERROR(INDIRECT("'"&amp;$D$18&amp;"'!Elekverbruik_2028"),0)
+IFERROR(INDIRECT("'"&amp;$D$19&amp;"'!Elekverbruik_2028"),0)
+IFERROR(INDIRECT("'"&amp;$D$20&amp;"'!Elekverbruik_2028"),0)
+IFERROR(INDIRECT("'"&amp;$D$21&amp;"'!Elekverbruik_2028"),0)
+IFERROR(INDIRECT("'"&amp;$D$22&amp;"'!Elekverbruik_2028"),0)
+IFERROR(INDIRECT("'"&amp;$D$23&amp;"'!Elekverbruik_2028"),0)
+IFERROR(INDIRECT("'"&amp;$D$24&amp;"'!Elekverbruik_2028"),0)
+IFERROR(INDIRECT("'"&amp;$D$25&amp;"'!Elekverbruik_2028"),0)
+IFERROR(INDIRECT("'"&amp;$D$26&amp;"'!Elekverbruik_2028"),0)
+IFERROR(INDIRECT("'"&amp;$D$27&amp;"'!Elekverbruik_2028"),0)
+IFERROR(INDIRECT("'"&amp;$D$28&amp;"'!Elekverbruik_2028"),0)
+IFERROR(INDIRECT("'"&amp;$D$29&amp;"'!Elekverbruik_2028"),0)
+IFERROR(INDIRECT("'"&amp;$D$30&amp;"'!Elekverbruik_2028"),0)
+IFERROR(INDIRECT("'"&amp;$D$31&amp;"'!Elekverbruik_2028"),0)
+IFERROR(INDIRECT("'"&amp;$D$32&amp;"'!Elekverbruik_2028"),0)
+IFERROR(INDIRECT("'"&amp;$D$33&amp;"'!Elekverbruik_2028"),0)
+IFERROR(INDIRECT("'"&amp;$D$34&amp;"'!Elekverbruik_2028"),0)
+IFERROR(INDIRECT("'"&amp;$D$35&amp;"'!Elekverbruik_2028"),0)
+IFERROR(INDIRECT("'"&amp;$D$36&amp;"'!Elekverbruik_2028"),0)
+IFERROR(INDIRECT("'"&amp;$D$37&amp;"'!Elekverbruik_2028"),0)
+IFERROR(INDIRECT("'"&amp;$D$38&amp;"'!Elekverbruik_2028"),0)
+IFERROR(INDIRECT("'"&amp;$D$39&amp;"'!Elekverbruik_2028"),0)
+IFERROR(INDIRECT("'"&amp;$D$40&amp;"'!Elekverbruik_2028"),0)
+IFERROR(INDIRECT("'"&amp;$D$41&amp;"'!Elekverbruik_2028"),0)
+IFERROR(INDIRECT("'"&amp;$D$42&amp;"'!Elekverbruik_2028"),0)
+IFERROR(INDIRECT("'"&amp;$D$43&amp;"'!Elekverbruik_2028"),0)
+IFERROR(INDIRECT("'"&amp;$D$44&amp;"'!Elekverbruik_2028"),0)
+IFERROR(INDIRECT("'"&amp;$D$45&amp;"'!Elekverbruik_2028"),0)
+IFERROR(INDIRECT("'"&amp;$D$46&amp;"'!Elekverbruik_2028"),0)
+IFERROR(INDIRECT("'"&amp;$D$47&amp;"'!Elekverbruik_2028"),0)
+IFERROR(INDIRECT("'"&amp;$D$48&amp;"'!Elekverbruik_2028"),0)
+IFERROR(INDIRECT("'"&amp;$D$49&amp;"'!Elekverbruik_2028"),0)
+IFERROR(INDIRECT("'"&amp;$D$50&amp;"'!Elekverbruik_2028"),0)
+IFERROR(INDIRECT("'"&amp;$D$51&amp;"'!Elekverbruik_2028"),0)
+IFERROR(INDIRECT("'"&amp;$D$52&amp;"'!Elekverbruik_2028"),0)
+IFERROR(INDIRECT("'"&amp;$D$53&amp;"'!Elekverbruik_2028"),0)
+IFERROR(INDIRECT("'"&amp;$D$54&amp;"'!Elekverbruik_2028"),0)
+Nieuwbouw!O54</f>
        <v>599667.1355787809</v>
      </c>
      <c r="S29" s="320">
        <f ca="1">+IFERROR(INDIRECT("'"&amp;$D$5&amp;"'!Elekverbruik_2029"),0)
+IFERROR(INDIRECT("'"&amp;$D$6&amp;"'!Elekverbruik_2029"),0)
+IFERROR(INDIRECT("'"&amp;$D$7&amp;"'!Elekverbruik_2029"),0)
+IFERROR(INDIRECT("'"&amp;$D$8&amp;"'!Elekverbruik_2029"),0)
+IFERROR(INDIRECT("'"&amp;$D$9&amp;"'!Elekverbruik_2029"),0)
+IFERROR(INDIRECT("'"&amp;$D$10&amp;"'!Elekverbruik_2029"),0)
+IFERROR(INDIRECT("'"&amp;$D$11&amp;"'!Elekverbruik_2029"),0)
+IFERROR(INDIRECT("'"&amp;$D$12&amp;"'!Elekverbruik_2029"),0)
+IFERROR(INDIRECT("'"&amp;$D$13&amp;"'!Elekverbruik_2029"),0)
+IFERROR(INDIRECT("'"&amp;$D$14&amp;"'!Elekverbruik_2029"),0)
+IFERROR(INDIRECT("'"&amp;$D$15&amp;"'!Elekverbruik_2029"),0)
+IFERROR(INDIRECT("'"&amp;$D$16&amp;"'!Elekverbruik_2029"),0)
+IFERROR(INDIRECT("'"&amp;$D$17&amp;"'!Elekverbruik_2029"),0)
+IFERROR(INDIRECT("'"&amp;$D$18&amp;"'!Elekverbruik_2029"),0)
+IFERROR(INDIRECT("'"&amp;$D$19&amp;"'!Elekverbruik_2029"),0)
+IFERROR(INDIRECT("'"&amp;$D$20&amp;"'!Elekverbruik_2029"),0)
+IFERROR(INDIRECT("'"&amp;$D$21&amp;"'!Elekverbruik_2029"),0)
+IFERROR(INDIRECT("'"&amp;$D$22&amp;"'!Elekverbruik_2029"),0)
+IFERROR(INDIRECT("'"&amp;$D$23&amp;"'!Elekverbruik_2029"),0)
+IFERROR(INDIRECT("'"&amp;$D$24&amp;"'!Elekverbruik_2029"),0)
+IFERROR(INDIRECT("'"&amp;$D$25&amp;"'!Elekverbruik_2029"),0)
+IFERROR(INDIRECT("'"&amp;$D$26&amp;"'!Elekverbruik_2029"),0)
+IFERROR(INDIRECT("'"&amp;$D$27&amp;"'!Elekverbruik_2029"),0)
+IFERROR(INDIRECT("'"&amp;$D$28&amp;"'!Elekverbruik_2029"),0)
+IFERROR(INDIRECT("'"&amp;$D$29&amp;"'!Elekverbruik_2029"),0)
+IFERROR(INDIRECT("'"&amp;$D$30&amp;"'!Elekverbruik_2029"),0)
+IFERROR(INDIRECT("'"&amp;$D$31&amp;"'!Elekverbruik_2029"),0)
+IFERROR(INDIRECT("'"&amp;$D$32&amp;"'!Elekverbruik_2029"),0)
+IFERROR(INDIRECT("'"&amp;$D$33&amp;"'!Elekverbruik_2029"),0)
+IFERROR(INDIRECT("'"&amp;$D$34&amp;"'!Elekverbruik_2029"),0)
+IFERROR(INDIRECT("'"&amp;$D$35&amp;"'!Elekverbruik_2029"),0)
+IFERROR(INDIRECT("'"&amp;$D$36&amp;"'!Elekverbruik_2029"),0)
+IFERROR(INDIRECT("'"&amp;$D$37&amp;"'!Elekverbruik_2029"),0)
+IFERROR(INDIRECT("'"&amp;$D$38&amp;"'!Elekverbruik_2029"),0)
+IFERROR(INDIRECT("'"&amp;$D$39&amp;"'!Elekverbruik_2029"),0)
+IFERROR(INDIRECT("'"&amp;$D$40&amp;"'!Elekverbruik_2029"),0)
+IFERROR(INDIRECT("'"&amp;$D$41&amp;"'!Elekverbruik_2029"),0)
+IFERROR(INDIRECT("'"&amp;$D$42&amp;"'!Elekverbruik_2029"),0)
+IFERROR(INDIRECT("'"&amp;$D$43&amp;"'!Elekverbruik_2029"),0)
+IFERROR(INDIRECT("'"&amp;$D$44&amp;"'!Elekverbruik_2029"),0)
+IFERROR(INDIRECT("'"&amp;$D$45&amp;"'!Elekverbruik_2029"),0)
+IFERROR(INDIRECT("'"&amp;$D$46&amp;"'!Elekverbruik_2029"),0)
+IFERROR(INDIRECT("'"&amp;$D$47&amp;"'!Elekverbruik_2029"),0)
+IFERROR(INDIRECT("'"&amp;$D$48&amp;"'!Elekverbruik_2029"),0)
+IFERROR(INDIRECT("'"&amp;$D$49&amp;"'!Elekverbruik_2029"),0)
+IFERROR(INDIRECT("'"&amp;$D$50&amp;"'!Elekverbruik_2029"),0)
+IFERROR(INDIRECT("'"&amp;$D$51&amp;"'!Elekverbruik_2029"),0)
+IFERROR(INDIRECT("'"&amp;$D$52&amp;"'!Elekverbruik_2029"),0)
+IFERROR(INDIRECT("'"&amp;$D$53&amp;"'!Elekverbruik_2029"),0)
+IFERROR(INDIRECT("'"&amp;$D$54&amp;"'!Elekverbruik_2029"),0)
+Nieuwbouw!P54</f>
        <v>609328.42367856659</v>
      </c>
      <c r="T29" s="320">
        <f ca="1">+IFERROR(INDIRECT("'"&amp;$D$5&amp;"'!Elekverbruik_2030"),0)
+IFERROR(INDIRECT("'"&amp;$D$6&amp;"'!Elekverbruik_2030"),0)
+IFERROR(INDIRECT("'"&amp;$D$7&amp;"'!Elekverbruik_2030"),0)
+IFERROR(INDIRECT("'"&amp;$D$8&amp;"'!Elekverbruik_2030"),0)
+IFERROR(INDIRECT("'"&amp;$D$9&amp;"'!Elekverbruik_2030"),0)
+IFERROR(INDIRECT("'"&amp;$D$10&amp;"'!Elekverbruik_2030"),0)
+IFERROR(INDIRECT("'"&amp;$D$11&amp;"'!Elekverbruik_2030"),0)
+IFERROR(INDIRECT("'"&amp;$D$12&amp;"'!Elekverbruik_2030"),0)
+IFERROR(INDIRECT("'"&amp;$D$13&amp;"'!Elekverbruik_2030"),0)
+IFERROR(INDIRECT("'"&amp;$D$14&amp;"'!Elekverbruik_2030"),0)
+IFERROR(INDIRECT("'"&amp;$D$15&amp;"'!Elekverbruik_2030"),0)
+IFERROR(INDIRECT("'"&amp;$D$16&amp;"'!Elekverbruik_2030"),0)
+IFERROR(INDIRECT("'"&amp;$D$17&amp;"'!Elekverbruik_2030"),0)
+IFERROR(INDIRECT("'"&amp;$D$18&amp;"'!Elekverbruik_2030"),0)
+IFERROR(INDIRECT("'"&amp;$D$19&amp;"'!Elekverbruik_2030"),0)
+IFERROR(INDIRECT("'"&amp;$D$20&amp;"'!Elekverbruik_2030"),0)
+IFERROR(INDIRECT("'"&amp;$D$21&amp;"'!Elekverbruik_2030"),0)
+IFERROR(INDIRECT("'"&amp;$D$22&amp;"'!Elekverbruik_2030"),0)
+IFERROR(INDIRECT("'"&amp;$D$23&amp;"'!Elekverbruik_2030"),0)
+IFERROR(INDIRECT("'"&amp;$D$24&amp;"'!Elekverbruik_2030"),0)
+IFERROR(INDIRECT("'"&amp;$D$25&amp;"'!Elekverbruik_2030"),0)
+IFERROR(INDIRECT("'"&amp;$D$26&amp;"'!Elekverbruik_2030"),0)
+IFERROR(INDIRECT("'"&amp;$D$27&amp;"'!Elekverbruik_2030"),0)
+IFERROR(INDIRECT("'"&amp;$D$28&amp;"'!Elekverbruik_2030"),0)
+IFERROR(INDIRECT("'"&amp;$D$29&amp;"'!Elekverbruik_2030"),0)
+IFERROR(INDIRECT("'"&amp;$D$30&amp;"'!Elekverbruik_2030"),0)
+IFERROR(INDIRECT("'"&amp;$D$31&amp;"'!Elekverbruik_2030"),0)
+IFERROR(INDIRECT("'"&amp;$D$32&amp;"'!Elekverbruik_2030"),0)
+IFERROR(INDIRECT("'"&amp;$D$33&amp;"'!Elekverbruik_2030"),0)
+IFERROR(INDIRECT("'"&amp;$D$34&amp;"'!Elekverbruik_2030"),0)
+IFERROR(INDIRECT("'"&amp;$D$35&amp;"'!Elekverbruik_2030"),0)
+IFERROR(INDIRECT("'"&amp;$D$36&amp;"'!Elekverbruik_2030"),0)
+IFERROR(INDIRECT("'"&amp;$D$37&amp;"'!Elekverbruik_2030"),0)
+IFERROR(INDIRECT("'"&amp;$D$38&amp;"'!Elekverbruik_2030"),0)
+IFERROR(INDIRECT("'"&amp;$D$39&amp;"'!Elekverbruik_2030"),0)
+IFERROR(INDIRECT("'"&amp;$D$40&amp;"'!Elekverbruik_2030"),0)
+IFERROR(INDIRECT("'"&amp;$D$41&amp;"'!Elekverbruik_2030"),0)
+IFERROR(INDIRECT("'"&amp;$D$42&amp;"'!Elekverbruik_2030"),0)
+IFERROR(INDIRECT("'"&amp;$D$43&amp;"'!Elekverbruik_2030"),0)
+IFERROR(INDIRECT("'"&amp;$D$44&amp;"'!Elekverbruik_2030"),0)
+IFERROR(INDIRECT("'"&amp;$D$45&amp;"'!Elekverbruik_2030"),0)
+IFERROR(INDIRECT("'"&amp;$D$46&amp;"'!Elekverbruik_2030"),0)
+IFERROR(INDIRECT("'"&amp;$D$47&amp;"'!Elekverbruik_2030"),0)
+IFERROR(INDIRECT("'"&amp;$D$48&amp;"'!Elekverbruik_2030"),0)
+IFERROR(INDIRECT("'"&amp;$D$49&amp;"'!Elekverbruik_2030"),0)
+IFERROR(INDIRECT("'"&amp;$D$50&amp;"'!Elekverbruik_2030"),0)
+IFERROR(INDIRECT("'"&amp;$D$51&amp;"'!Elekverbruik_2030"),0)
+IFERROR(INDIRECT("'"&amp;$D$52&amp;"'!Elekverbruik_2030"),0)
+IFERROR(INDIRECT("'"&amp;$D$53&amp;"'!Elekverbruik_2030"),0)
+IFERROR(INDIRECT("'"&amp;$D$54&amp;"'!Elekverbruik_2030"),0)
+Nieuwbouw!Q54</f>
        <v>618989.71177835227</v>
      </c>
      <c r="U29" s="320">
        <f ca="1">+IFERROR(INDIRECT("'"&amp;$D$5&amp;"'!Elekverbruik_2031"),0)
+IFERROR(INDIRECT("'"&amp;$D$6&amp;"'!Elekverbruik_2031"),0)
+IFERROR(INDIRECT("'"&amp;$D$7&amp;"'!Elekverbruik_2031"),0)
+IFERROR(INDIRECT("'"&amp;$D$8&amp;"'!Elekverbruik_2031"),0)
+IFERROR(INDIRECT("'"&amp;$D$9&amp;"'!Elekverbruik_2031"),0)
+IFERROR(INDIRECT("'"&amp;$D$10&amp;"'!Elekverbruik_2031"),0)
+IFERROR(INDIRECT("'"&amp;$D$11&amp;"'!Elekverbruik_2031"),0)
+IFERROR(INDIRECT("'"&amp;$D$12&amp;"'!Elekverbruik_2031"),0)
+IFERROR(INDIRECT("'"&amp;$D$13&amp;"'!Elekverbruik_2031"),0)
+IFERROR(INDIRECT("'"&amp;$D$14&amp;"'!Elekverbruik_2031"),0)
+IFERROR(INDIRECT("'"&amp;$D$15&amp;"'!Elekverbruik_2031"),0)
+IFERROR(INDIRECT("'"&amp;$D$16&amp;"'!Elekverbruik_2031"),0)
+IFERROR(INDIRECT("'"&amp;$D$17&amp;"'!Elekverbruik_2031"),0)
+IFERROR(INDIRECT("'"&amp;$D$18&amp;"'!Elekverbruik_2031"),0)
+IFERROR(INDIRECT("'"&amp;$D$19&amp;"'!Elekverbruik_2031"),0)
+IFERROR(INDIRECT("'"&amp;$D$20&amp;"'!Elekverbruik_2031"),0)
+IFERROR(INDIRECT("'"&amp;$D$21&amp;"'!Elekverbruik_2031"),0)
+IFERROR(INDIRECT("'"&amp;$D$22&amp;"'!Elekverbruik_2031"),0)
+IFERROR(INDIRECT("'"&amp;$D$23&amp;"'!Elekverbruik_2031"),0)
+IFERROR(INDIRECT("'"&amp;$D$24&amp;"'!Elekverbruik_2031"),0)
+IFERROR(INDIRECT("'"&amp;$D$25&amp;"'!Elekverbruik_2031"),0)
+IFERROR(INDIRECT("'"&amp;$D$26&amp;"'!Elekverbruik_2031"),0)
+IFERROR(INDIRECT("'"&amp;$D$27&amp;"'!Elekverbruik_2031"),0)
+IFERROR(INDIRECT("'"&amp;$D$28&amp;"'!Elekverbruik_2031"),0)
+IFERROR(INDIRECT("'"&amp;$D$29&amp;"'!Elekverbruik_2031"),0)
+IFERROR(INDIRECT("'"&amp;$D$30&amp;"'!Elekverbruik_2031"),0)
+IFERROR(INDIRECT("'"&amp;$D$31&amp;"'!Elekverbruik_2031"),0)
+IFERROR(INDIRECT("'"&amp;$D$32&amp;"'!Elekverbruik_2031"),0)
+IFERROR(INDIRECT("'"&amp;$D$33&amp;"'!Elekverbruik_2031"),0)
+IFERROR(INDIRECT("'"&amp;$D$34&amp;"'!Elekverbruik_2031"),0)
+IFERROR(INDIRECT("'"&amp;$D$35&amp;"'!Elekverbruik_2031"),0)
+IFERROR(INDIRECT("'"&amp;$D$36&amp;"'!Elekverbruik_2031"),0)
+IFERROR(INDIRECT("'"&amp;$D$37&amp;"'!Elekverbruik_2031"),0)
+IFERROR(INDIRECT("'"&amp;$D$38&amp;"'!Elekverbruik_2031"),0)
+IFERROR(INDIRECT("'"&amp;$D$39&amp;"'!Elekverbruik_2031"),0)
+IFERROR(INDIRECT("'"&amp;$D$40&amp;"'!Elekverbruik_2031"),0)
+IFERROR(INDIRECT("'"&amp;$D$41&amp;"'!Elekverbruik_2031"),0)
+IFERROR(INDIRECT("'"&amp;$D$42&amp;"'!Elekverbruik_2031"),0)
+IFERROR(INDIRECT("'"&amp;$D$43&amp;"'!Elekverbruik_2031"),0)
+IFERROR(INDIRECT("'"&amp;$D$44&amp;"'!Elekverbruik_2031"),0)
+IFERROR(INDIRECT("'"&amp;$D$45&amp;"'!Elekverbruik_2031"),0)
+IFERROR(INDIRECT("'"&amp;$D$46&amp;"'!Elekverbruik_2031"),0)
+IFERROR(INDIRECT("'"&amp;$D$47&amp;"'!Elekverbruik_2031"),0)
+IFERROR(INDIRECT("'"&amp;$D$48&amp;"'!Elekverbruik_2031"),0)
+IFERROR(INDIRECT("'"&amp;$D$49&amp;"'!Elekverbruik_2031"),0)
+IFERROR(INDIRECT("'"&amp;$D$50&amp;"'!Elekverbruik_2031"),0)
+IFERROR(INDIRECT("'"&amp;$D$51&amp;"'!Elekverbruik_2031"),0)
+IFERROR(INDIRECT("'"&amp;$D$52&amp;"'!Elekverbruik_2031"),0)
+IFERROR(INDIRECT("'"&amp;$D$53&amp;"'!Elekverbruik_2031"),0)
+IFERROR(INDIRECT("'"&amp;$D$54&amp;"'!Elekverbruik_2031"),0)
+Nieuwbouw!R54</f>
        <v>628650.99987813807</v>
      </c>
      <c r="V29" s="320">
        <f ca="1">+IFERROR(INDIRECT("'"&amp;$D$5&amp;"'!Elekverbruik_2032"),0)
+IFERROR(INDIRECT("'"&amp;$D$6&amp;"'!Elekverbruik_2032"),0)
+IFERROR(INDIRECT("'"&amp;$D$7&amp;"'!Elekverbruik_2032"),0)
+IFERROR(INDIRECT("'"&amp;$D$8&amp;"'!Elekverbruik_2032"),0)
+IFERROR(INDIRECT("'"&amp;$D$9&amp;"'!Elekverbruik_2032"),0)
+IFERROR(INDIRECT("'"&amp;$D$10&amp;"'!Elekverbruik_2032"),0)
+IFERROR(INDIRECT("'"&amp;$D$11&amp;"'!Elekverbruik_2032"),0)
+IFERROR(INDIRECT("'"&amp;$D$12&amp;"'!Elekverbruik_2032"),0)
+IFERROR(INDIRECT("'"&amp;$D$13&amp;"'!Elekverbruik_2032"),0)
+IFERROR(INDIRECT("'"&amp;$D$14&amp;"'!Elekverbruik_2032"),0)
+IFERROR(INDIRECT("'"&amp;$D$15&amp;"'!Elekverbruik_2032"),0)
+IFERROR(INDIRECT("'"&amp;$D$16&amp;"'!Elekverbruik_2032"),0)
+IFERROR(INDIRECT("'"&amp;$D$17&amp;"'!Elekverbruik_2032"),0)
+IFERROR(INDIRECT("'"&amp;$D$18&amp;"'!Elekverbruik_2032"),0)
+IFERROR(INDIRECT("'"&amp;$D$19&amp;"'!Elekverbruik_2032"),0)
+IFERROR(INDIRECT("'"&amp;$D$20&amp;"'!Elekverbruik_2032"),0)
+IFERROR(INDIRECT("'"&amp;$D$21&amp;"'!Elekverbruik_2032"),0)
+IFERROR(INDIRECT("'"&amp;$D$22&amp;"'!Elekverbruik_2032"),0)
+IFERROR(INDIRECT("'"&amp;$D$23&amp;"'!Elekverbruik_2032"),0)
+IFERROR(INDIRECT("'"&amp;$D$24&amp;"'!Elekverbruik_2032"),0)
+IFERROR(INDIRECT("'"&amp;$D$25&amp;"'!Elekverbruik_2032"),0)
+IFERROR(INDIRECT("'"&amp;$D$26&amp;"'!Elekverbruik_2032"),0)
+IFERROR(INDIRECT("'"&amp;$D$27&amp;"'!Elekverbruik_2032"),0)
+IFERROR(INDIRECT("'"&amp;$D$28&amp;"'!Elekverbruik_2032"),0)
+IFERROR(INDIRECT("'"&amp;$D$29&amp;"'!Elekverbruik_2032"),0)
+IFERROR(INDIRECT("'"&amp;$D$30&amp;"'!Elekverbruik_2032"),0)
+IFERROR(INDIRECT("'"&amp;$D$31&amp;"'!Elekverbruik_2032"),0)
+IFERROR(INDIRECT("'"&amp;$D$32&amp;"'!Elekverbruik_2032"),0)
+IFERROR(INDIRECT("'"&amp;$D$33&amp;"'!Elekverbruik_2032"),0)
+IFERROR(INDIRECT("'"&amp;$D$34&amp;"'!Elekverbruik_2032"),0)
+IFERROR(INDIRECT("'"&amp;$D$35&amp;"'!Elekverbruik_2032"),0)
+IFERROR(INDIRECT("'"&amp;$D$36&amp;"'!Elekverbruik_2032"),0)
+IFERROR(INDIRECT("'"&amp;$D$37&amp;"'!Elekverbruik_2032"),0)
+IFERROR(INDIRECT("'"&amp;$D$38&amp;"'!Elekverbruik_2032"),0)
+IFERROR(INDIRECT("'"&amp;$D$39&amp;"'!Elekverbruik_2032"),0)
+IFERROR(INDIRECT("'"&amp;$D$40&amp;"'!Elekverbruik_2032"),0)
+IFERROR(INDIRECT("'"&amp;$D$41&amp;"'!Elekverbruik_2032"),0)
+IFERROR(INDIRECT("'"&amp;$D$42&amp;"'!Elekverbruik_2032"),0)
+IFERROR(INDIRECT("'"&amp;$D$43&amp;"'!Elekverbruik_2032"),0)
+IFERROR(INDIRECT("'"&amp;$D$44&amp;"'!Elekverbruik_2032"),0)
+IFERROR(INDIRECT("'"&amp;$D$45&amp;"'!Elekverbruik_2032"),0)
+IFERROR(INDIRECT("'"&amp;$D$46&amp;"'!Elekverbruik_2032"),0)
+IFERROR(INDIRECT("'"&amp;$D$47&amp;"'!Elekverbruik_2032"),0)
+IFERROR(INDIRECT("'"&amp;$D$48&amp;"'!Elekverbruik_2032"),0)
+IFERROR(INDIRECT("'"&amp;$D$49&amp;"'!Elekverbruik_2032"),0)
+IFERROR(INDIRECT("'"&amp;$D$50&amp;"'!Elekverbruik_2032"),0)
+IFERROR(INDIRECT("'"&amp;$D$51&amp;"'!Elekverbruik_2032"),0)
+IFERROR(INDIRECT("'"&amp;$D$52&amp;"'!Elekverbruik_2032"),0)
+IFERROR(INDIRECT("'"&amp;$D$53&amp;"'!Elekverbruik_2032"),0)
+IFERROR(INDIRECT("'"&amp;$D$54&amp;"'!Elekverbruik_2032"),0)
+Nieuwbouw!S54</f>
        <v>500936.83242575714</v>
      </c>
      <c r="W29" s="320">
        <f ca="1">+IFERROR(INDIRECT("'"&amp;$D$5&amp;"'!Elekverbruik_2033"),0)
+IFERROR(INDIRECT("'"&amp;$D$6&amp;"'!Elekverbruik_2033"),0)
+IFERROR(INDIRECT("'"&amp;$D$7&amp;"'!Elekverbruik_2033"),0)
+IFERROR(INDIRECT("'"&amp;$D$8&amp;"'!Elekverbruik_2033"),0)
+IFERROR(INDIRECT("'"&amp;$D$9&amp;"'!Elekverbruik_2033"),0)
+IFERROR(INDIRECT("'"&amp;$D$10&amp;"'!Elekverbruik_2033"),0)
+IFERROR(INDIRECT("'"&amp;$D$11&amp;"'!Elekverbruik_2033"),0)
+IFERROR(INDIRECT("'"&amp;$D$12&amp;"'!Elekverbruik_2033"),0)
+IFERROR(INDIRECT("'"&amp;$D$13&amp;"'!Elekverbruik_2033"),0)
+IFERROR(INDIRECT("'"&amp;$D$14&amp;"'!Elekverbruik_2033"),0)
+IFERROR(INDIRECT("'"&amp;$D$15&amp;"'!Elekverbruik_2033"),0)
+IFERROR(INDIRECT("'"&amp;$D$16&amp;"'!Elekverbruik_2033"),0)
+IFERROR(INDIRECT("'"&amp;$D$17&amp;"'!Elekverbruik_2033"),0)
+IFERROR(INDIRECT("'"&amp;$D$18&amp;"'!Elekverbruik_2033"),0)
+IFERROR(INDIRECT("'"&amp;$D$19&amp;"'!Elekverbruik_2033"),0)
+IFERROR(INDIRECT("'"&amp;$D$20&amp;"'!Elekverbruik_2033"),0)
+IFERROR(INDIRECT("'"&amp;$D$21&amp;"'!Elekverbruik_2033"),0)
+IFERROR(INDIRECT("'"&amp;$D$22&amp;"'!Elekverbruik_2033"),0)
+IFERROR(INDIRECT("'"&amp;$D$23&amp;"'!Elekverbruik_2033"),0)
+IFERROR(INDIRECT("'"&amp;$D$24&amp;"'!Elekverbruik_2033"),0)
+IFERROR(INDIRECT("'"&amp;$D$25&amp;"'!Elekverbruik_2033"),0)
+IFERROR(INDIRECT("'"&amp;$D$26&amp;"'!Elekverbruik_2033"),0)
+IFERROR(INDIRECT("'"&amp;$D$27&amp;"'!Elekverbruik_2033"),0)
+IFERROR(INDIRECT("'"&amp;$D$28&amp;"'!Elekverbruik_2033"),0)
+IFERROR(INDIRECT("'"&amp;$D$29&amp;"'!Elekverbruik_2033"),0)
+IFERROR(INDIRECT("'"&amp;$D$30&amp;"'!Elekverbruik_2033"),0)
+IFERROR(INDIRECT("'"&amp;$D$31&amp;"'!Elekverbruik_2033"),0)
+IFERROR(INDIRECT("'"&amp;$D$32&amp;"'!Elekverbruik_2033"),0)
+IFERROR(INDIRECT("'"&amp;$D$33&amp;"'!Elekverbruik_2033"),0)
+IFERROR(INDIRECT("'"&amp;$D$34&amp;"'!Elekverbruik_2033"),0)
+IFERROR(INDIRECT("'"&amp;$D$35&amp;"'!Elekverbruik_2033"),0)
+IFERROR(INDIRECT("'"&amp;$D$36&amp;"'!Elekverbruik_2033"),0)
+IFERROR(INDIRECT("'"&amp;$D$37&amp;"'!Elekverbruik_2033"),0)
+IFERROR(INDIRECT("'"&amp;$D$38&amp;"'!Elekverbruik_2033"),0)
+IFERROR(INDIRECT("'"&amp;$D$39&amp;"'!Elekverbruik_2033"),0)
+IFERROR(INDIRECT("'"&amp;$D$40&amp;"'!Elekverbruik_2033"),0)
+IFERROR(INDIRECT("'"&amp;$D$41&amp;"'!Elekverbruik_2033"),0)
+IFERROR(INDIRECT("'"&amp;$D$42&amp;"'!Elekverbruik_2033"),0)
+IFERROR(INDIRECT("'"&amp;$D$43&amp;"'!Elekverbruik_2033"),0)
+IFERROR(INDIRECT("'"&amp;$D$44&amp;"'!Elekverbruik_2033"),0)
+IFERROR(INDIRECT("'"&amp;$D$45&amp;"'!Elekverbruik_2033"),0)
+IFERROR(INDIRECT("'"&amp;$D$46&amp;"'!Elekverbruik_2033"),0)
+IFERROR(INDIRECT("'"&amp;$D$47&amp;"'!Elekverbruik_2033"),0)
+IFERROR(INDIRECT("'"&amp;$D$48&amp;"'!Elekverbruik_2033"),0)
+IFERROR(INDIRECT("'"&amp;$D$49&amp;"'!Elekverbruik_2033"),0)
+IFERROR(INDIRECT("'"&amp;$D$50&amp;"'!Elekverbruik_2033"),0)
+IFERROR(INDIRECT("'"&amp;$D$51&amp;"'!Elekverbruik_2033"),0)
+IFERROR(INDIRECT("'"&amp;$D$52&amp;"'!Elekverbruik_2033"),0)
+IFERROR(INDIRECT("'"&amp;$D$53&amp;"'!Elekverbruik_2033"),0)
+IFERROR(INDIRECT("'"&amp;$D$54&amp;"'!Elekverbruik_2033"),0)
+Nieuwbouw!T54</f>
        <v>500936.83242575714</v>
      </c>
      <c r="X29" s="320">
        <f ca="1">+IFERROR(INDIRECT("'"&amp;$D$5&amp;"'!Elekverbruik_2034"),0)
+IFERROR(INDIRECT("'"&amp;$D$6&amp;"'!Elekverbruik_2034"),0)
+IFERROR(INDIRECT("'"&amp;$D$7&amp;"'!Elekverbruik_2034"),0)
+IFERROR(INDIRECT("'"&amp;$D$8&amp;"'!Elekverbruik_2034"),0)
+IFERROR(INDIRECT("'"&amp;$D$9&amp;"'!Elekverbruik_2034"),0)
+IFERROR(INDIRECT("'"&amp;$D$10&amp;"'!Elekverbruik_2034"),0)
+IFERROR(INDIRECT("'"&amp;$D$11&amp;"'!Elekverbruik_2034"),0)
+IFERROR(INDIRECT("'"&amp;$D$12&amp;"'!Elekverbruik_2034"),0)
+IFERROR(INDIRECT("'"&amp;$D$13&amp;"'!Elekverbruik_2034"),0)
+IFERROR(INDIRECT("'"&amp;$D$14&amp;"'!Elekverbruik_2034"),0)
+IFERROR(INDIRECT("'"&amp;$D$15&amp;"'!Elekverbruik_2034"),0)
+IFERROR(INDIRECT("'"&amp;$D$16&amp;"'!Elekverbruik_2034"),0)
+IFERROR(INDIRECT("'"&amp;$D$17&amp;"'!Elekverbruik_2034"),0)
+IFERROR(INDIRECT("'"&amp;$D$18&amp;"'!Elekverbruik_2034"),0)
+IFERROR(INDIRECT("'"&amp;$D$19&amp;"'!Elekverbruik_2034"),0)
+IFERROR(INDIRECT("'"&amp;$D$20&amp;"'!Elekverbruik_2034"),0)
+IFERROR(INDIRECT("'"&amp;$D$21&amp;"'!Elekverbruik_2034"),0)
+IFERROR(INDIRECT("'"&amp;$D$22&amp;"'!Elekverbruik_2034"),0)
+IFERROR(INDIRECT("'"&amp;$D$23&amp;"'!Elekverbruik_2034"),0)
+IFERROR(INDIRECT("'"&amp;$D$24&amp;"'!Elekverbruik_2034"),0)
+IFERROR(INDIRECT("'"&amp;$D$25&amp;"'!Elekverbruik_2034"),0)
+IFERROR(INDIRECT("'"&amp;$D$26&amp;"'!Elekverbruik_2034"),0)
+IFERROR(INDIRECT("'"&amp;$D$27&amp;"'!Elekverbruik_2034"),0)
+IFERROR(INDIRECT("'"&amp;$D$28&amp;"'!Elekverbruik_2034"),0)
+IFERROR(INDIRECT("'"&amp;$D$29&amp;"'!Elekverbruik_2034"),0)
+IFERROR(INDIRECT("'"&amp;$D$30&amp;"'!Elekverbruik_2034"),0)
+IFERROR(INDIRECT("'"&amp;$D$31&amp;"'!Elekverbruik_2034"),0)
+IFERROR(INDIRECT("'"&amp;$D$32&amp;"'!Elekverbruik_2034"),0)
+IFERROR(INDIRECT("'"&amp;$D$33&amp;"'!Elekverbruik_2034"),0)
+IFERROR(INDIRECT("'"&amp;$D$34&amp;"'!Elekverbruik_2034"),0)
+IFERROR(INDIRECT("'"&amp;$D$35&amp;"'!Elekverbruik_2034"),0)
+IFERROR(INDIRECT("'"&amp;$D$36&amp;"'!Elekverbruik_2034"),0)
+IFERROR(INDIRECT("'"&amp;$D$37&amp;"'!Elekverbruik_2034"),0)
+IFERROR(INDIRECT("'"&amp;$D$38&amp;"'!Elekverbruik_2034"),0)
+IFERROR(INDIRECT("'"&amp;$D$39&amp;"'!Elekverbruik_2034"),0)
+IFERROR(INDIRECT("'"&amp;$D$40&amp;"'!Elekverbruik_2034"),0)
+IFERROR(INDIRECT("'"&amp;$D$41&amp;"'!Elekverbruik_2034"),0)
+IFERROR(INDIRECT("'"&amp;$D$42&amp;"'!Elekverbruik_2034"),0)
+IFERROR(INDIRECT("'"&amp;$D$43&amp;"'!Elekverbruik_2034"),0)
+IFERROR(INDIRECT("'"&amp;$D$44&amp;"'!Elekverbruik_2034"),0)
+IFERROR(INDIRECT("'"&amp;$D$45&amp;"'!Elekverbruik_2034"),0)
+IFERROR(INDIRECT("'"&amp;$D$46&amp;"'!Elekverbruik_2034"),0)
+IFERROR(INDIRECT("'"&amp;$D$47&amp;"'!Elekverbruik_2034"),0)
+IFERROR(INDIRECT("'"&amp;$D$48&amp;"'!Elekverbruik_2034"),0)
+IFERROR(INDIRECT("'"&amp;$D$49&amp;"'!Elekverbruik_2034"),0)
+IFERROR(INDIRECT("'"&amp;$D$50&amp;"'!Elekverbruik_2034"),0)
+IFERROR(INDIRECT("'"&amp;$D$51&amp;"'!Elekverbruik_2034"),0)
+IFERROR(INDIRECT("'"&amp;$D$52&amp;"'!Elekverbruik_2034"),0)
+IFERROR(INDIRECT("'"&amp;$D$53&amp;"'!Elekverbruik_2034"),0)
+IFERROR(INDIRECT("'"&amp;$D$54&amp;"'!Elekverbruik_2034"),0)
+Nieuwbouw!U54</f>
        <v>500936.83242575714</v>
      </c>
      <c r="Y29" s="320">
        <f ca="1">+IFERROR(INDIRECT("'"&amp;$D$5&amp;"'!Elekverbruik_2035"),0)
+IFERROR(INDIRECT("'"&amp;$D$6&amp;"'!Elekverbruik_2035"),0)
+IFERROR(INDIRECT("'"&amp;$D$7&amp;"'!Elekverbruik_2035"),0)
+IFERROR(INDIRECT("'"&amp;$D$8&amp;"'!Elekverbruik_2035"),0)
+IFERROR(INDIRECT("'"&amp;$D$9&amp;"'!Elekverbruik_2035"),0)
+IFERROR(INDIRECT("'"&amp;$D$10&amp;"'!Elekverbruik_2035"),0)
+IFERROR(INDIRECT("'"&amp;$D$11&amp;"'!Elekverbruik_2035"),0)
+IFERROR(INDIRECT("'"&amp;$D$12&amp;"'!Elekverbruik_2035"),0)
+IFERROR(INDIRECT("'"&amp;$D$13&amp;"'!Elekverbruik_2035"),0)
+IFERROR(INDIRECT("'"&amp;$D$14&amp;"'!Elekverbruik_2035"),0)
+IFERROR(INDIRECT("'"&amp;$D$15&amp;"'!Elekverbruik_2035"),0)
+IFERROR(INDIRECT("'"&amp;$D$16&amp;"'!Elekverbruik_2035"),0)
+IFERROR(INDIRECT("'"&amp;$D$17&amp;"'!Elekverbruik_2035"),0)
+IFERROR(INDIRECT("'"&amp;$D$18&amp;"'!Elekverbruik_2035"),0)
+IFERROR(INDIRECT("'"&amp;$D$19&amp;"'!Elekverbruik_2035"),0)
+IFERROR(INDIRECT("'"&amp;$D$20&amp;"'!Elekverbruik_2035"),0)
+IFERROR(INDIRECT("'"&amp;$D$21&amp;"'!Elekverbruik_2035"),0)
+IFERROR(INDIRECT("'"&amp;$D$22&amp;"'!Elekverbruik_2035"),0)
+IFERROR(INDIRECT("'"&amp;$D$23&amp;"'!Elekverbruik_2035"),0)
+IFERROR(INDIRECT("'"&amp;$D$24&amp;"'!Elekverbruik_2035"),0)
+IFERROR(INDIRECT("'"&amp;$D$25&amp;"'!Elekverbruik_2035"),0)
+IFERROR(INDIRECT("'"&amp;$D$26&amp;"'!Elekverbruik_2035"),0)
+IFERROR(INDIRECT("'"&amp;$D$27&amp;"'!Elekverbruik_2035"),0)
+IFERROR(INDIRECT("'"&amp;$D$28&amp;"'!Elekverbruik_2035"),0)
+IFERROR(INDIRECT("'"&amp;$D$29&amp;"'!Elekverbruik_2035"),0)
+IFERROR(INDIRECT("'"&amp;$D$30&amp;"'!Elekverbruik_2035"),0)
+IFERROR(INDIRECT("'"&amp;$D$31&amp;"'!Elekverbruik_2035"),0)
+IFERROR(INDIRECT("'"&amp;$D$32&amp;"'!Elekverbruik_2035"),0)
+IFERROR(INDIRECT("'"&amp;$D$33&amp;"'!Elekverbruik_2035"),0)
+IFERROR(INDIRECT("'"&amp;$D$34&amp;"'!Elekverbruik_2035"),0)
+IFERROR(INDIRECT("'"&amp;$D$35&amp;"'!Elekverbruik_2035"),0)
+IFERROR(INDIRECT("'"&amp;$D$36&amp;"'!Elekverbruik_2035"),0)
+IFERROR(INDIRECT("'"&amp;$D$37&amp;"'!Elekverbruik_2035"),0)
+IFERROR(INDIRECT("'"&amp;$D$38&amp;"'!Elekverbruik_2035"),0)
+IFERROR(INDIRECT("'"&amp;$D$39&amp;"'!Elekverbruik_2035"),0)
+IFERROR(INDIRECT("'"&amp;$D$40&amp;"'!Elekverbruik_2035"),0)
+IFERROR(INDIRECT("'"&amp;$D$41&amp;"'!Elekverbruik_2035"),0)
+IFERROR(INDIRECT("'"&amp;$D$42&amp;"'!Elekverbruik_2035"),0)
+IFERROR(INDIRECT("'"&amp;$D$43&amp;"'!Elekverbruik_2035"),0)
+IFERROR(INDIRECT("'"&amp;$D$44&amp;"'!Elekverbruik_2035"),0)
+IFERROR(INDIRECT("'"&amp;$D$45&amp;"'!Elekverbruik_2035"),0)
+IFERROR(INDIRECT("'"&amp;$D$46&amp;"'!Elekverbruik_2035"),0)
+IFERROR(INDIRECT("'"&amp;$D$47&amp;"'!Elekverbruik_2035"),0)
+IFERROR(INDIRECT("'"&amp;$D$48&amp;"'!Elekverbruik_2035"),0)
+IFERROR(INDIRECT("'"&amp;$D$49&amp;"'!Elekverbruik_2035"),0)
+IFERROR(INDIRECT("'"&amp;$D$50&amp;"'!Elekverbruik_2035"),0)
+IFERROR(INDIRECT("'"&amp;$D$51&amp;"'!Elekverbruik_2035"),0)
+IFERROR(INDIRECT("'"&amp;$D$52&amp;"'!Elekverbruik_2035"),0)
+IFERROR(INDIRECT("'"&amp;$D$53&amp;"'!Elekverbruik_2035"),0)
+IFERROR(INDIRECT("'"&amp;$D$54&amp;"'!Elekverbruik_2035"),0)
+Nieuwbouw!V54</f>
        <v>500936.83242575714</v>
      </c>
      <c r="Z29" s="320">
        <f ca="1">+IFERROR(INDIRECT("'"&amp;$D$5&amp;"'!Elekverbruik_2036"),0)
+IFERROR(INDIRECT("'"&amp;$D$6&amp;"'!Elekverbruik_2036"),0)
+IFERROR(INDIRECT("'"&amp;$D$7&amp;"'!Elekverbruik_2036"),0)
+IFERROR(INDIRECT("'"&amp;$D$8&amp;"'!Elekverbruik_2036"),0)
+IFERROR(INDIRECT("'"&amp;$D$9&amp;"'!Elekverbruik_2036"),0)
+IFERROR(INDIRECT("'"&amp;$D$10&amp;"'!Elekverbruik_2036"),0)
+IFERROR(INDIRECT("'"&amp;$D$11&amp;"'!Elekverbruik_2036"),0)
+IFERROR(INDIRECT("'"&amp;$D$12&amp;"'!Elekverbruik_2036"),0)
+IFERROR(INDIRECT("'"&amp;$D$13&amp;"'!Elekverbruik_2036"),0)
+IFERROR(INDIRECT("'"&amp;$D$14&amp;"'!Elekverbruik_2036"),0)
+IFERROR(INDIRECT("'"&amp;$D$15&amp;"'!Elekverbruik_2036"),0)
+IFERROR(INDIRECT("'"&amp;$D$16&amp;"'!Elekverbruik_2036"),0)
+IFERROR(INDIRECT("'"&amp;$D$17&amp;"'!Elekverbruik_2036"),0)
+IFERROR(INDIRECT("'"&amp;$D$18&amp;"'!Elekverbruik_2036"),0)
+IFERROR(INDIRECT("'"&amp;$D$19&amp;"'!Elekverbruik_2036"),0)
+IFERROR(INDIRECT("'"&amp;$D$20&amp;"'!Elekverbruik_2036"),0)
+IFERROR(INDIRECT("'"&amp;$D$21&amp;"'!Elekverbruik_2036"),0)
+IFERROR(INDIRECT("'"&amp;$D$22&amp;"'!Elekverbruik_2036"),0)
+IFERROR(INDIRECT("'"&amp;$D$23&amp;"'!Elekverbruik_2036"),0)
+IFERROR(INDIRECT("'"&amp;$D$24&amp;"'!Elekverbruik_2036"),0)
+IFERROR(INDIRECT("'"&amp;$D$25&amp;"'!Elekverbruik_2036"),0)
+IFERROR(INDIRECT("'"&amp;$D$26&amp;"'!Elekverbruik_2036"),0)
+IFERROR(INDIRECT("'"&amp;$D$27&amp;"'!Elekverbruik_2036"),0)
+IFERROR(INDIRECT("'"&amp;$D$28&amp;"'!Elekverbruik_2036"),0)
+IFERROR(INDIRECT("'"&amp;$D$29&amp;"'!Elekverbruik_2036"),0)
+IFERROR(INDIRECT("'"&amp;$D$30&amp;"'!Elekverbruik_2036"),0)
+IFERROR(INDIRECT("'"&amp;$D$31&amp;"'!Elekverbruik_2036"),0)
+IFERROR(INDIRECT("'"&amp;$D$32&amp;"'!Elekverbruik_2036"),0)
+IFERROR(INDIRECT("'"&amp;$D$33&amp;"'!Elekverbruik_2036"),0)
+IFERROR(INDIRECT("'"&amp;$D$34&amp;"'!Elekverbruik_2036"),0)
+IFERROR(INDIRECT("'"&amp;$D$35&amp;"'!Elekverbruik_2036"),0)
+IFERROR(INDIRECT("'"&amp;$D$36&amp;"'!Elekverbruik_2036"),0)
+IFERROR(INDIRECT("'"&amp;$D$37&amp;"'!Elekverbruik_2036"),0)
+IFERROR(INDIRECT("'"&amp;$D$38&amp;"'!Elekverbruik_2036"),0)
+IFERROR(INDIRECT("'"&amp;$D$39&amp;"'!Elekverbruik_2036"),0)
+IFERROR(INDIRECT("'"&amp;$D$40&amp;"'!Elekverbruik_2036"),0)
+IFERROR(INDIRECT("'"&amp;$D$41&amp;"'!Elekverbruik_2036"),0)
+IFERROR(INDIRECT("'"&amp;$D$42&amp;"'!Elekverbruik_2036"),0)
+IFERROR(INDIRECT("'"&amp;$D$43&amp;"'!Elekverbruik_2036"),0)
+IFERROR(INDIRECT("'"&amp;$D$44&amp;"'!Elekverbruik_2036"),0)
+IFERROR(INDIRECT("'"&amp;$D$45&amp;"'!Elekverbruik_2036"),0)
+IFERROR(INDIRECT("'"&amp;$D$46&amp;"'!Elekverbruik_2036"),0)
+IFERROR(INDIRECT("'"&amp;$D$47&amp;"'!Elekverbruik_2036"),0)
+IFERROR(INDIRECT("'"&amp;$D$48&amp;"'!Elekverbruik_2036"),0)
+IFERROR(INDIRECT("'"&amp;$D$49&amp;"'!Elekverbruik_2036"),0)
+IFERROR(INDIRECT("'"&amp;$D$50&amp;"'!Elekverbruik_2036"),0)
+IFERROR(INDIRECT("'"&amp;$D$51&amp;"'!Elekverbruik_2036"),0)
+IFERROR(INDIRECT("'"&amp;$D$52&amp;"'!Elekverbruik_2036"),0)
+IFERROR(INDIRECT("'"&amp;$D$53&amp;"'!Elekverbruik_2036"),0)
+IFERROR(INDIRECT("'"&amp;$D$54&amp;"'!Elekverbruik_2036"),0)
+Nieuwbouw!W54</f>
        <v>529920.69672511425</v>
      </c>
      <c r="AA29" s="320">
        <f ca="1">+IFERROR(INDIRECT("'"&amp;$D$5&amp;"'!Elekverbruik_2037"),0)
+IFERROR(INDIRECT("'"&amp;$D$6&amp;"'!Elekverbruik_2037"),0)
+IFERROR(INDIRECT("'"&amp;$D$7&amp;"'!Elekverbruik_2037"),0)
+IFERROR(INDIRECT("'"&amp;$D$8&amp;"'!Elekverbruik_2037"),0)
+IFERROR(INDIRECT("'"&amp;$D$9&amp;"'!Elekverbruik_2037"),0)
+IFERROR(INDIRECT("'"&amp;$D$10&amp;"'!Elekverbruik_2037"),0)
+IFERROR(INDIRECT("'"&amp;$D$11&amp;"'!Elekverbruik_2037"),0)
+IFERROR(INDIRECT("'"&amp;$D$12&amp;"'!Elekverbruik_2037"),0)
+IFERROR(INDIRECT("'"&amp;$D$13&amp;"'!Elekverbruik_2037"),0)
+IFERROR(INDIRECT("'"&amp;$D$14&amp;"'!Elekverbruik_2037"),0)
+IFERROR(INDIRECT("'"&amp;$D$15&amp;"'!Elekverbruik_2037"),0)
+IFERROR(INDIRECT("'"&amp;$D$16&amp;"'!Elekverbruik_2037"),0)
+IFERROR(INDIRECT("'"&amp;$D$17&amp;"'!Elekverbruik_2037"),0)
+IFERROR(INDIRECT("'"&amp;$D$18&amp;"'!Elekverbruik_2037"),0)
+IFERROR(INDIRECT("'"&amp;$D$19&amp;"'!Elekverbruik_2037"),0)
+IFERROR(INDIRECT("'"&amp;$D$20&amp;"'!Elekverbruik_2037"),0)
+IFERROR(INDIRECT("'"&amp;$D$21&amp;"'!Elekverbruik_2037"),0)
+IFERROR(INDIRECT("'"&amp;$D$22&amp;"'!Elekverbruik_2037"),0)
+IFERROR(INDIRECT("'"&amp;$D$23&amp;"'!Elekverbruik_2037"),0)
+IFERROR(INDIRECT("'"&amp;$D$24&amp;"'!Elekverbruik_2037"),0)
+IFERROR(INDIRECT("'"&amp;$D$25&amp;"'!Elekverbruik_2037"),0)
+IFERROR(INDIRECT("'"&amp;$D$26&amp;"'!Elekverbruik_2037"),0)
+IFERROR(INDIRECT("'"&amp;$D$27&amp;"'!Elekverbruik_2037"),0)
+IFERROR(INDIRECT("'"&amp;$D$28&amp;"'!Elekverbruik_2037"),0)
+IFERROR(INDIRECT("'"&amp;$D$29&amp;"'!Elekverbruik_2037"),0)
+IFERROR(INDIRECT("'"&amp;$D$30&amp;"'!Elekverbruik_2037"),0)
+IFERROR(INDIRECT("'"&amp;$D$31&amp;"'!Elekverbruik_2037"),0)
+IFERROR(INDIRECT("'"&amp;$D$32&amp;"'!Elekverbruik_2037"),0)
+IFERROR(INDIRECT("'"&amp;$D$33&amp;"'!Elekverbruik_2037"),0)
+IFERROR(INDIRECT("'"&amp;$D$34&amp;"'!Elekverbruik_2037"),0)
+IFERROR(INDIRECT("'"&amp;$D$35&amp;"'!Elekverbruik_2037"),0)
+IFERROR(INDIRECT("'"&amp;$D$36&amp;"'!Elekverbruik_2037"),0)
+IFERROR(INDIRECT("'"&amp;$D$37&amp;"'!Elekverbruik_2037"),0)
+IFERROR(INDIRECT("'"&amp;$D$38&amp;"'!Elekverbruik_2037"),0)
+IFERROR(INDIRECT("'"&amp;$D$39&amp;"'!Elekverbruik_2037"),0)
+IFERROR(INDIRECT("'"&amp;$D$40&amp;"'!Elekverbruik_2037"),0)
+IFERROR(INDIRECT("'"&amp;$D$41&amp;"'!Elekverbruik_2037"),0)
+IFERROR(INDIRECT("'"&amp;$D$42&amp;"'!Elekverbruik_2037"),0)
+IFERROR(INDIRECT("'"&amp;$D$43&amp;"'!Elekverbruik_2037"),0)
+IFERROR(INDIRECT("'"&amp;$D$44&amp;"'!Elekverbruik_2037"),0)
+IFERROR(INDIRECT("'"&amp;$D$45&amp;"'!Elekverbruik_2037"),0)
+IFERROR(INDIRECT("'"&amp;$D$46&amp;"'!Elekverbruik_2037"),0)
+IFERROR(INDIRECT("'"&amp;$D$47&amp;"'!Elekverbruik_2037"),0)
+IFERROR(INDIRECT("'"&amp;$D$48&amp;"'!Elekverbruik_2037"),0)
+IFERROR(INDIRECT("'"&amp;$D$49&amp;"'!Elekverbruik_2037"),0)
+IFERROR(INDIRECT("'"&amp;$D$50&amp;"'!Elekverbruik_2037"),0)
+IFERROR(INDIRECT("'"&amp;$D$51&amp;"'!Elekverbruik_2037"),0)
+IFERROR(INDIRECT("'"&amp;$D$52&amp;"'!Elekverbruik_2037"),0)
+IFERROR(INDIRECT("'"&amp;$D$53&amp;"'!Elekverbruik_2037"),0)
+IFERROR(INDIRECT("'"&amp;$D$54&amp;"'!Elekverbruik_2037"),0)
+Nieuwbouw!X54</f>
        <v>529920.69672511425</v>
      </c>
      <c r="AB29" s="320">
        <f ca="1">+IFERROR(INDIRECT("'"&amp;$D$5&amp;"'!Elekverbruik_2038"),0)
+IFERROR(INDIRECT("'"&amp;$D$6&amp;"'!Elekverbruik_2038"),0)
+IFERROR(INDIRECT("'"&amp;$D$7&amp;"'!Elekverbruik_2038"),0)
+IFERROR(INDIRECT("'"&amp;$D$8&amp;"'!Elekverbruik_2038"),0)
+IFERROR(INDIRECT("'"&amp;$D$9&amp;"'!Elekverbruik_2038"),0)
+IFERROR(INDIRECT("'"&amp;$D$10&amp;"'!Elekverbruik_2038"),0)
+IFERROR(INDIRECT("'"&amp;$D$11&amp;"'!Elekverbruik_2038"),0)
+IFERROR(INDIRECT("'"&amp;$D$12&amp;"'!Elekverbruik_2038"),0)
+IFERROR(INDIRECT("'"&amp;$D$13&amp;"'!Elekverbruik_2038"),0)
+IFERROR(INDIRECT("'"&amp;$D$14&amp;"'!Elekverbruik_2038"),0)
+IFERROR(INDIRECT("'"&amp;$D$15&amp;"'!Elekverbruik_2038"),0)
+IFERROR(INDIRECT("'"&amp;$D$16&amp;"'!Elekverbruik_2038"),0)
+IFERROR(INDIRECT("'"&amp;$D$17&amp;"'!Elekverbruik_2038"),0)
+IFERROR(INDIRECT("'"&amp;$D$18&amp;"'!Elekverbruik_2038"),0)
+IFERROR(INDIRECT("'"&amp;$D$19&amp;"'!Elekverbruik_2038"),0)
+IFERROR(INDIRECT("'"&amp;$D$20&amp;"'!Elekverbruik_2038"),0)
+IFERROR(INDIRECT("'"&amp;$D$21&amp;"'!Elekverbruik_2038"),0)
+IFERROR(INDIRECT("'"&amp;$D$22&amp;"'!Elekverbruik_2038"),0)
+IFERROR(INDIRECT("'"&amp;$D$23&amp;"'!Elekverbruik_2038"),0)
+IFERROR(INDIRECT("'"&amp;$D$24&amp;"'!Elekverbruik_2038"),0)
+IFERROR(INDIRECT("'"&amp;$D$25&amp;"'!Elekverbruik_2038"),0)
+IFERROR(INDIRECT("'"&amp;$D$26&amp;"'!Elekverbruik_2038"),0)
+IFERROR(INDIRECT("'"&amp;$D$27&amp;"'!Elekverbruik_2038"),0)
+IFERROR(INDIRECT("'"&amp;$D$28&amp;"'!Elekverbruik_2038"),0)
+IFERROR(INDIRECT("'"&amp;$D$29&amp;"'!Elekverbruik_2038"),0)
+IFERROR(INDIRECT("'"&amp;$D$30&amp;"'!Elekverbruik_2038"),0)
+IFERROR(INDIRECT("'"&amp;$D$31&amp;"'!Elekverbruik_2038"),0)
+IFERROR(INDIRECT("'"&amp;$D$32&amp;"'!Elekverbruik_2038"),0)
+IFERROR(INDIRECT("'"&amp;$D$33&amp;"'!Elekverbruik_2038"),0)
+IFERROR(INDIRECT("'"&amp;$D$34&amp;"'!Elekverbruik_2038"),0)
+IFERROR(INDIRECT("'"&amp;$D$35&amp;"'!Elekverbruik_2038"),0)
+IFERROR(INDIRECT("'"&amp;$D$36&amp;"'!Elekverbruik_2038"),0)
+IFERROR(INDIRECT("'"&amp;$D$37&amp;"'!Elekverbruik_2038"),0)
+IFERROR(INDIRECT("'"&amp;$D$38&amp;"'!Elekverbruik_2038"),0)
+IFERROR(INDIRECT("'"&amp;$D$39&amp;"'!Elekverbruik_2038"),0)
+IFERROR(INDIRECT("'"&amp;$D$40&amp;"'!Elekverbruik_2038"),0)
+IFERROR(INDIRECT("'"&amp;$D$41&amp;"'!Elekverbruik_2038"),0)
+IFERROR(INDIRECT("'"&amp;$D$42&amp;"'!Elekverbruik_2038"),0)
+IFERROR(INDIRECT("'"&amp;$D$43&amp;"'!Elekverbruik_2038"),0)
+IFERROR(INDIRECT("'"&amp;$D$44&amp;"'!Elekverbruik_2038"),0)
+IFERROR(INDIRECT("'"&amp;$D$45&amp;"'!Elekverbruik_2038"),0)
+IFERROR(INDIRECT("'"&amp;$D$46&amp;"'!Elekverbruik_2038"),0)
+IFERROR(INDIRECT("'"&amp;$D$47&amp;"'!Elekverbruik_2038"),0)
+IFERROR(INDIRECT("'"&amp;$D$48&amp;"'!Elekverbruik_2038"),0)
+IFERROR(INDIRECT("'"&amp;$D$49&amp;"'!Elekverbruik_2038"),0)
+IFERROR(INDIRECT("'"&amp;$D$50&amp;"'!Elekverbruik_2038"),0)
+IFERROR(INDIRECT("'"&amp;$D$51&amp;"'!Elekverbruik_2038"),0)
+IFERROR(INDIRECT("'"&amp;$D$52&amp;"'!Elekverbruik_2038"),0)
+IFERROR(INDIRECT("'"&amp;$D$53&amp;"'!Elekverbruik_2038"),0)
+IFERROR(INDIRECT("'"&amp;$D$54&amp;"'!Elekverbruik_2038"),0)
+Nieuwbouw!Y54</f>
        <v>529920.69672511425</v>
      </c>
      <c r="AC29" s="320">
        <f ca="1">+IFERROR(INDIRECT("'"&amp;$D$5&amp;"'!Elekverbruik_2039"),0)
+IFERROR(INDIRECT("'"&amp;$D$6&amp;"'!Elekverbruik_2039"),0)
+IFERROR(INDIRECT("'"&amp;$D$7&amp;"'!Elekverbruik_2039"),0)
+IFERROR(INDIRECT("'"&amp;$D$8&amp;"'!Elekverbruik_2039"),0)
+IFERROR(INDIRECT("'"&amp;$D$9&amp;"'!Elekverbruik_2039"),0)
+IFERROR(INDIRECT("'"&amp;$D$10&amp;"'!Elekverbruik_2039"),0)
+IFERROR(INDIRECT("'"&amp;$D$11&amp;"'!Elekverbruik_2039"),0)
+IFERROR(INDIRECT("'"&amp;$D$12&amp;"'!Elekverbruik_2039"),0)
+IFERROR(INDIRECT("'"&amp;$D$13&amp;"'!Elekverbruik_2039"),0)
+IFERROR(INDIRECT("'"&amp;$D$14&amp;"'!Elekverbruik_2039"),0)
+IFERROR(INDIRECT("'"&amp;$D$15&amp;"'!Elekverbruik_2039"),0)
+IFERROR(INDIRECT("'"&amp;$D$16&amp;"'!Elekverbruik_2039"),0)
+IFERROR(INDIRECT("'"&amp;$D$17&amp;"'!Elekverbruik_2039"),0)
+IFERROR(INDIRECT("'"&amp;$D$18&amp;"'!Elekverbruik_2039"),0)
+IFERROR(INDIRECT("'"&amp;$D$19&amp;"'!Elekverbruik_2039"),0)
+IFERROR(INDIRECT("'"&amp;$D$20&amp;"'!Elekverbruik_2039"),0)
+IFERROR(INDIRECT("'"&amp;$D$21&amp;"'!Elekverbruik_2039"),0)
+IFERROR(INDIRECT("'"&amp;$D$22&amp;"'!Elekverbruik_2039"),0)
+IFERROR(INDIRECT("'"&amp;$D$23&amp;"'!Elekverbruik_2039"),0)
+IFERROR(INDIRECT("'"&amp;$D$24&amp;"'!Elekverbruik_2039"),0)
+IFERROR(INDIRECT("'"&amp;$D$25&amp;"'!Elekverbruik_2039"),0)
+IFERROR(INDIRECT("'"&amp;$D$26&amp;"'!Elekverbruik_2039"),0)
+IFERROR(INDIRECT("'"&amp;$D$27&amp;"'!Elekverbruik_2039"),0)
+IFERROR(INDIRECT("'"&amp;$D$28&amp;"'!Elekverbruik_2039"),0)
+IFERROR(INDIRECT("'"&amp;$D$29&amp;"'!Elekverbruik_2039"),0)
+IFERROR(INDIRECT("'"&amp;$D$30&amp;"'!Elekverbruik_2039"),0)
+IFERROR(INDIRECT("'"&amp;$D$31&amp;"'!Elekverbruik_2039"),0)
+IFERROR(INDIRECT("'"&amp;$D$32&amp;"'!Elekverbruik_2039"),0)
+IFERROR(INDIRECT("'"&amp;$D$33&amp;"'!Elekverbruik_2039"),0)
+IFERROR(INDIRECT("'"&amp;$D$34&amp;"'!Elekverbruik_2039"),0)
+IFERROR(INDIRECT("'"&amp;$D$35&amp;"'!Elekverbruik_2039"),0)
+IFERROR(INDIRECT("'"&amp;$D$36&amp;"'!Elekverbruik_2039"),0)
+IFERROR(INDIRECT("'"&amp;$D$37&amp;"'!Elekverbruik_2039"),0)
+IFERROR(INDIRECT("'"&amp;$D$38&amp;"'!Elekverbruik_2039"),0)
+IFERROR(INDIRECT("'"&amp;$D$39&amp;"'!Elekverbruik_2039"),0)
+IFERROR(INDIRECT("'"&amp;$D$40&amp;"'!Elekverbruik_2039"),0)
+IFERROR(INDIRECT("'"&amp;$D$41&amp;"'!Elekverbruik_2039"),0)
+IFERROR(INDIRECT("'"&amp;$D$42&amp;"'!Elekverbruik_2039"),0)
+IFERROR(INDIRECT("'"&amp;$D$43&amp;"'!Elekverbruik_2039"),0)
+IFERROR(INDIRECT("'"&amp;$D$44&amp;"'!Elekverbruik_2039"),0)
+IFERROR(INDIRECT("'"&amp;$D$45&amp;"'!Elekverbruik_2039"),0)
+IFERROR(INDIRECT("'"&amp;$D$46&amp;"'!Elekverbruik_2039"),0)
+IFERROR(INDIRECT("'"&amp;$D$47&amp;"'!Elekverbruik_2039"),0)
+IFERROR(INDIRECT("'"&amp;$D$48&amp;"'!Elekverbruik_2039"),0)
+IFERROR(INDIRECT("'"&amp;$D$49&amp;"'!Elekverbruik_2039"),0)
+IFERROR(INDIRECT("'"&amp;$D$50&amp;"'!Elekverbruik_2039"),0)
+IFERROR(INDIRECT("'"&amp;$D$51&amp;"'!Elekverbruik_2039"),0)
+IFERROR(INDIRECT("'"&amp;$D$52&amp;"'!Elekverbruik_2039"),0)
+IFERROR(INDIRECT("'"&amp;$D$53&amp;"'!Elekverbruik_2039"),0)
+IFERROR(INDIRECT("'"&amp;$D$54&amp;"'!Elekverbruik_2039"),0)
+Nieuwbouw!Z54</f>
        <v>529920.69672511425</v>
      </c>
      <c r="AD29" s="320">
        <f ca="1">+IFERROR(INDIRECT("'"&amp;$D$5&amp;"'!Elekverbruik_2040"),0)
+IFERROR(INDIRECT("'"&amp;$D$6&amp;"'!Elekverbruik_2040"),0)
+IFERROR(INDIRECT("'"&amp;$D$7&amp;"'!Elekverbruik_2040"),0)
+IFERROR(INDIRECT("'"&amp;$D$8&amp;"'!Elekverbruik_2040"),0)
+IFERROR(INDIRECT("'"&amp;$D$9&amp;"'!Elekverbruik_2040"),0)
+IFERROR(INDIRECT("'"&amp;$D$10&amp;"'!Elekverbruik_2040"),0)
+IFERROR(INDIRECT("'"&amp;$D$11&amp;"'!Elekverbruik_2040"),0)
+IFERROR(INDIRECT("'"&amp;$D$12&amp;"'!Elekverbruik_2040"),0)
+IFERROR(INDIRECT("'"&amp;$D$13&amp;"'!Elekverbruik_2040"),0)
+IFERROR(INDIRECT("'"&amp;$D$14&amp;"'!Elekverbruik_2040"),0)
+IFERROR(INDIRECT("'"&amp;$D$15&amp;"'!Elekverbruik_2040"),0)
+IFERROR(INDIRECT("'"&amp;$D$16&amp;"'!Elekverbruik_2040"),0)
+IFERROR(INDIRECT("'"&amp;$D$17&amp;"'!Elekverbruik_2040"),0)
+IFERROR(INDIRECT("'"&amp;$D$18&amp;"'!Elekverbruik_2040"),0)
+IFERROR(INDIRECT("'"&amp;$D$19&amp;"'!Elekverbruik_2040"),0)
+IFERROR(INDIRECT("'"&amp;$D$20&amp;"'!Elekverbruik_2040"),0)
+IFERROR(INDIRECT("'"&amp;$D$21&amp;"'!Elekverbruik_2040"),0)
+IFERROR(INDIRECT("'"&amp;$D$22&amp;"'!Elekverbruik_2040"),0)
+IFERROR(INDIRECT("'"&amp;$D$23&amp;"'!Elekverbruik_2040"),0)
+IFERROR(INDIRECT("'"&amp;$D$24&amp;"'!Elekverbruik_2040"),0)
+IFERROR(INDIRECT("'"&amp;$D$25&amp;"'!Elekverbruik_2040"),0)
+IFERROR(INDIRECT("'"&amp;$D$26&amp;"'!Elekverbruik_2040"),0)
+IFERROR(INDIRECT("'"&amp;$D$27&amp;"'!Elekverbruik_2040"),0)
+IFERROR(INDIRECT("'"&amp;$D$28&amp;"'!Elekverbruik_2040"),0)
+IFERROR(INDIRECT("'"&amp;$D$29&amp;"'!Elekverbruik_2040"),0)
+IFERROR(INDIRECT("'"&amp;$D$30&amp;"'!Elekverbruik_2040"),0)
+IFERROR(INDIRECT("'"&amp;$D$31&amp;"'!Elekverbruik_2040"),0)
+IFERROR(INDIRECT("'"&amp;$D$32&amp;"'!Elekverbruik_2040"),0)
+IFERROR(INDIRECT("'"&amp;$D$33&amp;"'!Elekverbruik_2040"),0)
+IFERROR(INDIRECT("'"&amp;$D$34&amp;"'!Elekverbruik_2040"),0)
+IFERROR(INDIRECT("'"&amp;$D$35&amp;"'!Elekverbruik_2040"),0)
+IFERROR(INDIRECT("'"&amp;$D$36&amp;"'!Elekverbruik_2040"),0)
+IFERROR(INDIRECT("'"&amp;$D$37&amp;"'!Elekverbruik_2040"),0)
+IFERROR(INDIRECT("'"&amp;$D$38&amp;"'!Elekverbruik_2040"),0)
+IFERROR(INDIRECT("'"&amp;$D$39&amp;"'!Elekverbruik_2040"),0)
+IFERROR(INDIRECT("'"&amp;$D$40&amp;"'!Elekverbruik_2040"),0)
+IFERROR(INDIRECT("'"&amp;$D$41&amp;"'!Elekverbruik_2040"),0)
+IFERROR(INDIRECT("'"&amp;$D$42&amp;"'!Elekverbruik_2040"),0)
+IFERROR(INDIRECT("'"&amp;$D$43&amp;"'!Elekverbruik_2040"),0)
+IFERROR(INDIRECT("'"&amp;$D$44&amp;"'!Elekverbruik_2040"),0)
+IFERROR(INDIRECT("'"&amp;$D$45&amp;"'!Elekverbruik_2040"),0)
+IFERROR(INDIRECT("'"&amp;$D$46&amp;"'!Elekverbruik_2040"),0)
+IFERROR(INDIRECT("'"&amp;$D$47&amp;"'!Elekverbruik_2040"),0)
+IFERROR(INDIRECT("'"&amp;$D$48&amp;"'!Elekverbruik_2040"),0)
+IFERROR(INDIRECT("'"&amp;$D$49&amp;"'!Elekverbruik_2040"),0)
+IFERROR(INDIRECT("'"&amp;$D$50&amp;"'!Elekverbruik_2040"),0)
+IFERROR(INDIRECT("'"&amp;$D$51&amp;"'!Elekverbruik_2040"),0)
+IFERROR(INDIRECT("'"&amp;$D$52&amp;"'!Elekverbruik_2040"),0)
+IFERROR(INDIRECT("'"&amp;$D$53&amp;"'!Elekverbruik_2040"),0)
+IFERROR(INDIRECT("'"&amp;$D$54&amp;"'!Elekverbruik_2040"),0)
+Nieuwbouw!AA54</f>
        <v>508226.25032511423</v>
      </c>
      <c r="AE29" s="320">
        <f ca="1">+IFERROR(INDIRECT("'"&amp;$D$5&amp;"'!Elekverbruik_2041"),0)
+IFERROR(INDIRECT("'"&amp;$D$6&amp;"'!Elekverbruik_2041"),0)
+IFERROR(INDIRECT("'"&amp;$D$7&amp;"'!Elekverbruik_2041"),0)
+IFERROR(INDIRECT("'"&amp;$D$8&amp;"'!Elekverbruik_2041"),0)
+IFERROR(INDIRECT("'"&amp;$D$9&amp;"'!Elekverbruik_2041"),0)
+IFERROR(INDIRECT("'"&amp;$D$10&amp;"'!Elekverbruik_2041"),0)
+IFERROR(INDIRECT("'"&amp;$D$11&amp;"'!Elekverbruik_2041"),0)
+IFERROR(INDIRECT("'"&amp;$D$12&amp;"'!Elekverbruik_2041"),0)
+IFERROR(INDIRECT("'"&amp;$D$13&amp;"'!Elekverbruik_2041"),0)
+IFERROR(INDIRECT("'"&amp;$D$14&amp;"'!Elekverbruik_2041"),0)
+IFERROR(INDIRECT("'"&amp;$D$15&amp;"'!Elekverbruik_2041"),0)
+IFERROR(INDIRECT("'"&amp;$D$16&amp;"'!Elekverbruik_2041"),0)
+IFERROR(INDIRECT("'"&amp;$D$17&amp;"'!Elekverbruik_2041"),0)
+IFERROR(INDIRECT("'"&amp;$D$18&amp;"'!Elekverbruik_2041"),0)
+IFERROR(INDIRECT("'"&amp;$D$19&amp;"'!Elekverbruik_2041"),0)
+IFERROR(INDIRECT("'"&amp;$D$20&amp;"'!Elekverbruik_2041"),0)
+IFERROR(INDIRECT("'"&amp;$D$21&amp;"'!Elekverbruik_2041"),0)
+IFERROR(INDIRECT("'"&amp;$D$22&amp;"'!Elekverbruik_2041"),0)
+IFERROR(INDIRECT("'"&amp;$D$23&amp;"'!Elekverbruik_2041"),0)
+IFERROR(INDIRECT("'"&amp;$D$24&amp;"'!Elekverbruik_2041"),0)
+IFERROR(INDIRECT("'"&amp;$D$25&amp;"'!Elekverbruik_2041"),0)
+IFERROR(INDIRECT("'"&amp;$D$26&amp;"'!Elekverbruik_2041"),0)
+IFERROR(INDIRECT("'"&amp;$D$27&amp;"'!Elekverbruik_2041"),0)
+IFERROR(INDIRECT("'"&amp;$D$28&amp;"'!Elekverbruik_2041"),0)
+IFERROR(INDIRECT("'"&amp;$D$29&amp;"'!Elekverbruik_2041"),0)
+IFERROR(INDIRECT("'"&amp;$D$30&amp;"'!Elekverbruik_2041"),0)
+IFERROR(INDIRECT("'"&amp;$D$31&amp;"'!Elekverbruik_2041"),0)
+IFERROR(INDIRECT("'"&amp;$D$32&amp;"'!Elekverbruik_2041"),0)
+IFERROR(INDIRECT("'"&amp;$D$33&amp;"'!Elekverbruik_2041"),0)
+IFERROR(INDIRECT("'"&amp;$D$34&amp;"'!Elekverbruik_2041"),0)
+IFERROR(INDIRECT("'"&amp;$D$35&amp;"'!Elekverbruik_2041"),0)
+IFERROR(INDIRECT("'"&amp;$D$36&amp;"'!Elekverbruik_2041"),0)
+IFERROR(INDIRECT("'"&amp;$D$37&amp;"'!Elekverbruik_2041"),0)
+IFERROR(INDIRECT("'"&amp;$D$38&amp;"'!Elekverbruik_2041"),0)
+IFERROR(INDIRECT("'"&amp;$D$39&amp;"'!Elekverbruik_2041"),0)
+IFERROR(INDIRECT("'"&amp;$D$40&amp;"'!Elekverbruik_2041"),0)
+IFERROR(INDIRECT("'"&amp;$D$41&amp;"'!Elekverbruik_2041"),0)
+IFERROR(INDIRECT("'"&amp;$D$42&amp;"'!Elekverbruik_2041"),0)
+IFERROR(INDIRECT("'"&amp;$D$43&amp;"'!Elekverbruik_2041"),0)
+IFERROR(INDIRECT("'"&amp;$D$44&amp;"'!Elekverbruik_2041"),0)
+IFERROR(INDIRECT("'"&amp;$D$45&amp;"'!Elekverbruik_2041"),0)
+IFERROR(INDIRECT("'"&amp;$D$46&amp;"'!Elekverbruik_2041"),0)
+IFERROR(INDIRECT("'"&amp;$D$47&amp;"'!Elekverbruik_2041"),0)
+IFERROR(INDIRECT("'"&amp;$D$48&amp;"'!Elekverbruik_2041"),0)
+IFERROR(INDIRECT("'"&amp;$D$49&amp;"'!Elekverbruik_2041"),0)
+IFERROR(INDIRECT("'"&amp;$D$50&amp;"'!Elekverbruik_2041"),0)
+IFERROR(INDIRECT("'"&amp;$D$51&amp;"'!Elekverbruik_2041"),0)
+IFERROR(INDIRECT("'"&amp;$D$52&amp;"'!Elekverbruik_2041"),0)
+IFERROR(INDIRECT("'"&amp;$D$53&amp;"'!Elekverbruik_2041"),0)
+IFERROR(INDIRECT("'"&amp;$D$54&amp;"'!Elekverbruik_2041"),0)
+Nieuwbouw!AB54</f>
        <v>508226.25032511423</v>
      </c>
      <c r="AF29" s="320">
        <f ca="1">+IFERROR(INDIRECT("'"&amp;$D$5&amp;"'!Elekverbruik_2042"),0)
+IFERROR(INDIRECT("'"&amp;$D$6&amp;"'!Elekverbruik_2042"),0)
+IFERROR(INDIRECT("'"&amp;$D$7&amp;"'!Elekverbruik_2042"),0)
+IFERROR(INDIRECT("'"&amp;$D$8&amp;"'!Elekverbruik_2042"),0)
+IFERROR(INDIRECT("'"&amp;$D$9&amp;"'!Elekverbruik_2042"),0)
+IFERROR(INDIRECT("'"&amp;$D$10&amp;"'!Elekverbruik_2042"),0)
+IFERROR(INDIRECT("'"&amp;$D$11&amp;"'!Elekverbruik_2042"),0)
+IFERROR(INDIRECT("'"&amp;$D$12&amp;"'!Elekverbruik_2042"),0)
+IFERROR(INDIRECT("'"&amp;$D$13&amp;"'!Elekverbruik_2042"),0)
+IFERROR(INDIRECT("'"&amp;$D$14&amp;"'!Elekverbruik_2042"),0)
+IFERROR(INDIRECT("'"&amp;$D$15&amp;"'!Elekverbruik_2042"),0)
+IFERROR(INDIRECT("'"&amp;$D$16&amp;"'!Elekverbruik_2042"),0)
+IFERROR(INDIRECT("'"&amp;$D$17&amp;"'!Elekverbruik_2042"),0)
+IFERROR(INDIRECT("'"&amp;$D$18&amp;"'!Elekverbruik_2042"),0)
+IFERROR(INDIRECT("'"&amp;$D$19&amp;"'!Elekverbruik_2042"),0)
+IFERROR(INDIRECT("'"&amp;$D$20&amp;"'!Elekverbruik_2042"),0)
+IFERROR(INDIRECT("'"&amp;$D$21&amp;"'!Elekverbruik_2042"),0)
+IFERROR(INDIRECT("'"&amp;$D$22&amp;"'!Elekverbruik_2042"),0)
+IFERROR(INDIRECT("'"&amp;$D$23&amp;"'!Elekverbruik_2042"),0)
+IFERROR(INDIRECT("'"&amp;$D$24&amp;"'!Elekverbruik_2042"),0)
+IFERROR(INDIRECT("'"&amp;$D$25&amp;"'!Elekverbruik_2042"),0)
+IFERROR(INDIRECT("'"&amp;$D$26&amp;"'!Elekverbruik_2042"),0)
+IFERROR(INDIRECT("'"&amp;$D$27&amp;"'!Elekverbruik_2042"),0)
+IFERROR(INDIRECT("'"&amp;$D$28&amp;"'!Elekverbruik_2042"),0)
+IFERROR(INDIRECT("'"&amp;$D$29&amp;"'!Elekverbruik_2042"),0)
+IFERROR(INDIRECT("'"&amp;$D$30&amp;"'!Elekverbruik_2042"),0)
+IFERROR(INDIRECT("'"&amp;$D$31&amp;"'!Elekverbruik_2042"),0)
+IFERROR(INDIRECT("'"&amp;$D$32&amp;"'!Elekverbruik_2042"),0)
+IFERROR(INDIRECT("'"&amp;$D$33&amp;"'!Elekverbruik_2042"),0)
+IFERROR(INDIRECT("'"&amp;$D$34&amp;"'!Elekverbruik_2042"),0)
+IFERROR(INDIRECT("'"&amp;$D$35&amp;"'!Elekverbruik_2042"),0)
+IFERROR(INDIRECT("'"&amp;$D$36&amp;"'!Elekverbruik_2042"),0)
+IFERROR(INDIRECT("'"&amp;$D$37&amp;"'!Elekverbruik_2042"),0)
+IFERROR(INDIRECT("'"&amp;$D$38&amp;"'!Elekverbruik_2042"),0)
+IFERROR(INDIRECT("'"&amp;$D$39&amp;"'!Elekverbruik_2042"),0)
+IFERROR(INDIRECT("'"&amp;$D$40&amp;"'!Elekverbruik_2042"),0)
+IFERROR(INDIRECT("'"&amp;$D$41&amp;"'!Elekverbruik_2042"),0)
+IFERROR(INDIRECT("'"&amp;$D$42&amp;"'!Elekverbruik_2042"),0)
+IFERROR(INDIRECT("'"&amp;$D$43&amp;"'!Elekverbruik_2042"),0)
+IFERROR(INDIRECT("'"&amp;$D$44&amp;"'!Elekverbruik_2042"),0)
+IFERROR(INDIRECT("'"&amp;$D$45&amp;"'!Elekverbruik_2042"),0)
+IFERROR(INDIRECT("'"&amp;$D$46&amp;"'!Elekverbruik_2042"),0)
+IFERROR(INDIRECT("'"&amp;$D$47&amp;"'!Elekverbruik_2042"),0)
+IFERROR(INDIRECT("'"&amp;$D$48&amp;"'!Elekverbruik_2042"),0)
+IFERROR(INDIRECT("'"&amp;$D$49&amp;"'!Elekverbruik_2042"),0)
+IFERROR(INDIRECT("'"&amp;$D$50&amp;"'!Elekverbruik_2042"),0)
+IFERROR(INDIRECT("'"&amp;$D$51&amp;"'!Elekverbruik_2042"),0)
+IFERROR(INDIRECT("'"&amp;$D$52&amp;"'!Elekverbruik_2042"),0)
+IFERROR(INDIRECT("'"&amp;$D$53&amp;"'!Elekverbruik_2042"),0)
+IFERROR(INDIRECT("'"&amp;$D$54&amp;"'!Elekverbruik_2042"),0)
+Nieuwbouw!AC54</f>
        <v>508226.25032511423</v>
      </c>
      <c r="AG29" s="320">
        <f ca="1">+IFERROR(INDIRECT("'"&amp;$D$5&amp;"'!Elekverbruik_2043"),0)
+IFERROR(INDIRECT("'"&amp;$D$6&amp;"'!Elekverbruik_2043"),0)
+IFERROR(INDIRECT("'"&amp;$D$7&amp;"'!Elekverbruik_2043"),0)
+IFERROR(INDIRECT("'"&amp;$D$8&amp;"'!Elekverbruik_2043"),0)
+IFERROR(INDIRECT("'"&amp;$D$9&amp;"'!Elekverbruik_2043"),0)
+IFERROR(INDIRECT("'"&amp;$D$10&amp;"'!Elekverbruik_2043"),0)
+IFERROR(INDIRECT("'"&amp;$D$11&amp;"'!Elekverbruik_2043"),0)
+IFERROR(INDIRECT("'"&amp;$D$12&amp;"'!Elekverbruik_2043"),0)
+IFERROR(INDIRECT("'"&amp;$D$13&amp;"'!Elekverbruik_2043"),0)
+IFERROR(INDIRECT("'"&amp;$D$14&amp;"'!Elekverbruik_2043"),0)
+IFERROR(INDIRECT("'"&amp;$D$15&amp;"'!Elekverbruik_2043"),0)
+IFERROR(INDIRECT("'"&amp;$D$16&amp;"'!Elekverbruik_2043"),0)
+IFERROR(INDIRECT("'"&amp;$D$17&amp;"'!Elekverbruik_2043"),0)
+IFERROR(INDIRECT("'"&amp;$D$18&amp;"'!Elekverbruik_2043"),0)
+IFERROR(INDIRECT("'"&amp;$D$19&amp;"'!Elekverbruik_2043"),0)
+IFERROR(INDIRECT("'"&amp;$D$20&amp;"'!Elekverbruik_2043"),0)
+IFERROR(INDIRECT("'"&amp;$D$21&amp;"'!Elekverbruik_2043"),0)
+IFERROR(INDIRECT("'"&amp;$D$22&amp;"'!Elekverbruik_2043"),0)
+IFERROR(INDIRECT("'"&amp;$D$23&amp;"'!Elekverbruik_2043"),0)
+IFERROR(INDIRECT("'"&amp;$D$24&amp;"'!Elekverbruik_2043"),0)
+IFERROR(INDIRECT("'"&amp;$D$25&amp;"'!Elekverbruik_2043"),0)
+IFERROR(INDIRECT("'"&amp;$D$26&amp;"'!Elekverbruik_2043"),0)
+IFERROR(INDIRECT("'"&amp;$D$27&amp;"'!Elekverbruik_2043"),0)
+IFERROR(INDIRECT("'"&amp;$D$28&amp;"'!Elekverbruik_2043"),0)
+IFERROR(INDIRECT("'"&amp;$D$29&amp;"'!Elekverbruik_2043"),0)
+IFERROR(INDIRECT("'"&amp;$D$30&amp;"'!Elekverbruik_2043"),0)
+IFERROR(INDIRECT("'"&amp;$D$31&amp;"'!Elekverbruik_2043"),0)
+IFERROR(INDIRECT("'"&amp;$D$32&amp;"'!Elekverbruik_2043"),0)
+IFERROR(INDIRECT("'"&amp;$D$33&amp;"'!Elekverbruik_2043"),0)
+IFERROR(INDIRECT("'"&amp;$D$34&amp;"'!Elekverbruik_2043"),0)
+IFERROR(INDIRECT("'"&amp;$D$35&amp;"'!Elekverbruik_2043"),0)
+IFERROR(INDIRECT("'"&amp;$D$36&amp;"'!Elekverbruik_2043"),0)
+IFERROR(INDIRECT("'"&amp;$D$37&amp;"'!Elekverbruik_2043"),0)
+IFERROR(INDIRECT("'"&amp;$D$38&amp;"'!Elekverbruik_2043"),0)
+IFERROR(INDIRECT("'"&amp;$D$39&amp;"'!Elekverbruik_2043"),0)
+IFERROR(INDIRECT("'"&amp;$D$40&amp;"'!Elekverbruik_2043"),0)
+IFERROR(INDIRECT("'"&amp;$D$41&amp;"'!Elekverbruik_2043"),0)
+IFERROR(INDIRECT("'"&amp;$D$42&amp;"'!Elekverbruik_2043"),0)
+IFERROR(INDIRECT("'"&amp;$D$43&amp;"'!Elekverbruik_2043"),0)
+IFERROR(INDIRECT("'"&amp;$D$44&amp;"'!Elekverbruik_2043"),0)
+IFERROR(INDIRECT("'"&amp;$D$45&amp;"'!Elekverbruik_2043"),0)
+IFERROR(INDIRECT("'"&amp;$D$46&amp;"'!Elekverbruik_2043"),0)
+IFERROR(INDIRECT("'"&amp;$D$47&amp;"'!Elekverbruik_2043"),0)
+IFERROR(INDIRECT("'"&amp;$D$48&amp;"'!Elekverbruik_2043"),0)
+IFERROR(INDIRECT("'"&amp;$D$49&amp;"'!Elekverbruik_2043"),0)
+IFERROR(INDIRECT("'"&amp;$D$50&amp;"'!Elekverbruik_2043"),0)
+IFERROR(INDIRECT("'"&amp;$D$51&amp;"'!Elekverbruik_2043"),0)
+IFERROR(INDIRECT("'"&amp;$D$52&amp;"'!Elekverbruik_2043"),0)
+IFERROR(INDIRECT("'"&amp;$D$53&amp;"'!Elekverbruik_2043"),0)
+IFERROR(INDIRECT("'"&amp;$D$54&amp;"'!Elekverbruik_2043"),0)
+Nieuwbouw!AD54</f>
        <v>508226.25032511423</v>
      </c>
      <c r="AH29" s="320">
        <f ca="1">+IFERROR(INDIRECT("'"&amp;$D$5&amp;"'!Elekverbruik_2044"),0)
+IFERROR(INDIRECT("'"&amp;$D$6&amp;"'!Elekverbruik_2044"),0)
+IFERROR(INDIRECT("'"&amp;$D$7&amp;"'!Elekverbruik_2044"),0)
+IFERROR(INDIRECT("'"&amp;$D$8&amp;"'!Elekverbruik_2044"),0)
+IFERROR(INDIRECT("'"&amp;$D$9&amp;"'!Elekverbruik_2044"),0)
+IFERROR(INDIRECT("'"&amp;$D$10&amp;"'!Elekverbruik_2044"),0)
+IFERROR(INDIRECT("'"&amp;$D$11&amp;"'!Elekverbruik_2044"),0)
+IFERROR(INDIRECT("'"&amp;$D$12&amp;"'!Elekverbruik_2044"),0)
+IFERROR(INDIRECT("'"&amp;$D$13&amp;"'!Elekverbruik_2044"),0)
+IFERROR(INDIRECT("'"&amp;$D$14&amp;"'!Elekverbruik_2044"),0)
+IFERROR(INDIRECT("'"&amp;$D$15&amp;"'!Elekverbruik_2044"),0)
+IFERROR(INDIRECT("'"&amp;$D$16&amp;"'!Elekverbruik_2044"),0)
+IFERROR(INDIRECT("'"&amp;$D$17&amp;"'!Elekverbruik_2044"),0)
+IFERROR(INDIRECT("'"&amp;$D$18&amp;"'!Elekverbruik_2044"),0)
+IFERROR(INDIRECT("'"&amp;$D$19&amp;"'!Elekverbruik_2044"),0)
+IFERROR(INDIRECT("'"&amp;$D$20&amp;"'!Elekverbruik_2044"),0)
+IFERROR(INDIRECT("'"&amp;$D$21&amp;"'!Elekverbruik_2044"),0)
+IFERROR(INDIRECT("'"&amp;$D$22&amp;"'!Elekverbruik_2044"),0)
+IFERROR(INDIRECT("'"&amp;$D$23&amp;"'!Elekverbruik_2044"),0)
+IFERROR(INDIRECT("'"&amp;$D$24&amp;"'!Elekverbruik_2044"),0)
+IFERROR(INDIRECT("'"&amp;$D$25&amp;"'!Elekverbruik_2044"),0)
+IFERROR(INDIRECT("'"&amp;$D$26&amp;"'!Elekverbruik_2044"),0)
+IFERROR(INDIRECT("'"&amp;$D$27&amp;"'!Elekverbruik_2044"),0)
+IFERROR(INDIRECT("'"&amp;$D$28&amp;"'!Elekverbruik_2044"),0)
+IFERROR(INDIRECT("'"&amp;$D$29&amp;"'!Elekverbruik_2044"),0)
+IFERROR(INDIRECT("'"&amp;$D$30&amp;"'!Elekverbruik_2044"),0)
+IFERROR(INDIRECT("'"&amp;$D$31&amp;"'!Elekverbruik_2044"),0)
+IFERROR(INDIRECT("'"&amp;$D$32&amp;"'!Elekverbruik_2044"),0)
+IFERROR(INDIRECT("'"&amp;$D$33&amp;"'!Elekverbruik_2044"),0)
+IFERROR(INDIRECT("'"&amp;$D$34&amp;"'!Elekverbruik_2044"),0)
+IFERROR(INDIRECT("'"&amp;$D$35&amp;"'!Elekverbruik_2044"),0)
+IFERROR(INDIRECT("'"&amp;$D$36&amp;"'!Elekverbruik_2044"),0)
+IFERROR(INDIRECT("'"&amp;$D$37&amp;"'!Elekverbruik_2044"),0)
+IFERROR(INDIRECT("'"&amp;$D$38&amp;"'!Elekverbruik_2044"),0)
+IFERROR(INDIRECT("'"&amp;$D$39&amp;"'!Elekverbruik_2044"),0)
+IFERROR(INDIRECT("'"&amp;$D$40&amp;"'!Elekverbruik_2044"),0)
+IFERROR(INDIRECT("'"&amp;$D$41&amp;"'!Elekverbruik_2044"),0)
+IFERROR(INDIRECT("'"&amp;$D$42&amp;"'!Elekverbruik_2044"),0)
+IFERROR(INDIRECT("'"&amp;$D$43&amp;"'!Elekverbruik_2044"),0)
+IFERROR(INDIRECT("'"&amp;$D$44&amp;"'!Elekverbruik_2044"),0)
+IFERROR(INDIRECT("'"&amp;$D$45&amp;"'!Elekverbruik_2044"),0)
+IFERROR(INDIRECT("'"&amp;$D$46&amp;"'!Elekverbruik_2044"),0)
+IFERROR(INDIRECT("'"&amp;$D$47&amp;"'!Elekverbruik_2044"),0)
+IFERROR(INDIRECT("'"&amp;$D$48&amp;"'!Elekverbruik_2044"),0)
+IFERROR(INDIRECT("'"&amp;$D$49&amp;"'!Elekverbruik_2044"),0)
+IFERROR(INDIRECT("'"&amp;$D$50&amp;"'!Elekverbruik_2044"),0)
+IFERROR(INDIRECT("'"&amp;$D$51&amp;"'!Elekverbruik_2044"),0)
+IFERROR(INDIRECT("'"&amp;$D$52&amp;"'!Elekverbruik_2044"),0)
+IFERROR(INDIRECT("'"&amp;$D$53&amp;"'!Elekverbruik_2044"),0)
+IFERROR(INDIRECT("'"&amp;$D$54&amp;"'!Elekverbruik_2044"),0)
+Nieuwbouw!AE54</f>
        <v>508226.25032511423</v>
      </c>
      <c r="AI29" s="320">
        <f ca="1">+IFERROR(INDIRECT("'"&amp;$D$5&amp;"'!Elekverbruik_2045"),0)
+IFERROR(INDIRECT("'"&amp;$D$6&amp;"'!Elekverbruik_2045"),0)
+IFERROR(INDIRECT("'"&amp;$D$7&amp;"'!Elekverbruik_2045"),0)
+IFERROR(INDIRECT("'"&amp;$D$8&amp;"'!Elekverbruik_2045"),0)
+IFERROR(INDIRECT("'"&amp;$D$9&amp;"'!Elekverbruik_2045"),0)
+IFERROR(INDIRECT("'"&amp;$D$10&amp;"'!Elekverbruik_2045"),0)
+IFERROR(INDIRECT("'"&amp;$D$11&amp;"'!Elekverbruik_2045"),0)
+IFERROR(INDIRECT("'"&amp;$D$12&amp;"'!Elekverbruik_2045"),0)
+IFERROR(INDIRECT("'"&amp;$D$13&amp;"'!Elekverbruik_2045"),0)
+IFERROR(INDIRECT("'"&amp;$D$14&amp;"'!Elekverbruik_2045"),0)
+IFERROR(INDIRECT("'"&amp;$D$15&amp;"'!Elekverbruik_2045"),0)
+IFERROR(INDIRECT("'"&amp;$D$16&amp;"'!Elekverbruik_2045"),0)
+IFERROR(INDIRECT("'"&amp;$D$17&amp;"'!Elekverbruik_2045"),0)
+IFERROR(INDIRECT("'"&amp;$D$18&amp;"'!Elekverbruik_2045"),0)
+IFERROR(INDIRECT("'"&amp;$D$19&amp;"'!Elekverbruik_2045"),0)
+IFERROR(INDIRECT("'"&amp;$D$20&amp;"'!Elekverbruik_2045"),0)
+IFERROR(INDIRECT("'"&amp;$D$21&amp;"'!Elekverbruik_2045"),0)
+IFERROR(INDIRECT("'"&amp;$D$22&amp;"'!Elekverbruik_2045"),0)
+IFERROR(INDIRECT("'"&amp;$D$23&amp;"'!Elekverbruik_2045"),0)
+IFERROR(INDIRECT("'"&amp;$D$24&amp;"'!Elekverbruik_2045"),0)
+IFERROR(INDIRECT("'"&amp;$D$25&amp;"'!Elekverbruik_2045"),0)
+IFERROR(INDIRECT("'"&amp;$D$26&amp;"'!Elekverbruik_2045"),0)
+IFERROR(INDIRECT("'"&amp;$D$27&amp;"'!Elekverbruik_2045"),0)
+IFERROR(INDIRECT("'"&amp;$D$28&amp;"'!Elekverbruik_2045"),0)
+IFERROR(INDIRECT("'"&amp;$D$29&amp;"'!Elekverbruik_2045"),0)
+IFERROR(INDIRECT("'"&amp;$D$30&amp;"'!Elekverbruik_2045"),0)
+IFERROR(INDIRECT("'"&amp;$D$31&amp;"'!Elekverbruik_2045"),0)
+IFERROR(INDIRECT("'"&amp;$D$32&amp;"'!Elekverbruik_2045"),0)
+IFERROR(INDIRECT("'"&amp;$D$33&amp;"'!Elekverbruik_2045"),0)
+IFERROR(INDIRECT("'"&amp;$D$34&amp;"'!Elekverbruik_2045"),0)
+IFERROR(INDIRECT("'"&amp;$D$35&amp;"'!Elekverbruik_2045"),0)
+IFERROR(INDIRECT("'"&amp;$D$36&amp;"'!Elekverbruik_2045"),0)
+IFERROR(INDIRECT("'"&amp;$D$37&amp;"'!Elekverbruik_2045"),0)
+IFERROR(INDIRECT("'"&amp;$D$38&amp;"'!Elekverbruik_2045"),0)
+IFERROR(INDIRECT("'"&amp;$D$39&amp;"'!Elekverbruik_2045"),0)
+IFERROR(INDIRECT("'"&amp;$D$40&amp;"'!Elekverbruik_2045"),0)
+IFERROR(INDIRECT("'"&amp;$D$41&amp;"'!Elekverbruik_2045"),0)
+IFERROR(INDIRECT("'"&amp;$D$42&amp;"'!Elekverbruik_2045"),0)
+IFERROR(INDIRECT("'"&amp;$D$43&amp;"'!Elekverbruik_2045"),0)
+IFERROR(INDIRECT("'"&amp;$D$44&amp;"'!Elekverbruik_2045"),0)
+IFERROR(INDIRECT("'"&amp;$D$45&amp;"'!Elekverbruik_2045"),0)
+IFERROR(INDIRECT("'"&amp;$D$46&amp;"'!Elekverbruik_2045"),0)
+IFERROR(INDIRECT("'"&amp;$D$47&amp;"'!Elekverbruik_2045"),0)
+IFERROR(INDIRECT("'"&amp;$D$48&amp;"'!Elekverbruik_2045"),0)
+IFERROR(INDIRECT("'"&amp;$D$49&amp;"'!Elekverbruik_2045"),0)
+IFERROR(INDIRECT("'"&amp;$D$50&amp;"'!Elekverbruik_2045"),0)
+IFERROR(INDIRECT("'"&amp;$D$51&amp;"'!Elekverbruik_2045"),0)
+IFERROR(INDIRECT("'"&amp;$D$52&amp;"'!Elekverbruik_2045"),0)
+IFERROR(INDIRECT("'"&amp;$D$53&amp;"'!Elekverbruik_2045"),0)
+IFERROR(INDIRECT("'"&amp;$D$54&amp;"'!Elekverbruik_2045"),0)
+Nieuwbouw!AF54</f>
        <v>508226.25032511423</v>
      </c>
      <c r="AJ29" s="320">
        <f ca="1">+IFERROR(INDIRECT("'"&amp;$D$5&amp;"'!Elekverbruik_2046"),0)
+IFERROR(INDIRECT("'"&amp;$D$6&amp;"'!Elekverbruik_2046"),0)
+IFERROR(INDIRECT("'"&amp;$D$7&amp;"'!Elekverbruik_2046"),0)
+IFERROR(INDIRECT("'"&amp;$D$8&amp;"'!Elekverbruik_2046"),0)
+IFERROR(INDIRECT("'"&amp;$D$9&amp;"'!Elekverbruik_2046"),0)
+IFERROR(INDIRECT("'"&amp;$D$10&amp;"'!Elekverbruik_2046"),0)
+IFERROR(INDIRECT("'"&amp;$D$11&amp;"'!Elekverbruik_2046"),0)
+IFERROR(INDIRECT("'"&amp;$D$12&amp;"'!Elekverbruik_2046"),0)
+IFERROR(INDIRECT("'"&amp;$D$13&amp;"'!Elekverbruik_2046"),0)
+IFERROR(INDIRECT("'"&amp;$D$14&amp;"'!Elekverbruik_2046"),0)
+IFERROR(INDIRECT("'"&amp;$D$15&amp;"'!Elekverbruik_2046"),0)
+IFERROR(INDIRECT("'"&amp;$D$16&amp;"'!Elekverbruik_2046"),0)
+IFERROR(INDIRECT("'"&amp;$D$17&amp;"'!Elekverbruik_2046"),0)
+IFERROR(INDIRECT("'"&amp;$D$18&amp;"'!Elekverbruik_2046"),0)
+IFERROR(INDIRECT("'"&amp;$D$19&amp;"'!Elekverbruik_2046"),0)
+IFERROR(INDIRECT("'"&amp;$D$20&amp;"'!Elekverbruik_2046"),0)
+IFERROR(INDIRECT("'"&amp;$D$21&amp;"'!Elekverbruik_2046"),0)
+IFERROR(INDIRECT("'"&amp;$D$22&amp;"'!Elekverbruik_2046"),0)
+IFERROR(INDIRECT("'"&amp;$D$23&amp;"'!Elekverbruik_2046"),0)
+IFERROR(INDIRECT("'"&amp;$D$24&amp;"'!Elekverbruik_2046"),0)
+IFERROR(INDIRECT("'"&amp;$D$25&amp;"'!Elekverbruik_2046"),0)
+IFERROR(INDIRECT("'"&amp;$D$26&amp;"'!Elekverbruik_2046"),0)
+IFERROR(INDIRECT("'"&amp;$D$27&amp;"'!Elekverbruik_2046"),0)
+IFERROR(INDIRECT("'"&amp;$D$28&amp;"'!Elekverbruik_2046"),0)
+IFERROR(INDIRECT("'"&amp;$D$29&amp;"'!Elekverbruik_2046"),0)
+IFERROR(INDIRECT("'"&amp;$D$30&amp;"'!Elekverbruik_2046"),0)
+IFERROR(INDIRECT("'"&amp;$D$31&amp;"'!Elekverbruik_2046"),0)
+IFERROR(INDIRECT("'"&amp;$D$32&amp;"'!Elekverbruik_2046"),0)
+IFERROR(INDIRECT("'"&amp;$D$33&amp;"'!Elekverbruik_2046"),0)
+IFERROR(INDIRECT("'"&amp;$D$34&amp;"'!Elekverbruik_2046"),0)
+IFERROR(INDIRECT("'"&amp;$D$35&amp;"'!Elekverbruik_2046"),0)
+IFERROR(INDIRECT("'"&amp;$D$36&amp;"'!Elekverbruik_2046"),0)
+IFERROR(INDIRECT("'"&amp;$D$37&amp;"'!Elekverbruik_2046"),0)
+IFERROR(INDIRECT("'"&amp;$D$38&amp;"'!Elekverbruik_2046"),0)
+IFERROR(INDIRECT("'"&amp;$D$39&amp;"'!Elekverbruik_2046"),0)
+IFERROR(INDIRECT("'"&amp;$D$40&amp;"'!Elekverbruik_2046"),0)
+IFERROR(INDIRECT("'"&amp;$D$41&amp;"'!Elekverbruik_2046"),0)
+IFERROR(INDIRECT("'"&amp;$D$42&amp;"'!Elekverbruik_2046"),0)
+IFERROR(INDIRECT("'"&amp;$D$43&amp;"'!Elekverbruik_2046"),0)
+IFERROR(INDIRECT("'"&amp;$D$44&amp;"'!Elekverbruik_2046"),0)
+IFERROR(INDIRECT("'"&amp;$D$45&amp;"'!Elekverbruik_2046"),0)
+IFERROR(INDIRECT("'"&amp;$D$46&amp;"'!Elekverbruik_2046"),0)
+IFERROR(INDIRECT("'"&amp;$D$47&amp;"'!Elekverbruik_2046"),0)
+IFERROR(INDIRECT("'"&amp;$D$48&amp;"'!Elekverbruik_2046"),0)
+IFERROR(INDIRECT("'"&amp;$D$49&amp;"'!Elekverbruik_2046"),0)
+IFERROR(INDIRECT("'"&amp;$D$50&amp;"'!Elekverbruik_2046"),0)
+IFERROR(INDIRECT("'"&amp;$D$51&amp;"'!Elekverbruik_2046"),0)
+IFERROR(INDIRECT("'"&amp;$D$52&amp;"'!Elekverbruik_2046"),0)
+IFERROR(INDIRECT("'"&amp;$D$53&amp;"'!Elekverbruik_2046"),0)
+IFERROR(INDIRECT("'"&amp;$D$54&amp;"'!Elekverbruik_2046"),0)
+Nieuwbouw!AG54</f>
        <v>508226.25032511423</v>
      </c>
      <c r="AK29" s="320">
        <f ca="1">+IFERROR(INDIRECT("'"&amp;$D$5&amp;"'!Elekverbruik_2047"),0)
+IFERROR(INDIRECT("'"&amp;$D$6&amp;"'!Elekverbruik_2047"),0)
+IFERROR(INDIRECT("'"&amp;$D$7&amp;"'!Elekverbruik_2047"),0)
+IFERROR(INDIRECT("'"&amp;$D$8&amp;"'!Elekverbruik_2047"),0)
+IFERROR(INDIRECT("'"&amp;$D$9&amp;"'!Elekverbruik_2047"),0)
+IFERROR(INDIRECT("'"&amp;$D$10&amp;"'!Elekverbruik_2047"),0)
+IFERROR(INDIRECT("'"&amp;$D$11&amp;"'!Elekverbruik_2047"),0)
+IFERROR(INDIRECT("'"&amp;$D$12&amp;"'!Elekverbruik_2047"),0)
+IFERROR(INDIRECT("'"&amp;$D$13&amp;"'!Elekverbruik_2047"),0)
+IFERROR(INDIRECT("'"&amp;$D$14&amp;"'!Elekverbruik_2047"),0)
+IFERROR(INDIRECT("'"&amp;$D$15&amp;"'!Elekverbruik_2047"),0)
+IFERROR(INDIRECT("'"&amp;$D$16&amp;"'!Elekverbruik_2047"),0)
+IFERROR(INDIRECT("'"&amp;$D$17&amp;"'!Elekverbruik_2047"),0)
+IFERROR(INDIRECT("'"&amp;$D$18&amp;"'!Elekverbruik_2047"),0)
+IFERROR(INDIRECT("'"&amp;$D$19&amp;"'!Elekverbruik_2047"),0)
+IFERROR(INDIRECT("'"&amp;$D$20&amp;"'!Elekverbruik_2047"),0)
+IFERROR(INDIRECT("'"&amp;$D$21&amp;"'!Elekverbruik_2047"),0)
+IFERROR(INDIRECT("'"&amp;$D$22&amp;"'!Elekverbruik_2047"),0)
+IFERROR(INDIRECT("'"&amp;$D$23&amp;"'!Elekverbruik_2047"),0)
+IFERROR(INDIRECT("'"&amp;$D$24&amp;"'!Elekverbruik_2047"),0)
+IFERROR(INDIRECT("'"&amp;$D$25&amp;"'!Elekverbruik_2047"),0)
+IFERROR(INDIRECT("'"&amp;$D$26&amp;"'!Elekverbruik_2047"),0)
+IFERROR(INDIRECT("'"&amp;$D$27&amp;"'!Elekverbruik_2047"),0)
+IFERROR(INDIRECT("'"&amp;$D$28&amp;"'!Elekverbruik_2047"),0)
+IFERROR(INDIRECT("'"&amp;$D$29&amp;"'!Elekverbruik_2047"),0)
+IFERROR(INDIRECT("'"&amp;$D$30&amp;"'!Elekverbruik_2047"),0)
+IFERROR(INDIRECT("'"&amp;$D$31&amp;"'!Elekverbruik_2047"),0)
+IFERROR(INDIRECT("'"&amp;$D$32&amp;"'!Elekverbruik_2047"),0)
+IFERROR(INDIRECT("'"&amp;$D$33&amp;"'!Elekverbruik_2047"),0)
+IFERROR(INDIRECT("'"&amp;$D$34&amp;"'!Elekverbruik_2047"),0)
+IFERROR(INDIRECT("'"&amp;$D$35&amp;"'!Elekverbruik_2047"),0)
+IFERROR(INDIRECT("'"&amp;$D$36&amp;"'!Elekverbruik_2047"),0)
+IFERROR(INDIRECT("'"&amp;$D$37&amp;"'!Elekverbruik_2047"),0)
+IFERROR(INDIRECT("'"&amp;$D$38&amp;"'!Elekverbruik_2047"),0)
+IFERROR(INDIRECT("'"&amp;$D$39&amp;"'!Elekverbruik_2047"),0)
+IFERROR(INDIRECT("'"&amp;$D$40&amp;"'!Elekverbruik_2047"),0)
+IFERROR(INDIRECT("'"&amp;$D$41&amp;"'!Elekverbruik_2047"),0)
+IFERROR(INDIRECT("'"&amp;$D$42&amp;"'!Elekverbruik_2047"),0)
+IFERROR(INDIRECT("'"&amp;$D$43&amp;"'!Elekverbruik_2047"),0)
+IFERROR(INDIRECT("'"&amp;$D$44&amp;"'!Elekverbruik_2047"),0)
+IFERROR(INDIRECT("'"&amp;$D$45&amp;"'!Elekverbruik_2047"),0)
+IFERROR(INDIRECT("'"&amp;$D$46&amp;"'!Elekverbruik_2047"),0)
+IFERROR(INDIRECT("'"&amp;$D$47&amp;"'!Elekverbruik_2047"),0)
+IFERROR(INDIRECT("'"&amp;$D$48&amp;"'!Elekverbruik_2047"),0)
+IFERROR(INDIRECT("'"&amp;$D$49&amp;"'!Elekverbruik_2047"),0)
+IFERROR(INDIRECT("'"&amp;$D$50&amp;"'!Elekverbruik_2047"),0)
+IFERROR(INDIRECT("'"&amp;$D$51&amp;"'!Elekverbruik_2047"),0)
+IFERROR(INDIRECT("'"&amp;$D$52&amp;"'!Elekverbruik_2047"),0)
+IFERROR(INDIRECT("'"&amp;$D$53&amp;"'!Elekverbruik_2047"),0)
+IFERROR(INDIRECT("'"&amp;$D$54&amp;"'!Elekverbruik_2047"),0)
+Nieuwbouw!AH54</f>
        <v>508226.25032511423</v>
      </c>
      <c r="AL29" s="320">
        <f ca="1">+IFERROR(INDIRECT("'"&amp;$D$5&amp;"'!Elekverbruik_2048"),0)
+IFERROR(INDIRECT("'"&amp;$D$6&amp;"'!Elekverbruik_2048"),0)
+IFERROR(INDIRECT("'"&amp;$D$7&amp;"'!Elekverbruik_2048"),0)
+IFERROR(INDIRECT("'"&amp;$D$8&amp;"'!Elekverbruik_2048"),0)
+IFERROR(INDIRECT("'"&amp;$D$9&amp;"'!Elekverbruik_2048"),0)
+IFERROR(INDIRECT("'"&amp;$D$10&amp;"'!Elekverbruik_2048"),0)
+IFERROR(INDIRECT("'"&amp;$D$11&amp;"'!Elekverbruik_2048"),0)
+IFERROR(INDIRECT("'"&amp;$D$12&amp;"'!Elekverbruik_2048"),0)
+IFERROR(INDIRECT("'"&amp;$D$13&amp;"'!Elekverbruik_2048"),0)
+IFERROR(INDIRECT("'"&amp;$D$14&amp;"'!Elekverbruik_2048"),0)
+IFERROR(INDIRECT("'"&amp;$D$15&amp;"'!Elekverbruik_2048"),0)
+IFERROR(INDIRECT("'"&amp;$D$16&amp;"'!Elekverbruik_2048"),0)
+IFERROR(INDIRECT("'"&amp;$D$17&amp;"'!Elekverbruik_2048"),0)
+IFERROR(INDIRECT("'"&amp;$D$18&amp;"'!Elekverbruik_2048"),0)
+IFERROR(INDIRECT("'"&amp;$D$19&amp;"'!Elekverbruik_2048"),0)
+IFERROR(INDIRECT("'"&amp;$D$20&amp;"'!Elekverbruik_2048"),0)
+IFERROR(INDIRECT("'"&amp;$D$21&amp;"'!Elekverbruik_2048"),0)
+IFERROR(INDIRECT("'"&amp;$D$22&amp;"'!Elekverbruik_2048"),0)
+IFERROR(INDIRECT("'"&amp;$D$23&amp;"'!Elekverbruik_2048"),0)
+IFERROR(INDIRECT("'"&amp;$D$24&amp;"'!Elekverbruik_2048"),0)
+IFERROR(INDIRECT("'"&amp;$D$25&amp;"'!Elekverbruik_2048"),0)
+IFERROR(INDIRECT("'"&amp;$D$26&amp;"'!Elekverbruik_2048"),0)
+IFERROR(INDIRECT("'"&amp;$D$27&amp;"'!Elekverbruik_2048"),0)
+IFERROR(INDIRECT("'"&amp;$D$28&amp;"'!Elekverbruik_2048"),0)
+IFERROR(INDIRECT("'"&amp;$D$29&amp;"'!Elekverbruik_2048"),0)
+IFERROR(INDIRECT("'"&amp;$D$30&amp;"'!Elekverbruik_2048"),0)
+IFERROR(INDIRECT("'"&amp;$D$31&amp;"'!Elekverbruik_2048"),0)
+IFERROR(INDIRECT("'"&amp;$D$32&amp;"'!Elekverbruik_2048"),0)
+IFERROR(INDIRECT("'"&amp;$D$33&amp;"'!Elekverbruik_2048"),0)
+IFERROR(INDIRECT("'"&amp;$D$34&amp;"'!Elekverbruik_2048"),0)
+IFERROR(INDIRECT("'"&amp;$D$35&amp;"'!Elekverbruik_2048"),0)
+IFERROR(INDIRECT("'"&amp;$D$36&amp;"'!Elekverbruik_2048"),0)
+IFERROR(INDIRECT("'"&amp;$D$37&amp;"'!Elekverbruik_2048"),0)
+IFERROR(INDIRECT("'"&amp;$D$38&amp;"'!Elekverbruik_2048"),0)
+IFERROR(INDIRECT("'"&amp;$D$39&amp;"'!Elekverbruik_2048"),0)
+IFERROR(INDIRECT("'"&amp;$D$40&amp;"'!Elekverbruik_2048"),0)
+IFERROR(INDIRECT("'"&amp;$D$41&amp;"'!Elekverbruik_2048"),0)
+IFERROR(INDIRECT("'"&amp;$D$42&amp;"'!Elekverbruik_2048"),0)
+IFERROR(INDIRECT("'"&amp;$D$43&amp;"'!Elekverbruik_2048"),0)
+IFERROR(INDIRECT("'"&amp;$D$44&amp;"'!Elekverbruik_2048"),0)
+IFERROR(INDIRECT("'"&amp;$D$45&amp;"'!Elekverbruik_2048"),0)
+IFERROR(INDIRECT("'"&amp;$D$46&amp;"'!Elekverbruik_2048"),0)
+IFERROR(INDIRECT("'"&amp;$D$47&amp;"'!Elekverbruik_2048"),0)
+IFERROR(INDIRECT("'"&amp;$D$48&amp;"'!Elekverbruik_2048"),0)
+IFERROR(INDIRECT("'"&amp;$D$49&amp;"'!Elekverbruik_2048"),0)
+IFERROR(INDIRECT("'"&amp;$D$50&amp;"'!Elekverbruik_2048"),0)
+IFERROR(INDIRECT("'"&amp;$D$51&amp;"'!Elekverbruik_2048"),0)
+IFERROR(INDIRECT("'"&amp;$D$52&amp;"'!Elekverbruik_2048"),0)
+IFERROR(INDIRECT("'"&amp;$D$53&amp;"'!Elekverbruik_2048"),0)
+IFERROR(INDIRECT("'"&amp;$D$54&amp;"'!Elekverbruik_2048"),0)
+Nieuwbouw!AI54</f>
        <v>508226.25032511423</v>
      </c>
      <c r="AM29" s="320">
        <f ca="1">+IFERROR(INDIRECT("'"&amp;$D$5&amp;"'!Elekverbruik_2049"),0)
+IFERROR(INDIRECT("'"&amp;$D$6&amp;"'!Elekverbruik_2049"),0)
+IFERROR(INDIRECT("'"&amp;$D$7&amp;"'!Elekverbruik_2049"),0)
+IFERROR(INDIRECT("'"&amp;$D$8&amp;"'!Elekverbruik_2049"),0)
+IFERROR(INDIRECT("'"&amp;$D$9&amp;"'!Elekverbruik_2049"),0)
+IFERROR(INDIRECT("'"&amp;$D$10&amp;"'!Elekverbruik_2049"),0)
+IFERROR(INDIRECT("'"&amp;$D$11&amp;"'!Elekverbruik_2049"),0)
+IFERROR(INDIRECT("'"&amp;$D$12&amp;"'!Elekverbruik_2049"),0)
+IFERROR(INDIRECT("'"&amp;$D$13&amp;"'!Elekverbruik_2049"),0)
+IFERROR(INDIRECT("'"&amp;$D$14&amp;"'!Elekverbruik_2049"),0)
+IFERROR(INDIRECT("'"&amp;$D$15&amp;"'!Elekverbruik_2049"),0)
+IFERROR(INDIRECT("'"&amp;$D$16&amp;"'!Elekverbruik_2049"),0)
+IFERROR(INDIRECT("'"&amp;$D$17&amp;"'!Elekverbruik_2049"),0)
+IFERROR(INDIRECT("'"&amp;$D$18&amp;"'!Elekverbruik_2049"),0)
+IFERROR(INDIRECT("'"&amp;$D$19&amp;"'!Elekverbruik_2049"),0)
+IFERROR(INDIRECT("'"&amp;$D$20&amp;"'!Elekverbruik_2049"),0)
+IFERROR(INDIRECT("'"&amp;$D$21&amp;"'!Elekverbruik_2049"),0)
+IFERROR(INDIRECT("'"&amp;$D$22&amp;"'!Elekverbruik_2049"),0)
+IFERROR(INDIRECT("'"&amp;$D$23&amp;"'!Elekverbruik_2049"),0)
+IFERROR(INDIRECT("'"&amp;$D$24&amp;"'!Elekverbruik_2049"),0)
+IFERROR(INDIRECT("'"&amp;$D$25&amp;"'!Elekverbruik_2049"),0)
+IFERROR(INDIRECT("'"&amp;$D$26&amp;"'!Elekverbruik_2049"),0)
+IFERROR(INDIRECT("'"&amp;$D$27&amp;"'!Elekverbruik_2049"),0)
+IFERROR(INDIRECT("'"&amp;$D$28&amp;"'!Elekverbruik_2049"),0)
+IFERROR(INDIRECT("'"&amp;$D$29&amp;"'!Elekverbruik_2049"),0)
+IFERROR(INDIRECT("'"&amp;$D$30&amp;"'!Elekverbruik_2049"),0)
+IFERROR(INDIRECT("'"&amp;$D$31&amp;"'!Elekverbruik_2049"),0)
+IFERROR(INDIRECT("'"&amp;$D$32&amp;"'!Elekverbruik_2049"),0)
+IFERROR(INDIRECT("'"&amp;$D$33&amp;"'!Elekverbruik_2049"),0)
+IFERROR(INDIRECT("'"&amp;$D$34&amp;"'!Elekverbruik_2049"),0)
+IFERROR(INDIRECT("'"&amp;$D$35&amp;"'!Elekverbruik_2049"),0)
+IFERROR(INDIRECT("'"&amp;$D$36&amp;"'!Elekverbruik_2049"),0)
+IFERROR(INDIRECT("'"&amp;$D$37&amp;"'!Elekverbruik_2049"),0)
+IFERROR(INDIRECT("'"&amp;$D$38&amp;"'!Elekverbruik_2049"),0)
+IFERROR(INDIRECT("'"&amp;$D$39&amp;"'!Elekverbruik_2049"),0)
+IFERROR(INDIRECT("'"&amp;$D$40&amp;"'!Elekverbruik_2049"),0)
+IFERROR(INDIRECT("'"&amp;$D$41&amp;"'!Elekverbruik_2049"),0)
+IFERROR(INDIRECT("'"&amp;$D$42&amp;"'!Elekverbruik_2049"),0)
+IFERROR(INDIRECT("'"&amp;$D$43&amp;"'!Elekverbruik_2049"),0)
+IFERROR(INDIRECT("'"&amp;$D$44&amp;"'!Elekverbruik_2049"),0)
+IFERROR(INDIRECT("'"&amp;$D$45&amp;"'!Elekverbruik_2049"),0)
+IFERROR(INDIRECT("'"&amp;$D$46&amp;"'!Elekverbruik_2049"),0)
+IFERROR(INDIRECT("'"&amp;$D$47&amp;"'!Elekverbruik_2049"),0)
+IFERROR(INDIRECT("'"&amp;$D$48&amp;"'!Elekverbruik_2049"),0)
+IFERROR(INDIRECT("'"&amp;$D$49&amp;"'!Elekverbruik_2049"),0)
+IFERROR(INDIRECT("'"&amp;$D$50&amp;"'!Elekverbruik_2049"),0)
+IFERROR(INDIRECT("'"&amp;$D$51&amp;"'!Elekverbruik_2049"),0)
+IFERROR(INDIRECT("'"&amp;$D$52&amp;"'!Elekverbruik_2049"),0)
+IFERROR(INDIRECT("'"&amp;$D$53&amp;"'!Elekverbruik_2049"),0)
+IFERROR(INDIRECT("'"&amp;$D$54&amp;"'!Elekverbruik_2049"),0)
+Nieuwbouw!AJ54</f>
        <v>508226.25032511423</v>
      </c>
      <c r="AN29" s="320">
        <f ca="1">+IFERROR(INDIRECT("'"&amp;$D$5&amp;"'!Elekverbruik_2050"),0)
+IFERROR(INDIRECT("'"&amp;$D$6&amp;"'!Elekverbruik_2050"),0)
+IFERROR(INDIRECT("'"&amp;$D$7&amp;"'!Elekverbruik_2050"),0)
+IFERROR(INDIRECT("'"&amp;$D$8&amp;"'!Elekverbruik_2050"),0)
+IFERROR(INDIRECT("'"&amp;$D$9&amp;"'!Elekverbruik_2050"),0)
+IFERROR(INDIRECT("'"&amp;$D$10&amp;"'!Elekverbruik_2050"),0)
+IFERROR(INDIRECT("'"&amp;$D$11&amp;"'!Elekverbruik_2050"),0)
+IFERROR(INDIRECT("'"&amp;$D$12&amp;"'!Elekverbruik_2050"),0)
+IFERROR(INDIRECT("'"&amp;$D$13&amp;"'!Elekverbruik_2050"),0)
+IFERROR(INDIRECT("'"&amp;$D$14&amp;"'!Elekverbruik_2050"),0)
+IFERROR(INDIRECT("'"&amp;$D$15&amp;"'!Elekverbruik_2050"),0)
+IFERROR(INDIRECT("'"&amp;$D$16&amp;"'!Elekverbruik_2050"),0)
+IFERROR(INDIRECT("'"&amp;$D$17&amp;"'!Elekverbruik_2050"),0)
+IFERROR(INDIRECT("'"&amp;$D$18&amp;"'!Elekverbruik_2050"),0)
+IFERROR(INDIRECT("'"&amp;$D$19&amp;"'!Elekverbruik_2050"),0)
+IFERROR(INDIRECT("'"&amp;$D$20&amp;"'!Elekverbruik_2050"),0)
+IFERROR(INDIRECT("'"&amp;$D$21&amp;"'!Elekverbruik_2050"),0)
+IFERROR(INDIRECT("'"&amp;$D$22&amp;"'!Elekverbruik_2050"),0)
+IFERROR(INDIRECT("'"&amp;$D$23&amp;"'!Elekverbruik_2050"),0)
+IFERROR(INDIRECT("'"&amp;$D$24&amp;"'!Elekverbruik_2050"),0)
+IFERROR(INDIRECT("'"&amp;$D$25&amp;"'!Elekverbruik_2050"),0)
+IFERROR(INDIRECT("'"&amp;$D$26&amp;"'!Elekverbruik_2050"),0)
+IFERROR(INDIRECT("'"&amp;$D$27&amp;"'!Elekverbruik_2050"),0)
+IFERROR(INDIRECT("'"&amp;$D$28&amp;"'!Elekverbruik_2050"),0)
+IFERROR(INDIRECT("'"&amp;$D$29&amp;"'!Elekverbruik_2050"),0)
+IFERROR(INDIRECT("'"&amp;$D$30&amp;"'!Elekverbruik_2050"),0)
+IFERROR(INDIRECT("'"&amp;$D$31&amp;"'!Elekverbruik_2050"),0)
+IFERROR(INDIRECT("'"&amp;$D$32&amp;"'!Elekverbruik_2050"),0)
+IFERROR(INDIRECT("'"&amp;$D$33&amp;"'!Elekverbruik_2050"),0)
+IFERROR(INDIRECT("'"&amp;$D$34&amp;"'!Elekverbruik_2050"),0)
+IFERROR(INDIRECT("'"&amp;$D$35&amp;"'!Elekverbruik_2050"),0)
+IFERROR(INDIRECT("'"&amp;$D$36&amp;"'!Elekverbruik_2050"),0)
+IFERROR(INDIRECT("'"&amp;$D$37&amp;"'!Elekverbruik_2050"),0)
+IFERROR(INDIRECT("'"&amp;$D$38&amp;"'!Elekverbruik_2050"),0)
+IFERROR(INDIRECT("'"&amp;$D$39&amp;"'!Elekverbruik_2050"),0)
+IFERROR(INDIRECT("'"&amp;$D$40&amp;"'!Elekverbruik_2050"),0)
+IFERROR(INDIRECT("'"&amp;$D$41&amp;"'!Elekverbruik_2050"),0)
+IFERROR(INDIRECT("'"&amp;$D$42&amp;"'!Elekverbruik_2050"),0)
+IFERROR(INDIRECT("'"&amp;$D$43&amp;"'!Elekverbruik_2050"),0)
+IFERROR(INDIRECT("'"&amp;$D$44&amp;"'!Elekverbruik_2050"),0)
+IFERROR(INDIRECT("'"&amp;$D$45&amp;"'!Elekverbruik_2050"),0)
+IFERROR(INDIRECT("'"&amp;$D$46&amp;"'!Elekverbruik_2050"),0)
+IFERROR(INDIRECT("'"&amp;$D$47&amp;"'!Elekverbruik_2050"),0)
+IFERROR(INDIRECT("'"&amp;$D$48&amp;"'!Elekverbruik_2050"),0)
+IFERROR(INDIRECT("'"&amp;$D$49&amp;"'!Elekverbruik_2050"),0)
+IFERROR(INDIRECT("'"&amp;$D$50&amp;"'!Elekverbruik_2050"),0)
+IFERROR(INDIRECT("'"&amp;$D$51&amp;"'!Elekverbruik_2050"),0)
+IFERROR(INDIRECT("'"&amp;$D$52&amp;"'!Elekverbruik_2050"),0)
+IFERROR(INDIRECT("'"&amp;$D$53&amp;"'!Elekverbruik_2050"),0)
+IFERROR(INDIRECT("'"&amp;$D$54&amp;"'!Elekverbruik_2050"),0)
+Nieuwbouw!AK54</f>
        <v>508226.25032511423</v>
      </c>
      <c r="AO29" s="123"/>
    </row>
    <row r="30" spans="2:41" ht="18.75">
      <c r="B30" s="8"/>
      <c r="C30" s="279" t="s">
        <v>67</v>
      </c>
      <c r="D30" s="115"/>
      <c r="E30" s="8"/>
      <c r="F30" s="8"/>
      <c r="G30" s="298" t="s">
        <v>652</v>
      </c>
      <c r="H30" s="320">
        <f t="shared" ref="H30:AN30" ca="1" si="1">IF(H$23=0,0,H29/H$23)</f>
        <v>33.467156579184923</v>
      </c>
      <c r="I30" s="320">
        <f t="shared" ca="1" si="1"/>
        <v>33.467156579184923</v>
      </c>
      <c r="J30" s="320">
        <f t="shared" ca="1" si="1"/>
        <v>33.467156579184923</v>
      </c>
      <c r="K30" s="320">
        <f t="shared" ca="1" si="1"/>
        <v>33.467156579184923</v>
      </c>
      <c r="L30" s="320">
        <f t="shared" ca="1" si="1"/>
        <v>33.467156579184923</v>
      </c>
      <c r="M30" s="320">
        <f t="shared" ca="1" si="1"/>
        <v>27.124530574305446</v>
      </c>
      <c r="N30" s="320">
        <f t="shared" ca="1" si="1"/>
        <v>26.096352296052949</v>
      </c>
      <c r="O30" s="320">
        <f t="shared" ca="1" si="1"/>
        <v>21.877679870273099</v>
      </c>
      <c r="P30" s="320">
        <f t="shared" ca="1" si="1"/>
        <v>22.923798543904109</v>
      </c>
      <c r="Q30" s="320">
        <f t="shared" ca="1" si="1"/>
        <v>27.172730614935602</v>
      </c>
      <c r="R30" s="320">
        <f t="shared" ca="1" si="1"/>
        <v>27.617681423559763</v>
      </c>
      <c r="S30" s="320">
        <f t="shared" ca="1" si="1"/>
        <v>28.062632232183919</v>
      </c>
      <c r="T30" s="320">
        <f t="shared" ca="1" si="1"/>
        <v>28.507583040808075</v>
      </c>
      <c r="U30" s="320">
        <f t="shared" ca="1" si="1"/>
        <v>28.952533849432236</v>
      </c>
      <c r="V30" s="320">
        <f t="shared" ca="1" si="1"/>
        <v>23.07069792023243</v>
      </c>
      <c r="W30" s="320">
        <f t="shared" ca="1" si="1"/>
        <v>23.07069792023243</v>
      </c>
      <c r="X30" s="320">
        <f t="shared" ca="1" si="1"/>
        <v>23.07069792023243</v>
      </c>
      <c r="Y30" s="320">
        <f t="shared" ca="1" si="1"/>
        <v>23.07069792023243</v>
      </c>
      <c r="Z30" s="320">
        <f t="shared" ca="1" si="1"/>
        <v>24.405552805175592</v>
      </c>
      <c r="AA30" s="320">
        <f t="shared" ca="1" si="1"/>
        <v>24.405552805175592</v>
      </c>
      <c r="AB30" s="320">
        <f t="shared" ca="1" si="1"/>
        <v>24.405552805175592</v>
      </c>
      <c r="AC30" s="320">
        <f t="shared" ca="1" si="1"/>
        <v>24.405552805175592</v>
      </c>
      <c r="AD30" s="320">
        <f t="shared" ca="1" si="1"/>
        <v>23.405938516075405</v>
      </c>
      <c r="AE30" s="320">
        <f t="shared" ca="1" si="1"/>
        <v>23.405938516075405</v>
      </c>
      <c r="AF30" s="320">
        <f t="shared" ca="1" si="1"/>
        <v>23.405938516075405</v>
      </c>
      <c r="AG30" s="320">
        <f t="shared" ca="1" si="1"/>
        <v>23.405938516075405</v>
      </c>
      <c r="AH30" s="320">
        <f t="shared" ca="1" si="1"/>
        <v>23.405938516075405</v>
      </c>
      <c r="AI30" s="320">
        <f t="shared" ca="1" si="1"/>
        <v>23.405938516075405</v>
      </c>
      <c r="AJ30" s="320">
        <f t="shared" ca="1" si="1"/>
        <v>23.405938516075405</v>
      </c>
      <c r="AK30" s="320">
        <f t="shared" ca="1" si="1"/>
        <v>23.405938516075405</v>
      </c>
      <c r="AL30" s="320">
        <f t="shared" ca="1" si="1"/>
        <v>23.405938516075405</v>
      </c>
      <c r="AM30" s="320">
        <f t="shared" ca="1" si="1"/>
        <v>23.405938516075405</v>
      </c>
      <c r="AN30" s="320">
        <f t="shared" ca="1" si="1"/>
        <v>23.405938516075405</v>
      </c>
      <c r="AO30" s="123"/>
    </row>
    <row r="31" spans="2:41" ht="18.75">
      <c r="B31" s="8"/>
      <c r="C31" s="279" t="s">
        <v>68</v>
      </c>
      <c r="D31" s="115"/>
      <c r="E31" s="8"/>
      <c r="F31" s="8"/>
      <c r="G31" s="299" t="s">
        <v>644</v>
      </c>
      <c r="H31" s="320">
        <f ca="1">+IFERROR(INDIRECT("'"&amp;$D$5&amp;"'!aardgasinkoop_2018"),0)
+IFERROR(INDIRECT("'"&amp;$D$6&amp;"'!aardgasinkoop_2018"),0)
+IFERROR(INDIRECT("'"&amp;$D$7&amp;"'!aardgasinkoop_2018"),0)
+IFERROR(INDIRECT("'"&amp;$D$8&amp;"'!aardgasinkoop_2018"),0)
+IFERROR(INDIRECT("'"&amp;$D$9&amp;"'!aardgasinkoop_2018"),0)
+IFERROR(INDIRECT("'"&amp;$D$10&amp;"'!aardgasinkoop_2018"),0)
+IFERROR(INDIRECT("'"&amp;$D$11&amp;"'!aardgasinkoop_2018"),0)
+IFERROR(INDIRECT("'"&amp;$D$12&amp;"'!aardgasinkoop_2018"),0)
+IFERROR(INDIRECT("'"&amp;$D$13&amp;"'!aardgasinkoop_2018"),0)
+IFERROR(INDIRECT("'"&amp;$D$14&amp;"'!aardgasinkoop_2018"),0)
+IFERROR(INDIRECT("'"&amp;$D$15&amp;"'!aardgasinkoop_2018"),0)
+IFERROR(INDIRECT("'"&amp;$D$16&amp;"'!aardgasinkoop_2018"),0)
+IFERROR(INDIRECT("'"&amp;$D$17&amp;"'!aardgasinkoop_2018"),0)
+IFERROR(INDIRECT("'"&amp;$D$18&amp;"'!aardgasinkoop_2018"),0)
+IFERROR(INDIRECT("'"&amp;$D$19&amp;"'!aardgasinkoop_2018"),0)
+IFERROR(INDIRECT("'"&amp;$D$20&amp;"'!aardgasinkoop_2018"),0)
+IFERROR(INDIRECT("'"&amp;$D$21&amp;"'!aardgasinkoop_2018"),0)
+IFERROR(INDIRECT("'"&amp;$D$22&amp;"'!aardgasinkoop_2018"),0)
+IFERROR(INDIRECT("'"&amp;$D$23&amp;"'!aardgasinkoop_2018"),0)
+IFERROR(INDIRECT("'"&amp;$D$24&amp;"'!aardgasinkoop_2018"),0)
+IFERROR(INDIRECT("'"&amp;$D$25&amp;"'!aardgasinkoop_2018"),0)
+IFERROR(INDIRECT("'"&amp;$D$26&amp;"'!aardgasinkoop_2018"),0)
+IFERROR(INDIRECT("'"&amp;$D$27&amp;"'!aardgasinkoop_2018"),0)
+IFERROR(INDIRECT("'"&amp;$D$28&amp;"'!aardgasinkoop_2018"),0)
+IFERROR(INDIRECT("'"&amp;$D$29&amp;"'!aardgasinkoop_2018"),0)
+IFERROR(INDIRECT("'"&amp;$D$30&amp;"'!aardgasinkoop_2018"),0)
+IFERROR(INDIRECT("'"&amp;$D$31&amp;"'!aardgasinkoop_2018"),0)
+IFERROR(INDIRECT("'"&amp;$D$32&amp;"'!aardgasinkoop_2018"),0)
+IFERROR(INDIRECT("'"&amp;$D$33&amp;"'!aardgasinkoop_2018"),0)
+IFERROR(INDIRECT("'"&amp;$D$34&amp;"'!aardgasinkoop_2018"),0)
+IFERROR(INDIRECT("'"&amp;$D$35&amp;"'!aardgasinkoop_2018"),0)
+IFERROR(INDIRECT("'"&amp;$D$36&amp;"'!aardgasinkoop_2018"),0)
+IFERROR(INDIRECT("'"&amp;$D$37&amp;"'!aardgasinkoop_2018"),0)
+IFERROR(INDIRECT("'"&amp;$D$38&amp;"'!aardgasinkoop_2018"),0)
+IFERROR(INDIRECT("'"&amp;$D$39&amp;"'!aardgasinkoop_2018"),0)
+IFERROR(INDIRECT("'"&amp;$D$40&amp;"'!aardgasinkoop_2018"),0)
+IFERROR(INDIRECT("'"&amp;$D$41&amp;"'!aardgasinkoop_2018"),0)
+IFERROR(INDIRECT("'"&amp;$D$42&amp;"'!aardgasinkoop_2018"),0)
+IFERROR(INDIRECT("'"&amp;$D$43&amp;"'!aardgasinkoop_2018"),0)
+IFERROR(INDIRECT("'"&amp;$D$44&amp;"'!aardgasinkoop_2018"),0)
+IFERROR(INDIRECT("'"&amp;$D$45&amp;"'!aardgasinkoop_2018"),0)
+IFERROR(INDIRECT("'"&amp;$D$46&amp;"'!aardgasinkoop_2018"),0)
+IFERROR(INDIRECT("'"&amp;$D$47&amp;"'!aardgasinkoop_2018"),0)
+IFERROR(INDIRECT("'"&amp;$D$48&amp;"'!aardgasinkoop_2018"),0)
+IFERROR(INDIRECT("'"&amp;$D$49&amp;"'!aardgasinkoop_2018"),0)
+IFERROR(INDIRECT("'"&amp;$D$50&amp;"'!aardgasinkoop_2018"),0)
+IFERROR(INDIRECT("'"&amp;$D$51&amp;"'!aardgasinkoop_2018"),0)
+IFERROR(INDIRECT("'"&amp;$D$52&amp;"'!aardgasinkoop_2018"),0)
+IFERROR(INDIRECT("'"&amp;$D$53&amp;"'!aardgasinkoop_2018"),0)
+IFERROR(INDIRECT("'"&amp;$D$54&amp;"'!aardgasinkoop_2018"),0)</f>
        <v>240334</v>
      </c>
      <c r="I31" s="320">
        <f ca="1">+IFERROR(INDIRECT("'"&amp;$D$5&amp;"'!aardgasinkoop_2019"),0)
+IFERROR(INDIRECT("'"&amp;$D$6&amp;"'!aardgasinkoop_2019"),0)
+IFERROR(INDIRECT("'"&amp;$D$7&amp;"'!aardgasinkoop_2019"),0)
+IFERROR(INDIRECT("'"&amp;$D$8&amp;"'!aardgasinkoop_2019"),0)
+IFERROR(INDIRECT("'"&amp;$D$9&amp;"'!aardgasinkoop_2019"),0)
+IFERROR(INDIRECT("'"&amp;$D$10&amp;"'!aardgasinkoop_2019"),0)
+IFERROR(INDIRECT("'"&amp;$D$11&amp;"'!aardgasinkoop_2019"),0)
+IFERROR(INDIRECT("'"&amp;$D$12&amp;"'!aardgasinkoop_2019"),0)
+IFERROR(INDIRECT("'"&amp;$D$13&amp;"'!aardgasinkoop_2019"),0)
+IFERROR(INDIRECT("'"&amp;$D$14&amp;"'!aardgasinkoop_2019"),0)
+IFERROR(INDIRECT("'"&amp;$D$15&amp;"'!aardgasinkoop_2019"),0)
+IFERROR(INDIRECT("'"&amp;$D$16&amp;"'!aardgasinkoop_2019"),0)
+IFERROR(INDIRECT("'"&amp;$D$17&amp;"'!aardgasinkoop_2019"),0)
+IFERROR(INDIRECT("'"&amp;$D$18&amp;"'!aardgasinkoop_2019"),0)
+IFERROR(INDIRECT("'"&amp;$D$19&amp;"'!aardgasinkoop_2019"),0)
+IFERROR(INDIRECT("'"&amp;$D$20&amp;"'!aardgasinkoop_2019"),0)
+IFERROR(INDIRECT("'"&amp;$D$21&amp;"'!aardgasinkoop_2019"),0)
+IFERROR(INDIRECT("'"&amp;$D$22&amp;"'!aardgasinkoop_2019"),0)
+IFERROR(INDIRECT("'"&amp;$D$23&amp;"'!aardgasinkoop_2019"),0)
+IFERROR(INDIRECT("'"&amp;$D$24&amp;"'!aardgasinkoop_2019"),0)
+IFERROR(INDIRECT("'"&amp;$D$25&amp;"'!aardgasinkoop_2019"),0)
+IFERROR(INDIRECT("'"&amp;$D$26&amp;"'!aardgasinkoop_2019"),0)
+IFERROR(INDIRECT("'"&amp;$D$27&amp;"'!aardgasinkoop_2019"),0)
+IFERROR(INDIRECT("'"&amp;$D$28&amp;"'!aardgasinkoop_2019"),0)
+IFERROR(INDIRECT("'"&amp;$D$29&amp;"'!aardgasinkoop_2019"),0)
+IFERROR(INDIRECT("'"&amp;$D$30&amp;"'!aardgasinkoop_2019"),0)
+IFERROR(INDIRECT("'"&amp;$D$31&amp;"'!aardgasinkoop_2019"),0)
+IFERROR(INDIRECT("'"&amp;$D$32&amp;"'!aardgasinkoop_2019"),0)
+IFERROR(INDIRECT("'"&amp;$D$33&amp;"'!aardgasinkoop_2019"),0)
+IFERROR(INDIRECT("'"&amp;$D$34&amp;"'!aardgasinkoop_2019"),0)
+IFERROR(INDIRECT("'"&amp;$D$35&amp;"'!aardgasinkoop_2019"),0)
+IFERROR(INDIRECT("'"&amp;$D$36&amp;"'!aardgasinkoop_2019"),0)
+IFERROR(INDIRECT("'"&amp;$D$37&amp;"'!aardgasinkoop_2019"),0)
+IFERROR(INDIRECT("'"&amp;$D$38&amp;"'!aardgasinkoop_2019"),0)
+IFERROR(INDIRECT("'"&amp;$D$39&amp;"'!aardgasinkoop_2019"),0)
+IFERROR(INDIRECT("'"&amp;$D$40&amp;"'!aardgasinkoop_2019"),0)
+IFERROR(INDIRECT("'"&amp;$D$41&amp;"'!aardgasinkoop_2019"),0)
+IFERROR(INDIRECT("'"&amp;$D$42&amp;"'!aardgasinkoop_2019"),0)
+IFERROR(INDIRECT("'"&amp;$D$43&amp;"'!aardgasinkoop_2019"),0)
+IFERROR(INDIRECT("'"&amp;$D$44&amp;"'!aardgasinkoop_2019"),0)
+IFERROR(INDIRECT("'"&amp;$D$45&amp;"'!aardgasinkoop_2019"),0)
+IFERROR(INDIRECT("'"&amp;$D$46&amp;"'!aardgasinkoop_2019"),0)
+IFERROR(INDIRECT("'"&amp;$D$47&amp;"'!aardgasinkoop_2019"),0)
+IFERROR(INDIRECT("'"&amp;$D$48&amp;"'!aardgasinkoop_2019"),0)
+IFERROR(INDIRECT("'"&amp;$D$49&amp;"'!aardgasinkoop_2019"),0)
+IFERROR(INDIRECT("'"&amp;$D$50&amp;"'!aardgasinkoop_2019"),0)
+IFERROR(INDIRECT("'"&amp;$D$51&amp;"'!aardgasinkoop_2019"),0)
+IFERROR(INDIRECT("'"&amp;$D$52&amp;"'!aardgasinkoop_2019"),0)
+IFERROR(INDIRECT("'"&amp;$D$53&amp;"'!aardgasinkoop_2019"),0)
+IFERROR(INDIRECT("'"&amp;$D$54&amp;"'!aardgasinkoop_2019"),0)</f>
        <v>240334</v>
      </c>
      <c r="J31" s="320">
        <f ca="1">+IFERROR(INDIRECT("'"&amp;$D$5&amp;"'!aardgasinkoop_2020"),0)
+IFERROR(INDIRECT("'"&amp;$D$6&amp;"'!aardgasinkoop_2020"),0)
+IFERROR(INDIRECT("'"&amp;$D$7&amp;"'!aardgasinkoop_2020"),0)
+IFERROR(INDIRECT("'"&amp;$D$8&amp;"'!aardgasinkoop_2020"),0)
+IFERROR(INDIRECT("'"&amp;$D$9&amp;"'!aardgasinkoop_2020"),0)
+IFERROR(INDIRECT("'"&amp;$D$10&amp;"'!aardgasinkoop_2020"),0)
+IFERROR(INDIRECT("'"&amp;$D$11&amp;"'!aardgasinkoop_2020"),0)
+IFERROR(INDIRECT("'"&amp;$D$12&amp;"'!aardgasinkoop_2020"),0)
+IFERROR(INDIRECT("'"&amp;$D$13&amp;"'!aardgasinkoop_2020"),0)
+IFERROR(INDIRECT("'"&amp;$D$14&amp;"'!aardgasinkoop_2020"),0)
+IFERROR(INDIRECT("'"&amp;$D$15&amp;"'!aardgasinkoop_2020"),0)
+IFERROR(INDIRECT("'"&amp;$D$16&amp;"'!aardgasinkoop_2020"),0)
+IFERROR(INDIRECT("'"&amp;$D$17&amp;"'!aardgasinkoop_2020"),0)
+IFERROR(INDIRECT("'"&amp;$D$18&amp;"'!aardgasinkoop_2020"),0)
+IFERROR(INDIRECT("'"&amp;$D$19&amp;"'!aardgasinkoop_2020"),0)
+IFERROR(INDIRECT("'"&amp;$D$20&amp;"'!aardgasinkoop_2020"),0)
+IFERROR(INDIRECT("'"&amp;$D$21&amp;"'!aardgasinkoop_2020"),0)
+IFERROR(INDIRECT("'"&amp;$D$22&amp;"'!aardgasinkoop_2020"),0)
+IFERROR(INDIRECT("'"&amp;$D$23&amp;"'!aardgasinkoop_2020"),0)
+IFERROR(INDIRECT("'"&amp;$D$24&amp;"'!aardgasinkoop_2020"),0)
+IFERROR(INDIRECT("'"&amp;$D$25&amp;"'!aardgasinkoop_2020"),0)
+IFERROR(INDIRECT("'"&amp;$D$26&amp;"'!aardgasinkoop_2020"),0)
+IFERROR(INDIRECT("'"&amp;$D$27&amp;"'!aardgasinkoop_2020"),0)
+IFERROR(INDIRECT("'"&amp;$D$28&amp;"'!aardgasinkoop_2020"),0)
+IFERROR(INDIRECT("'"&amp;$D$29&amp;"'!aardgasinkoop_2020"),0)
+IFERROR(INDIRECT("'"&amp;$D$30&amp;"'!aardgasinkoop_2020"),0)
+IFERROR(INDIRECT("'"&amp;$D$31&amp;"'!aardgasinkoop_2020"),0)
+IFERROR(INDIRECT("'"&amp;$D$32&amp;"'!aardgasinkoop_2020"),0)
+IFERROR(INDIRECT("'"&amp;$D$33&amp;"'!aardgasinkoop_2020"),0)
+IFERROR(INDIRECT("'"&amp;$D$34&amp;"'!aardgasinkoop_2020"),0)
+IFERROR(INDIRECT("'"&amp;$D$35&amp;"'!aardgasinkoop_2020"),0)
+IFERROR(INDIRECT("'"&amp;$D$36&amp;"'!aardgasinkoop_2020"),0)
+IFERROR(INDIRECT("'"&amp;$D$37&amp;"'!aardgasinkoop_2020"),0)
+IFERROR(INDIRECT("'"&amp;$D$38&amp;"'!aardgasinkoop_2020"),0)
+IFERROR(INDIRECT("'"&amp;$D$39&amp;"'!aardgasinkoop_2020"),0)
+IFERROR(INDIRECT("'"&amp;$D$40&amp;"'!aardgasinkoop_2020"),0)
+IFERROR(INDIRECT("'"&amp;$D$41&amp;"'!aardgasinkoop_2020"),0)
+IFERROR(INDIRECT("'"&amp;$D$42&amp;"'!aardgasinkoop_2020"),0)
+IFERROR(INDIRECT("'"&amp;$D$43&amp;"'!aardgasinkoop_2020"),0)
+IFERROR(INDIRECT("'"&amp;$D$44&amp;"'!aardgasinkoop_2020"),0)
+IFERROR(INDIRECT("'"&amp;$D$45&amp;"'!aardgasinkoop_2020"),0)
+IFERROR(INDIRECT("'"&amp;$D$46&amp;"'!aardgasinkoop_2020"),0)
+IFERROR(INDIRECT("'"&amp;$D$47&amp;"'!aardgasinkoop_2020"),0)
+IFERROR(INDIRECT("'"&amp;$D$48&amp;"'!aardgasinkoop_2020"),0)
+IFERROR(INDIRECT("'"&amp;$D$49&amp;"'!aardgasinkoop_2020"),0)
+IFERROR(INDIRECT("'"&amp;$D$50&amp;"'!aardgasinkoop_2020"),0)
+IFERROR(INDIRECT("'"&amp;$D$51&amp;"'!aardgasinkoop_2020"),0)
+IFERROR(INDIRECT("'"&amp;$D$52&amp;"'!aardgasinkoop_2020"),0)
+IFERROR(INDIRECT("'"&amp;$D$53&amp;"'!aardgasinkoop_2020"),0)
+IFERROR(INDIRECT("'"&amp;$D$54&amp;"'!aardgasinkoop_2020"),0)</f>
        <v>240334</v>
      </c>
      <c r="K31" s="320">
        <f ca="1">+IFERROR(INDIRECT("'"&amp;$D$5&amp;"'!aardgasinkoop_2021"),0)
+IFERROR(INDIRECT("'"&amp;$D$6&amp;"'!aardgasinkoop_2021"),0)
+IFERROR(INDIRECT("'"&amp;$D$7&amp;"'!aardgasinkoop_2021"),0)
+IFERROR(INDIRECT("'"&amp;$D$8&amp;"'!aardgasinkoop_2021"),0)
+IFERROR(INDIRECT("'"&amp;$D$9&amp;"'!aardgasinkoop_2021"),0)
+IFERROR(INDIRECT("'"&amp;$D$10&amp;"'!aardgasinkoop_2021"),0)
+IFERROR(INDIRECT("'"&amp;$D$11&amp;"'!aardgasinkoop_2021"),0)
+IFERROR(INDIRECT("'"&amp;$D$12&amp;"'!aardgasinkoop_2021"),0)
+IFERROR(INDIRECT("'"&amp;$D$13&amp;"'!aardgasinkoop_2021"),0)
+IFERROR(INDIRECT("'"&amp;$D$14&amp;"'!aardgasinkoop_2021"),0)
+IFERROR(INDIRECT("'"&amp;$D$15&amp;"'!aardgasinkoop_2021"),0)
+IFERROR(INDIRECT("'"&amp;$D$16&amp;"'!aardgasinkoop_2021"),0)
+IFERROR(INDIRECT("'"&amp;$D$17&amp;"'!aardgasinkoop_2021"),0)
+IFERROR(INDIRECT("'"&amp;$D$18&amp;"'!aardgasinkoop_2021"),0)
+IFERROR(INDIRECT("'"&amp;$D$19&amp;"'!aardgasinkoop_2021"),0)
+IFERROR(INDIRECT("'"&amp;$D$20&amp;"'!aardgasinkoop_2021"),0)
+IFERROR(INDIRECT("'"&amp;$D$21&amp;"'!aardgasinkoop_2021"),0)
+IFERROR(INDIRECT("'"&amp;$D$22&amp;"'!aardgasinkoop_2021"),0)
+IFERROR(INDIRECT("'"&amp;$D$23&amp;"'!aardgasinkoop_2021"),0)
+IFERROR(INDIRECT("'"&amp;$D$24&amp;"'!aardgasinkoop_2021"),0)
+IFERROR(INDIRECT("'"&amp;$D$25&amp;"'!aardgasinkoop_2021"),0)
+IFERROR(INDIRECT("'"&amp;$D$26&amp;"'!aardgasinkoop_2021"),0)
+IFERROR(INDIRECT("'"&amp;$D$27&amp;"'!aardgasinkoop_2021"),0)
+IFERROR(INDIRECT("'"&amp;$D$28&amp;"'!aardgasinkoop_2021"),0)
+IFERROR(INDIRECT("'"&amp;$D$29&amp;"'!aardgasinkoop_2021"),0)
+IFERROR(INDIRECT("'"&amp;$D$30&amp;"'!aardgasinkoop_2021"),0)
+IFERROR(INDIRECT("'"&amp;$D$31&amp;"'!aardgasinkoop_2021"),0)
+IFERROR(INDIRECT("'"&amp;$D$32&amp;"'!aardgasinkoop_2021"),0)
+IFERROR(INDIRECT("'"&amp;$D$33&amp;"'!aardgasinkoop_2021"),0)
+IFERROR(INDIRECT("'"&amp;$D$34&amp;"'!aardgasinkoop_2021"),0)
+IFERROR(INDIRECT("'"&amp;$D$35&amp;"'!aardgasinkoop_2021"),0)
+IFERROR(INDIRECT("'"&amp;$D$36&amp;"'!aardgasinkoop_2021"),0)
+IFERROR(INDIRECT("'"&amp;$D$37&amp;"'!aardgasinkoop_2021"),0)
+IFERROR(INDIRECT("'"&amp;$D$38&amp;"'!aardgasinkoop_2021"),0)
+IFERROR(INDIRECT("'"&amp;$D$39&amp;"'!aardgasinkoop_2021"),0)
+IFERROR(INDIRECT("'"&amp;$D$40&amp;"'!aardgasinkoop_2021"),0)
+IFERROR(INDIRECT("'"&amp;$D$41&amp;"'!aardgasinkoop_2021"),0)
+IFERROR(INDIRECT("'"&amp;$D$42&amp;"'!aardgasinkoop_2021"),0)
+IFERROR(INDIRECT("'"&amp;$D$43&amp;"'!aardgasinkoop_2021"),0)
+IFERROR(INDIRECT("'"&amp;$D$44&amp;"'!aardgasinkoop_2021"),0)
+IFERROR(INDIRECT("'"&amp;$D$45&amp;"'!aardgasinkoop_2021"),0)
+IFERROR(INDIRECT("'"&amp;$D$46&amp;"'!aardgasinkoop_2021"),0)
+IFERROR(INDIRECT("'"&amp;$D$47&amp;"'!aardgasinkoop_2021"),0)
+IFERROR(INDIRECT("'"&amp;$D$48&amp;"'!aardgasinkoop_2021"),0)
+IFERROR(INDIRECT("'"&amp;$D$49&amp;"'!aardgasinkoop_2021"),0)
+IFERROR(INDIRECT("'"&amp;$D$50&amp;"'!aardgasinkoop_2021"),0)
+IFERROR(INDIRECT("'"&amp;$D$51&amp;"'!aardgasinkoop_2021"),0)
+IFERROR(INDIRECT("'"&amp;$D$52&amp;"'!aardgasinkoop_2021"),0)
+IFERROR(INDIRECT("'"&amp;$D$53&amp;"'!aardgasinkoop_2021"),0)
+IFERROR(INDIRECT("'"&amp;$D$54&amp;"'!aardgasinkoop_2021"),0)</f>
        <v>240334</v>
      </c>
      <c r="L31" s="320">
        <f ca="1">+IFERROR(INDIRECT("'"&amp;$D$5&amp;"'!aardgasinkoop_2022"),0)
+IFERROR(INDIRECT("'"&amp;$D$6&amp;"'!aardgasinkoop_2022"),0)
+IFERROR(INDIRECT("'"&amp;$D$7&amp;"'!aardgasinkoop_2022"),0)
+IFERROR(INDIRECT("'"&amp;$D$8&amp;"'!aardgasinkoop_2022"),0)
+IFERROR(INDIRECT("'"&amp;$D$9&amp;"'!aardgasinkoop_2022"),0)
+IFERROR(INDIRECT("'"&amp;$D$10&amp;"'!aardgasinkoop_2022"),0)
+IFERROR(INDIRECT("'"&amp;$D$11&amp;"'!aardgasinkoop_2022"),0)
+IFERROR(INDIRECT("'"&amp;$D$12&amp;"'!aardgasinkoop_2022"),0)
+IFERROR(INDIRECT("'"&amp;$D$13&amp;"'!aardgasinkoop_2022"),0)
+IFERROR(INDIRECT("'"&amp;$D$14&amp;"'!aardgasinkoop_2022"),0)
+IFERROR(INDIRECT("'"&amp;$D$15&amp;"'!aardgasinkoop_2022"),0)
+IFERROR(INDIRECT("'"&amp;$D$16&amp;"'!aardgasinkoop_2022"),0)
+IFERROR(INDIRECT("'"&amp;$D$17&amp;"'!aardgasinkoop_2022"),0)
+IFERROR(INDIRECT("'"&amp;$D$18&amp;"'!aardgasinkoop_2022"),0)
+IFERROR(INDIRECT("'"&amp;$D$19&amp;"'!aardgasinkoop_2022"),0)
+IFERROR(INDIRECT("'"&amp;$D$20&amp;"'!aardgasinkoop_2022"),0)
+IFERROR(INDIRECT("'"&amp;$D$21&amp;"'!aardgasinkoop_2022"),0)
+IFERROR(INDIRECT("'"&amp;$D$22&amp;"'!aardgasinkoop_2022"),0)
+IFERROR(INDIRECT("'"&amp;$D$23&amp;"'!aardgasinkoop_2022"),0)
+IFERROR(INDIRECT("'"&amp;$D$24&amp;"'!aardgasinkoop_2022"),0)
+IFERROR(INDIRECT("'"&amp;$D$25&amp;"'!aardgasinkoop_2022"),0)
+IFERROR(INDIRECT("'"&amp;$D$26&amp;"'!aardgasinkoop_2022"),0)
+IFERROR(INDIRECT("'"&amp;$D$27&amp;"'!aardgasinkoop_2022"),0)
+IFERROR(INDIRECT("'"&amp;$D$28&amp;"'!aardgasinkoop_2022"),0)
+IFERROR(INDIRECT("'"&amp;$D$29&amp;"'!aardgasinkoop_2022"),0)
+IFERROR(INDIRECT("'"&amp;$D$30&amp;"'!aardgasinkoop_2022"),0)
+IFERROR(INDIRECT("'"&amp;$D$31&amp;"'!aardgasinkoop_2022"),0)
+IFERROR(INDIRECT("'"&amp;$D$32&amp;"'!aardgasinkoop_2022"),0)
+IFERROR(INDIRECT("'"&amp;$D$33&amp;"'!aardgasinkoop_2022"),0)
+IFERROR(INDIRECT("'"&amp;$D$34&amp;"'!aardgasinkoop_2022"),0)
+IFERROR(INDIRECT("'"&amp;$D$35&amp;"'!aardgasinkoop_2022"),0)
+IFERROR(INDIRECT("'"&amp;$D$36&amp;"'!aardgasinkoop_2022"),0)
+IFERROR(INDIRECT("'"&amp;$D$37&amp;"'!aardgasinkoop_2022"),0)
+IFERROR(INDIRECT("'"&amp;$D$38&amp;"'!aardgasinkoop_2022"),0)
+IFERROR(INDIRECT("'"&amp;$D$39&amp;"'!aardgasinkoop_2022"),0)
+IFERROR(INDIRECT("'"&amp;$D$40&amp;"'!aardgasinkoop_2022"),0)
+IFERROR(INDIRECT("'"&amp;$D$41&amp;"'!aardgasinkoop_2022"),0)
+IFERROR(INDIRECT("'"&amp;$D$42&amp;"'!aardgasinkoop_2022"),0)
+IFERROR(INDIRECT("'"&amp;$D$43&amp;"'!aardgasinkoop_2022"),0)
+IFERROR(INDIRECT("'"&amp;$D$44&amp;"'!aardgasinkoop_2022"),0)
+IFERROR(INDIRECT("'"&amp;$D$45&amp;"'!aardgasinkoop_2022"),0)
+IFERROR(INDIRECT("'"&amp;$D$46&amp;"'!aardgasinkoop_2022"),0)
+IFERROR(INDIRECT("'"&amp;$D$47&amp;"'!aardgasinkoop_2022"),0)
+IFERROR(INDIRECT("'"&amp;$D$48&amp;"'!aardgasinkoop_2022"),0)
+IFERROR(INDIRECT("'"&amp;$D$49&amp;"'!aardgasinkoop_2022"),0)
+IFERROR(INDIRECT("'"&amp;$D$50&amp;"'!aardgasinkoop_2022"),0)
+IFERROR(INDIRECT("'"&amp;$D$51&amp;"'!aardgasinkoop_2022"),0)
+IFERROR(INDIRECT("'"&amp;$D$52&amp;"'!aardgasinkoop_2022"),0)
+IFERROR(INDIRECT("'"&amp;$D$53&amp;"'!aardgasinkoop_2022"),0)
+IFERROR(INDIRECT("'"&amp;$D$54&amp;"'!aardgasinkoop_2022"),0)</f>
        <v>240334</v>
      </c>
      <c r="M31" s="320">
        <f ca="1">+IFERROR(INDIRECT("'"&amp;$D$5&amp;"'!aardgasinkoop_2023"),0)
+IFERROR(INDIRECT("'"&amp;$D$6&amp;"'!aardgasinkoop_2023"),0)
+IFERROR(INDIRECT("'"&amp;$D$7&amp;"'!aardgasinkoop_2023"),0)
+IFERROR(INDIRECT("'"&amp;$D$8&amp;"'!aardgasinkoop_2023"),0)
+IFERROR(INDIRECT("'"&amp;$D$9&amp;"'!aardgasinkoop_2023"),0)
+IFERROR(INDIRECT("'"&amp;$D$10&amp;"'!aardgasinkoop_2023"),0)
+IFERROR(INDIRECT("'"&amp;$D$11&amp;"'!aardgasinkoop_2023"),0)
+IFERROR(INDIRECT("'"&amp;$D$12&amp;"'!aardgasinkoop_2023"),0)
+IFERROR(INDIRECT("'"&amp;$D$13&amp;"'!aardgasinkoop_2023"),0)
+IFERROR(INDIRECT("'"&amp;$D$14&amp;"'!aardgasinkoop_2023"),0)
+IFERROR(INDIRECT("'"&amp;$D$15&amp;"'!aardgasinkoop_2023"),0)
+IFERROR(INDIRECT("'"&amp;$D$16&amp;"'!aardgasinkoop_2023"),0)
+IFERROR(INDIRECT("'"&amp;$D$17&amp;"'!aardgasinkoop_2023"),0)
+IFERROR(INDIRECT("'"&amp;$D$18&amp;"'!aardgasinkoop_2023"),0)
+IFERROR(INDIRECT("'"&amp;$D$19&amp;"'!aardgasinkoop_2023"),0)
+IFERROR(INDIRECT("'"&amp;$D$20&amp;"'!aardgasinkoop_2023"),0)
+IFERROR(INDIRECT("'"&amp;$D$21&amp;"'!aardgasinkoop_2023"),0)
+IFERROR(INDIRECT("'"&amp;$D$22&amp;"'!aardgasinkoop_2023"),0)
+IFERROR(INDIRECT("'"&amp;$D$23&amp;"'!aardgasinkoop_2023"),0)
+IFERROR(INDIRECT("'"&amp;$D$24&amp;"'!aardgasinkoop_2023"),0)
+IFERROR(INDIRECT("'"&amp;$D$25&amp;"'!aardgasinkoop_2023"),0)
+IFERROR(INDIRECT("'"&amp;$D$26&amp;"'!aardgasinkoop_2023"),0)
+IFERROR(INDIRECT("'"&amp;$D$27&amp;"'!aardgasinkoop_2023"),0)
+IFERROR(INDIRECT("'"&amp;$D$28&amp;"'!aardgasinkoop_2023"),0)
+IFERROR(INDIRECT("'"&amp;$D$29&amp;"'!aardgasinkoop_2023"),0)
+IFERROR(INDIRECT("'"&amp;$D$30&amp;"'!aardgasinkoop_2023"),0)
+IFERROR(INDIRECT("'"&amp;$D$31&amp;"'!aardgasinkoop_2023"),0)
+IFERROR(INDIRECT("'"&amp;$D$32&amp;"'!aardgasinkoop_2023"),0)
+IFERROR(INDIRECT("'"&amp;$D$33&amp;"'!aardgasinkoop_2023"),0)
+IFERROR(INDIRECT("'"&amp;$D$34&amp;"'!aardgasinkoop_2023"),0)
+IFERROR(INDIRECT("'"&amp;$D$35&amp;"'!aardgasinkoop_2023"),0)
+IFERROR(INDIRECT("'"&amp;$D$36&amp;"'!aardgasinkoop_2023"),0)
+IFERROR(INDIRECT("'"&amp;$D$37&amp;"'!aardgasinkoop_2023"),0)
+IFERROR(INDIRECT("'"&amp;$D$38&amp;"'!aardgasinkoop_2023"),0)
+IFERROR(INDIRECT("'"&amp;$D$39&amp;"'!aardgasinkoop_2023"),0)
+IFERROR(INDIRECT("'"&amp;$D$40&amp;"'!aardgasinkoop_2023"),0)
+IFERROR(INDIRECT("'"&amp;$D$41&amp;"'!aardgasinkoop_2023"),0)
+IFERROR(INDIRECT("'"&amp;$D$42&amp;"'!aardgasinkoop_2023"),0)
+IFERROR(INDIRECT("'"&amp;$D$43&amp;"'!aardgasinkoop_2023"),0)
+IFERROR(INDIRECT("'"&amp;$D$44&amp;"'!aardgasinkoop_2023"),0)
+IFERROR(INDIRECT("'"&amp;$D$45&amp;"'!aardgasinkoop_2023"),0)
+IFERROR(INDIRECT("'"&amp;$D$46&amp;"'!aardgasinkoop_2023"),0)
+IFERROR(INDIRECT("'"&amp;$D$47&amp;"'!aardgasinkoop_2023"),0)
+IFERROR(INDIRECT("'"&amp;$D$48&amp;"'!aardgasinkoop_2023"),0)
+IFERROR(INDIRECT("'"&amp;$D$49&amp;"'!aardgasinkoop_2023"),0)
+IFERROR(INDIRECT("'"&amp;$D$50&amp;"'!aardgasinkoop_2023"),0)
+IFERROR(INDIRECT("'"&amp;$D$51&amp;"'!aardgasinkoop_2023"),0)
+IFERROR(INDIRECT("'"&amp;$D$52&amp;"'!aardgasinkoop_2023"),0)
+IFERROR(INDIRECT("'"&amp;$D$53&amp;"'!aardgasinkoop_2023"),0)
+IFERROR(INDIRECT("'"&amp;$D$54&amp;"'!aardgasinkoop_2023"),0)</f>
        <v>87837.23599999999</v>
      </c>
      <c r="N31" s="320">
        <f ca="1">+IFERROR(INDIRECT("'"&amp;$D$5&amp;"'!aardgasinkoop_2024"),0)
+IFERROR(INDIRECT("'"&amp;$D$6&amp;"'!aardgasinkoop_2024"),0)
+IFERROR(INDIRECT("'"&amp;$D$7&amp;"'!aardgasinkoop_2024"),0)
+IFERROR(INDIRECT("'"&amp;$D$8&amp;"'!aardgasinkoop_2024"),0)
+IFERROR(INDIRECT("'"&amp;$D$9&amp;"'!aardgasinkoop_2024"),0)
+IFERROR(INDIRECT("'"&amp;$D$10&amp;"'!aardgasinkoop_2024"),0)
+IFERROR(INDIRECT("'"&amp;$D$11&amp;"'!aardgasinkoop_2024"),0)
+IFERROR(INDIRECT("'"&amp;$D$12&amp;"'!aardgasinkoop_2024"),0)
+IFERROR(INDIRECT("'"&amp;$D$13&amp;"'!aardgasinkoop_2024"),0)
+IFERROR(INDIRECT("'"&amp;$D$14&amp;"'!aardgasinkoop_2024"),0)
+IFERROR(INDIRECT("'"&amp;$D$15&amp;"'!aardgasinkoop_2024"),0)
+IFERROR(INDIRECT("'"&amp;$D$16&amp;"'!aardgasinkoop_2024"),0)
+IFERROR(INDIRECT("'"&amp;$D$17&amp;"'!aardgasinkoop_2024"),0)
+IFERROR(INDIRECT("'"&amp;$D$18&amp;"'!aardgasinkoop_2024"),0)
+IFERROR(INDIRECT("'"&amp;$D$19&amp;"'!aardgasinkoop_2024"),0)
+IFERROR(INDIRECT("'"&amp;$D$20&amp;"'!aardgasinkoop_2024"),0)
+IFERROR(INDIRECT("'"&amp;$D$21&amp;"'!aardgasinkoop_2024"),0)
+IFERROR(INDIRECT("'"&amp;$D$22&amp;"'!aardgasinkoop_2024"),0)
+IFERROR(INDIRECT("'"&amp;$D$23&amp;"'!aardgasinkoop_2024"),0)
+IFERROR(INDIRECT("'"&amp;$D$24&amp;"'!aardgasinkoop_2024"),0)
+IFERROR(INDIRECT("'"&amp;$D$25&amp;"'!aardgasinkoop_2024"),0)
+IFERROR(INDIRECT("'"&amp;$D$26&amp;"'!aardgasinkoop_2024"),0)
+IFERROR(INDIRECT("'"&amp;$D$27&amp;"'!aardgasinkoop_2024"),0)
+IFERROR(INDIRECT("'"&amp;$D$28&amp;"'!aardgasinkoop_2024"),0)
+IFERROR(INDIRECT("'"&amp;$D$29&amp;"'!aardgasinkoop_2024"),0)
+IFERROR(INDIRECT("'"&amp;$D$30&amp;"'!aardgasinkoop_2024"),0)
+IFERROR(INDIRECT("'"&amp;$D$31&amp;"'!aardgasinkoop_2024"),0)
+IFERROR(INDIRECT("'"&amp;$D$32&amp;"'!aardgasinkoop_2024"),0)
+IFERROR(INDIRECT("'"&amp;$D$33&amp;"'!aardgasinkoop_2024"),0)
+IFERROR(INDIRECT("'"&amp;$D$34&amp;"'!aardgasinkoop_2024"),0)
+IFERROR(INDIRECT("'"&amp;$D$35&amp;"'!aardgasinkoop_2024"),0)
+IFERROR(INDIRECT("'"&amp;$D$36&amp;"'!aardgasinkoop_2024"),0)
+IFERROR(INDIRECT("'"&amp;$D$37&amp;"'!aardgasinkoop_2024"),0)
+IFERROR(INDIRECT("'"&amp;$D$38&amp;"'!aardgasinkoop_2024"),0)
+IFERROR(INDIRECT("'"&amp;$D$39&amp;"'!aardgasinkoop_2024"),0)
+IFERROR(INDIRECT("'"&amp;$D$40&amp;"'!aardgasinkoop_2024"),0)
+IFERROR(INDIRECT("'"&amp;$D$41&amp;"'!aardgasinkoop_2024"),0)
+IFERROR(INDIRECT("'"&amp;$D$42&amp;"'!aardgasinkoop_2024"),0)
+IFERROR(INDIRECT("'"&amp;$D$43&amp;"'!aardgasinkoop_2024"),0)
+IFERROR(INDIRECT("'"&amp;$D$44&amp;"'!aardgasinkoop_2024"),0)
+IFERROR(INDIRECT("'"&amp;$D$45&amp;"'!aardgasinkoop_2024"),0)
+IFERROR(INDIRECT("'"&amp;$D$46&amp;"'!aardgasinkoop_2024"),0)
+IFERROR(INDIRECT("'"&amp;$D$47&amp;"'!aardgasinkoop_2024"),0)
+IFERROR(INDIRECT("'"&amp;$D$48&amp;"'!aardgasinkoop_2024"),0)
+IFERROR(INDIRECT("'"&amp;$D$49&amp;"'!aardgasinkoop_2024"),0)
+IFERROR(INDIRECT("'"&amp;$D$50&amp;"'!aardgasinkoop_2024"),0)
+IFERROR(INDIRECT("'"&amp;$D$51&amp;"'!aardgasinkoop_2024"),0)
+IFERROR(INDIRECT("'"&amp;$D$52&amp;"'!aardgasinkoop_2024"),0)
+IFERROR(INDIRECT("'"&amp;$D$53&amp;"'!aardgasinkoop_2024"),0)
+IFERROR(INDIRECT("'"&amp;$D$54&amp;"'!aardgasinkoop_2024"),0)</f>
        <v>74640.406999999992</v>
      </c>
      <c r="O31" s="320">
        <f ca="1">+IFERROR(INDIRECT("'"&amp;$D$5&amp;"'!aardgasinkoop_2025"),0)
+IFERROR(INDIRECT("'"&amp;$D$6&amp;"'!aardgasinkoop_2025"),0)
+IFERROR(INDIRECT("'"&amp;$D$7&amp;"'!aardgasinkoop_2025"),0)
+IFERROR(INDIRECT("'"&amp;$D$8&amp;"'!aardgasinkoop_2025"),0)
+IFERROR(INDIRECT("'"&amp;$D$9&amp;"'!aardgasinkoop_2025"),0)
+IFERROR(INDIRECT("'"&amp;$D$10&amp;"'!aardgasinkoop_2025"),0)
+IFERROR(INDIRECT("'"&amp;$D$11&amp;"'!aardgasinkoop_2025"),0)
+IFERROR(INDIRECT("'"&amp;$D$12&amp;"'!aardgasinkoop_2025"),0)
+IFERROR(INDIRECT("'"&amp;$D$13&amp;"'!aardgasinkoop_2025"),0)
+IFERROR(INDIRECT("'"&amp;$D$14&amp;"'!aardgasinkoop_2025"),0)
+IFERROR(INDIRECT("'"&amp;$D$15&amp;"'!aardgasinkoop_2025"),0)
+IFERROR(INDIRECT("'"&amp;$D$16&amp;"'!aardgasinkoop_2025"),0)
+IFERROR(INDIRECT("'"&amp;$D$17&amp;"'!aardgasinkoop_2025"),0)
+IFERROR(INDIRECT("'"&amp;$D$18&amp;"'!aardgasinkoop_2025"),0)
+IFERROR(INDIRECT("'"&amp;$D$19&amp;"'!aardgasinkoop_2025"),0)
+IFERROR(INDIRECT("'"&amp;$D$20&amp;"'!aardgasinkoop_2025"),0)
+IFERROR(INDIRECT("'"&amp;$D$21&amp;"'!aardgasinkoop_2025"),0)
+IFERROR(INDIRECT("'"&amp;$D$22&amp;"'!aardgasinkoop_2025"),0)
+IFERROR(INDIRECT("'"&amp;$D$23&amp;"'!aardgasinkoop_2025"),0)
+IFERROR(INDIRECT("'"&amp;$D$24&amp;"'!aardgasinkoop_2025"),0)
+IFERROR(INDIRECT("'"&amp;$D$25&amp;"'!aardgasinkoop_2025"),0)
+IFERROR(INDIRECT("'"&amp;$D$26&amp;"'!aardgasinkoop_2025"),0)
+IFERROR(INDIRECT("'"&amp;$D$27&amp;"'!aardgasinkoop_2025"),0)
+IFERROR(INDIRECT("'"&amp;$D$28&amp;"'!aardgasinkoop_2025"),0)
+IFERROR(INDIRECT("'"&amp;$D$29&amp;"'!aardgasinkoop_2025"),0)
+IFERROR(INDIRECT("'"&amp;$D$30&amp;"'!aardgasinkoop_2025"),0)
+IFERROR(INDIRECT("'"&amp;$D$31&amp;"'!aardgasinkoop_2025"),0)
+IFERROR(INDIRECT("'"&amp;$D$32&amp;"'!aardgasinkoop_2025"),0)
+IFERROR(INDIRECT("'"&amp;$D$33&amp;"'!aardgasinkoop_2025"),0)
+IFERROR(INDIRECT("'"&amp;$D$34&amp;"'!aardgasinkoop_2025"),0)
+IFERROR(INDIRECT("'"&amp;$D$35&amp;"'!aardgasinkoop_2025"),0)
+IFERROR(INDIRECT("'"&amp;$D$36&amp;"'!aardgasinkoop_2025"),0)
+IFERROR(INDIRECT("'"&amp;$D$37&amp;"'!aardgasinkoop_2025"),0)
+IFERROR(INDIRECT("'"&amp;$D$38&amp;"'!aardgasinkoop_2025"),0)
+IFERROR(INDIRECT("'"&amp;$D$39&amp;"'!aardgasinkoop_2025"),0)
+IFERROR(INDIRECT("'"&amp;$D$40&amp;"'!aardgasinkoop_2025"),0)
+IFERROR(INDIRECT("'"&amp;$D$41&amp;"'!aardgasinkoop_2025"),0)
+IFERROR(INDIRECT("'"&amp;$D$42&amp;"'!aardgasinkoop_2025"),0)
+IFERROR(INDIRECT("'"&amp;$D$43&amp;"'!aardgasinkoop_2025"),0)
+IFERROR(INDIRECT("'"&amp;$D$44&amp;"'!aardgasinkoop_2025"),0)
+IFERROR(INDIRECT("'"&amp;$D$45&amp;"'!aardgasinkoop_2025"),0)
+IFERROR(INDIRECT("'"&amp;$D$46&amp;"'!aardgasinkoop_2025"),0)
+IFERROR(INDIRECT("'"&amp;$D$47&amp;"'!aardgasinkoop_2025"),0)
+IFERROR(INDIRECT("'"&amp;$D$48&amp;"'!aardgasinkoop_2025"),0)
+IFERROR(INDIRECT("'"&amp;$D$49&amp;"'!aardgasinkoop_2025"),0)
+IFERROR(INDIRECT("'"&amp;$D$50&amp;"'!aardgasinkoop_2025"),0)
+IFERROR(INDIRECT("'"&amp;$D$51&amp;"'!aardgasinkoop_2025"),0)
+IFERROR(INDIRECT("'"&amp;$D$52&amp;"'!aardgasinkoop_2025"),0)
+IFERROR(INDIRECT("'"&amp;$D$53&amp;"'!aardgasinkoop_2025"),0)
+IFERROR(INDIRECT("'"&amp;$D$54&amp;"'!aardgasinkoop_2025"),0)</f>
        <v>62788.099999999991</v>
      </c>
      <c r="P31" s="320">
        <f ca="1">+IFERROR(INDIRECT("'"&amp;$D$5&amp;"'!aardgasinkoop_2026"),0)
+IFERROR(INDIRECT("'"&amp;$D$6&amp;"'!aardgasinkoop_2026"),0)
+IFERROR(INDIRECT("'"&amp;$D$7&amp;"'!aardgasinkoop_2026"),0)
+IFERROR(INDIRECT("'"&amp;$D$8&amp;"'!aardgasinkoop_2026"),0)
+IFERROR(INDIRECT("'"&amp;$D$9&amp;"'!aardgasinkoop_2026"),0)
+IFERROR(INDIRECT("'"&amp;$D$10&amp;"'!aardgasinkoop_2026"),0)
+IFERROR(INDIRECT("'"&amp;$D$11&amp;"'!aardgasinkoop_2026"),0)
+IFERROR(INDIRECT("'"&amp;$D$12&amp;"'!aardgasinkoop_2026"),0)
+IFERROR(INDIRECT("'"&amp;$D$13&amp;"'!aardgasinkoop_2026"),0)
+IFERROR(INDIRECT("'"&amp;$D$14&amp;"'!aardgasinkoop_2026"),0)
+IFERROR(INDIRECT("'"&amp;$D$15&amp;"'!aardgasinkoop_2026"),0)
+IFERROR(INDIRECT("'"&amp;$D$16&amp;"'!aardgasinkoop_2026"),0)
+IFERROR(INDIRECT("'"&amp;$D$17&amp;"'!aardgasinkoop_2026"),0)
+IFERROR(INDIRECT("'"&amp;$D$18&amp;"'!aardgasinkoop_2026"),0)
+IFERROR(INDIRECT("'"&amp;$D$19&amp;"'!aardgasinkoop_2026"),0)
+IFERROR(INDIRECT("'"&amp;$D$20&amp;"'!aardgasinkoop_2026"),0)
+IFERROR(INDIRECT("'"&amp;$D$21&amp;"'!aardgasinkoop_2026"),0)
+IFERROR(INDIRECT("'"&amp;$D$22&amp;"'!aardgasinkoop_2026"),0)
+IFERROR(INDIRECT("'"&amp;$D$23&amp;"'!aardgasinkoop_2026"),0)
+IFERROR(INDIRECT("'"&amp;$D$24&amp;"'!aardgasinkoop_2026"),0)
+IFERROR(INDIRECT("'"&amp;$D$25&amp;"'!aardgasinkoop_2026"),0)
+IFERROR(INDIRECT("'"&amp;$D$26&amp;"'!aardgasinkoop_2026"),0)
+IFERROR(INDIRECT("'"&amp;$D$27&amp;"'!aardgasinkoop_2026"),0)
+IFERROR(INDIRECT("'"&amp;$D$28&amp;"'!aardgasinkoop_2026"),0)
+IFERROR(INDIRECT("'"&amp;$D$29&amp;"'!aardgasinkoop_2026"),0)
+IFERROR(INDIRECT("'"&amp;$D$30&amp;"'!aardgasinkoop_2026"),0)
+IFERROR(INDIRECT("'"&amp;$D$31&amp;"'!aardgasinkoop_2026"),0)
+IFERROR(INDIRECT("'"&amp;$D$32&amp;"'!aardgasinkoop_2026"),0)
+IFERROR(INDIRECT("'"&amp;$D$33&amp;"'!aardgasinkoop_2026"),0)
+IFERROR(INDIRECT("'"&amp;$D$34&amp;"'!aardgasinkoop_2026"),0)
+IFERROR(INDIRECT("'"&amp;$D$35&amp;"'!aardgasinkoop_2026"),0)
+IFERROR(INDIRECT("'"&amp;$D$36&amp;"'!aardgasinkoop_2026"),0)
+IFERROR(INDIRECT("'"&amp;$D$37&amp;"'!aardgasinkoop_2026"),0)
+IFERROR(INDIRECT("'"&amp;$D$38&amp;"'!aardgasinkoop_2026"),0)
+IFERROR(INDIRECT("'"&amp;$D$39&amp;"'!aardgasinkoop_2026"),0)
+IFERROR(INDIRECT("'"&amp;$D$40&amp;"'!aardgasinkoop_2026"),0)
+IFERROR(INDIRECT("'"&amp;$D$41&amp;"'!aardgasinkoop_2026"),0)
+IFERROR(INDIRECT("'"&amp;$D$42&amp;"'!aardgasinkoop_2026"),0)
+IFERROR(INDIRECT("'"&amp;$D$43&amp;"'!aardgasinkoop_2026"),0)
+IFERROR(INDIRECT("'"&amp;$D$44&amp;"'!aardgasinkoop_2026"),0)
+IFERROR(INDIRECT("'"&amp;$D$45&amp;"'!aardgasinkoop_2026"),0)
+IFERROR(INDIRECT("'"&amp;$D$46&amp;"'!aardgasinkoop_2026"),0)
+IFERROR(INDIRECT("'"&amp;$D$47&amp;"'!aardgasinkoop_2026"),0)
+IFERROR(INDIRECT("'"&amp;$D$48&amp;"'!aardgasinkoop_2026"),0)
+IFERROR(INDIRECT("'"&amp;$D$49&amp;"'!aardgasinkoop_2026"),0)
+IFERROR(INDIRECT("'"&amp;$D$50&amp;"'!aardgasinkoop_2026"),0)
+IFERROR(INDIRECT("'"&amp;$D$51&amp;"'!aardgasinkoop_2026"),0)
+IFERROR(INDIRECT("'"&amp;$D$52&amp;"'!aardgasinkoop_2026"),0)
+IFERROR(INDIRECT("'"&amp;$D$53&amp;"'!aardgasinkoop_2026"),0)
+IFERROR(INDIRECT("'"&amp;$D$54&amp;"'!aardgasinkoop_2026"),0)</f>
        <v>54323.229499999987</v>
      </c>
      <c r="Q31" s="320">
        <f ca="1">+IFERROR(INDIRECT("'"&amp;$D$5&amp;"'!aardgasinkoop_2027"),0)
+IFERROR(INDIRECT("'"&amp;$D$6&amp;"'!aardgasinkoop_2027"),0)
+IFERROR(INDIRECT("'"&amp;$D$7&amp;"'!aardgasinkoop_2027"),0)
+IFERROR(INDIRECT("'"&amp;$D$8&amp;"'!aardgasinkoop_2027"),0)
+IFERROR(INDIRECT("'"&amp;$D$9&amp;"'!aardgasinkoop_2027"),0)
+IFERROR(INDIRECT("'"&amp;$D$10&amp;"'!aardgasinkoop_2027"),0)
+IFERROR(INDIRECT("'"&amp;$D$11&amp;"'!aardgasinkoop_2027"),0)
+IFERROR(INDIRECT("'"&amp;$D$12&amp;"'!aardgasinkoop_2027"),0)
+IFERROR(INDIRECT("'"&amp;$D$13&amp;"'!aardgasinkoop_2027"),0)
+IFERROR(INDIRECT("'"&amp;$D$14&amp;"'!aardgasinkoop_2027"),0)
+IFERROR(INDIRECT("'"&amp;$D$15&amp;"'!aardgasinkoop_2027"),0)
+IFERROR(INDIRECT("'"&amp;$D$16&amp;"'!aardgasinkoop_2027"),0)
+IFERROR(INDIRECT("'"&amp;$D$17&amp;"'!aardgasinkoop_2027"),0)
+IFERROR(INDIRECT("'"&amp;$D$18&amp;"'!aardgasinkoop_2027"),0)
+IFERROR(INDIRECT("'"&amp;$D$19&amp;"'!aardgasinkoop_2027"),0)
+IFERROR(INDIRECT("'"&amp;$D$20&amp;"'!aardgasinkoop_2027"),0)
+IFERROR(INDIRECT("'"&amp;$D$21&amp;"'!aardgasinkoop_2027"),0)
+IFERROR(INDIRECT("'"&amp;$D$22&amp;"'!aardgasinkoop_2027"),0)
+IFERROR(INDIRECT("'"&amp;$D$23&amp;"'!aardgasinkoop_2027"),0)
+IFERROR(INDIRECT("'"&amp;$D$24&amp;"'!aardgasinkoop_2027"),0)
+IFERROR(INDIRECT("'"&amp;$D$25&amp;"'!aardgasinkoop_2027"),0)
+IFERROR(INDIRECT("'"&amp;$D$26&amp;"'!aardgasinkoop_2027"),0)
+IFERROR(INDIRECT("'"&amp;$D$27&amp;"'!aardgasinkoop_2027"),0)
+IFERROR(INDIRECT("'"&amp;$D$28&amp;"'!aardgasinkoop_2027"),0)
+IFERROR(INDIRECT("'"&amp;$D$29&amp;"'!aardgasinkoop_2027"),0)
+IFERROR(INDIRECT("'"&amp;$D$30&amp;"'!aardgasinkoop_2027"),0)
+IFERROR(INDIRECT("'"&amp;$D$31&amp;"'!aardgasinkoop_2027"),0)
+IFERROR(INDIRECT("'"&amp;$D$32&amp;"'!aardgasinkoop_2027"),0)
+IFERROR(INDIRECT("'"&amp;$D$33&amp;"'!aardgasinkoop_2027"),0)
+IFERROR(INDIRECT("'"&amp;$D$34&amp;"'!aardgasinkoop_2027"),0)
+IFERROR(INDIRECT("'"&amp;$D$35&amp;"'!aardgasinkoop_2027"),0)
+IFERROR(INDIRECT("'"&amp;$D$36&amp;"'!aardgasinkoop_2027"),0)
+IFERROR(INDIRECT("'"&amp;$D$37&amp;"'!aardgasinkoop_2027"),0)
+IFERROR(INDIRECT("'"&amp;$D$38&amp;"'!aardgasinkoop_2027"),0)
+IFERROR(INDIRECT("'"&amp;$D$39&amp;"'!aardgasinkoop_2027"),0)
+IFERROR(INDIRECT("'"&amp;$D$40&amp;"'!aardgasinkoop_2027"),0)
+IFERROR(INDIRECT("'"&amp;$D$41&amp;"'!aardgasinkoop_2027"),0)
+IFERROR(INDIRECT("'"&amp;$D$42&amp;"'!aardgasinkoop_2027"),0)
+IFERROR(INDIRECT("'"&amp;$D$43&amp;"'!aardgasinkoop_2027"),0)
+IFERROR(INDIRECT("'"&amp;$D$44&amp;"'!aardgasinkoop_2027"),0)
+IFERROR(INDIRECT("'"&amp;$D$45&amp;"'!aardgasinkoop_2027"),0)
+IFERROR(INDIRECT("'"&amp;$D$46&amp;"'!aardgasinkoop_2027"),0)
+IFERROR(INDIRECT("'"&amp;$D$47&amp;"'!aardgasinkoop_2027"),0)
+IFERROR(INDIRECT("'"&amp;$D$48&amp;"'!aardgasinkoop_2027"),0)
+IFERROR(INDIRECT("'"&amp;$D$49&amp;"'!aardgasinkoop_2027"),0)
+IFERROR(INDIRECT("'"&amp;$D$50&amp;"'!aardgasinkoop_2027"),0)
+IFERROR(INDIRECT("'"&amp;$D$51&amp;"'!aardgasinkoop_2027"),0)
+IFERROR(INDIRECT("'"&amp;$D$52&amp;"'!aardgasinkoop_2027"),0)
+IFERROR(INDIRECT("'"&amp;$D$53&amp;"'!aardgasinkoop_2027"),0)
+IFERROR(INDIRECT("'"&amp;$D$54&amp;"'!aardgasinkoop_2027"),0)</f>
        <v>40046.663999999997</v>
      </c>
      <c r="R31" s="320">
        <f ca="1">+IFERROR(INDIRECT("'"&amp;$D$5&amp;"'!aardgasinkoop_2028"),0)
+IFERROR(INDIRECT("'"&amp;$D$6&amp;"'!aardgasinkoop_2028"),0)
+IFERROR(INDIRECT("'"&amp;$D$7&amp;"'!aardgasinkoop_2028"),0)
+IFERROR(INDIRECT("'"&amp;$D$8&amp;"'!aardgasinkoop_2028"),0)
+IFERROR(INDIRECT("'"&amp;$D$9&amp;"'!aardgasinkoop_2028"),0)
+IFERROR(INDIRECT("'"&amp;$D$10&amp;"'!aardgasinkoop_2028"),0)
+IFERROR(INDIRECT("'"&amp;$D$11&amp;"'!aardgasinkoop_2028"),0)
+IFERROR(INDIRECT("'"&amp;$D$12&amp;"'!aardgasinkoop_2028"),0)
+IFERROR(INDIRECT("'"&amp;$D$13&amp;"'!aardgasinkoop_2028"),0)
+IFERROR(INDIRECT("'"&amp;$D$14&amp;"'!aardgasinkoop_2028"),0)
+IFERROR(INDIRECT("'"&amp;$D$15&amp;"'!aardgasinkoop_2028"),0)
+IFERROR(INDIRECT("'"&amp;$D$16&amp;"'!aardgasinkoop_2028"),0)
+IFERROR(INDIRECT("'"&amp;$D$17&amp;"'!aardgasinkoop_2028"),0)
+IFERROR(INDIRECT("'"&amp;$D$18&amp;"'!aardgasinkoop_2028"),0)
+IFERROR(INDIRECT("'"&amp;$D$19&amp;"'!aardgasinkoop_2028"),0)
+IFERROR(INDIRECT("'"&amp;$D$20&amp;"'!aardgasinkoop_2028"),0)
+IFERROR(INDIRECT("'"&amp;$D$21&amp;"'!aardgasinkoop_2028"),0)
+IFERROR(INDIRECT("'"&amp;$D$22&amp;"'!aardgasinkoop_2028"),0)
+IFERROR(INDIRECT("'"&amp;$D$23&amp;"'!aardgasinkoop_2028"),0)
+IFERROR(INDIRECT("'"&amp;$D$24&amp;"'!aardgasinkoop_2028"),0)
+IFERROR(INDIRECT("'"&amp;$D$25&amp;"'!aardgasinkoop_2028"),0)
+IFERROR(INDIRECT("'"&amp;$D$26&amp;"'!aardgasinkoop_2028"),0)
+IFERROR(INDIRECT("'"&amp;$D$27&amp;"'!aardgasinkoop_2028"),0)
+IFERROR(INDIRECT("'"&amp;$D$28&amp;"'!aardgasinkoop_2028"),0)
+IFERROR(INDIRECT("'"&amp;$D$29&amp;"'!aardgasinkoop_2028"),0)
+IFERROR(INDIRECT("'"&amp;$D$30&amp;"'!aardgasinkoop_2028"),0)
+IFERROR(INDIRECT("'"&amp;$D$31&amp;"'!aardgasinkoop_2028"),0)
+IFERROR(INDIRECT("'"&amp;$D$32&amp;"'!aardgasinkoop_2028"),0)
+IFERROR(INDIRECT("'"&amp;$D$33&amp;"'!aardgasinkoop_2028"),0)
+IFERROR(INDIRECT("'"&amp;$D$34&amp;"'!aardgasinkoop_2028"),0)
+IFERROR(INDIRECT("'"&amp;$D$35&amp;"'!aardgasinkoop_2028"),0)
+IFERROR(INDIRECT("'"&amp;$D$36&amp;"'!aardgasinkoop_2028"),0)
+IFERROR(INDIRECT("'"&amp;$D$37&amp;"'!aardgasinkoop_2028"),0)
+IFERROR(INDIRECT("'"&amp;$D$38&amp;"'!aardgasinkoop_2028"),0)
+IFERROR(INDIRECT("'"&amp;$D$39&amp;"'!aardgasinkoop_2028"),0)
+IFERROR(INDIRECT("'"&amp;$D$40&amp;"'!aardgasinkoop_2028"),0)
+IFERROR(INDIRECT("'"&amp;$D$41&amp;"'!aardgasinkoop_2028"),0)
+IFERROR(INDIRECT("'"&amp;$D$42&amp;"'!aardgasinkoop_2028"),0)
+IFERROR(INDIRECT("'"&amp;$D$43&amp;"'!aardgasinkoop_2028"),0)
+IFERROR(INDIRECT("'"&amp;$D$44&amp;"'!aardgasinkoop_2028"),0)
+IFERROR(INDIRECT("'"&amp;$D$45&amp;"'!aardgasinkoop_2028"),0)
+IFERROR(INDIRECT("'"&amp;$D$46&amp;"'!aardgasinkoop_2028"),0)
+IFERROR(INDIRECT("'"&amp;$D$47&amp;"'!aardgasinkoop_2028"),0)
+IFERROR(INDIRECT("'"&amp;$D$48&amp;"'!aardgasinkoop_2028"),0)
+IFERROR(INDIRECT("'"&amp;$D$49&amp;"'!aardgasinkoop_2028"),0)
+IFERROR(INDIRECT("'"&amp;$D$50&amp;"'!aardgasinkoop_2028"),0)
+IFERROR(INDIRECT("'"&amp;$D$51&amp;"'!aardgasinkoop_2028"),0)
+IFERROR(INDIRECT("'"&amp;$D$52&amp;"'!aardgasinkoop_2028"),0)
+IFERROR(INDIRECT("'"&amp;$D$53&amp;"'!aardgasinkoop_2028"),0)
+IFERROR(INDIRECT("'"&amp;$D$54&amp;"'!aardgasinkoop_2028"),0)</f>
        <v>36450.42</v>
      </c>
      <c r="S31" s="320">
        <f ca="1">+IFERROR(INDIRECT("'"&amp;$D$5&amp;"'!aardgasinkoop_2029"),0)
+IFERROR(INDIRECT("'"&amp;$D$6&amp;"'!aardgasinkoop_2029"),0)
+IFERROR(INDIRECT("'"&amp;$D$7&amp;"'!aardgasinkoop_2029"),0)
+IFERROR(INDIRECT("'"&amp;$D$8&amp;"'!aardgasinkoop_2029"),0)
+IFERROR(INDIRECT("'"&amp;$D$9&amp;"'!aardgasinkoop_2029"),0)
+IFERROR(INDIRECT("'"&amp;$D$10&amp;"'!aardgasinkoop_2029"),0)
+IFERROR(INDIRECT("'"&amp;$D$11&amp;"'!aardgasinkoop_2029"),0)
+IFERROR(INDIRECT("'"&amp;$D$12&amp;"'!aardgasinkoop_2029"),0)
+IFERROR(INDIRECT("'"&amp;$D$13&amp;"'!aardgasinkoop_2029"),0)
+IFERROR(INDIRECT("'"&amp;$D$14&amp;"'!aardgasinkoop_2029"),0)
+IFERROR(INDIRECT("'"&amp;$D$15&amp;"'!aardgasinkoop_2029"),0)
+IFERROR(INDIRECT("'"&amp;$D$16&amp;"'!aardgasinkoop_2029"),0)
+IFERROR(INDIRECT("'"&amp;$D$17&amp;"'!aardgasinkoop_2029"),0)
+IFERROR(INDIRECT("'"&amp;$D$18&amp;"'!aardgasinkoop_2029"),0)
+IFERROR(INDIRECT("'"&amp;$D$19&amp;"'!aardgasinkoop_2029"),0)
+IFERROR(INDIRECT("'"&amp;$D$20&amp;"'!aardgasinkoop_2029"),0)
+IFERROR(INDIRECT("'"&amp;$D$21&amp;"'!aardgasinkoop_2029"),0)
+IFERROR(INDIRECT("'"&amp;$D$22&amp;"'!aardgasinkoop_2029"),0)
+IFERROR(INDIRECT("'"&amp;$D$23&amp;"'!aardgasinkoop_2029"),0)
+IFERROR(INDIRECT("'"&amp;$D$24&amp;"'!aardgasinkoop_2029"),0)
+IFERROR(INDIRECT("'"&amp;$D$25&amp;"'!aardgasinkoop_2029"),0)
+IFERROR(INDIRECT("'"&amp;$D$26&amp;"'!aardgasinkoop_2029"),0)
+IFERROR(INDIRECT("'"&amp;$D$27&amp;"'!aardgasinkoop_2029"),0)
+IFERROR(INDIRECT("'"&amp;$D$28&amp;"'!aardgasinkoop_2029"),0)
+IFERROR(INDIRECT("'"&amp;$D$29&amp;"'!aardgasinkoop_2029"),0)
+IFERROR(INDIRECT("'"&amp;$D$30&amp;"'!aardgasinkoop_2029"),0)
+IFERROR(INDIRECT("'"&amp;$D$31&amp;"'!aardgasinkoop_2029"),0)
+IFERROR(INDIRECT("'"&amp;$D$32&amp;"'!aardgasinkoop_2029"),0)
+IFERROR(INDIRECT("'"&amp;$D$33&amp;"'!aardgasinkoop_2029"),0)
+IFERROR(INDIRECT("'"&amp;$D$34&amp;"'!aardgasinkoop_2029"),0)
+IFERROR(INDIRECT("'"&amp;$D$35&amp;"'!aardgasinkoop_2029"),0)
+IFERROR(INDIRECT("'"&amp;$D$36&amp;"'!aardgasinkoop_2029"),0)
+IFERROR(INDIRECT("'"&amp;$D$37&amp;"'!aardgasinkoop_2029"),0)
+IFERROR(INDIRECT("'"&amp;$D$38&amp;"'!aardgasinkoop_2029"),0)
+IFERROR(INDIRECT("'"&amp;$D$39&amp;"'!aardgasinkoop_2029"),0)
+IFERROR(INDIRECT("'"&amp;$D$40&amp;"'!aardgasinkoop_2029"),0)
+IFERROR(INDIRECT("'"&amp;$D$41&amp;"'!aardgasinkoop_2029"),0)
+IFERROR(INDIRECT("'"&amp;$D$42&amp;"'!aardgasinkoop_2029"),0)
+IFERROR(INDIRECT("'"&amp;$D$43&amp;"'!aardgasinkoop_2029"),0)
+IFERROR(INDIRECT("'"&amp;$D$44&amp;"'!aardgasinkoop_2029"),0)
+IFERROR(INDIRECT("'"&amp;$D$45&amp;"'!aardgasinkoop_2029"),0)
+IFERROR(INDIRECT("'"&amp;$D$46&amp;"'!aardgasinkoop_2029"),0)
+IFERROR(INDIRECT("'"&amp;$D$47&amp;"'!aardgasinkoop_2029"),0)
+IFERROR(INDIRECT("'"&amp;$D$48&amp;"'!aardgasinkoop_2029"),0)
+IFERROR(INDIRECT("'"&amp;$D$49&amp;"'!aardgasinkoop_2029"),0)
+IFERROR(INDIRECT("'"&amp;$D$50&amp;"'!aardgasinkoop_2029"),0)
+IFERROR(INDIRECT("'"&amp;$D$51&amp;"'!aardgasinkoop_2029"),0)
+IFERROR(INDIRECT("'"&amp;$D$52&amp;"'!aardgasinkoop_2029"),0)
+IFERROR(INDIRECT("'"&amp;$D$53&amp;"'!aardgasinkoop_2029"),0)
+IFERROR(INDIRECT("'"&amp;$D$54&amp;"'!aardgasinkoop_2029"),0)</f>
        <v>32854.175999999999</v>
      </c>
      <c r="T31" s="320">
        <f ca="1">+IFERROR(INDIRECT("'"&amp;$D$5&amp;"'!aardgasinkoop_2030"),0)
+IFERROR(INDIRECT("'"&amp;$D$6&amp;"'!aardgasinkoop_2030"),0)
+IFERROR(INDIRECT("'"&amp;$D$7&amp;"'!aardgasinkoop_2030"),0)
+IFERROR(INDIRECT("'"&amp;$D$8&amp;"'!aardgasinkoop_2030"),0)
+IFERROR(INDIRECT("'"&amp;$D$9&amp;"'!aardgasinkoop_2030"),0)
+IFERROR(INDIRECT("'"&amp;$D$10&amp;"'!aardgasinkoop_2030"),0)
+IFERROR(INDIRECT("'"&amp;$D$11&amp;"'!aardgasinkoop_2030"),0)
+IFERROR(INDIRECT("'"&amp;$D$12&amp;"'!aardgasinkoop_2030"),0)
+IFERROR(INDIRECT("'"&amp;$D$13&amp;"'!aardgasinkoop_2030"),0)
+IFERROR(INDIRECT("'"&amp;$D$14&amp;"'!aardgasinkoop_2030"),0)
+IFERROR(INDIRECT("'"&amp;$D$15&amp;"'!aardgasinkoop_2030"),0)
+IFERROR(INDIRECT("'"&amp;$D$16&amp;"'!aardgasinkoop_2030"),0)
+IFERROR(INDIRECT("'"&amp;$D$17&amp;"'!aardgasinkoop_2030"),0)
+IFERROR(INDIRECT("'"&amp;$D$18&amp;"'!aardgasinkoop_2030"),0)
+IFERROR(INDIRECT("'"&amp;$D$19&amp;"'!aardgasinkoop_2030"),0)
+IFERROR(INDIRECT("'"&amp;$D$20&amp;"'!aardgasinkoop_2030"),0)
+IFERROR(INDIRECT("'"&amp;$D$21&amp;"'!aardgasinkoop_2030"),0)
+IFERROR(INDIRECT("'"&amp;$D$22&amp;"'!aardgasinkoop_2030"),0)
+IFERROR(INDIRECT("'"&amp;$D$23&amp;"'!aardgasinkoop_2030"),0)
+IFERROR(INDIRECT("'"&amp;$D$24&amp;"'!aardgasinkoop_2030"),0)
+IFERROR(INDIRECT("'"&amp;$D$25&amp;"'!aardgasinkoop_2030"),0)
+IFERROR(INDIRECT("'"&amp;$D$26&amp;"'!aardgasinkoop_2030"),0)
+IFERROR(INDIRECT("'"&amp;$D$27&amp;"'!aardgasinkoop_2030"),0)
+IFERROR(INDIRECT("'"&amp;$D$28&amp;"'!aardgasinkoop_2030"),0)
+IFERROR(INDIRECT("'"&amp;$D$29&amp;"'!aardgasinkoop_2030"),0)
+IFERROR(INDIRECT("'"&amp;$D$30&amp;"'!aardgasinkoop_2030"),0)
+IFERROR(INDIRECT("'"&amp;$D$31&amp;"'!aardgasinkoop_2030"),0)
+IFERROR(INDIRECT("'"&amp;$D$32&amp;"'!aardgasinkoop_2030"),0)
+IFERROR(INDIRECT("'"&amp;$D$33&amp;"'!aardgasinkoop_2030"),0)
+IFERROR(INDIRECT("'"&amp;$D$34&amp;"'!aardgasinkoop_2030"),0)
+IFERROR(INDIRECT("'"&amp;$D$35&amp;"'!aardgasinkoop_2030"),0)
+IFERROR(INDIRECT("'"&amp;$D$36&amp;"'!aardgasinkoop_2030"),0)
+IFERROR(INDIRECT("'"&amp;$D$37&amp;"'!aardgasinkoop_2030"),0)
+IFERROR(INDIRECT("'"&amp;$D$38&amp;"'!aardgasinkoop_2030"),0)
+IFERROR(INDIRECT("'"&amp;$D$39&amp;"'!aardgasinkoop_2030"),0)
+IFERROR(INDIRECT("'"&amp;$D$40&amp;"'!aardgasinkoop_2030"),0)
+IFERROR(INDIRECT("'"&amp;$D$41&amp;"'!aardgasinkoop_2030"),0)
+IFERROR(INDIRECT("'"&amp;$D$42&amp;"'!aardgasinkoop_2030"),0)
+IFERROR(INDIRECT("'"&amp;$D$43&amp;"'!aardgasinkoop_2030"),0)
+IFERROR(INDIRECT("'"&amp;$D$44&amp;"'!aardgasinkoop_2030"),0)
+IFERROR(INDIRECT("'"&amp;$D$45&amp;"'!aardgasinkoop_2030"),0)
+IFERROR(INDIRECT("'"&amp;$D$46&amp;"'!aardgasinkoop_2030"),0)
+IFERROR(INDIRECT("'"&amp;$D$47&amp;"'!aardgasinkoop_2030"),0)
+IFERROR(INDIRECT("'"&amp;$D$48&amp;"'!aardgasinkoop_2030"),0)
+IFERROR(INDIRECT("'"&amp;$D$49&amp;"'!aardgasinkoop_2030"),0)
+IFERROR(INDIRECT("'"&amp;$D$50&amp;"'!aardgasinkoop_2030"),0)
+IFERROR(INDIRECT("'"&amp;$D$51&amp;"'!aardgasinkoop_2030"),0)
+IFERROR(INDIRECT("'"&amp;$D$52&amp;"'!aardgasinkoop_2030"),0)
+IFERROR(INDIRECT("'"&amp;$D$53&amp;"'!aardgasinkoop_2030"),0)
+IFERROR(INDIRECT("'"&amp;$D$54&amp;"'!aardgasinkoop_2030"),0)</f>
        <v>29257.932000000001</v>
      </c>
      <c r="U31" s="320">
        <f ca="1">+IFERROR(INDIRECT("'"&amp;$D$5&amp;"'!aardgasinkoop_2031"),0)
+IFERROR(INDIRECT("'"&amp;$D$6&amp;"'!aardgasinkoop_2031"),0)
+IFERROR(INDIRECT("'"&amp;$D$7&amp;"'!aardgasinkoop_2031"),0)
+IFERROR(INDIRECT("'"&amp;$D$8&amp;"'!aardgasinkoop_2031"),0)
+IFERROR(INDIRECT("'"&amp;$D$9&amp;"'!aardgasinkoop_2031"),0)
+IFERROR(INDIRECT("'"&amp;$D$10&amp;"'!aardgasinkoop_2031"),0)
+IFERROR(INDIRECT("'"&amp;$D$11&amp;"'!aardgasinkoop_2031"),0)
+IFERROR(INDIRECT("'"&amp;$D$12&amp;"'!aardgasinkoop_2031"),0)
+IFERROR(INDIRECT("'"&amp;$D$13&amp;"'!aardgasinkoop_2031"),0)
+IFERROR(INDIRECT("'"&amp;$D$14&amp;"'!aardgasinkoop_2031"),0)
+IFERROR(INDIRECT("'"&amp;$D$15&amp;"'!aardgasinkoop_2031"),0)
+IFERROR(INDIRECT("'"&amp;$D$16&amp;"'!aardgasinkoop_2031"),0)
+IFERROR(INDIRECT("'"&amp;$D$17&amp;"'!aardgasinkoop_2031"),0)
+IFERROR(INDIRECT("'"&amp;$D$18&amp;"'!aardgasinkoop_2031"),0)
+IFERROR(INDIRECT("'"&amp;$D$19&amp;"'!aardgasinkoop_2031"),0)
+IFERROR(INDIRECT("'"&amp;$D$20&amp;"'!aardgasinkoop_2031"),0)
+IFERROR(INDIRECT("'"&amp;$D$21&amp;"'!aardgasinkoop_2031"),0)
+IFERROR(INDIRECT("'"&amp;$D$22&amp;"'!aardgasinkoop_2031"),0)
+IFERROR(INDIRECT("'"&amp;$D$23&amp;"'!aardgasinkoop_2031"),0)
+IFERROR(INDIRECT("'"&amp;$D$24&amp;"'!aardgasinkoop_2031"),0)
+IFERROR(INDIRECT("'"&amp;$D$25&amp;"'!aardgasinkoop_2031"),0)
+IFERROR(INDIRECT("'"&amp;$D$26&amp;"'!aardgasinkoop_2031"),0)
+IFERROR(INDIRECT("'"&amp;$D$27&amp;"'!aardgasinkoop_2031"),0)
+IFERROR(INDIRECT("'"&amp;$D$28&amp;"'!aardgasinkoop_2031"),0)
+IFERROR(INDIRECT("'"&amp;$D$29&amp;"'!aardgasinkoop_2031"),0)
+IFERROR(INDIRECT("'"&amp;$D$30&amp;"'!aardgasinkoop_2031"),0)
+IFERROR(INDIRECT("'"&amp;$D$31&amp;"'!aardgasinkoop_2031"),0)
+IFERROR(INDIRECT("'"&amp;$D$32&amp;"'!aardgasinkoop_2031"),0)
+IFERROR(INDIRECT("'"&amp;$D$33&amp;"'!aardgasinkoop_2031"),0)
+IFERROR(INDIRECT("'"&amp;$D$34&amp;"'!aardgasinkoop_2031"),0)
+IFERROR(INDIRECT("'"&amp;$D$35&amp;"'!aardgasinkoop_2031"),0)
+IFERROR(INDIRECT("'"&amp;$D$36&amp;"'!aardgasinkoop_2031"),0)
+IFERROR(INDIRECT("'"&amp;$D$37&amp;"'!aardgasinkoop_2031"),0)
+IFERROR(INDIRECT("'"&amp;$D$38&amp;"'!aardgasinkoop_2031"),0)
+IFERROR(INDIRECT("'"&amp;$D$39&amp;"'!aardgasinkoop_2031"),0)
+IFERROR(INDIRECT("'"&amp;$D$40&amp;"'!aardgasinkoop_2031"),0)
+IFERROR(INDIRECT("'"&amp;$D$41&amp;"'!aardgasinkoop_2031"),0)
+IFERROR(INDIRECT("'"&amp;$D$42&amp;"'!aardgasinkoop_2031"),0)
+IFERROR(INDIRECT("'"&amp;$D$43&amp;"'!aardgasinkoop_2031"),0)
+IFERROR(INDIRECT("'"&amp;$D$44&amp;"'!aardgasinkoop_2031"),0)
+IFERROR(INDIRECT("'"&amp;$D$45&amp;"'!aardgasinkoop_2031"),0)
+IFERROR(INDIRECT("'"&amp;$D$46&amp;"'!aardgasinkoop_2031"),0)
+IFERROR(INDIRECT("'"&amp;$D$47&amp;"'!aardgasinkoop_2031"),0)
+IFERROR(INDIRECT("'"&amp;$D$48&amp;"'!aardgasinkoop_2031"),0)
+IFERROR(INDIRECT("'"&amp;$D$49&amp;"'!aardgasinkoop_2031"),0)
+IFERROR(INDIRECT("'"&amp;$D$50&amp;"'!aardgasinkoop_2031"),0)
+IFERROR(INDIRECT("'"&amp;$D$51&amp;"'!aardgasinkoop_2031"),0)
+IFERROR(INDIRECT("'"&amp;$D$52&amp;"'!aardgasinkoop_2031"),0)
+IFERROR(INDIRECT("'"&amp;$D$53&amp;"'!aardgasinkoop_2031"),0)
+IFERROR(INDIRECT("'"&amp;$D$54&amp;"'!aardgasinkoop_2031"),0)</f>
        <v>25661.688000000002</v>
      </c>
      <c r="V31" s="320">
        <f ca="1">+IFERROR(INDIRECT("'"&amp;$D$5&amp;"'!aardgasinkoop_2032"),0)
+IFERROR(INDIRECT("'"&amp;$D$6&amp;"'!aardgasinkoop_2032"),0)
+IFERROR(INDIRECT("'"&amp;$D$7&amp;"'!aardgasinkoop_2032"),0)
+IFERROR(INDIRECT("'"&amp;$D$8&amp;"'!aardgasinkoop_2032"),0)
+IFERROR(INDIRECT("'"&amp;$D$9&amp;"'!aardgasinkoop_2032"),0)
+IFERROR(INDIRECT("'"&amp;$D$10&amp;"'!aardgasinkoop_2032"),0)
+IFERROR(INDIRECT("'"&amp;$D$11&amp;"'!aardgasinkoop_2032"),0)
+IFERROR(INDIRECT("'"&amp;$D$12&amp;"'!aardgasinkoop_2032"),0)
+IFERROR(INDIRECT("'"&amp;$D$13&amp;"'!aardgasinkoop_2032"),0)
+IFERROR(INDIRECT("'"&amp;$D$14&amp;"'!aardgasinkoop_2032"),0)
+IFERROR(INDIRECT("'"&amp;$D$15&amp;"'!aardgasinkoop_2032"),0)
+IFERROR(INDIRECT("'"&amp;$D$16&amp;"'!aardgasinkoop_2032"),0)
+IFERROR(INDIRECT("'"&amp;$D$17&amp;"'!aardgasinkoop_2032"),0)
+IFERROR(INDIRECT("'"&amp;$D$18&amp;"'!aardgasinkoop_2032"),0)
+IFERROR(INDIRECT("'"&amp;$D$19&amp;"'!aardgasinkoop_2032"),0)
+IFERROR(INDIRECT("'"&amp;$D$20&amp;"'!aardgasinkoop_2032"),0)
+IFERROR(INDIRECT("'"&amp;$D$21&amp;"'!aardgasinkoop_2032"),0)
+IFERROR(INDIRECT("'"&amp;$D$22&amp;"'!aardgasinkoop_2032"),0)
+IFERROR(INDIRECT("'"&amp;$D$23&amp;"'!aardgasinkoop_2032"),0)
+IFERROR(INDIRECT("'"&amp;$D$24&amp;"'!aardgasinkoop_2032"),0)
+IFERROR(INDIRECT("'"&amp;$D$25&amp;"'!aardgasinkoop_2032"),0)
+IFERROR(INDIRECT("'"&amp;$D$26&amp;"'!aardgasinkoop_2032"),0)
+IFERROR(INDIRECT("'"&amp;$D$27&amp;"'!aardgasinkoop_2032"),0)
+IFERROR(INDIRECT("'"&amp;$D$28&amp;"'!aardgasinkoop_2032"),0)
+IFERROR(INDIRECT("'"&amp;$D$29&amp;"'!aardgasinkoop_2032"),0)
+IFERROR(INDIRECT("'"&amp;$D$30&amp;"'!aardgasinkoop_2032"),0)
+IFERROR(INDIRECT("'"&amp;$D$31&amp;"'!aardgasinkoop_2032"),0)
+IFERROR(INDIRECT("'"&amp;$D$32&amp;"'!aardgasinkoop_2032"),0)
+IFERROR(INDIRECT("'"&amp;$D$33&amp;"'!aardgasinkoop_2032"),0)
+IFERROR(INDIRECT("'"&amp;$D$34&amp;"'!aardgasinkoop_2032"),0)
+IFERROR(INDIRECT("'"&amp;$D$35&amp;"'!aardgasinkoop_2032"),0)
+IFERROR(INDIRECT("'"&amp;$D$36&amp;"'!aardgasinkoop_2032"),0)
+IFERROR(INDIRECT("'"&amp;$D$37&amp;"'!aardgasinkoop_2032"),0)
+IFERROR(INDIRECT("'"&amp;$D$38&amp;"'!aardgasinkoop_2032"),0)
+IFERROR(INDIRECT("'"&amp;$D$39&amp;"'!aardgasinkoop_2032"),0)
+IFERROR(INDIRECT("'"&amp;$D$40&amp;"'!aardgasinkoop_2032"),0)
+IFERROR(INDIRECT("'"&amp;$D$41&amp;"'!aardgasinkoop_2032"),0)
+IFERROR(INDIRECT("'"&amp;$D$42&amp;"'!aardgasinkoop_2032"),0)
+IFERROR(INDIRECT("'"&amp;$D$43&amp;"'!aardgasinkoop_2032"),0)
+IFERROR(INDIRECT("'"&amp;$D$44&amp;"'!aardgasinkoop_2032"),0)
+IFERROR(INDIRECT("'"&amp;$D$45&amp;"'!aardgasinkoop_2032"),0)
+IFERROR(INDIRECT("'"&amp;$D$46&amp;"'!aardgasinkoop_2032"),0)
+IFERROR(INDIRECT("'"&amp;$D$47&amp;"'!aardgasinkoop_2032"),0)
+IFERROR(INDIRECT("'"&amp;$D$48&amp;"'!aardgasinkoop_2032"),0)
+IFERROR(INDIRECT("'"&amp;$D$49&amp;"'!aardgasinkoop_2032"),0)
+IFERROR(INDIRECT("'"&amp;$D$50&amp;"'!aardgasinkoop_2032"),0)
+IFERROR(INDIRECT("'"&amp;$D$51&amp;"'!aardgasinkoop_2032"),0)
+IFERROR(INDIRECT("'"&amp;$D$52&amp;"'!aardgasinkoop_2032"),0)
+IFERROR(INDIRECT("'"&amp;$D$53&amp;"'!aardgasinkoop_2032"),0)
+IFERROR(INDIRECT("'"&amp;$D$54&amp;"'!aardgasinkoop_2032"),0)</f>
        <v>15689.388000000006</v>
      </c>
      <c r="W31" s="320">
        <f ca="1">+IFERROR(INDIRECT("'"&amp;$D$5&amp;"'!aardgasinkoop_2033"),0)
+IFERROR(INDIRECT("'"&amp;$D$6&amp;"'!aardgasinkoop_2033"),0)
+IFERROR(INDIRECT("'"&amp;$D$7&amp;"'!aardgasinkoop_2033"),0)
+IFERROR(INDIRECT("'"&amp;$D$8&amp;"'!aardgasinkoop_2033"),0)
+IFERROR(INDIRECT("'"&amp;$D$9&amp;"'!aardgasinkoop_2033"),0)
+IFERROR(INDIRECT("'"&amp;$D$10&amp;"'!aardgasinkoop_2033"),0)
+IFERROR(INDIRECT("'"&amp;$D$11&amp;"'!aardgasinkoop_2033"),0)
+IFERROR(INDIRECT("'"&amp;$D$12&amp;"'!aardgasinkoop_2033"),0)
+IFERROR(INDIRECT("'"&amp;$D$13&amp;"'!aardgasinkoop_2033"),0)
+IFERROR(INDIRECT("'"&amp;$D$14&amp;"'!aardgasinkoop_2033"),0)
+IFERROR(INDIRECT("'"&amp;$D$15&amp;"'!aardgasinkoop_2033"),0)
+IFERROR(INDIRECT("'"&amp;$D$16&amp;"'!aardgasinkoop_2033"),0)
+IFERROR(INDIRECT("'"&amp;$D$17&amp;"'!aardgasinkoop_2033"),0)
+IFERROR(INDIRECT("'"&amp;$D$18&amp;"'!aardgasinkoop_2033"),0)
+IFERROR(INDIRECT("'"&amp;$D$19&amp;"'!aardgasinkoop_2033"),0)
+IFERROR(INDIRECT("'"&amp;$D$20&amp;"'!aardgasinkoop_2033"),0)
+IFERROR(INDIRECT("'"&amp;$D$21&amp;"'!aardgasinkoop_2033"),0)
+IFERROR(INDIRECT("'"&amp;$D$22&amp;"'!aardgasinkoop_2033"),0)
+IFERROR(INDIRECT("'"&amp;$D$23&amp;"'!aardgasinkoop_2033"),0)
+IFERROR(INDIRECT("'"&amp;$D$24&amp;"'!aardgasinkoop_2033"),0)
+IFERROR(INDIRECT("'"&amp;$D$25&amp;"'!aardgasinkoop_2033"),0)
+IFERROR(INDIRECT("'"&amp;$D$26&amp;"'!aardgasinkoop_2033"),0)
+IFERROR(INDIRECT("'"&amp;$D$27&amp;"'!aardgasinkoop_2033"),0)
+IFERROR(INDIRECT("'"&amp;$D$28&amp;"'!aardgasinkoop_2033"),0)
+IFERROR(INDIRECT("'"&amp;$D$29&amp;"'!aardgasinkoop_2033"),0)
+IFERROR(INDIRECT("'"&amp;$D$30&amp;"'!aardgasinkoop_2033"),0)
+IFERROR(INDIRECT("'"&amp;$D$31&amp;"'!aardgasinkoop_2033"),0)
+IFERROR(INDIRECT("'"&amp;$D$32&amp;"'!aardgasinkoop_2033"),0)
+IFERROR(INDIRECT("'"&amp;$D$33&amp;"'!aardgasinkoop_2033"),0)
+IFERROR(INDIRECT("'"&amp;$D$34&amp;"'!aardgasinkoop_2033"),0)
+IFERROR(INDIRECT("'"&amp;$D$35&amp;"'!aardgasinkoop_2033"),0)
+IFERROR(INDIRECT("'"&amp;$D$36&amp;"'!aardgasinkoop_2033"),0)
+IFERROR(INDIRECT("'"&amp;$D$37&amp;"'!aardgasinkoop_2033"),0)
+IFERROR(INDIRECT("'"&amp;$D$38&amp;"'!aardgasinkoop_2033"),0)
+IFERROR(INDIRECT("'"&amp;$D$39&amp;"'!aardgasinkoop_2033"),0)
+IFERROR(INDIRECT("'"&amp;$D$40&amp;"'!aardgasinkoop_2033"),0)
+IFERROR(INDIRECT("'"&amp;$D$41&amp;"'!aardgasinkoop_2033"),0)
+IFERROR(INDIRECT("'"&amp;$D$42&amp;"'!aardgasinkoop_2033"),0)
+IFERROR(INDIRECT("'"&amp;$D$43&amp;"'!aardgasinkoop_2033"),0)
+IFERROR(INDIRECT("'"&amp;$D$44&amp;"'!aardgasinkoop_2033"),0)
+IFERROR(INDIRECT("'"&amp;$D$45&amp;"'!aardgasinkoop_2033"),0)
+IFERROR(INDIRECT("'"&amp;$D$46&amp;"'!aardgasinkoop_2033"),0)
+IFERROR(INDIRECT("'"&amp;$D$47&amp;"'!aardgasinkoop_2033"),0)
+IFERROR(INDIRECT("'"&amp;$D$48&amp;"'!aardgasinkoop_2033"),0)
+IFERROR(INDIRECT("'"&amp;$D$49&amp;"'!aardgasinkoop_2033"),0)
+IFERROR(INDIRECT("'"&amp;$D$50&amp;"'!aardgasinkoop_2033"),0)
+IFERROR(INDIRECT("'"&amp;$D$51&amp;"'!aardgasinkoop_2033"),0)
+IFERROR(INDIRECT("'"&amp;$D$52&amp;"'!aardgasinkoop_2033"),0)
+IFERROR(INDIRECT("'"&amp;$D$53&amp;"'!aardgasinkoop_2033"),0)
+IFERROR(INDIRECT("'"&amp;$D$54&amp;"'!aardgasinkoop_2033"),0)</f>
        <v>15689.388000000006</v>
      </c>
      <c r="X31" s="320">
        <f ca="1">+IFERROR(INDIRECT("'"&amp;$D$5&amp;"'!aardgasinkoop_2034"),0)
+IFERROR(INDIRECT("'"&amp;$D$6&amp;"'!aardgasinkoop_2034"),0)
+IFERROR(INDIRECT("'"&amp;$D$7&amp;"'!aardgasinkoop_2034"),0)
+IFERROR(INDIRECT("'"&amp;$D$8&amp;"'!aardgasinkoop_2034"),0)
+IFERROR(INDIRECT("'"&amp;$D$9&amp;"'!aardgasinkoop_2034"),0)
+IFERROR(INDIRECT("'"&amp;$D$10&amp;"'!aardgasinkoop_2034"),0)
+IFERROR(INDIRECT("'"&amp;$D$11&amp;"'!aardgasinkoop_2034"),0)
+IFERROR(INDIRECT("'"&amp;$D$12&amp;"'!aardgasinkoop_2034"),0)
+IFERROR(INDIRECT("'"&amp;$D$13&amp;"'!aardgasinkoop_2034"),0)
+IFERROR(INDIRECT("'"&amp;$D$14&amp;"'!aardgasinkoop_2034"),0)
+IFERROR(INDIRECT("'"&amp;$D$15&amp;"'!aardgasinkoop_2034"),0)
+IFERROR(INDIRECT("'"&amp;$D$16&amp;"'!aardgasinkoop_2034"),0)
+IFERROR(INDIRECT("'"&amp;$D$17&amp;"'!aardgasinkoop_2034"),0)
+IFERROR(INDIRECT("'"&amp;$D$18&amp;"'!aardgasinkoop_2034"),0)
+IFERROR(INDIRECT("'"&amp;$D$19&amp;"'!aardgasinkoop_2034"),0)
+IFERROR(INDIRECT("'"&amp;$D$20&amp;"'!aardgasinkoop_2034"),0)
+IFERROR(INDIRECT("'"&amp;$D$21&amp;"'!aardgasinkoop_2034"),0)
+IFERROR(INDIRECT("'"&amp;$D$22&amp;"'!aardgasinkoop_2034"),0)
+IFERROR(INDIRECT("'"&amp;$D$23&amp;"'!aardgasinkoop_2034"),0)
+IFERROR(INDIRECT("'"&amp;$D$24&amp;"'!aardgasinkoop_2034"),0)
+IFERROR(INDIRECT("'"&amp;$D$25&amp;"'!aardgasinkoop_2034"),0)
+IFERROR(INDIRECT("'"&amp;$D$26&amp;"'!aardgasinkoop_2034"),0)
+IFERROR(INDIRECT("'"&amp;$D$27&amp;"'!aardgasinkoop_2034"),0)
+IFERROR(INDIRECT("'"&amp;$D$28&amp;"'!aardgasinkoop_2034"),0)
+IFERROR(INDIRECT("'"&amp;$D$29&amp;"'!aardgasinkoop_2034"),0)
+IFERROR(INDIRECT("'"&amp;$D$30&amp;"'!aardgasinkoop_2034"),0)
+IFERROR(INDIRECT("'"&amp;$D$31&amp;"'!aardgasinkoop_2034"),0)
+IFERROR(INDIRECT("'"&amp;$D$32&amp;"'!aardgasinkoop_2034"),0)
+IFERROR(INDIRECT("'"&amp;$D$33&amp;"'!aardgasinkoop_2034"),0)
+IFERROR(INDIRECT("'"&amp;$D$34&amp;"'!aardgasinkoop_2034"),0)
+IFERROR(INDIRECT("'"&amp;$D$35&amp;"'!aardgasinkoop_2034"),0)
+IFERROR(INDIRECT("'"&amp;$D$36&amp;"'!aardgasinkoop_2034"),0)
+IFERROR(INDIRECT("'"&amp;$D$37&amp;"'!aardgasinkoop_2034"),0)
+IFERROR(INDIRECT("'"&amp;$D$38&amp;"'!aardgasinkoop_2034"),0)
+IFERROR(INDIRECT("'"&amp;$D$39&amp;"'!aardgasinkoop_2034"),0)
+IFERROR(INDIRECT("'"&amp;$D$40&amp;"'!aardgasinkoop_2034"),0)
+IFERROR(INDIRECT("'"&amp;$D$41&amp;"'!aardgasinkoop_2034"),0)
+IFERROR(INDIRECT("'"&amp;$D$42&amp;"'!aardgasinkoop_2034"),0)
+IFERROR(INDIRECT("'"&amp;$D$43&amp;"'!aardgasinkoop_2034"),0)
+IFERROR(INDIRECT("'"&amp;$D$44&amp;"'!aardgasinkoop_2034"),0)
+IFERROR(INDIRECT("'"&amp;$D$45&amp;"'!aardgasinkoop_2034"),0)
+IFERROR(INDIRECT("'"&amp;$D$46&amp;"'!aardgasinkoop_2034"),0)
+IFERROR(INDIRECT("'"&amp;$D$47&amp;"'!aardgasinkoop_2034"),0)
+IFERROR(INDIRECT("'"&amp;$D$48&amp;"'!aardgasinkoop_2034"),0)
+IFERROR(INDIRECT("'"&amp;$D$49&amp;"'!aardgasinkoop_2034"),0)
+IFERROR(INDIRECT("'"&amp;$D$50&amp;"'!aardgasinkoop_2034"),0)
+IFERROR(INDIRECT("'"&amp;$D$51&amp;"'!aardgasinkoop_2034"),0)
+IFERROR(INDIRECT("'"&amp;$D$52&amp;"'!aardgasinkoop_2034"),0)
+IFERROR(INDIRECT("'"&amp;$D$53&amp;"'!aardgasinkoop_2034"),0)
+IFERROR(INDIRECT("'"&amp;$D$54&amp;"'!aardgasinkoop_2034"),0)</f>
        <v>15689.388000000006</v>
      </c>
      <c r="Y31" s="320">
        <f ca="1">+IFERROR(INDIRECT("'"&amp;$D$5&amp;"'!aardgasinkoop_2035"),0)
+IFERROR(INDIRECT("'"&amp;$D$6&amp;"'!aardgasinkoop_2035"),0)
+IFERROR(INDIRECT("'"&amp;$D$7&amp;"'!aardgasinkoop_2035"),0)
+IFERROR(INDIRECT("'"&amp;$D$8&amp;"'!aardgasinkoop_2035"),0)
+IFERROR(INDIRECT("'"&amp;$D$9&amp;"'!aardgasinkoop_2035"),0)
+IFERROR(INDIRECT("'"&amp;$D$10&amp;"'!aardgasinkoop_2035"),0)
+IFERROR(INDIRECT("'"&amp;$D$11&amp;"'!aardgasinkoop_2035"),0)
+IFERROR(INDIRECT("'"&amp;$D$12&amp;"'!aardgasinkoop_2035"),0)
+IFERROR(INDIRECT("'"&amp;$D$13&amp;"'!aardgasinkoop_2035"),0)
+IFERROR(INDIRECT("'"&amp;$D$14&amp;"'!aardgasinkoop_2035"),0)
+IFERROR(INDIRECT("'"&amp;$D$15&amp;"'!aardgasinkoop_2035"),0)
+IFERROR(INDIRECT("'"&amp;$D$16&amp;"'!aardgasinkoop_2035"),0)
+IFERROR(INDIRECT("'"&amp;$D$17&amp;"'!aardgasinkoop_2035"),0)
+IFERROR(INDIRECT("'"&amp;$D$18&amp;"'!aardgasinkoop_2035"),0)
+IFERROR(INDIRECT("'"&amp;$D$19&amp;"'!aardgasinkoop_2035"),0)
+IFERROR(INDIRECT("'"&amp;$D$20&amp;"'!aardgasinkoop_2035"),0)
+IFERROR(INDIRECT("'"&amp;$D$21&amp;"'!aardgasinkoop_2035"),0)
+IFERROR(INDIRECT("'"&amp;$D$22&amp;"'!aardgasinkoop_2035"),0)
+IFERROR(INDIRECT("'"&amp;$D$23&amp;"'!aardgasinkoop_2035"),0)
+IFERROR(INDIRECT("'"&amp;$D$24&amp;"'!aardgasinkoop_2035"),0)
+IFERROR(INDIRECT("'"&amp;$D$25&amp;"'!aardgasinkoop_2035"),0)
+IFERROR(INDIRECT("'"&amp;$D$26&amp;"'!aardgasinkoop_2035"),0)
+IFERROR(INDIRECT("'"&amp;$D$27&amp;"'!aardgasinkoop_2035"),0)
+IFERROR(INDIRECT("'"&amp;$D$28&amp;"'!aardgasinkoop_2035"),0)
+IFERROR(INDIRECT("'"&amp;$D$29&amp;"'!aardgasinkoop_2035"),0)
+IFERROR(INDIRECT("'"&amp;$D$30&amp;"'!aardgasinkoop_2035"),0)
+IFERROR(INDIRECT("'"&amp;$D$31&amp;"'!aardgasinkoop_2035"),0)
+IFERROR(INDIRECT("'"&amp;$D$32&amp;"'!aardgasinkoop_2035"),0)
+IFERROR(INDIRECT("'"&amp;$D$33&amp;"'!aardgasinkoop_2035"),0)
+IFERROR(INDIRECT("'"&amp;$D$34&amp;"'!aardgasinkoop_2035"),0)
+IFERROR(INDIRECT("'"&amp;$D$35&amp;"'!aardgasinkoop_2035"),0)
+IFERROR(INDIRECT("'"&amp;$D$36&amp;"'!aardgasinkoop_2035"),0)
+IFERROR(INDIRECT("'"&amp;$D$37&amp;"'!aardgasinkoop_2035"),0)
+IFERROR(INDIRECT("'"&amp;$D$38&amp;"'!aardgasinkoop_2035"),0)
+IFERROR(INDIRECT("'"&amp;$D$39&amp;"'!aardgasinkoop_2035"),0)
+IFERROR(INDIRECT("'"&amp;$D$40&amp;"'!aardgasinkoop_2035"),0)
+IFERROR(INDIRECT("'"&amp;$D$41&amp;"'!aardgasinkoop_2035"),0)
+IFERROR(INDIRECT("'"&amp;$D$42&amp;"'!aardgasinkoop_2035"),0)
+IFERROR(INDIRECT("'"&amp;$D$43&amp;"'!aardgasinkoop_2035"),0)
+IFERROR(INDIRECT("'"&amp;$D$44&amp;"'!aardgasinkoop_2035"),0)
+IFERROR(INDIRECT("'"&amp;$D$45&amp;"'!aardgasinkoop_2035"),0)
+IFERROR(INDIRECT("'"&amp;$D$46&amp;"'!aardgasinkoop_2035"),0)
+IFERROR(INDIRECT("'"&amp;$D$47&amp;"'!aardgasinkoop_2035"),0)
+IFERROR(INDIRECT("'"&amp;$D$48&amp;"'!aardgasinkoop_2035"),0)
+IFERROR(INDIRECT("'"&amp;$D$49&amp;"'!aardgasinkoop_2035"),0)
+IFERROR(INDIRECT("'"&amp;$D$50&amp;"'!aardgasinkoop_2035"),0)
+IFERROR(INDIRECT("'"&amp;$D$51&amp;"'!aardgasinkoop_2035"),0)
+IFERROR(INDIRECT("'"&amp;$D$52&amp;"'!aardgasinkoop_2035"),0)
+IFERROR(INDIRECT("'"&amp;$D$53&amp;"'!aardgasinkoop_2035"),0)
+IFERROR(INDIRECT("'"&amp;$D$54&amp;"'!aardgasinkoop_2035"),0)</f>
        <v>15689.388000000006</v>
      </c>
      <c r="Z31" s="320">
        <f ca="1">+IFERROR(INDIRECT("'"&amp;$D$5&amp;"'!aardgasinkoop_2036"),0)
+IFERROR(INDIRECT("'"&amp;$D$6&amp;"'!aardgasinkoop_2036"),0)
+IFERROR(INDIRECT("'"&amp;$D$7&amp;"'!aardgasinkoop_2036"),0)
+IFERROR(INDIRECT("'"&amp;$D$8&amp;"'!aardgasinkoop_2036"),0)
+IFERROR(INDIRECT("'"&amp;$D$9&amp;"'!aardgasinkoop_2036"),0)
+IFERROR(INDIRECT("'"&amp;$D$10&amp;"'!aardgasinkoop_2036"),0)
+IFERROR(INDIRECT("'"&amp;$D$11&amp;"'!aardgasinkoop_2036"),0)
+IFERROR(INDIRECT("'"&amp;$D$12&amp;"'!aardgasinkoop_2036"),0)
+IFERROR(INDIRECT("'"&amp;$D$13&amp;"'!aardgasinkoop_2036"),0)
+IFERROR(INDIRECT("'"&amp;$D$14&amp;"'!aardgasinkoop_2036"),0)
+IFERROR(INDIRECT("'"&amp;$D$15&amp;"'!aardgasinkoop_2036"),0)
+IFERROR(INDIRECT("'"&amp;$D$16&amp;"'!aardgasinkoop_2036"),0)
+IFERROR(INDIRECT("'"&amp;$D$17&amp;"'!aardgasinkoop_2036"),0)
+IFERROR(INDIRECT("'"&amp;$D$18&amp;"'!aardgasinkoop_2036"),0)
+IFERROR(INDIRECT("'"&amp;$D$19&amp;"'!aardgasinkoop_2036"),0)
+IFERROR(INDIRECT("'"&amp;$D$20&amp;"'!aardgasinkoop_2036"),0)
+IFERROR(INDIRECT("'"&amp;$D$21&amp;"'!aardgasinkoop_2036"),0)
+IFERROR(INDIRECT("'"&amp;$D$22&amp;"'!aardgasinkoop_2036"),0)
+IFERROR(INDIRECT("'"&amp;$D$23&amp;"'!aardgasinkoop_2036"),0)
+IFERROR(INDIRECT("'"&amp;$D$24&amp;"'!aardgasinkoop_2036"),0)
+IFERROR(INDIRECT("'"&amp;$D$25&amp;"'!aardgasinkoop_2036"),0)
+IFERROR(INDIRECT("'"&amp;$D$26&amp;"'!aardgasinkoop_2036"),0)
+IFERROR(INDIRECT("'"&amp;$D$27&amp;"'!aardgasinkoop_2036"),0)
+IFERROR(INDIRECT("'"&amp;$D$28&amp;"'!aardgasinkoop_2036"),0)
+IFERROR(INDIRECT("'"&amp;$D$29&amp;"'!aardgasinkoop_2036"),0)
+IFERROR(INDIRECT("'"&amp;$D$30&amp;"'!aardgasinkoop_2036"),0)
+IFERROR(INDIRECT("'"&amp;$D$31&amp;"'!aardgasinkoop_2036"),0)
+IFERROR(INDIRECT("'"&amp;$D$32&amp;"'!aardgasinkoop_2036"),0)
+IFERROR(INDIRECT("'"&amp;$D$33&amp;"'!aardgasinkoop_2036"),0)
+IFERROR(INDIRECT("'"&amp;$D$34&amp;"'!aardgasinkoop_2036"),0)
+IFERROR(INDIRECT("'"&amp;$D$35&amp;"'!aardgasinkoop_2036"),0)
+IFERROR(INDIRECT("'"&amp;$D$36&amp;"'!aardgasinkoop_2036"),0)
+IFERROR(INDIRECT("'"&amp;$D$37&amp;"'!aardgasinkoop_2036"),0)
+IFERROR(INDIRECT("'"&amp;$D$38&amp;"'!aardgasinkoop_2036"),0)
+IFERROR(INDIRECT("'"&amp;$D$39&amp;"'!aardgasinkoop_2036"),0)
+IFERROR(INDIRECT("'"&amp;$D$40&amp;"'!aardgasinkoop_2036"),0)
+IFERROR(INDIRECT("'"&amp;$D$41&amp;"'!aardgasinkoop_2036"),0)
+IFERROR(INDIRECT("'"&amp;$D$42&amp;"'!aardgasinkoop_2036"),0)
+IFERROR(INDIRECT("'"&amp;$D$43&amp;"'!aardgasinkoop_2036"),0)
+IFERROR(INDIRECT("'"&amp;$D$44&amp;"'!aardgasinkoop_2036"),0)
+IFERROR(INDIRECT("'"&amp;$D$45&amp;"'!aardgasinkoop_2036"),0)
+IFERROR(INDIRECT("'"&amp;$D$46&amp;"'!aardgasinkoop_2036"),0)
+IFERROR(INDIRECT("'"&amp;$D$47&amp;"'!aardgasinkoop_2036"),0)
+IFERROR(INDIRECT("'"&amp;$D$48&amp;"'!aardgasinkoop_2036"),0)
+IFERROR(INDIRECT("'"&amp;$D$49&amp;"'!aardgasinkoop_2036"),0)
+IFERROR(INDIRECT("'"&amp;$D$50&amp;"'!aardgasinkoop_2036"),0)
+IFERROR(INDIRECT("'"&amp;$D$51&amp;"'!aardgasinkoop_2036"),0)
+IFERROR(INDIRECT("'"&amp;$D$52&amp;"'!aardgasinkoop_2036"),0)
+IFERROR(INDIRECT("'"&amp;$D$53&amp;"'!aardgasinkoop_2036"),0)
+IFERROR(INDIRECT("'"&amp;$D$54&amp;"'!aardgasinkoop_2036"),0)</f>
        <v>4900.6560000000063</v>
      </c>
      <c r="AA31" s="320">
        <f ca="1">+IFERROR(INDIRECT("'"&amp;$D$5&amp;"'!aardgasinkoop_2037"),0)
+IFERROR(INDIRECT("'"&amp;$D$6&amp;"'!aardgasinkoop_2037"),0)
+IFERROR(INDIRECT("'"&amp;$D$7&amp;"'!aardgasinkoop_2037"),0)
+IFERROR(INDIRECT("'"&amp;$D$8&amp;"'!aardgasinkoop_2037"),0)
+IFERROR(INDIRECT("'"&amp;$D$9&amp;"'!aardgasinkoop_2037"),0)
+IFERROR(INDIRECT("'"&amp;$D$10&amp;"'!aardgasinkoop_2037"),0)
+IFERROR(INDIRECT("'"&amp;$D$11&amp;"'!aardgasinkoop_2037"),0)
+IFERROR(INDIRECT("'"&amp;$D$12&amp;"'!aardgasinkoop_2037"),0)
+IFERROR(INDIRECT("'"&amp;$D$13&amp;"'!aardgasinkoop_2037"),0)
+IFERROR(INDIRECT("'"&amp;$D$14&amp;"'!aardgasinkoop_2037"),0)
+IFERROR(INDIRECT("'"&amp;$D$15&amp;"'!aardgasinkoop_2037"),0)
+IFERROR(INDIRECT("'"&amp;$D$16&amp;"'!aardgasinkoop_2037"),0)
+IFERROR(INDIRECT("'"&amp;$D$17&amp;"'!aardgasinkoop_2037"),0)
+IFERROR(INDIRECT("'"&amp;$D$18&amp;"'!aardgasinkoop_2037"),0)
+IFERROR(INDIRECT("'"&amp;$D$19&amp;"'!aardgasinkoop_2037"),0)
+IFERROR(INDIRECT("'"&amp;$D$20&amp;"'!aardgasinkoop_2037"),0)
+IFERROR(INDIRECT("'"&amp;$D$21&amp;"'!aardgasinkoop_2037"),0)
+IFERROR(INDIRECT("'"&amp;$D$22&amp;"'!aardgasinkoop_2037"),0)
+IFERROR(INDIRECT("'"&amp;$D$23&amp;"'!aardgasinkoop_2037"),0)
+IFERROR(INDIRECT("'"&amp;$D$24&amp;"'!aardgasinkoop_2037"),0)
+IFERROR(INDIRECT("'"&amp;$D$25&amp;"'!aardgasinkoop_2037"),0)
+IFERROR(INDIRECT("'"&amp;$D$26&amp;"'!aardgasinkoop_2037"),0)
+IFERROR(INDIRECT("'"&amp;$D$27&amp;"'!aardgasinkoop_2037"),0)
+IFERROR(INDIRECT("'"&amp;$D$28&amp;"'!aardgasinkoop_2037"),0)
+IFERROR(INDIRECT("'"&amp;$D$29&amp;"'!aardgasinkoop_2037"),0)
+IFERROR(INDIRECT("'"&amp;$D$30&amp;"'!aardgasinkoop_2037"),0)
+IFERROR(INDIRECT("'"&amp;$D$31&amp;"'!aardgasinkoop_2037"),0)
+IFERROR(INDIRECT("'"&amp;$D$32&amp;"'!aardgasinkoop_2037"),0)
+IFERROR(INDIRECT("'"&amp;$D$33&amp;"'!aardgasinkoop_2037"),0)
+IFERROR(INDIRECT("'"&amp;$D$34&amp;"'!aardgasinkoop_2037"),0)
+IFERROR(INDIRECT("'"&amp;$D$35&amp;"'!aardgasinkoop_2037"),0)
+IFERROR(INDIRECT("'"&amp;$D$36&amp;"'!aardgasinkoop_2037"),0)
+IFERROR(INDIRECT("'"&amp;$D$37&amp;"'!aardgasinkoop_2037"),0)
+IFERROR(INDIRECT("'"&amp;$D$38&amp;"'!aardgasinkoop_2037"),0)
+IFERROR(INDIRECT("'"&amp;$D$39&amp;"'!aardgasinkoop_2037"),0)
+IFERROR(INDIRECT("'"&amp;$D$40&amp;"'!aardgasinkoop_2037"),0)
+IFERROR(INDIRECT("'"&amp;$D$41&amp;"'!aardgasinkoop_2037"),0)
+IFERROR(INDIRECT("'"&amp;$D$42&amp;"'!aardgasinkoop_2037"),0)
+IFERROR(INDIRECT("'"&amp;$D$43&amp;"'!aardgasinkoop_2037"),0)
+IFERROR(INDIRECT("'"&amp;$D$44&amp;"'!aardgasinkoop_2037"),0)
+IFERROR(INDIRECT("'"&amp;$D$45&amp;"'!aardgasinkoop_2037"),0)
+IFERROR(INDIRECT("'"&amp;$D$46&amp;"'!aardgasinkoop_2037"),0)
+IFERROR(INDIRECT("'"&amp;$D$47&amp;"'!aardgasinkoop_2037"),0)
+IFERROR(INDIRECT("'"&amp;$D$48&amp;"'!aardgasinkoop_2037"),0)
+IFERROR(INDIRECT("'"&amp;$D$49&amp;"'!aardgasinkoop_2037"),0)
+IFERROR(INDIRECT("'"&amp;$D$50&amp;"'!aardgasinkoop_2037"),0)
+IFERROR(INDIRECT("'"&amp;$D$51&amp;"'!aardgasinkoop_2037"),0)
+IFERROR(INDIRECT("'"&amp;$D$52&amp;"'!aardgasinkoop_2037"),0)
+IFERROR(INDIRECT("'"&amp;$D$53&amp;"'!aardgasinkoop_2037"),0)
+IFERROR(INDIRECT("'"&amp;$D$54&amp;"'!aardgasinkoop_2037"),0)</f>
        <v>4900.6560000000063</v>
      </c>
      <c r="AB31" s="320">
        <f ca="1">+IFERROR(INDIRECT("'"&amp;$D$5&amp;"'!aardgasinkoop_2038"),0)
+IFERROR(INDIRECT("'"&amp;$D$6&amp;"'!aardgasinkoop_2038"),0)
+IFERROR(INDIRECT("'"&amp;$D$7&amp;"'!aardgasinkoop_2038"),0)
+IFERROR(INDIRECT("'"&amp;$D$8&amp;"'!aardgasinkoop_2038"),0)
+IFERROR(INDIRECT("'"&amp;$D$9&amp;"'!aardgasinkoop_2038"),0)
+IFERROR(INDIRECT("'"&amp;$D$10&amp;"'!aardgasinkoop_2038"),0)
+IFERROR(INDIRECT("'"&amp;$D$11&amp;"'!aardgasinkoop_2038"),0)
+IFERROR(INDIRECT("'"&amp;$D$12&amp;"'!aardgasinkoop_2038"),0)
+IFERROR(INDIRECT("'"&amp;$D$13&amp;"'!aardgasinkoop_2038"),0)
+IFERROR(INDIRECT("'"&amp;$D$14&amp;"'!aardgasinkoop_2038"),0)
+IFERROR(INDIRECT("'"&amp;$D$15&amp;"'!aardgasinkoop_2038"),0)
+IFERROR(INDIRECT("'"&amp;$D$16&amp;"'!aardgasinkoop_2038"),0)
+IFERROR(INDIRECT("'"&amp;$D$17&amp;"'!aardgasinkoop_2038"),0)
+IFERROR(INDIRECT("'"&amp;$D$18&amp;"'!aardgasinkoop_2038"),0)
+IFERROR(INDIRECT("'"&amp;$D$19&amp;"'!aardgasinkoop_2038"),0)
+IFERROR(INDIRECT("'"&amp;$D$20&amp;"'!aardgasinkoop_2038"),0)
+IFERROR(INDIRECT("'"&amp;$D$21&amp;"'!aardgasinkoop_2038"),0)
+IFERROR(INDIRECT("'"&amp;$D$22&amp;"'!aardgasinkoop_2038"),0)
+IFERROR(INDIRECT("'"&amp;$D$23&amp;"'!aardgasinkoop_2038"),0)
+IFERROR(INDIRECT("'"&amp;$D$24&amp;"'!aardgasinkoop_2038"),0)
+IFERROR(INDIRECT("'"&amp;$D$25&amp;"'!aardgasinkoop_2038"),0)
+IFERROR(INDIRECT("'"&amp;$D$26&amp;"'!aardgasinkoop_2038"),0)
+IFERROR(INDIRECT("'"&amp;$D$27&amp;"'!aardgasinkoop_2038"),0)
+IFERROR(INDIRECT("'"&amp;$D$28&amp;"'!aardgasinkoop_2038"),0)
+IFERROR(INDIRECT("'"&amp;$D$29&amp;"'!aardgasinkoop_2038"),0)
+IFERROR(INDIRECT("'"&amp;$D$30&amp;"'!aardgasinkoop_2038"),0)
+IFERROR(INDIRECT("'"&amp;$D$31&amp;"'!aardgasinkoop_2038"),0)
+IFERROR(INDIRECT("'"&amp;$D$32&amp;"'!aardgasinkoop_2038"),0)
+IFERROR(INDIRECT("'"&amp;$D$33&amp;"'!aardgasinkoop_2038"),0)
+IFERROR(INDIRECT("'"&amp;$D$34&amp;"'!aardgasinkoop_2038"),0)
+IFERROR(INDIRECT("'"&amp;$D$35&amp;"'!aardgasinkoop_2038"),0)
+IFERROR(INDIRECT("'"&amp;$D$36&amp;"'!aardgasinkoop_2038"),0)
+IFERROR(INDIRECT("'"&amp;$D$37&amp;"'!aardgasinkoop_2038"),0)
+IFERROR(INDIRECT("'"&amp;$D$38&amp;"'!aardgasinkoop_2038"),0)
+IFERROR(INDIRECT("'"&amp;$D$39&amp;"'!aardgasinkoop_2038"),0)
+IFERROR(INDIRECT("'"&amp;$D$40&amp;"'!aardgasinkoop_2038"),0)
+IFERROR(INDIRECT("'"&amp;$D$41&amp;"'!aardgasinkoop_2038"),0)
+IFERROR(INDIRECT("'"&amp;$D$42&amp;"'!aardgasinkoop_2038"),0)
+IFERROR(INDIRECT("'"&amp;$D$43&amp;"'!aardgasinkoop_2038"),0)
+IFERROR(INDIRECT("'"&amp;$D$44&amp;"'!aardgasinkoop_2038"),0)
+IFERROR(INDIRECT("'"&amp;$D$45&amp;"'!aardgasinkoop_2038"),0)
+IFERROR(INDIRECT("'"&amp;$D$46&amp;"'!aardgasinkoop_2038"),0)
+IFERROR(INDIRECT("'"&amp;$D$47&amp;"'!aardgasinkoop_2038"),0)
+IFERROR(INDIRECT("'"&amp;$D$48&amp;"'!aardgasinkoop_2038"),0)
+IFERROR(INDIRECT("'"&amp;$D$49&amp;"'!aardgasinkoop_2038"),0)
+IFERROR(INDIRECT("'"&amp;$D$50&amp;"'!aardgasinkoop_2038"),0)
+IFERROR(INDIRECT("'"&amp;$D$51&amp;"'!aardgasinkoop_2038"),0)
+IFERROR(INDIRECT("'"&amp;$D$52&amp;"'!aardgasinkoop_2038"),0)
+IFERROR(INDIRECT("'"&amp;$D$53&amp;"'!aardgasinkoop_2038"),0)
+IFERROR(INDIRECT("'"&amp;$D$54&amp;"'!aardgasinkoop_2038"),0)</f>
        <v>4900.6560000000063</v>
      </c>
      <c r="AC31" s="320">
        <f ca="1">+IFERROR(INDIRECT("'"&amp;$D$5&amp;"'!aardgasinkoop_2039"),0)
+IFERROR(INDIRECT("'"&amp;$D$6&amp;"'!aardgasinkoop_2039"),0)
+IFERROR(INDIRECT("'"&amp;$D$7&amp;"'!aardgasinkoop_2039"),0)
+IFERROR(INDIRECT("'"&amp;$D$8&amp;"'!aardgasinkoop_2039"),0)
+IFERROR(INDIRECT("'"&amp;$D$9&amp;"'!aardgasinkoop_2039"),0)
+IFERROR(INDIRECT("'"&amp;$D$10&amp;"'!aardgasinkoop_2039"),0)
+IFERROR(INDIRECT("'"&amp;$D$11&amp;"'!aardgasinkoop_2039"),0)
+IFERROR(INDIRECT("'"&amp;$D$12&amp;"'!aardgasinkoop_2039"),0)
+IFERROR(INDIRECT("'"&amp;$D$13&amp;"'!aardgasinkoop_2039"),0)
+IFERROR(INDIRECT("'"&amp;$D$14&amp;"'!aardgasinkoop_2039"),0)
+IFERROR(INDIRECT("'"&amp;$D$15&amp;"'!aardgasinkoop_2039"),0)
+IFERROR(INDIRECT("'"&amp;$D$16&amp;"'!aardgasinkoop_2039"),0)
+IFERROR(INDIRECT("'"&amp;$D$17&amp;"'!aardgasinkoop_2039"),0)
+IFERROR(INDIRECT("'"&amp;$D$18&amp;"'!aardgasinkoop_2039"),0)
+IFERROR(INDIRECT("'"&amp;$D$19&amp;"'!aardgasinkoop_2039"),0)
+IFERROR(INDIRECT("'"&amp;$D$20&amp;"'!aardgasinkoop_2039"),0)
+IFERROR(INDIRECT("'"&amp;$D$21&amp;"'!aardgasinkoop_2039"),0)
+IFERROR(INDIRECT("'"&amp;$D$22&amp;"'!aardgasinkoop_2039"),0)
+IFERROR(INDIRECT("'"&amp;$D$23&amp;"'!aardgasinkoop_2039"),0)
+IFERROR(INDIRECT("'"&amp;$D$24&amp;"'!aardgasinkoop_2039"),0)
+IFERROR(INDIRECT("'"&amp;$D$25&amp;"'!aardgasinkoop_2039"),0)
+IFERROR(INDIRECT("'"&amp;$D$26&amp;"'!aardgasinkoop_2039"),0)
+IFERROR(INDIRECT("'"&amp;$D$27&amp;"'!aardgasinkoop_2039"),0)
+IFERROR(INDIRECT("'"&amp;$D$28&amp;"'!aardgasinkoop_2039"),0)
+IFERROR(INDIRECT("'"&amp;$D$29&amp;"'!aardgasinkoop_2039"),0)
+IFERROR(INDIRECT("'"&amp;$D$30&amp;"'!aardgasinkoop_2039"),0)
+IFERROR(INDIRECT("'"&amp;$D$31&amp;"'!aardgasinkoop_2039"),0)
+IFERROR(INDIRECT("'"&amp;$D$32&amp;"'!aardgasinkoop_2039"),0)
+IFERROR(INDIRECT("'"&amp;$D$33&amp;"'!aardgasinkoop_2039"),0)
+IFERROR(INDIRECT("'"&amp;$D$34&amp;"'!aardgasinkoop_2039"),0)
+IFERROR(INDIRECT("'"&amp;$D$35&amp;"'!aardgasinkoop_2039"),0)
+IFERROR(INDIRECT("'"&amp;$D$36&amp;"'!aardgasinkoop_2039"),0)
+IFERROR(INDIRECT("'"&amp;$D$37&amp;"'!aardgasinkoop_2039"),0)
+IFERROR(INDIRECT("'"&amp;$D$38&amp;"'!aardgasinkoop_2039"),0)
+IFERROR(INDIRECT("'"&amp;$D$39&amp;"'!aardgasinkoop_2039"),0)
+IFERROR(INDIRECT("'"&amp;$D$40&amp;"'!aardgasinkoop_2039"),0)
+IFERROR(INDIRECT("'"&amp;$D$41&amp;"'!aardgasinkoop_2039"),0)
+IFERROR(INDIRECT("'"&amp;$D$42&amp;"'!aardgasinkoop_2039"),0)
+IFERROR(INDIRECT("'"&amp;$D$43&amp;"'!aardgasinkoop_2039"),0)
+IFERROR(INDIRECT("'"&amp;$D$44&amp;"'!aardgasinkoop_2039"),0)
+IFERROR(INDIRECT("'"&amp;$D$45&amp;"'!aardgasinkoop_2039"),0)
+IFERROR(INDIRECT("'"&amp;$D$46&amp;"'!aardgasinkoop_2039"),0)
+IFERROR(INDIRECT("'"&amp;$D$47&amp;"'!aardgasinkoop_2039"),0)
+IFERROR(INDIRECT("'"&amp;$D$48&amp;"'!aardgasinkoop_2039"),0)
+IFERROR(INDIRECT("'"&amp;$D$49&amp;"'!aardgasinkoop_2039"),0)
+IFERROR(INDIRECT("'"&amp;$D$50&amp;"'!aardgasinkoop_2039"),0)
+IFERROR(INDIRECT("'"&amp;$D$51&amp;"'!aardgasinkoop_2039"),0)
+IFERROR(INDIRECT("'"&amp;$D$52&amp;"'!aardgasinkoop_2039"),0)
+IFERROR(INDIRECT("'"&amp;$D$53&amp;"'!aardgasinkoop_2039"),0)
+IFERROR(INDIRECT("'"&amp;$D$54&amp;"'!aardgasinkoop_2039"),0)</f>
        <v>4900.6560000000063</v>
      </c>
      <c r="AD31" s="320">
        <f ca="1">+IFERROR(INDIRECT("'"&amp;$D$5&amp;"'!aardgasinkoop_2040"),0)
+IFERROR(INDIRECT("'"&amp;$D$6&amp;"'!aardgasinkoop_2040"),0)
+IFERROR(INDIRECT("'"&amp;$D$7&amp;"'!aardgasinkoop_2040"),0)
+IFERROR(INDIRECT("'"&amp;$D$8&amp;"'!aardgasinkoop_2040"),0)
+IFERROR(INDIRECT("'"&amp;$D$9&amp;"'!aardgasinkoop_2040"),0)
+IFERROR(INDIRECT("'"&amp;$D$10&amp;"'!aardgasinkoop_2040"),0)
+IFERROR(INDIRECT("'"&amp;$D$11&amp;"'!aardgasinkoop_2040"),0)
+IFERROR(INDIRECT("'"&amp;$D$12&amp;"'!aardgasinkoop_2040"),0)
+IFERROR(INDIRECT("'"&amp;$D$13&amp;"'!aardgasinkoop_2040"),0)
+IFERROR(INDIRECT("'"&amp;$D$14&amp;"'!aardgasinkoop_2040"),0)
+IFERROR(INDIRECT("'"&amp;$D$15&amp;"'!aardgasinkoop_2040"),0)
+IFERROR(INDIRECT("'"&amp;$D$16&amp;"'!aardgasinkoop_2040"),0)
+IFERROR(INDIRECT("'"&amp;$D$17&amp;"'!aardgasinkoop_2040"),0)
+IFERROR(INDIRECT("'"&amp;$D$18&amp;"'!aardgasinkoop_2040"),0)
+IFERROR(INDIRECT("'"&amp;$D$19&amp;"'!aardgasinkoop_2040"),0)
+IFERROR(INDIRECT("'"&amp;$D$20&amp;"'!aardgasinkoop_2040"),0)
+IFERROR(INDIRECT("'"&amp;$D$21&amp;"'!aardgasinkoop_2040"),0)
+IFERROR(INDIRECT("'"&amp;$D$22&amp;"'!aardgasinkoop_2040"),0)
+IFERROR(INDIRECT("'"&amp;$D$23&amp;"'!aardgasinkoop_2040"),0)
+IFERROR(INDIRECT("'"&amp;$D$24&amp;"'!aardgasinkoop_2040"),0)
+IFERROR(INDIRECT("'"&amp;$D$25&amp;"'!aardgasinkoop_2040"),0)
+IFERROR(INDIRECT("'"&amp;$D$26&amp;"'!aardgasinkoop_2040"),0)
+IFERROR(INDIRECT("'"&amp;$D$27&amp;"'!aardgasinkoop_2040"),0)
+IFERROR(INDIRECT("'"&amp;$D$28&amp;"'!aardgasinkoop_2040"),0)
+IFERROR(INDIRECT("'"&amp;$D$29&amp;"'!aardgasinkoop_2040"),0)
+IFERROR(INDIRECT("'"&amp;$D$30&amp;"'!aardgasinkoop_2040"),0)
+IFERROR(INDIRECT("'"&amp;$D$31&amp;"'!aardgasinkoop_2040"),0)
+IFERROR(INDIRECT("'"&amp;$D$32&amp;"'!aardgasinkoop_2040"),0)
+IFERROR(INDIRECT("'"&amp;$D$33&amp;"'!aardgasinkoop_2040"),0)
+IFERROR(INDIRECT("'"&amp;$D$34&amp;"'!aardgasinkoop_2040"),0)
+IFERROR(INDIRECT("'"&amp;$D$35&amp;"'!aardgasinkoop_2040"),0)
+IFERROR(INDIRECT("'"&amp;$D$36&amp;"'!aardgasinkoop_2040"),0)
+IFERROR(INDIRECT("'"&amp;$D$37&amp;"'!aardgasinkoop_2040"),0)
+IFERROR(INDIRECT("'"&amp;$D$38&amp;"'!aardgasinkoop_2040"),0)
+IFERROR(INDIRECT("'"&amp;$D$39&amp;"'!aardgasinkoop_2040"),0)
+IFERROR(INDIRECT("'"&amp;$D$40&amp;"'!aardgasinkoop_2040"),0)
+IFERROR(INDIRECT("'"&amp;$D$41&amp;"'!aardgasinkoop_2040"),0)
+IFERROR(INDIRECT("'"&amp;$D$42&amp;"'!aardgasinkoop_2040"),0)
+IFERROR(INDIRECT("'"&amp;$D$43&amp;"'!aardgasinkoop_2040"),0)
+IFERROR(INDIRECT("'"&amp;$D$44&amp;"'!aardgasinkoop_2040"),0)
+IFERROR(INDIRECT("'"&amp;$D$45&amp;"'!aardgasinkoop_2040"),0)
+IFERROR(INDIRECT("'"&amp;$D$46&amp;"'!aardgasinkoop_2040"),0)
+IFERROR(INDIRECT("'"&amp;$D$47&amp;"'!aardgasinkoop_2040"),0)
+IFERROR(INDIRECT("'"&amp;$D$48&amp;"'!aardgasinkoop_2040"),0)
+IFERROR(INDIRECT("'"&amp;$D$49&amp;"'!aardgasinkoop_2040"),0)
+IFERROR(INDIRECT("'"&amp;$D$50&amp;"'!aardgasinkoop_2040"),0)
+IFERROR(INDIRECT("'"&amp;$D$51&amp;"'!aardgasinkoop_2040"),0)
+IFERROR(INDIRECT("'"&amp;$D$52&amp;"'!aardgasinkoop_2040"),0)
+IFERROR(INDIRECT("'"&amp;$D$53&amp;"'!aardgasinkoop_2040"),0)
+IFERROR(INDIRECT("'"&amp;$D$54&amp;"'!aardgasinkoop_2040"),0)</f>
        <v>4900.6560000000063</v>
      </c>
      <c r="AE31" s="320">
        <f ca="1">+IFERROR(INDIRECT("'"&amp;$D$5&amp;"'!aardgasinkoop_2041"),0)
+IFERROR(INDIRECT("'"&amp;$D$6&amp;"'!aardgasinkoop_2041"),0)
+IFERROR(INDIRECT("'"&amp;$D$7&amp;"'!aardgasinkoop_2041"),0)
+IFERROR(INDIRECT("'"&amp;$D$8&amp;"'!aardgasinkoop_2041"),0)
+IFERROR(INDIRECT("'"&amp;$D$9&amp;"'!aardgasinkoop_2041"),0)
+IFERROR(INDIRECT("'"&amp;$D$10&amp;"'!aardgasinkoop_2041"),0)
+IFERROR(INDIRECT("'"&amp;$D$11&amp;"'!aardgasinkoop_2041"),0)
+IFERROR(INDIRECT("'"&amp;$D$12&amp;"'!aardgasinkoop_2041"),0)
+IFERROR(INDIRECT("'"&amp;$D$13&amp;"'!aardgasinkoop_2041"),0)
+IFERROR(INDIRECT("'"&amp;$D$14&amp;"'!aardgasinkoop_2041"),0)
+IFERROR(INDIRECT("'"&amp;$D$15&amp;"'!aardgasinkoop_2041"),0)
+IFERROR(INDIRECT("'"&amp;$D$16&amp;"'!aardgasinkoop_2041"),0)
+IFERROR(INDIRECT("'"&amp;$D$17&amp;"'!aardgasinkoop_2041"),0)
+IFERROR(INDIRECT("'"&amp;$D$18&amp;"'!aardgasinkoop_2041"),0)
+IFERROR(INDIRECT("'"&amp;$D$19&amp;"'!aardgasinkoop_2041"),0)
+IFERROR(INDIRECT("'"&amp;$D$20&amp;"'!aardgasinkoop_2041"),0)
+IFERROR(INDIRECT("'"&amp;$D$21&amp;"'!aardgasinkoop_2041"),0)
+IFERROR(INDIRECT("'"&amp;$D$22&amp;"'!aardgasinkoop_2041"),0)
+IFERROR(INDIRECT("'"&amp;$D$23&amp;"'!aardgasinkoop_2041"),0)
+IFERROR(INDIRECT("'"&amp;$D$24&amp;"'!aardgasinkoop_2041"),0)
+IFERROR(INDIRECT("'"&amp;$D$25&amp;"'!aardgasinkoop_2041"),0)
+IFERROR(INDIRECT("'"&amp;$D$26&amp;"'!aardgasinkoop_2041"),0)
+IFERROR(INDIRECT("'"&amp;$D$27&amp;"'!aardgasinkoop_2041"),0)
+IFERROR(INDIRECT("'"&amp;$D$28&amp;"'!aardgasinkoop_2041"),0)
+IFERROR(INDIRECT("'"&amp;$D$29&amp;"'!aardgasinkoop_2041"),0)
+IFERROR(INDIRECT("'"&amp;$D$30&amp;"'!aardgasinkoop_2041"),0)
+IFERROR(INDIRECT("'"&amp;$D$31&amp;"'!aardgasinkoop_2041"),0)
+IFERROR(INDIRECT("'"&amp;$D$32&amp;"'!aardgasinkoop_2041"),0)
+IFERROR(INDIRECT("'"&amp;$D$33&amp;"'!aardgasinkoop_2041"),0)
+IFERROR(INDIRECT("'"&amp;$D$34&amp;"'!aardgasinkoop_2041"),0)
+IFERROR(INDIRECT("'"&amp;$D$35&amp;"'!aardgasinkoop_2041"),0)
+IFERROR(INDIRECT("'"&amp;$D$36&amp;"'!aardgasinkoop_2041"),0)
+IFERROR(INDIRECT("'"&amp;$D$37&amp;"'!aardgasinkoop_2041"),0)
+IFERROR(INDIRECT("'"&amp;$D$38&amp;"'!aardgasinkoop_2041"),0)
+IFERROR(INDIRECT("'"&amp;$D$39&amp;"'!aardgasinkoop_2041"),0)
+IFERROR(INDIRECT("'"&amp;$D$40&amp;"'!aardgasinkoop_2041"),0)
+IFERROR(INDIRECT("'"&amp;$D$41&amp;"'!aardgasinkoop_2041"),0)
+IFERROR(INDIRECT("'"&amp;$D$42&amp;"'!aardgasinkoop_2041"),0)
+IFERROR(INDIRECT("'"&amp;$D$43&amp;"'!aardgasinkoop_2041"),0)
+IFERROR(INDIRECT("'"&amp;$D$44&amp;"'!aardgasinkoop_2041"),0)
+IFERROR(INDIRECT("'"&amp;$D$45&amp;"'!aardgasinkoop_2041"),0)
+IFERROR(INDIRECT("'"&amp;$D$46&amp;"'!aardgasinkoop_2041"),0)
+IFERROR(INDIRECT("'"&amp;$D$47&amp;"'!aardgasinkoop_2041"),0)
+IFERROR(INDIRECT("'"&amp;$D$48&amp;"'!aardgasinkoop_2041"),0)
+IFERROR(INDIRECT("'"&amp;$D$49&amp;"'!aardgasinkoop_2041"),0)
+IFERROR(INDIRECT("'"&amp;$D$50&amp;"'!aardgasinkoop_2041"),0)
+IFERROR(INDIRECT("'"&amp;$D$51&amp;"'!aardgasinkoop_2041"),0)
+IFERROR(INDIRECT("'"&amp;$D$52&amp;"'!aardgasinkoop_2041"),0)
+IFERROR(INDIRECT("'"&amp;$D$53&amp;"'!aardgasinkoop_2041"),0)
+IFERROR(INDIRECT("'"&amp;$D$54&amp;"'!aardgasinkoop_2041"),0)</f>
        <v>4900.6560000000063</v>
      </c>
      <c r="AF31" s="320">
        <f ca="1">+IFERROR(INDIRECT("'"&amp;$D$5&amp;"'!aardgasinkoop_2042"),0)
+IFERROR(INDIRECT("'"&amp;$D$6&amp;"'!aardgasinkoop_2042"),0)
+IFERROR(INDIRECT("'"&amp;$D$7&amp;"'!aardgasinkoop_2042"),0)
+IFERROR(INDIRECT("'"&amp;$D$8&amp;"'!aardgasinkoop_2042"),0)
+IFERROR(INDIRECT("'"&amp;$D$9&amp;"'!aardgasinkoop_2042"),0)
+IFERROR(INDIRECT("'"&amp;$D$10&amp;"'!aardgasinkoop_2042"),0)
+IFERROR(INDIRECT("'"&amp;$D$11&amp;"'!aardgasinkoop_2042"),0)
+IFERROR(INDIRECT("'"&amp;$D$12&amp;"'!aardgasinkoop_2042"),0)
+IFERROR(INDIRECT("'"&amp;$D$13&amp;"'!aardgasinkoop_2042"),0)
+IFERROR(INDIRECT("'"&amp;$D$14&amp;"'!aardgasinkoop_2042"),0)
+IFERROR(INDIRECT("'"&amp;$D$15&amp;"'!aardgasinkoop_2042"),0)
+IFERROR(INDIRECT("'"&amp;$D$16&amp;"'!aardgasinkoop_2042"),0)
+IFERROR(INDIRECT("'"&amp;$D$17&amp;"'!aardgasinkoop_2042"),0)
+IFERROR(INDIRECT("'"&amp;$D$18&amp;"'!aardgasinkoop_2042"),0)
+IFERROR(INDIRECT("'"&amp;$D$19&amp;"'!aardgasinkoop_2042"),0)
+IFERROR(INDIRECT("'"&amp;$D$20&amp;"'!aardgasinkoop_2042"),0)
+IFERROR(INDIRECT("'"&amp;$D$21&amp;"'!aardgasinkoop_2042"),0)
+IFERROR(INDIRECT("'"&amp;$D$22&amp;"'!aardgasinkoop_2042"),0)
+IFERROR(INDIRECT("'"&amp;$D$23&amp;"'!aardgasinkoop_2042"),0)
+IFERROR(INDIRECT("'"&amp;$D$24&amp;"'!aardgasinkoop_2042"),0)
+IFERROR(INDIRECT("'"&amp;$D$25&amp;"'!aardgasinkoop_2042"),0)
+IFERROR(INDIRECT("'"&amp;$D$26&amp;"'!aardgasinkoop_2042"),0)
+IFERROR(INDIRECT("'"&amp;$D$27&amp;"'!aardgasinkoop_2042"),0)
+IFERROR(INDIRECT("'"&amp;$D$28&amp;"'!aardgasinkoop_2042"),0)
+IFERROR(INDIRECT("'"&amp;$D$29&amp;"'!aardgasinkoop_2042"),0)
+IFERROR(INDIRECT("'"&amp;$D$30&amp;"'!aardgasinkoop_2042"),0)
+IFERROR(INDIRECT("'"&amp;$D$31&amp;"'!aardgasinkoop_2042"),0)
+IFERROR(INDIRECT("'"&amp;$D$32&amp;"'!aardgasinkoop_2042"),0)
+IFERROR(INDIRECT("'"&amp;$D$33&amp;"'!aardgasinkoop_2042"),0)
+IFERROR(INDIRECT("'"&amp;$D$34&amp;"'!aardgasinkoop_2042"),0)
+IFERROR(INDIRECT("'"&amp;$D$35&amp;"'!aardgasinkoop_2042"),0)
+IFERROR(INDIRECT("'"&amp;$D$36&amp;"'!aardgasinkoop_2042"),0)
+IFERROR(INDIRECT("'"&amp;$D$37&amp;"'!aardgasinkoop_2042"),0)
+IFERROR(INDIRECT("'"&amp;$D$38&amp;"'!aardgasinkoop_2042"),0)
+IFERROR(INDIRECT("'"&amp;$D$39&amp;"'!aardgasinkoop_2042"),0)
+IFERROR(INDIRECT("'"&amp;$D$40&amp;"'!aardgasinkoop_2042"),0)
+IFERROR(INDIRECT("'"&amp;$D$41&amp;"'!aardgasinkoop_2042"),0)
+IFERROR(INDIRECT("'"&amp;$D$42&amp;"'!aardgasinkoop_2042"),0)
+IFERROR(INDIRECT("'"&amp;$D$43&amp;"'!aardgasinkoop_2042"),0)
+IFERROR(INDIRECT("'"&amp;$D$44&amp;"'!aardgasinkoop_2042"),0)
+IFERROR(INDIRECT("'"&amp;$D$45&amp;"'!aardgasinkoop_2042"),0)
+IFERROR(INDIRECT("'"&amp;$D$46&amp;"'!aardgasinkoop_2042"),0)
+IFERROR(INDIRECT("'"&amp;$D$47&amp;"'!aardgasinkoop_2042"),0)
+IFERROR(INDIRECT("'"&amp;$D$48&amp;"'!aardgasinkoop_2042"),0)
+IFERROR(INDIRECT("'"&amp;$D$49&amp;"'!aardgasinkoop_2042"),0)
+IFERROR(INDIRECT("'"&amp;$D$50&amp;"'!aardgasinkoop_2042"),0)
+IFERROR(INDIRECT("'"&amp;$D$51&amp;"'!aardgasinkoop_2042"),0)
+IFERROR(INDIRECT("'"&amp;$D$52&amp;"'!aardgasinkoop_2042"),0)
+IFERROR(INDIRECT("'"&amp;$D$53&amp;"'!aardgasinkoop_2042"),0)
+IFERROR(INDIRECT("'"&amp;$D$54&amp;"'!aardgasinkoop_2042"),0)</f>
        <v>4900.6560000000063</v>
      </c>
      <c r="AG31" s="320">
        <f ca="1">+IFERROR(INDIRECT("'"&amp;$D$5&amp;"'!aardgasinkoop_2043"),0)
+IFERROR(INDIRECT("'"&amp;$D$6&amp;"'!aardgasinkoop_2043"),0)
+IFERROR(INDIRECT("'"&amp;$D$7&amp;"'!aardgasinkoop_2043"),0)
+IFERROR(INDIRECT("'"&amp;$D$8&amp;"'!aardgasinkoop_2043"),0)
+IFERROR(INDIRECT("'"&amp;$D$9&amp;"'!aardgasinkoop_2043"),0)
+IFERROR(INDIRECT("'"&amp;$D$10&amp;"'!aardgasinkoop_2043"),0)
+IFERROR(INDIRECT("'"&amp;$D$11&amp;"'!aardgasinkoop_2043"),0)
+IFERROR(INDIRECT("'"&amp;$D$12&amp;"'!aardgasinkoop_2043"),0)
+IFERROR(INDIRECT("'"&amp;$D$13&amp;"'!aardgasinkoop_2043"),0)
+IFERROR(INDIRECT("'"&amp;$D$14&amp;"'!aardgasinkoop_2043"),0)
+IFERROR(INDIRECT("'"&amp;$D$15&amp;"'!aardgasinkoop_2043"),0)
+IFERROR(INDIRECT("'"&amp;$D$16&amp;"'!aardgasinkoop_2043"),0)
+IFERROR(INDIRECT("'"&amp;$D$17&amp;"'!aardgasinkoop_2043"),0)
+IFERROR(INDIRECT("'"&amp;$D$18&amp;"'!aardgasinkoop_2043"),0)
+IFERROR(INDIRECT("'"&amp;$D$19&amp;"'!aardgasinkoop_2043"),0)
+IFERROR(INDIRECT("'"&amp;$D$20&amp;"'!aardgasinkoop_2043"),0)
+IFERROR(INDIRECT("'"&amp;$D$21&amp;"'!aardgasinkoop_2043"),0)
+IFERROR(INDIRECT("'"&amp;$D$22&amp;"'!aardgasinkoop_2043"),0)
+IFERROR(INDIRECT("'"&amp;$D$23&amp;"'!aardgasinkoop_2043"),0)
+IFERROR(INDIRECT("'"&amp;$D$24&amp;"'!aardgasinkoop_2043"),0)
+IFERROR(INDIRECT("'"&amp;$D$25&amp;"'!aardgasinkoop_2043"),0)
+IFERROR(INDIRECT("'"&amp;$D$26&amp;"'!aardgasinkoop_2043"),0)
+IFERROR(INDIRECT("'"&amp;$D$27&amp;"'!aardgasinkoop_2043"),0)
+IFERROR(INDIRECT("'"&amp;$D$28&amp;"'!aardgasinkoop_2043"),0)
+IFERROR(INDIRECT("'"&amp;$D$29&amp;"'!aardgasinkoop_2043"),0)
+IFERROR(INDIRECT("'"&amp;$D$30&amp;"'!aardgasinkoop_2043"),0)
+IFERROR(INDIRECT("'"&amp;$D$31&amp;"'!aardgasinkoop_2043"),0)
+IFERROR(INDIRECT("'"&amp;$D$32&amp;"'!aardgasinkoop_2043"),0)
+IFERROR(INDIRECT("'"&amp;$D$33&amp;"'!aardgasinkoop_2043"),0)
+IFERROR(INDIRECT("'"&amp;$D$34&amp;"'!aardgasinkoop_2043"),0)
+IFERROR(INDIRECT("'"&amp;$D$35&amp;"'!aardgasinkoop_2043"),0)
+IFERROR(INDIRECT("'"&amp;$D$36&amp;"'!aardgasinkoop_2043"),0)
+IFERROR(INDIRECT("'"&amp;$D$37&amp;"'!aardgasinkoop_2043"),0)
+IFERROR(INDIRECT("'"&amp;$D$38&amp;"'!aardgasinkoop_2043"),0)
+IFERROR(INDIRECT("'"&amp;$D$39&amp;"'!aardgasinkoop_2043"),0)
+IFERROR(INDIRECT("'"&amp;$D$40&amp;"'!aardgasinkoop_2043"),0)
+IFERROR(INDIRECT("'"&amp;$D$41&amp;"'!aardgasinkoop_2043"),0)
+IFERROR(INDIRECT("'"&amp;$D$42&amp;"'!aardgasinkoop_2043"),0)
+IFERROR(INDIRECT("'"&amp;$D$43&amp;"'!aardgasinkoop_2043"),0)
+IFERROR(INDIRECT("'"&amp;$D$44&amp;"'!aardgasinkoop_2043"),0)
+IFERROR(INDIRECT("'"&amp;$D$45&amp;"'!aardgasinkoop_2043"),0)
+IFERROR(INDIRECT("'"&amp;$D$46&amp;"'!aardgasinkoop_2043"),0)
+IFERROR(INDIRECT("'"&amp;$D$47&amp;"'!aardgasinkoop_2043"),0)
+IFERROR(INDIRECT("'"&amp;$D$48&amp;"'!aardgasinkoop_2043"),0)
+IFERROR(INDIRECT("'"&amp;$D$49&amp;"'!aardgasinkoop_2043"),0)
+IFERROR(INDIRECT("'"&amp;$D$50&amp;"'!aardgasinkoop_2043"),0)
+IFERROR(INDIRECT("'"&amp;$D$51&amp;"'!aardgasinkoop_2043"),0)
+IFERROR(INDIRECT("'"&amp;$D$52&amp;"'!aardgasinkoop_2043"),0)
+IFERROR(INDIRECT("'"&amp;$D$53&amp;"'!aardgasinkoop_2043"),0)
+IFERROR(INDIRECT("'"&amp;$D$54&amp;"'!aardgasinkoop_2043"),0)</f>
        <v>4900.6560000000063</v>
      </c>
      <c r="AH31" s="320">
        <f ca="1">+IFERROR(INDIRECT("'"&amp;$D$5&amp;"'!aardgasinkoop_2044"),0)
+IFERROR(INDIRECT("'"&amp;$D$6&amp;"'!aardgasinkoop_2044"),0)
+IFERROR(INDIRECT("'"&amp;$D$7&amp;"'!aardgasinkoop_2044"),0)
+IFERROR(INDIRECT("'"&amp;$D$8&amp;"'!aardgasinkoop_2044"),0)
+IFERROR(INDIRECT("'"&amp;$D$9&amp;"'!aardgasinkoop_2044"),0)
+IFERROR(INDIRECT("'"&amp;$D$10&amp;"'!aardgasinkoop_2044"),0)
+IFERROR(INDIRECT("'"&amp;$D$11&amp;"'!aardgasinkoop_2044"),0)
+IFERROR(INDIRECT("'"&amp;$D$12&amp;"'!aardgasinkoop_2044"),0)
+IFERROR(INDIRECT("'"&amp;$D$13&amp;"'!aardgasinkoop_2044"),0)
+IFERROR(INDIRECT("'"&amp;$D$14&amp;"'!aardgasinkoop_2044"),0)
+IFERROR(INDIRECT("'"&amp;$D$15&amp;"'!aardgasinkoop_2044"),0)
+IFERROR(INDIRECT("'"&amp;$D$16&amp;"'!aardgasinkoop_2044"),0)
+IFERROR(INDIRECT("'"&amp;$D$17&amp;"'!aardgasinkoop_2044"),0)
+IFERROR(INDIRECT("'"&amp;$D$18&amp;"'!aardgasinkoop_2044"),0)
+IFERROR(INDIRECT("'"&amp;$D$19&amp;"'!aardgasinkoop_2044"),0)
+IFERROR(INDIRECT("'"&amp;$D$20&amp;"'!aardgasinkoop_2044"),0)
+IFERROR(INDIRECT("'"&amp;$D$21&amp;"'!aardgasinkoop_2044"),0)
+IFERROR(INDIRECT("'"&amp;$D$22&amp;"'!aardgasinkoop_2044"),0)
+IFERROR(INDIRECT("'"&amp;$D$23&amp;"'!aardgasinkoop_2044"),0)
+IFERROR(INDIRECT("'"&amp;$D$24&amp;"'!aardgasinkoop_2044"),0)
+IFERROR(INDIRECT("'"&amp;$D$25&amp;"'!aardgasinkoop_2044"),0)
+IFERROR(INDIRECT("'"&amp;$D$26&amp;"'!aardgasinkoop_2044"),0)
+IFERROR(INDIRECT("'"&amp;$D$27&amp;"'!aardgasinkoop_2044"),0)
+IFERROR(INDIRECT("'"&amp;$D$28&amp;"'!aardgasinkoop_2044"),0)
+IFERROR(INDIRECT("'"&amp;$D$29&amp;"'!aardgasinkoop_2044"),0)
+IFERROR(INDIRECT("'"&amp;$D$30&amp;"'!aardgasinkoop_2044"),0)
+IFERROR(INDIRECT("'"&amp;$D$31&amp;"'!aardgasinkoop_2044"),0)
+IFERROR(INDIRECT("'"&amp;$D$32&amp;"'!aardgasinkoop_2044"),0)
+IFERROR(INDIRECT("'"&amp;$D$33&amp;"'!aardgasinkoop_2044"),0)
+IFERROR(INDIRECT("'"&amp;$D$34&amp;"'!aardgasinkoop_2044"),0)
+IFERROR(INDIRECT("'"&amp;$D$35&amp;"'!aardgasinkoop_2044"),0)
+IFERROR(INDIRECT("'"&amp;$D$36&amp;"'!aardgasinkoop_2044"),0)
+IFERROR(INDIRECT("'"&amp;$D$37&amp;"'!aardgasinkoop_2044"),0)
+IFERROR(INDIRECT("'"&amp;$D$38&amp;"'!aardgasinkoop_2044"),0)
+IFERROR(INDIRECT("'"&amp;$D$39&amp;"'!aardgasinkoop_2044"),0)
+IFERROR(INDIRECT("'"&amp;$D$40&amp;"'!aardgasinkoop_2044"),0)
+IFERROR(INDIRECT("'"&amp;$D$41&amp;"'!aardgasinkoop_2044"),0)
+IFERROR(INDIRECT("'"&amp;$D$42&amp;"'!aardgasinkoop_2044"),0)
+IFERROR(INDIRECT("'"&amp;$D$43&amp;"'!aardgasinkoop_2044"),0)
+IFERROR(INDIRECT("'"&amp;$D$44&amp;"'!aardgasinkoop_2044"),0)
+IFERROR(INDIRECT("'"&amp;$D$45&amp;"'!aardgasinkoop_2044"),0)
+IFERROR(INDIRECT("'"&amp;$D$46&amp;"'!aardgasinkoop_2044"),0)
+IFERROR(INDIRECT("'"&amp;$D$47&amp;"'!aardgasinkoop_2044"),0)
+IFERROR(INDIRECT("'"&amp;$D$48&amp;"'!aardgasinkoop_2044"),0)
+IFERROR(INDIRECT("'"&amp;$D$49&amp;"'!aardgasinkoop_2044"),0)
+IFERROR(INDIRECT("'"&amp;$D$50&amp;"'!aardgasinkoop_2044"),0)
+IFERROR(INDIRECT("'"&amp;$D$51&amp;"'!aardgasinkoop_2044"),0)
+IFERROR(INDIRECT("'"&amp;$D$52&amp;"'!aardgasinkoop_2044"),0)
+IFERROR(INDIRECT("'"&amp;$D$53&amp;"'!aardgasinkoop_2044"),0)
+IFERROR(INDIRECT("'"&amp;$D$54&amp;"'!aardgasinkoop_2044"),0)</f>
        <v>4900.6560000000063</v>
      </c>
      <c r="AI31" s="320">
        <f ca="1">+IFERROR(INDIRECT("'"&amp;$D$5&amp;"'!aardgasinkoop_2045"),0)
+IFERROR(INDIRECT("'"&amp;$D$6&amp;"'!aardgasinkoop_2045"),0)
+IFERROR(INDIRECT("'"&amp;$D$7&amp;"'!aardgasinkoop_2045"),0)
+IFERROR(INDIRECT("'"&amp;$D$8&amp;"'!aardgasinkoop_2045"),0)
+IFERROR(INDIRECT("'"&amp;$D$9&amp;"'!aardgasinkoop_2045"),0)
+IFERROR(INDIRECT("'"&amp;$D$10&amp;"'!aardgasinkoop_2045"),0)
+IFERROR(INDIRECT("'"&amp;$D$11&amp;"'!aardgasinkoop_2045"),0)
+IFERROR(INDIRECT("'"&amp;$D$12&amp;"'!aardgasinkoop_2045"),0)
+IFERROR(INDIRECT("'"&amp;$D$13&amp;"'!aardgasinkoop_2045"),0)
+IFERROR(INDIRECT("'"&amp;$D$14&amp;"'!aardgasinkoop_2045"),0)
+IFERROR(INDIRECT("'"&amp;$D$15&amp;"'!aardgasinkoop_2045"),0)
+IFERROR(INDIRECT("'"&amp;$D$16&amp;"'!aardgasinkoop_2045"),0)
+IFERROR(INDIRECT("'"&amp;$D$17&amp;"'!aardgasinkoop_2045"),0)
+IFERROR(INDIRECT("'"&amp;$D$18&amp;"'!aardgasinkoop_2045"),0)
+IFERROR(INDIRECT("'"&amp;$D$19&amp;"'!aardgasinkoop_2045"),0)
+IFERROR(INDIRECT("'"&amp;$D$20&amp;"'!aardgasinkoop_2045"),0)
+IFERROR(INDIRECT("'"&amp;$D$21&amp;"'!aardgasinkoop_2045"),0)
+IFERROR(INDIRECT("'"&amp;$D$22&amp;"'!aardgasinkoop_2045"),0)
+IFERROR(INDIRECT("'"&amp;$D$23&amp;"'!aardgasinkoop_2045"),0)
+IFERROR(INDIRECT("'"&amp;$D$24&amp;"'!aardgasinkoop_2045"),0)
+IFERROR(INDIRECT("'"&amp;$D$25&amp;"'!aardgasinkoop_2045"),0)
+IFERROR(INDIRECT("'"&amp;$D$26&amp;"'!aardgasinkoop_2045"),0)
+IFERROR(INDIRECT("'"&amp;$D$27&amp;"'!aardgasinkoop_2045"),0)
+IFERROR(INDIRECT("'"&amp;$D$28&amp;"'!aardgasinkoop_2045"),0)
+IFERROR(INDIRECT("'"&amp;$D$29&amp;"'!aardgasinkoop_2045"),0)
+IFERROR(INDIRECT("'"&amp;$D$30&amp;"'!aardgasinkoop_2045"),0)
+IFERROR(INDIRECT("'"&amp;$D$31&amp;"'!aardgasinkoop_2045"),0)
+IFERROR(INDIRECT("'"&amp;$D$32&amp;"'!aardgasinkoop_2045"),0)
+IFERROR(INDIRECT("'"&amp;$D$33&amp;"'!aardgasinkoop_2045"),0)
+IFERROR(INDIRECT("'"&amp;$D$34&amp;"'!aardgasinkoop_2045"),0)
+IFERROR(INDIRECT("'"&amp;$D$35&amp;"'!aardgasinkoop_2045"),0)
+IFERROR(INDIRECT("'"&amp;$D$36&amp;"'!aardgasinkoop_2045"),0)
+IFERROR(INDIRECT("'"&amp;$D$37&amp;"'!aardgasinkoop_2045"),0)
+IFERROR(INDIRECT("'"&amp;$D$38&amp;"'!aardgasinkoop_2045"),0)
+IFERROR(INDIRECT("'"&amp;$D$39&amp;"'!aardgasinkoop_2045"),0)
+IFERROR(INDIRECT("'"&amp;$D$40&amp;"'!aardgasinkoop_2045"),0)
+IFERROR(INDIRECT("'"&amp;$D$41&amp;"'!aardgasinkoop_2045"),0)
+IFERROR(INDIRECT("'"&amp;$D$42&amp;"'!aardgasinkoop_2045"),0)
+IFERROR(INDIRECT("'"&amp;$D$43&amp;"'!aardgasinkoop_2045"),0)
+IFERROR(INDIRECT("'"&amp;$D$44&amp;"'!aardgasinkoop_2045"),0)
+IFERROR(INDIRECT("'"&amp;$D$45&amp;"'!aardgasinkoop_2045"),0)
+IFERROR(INDIRECT("'"&amp;$D$46&amp;"'!aardgasinkoop_2045"),0)
+IFERROR(INDIRECT("'"&amp;$D$47&amp;"'!aardgasinkoop_2045"),0)
+IFERROR(INDIRECT("'"&amp;$D$48&amp;"'!aardgasinkoop_2045"),0)
+IFERROR(INDIRECT("'"&amp;$D$49&amp;"'!aardgasinkoop_2045"),0)
+IFERROR(INDIRECT("'"&amp;$D$50&amp;"'!aardgasinkoop_2045"),0)
+IFERROR(INDIRECT("'"&amp;$D$51&amp;"'!aardgasinkoop_2045"),0)
+IFERROR(INDIRECT("'"&amp;$D$52&amp;"'!aardgasinkoop_2045"),0)
+IFERROR(INDIRECT("'"&amp;$D$53&amp;"'!aardgasinkoop_2045"),0)
+IFERROR(INDIRECT("'"&amp;$D$54&amp;"'!aardgasinkoop_2045"),0)</f>
        <v>4900.6560000000063</v>
      </c>
      <c r="AJ31" s="320">
        <f ca="1">+IFERROR(INDIRECT("'"&amp;$D$5&amp;"'!aardgasinkoop_2046"),0)
+IFERROR(INDIRECT("'"&amp;$D$6&amp;"'!aardgasinkoop_2046"),0)
+IFERROR(INDIRECT("'"&amp;$D$7&amp;"'!aardgasinkoop_2046"),0)
+IFERROR(INDIRECT("'"&amp;$D$8&amp;"'!aardgasinkoop_2046"),0)
+IFERROR(INDIRECT("'"&amp;$D$9&amp;"'!aardgasinkoop_2046"),0)
+IFERROR(INDIRECT("'"&amp;$D$10&amp;"'!aardgasinkoop_2046"),0)
+IFERROR(INDIRECT("'"&amp;$D$11&amp;"'!aardgasinkoop_2046"),0)
+IFERROR(INDIRECT("'"&amp;$D$12&amp;"'!aardgasinkoop_2046"),0)
+IFERROR(INDIRECT("'"&amp;$D$13&amp;"'!aardgasinkoop_2046"),0)
+IFERROR(INDIRECT("'"&amp;$D$14&amp;"'!aardgasinkoop_2046"),0)
+IFERROR(INDIRECT("'"&amp;$D$15&amp;"'!aardgasinkoop_2046"),0)
+IFERROR(INDIRECT("'"&amp;$D$16&amp;"'!aardgasinkoop_2046"),0)
+IFERROR(INDIRECT("'"&amp;$D$17&amp;"'!aardgasinkoop_2046"),0)
+IFERROR(INDIRECT("'"&amp;$D$18&amp;"'!aardgasinkoop_2046"),0)
+IFERROR(INDIRECT("'"&amp;$D$19&amp;"'!aardgasinkoop_2046"),0)
+IFERROR(INDIRECT("'"&amp;$D$20&amp;"'!aardgasinkoop_2046"),0)
+IFERROR(INDIRECT("'"&amp;$D$21&amp;"'!aardgasinkoop_2046"),0)
+IFERROR(INDIRECT("'"&amp;$D$22&amp;"'!aardgasinkoop_2046"),0)
+IFERROR(INDIRECT("'"&amp;$D$23&amp;"'!aardgasinkoop_2046"),0)
+IFERROR(INDIRECT("'"&amp;$D$24&amp;"'!aardgasinkoop_2046"),0)
+IFERROR(INDIRECT("'"&amp;$D$25&amp;"'!aardgasinkoop_2046"),0)
+IFERROR(INDIRECT("'"&amp;$D$26&amp;"'!aardgasinkoop_2046"),0)
+IFERROR(INDIRECT("'"&amp;$D$27&amp;"'!aardgasinkoop_2046"),0)
+IFERROR(INDIRECT("'"&amp;$D$28&amp;"'!aardgasinkoop_2046"),0)
+IFERROR(INDIRECT("'"&amp;$D$29&amp;"'!aardgasinkoop_2046"),0)
+IFERROR(INDIRECT("'"&amp;$D$30&amp;"'!aardgasinkoop_2046"),0)
+IFERROR(INDIRECT("'"&amp;$D$31&amp;"'!aardgasinkoop_2046"),0)
+IFERROR(INDIRECT("'"&amp;$D$32&amp;"'!aardgasinkoop_2046"),0)
+IFERROR(INDIRECT("'"&amp;$D$33&amp;"'!aardgasinkoop_2046"),0)
+IFERROR(INDIRECT("'"&amp;$D$34&amp;"'!aardgasinkoop_2046"),0)
+IFERROR(INDIRECT("'"&amp;$D$35&amp;"'!aardgasinkoop_2046"),0)
+IFERROR(INDIRECT("'"&amp;$D$36&amp;"'!aardgasinkoop_2046"),0)
+IFERROR(INDIRECT("'"&amp;$D$37&amp;"'!aardgasinkoop_2046"),0)
+IFERROR(INDIRECT("'"&amp;$D$38&amp;"'!aardgasinkoop_2046"),0)
+IFERROR(INDIRECT("'"&amp;$D$39&amp;"'!aardgasinkoop_2046"),0)
+IFERROR(INDIRECT("'"&amp;$D$40&amp;"'!aardgasinkoop_2046"),0)
+IFERROR(INDIRECT("'"&amp;$D$41&amp;"'!aardgasinkoop_2046"),0)
+IFERROR(INDIRECT("'"&amp;$D$42&amp;"'!aardgasinkoop_2046"),0)
+IFERROR(INDIRECT("'"&amp;$D$43&amp;"'!aardgasinkoop_2046"),0)
+IFERROR(INDIRECT("'"&amp;$D$44&amp;"'!aardgasinkoop_2046"),0)
+IFERROR(INDIRECT("'"&amp;$D$45&amp;"'!aardgasinkoop_2046"),0)
+IFERROR(INDIRECT("'"&amp;$D$46&amp;"'!aardgasinkoop_2046"),0)
+IFERROR(INDIRECT("'"&amp;$D$47&amp;"'!aardgasinkoop_2046"),0)
+IFERROR(INDIRECT("'"&amp;$D$48&amp;"'!aardgasinkoop_2046"),0)
+IFERROR(INDIRECT("'"&amp;$D$49&amp;"'!aardgasinkoop_2046"),0)
+IFERROR(INDIRECT("'"&amp;$D$50&amp;"'!aardgasinkoop_2046"),0)
+IFERROR(INDIRECT("'"&amp;$D$51&amp;"'!aardgasinkoop_2046"),0)
+IFERROR(INDIRECT("'"&amp;$D$52&amp;"'!aardgasinkoop_2046"),0)
+IFERROR(INDIRECT("'"&amp;$D$53&amp;"'!aardgasinkoop_2046"),0)
+IFERROR(INDIRECT("'"&amp;$D$54&amp;"'!aardgasinkoop_2046"),0)</f>
        <v>4900.6560000000063</v>
      </c>
      <c r="AK31" s="320">
        <f ca="1">+IFERROR(INDIRECT("'"&amp;$D$5&amp;"'!aardgasinkoop_2047"),0)
+IFERROR(INDIRECT("'"&amp;$D$6&amp;"'!aardgasinkoop_2047"),0)
+IFERROR(INDIRECT("'"&amp;$D$7&amp;"'!aardgasinkoop_2047"),0)
+IFERROR(INDIRECT("'"&amp;$D$8&amp;"'!aardgasinkoop_2047"),0)
+IFERROR(INDIRECT("'"&amp;$D$9&amp;"'!aardgasinkoop_2047"),0)
+IFERROR(INDIRECT("'"&amp;$D$10&amp;"'!aardgasinkoop_2047"),0)
+IFERROR(INDIRECT("'"&amp;$D$11&amp;"'!aardgasinkoop_2047"),0)
+IFERROR(INDIRECT("'"&amp;$D$12&amp;"'!aardgasinkoop_2047"),0)
+IFERROR(INDIRECT("'"&amp;$D$13&amp;"'!aardgasinkoop_2047"),0)
+IFERROR(INDIRECT("'"&amp;$D$14&amp;"'!aardgasinkoop_2047"),0)
+IFERROR(INDIRECT("'"&amp;$D$15&amp;"'!aardgasinkoop_2047"),0)
+IFERROR(INDIRECT("'"&amp;$D$16&amp;"'!aardgasinkoop_2047"),0)
+IFERROR(INDIRECT("'"&amp;$D$17&amp;"'!aardgasinkoop_2047"),0)
+IFERROR(INDIRECT("'"&amp;$D$18&amp;"'!aardgasinkoop_2047"),0)
+IFERROR(INDIRECT("'"&amp;$D$19&amp;"'!aardgasinkoop_2047"),0)
+IFERROR(INDIRECT("'"&amp;$D$20&amp;"'!aardgasinkoop_2047"),0)
+IFERROR(INDIRECT("'"&amp;$D$21&amp;"'!aardgasinkoop_2047"),0)
+IFERROR(INDIRECT("'"&amp;$D$22&amp;"'!aardgasinkoop_2047"),0)
+IFERROR(INDIRECT("'"&amp;$D$23&amp;"'!aardgasinkoop_2047"),0)
+IFERROR(INDIRECT("'"&amp;$D$24&amp;"'!aardgasinkoop_2047"),0)
+IFERROR(INDIRECT("'"&amp;$D$25&amp;"'!aardgasinkoop_2047"),0)
+IFERROR(INDIRECT("'"&amp;$D$26&amp;"'!aardgasinkoop_2047"),0)
+IFERROR(INDIRECT("'"&amp;$D$27&amp;"'!aardgasinkoop_2047"),0)
+IFERROR(INDIRECT("'"&amp;$D$28&amp;"'!aardgasinkoop_2047"),0)
+IFERROR(INDIRECT("'"&amp;$D$29&amp;"'!aardgasinkoop_2047"),0)
+IFERROR(INDIRECT("'"&amp;$D$30&amp;"'!aardgasinkoop_2047"),0)
+IFERROR(INDIRECT("'"&amp;$D$31&amp;"'!aardgasinkoop_2047"),0)
+IFERROR(INDIRECT("'"&amp;$D$32&amp;"'!aardgasinkoop_2047"),0)
+IFERROR(INDIRECT("'"&amp;$D$33&amp;"'!aardgasinkoop_2047"),0)
+IFERROR(INDIRECT("'"&amp;$D$34&amp;"'!aardgasinkoop_2047"),0)
+IFERROR(INDIRECT("'"&amp;$D$35&amp;"'!aardgasinkoop_2047"),0)
+IFERROR(INDIRECT("'"&amp;$D$36&amp;"'!aardgasinkoop_2047"),0)
+IFERROR(INDIRECT("'"&amp;$D$37&amp;"'!aardgasinkoop_2047"),0)
+IFERROR(INDIRECT("'"&amp;$D$38&amp;"'!aardgasinkoop_2047"),0)
+IFERROR(INDIRECT("'"&amp;$D$39&amp;"'!aardgasinkoop_2047"),0)
+IFERROR(INDIRECT("'"&amp;$D$40&amp;"'!aardgasinkoop_2047"),0)
+IFERROR(INDIRECT("'"&amp;$D$41&amp;"'!aardgasinkoop_2047"),0)
+IFERROR(INDIRECT("'"&amp;$D$42&amp;"'!aardgasinkoop_2047"),0)
+IFERROR(INDIRECT("'"&amp;$D$43&amp;"'!aardgasinkoop_2047"),0)
+IFERROR(INDIRECT("'"&amp;$D$44&amp;"'!aardgasinkoop_2047"),0)
+IFERROR(INDIRECT("'"&amp;$D$45&amp;"'!aardgasinkoop_2047"),0)
+IFERROR(INDIRECT("'"&amp;$D$46&amp;"'!aardgasinkoop_2047"),0)
+IFERROR(INDIRECT("'"&amp;$D$47&amp;"'!aardgasinkoop_2047"),0)
+IFERROR(INDIRECT("'"&amp;$D$48&amp;"'!aardgasinkoop_2047"),0)
+IFERROR(INDIRECT("'"&amp;$D$49&amp;"'!aardgasinkoop_2047"),0)
+IFERROR(INDIRECT("'"&amp;$D$50&amp;"'!aardgasinkoop_2047"),0)
+IFERROR(INDIRECT("'"&amp;$D$51&amp;"'!aardgasinkoop_2047"),0)
+IFERROR(INDIRECT("'"&amp;$D$52&amp;"'!aardgasinkoop_2047"),0)
+IFERROR(INDIRECT("'"&amp;$D$53&amp;"'!aardgasinkoop_2047"),0)
+IFERROR(INDIRECT("'"&amp;$D$54&amp;"'!aardgasinkoop_2047"),0)</f>
        <v>4900.6560000000063</v>
      </c>
      <c r="AL31" s="320">
        <f ca="1">+IFERROR(INDIRECT("'"&amp;$D$5&amp;"'!aardgasinkoop_2048"),0)
+IFERROR(INDIRECT("'"&amp;$D$6&amp;"'!aardgasinkoop_2048"),0)
+IFERROR(INDIRECT("'"&amp;$D$7&amp;"'!aardgasinkoop_2048"),0)
+IFERROR(INDIRECT("'"&amp;$D$8&amp;"'!aardgasinkoop_2048"),0)
+IFERROR(INDIRECT("'"&amp;$D$9&amp;"'!aardgasinkoop_2048"),0)
+IFERROR(INDIRECT("'"&amp;$D$10&amp;"'!aardgasinkoop_2048"),0)
+IFERROR(INDIRECT("'"&amp;$D$11&amp;"'!aardgasinkoop_2048"),0)
+IFERROR(INDIRECT("'"&amp;$D$12&amp;"'!aardgasinkoop_2048"),0)
+IFERROR(INDIRECT("'"&amp;$D$13&amp;"'!aardgasinkoop_2048"),0)
+IFERROR(INDIRECT("'"&amp;$D$14&amp;"'!aardgasinkoop_2048"),0)
+IFERROR(INDIRECT("'"&amp;$D$15&amp;"'!aardgasinkoop_2048"),0)
+IFERROR(INDIRECT("'"&amp;$D$16&amp;"'!aardgasinkoop_2048"),0)
+IFERROR(INDIRECT("'"&amp;$D$17&amp;"'!aardgasinkoop_2048"),0)
+IFERROR(INDIRECT("'"&amp;$D$18&amp;"'!aardgasinkoop_2048"),0)
+IFERROR(INDIRECT("'"&amp;$D$19&amp;"'!aardgasinkoop_2048"),0)
+IFERROR(INDIRECT("'"&amp;$D$20&amp;"'!aardgasinkoop_2048"),0)
+IFERROR(INDIRECT("'"&amp;$D$21&amp;"'!aardgasinkoop_2048"),0)
+IFERROR(INDIRECT("'"&amp;$D$22&amp;"'!aardgasinkoop_2048"),0)
+IFERROR(INDIRECT("'"&amp;$D$23&amp;"'!aardgasinkoop_2048"),0)
+IFERROR(INDIRECT("'"&amp;$D$24&amp;"'!aardgasinkoop_2048"),0)
+IFERROR(INDIRECT("'"&amp;$D$25&amp;"'!aardgasinkoop_2048"),0)
+IFERROR(INDIRECT("'"&amp;$D$26&amp;"'!aardgasinkoop_2048"),0)
+IFERROR(INDIRECT("'"&amp;$D$27&amp;"'!aardgasinkoop_2048"),0)
+IFERROR(INDIRECT("'"&amp;$D$28&amp;"'!aardgasinkoop_2048"),0)
+IFERROR(INDIRECT("'"&amp;$D$29&amp;"'!aardgasinkoop_2048"),0)
+IFERROR(INDIRECT("'"&amp;$D$30&amp;"'!aardgasinkoop_2048"),0)
+IFERROR(INDIRECT("'"&amp;$D$31&amp;"'!aardgasinkoop_2048"),0)
+IFERROR(INDIRECT("'"&amp;$D$32&amp;"'!aardgasinkoop_2048"),0)
+IFERROR(INDIRECT("'"&amp;$D$33&amp;"'!aardgasinkoop_2048"),0)
+IFERROR(INDIRECT("'"&amp;$D$34&amp;"'!aardgasinkoop_2048"),0)
+IFERROR(INDIRECT("'"&amp;$D$35&amp;"'!aardgasinkoop_2048"),0)
+IFERROR(INDIRECT("'"&amp;$D$36&amp;"'!aardgasinkoop_2048"),0)
+IFERROR(INDIRECT("'"&amp;$D$37&amp;"'!aardgasinkoop_2048"),0)
+IFERROR(INDIRECT("'"&amp;$D$38&amp;"'!aardgasinkoop_2048"),0)
+IFERROR(INDIRECT("'"&amp;$D$39&amp;"'!aardgasinkoop_2048"),0)
+IFERROR(INDIRECT("'"&amp;$D$40&amp;"'!aardgasinkoop_2048"),0)
+IFERROR(INDIRECT("'"&amp;$D$41&amp;"'!aardgasinkoop_2048"),0)
+IFERROR(INDIRECT("'"&amp;$D$42&amp;"'!aardgasinkoop_2048"),0)
+IFERROR(INDIRECT("'"&amp;$D$43&amp;"'!aardgasinkoop_2048"),0)
+IFERROR(INDIRECT("'"&amp;$D$44&amp;"'!aardgasinkoop_2048"),0)
+IFERROR(INDIRECT("'"&amp;$D$45&amp;"'!aardgasinkoop_2048"),0)
+IFERROR(INDIRECT("'"&amp;$D$46&amp;"'!aardgasinkoop_2048"),0)
+IFERROR(INDIRECT("'"&amp;$D$47&amp;"'!aardgasinkoop_2048"),0)
+IFERROR(INDIRECT("'"&amp;$D$48&amp;"'!aardgasinkoop_2048"),0)
+IFERROR(INDIRECT("'"&amp;$D$49&amp;"'!aardgasinkoop_2048"),0)
+IFERROR(INDIRECT("'"&amp;$D$50&amp;"'!aardgasinkoop_2048"),0)
+IFERROR(INDIRECT("'"&amp;$D$51&amp;"'!aardgasinkoop_2048"),0)
+IFERROR(INDIRECT("'"&amp;$D$52&amp;"'!aardgasinkoop_2048"),0)
+IFERROR(INDIRECT("'"&amp;$D$53&amp;"'!aardgasinkoop_2048"),0)
+IFERROR(INDIRECT("'"&amp;$D$54&amp;"'!aardgasinkoop_2048"),0)</f>
        <v>4900.6560000000063</v>
      </c>
      <c r="AM31" s="320">
        <f ca="1">+IFERROR(INDIRECT("'"&amp;$D$5&amp;"'!aardgasinkoop_2049"),0)
+IFERROR(INDIRECT("'"&amp;$D$6&amp;"'!aardgasinkoop_2049"),0)
+IFERROR(INDIRECT("'"&amp;$D$7&amp;"'!aardgasinkoop_2049"),0)
+IFERROR(INDIRECT("'"&amp;$D$8&amp;"'!aardgasinkoop_2049"),0)
+IFERROR(INDIRECT("'"&amp;$D$9&amp;"'!aardgasinkoop_2049"),0)
+IFERROR(INDIRECT("'"&amp;$D$10&amp;"'!aardgasinkoop_2049"),0)
+IFERROR(INDIRECT("'"&amp;$D$11&amp;"'!aardgasinkoop_2049"),0)
+IFERROR(INDIRECT("'"&amp;$D$12&amp;"'!aardgasinkoop_2049"),0)
+IFERROR(INDIRECT("'"&amp;$D$13&amp;"'!aardgasinkoop_2049"),0)
+IFERROR(INDIRECT("'"&amp;$D$14&amp;"'!aardgasinkoop_2049"),0)
+IFERROR(INDIRECT("'"&amp;$D$15&amp;"'!aardgasinkoop_2049"),0)
+IFERROR(INDIRECT("'"&amp;$D$16&amp;"'!aardgasinkoop_2049"),0)
+IFERROR(INDIRECT("'"&amp;$D$17&amp;"'!aardgasinkoop_2049"),0)
+IFERROR(INDIRECT("'"&amp;$D$18&amp;"'!aardgasinkoop_2049"),0)
+IFERROR(INDIRECT("'"&amp;$D$19&amp;"'!aardgasinkoop_2049"),0)
+IFERROR(INDIRECT("'"&amp;$D$20&amp;"'!aardgasinkoop_2049"),0)
+IFERROR(INDIRECT("'"&amp;$D$21&amp;"'!aardgasinkoop_2049"),0)
+IFERROR(INDIRECT("'"&amp;$D$22&amp;"'!aardgasinkoop_2049"),0)
+IFERROR(INDIRECT("'"&amp;$D$23&amp;"'!aardgasinkoop_2049"),0)
+IFERROR(INDIRECT("'"&amp;$D$24&amp;"'!aardgasinkoop_2049"),0)
+IFERROR(INDIRECT("'"&amp;$D$25&amp;"'!aardgasinkoop_2049"),0)
+IFERROR(INDIRECT("'"&amp;$D$26&amp;"'!aardgasinkoop_2049"),0)
+IFERROR(INDIRECT("'"&amp;$D$27&amp;"'!aardgasinkoop_2049"),0)
+IFERROR(INDIRECT("'"&amp;$D$28&amp;"'!aardgasinkoop_2049"),0)
+IFERROR(INDIRECT("'"&amp;$D$29&amp;"'!aardgasinkoop_2049"),0)
+IFERROR(INDIRECT("'"&amp;$D$30&amp;"'!aardgasinkoop_2049"),0)
+IFERROR(INDIRECT("'"&amp;$D$31&amp;"'!aardgasinkoop_2049"),0)
+IFERROR(INDIRECT("'"&amp;$D$32&amp;"'!aardgasinkoop_2049"),0)
+IFERROR(INDIRECT("'"&amp;$D$33&amp;"'!aardgasinkoop_2049"),0)
+IFERROR(INDIRECT("'"&amp;$D$34&amp;"'!aardgasinkoop_2049"),0)
+IFERROR(INDIRECT("'"&amp;$D$35&amp;"'!aardgasinkoop_2049"),0)
+IFERROR(INDIRECT("'"&amp;$D$36&amp;"'!aardgasinkoop_2049"),0)
+IFERROR(INDIRECT("'"&amp;$D$37&amp;"'!aardgasinkoop_2049"),0)
+IFERROR(INDIRECT("'"&amp;$D$38&amp;"'!aardgasinkoop_2049"),0)
+IFERROR(INDIRECT("'"&amp;$D$39&amp;"'!aardgasinkoop_2049"),0)
+IFERROR(INDIRECT("'"&amp;$D$40&amp;"'!aardgasinkoop_2049"),0)
+IFERROR(INDIRECT("'"&amp;$D$41&amp;"'!aardgasinkoop_2049"),0)
+IFERROR(INDIRECT("'"&amp;$D$42&amp;"'!aardgasinkoop_2049"),0)
+IFERROR(INDIRECT("'"&amp;$D$43&amp;"'!aardgasinkoop_2049"),0)
+IFERROR(INDIRECT("'"&amp;$D$44&amp;"'!aardgasinkoop_2049"),0)
+IFERROR(INDIRECT("'"&amp;$D$45&amp;"'!aardgasinkoop_2049"),0)
+IFERROR(INDIRECT("'"&amp;$D$46&amp;"'!aardgasinkoop_2049"),0)
+IFERROR(INDIRECT("'"&amp;$D$47&amp;"'!aardgasinkoop_2049"),0)
+IFERROR(INDIRECT("'"&amp;$D$48&amp;"'!aardgasinkoop_2049"),0)
+IFERROR(INDIRECT("'"&amp;$D$49&amp;"'!aardgasinkoop_2049"),0)
+IFERROR(INDIRECT("'"&amp;$D$50&amp;"'!aardgasinkoop_2049"),0)
+IFERROR(INDIRECT("'"&amp;$D$51&amp;"'!aardgasinkoop_2049"),0)
+IFERROR(INDIRECT("'"&amp;$D$52&amp;"'!aardgasinkoop_2049"),0)
+IFERROR(INDIRECT("'"&amp;$D$53&amp;"'!aardgasinkoop_2049"),0)
+IFERROR(INDIRECT("'"&amp;$D$54&amp;"'!aardgasinkoop_2049"),0)</f>
        <v>4900.6560000000063</v>
      </c>
      <c r="AN31" s="320">
        <f ca="1">+IFERROR(INDIRECT("'"&amp;$D$5&amp;"'!aardgasinkoop_2050"),0)
+IFERROR(INDIRECT("'"&amp;$D$6&amp;"'!aardgasinkoop_2050"),0)
+IFERROR(INDIRECT("'"&amp;$D$7&amp;"'!aardgasinkoop_2050"),0)
+IFERROR(INDIRECT("'"&amp;$D$8&amp;"'!aardgasinkoop_2050"),0)
+IFERROR(INDIRECT("'"&amp;$D$9&amp;"'!aardgasinkoop_2050"),0)
+IFERROR(INDIRECT("'"&amp;$D$10&amp;"'!aardgasinkoop_2050"),0)
+IFERROR(INDIRECT("'"&amp;$D$11&amp;"'!aardgasinkoop_2050"),0)
+IFERROR(INDIRECT("'"&amp;$D$12&amp;"'!aardgasinkoop_2050"),0)
+IFERROR(INDIRECT("'"&amp;$D$13&amp;"'!aardgasinkoop_2050"),0)
+IFERROR(INDIRECT("'"&amp;$D$14&amp;"'!aardgasinkoop_2050"),0)
+IFERROR(INDIRECT("'"&amp;$D$15&amp;"'!aardgasinkoop_2050"),0)
+IFERROR(INDIRECT("'"&amp;$D$16&amp;"'!aardgasinkoop_2050"),0)
+IFERROR(INDIRECT("'"&amp;$D$17&amp;"'!aardgasinkoop_2050"),0)
+IFERROR(INDIRECT("'"&amp;$D$18&amp;"'!aardgasinkoop_2050"),0)
+IFERROR(INDIRECT("'"&amp;$D$19&amp;"'!aardgasinkoop_2050"),0)
+IFERROR(INDIRECT("'"&amp;$D$20&amp;"'!aardgasinkoop_2050"),0)
+IFERROR(INDIRECT("'"&amp;$D$21&amp;"'!aardgasinkoop_2050"),0)
+IFERROR(INDIRECT("'"&amp;$D$22&amp;"'!aardgasinkoop_2050"),0)
+IFERROR(INDIRECT("'"&amp;$D$23&amp;"'!aardgasinkoop_2050"),0)
+IFERROR(INDIRECT("'"&amp;$D$24&amp;"'!aardgasinkoop_2050"),0)
+IFERROR(INDIRECT("'"&amp;$D$25&amp;"'!aardgasinkoop_2050"),0)
+IFERROR(INDIRECT("'"&amp;$D$26&amp;"'!aardgasinkoop_2050"),0)
+IFERROR(INDIRECT("'"&amp;$D$27&amp;"'!aardgasinkoop_2050"),0)
+IFERROR(INDIRECT("'"&amp;$D$28&amp;"'!aardgasinkoop_2050"),0)
+IFERROR(INDIRECT("'"&amp;$D$29&amp;"'!aardgasinkoop_2050"),0)
+IFERROR(INDIRECT("'"&amp;$D$30&amp;"'!aardgasinkoop_2050"),0)
+IFERROR(INDIRECT("'"&amp;$D$31&amp;"'!aardgasinkoop_2050"),0)
+IFERROR(INDIRECT("'"&amp;$D$32&amp;"'!aardgasinkoop_2050"),0)
+IFERROR(INDIRECT("'"&amp;$D$33&amp;"'!aardgasinkoop_2050"),0)
+IFERROR(INDIRECT("'"&amp;$D$34&amp;"'!aardgasinkoop_2050"),0)
+IFERROR(INDIRECT("'"&amp;$D$35&amp;"'!aardgasinkoop_2050"),0)
+IFERROR(INDIRECT("'"&amp;$D$36&amp;"'!aardgasinkoop_2050"),0)
+IFERROR(INDIRECT("'"&amp;$D$37&amp;"'!aardgasinkoop_2050"),0)
+IFERROR(INDIRECT("'"&amp;$D$38&amp;"'!aardgasinkoop_2050"),0)
+IFERROR(INDIRECT("'"&amp;$D$39&amp;"'!aardgasinkoop_2050"),0)
+IFERROR(INDIRECT("'"&amp;$D$40&amp;"'!aardgasinkoop_2050"),0)
+IFERROR(INDIRECT("'"&amp;$D$41&amp;"'!aardgasinkoop_2050"),0)
+IFERROR(INDIRECT("'"&amp;$D$42&amp;"'!aardgasinkoop_2050"),0)
+IFERROR(INDIRECT("'"&amp;$D$43&amp;"'!aardgasinkoop_2050"),0)
+IFERROR(INDIRECT("'"&amp;$D$44&amp;"'!aardgasinkoop_2050"),0)
+IFERROR(INDIRECT("'"&amp;$D$45&amp;"'!aardgasinkoop_2050"),0)
+IFERROR(INDIRECT("'"&amp;$D$46&amp;"'!aardgasinkoop_2050"),0)
+IFERROR(INDIRECT("'"&amp;$D$47&amp;"'!aardgasinkoop_2050"),0)
+IFERROR(INDIRECT("'"&amp;$D$48&amp;"'!aardgasinkoop_2050"),0)
+IFERROR(INDIRECT("'"&amp;$D$49&amp;"'!aardgasinkoop_2050"),0)
+IFERROR(INDIRECT("'"&amp;$D$50&amp;"'!aardgasinkoop_2050"),0)
+IFERROR(INDIRECT("'"&amp;$D$51&amp;"'!aardgasinkoop_2050"),0)
+IFERROR(INDIRECT("'"&amp;$D$52&amp;"'!aardgasinkoop_2050"),0)
+IFERROR(INDIRECT("'"&amp;$D$53&amp;"'!aardgasinkoop_2050"),0)
+IFERROR(INDIRECT("'"&amp;$D$54&amp;"'!aardgasinkoop_2050"),0)</f>
        <v>4900.6560000000063</v>
      </c>
      <c r="AO31" s="123"/>
    </row>
    <row r="32" spans="2:41" ht="18.75">
      <c r="B32" s="8"/>
      <c r="C32" s="279" t="s">
        <v>69</v>
      </c>
      <c r="D32" s="115"/>
      <c r="E32" s="8"/>
      <c r="F32" s="8"/>
      <c r="G32" s="299" t="s">
        <v>645</v>
      </c>
      <c r="H32" s="320">
        <f t="shared" ref="H32:AN32" ca="1" si="2">IF(H$23=0,0,H31/H$23)</f>
        <v>11.068811277444743</v>
      </c>
      <c r="I32" s="320">
        <f t="shared" ca="1" si="2"/>
        <v>11.068811277444743</v>
      </c>
      <c r="J32" s="320">
        <f t="shared" ca="1" si="2"/>
        <v>11.068811277444743</v>
      </c>
      <c r="K32" s="320">
        <f t="shared" ca="1" si="2"/>
        <v>11.068811277444743</v>
      </c>
      <c r="L32" s="320">
        <f t="shared" ca="1" si="2"/>
        <v>11.068811277444743</v>
      </c>
      <c r="M32" s="320">
        <f t="shared" ca="1" si="2"/>
        <v>4.0454275650402156</v>
      </c>
      <c r="N32" s="320">
        <f t="shared" ca="1" si="2"/>
        <v>3.4376350360525998</v>
      </c>
      <c r="O32" s="320">
        <f t="shared" ca="1" si="2"/>
        <v>2.8917657483723826</v>
      </c>
      <c r="P32" s="320">
        <f t="shared" ca="1" si="2"/>
        <v>2.5019080750822558</v>
      </c>
      <c r="Q32" s="320">
        <f t="shared" ca="1" si="2"/>
        <v>1.8443498781384191</v>
      </c>
      <c r="R32" s="320">
        <f t="shared" ca="1" si="2"/>
        <v>1.6787247917852584</v>
      </c>
      <c r="S32" s="320">
        <f t="shared" ca="1" si="2"/>
        <v>1.5130997054320974</v>
      </c>
      <c r="T32" s="320">
        <f t="shared" ca="1" si="2"/>
        <v>1.3474746190789364</v>
      </c>
      <c r="U32" s="320">
        <f t="shared" ca="1" si="2"/>
        <v>1.1818495327257756</v>
      </c>
      <c r="V32" s="320">
        <f t="shared" ca="1" si="2"/>
        <v>0.72257639620653347</v>
      </c>
      <c r="W32" s="320">
        <f t="shared" ca="1" si="2"/>
        <v>0.72257639620653347</v>
      </c>
      <c r="X32" s="320">
        <f t="shared" ca="1" si="2"/>
        <v>0.72257639620653347</v>
      </c>
      <c r="Y32" s="320">
        <f t="shared" ca="1" si="2"/>
        <v>0.72257639620653347</v>
      </c>
      <c r="Z32" s="320">
        <f t="shared" ca="1" si="2"/>
        <v>0.22570022180138122</v>
      </c>
      <c r="AA32" s="320">
        <f t="shared" ca="1" si="2"/>
        <v>0.22570022180138122</v>
      </c>
      <c r="AB32" s="320">
        <f t="shared" ca="1" si="2"/>
        <v>0.22570022180138122</v>
      </c>
      <c r="AC32" s="320">
        <f t="shared" ca="1" si="2"/>
        <v>0.22570022180138122</v>
      </c>
      <c r="AD32" s="320">
        <f t="shared" ca="1" si="2"/>
        <v>0.22569564824929708</v>
      </c>
      <c r="AE32" s="320">
        <f t="shared" ca="1" si="2"/>
        <v>0.22569564824929708</v>
      </c>
      <c r="AF32" s="320">
        <f t="shared" ca="1" si="2"/>
        <v>0.22569564824929708</v>
      </c>
      <c r="AG32" s="320">
        <f t="shared" ca="1" si="2"/>
        <v>0.22569564824929708</v>
      </c>
      <c r="AH32" s="320">
        <f t="shared" ca="1" si="2"/>
        <v>0.22569564824929708</v>
      </c>
      <c r="AI32" s="320">
        <f t="shared" ca="1" si="2"/>
        <v>0.22569564824929708</v>
      </c>
      <c r="AJ32" s="320">
        <f t="shared" ca="1" si="2"/>
        <v>0.22569564824929708</v>
      </c>
      <c r="AK32" s="320">
        <f t="shared" ca="1" si="2"/>
        <v>0.22569564824929708</v>
      </c>
      <c r="AL32" s="320">
        <f t="shared" ca="1" si="2"/>
        <v>0.22569564824929708</v>
      </c>
      <c r="AM32" s="320">
        <f t="shared" ca="1" si="2"/>
        <v>0.22569564824929708</v>
      </c>
      <c r="AN32" s="320">
        <f t="shared" ca="1" si="2"/>
        <v>0.22569564824929708</v>
      </c>
      <c r="AO32" s="123"/>
    </row>
    <row r="33" spans="2:41" ht="18.75">
      <c r="B33" s="8"/>
      <c r="C33" s="279" t="s">
        <v>70</v>
      </c>
      <c r="D33" s="115"/>
      <c r="E33" s="8"/>
      <c r="F33" s="8"/>
      <c r="G33" s="300" t="s">
        <v>646</v>
      </c>
      <c r="H33" s="320">
        <f ca="1">+IFERROR(INDIRECT("'"&amp;$D$5&amp;"'!warmteinkoop_2018"),0)
+IFERROR(INDIRECT("'"&amp;$D$6&amp;"'!warmteinkoop_2018"),0)
+IFERROR(INDIRECT("'"&amp;$D$7&amp;"'!warmteinkoop_2018"),0)
+IFERROR(INDIRECT("'"&amp;$D$8&amp;"'!warmteinkoop_2018"),0)
+IFERROR(INDIRECT("'"&amp;$D$9&amp;"'!warmteinkoop_2018"),0)
+IFERROR(INDIRECT("'"&amp;$D$10&amp;"'!warmteinkoop_2018"),0)
+IFERROR(INDIRECT("'"&amp;$D$11&amp;"'!warmteinkoop_2018"),0)
+IFERROR(INDIRECT("'"&amp;$D$12&amp;"'!warmteinkoop_2018"),0)
+IFERROR(INDIRECT("'"&amp;$D$13&amp;"'!warmteinkoop_2018"),0)
+IFERROR(INDIRECT("'"&amp;$D$14&amp;"'!warmteinkoop_2018"),0)
+IFERROR(INDIRECT("'"&amp;$D$15&amp;"'!warmteinkoop_2018"),0)
+IFERROR(INDIRECT("'"&amp;$D$16&amp;"'!warmteinkoop_2018"),0)
+IFERROR(INDIRECT("'"&amp;$D$17&amp;"'!warmteinkoop_2018"),0)
+IFERROR(INDIRECT("'"&amp;$D$18&amp;"'!warmteinkoop_2018"),0)
+IFERROR(INDIRECT("'"&amp;$D$19&amp;"'!warmteinkoop_2018"),0)
+IFERROR(INDIRECT("'"&amp;$D$20&amp;"'!warmteinkoop_2018"),0)
+IFERROR(INDIRECT("'"&amp;$D$21&amp;"'!warmteinkoop_2018"),0)
+IFERROR(INDIRECT("'"&amp;$D$22&amp;"'!warmteinkoop_2018"),0)
+IFERROR(INDIRECT("'"&amp;$D$23&amp;"'!warmteinkoop_2018"),0)
+IFERROR(INDIRECT("'"&amp;$D$24&amp;"'!warmteinkoop_2018"),0)
+IFERROR(INDIRECT("'"&amp;$D$25&amp;"'!warmteinkoop_2018"),0)
+IFERROR(INDIRECT("'"&amp;$D$26&amp;"'!warmteinkoop_2018"),0)
+IFERROR(INDIRECT("'"&amp;$D$27&amp;"'!warmteinkoop_2018"),0)
+IFERROR(INDIRECT("'"&amp;$D$28&amp;"'!warmteinkoop_2018"),0)
+IFERROR(INDIRECT("'"&amp;$D$29&amp;"'!warmteinkoop_2018"),0)
+IFERROR(INDIRECT("'"&amp;$D$30&amp;"'!warmteinkoop_2018"),0)
+IFERROR(INDIRECT("'"&amp;$D$31&amp;"'!warmteinkoop_2018"),0)
+IFERROR(INDIRECT("'"&amp;$D$32&amp;"'!warmteinkoop_2018"),0)
+IFERROR(INDIRECT("'"&amp;$D$33&amp;"'!warmteinkoop_2018"),0)
+IFERROR(INDIRECT("'"&amp;$D$34&amp;"'!warmteinkoop_2018"),0)
+IFERROR(INDIRECT("'"&amp;$D$35&amp;"'!warmteinkoop_2018"),0)
+IFERROR(INDIRECT("'"&amp;$D$36&amp;"'!warmteinkoop_2018"),0)
+IFERROR(INDIRECT("'"&amp;$D$37&amp;"'!warmteinkoop_2018"),0)
+IFERROR(INDIRECT("'"&amp;$D$38&amp;"'!warmteinkoop_2018"),0)
+IFERROR(INDIRECT("'"&amp;$D$39&amp;"'!warmteinkoop_2018"),0)
+IFERROR(INDIRECT("'"&amp;$D$40&amp;"'!warmteinkoop_2018"),0)
+IFERROR(INDIRECT("'"&amp;$D$41&amp;"'!warmteinkoop_2018"),0)
+IFERROR(INDIRECT("'"&amp;$D$42&amp;"'!warmteinkoop_2018"),0)
+IFERROR(INDIRECT("'"&amp;$D$43&amp;"'!warmteinkoop_2018"),0)
+IFERROR(INDIRECT("'"&amp;$D$44&amp;"'!warmteinkoop_2018"),0)
+IFERROR(INDIRECT("'"&amp;$D$45&amp;"'!warmteinkoop_2018"),0)
+IFERROR(INDIRECT("'"&amp;$D$46&amp;"'!warmteinkoop_2018"),0)
+IFERROR(INDIRECT("'"&amp;$D$47&amp;"'!warmteinkoop_2018"),0)
+IFERROR(INDIRECT("'"&amp;$D$48&amp;"'!warmteinkoop_2018"),0)
+IFERROR(INDIRECT("'"&amp;$D$49&amp;"'!warmteinkoop_2018"),0)
+IFERROR(INDIRECT("'"&amp;$D$50&amp;"'!warmteinkoop_2018"),0)
+IFERROR(INDIRECT("'"&amp;$D$51&amp;"'!warmteinkoop_2018"),0)
+IFERROR(INDIRECT("'"&amp;$D$52&amp;"'!warmteinkoop_2018"),0)
+IFERROR(INDIRECT("'"&amp;$D$53&amp;"'!warmteinkoop_2018"),0)
+IFERROR(INDIRECT("'"&amp;$D$54&amp;"'!warmteinkoop_2018"),0)</f>
        <v>817.72</v>
      </c>
      <c r="I33" s="320">
        <f ca="1">+IFERROR(INDIRECT("'"&amp;$D$5&amp;"'!warmteinkoop_2019"),0)
+IFERROR(INDIRECT("'"&amp;$D$6&amp;"'!warmteinkoop_2019"),0)
+IFERROR(INDIRECT("'"&amp;$D$7&amp;"'!warmteinkoop_2019"),0)
+IFERROR(INDIRECT("'"&amp;$D$8&amp;"'!warmteinkoop_2019"),0)
+IFERROR(INDIRECT("'"&amp;$D$9&amp;"'!warmteinkoop_2019"),0)
+IFERROR(INDIRECT("'"&amp;$D$10&amp;"'!warmteinkoop_2019"),0)
+IFERROR(INDIRECT("'"&amp;$D$11&amp;"'!warmteinkoop_2019"),0)
+IFERROR(INDIRECT("'"&amp;$D$12&amp;"'!warmteinkoop_2019"),0)
+IFERROR(INDIRECT("'"&amp;$D$13&amp;"'!warmteinkoop_2019"),0)
+IFERROR(INDIRECT("'"&amp;$D$14&amp;"'!warmteinkoop_2019"),0)
+IFERROR(INDIRECT("'"&amp;$D$15&amp;"'!warmteinkoop_2019"),0)
+IFERROR(INDIRECT("'"&amp;$D$16&amp;"'!warmteinkoop_2019"),0)
+IFERROR(INDIRECT("'"&amp;$D$17&amp;"'!warmteinkoop_2019"),0)
+IFERROR(INDIRECT("'"&amp;$D$18&amp;"'!warmteinkoop_2019"),0)
+IFERROR(INDIRECT("'"&amp;$D$19&amp;"'!warmteinkoop_2019"),0)
+IFERROR(INDIRECT("'"&amp;$D$20&amp;"'!warmteinkoop_2019"),0)
+IFERROR(INDIRECT("'"&amp;$D$21&amp;"'!warmteinkoop_2019"),0)
+IFERROR(INDIRECT("'"&amp;$D$22&amp;"'!warmteinkoop_2019"),0)
+IFERROR(INDIRECT("'"&amp;$D$23&amp;"'!warmteinkoop_2019"),0)
+IFERROR(INDIRECT("'"&amp;$D$24&amp;"'!warmteinkoop_2019"),0)
+IFERROR(INDIRECT("'"&amp;$D$25&amp;"'!warmteinkoop_2019"),0)
+IFERROR(INDIRECT("'"&amp;$D$26&amp;"'!warmteinkoop_2019"),0)
+IFERROR(INDIRECT("'"&amp;$D$27&amp;"'!warmteinkoop_2019"),0)
+IFERROR(INDIRECT("'"&amp;$D$28&amp;"'!warmteinkoop_2019"),0)
+IFERROR(INDIRECT("'"&amp;$D$29&amp;"'!warmteinkoop_2019"),0)
+IFERROR(INDIRECT("'"&amp;$D$30&amp;"'!warmteinkoop_2019"),0)
+IFERROR(INDIRECT("'"&amp;$D$31&amp;"'!warmteinkoop_2019"),0)
+IFERROR(INDIRECT("'"&amp;$D$32&amp;"'!warmteinkoop_2019"),0)
+IFERROR(INDIRECT("'"&amp;$D$33&amp;"'!warmteinkoop_2019"),0)
+IFERROR(INDIRECT("'"&amp;$D$34&amp;"'!warmteinkoop_2019"),0)
+IFERROR(INDIRECT("'"&amp;$D$35&amp;"'!warmteinkoop_2019"),0)
+IFERROR(INDIRECT("'"&amp;$D$36&amp;"'!warmteinkoop_2019"),0)
+IFERROR(INDIRECT("'"&amp;$D$37&amp;"'!warmteinkoop_2019"),0)
+IFERROR(INDIRECT("'"&amp;$D$38&amp;"'!warmteinkoop_2019"),0)
+IFERROR(INDIRECT("'"&amp;$D$39&amp;"'!warmteinkoop_2019"),0)
+IFERROR(INDIRECT("'"&amp;$D$40&amp;"'!warmteinkoop_2019"),0)
+IFERROR(INDIRECT("'"&amp;$D$41&amp;"'!warmteinkoop_2019"),0)
+IFERROR(INDIRECT("'"&amp;$D$42&amp;"'!warmteinkoop_2019"),0)
+IFERROR(INDIRECT("'"&amp;$D$43&amp;"'!warmteinkoop_2019"),0)
+IFERROR(INDIRECT("'"&amp;$D$44&amp;"'!warmteinkoop_2019"),0)
+IFERROR(INDIRECT("'"&amp;$D$45&amp;"'!warmteinkoop_2019"),0)
+IFERROR(INDIRECT("'"&amp;$D$46&amp;"'!warmteinkoop_2019"),0)
+IFERROR(INDIRECT("'"&amp;$D$47&amp;"'!warmteinkoop_2019"),0)
+IFERROR(INDIRECT("'"&amp;$D$48&amp;"'!warmteinkoop_2019"),0)
+IFERROR(INDIRECT("'"&amp;$D$49&amp;"'!warmteinkoop_2019"),0)
+IFERROR(INDIRECT("'"&amp;$D$50&amp;"'!warmteinkoop_2019"),0)
+IFERROR(INDIRECT("'"&amp;$D$51&amp;"'!warmteinkoop_2019"),0)
+IFERROR(INDIRECT("'"&amp;$D$52&amp;"'!warmteinkoop_2019"),0)
+IFERROR(INDIRECT("'"&amp;$D$53&amp;"'!warmteinkoop_2019"),0)
+IFERROR(INDIRECT("'"&amp;$D$54&amp;"'!warmteinkoop_2019"),0)</f>
        <v>818</v>
      </c>
      <c r="J33" s="320">
        <f ca="1">+IFERROR(INDIRECT("'"&amp;$D$5&amp;"'!warmteinkoop_2020"),0)
+IFERROR(INDIRECT("'"&amp;$D$6&amp;"'!warmteinkoop_2020"),0)
+IFERROR(INDIRECT("'"&amp;$D$7&amp;"'!warmteinkoop_2020"),0)
+IFERROR(INDIRECT("'"&amp;$D$8&amp;"'!warmteinkoop_2020"),0)
+IFERROR(INDIRECT("'"&amp;$D$9&amp;"'!warmteinkoop_2020"),0)
+IFERROR(INDIRECT("'"&amp;$D$10&amp;"'!warmteinkoop_2020"),0)
+IFERROR(INDIRECT("'"&amp;$D$11&amp;"'!warmteinkoop_2020"),0)
+IFERROR(INDIRECT("'"&amp;$D$12&amp;"'!warmteinkoop_2020"),0)
+IFERROR(INDIRECT("'"&amp;$D$13&amp;"'!warmteinkoop_2020"),0)
+IFERROR(INDIRECT("'"&amp;$D$14&amp;"'!warmteinkoop_2020"),0)
+IFERROR(INDIRECT("'"&amp;$D$15&amp;"'!warmteinkoop_2020"),0)
+IFERROR(INDIRECT("'"&amp;$D$16&amp;"'!warmteinkoop_2020"),0)
+IFERROR(INDIRECT("'"&amp;$D$17&amp;"'!warmteinkoop_2020"),0)
+IFERROR(INDIRECT("'"&amp;$D$18&amp;"'!warmteinkoop_2020"),0)
+IFERROR(INDIRECT("'"&amp;$D$19&amp;"'!warmteinkoop_2020"),0)
+IFERROR(INDIRECT("'"&amp;$D$20&amp;"'!warmteinkoop_2020"),0)
+IFERROR(INDIRECT("'"&amp;$D$21&amp;"'!warmteinkoop_2020"),0)
+IFERROR(INDIRECT("'"&amp;$D$22&amp;"'!warmteinkoop_2020"),0)
+IFERROR(INDIRECT("'"&amp;$D$23&amp;"'!warmteinkoop_2020"),0)
+IFERROR(INDIRECT("'"&amp;$D$24&amp;"'!warmteinkoop_2020"),0)
+IFERROR(INDIRECT("'"&amp;$D$25&amp;"'!warmteinkoop_2020"),0)
+IFERROR(INDIRECT("'"&amp;$D$26&amp;"'!warmteinkoop_2020"),0)
+IFERROR(INDIRECT("'"&amp;$D$27&amp;"'!warmteinkoop_2020"),0)
+IFERROR(INDIRECT("'"&amp;$D$28&amp;"'!warmteinkoop_2020"),0)
+IFERROR(INDIRECT("'"&amp;$D$29&amp;"'!warmteinkoop_2020"),0)
+IFERROR(INDIRECT("'"&amp;$D$30&amp;"'!warmteinkoop_2020"),0)
+IFERROR(INDIRECT("'"&amp;$D$31&amp;"'!warmteinkoop_2020"),0)
+IFERROR(INDIRECT("'"&amp;$D$32&amp;"'!warmteinkoop_2020"),0)
+IFERROR(INDIRECT("'"&amp;$D$33&amp;"'!warmteinkoop_2020"),0)
+IFERROR(INDIRECT("'"&amp;$D$34&amp;"'!warmteinkoop_2020"),0)
+IFERROR(INDIRECT("'"&amp;$D$35&amp;"'!warmteinkoop_2020"),0)
+IFERROR(INDIRECT("'"&amp;$D$36&amp;"'!warmteinkoop_2020"),0)
+IFERROR(INDIRECT("'"&amp;$D$37&amp;"'!warmteinkoop_2020"),0)
+IFERROR(INDIRECT("'"&amp;$D$38&amp;"'!warmteinkoop_2020"),0)
+IFERROR(INDIRECT("'"&amp;$D$39&amp;"'!warmteinkoop_2020"),0)
+IFERROR(INDIRECT("'"&amp;$D$40&amp;"'!warmteinkoop_2020"),0)
+IFERROR(INDIRECT("'"&amp;$D$41&amp;"'!warmteinkoop_2020"),0)
+IFERROR(INDIRECT("'"&amp;$D$42&amp;"'!warmteinkoop_2020"),0)
+IFERROR(INDIRECT("'"&amp;$D$43&amp;"'!warmteinkoop_2020"),0)
+IFERROR(INDIRECT("'"&amp;$D$44&amp;"'!warmteinkoop_2020"),0)
+IFERROR(INDIRECT("'"&amp;$D$45&amp;"'!warmteinkoop_2020"),0)
+IFERROR(INDIRECT("'"&amp;$D$46&amp;"'!warmteinkoop_2020"),0)
+IFERROR(INDIRECT("'"&amp;$D$47&amp;"'!warmteinkoop_2020"),0)
+IFERROR(INDIRECT("'"&amp;$D$48&amp;"'!warmteinkoop_2020"),0)
+IFERROR(INDIRECT("'"&amp;$D$49&amp;"'!warmteinkoop_2020"),0)
+IFERROR(INDIRECT("'"&amp;$D$50&amp;"'!warmteinkoop_2020"),0)
+IFERROR(INDIRECT("'"&amp;$D$51&amp;"'!warmteinkoop_2020"),0)
+IFERROR(INDIRECT("'"&amp;$D$52&amp;"'!warmteinkoop_2020"),0)
+IFERROR(INDIRECT("'"&amp;$D$53&amp;"'!warmteinkoop_2020"),0)
+IFERROR(INDIRECT("'"&amp;$D$54&amp;"'!warmteinkoop_2020"),0)</f>
        <v>818</v>
      </c>
      <c r="K33" s="320">
        <f ca="1">+IFERROR(INDIRECT("'"&amp;$D$5&amp;"'!warmteinkoop_2021"),0)
+IFERROR(INDIRECT("'"&amp;$D$6&amp;"'!warmteinkoop_2021"),0)
+IFERROR(INDIRECT("'"&amp;$D$7&amp;"'!warmteinkoop_2021"),0)
+IFERROR(INDIRECT("'"&amp;$D$8&amp;"'!warmteinkoop_2021"),0)
+IFERROR(INDIRECT("'"&amp;$D$9&amp;"'!warmteinkoop_2021"),0)
+IFERROR(INDIRECT("'"&amp;$D$10&amp;"'!warmteinkoop_2021"),0)
+IFERROR(INDIRECT("'"&amp;$D$11&amp;"'!warmteinkoop_2021"),0)
+IFERROR(INDIRECT("'"&amp;$D$12&amp;"'!warmteinkoop_2021"),0)
+IFERROR(INDIRECT("'"&amp;$D$13&amp;"'!warmteinkoop_2021"),0)
+IFERROR(INDIRECT("'"&amp;$D$14&amp;"'!warmteinkoop_2021"),0)
+IFERROR(INDIRECT("'"&amp;$D$15&amp;"'!warmteinkoop_2021"),0)
+IFERROR(INDIRECT("'"&amp;$D$16&amp;"'!warmteinkoop_2021"),0)
+IFERROR(INDIRECT("'"&amp;$D$17&amp;"'!warmteinkoop_2021"),0)
+IFERROR(INDIRECT("'"&amp;$D$18&amp;"'!warmteinkoop_2021"),0)
+IFERROR(INDIRECT("'"&amp;$D$19&amp;"'!warmteinkoop_2021"),0)
+IFERROR(INDIRECT("'"&amp;$D$20&amp;"'!warmteinkoop_2021"),0)
+IFERROR(INDIRECT("'"&amp;$D$21&amp;"'!warmteinkoop_2021"),0)
+IFERROR(INDIRECT("'"&amp;$D$22&amp;"'!warmteinkoop_2021"),0)
+IFERROR(INDIRECT("'"&amp;$D$23&amp;"'!warmteinkoop_2021"),0)
+IFERROR(INDIRECT("'"&amp;$D$24&amp;"'!warmteinkoop_2021"),0)
+IFERROR(INDIRECT("'"&amp;$D$25&amp;"'!warmteinkoop_2021"),0)
+IFERROR(INDIRECT("'"&amp;$D$26&amp;"'!warmteinkoop_2021"),0)
+IFERROR(INDIRECT("'"&amp;$D$27&amp;"'!warmteinkoop_2021"),0)
+IFERROR(INDIRECT("'"&amp;$D$28&amp;"'!warmteinkoop_2021"),0)
+IFERROR(INDIRECT("'"&amp;$D$29&amp;"'!warmteinkoop_2021"),0)
+IFERROR(INDIRECT("'"&amp;$D$30&amp;"'!warmteinkoop_2021"),0)
+IFERROR(INDIRECT("'"&amp;$D$31&amp;"'!warmteinkoop_2021"),0)
+IFERROR(INDIRECT("'"&amp;$D$32&amp;"'!warmteinkoop_2021"),0)
+IFERROR(INDIRECT("'"&amp;$D$33&amp;"'!warmteinkoop_2021"),0)
+IFERROR(INDIRECT("'"&amp;$D$34&amp;"'!warmteinkoop_2021"),0)
+IFERROR(INDIRECT("'"&amp;$D$35&amp;"'!warmteinkoop_2021"),0)
+IFERROR(INDIRECT("'"&amp;$D$36&amp;"'!warmteinkoop_2021"),0)
+IFERROR(INDIRECT("'"&amp;$D$37&amp;"'!warmteinkoop_2021"),0)
+IFERROR(INDIRECT("'"&amp;$D$38&amp;"'!warmteinkoop_2021"),0)
+IFERROR(INDIRECT("'"&amp;$D$39&amp;"'!warmteinkoop_2021"),0)
+IFERROR(INDIRECT("'"&amp;$D$40&amp;"'!warmteinkoop_2021"),0)
+IFERROR(INDIRECT("'"&amp;$D$41&amp;"'!warmteinkoop_2021"),0)
+IFERROR(INDIRECT("'"&amp;$D$42&amp;"'!warmteinkoop_2021"),0)
+IFERROR(INDIRECT("'"&amp;$D$43&amp;"'!warmteinkoop_2021"),0)
+IFERROR(INDIRECT("'"&amp;$D$44&amp;"'!warmteinkoop_2021"),0)
+IFERROR(INDIRECT("'"&amp;$D$45&amp;"'!warmteinkoop_2021"),0)
+IFERROR(INDIRECT("'"&amp;$D$46&amp;"'!warmteinkoop_2021"),0)
+IFERROR(INDIRECT("'"&amp;$D$47&amp;"'!warmteinkoop_2021"),0)
+IFERROR(INDIRECT("'"&amp;$D$48&amp;"'!warmteinkoop_2021"),0)
+IFERROR(INDIRECT("'"&amp;$D$49&amp;"'!warmteinkoop_2021"),0)
+IFERROR(INDIRECT("'"&amp;$D$50&amp;"'!warmteinkoop_2021"),0)
+IFERROR(INDIRECT("'"&amp;$D$51&amp;"'!warmteinkoop_2021"),0)
+IFERROR(INDIRECT("'"&amp;$D$52&amp;"'!warmteinkoop_2021"),0)
+IFERROR(INDIRECT("'"&amp;$D$53&amp;"'!warmteinkoop_2021"),0)
+IFERROR(INDIRECT("'"&amp;$D$54&amp;"'!warmteinkoop_2021"),0)</f>
        <v>818</v>
      </c>
      <c r="L33" s="320">
        <f ca="1">+IFERROR(INDIRECT("'"&amp;$D$5&amp;"'!warmteinkoop_2022"),0)
+IFERROR(INDIRECT("'"&amp;$D$6&amp;"'!warmteinkoop_2022"),0)
+IFERROR(INDIRECT("'"&amp;$D$7&amp;"'!warmteinkoop_2022"),0)
+IFERROR(INDIRECT("'"&amp;$D$8&amp;"'!warmteinkoop_2022"),0)
+IFERROR(INDIRECT("'"&amp;$D$9&amp;"'!warmteinkoop_2022"),0)
+IFERROR(INDIRECT("'"&amp;$D$10&amp;"'!warmteinkoop_2022"),0)
+IFERROR(INDIRECT("'"&amp;$D$11&amp;"'!warmteinkoop_2022"),0)
+IFERROR(INDIRECT("'"&amp;$D$12&amp;"'!warmteinkoop_2022"),0)
+IFERROR(INDIRECT("'"&amp;$D$13&amp;"'!warmteinkoop_2022"),0)
+IFERROR(INDIRECT("'"&amp;$D$14&amp;"'!warmteinkoop_2022"),0)
+IFERROR(INDIRECT("'"&amp;$D$15&amp;"'!warmteinkoop_2022"),0)
+IFERROR(INDIRECT("'"&amp;$D$16&amp;"'!warmteinkoop_2022"),0)
+IFERROR(INDIRECT("'"&amp;$D$17&amp;"'!warmteinkoop_2022"),0)
+IFERROR(INDIRECT("'"&amp;$D$18&amp;"'!warmteinkoop_2022"),0)
+IFERROR(INDIRECT("'"&amp;$D$19&amp;"'!warmteinkoop_2022"),0)
+IFERROR(INDIRECT("'"&amp;$D$20&amp;"'!warmteinkoop_2022"),0)
+IFERROR(INDIRECT("'"&amp;$D$21&amp;"'!warmteinkoop_2022"),0)
+IFERROR(INDIRECT("'"&amp;$D$22&amp;"'!warmteinkoop_2022"),0)
+IFERROR(INDIRECT("'"&amp;$D$23&amp;"'!warmteinkoop_2022"),0)
+IFERROR(INDIRECT("'"&amp;$D$24&amp;"'!warmteinkoop_2022"),0)
+IFERROR(INDIRECT("'"&amp;$D$25&amp;"'!warmteinkoop_2022"),0)
+IFERROR(INDIRECT("'"&amp;$D$26&amp;"'!warmteinkoop_2022"),0)
+IFERROR(INDIRECT("'"&amp;$D$27&amp;"'!warmteinkoop_2022"),0)
+IFERROR(INDIRECT("'"&amp;$D$28&amp;"'!warmteinkoop_2022"),0)
+IFERROR(INDIRECT("'"&amp;$D$29&amp;"'!warmteinkoop_2022"),0)
+IFERROR(INDIRECT("'"&amp;$D$30&amp;"'!warmteinkoop_2022"),0)
+IFERROR(INDIRECT("'"&amp;$D$31&amp;"'!warmteinkoop_2022"),0)
+IFERROR(INDIRECT("'"&amp;$D$32&amp;"'!warmteinkoop_2022"),0)
+IFERROR(INDIRECT("'"&amp;$D$33&amp;"'!warmteinkoop_2022"),0)
+IFERROR(INDIRECT("'"&amp;$D$34&amp;"'!warmteinkoop_2022"),0)
+IFERROR(INDIRECT("'"&amp;$D$35&amp;"'!warmteinkoop_2022"),0)
+IFERROR(INDIRECT("'"&amp;$D$36&amp;"'!warmteinkoop_2022"),0)
+IFERROR(INDIRECT("'"&amp;$D$37&amp;"'!warmteinkoop_2022"),0)
+IFERROR(INDIRECT("'"&amp;$D$38&amp;"'!warmteinkoop_2022"),0)
+IFERROR(INDIRECT("'"&amp;$D$39&amp;"'!warmteinkoop_2022"),0)
+IFERROR(INDIRECT("'"&amp;$D$40&amp;"'!warmteinkoop_2022"),0)
+IFERROR(INDIRECT("'"&amp;$D$41&amp;"'!warmteinkoop_2022"),0)
+IFERROR(INDIRECT("'"&amp;$D$42&amp;"'!warmteinkoop_2022"),0)
+IFERROR(INDIRECT("'"&amp;$D$43&amp;"'!warmteinkoop_2022"),0)
+IFERROR(INDIRECT("'"&amp;$D$44&amp;"'!warmteinkoop_2022"),0)
+IFERROR(INDIRECT("'"&amp;$D$45&amp;"'!warmteinkoop_2022"),0)
+IFERROR(INDIRECT("'"&amp;$D$46&amp;"'!warmteinkoop_2022"),0)
+IFERROR(INDIRECT("'"&amp;$D$47&amp;"'!warmteinkoop_2022"),0)
+IFERROR(INDIRECT("'"&amp;$D$48&amp;"'!warmteinkoop_2022"),0)
+IFERROR(INDIRECT("'"&amp;$D$49&amp;"'!warmteinkoop_2022"),0)
+IFERROR(INDIRECT("'"&amp;$D$50&amp;"'!warmteinkoop_2022"),0)
+IFERROR(INDIRECT("'"&amp;$D$51&amp;"'!warmteinkoop_2022"),0)
+IFERROR(INDIRECT("'"&amp;$D$52&amp;"'!warmteinkoop_2022"),0)
+IFERROR(INDIRECT("'"&amp;$D$53&amp;"'!warmteinkoop_2022"),0)
+IFERROR(INDIRECT("'"&amp;$D$54&amp;"'!warmteinkoop_2022"),0)</f>
        <v>818</v>
      </c>
      <c r="M33" s="320">
        <f ca="1">+IFERROR(INDIRECT("'"&amp;$D$5&amp;"'!warmteinkoop_2023"),0)
+IFERROR(INDIRECT("'"&amp;$D$6&amp;"'!warmteinkoop_2023"),0)
+IFERROR(INDIRECT("'"&amp;$D$7&amp;"'!warmteinkoop_2023"),0)
+IFERROR(INDIRECT("'"&amp;$D$8&amp;"'!warmteinkoop_2023"),0)
+IFERROR(INDIRECT("'"&amp;$D$9&amp;"'!warmteinkoop_2023"),0)
+IFERROR(INDIRECT("'"&amp;$D$10&amp;"'!warmteinkoop_2023"),0)
+IFERROR(INDIRECT("'"&amp;$D$11&amp;"'!warmteinkoop_2023"),0)
+IFERROR(INDIRECT("'"&amp;$D$12&amp;"'!warmteinkoop_2023"),0)
+IFERROR(INDIRECT("'"&amp;$D$13&amp;"'!warmteinkoop_2023"),0)
+IFERROR(INDIRECT("'"&amp;$D$14&amp;"'!warmteinkoop_2023"),0)
+IFERROR(INDIRECT("'"&amp;$D$15&amp;"'!warmteinkoop_2023"),0)
+IFERROR(INDIRECT("'"&amp;$D$16&amp;"'!warmteinkoop_2023"),0)
+IFERROR(INDIRECT("'"&amp;$D$17&amp;"'!warmteinkoop_2023"),0)
+IFERROR(INDIRECT("'"&amp;$D$18&amp;"'!warmteinkoop_2023"),0)
+IFERROR(INDIRECT("'"&amp;$D$19&amp;"'!warmteinkoop_2023"),0)
+IFERROR(INDIRECT("'"&amp;$D$20&amp;"'!warmteinkoop_2023"),0)
+IFERROR(INDIRECT("'"&amp;$D$21&amp;"'!warmteinkoop_2023"),0)
+IFERROR(INDIRECT("'"&amp;$D$22&amp;"'!warmteinkoop_2023"),0)
+IFERROR(INDIRECT("'"&amp;$D$23&amp;"'!warmteinkoop_2023"),0)
+IFERROR(INDIRECT("'"&amp;$D$24&amp;"'!warmteinkoop_2023"),0)
+IFERROR(INDIRECT("'"&amp;$D$25&amp;"'!warmteinkoop_2023"),0)
+IFERROR(INDIRECT("'"&amp;$D$26&amp;"'!warmteinkoop_2023"),0)
+IFERROR(INDIRECT("'"&amp;$D$27&amp;"'!warmteinkoop_2023"),0)
+IFERROR(INDIRECT("'"&amp;$D$28&amp;"'!warmteinkoop_2023"),0)
+IFERROR(INDIRECT("'"&amp;$D$29&amp;"'!warmteinkoop_2023"),0)
+IFERROR(INDIRECT("'"&amp;$D$30&amp;"'!warmteinkoop_2023"),0)
+IFERROR(INDIRECT("'"&amp;$D$31&amp;"'!warmteinkoop_2023"),0)
+IFERROR(INDIRECT("'"&amp;$D$32&amp;"'!warmteinkoop_2023"),0)
+IFERROR(INDIRECT("'"&amp;$D$33&amp;"'!warmteinkoop_2023"),0)
+IFERROR(INDIRECT("'"&amp;$D$34&amp;"'!warmteinkoop_2023"),0)
+IFERROR(INDIRECT("'"&amp;$D$35&amp;"'!warmteinkoop_2023"),0)
+IFERROR(INDIRECT("'"&amp;$D$36&amp;"'!warmteinkoop_2023"),0)
+IFERROR(INDIRECT("'"&amp;$D$37&amp;"'!warmteinkoop_2023"),0)
+IFERROR(INDIRECT("'"&amp;$D$38&amp;"'!warmteinkoop_2023"),0)
+IFERROR(INDIRECT("'"&amp;$D$39&amp;"'!warmteinkoop_2023"),0)
+IFERROR(INDIRECT("'"&amp;$D$40&amp;"'!warmteinkoop_2023"),0)
+IFERROR(INDIRECT("'"&amp;$D$41&amp;"'!warmteinkoop_2023"),0)
+IFERROR(INDIRECT("'"&amp;$D$42&amp;"'!warmteinkoop_2023"),0)
+IFERROR(INDIRECT("'"&amp;$D$43&amp;"'!warmteinkoop_2023"),0)
+IFERROR(INDIRECT("'"&amp;$D$44&amp;"'!warmteinkoop_2023"),0)
+IFERROR(INDIRECT("'"&amp;$D$45&amp;"'!warmteinkoop_2023"),0)
+IFERROR(INDIRECT("'"&amp;$D$46&amp;"'!warmteinkoop_2023"),0)
+IFERROR(INDIRECT("'"&amp;$D$47&amp;"'!warmteinkoop_2023"),0)
+IFERROR(INDIRECT("'"&amp;$D$48&amp;"'!warmteinkoop_2023"),0)
+IFERROR(INDIRECT("'"&amp;$D$49&amp;"'!warmteinkoop_2023"),0)
+IFERROR(INDIRECT("'"&amp;$D$50&amp;"'!warmteinkoop_2023"),0)
+IFERROR(INDIRECT("'"&amp;$D$51&amp;"'!warmteinkoop_2023"),0)
+IFERROR(INDIRECT("'"&amp;$D$52&amp;"'!warmteinkoop_2023"),0)
+IFERROR(INDIRECT("'"&amp;$D$53&amp;"'!warmteinkoop_2023"),0)
+IFERROR(INDIRECT("'"&amp;$D$54&amp;"'!warmteinkoop_2023"),0)</f>
        <v>751.74199999999996</v>
      </c>
      <c r="N33" s="320">
        <f ca="1">+IFERROR(INDIRECT("'"&amp;$D$5&amp;"'!warmteinkoop_2024"),0)
+IFERROR(INDIRECT("'"&amp;$D$6&amp;"'!warmteinkoop_2024"),0)
+IFERROR(INDIRECT("'"&amp;$D$7&amp;"'!warmteinkoop_2024"),0)
+IFERROR(INDIRECT("'"&amp;$D$8&amp;"'!warmteinkoop_2024"),0)
+IFERROR(INDIRECT("'"&amp;$D$9&amp;"'!warmteinkoop_2024"),0)
+IFERROR(INDIRECT("'"&amp;$D$10&amp;"'!warmteinkoop_2024"),0)
+IFERROR(INDIRECT("'"&amp;$D$11&amp;"'!warmteinkoop_2024"),0)
+IFERROR(INDIRECT("'"&amp;$D$12&amp;"'!warmteinkoop_2024"),0)
+IFERROR(INDIRECT("'"&amp;$D$13&amp;"'!warmteinkoop_2024"),0)
+IFERROR(INDIRECT("'"&amp;$D$14&amp;"'!warmteinkoop_2024"),0)
+IFERROR(INDIRECT("'"&amp;$D$15&amp;"'!warmteinkoop_2024"),0)
+IFERROR(INDIRECT("'"&amp;$D$16&amp;"'!warmteinkoop_2024"),0)
+IFERROR(INDIRECT("'"&amp;$D$17&amp;"'!warmteinkoop_2024"),0)
+IFERROR(INDIRECT("'"&amp;$D$18&amp;"'!warmteinkoop_2024"),0)
+IFERROR(INDIRECT("'"&amp;$D$19&amp;"'!warmteinkoop_2024"),0)
+IFERROR(INDIRECT("'"&amp;$D$20&amp;"'!warmteinkoop_2024"),0)
+IFERROR(INDIRECT("'"&amp;$D$21&amp;"'!warmteinkoop_2024"),0)
+IFERROR(INDIRECT("'"&amp;$D$22&amp;"'!warmteinkoop_2024"),0)
+IFERROR(INDIRECT("'"&amp;$D$23&amp;"'!warmteinkoop_2024"),0)
+IFERROR(INDIRECT("'"&amp;$D$24&amp;"'!warmteinkoop_2024"),0)
+IFERROR(INDIRECT("'"&amp;$D$25&amp;"'!warmteinkoop_2024"),0)
+IFERROR(INDIRECT("'"&amp;$D$26&amp;"'!warmteinkoop_2024"),0)
+IFERROR(INDIRECT("'"&amp;$D$27&amp;"'!warmteinkoop_2024"),0)
+IFERROR(INDIRECT("'"&amp;$D$28&amp;"'!warmteinkoop_2024"),0)
+IFERROR(INDIRECT("'"&amp;$D$29&amp;"'!warmteinkoop_2024"),0)
+IFERROR(INDIRECT("'"&amp;$D$30&amp;"'!warmteinkoop_2024"),0)
+IFERROR(INDIRECT("'"&amp;$D$31&amp;"'!warmteinkoop_2024"),0)
+IFERROR(INDIRECT("'"&amp;$D$32&amp;"'!warmteinkoop_2024"),0)
+IFERROR(INDIRECT("'"&amp;$D$33&amp;"'!warmteinkoop_2024"),0)
+IFERROR(INDIRECT("'"&amp;$D$34&amp;"'!warmteinkoop_2024"),0)
+IFERROR(INDIRECT("'"&amp;$D$35&amp;"'!warmteinkoop_2024"),0)
+IFERROR(INDIRECT("'"&amp;$D$36&amp;"'!warmteinkoop_2024"),0)
+IFERROR(INDIRECT("'"&amp;$D$37&amp;"'!warmteinkoop_2024"),0)
+IFERROR(INDIRECT("'"&amp;$D$38&amp;"'!warmteinkoop_2024"),0)
+IFERROR(INDIRECT("'"&amp;$D$39&amp;"'!warmteinkoop_2024"),0)
+IFERROR(INDIRECT("'"&amp;$D$40&amp;"'!warmteinkoop_2024"),0)
+IFERROR(INDIRECT("'"&amp;$D$41&amp;"'!warmteinkoop_2024"),0)
+IFERROR(INDIRECT("'"&amp;$D$42&amp;"'!warmteinkoop_2024"),0)
+IFERROR(INDIRECT("'"&amp;$D$43&amp;"'!warmteinkoop_2024"),0)
+IFERROR(INDIRECT("'"&amp;$D$44&amp;"'!warmteinkoop_2024"),0)
+IFERROR(INDIRECT("'"&amp;$D$45&amp;"'!warmteinkoop_2024"),0)
+IFERROR(INDIRECT("'"&amp;$D$46&amp;"'!warmteinkoop_2024"),0)
+IFERROR(INDIRECT("'"&amp;$D$47&amp;"'!warmteinkoop_2024"),0)
+IFERROR(INDIRECT("'"&amp;$D$48&amp;"'!warmteinkoop_2024"),0)
+IFERROR(INDIRECT("'"&amp;$D$49&amp;"'!warmteinkoop_2024"),0)
+IFERROR(INDIRECT("'"&amp;$D$50&amp;"'!warmteinkoop_2024"),0)
+IFERROR(INDIRECT("'"&amp;$D$51&amp;"'!warmteinkoop_2024"),0)
+IFERROR(INDIRECT("'"&amp;$D$52&amp;"'!warmteinkoop_2024"),0)
+IFERROR(INDIRECT("'"&amp;$D$53&amp;"'!warmteinkoop_2024"),0)
+IFERROR(INDIRECT("'"&amp;$D$54&amp;"'!warmteinkoop_2024"),0)</f>
        <v>751.74199999999996</v>
      </c>
      <c r="O33" s="320">
        <f ca="1">+IFERROR(INDIRECT("'"&amp;$D$5&amp;"'!warmteinkoop_2025"),0)
+IFERROR(INDIRECT("'"&amp;$D$6&amp;"'!warmteinkoop_2025"),0)
+IFERROR(INDIRECT("'"&amp;$D$7&amp;"'!warmteinkoop_2025"),0)
+IFERROR(INDIRECT("'"&amp;$D$8&amp;"'!warmteinkoop_2025"),0)
+IFERROR(INDIRECT("'"&amp;$D$9&amp;"'!warmteinkoop_2025"),0)
+IFERROR(INDIRECT("'"&amp;$D$10&amp;"'!warmteinkoop_2025"),0)
+IFERROR(INDIRECT("'"&amp;$D$11&amp;"'!warmteinkoop_2025"),0)
+IFERROR(INDIRECT("'"&amp;$D$12&amp;"'!warmteinkoop_2025"),0)
+IFERROR(INDIRECT("'"&amp;$D$13&amp;"'!warmteinkoop_2025"),0)
+IFERROR(INDIRECT("'"&amp;$D$14&amp;"'!warmteinkoop_2025"),0)
+IFERROR(INDIRECT("'"&amp;$D$15&amp;"'!warmteinkoop_2025"),0)
+IFERROR(INDIRECT("'"&amp;$D$16&amp;"'!warmteinkoop_2025"),0)
+IFERROR(INDIRECT("'"&amp;$D$17&amp;"'!warmteinkoop_2025"),0)
+IFERROR(INDIRECT("'"&amp;$D$18&amp;"'!warmteinkoop_2025"),0)
+IFERROR(INDIRECT("'"&amp;$D$19&amp;"'!warmteinkoop_2025"),0)
+IFERROR(INDIRECT("'"&amp;$D$20&amp;"'!warmteinkoop_2025"),0)
+IFERROR(INDIRECT("'"&amp;$D$21&amp;"'!warmteinkoop_2025"),0)
+IFERROR(INDIRECT("'"&amp;$D$22&amp;"'!warmteinkoop_2025"),0)
+IFERROR(INDIRECT("'"&amp;$D$23&amp;"'!warmteinkoop_2025"),0)
+IFERROR(INDIRECT("'"&amp;$D$24&amp;"'!warmteinkoop_2025"),0)
+IFERROR(INDIRECT("'"&amp;$D$25&amp;"'!warmteinkoop_2025"),0)
+IFERROR(INDIRECT("'"&amp;$D$26&amp;"'!warmteinkoop_2025"),0)
+IFERROR(INDIRECT("'"&amp;$D$27&amp;"'!warmteinkoop_2025"),0)
+IFERROR(INDIRECT("'"&amp;$D$28&amp;"'!warmteinkoop_2025"),0)
+IFERROR(INDIRECT("'"&amp;$D$29&amp;"'!warmteinkoop_2025"),0)
+IFERROR(INDIRECT("'"&amp;$D$30&amp;"'!warmteinkoop_2025"),0)
+IFERROR(INDIRECT("'"&amp;$D$31&amp;"'!warmteinkoop_2025"),0)
+IFERROR(INDIRECT("'"&amp;$D$32&amp;"'!warmteinkoop_2025"),0)
+IFERROR(INDIRECT("'"&amp;$D$33&amp;"'!warmteinkoop_2025"),0)
+IFERROR(INDIRECT("'"&amp;$D$34&amp;"'!warmteinkoop_2025"),0)
+IFERROR(INDIRECT("'"&amp;$D$35&amp;"'!warmteinkoop_2025"),0)
+IFERROR(INDIRECT("'"&amp;$D$36&amp;"'!warmteinkoop_2025"),0)
+IFERROR(INDIRECT("'"&amp;$D$37&amp;"'!warmteinkoop_2025"),0)
+IFERROR(INDIRECT("'"&amp;$D$38&amp;"'!warmteinkoop_2025"),0)
+IFERROR(INDIRECT("'"&amp;$D$39&amp;"'!warmteinkoop_2025"),0)
+IFERROR(INDIRECT("'"&amp;$D$40&amp;"'!warmteinkoop_2025"),0)
+IFERROR(INDIRECT("'"&amp;$D$41&amp;"'!warmteinkoop_2025"),0)
+IFERROR(INDIRECT("'"&amp;$D$42&amp;"'!warmteinkoop_2025"),0)
+IFERROR(INDIRECT("'"&amp;$D$43&amp;"'!warmteinkoop_2025"),0)
+IFERROR(INDIRECT("'"&amp;$D$44&amp;"'!warmteinkoop_2025"),0)
+IFERROR(INDIRECT("'"&amp;$D$45&amp;"'!warmteinkoop_2025"),0)
+IFERROR(INDIRECT("'"&amp;$D$46&amp;"'!warmteinkoop_2025"),0)
+IFERROR(INDIRECT("'"&amp;$D$47&amp;"'!warmteinkoop_2025"),0)
+IFERROR(INDIRECT("'"&amp;$D$48&amp;"'!warmteinkoop_2025"),0)
+IFERROR(INDIRECT("'"&amp;$D$49&amp;"'!warmteinkoop_2025"),0)
+IFERROR(INDIRECT("'"&amp;$D$50&amp;"'!warmteinkoop_2025"),0)
+IFERROR(INDIRECT("'"&amp;$D$51&amp;"'!warmteinkoop_2025"),0)
+IFERROR(INDIRECT("'"&amp;$D$52&amp;"'!warmteinkoop_2025"),0)
+IFERROR(INDIRECT("'"&amp;$D$53&amp;"'!warmteinkoop_2025"),0)
+IFERROR(INDIRECT("'"&amp;$D$54&amp;"'!warmteinkoop_2025"),0)</f>
        <v>710.84199999999998</v>
      </c>
      <c r="P33" s="320">
        <f ca="1">+IFERROR(INDIRECT("'"&amp;$D$5&amp;"'!warmteinkoop_2026"),0)
+IFERROR(INDIRECT("'"&amp;$D$6&amp;"'!warmteinkoop_2026"),0)
+IFERROR(INDIRECT("'"&amp;$D$7&amp;"'!warmteinkoop_2026"),0)
+IFERROR(INDIRECT("'"&amp;$D$8&amp;"'!warmteinkoop_2026"),0)
+IFERROR(INDIRECT("'"&amp;$D$9&amp;"'!warmteinkoop_2026"),0)
+IFERROR(INDIRECT("'"&amp;$D$10&amp;"'!warmteinkoop_2026"),0)
+IFERROR(INDIRECT("'"&amp;$D$11&amp;"'!warmteinkoop_2026"),0)
+IFERROR(INDIRECT("'"&amp;$D$12&amp;"'!warmteinkoop_2026"),0)
+IFERROR(INDIRECT("'"&amp;$D$13&amp;"'!warmteinkoop_2026"),0)
+IFERROR(INDIRECT("'"&amp;$D$14&amp;"'!warmteinkoop_2026"),0)
+IFERROR(INDIRECT("'"&amp;$D$15&amp;"'!warmteinkoop_2026"),0)
+IFERROR(INDIRECT("'"&amp;$D$16&amp;"'!warmteinkoop_2026"),0)
+IFERROR(INDIRECT("'"&amp;$D$17&amp;"'!warmteinkoop_2026"),0)
+IFERROR(INDIRECT("'"&amp;$D$18&amp;"'!warmteinkoop_2026"),0)
+IFERROR(INDIRECT("'"&amp;$D$19&amp;"'!warmteinkoop_2026"),0)
+IFERROR(INDIRECT("'"&amp;$D$20&amp;"'!warmteinkoop_2026"),0)
+IFERROR(INDIRECT("'"&amp;$D$21&amp;"'!warmteinkoop_2026"),0)
+IFERROR(INDIRECT("'"&amp;$D$22&amp;"'!warmteinkoop_2026"),0)
+IFERROR(INDIRECT("'"&amp;$D$23&amp;"'!warmteinkoop_2026"),0)
+IFERROR(INDIRECT("'"&amp;$D$24&amp;"'!warmteinkoop_2026"),0)
+IFERROR(INDIRECT("'"&amp;$D$25&amp;"'!warmteinkoop_2026"),0)
+IFERROR(INDIRECT("'"&amp;$D$26&amp;"'!warmteinkoop_2026"),0)
+IFERROR(INDIRECT("'"&amp;$D$27&amp;"'!warmteinkoop_2026"),0)
+IFERROR(INDIRECT("'"&amp;$D$28&amp;"'!warmteinkoop_2026"),0)
+IFERROR(INDIRECT("'"&amp;$D$29&amp;"'!warmteinkoop_2026"),0)
+IFERROR(INDIRECT("'"&amp;$D$30&amp;"'!warmteinkoop_2026"),0)
+IFERROR(INDIRECT("'"&amp;$D$31&amp;"'!warmteinkoop_2026"),0)
+IFERROR(INDIRECT("'"&amp;$D$32&amp;"'!warmteinkoop_2026"),0)
+IFERROR(INDIRECT("'"&amp;$D$33&amp;"'!warmteinkoop_2026"),0)
+IFERROR(INDIRECT("'"&amp;$D$34&amp;"'!warmteinkoop_2026"),0)
+IFERROR(INDIRECT("'"&amp;$D$35&amp;"'!warmteinkoop_2026"),0)
+IFERROR(INDIRECT("'"&amp;$D$36&amp;"'!warmteinkoop_2026"),0)
+IFERROR(INDIRECT("'"&amp;$D$37&amp;"'!warmteinkoop_2026"),0)
+IFERROR(INDIRECT("'"&amp;$D$38&amp;"'!warmteinkoop_2026"),0)
+IFERROR(INDIRECT("'"&amp;$D$39&amp;"'!warmteinkoop_2026"),0)
+IFERROR(INDIRECT("'"&amp;$D$40&amp;"'!warmteinkoop_2026"),0)
+IFERROR(INDIRECT("'"&amp;$D$41&amp;"'!warmteinkoop_2026"),0)
+IFERROR(INDIRECT("'"&amp;$D$42&amp;"'!warmteinkoop_2026"),0)
+IFERROR(INDIRECT("'"&amp;$D$43&amp;"'!warmteinkoop_2026"),0)
+IFERROR(INDIRECT("'"&amp;$D$44&amp;"'!warmteinkoop_2026"),0)
+IFERROR(INDIRECT("'"&amp;$D$45&amp;"'!warmteinkoop_2026"),0)
+IFERROR(INDIRECT("'"&amp;$D$46&amp;"'!warmteinkoop_2026"),0)
+IFERROR(INDIRECT("'"&amp;$D$47&amp;"'!warmteinkoop_2026"),0)
+IFERROR(INDIRECT("'"&amp;$D$48&amp;"'!warmteinkoop_2026"),0)
+IFERROR(INDIRECT("'"&amp;$D$49&amp;"'!warmteinkoop_2026"),0)
+IFERROR(INDIRECT("'"&amp;$D$50&amp;"'!warmteinkoop_2026"),0)
+IFERROR(INDIRECT("'"&amp;$D$51&amp;"'!warmteinkoop_2026"),0)
+IFERROR(INDIRECT("'"&amp;$D$52&amp;"'!warmteinkoop_2026"),0)
+IFERROR(INDIRECT("'"&amp;$D$53&amp;"'!warmteinkoop_2026"),0)
+IFERROR(INDIRECT("'"&amp;$D$54&amp;"'!warmteinkoop_2026"),0)</f>
        <v>710.84199999999998</v>
      </c>
      <c r="Q33" s="320">
        <f ca="1">+IFERROR(INDIRECT("'"&amp;$D$5&amp;"'!warmteinkoop_2027"),0)
+IFERROR(INDIRECT("'"&amp;$D$6&amp;"'!warmteinkoop_2027"),0)
+IFERROR(INDIRECT("'"&amp;$D$7&amp;"'!warmteinkoop_2027"),0)
+IFERROR(INDIRECT("'"&amp;$D$8&amp;"'!warmteinkoop_2027"),0)
+IFERROR(INDIRECT("'"&amp;$D$9&amp;"'!warmteinkoop_2027"),0)
+IFERROR(INDIRECT("'"&amp;$D$10&amp;"'!warmteinkoop_2027"),0)
+IFERROR(INDIRECT("'"&amp;$D$11&amp;"'!warmteinkoop_2027"),0)
+IFERROR(INDIRECT("'"&amp;$D$12&amp;"'!warmteinkoop_2027"),0)
+IFERROR(INDIRECT("'"&amp;$D$13&amp;"'!warmteinkoop_2027"),0)
+IFERROR(INDIRECT("'"&amp;$D$14&amp;"'!warmteinkoop_2027"),0)
+IFERROR(INDIRECT("'"&amp;$D$15&amp;"'!warmteinkoop_2027"),0)
+IFERROR(INDIRECT("'"&amp;$D$16&amp;"'!warmteinkoop_2027"),0)
+IFERROR(INDIRECT("'"&amp;$D$17&amp;"'!warmteinkoop_2027"),0)
+IFERROR(INDIRECT("'"&amp;$D$18&amp;"'!warmteinkoop_2027"),0)
+IFERROR(INDIRECT("'"&amp;$D$19&amp;"'!warmteinkoop_2027"),0)
+IFERROR(INDIRECT("'"&amp;$D$20&amp;"'!warmteinkoop_2027"),0)
+IFERROR(INDIRECT("'"&amp;$D$21&amp;"'!warmteinkoop_2027"),0)
+IFERROR(INDIRECT("'"&amp;$D$22&amp;"'!warmteinkoop_2027"),0)
+IFERROR(INDIRECT("'"&amp;$D$23&amp;"'!warmteinkoop_2027"),0)
+IFERROR(INDIRECT("'"&amp;$D$24&amp;"'!warmteinkoop_2027"),0)
+IFERROR(INDIRECT("'"&amp;$D$25&amp;"'!warmteinkoop_2027"),0)
+IFERROR(INDIRECT("'"&amp;$D$26&amp;"'!warmteinkoop_2027"),0)
+IFERROR(INDIRECT("'"&amp;$D$27&amp;"'!warmteinkoop_2027"),0)
+IFERROR(INDIRECT("'"&amp;$D$28&amp;"'!warmteinkoop_2027"),0)
+IFERROR(INDIRECT("'"&amp;$D$29&amp;"'!warmteinkoop_2027"),0)
+IFERROR(INDIRECT("'"&amp;$D$30&amp;"'!warmteinkoop_2027"),0)
+IFERROR(INDIRECT("'"&amp;$D$31&amp;"'!warmteinkoop_2027"),0)
+IFERROR(INDIRECT("'"&amp;$D$32&amp;"'!warmteinkoop_2027"),0)
+IFERROR(INDIRECT("'"&amp;$D$33&amp;"'!warmteinkoop_2027"),0)
+IFERROR(INDIRECT("'"&amp;$D$34&amp;"'!warmteinkoop_2027"),0)
+IFERROR(INDIRECT("'"&amp;$D$35&amp;"'!warmteinkoop_2027"),0)
+IFERROR(INDIRECT("'"&amp;$D$36&amp;"'!warmteinkoop_2027"),0)
+IFERROR(INDIRECT("'"&amp;$D$37&amp;"'!warmteinkoop_2027"),0)
+IFERROR(INDIRECT("'"&amp;$D$38&amp;"'!warmteinkoop_2027"),0)
+IFERROR(INDIRECT("'"&amp;$D$39&amp;"'!warmteinkoop_2027"),0)
+IFERROR(INDIRECT("'"&amp;$D$40&amp;"'!warmteinkoop_2027"),0)
+IFERROR(INDIRECT("'"&amp;$D$41&amp;"'!warmteinkoop_2027"),0)
+IFERROR(INDIRECT("'"&amp;$D$42&amp;"'!warmteinkoop_2027"),0)
+IFERROR(INDIRECT("'"&amp;$D$43&amp;"'!warmteinkoop_2027"),0)
+IFERROR(INDIRECT("'"&amp;$D$44&amp;"'!warmteinkoop_2027"),0)
+IFERROR(INDIRECT("'"&amp;$D$45&amp;"'!warmteinkoop_2027"),0)
+IFERROR(INDIRECT("'"&amp;$D$46&amp;"'!warmteinkoop_2027"),0)
+IFERROR(INDIRECT("'"&amp;$D$47&amp;"'!warmteinkoop_2027"),0)
+IFERROR(INDIRECT("'"&amp;$D$48&amp;"'!warmteinkoop_2027"),0)
+IFERROR(INDIRECT("'"&amp;$D$49&amp;"'!warmteinkoop_2027"),0)
+IFERROR(INDIRECT("'"&amp;$D$50&amp;"'!warmteinkoop_2027"),0)
+IFERROR(INDIRECT("'"&amp;$D$51&amp;"'!warmteinkoop_2027"),0)
+IFERROR(INDIRECT("'"&amp;$D$52&amp;"'!warmteinkoop_2027"),0)
+IFERROR(INDIRECT("'"&amp;$D$53&amp;"'!warmteinkoop_2027"),0)
+IFERROR(INDIRECT("'"&amp;$D$54&amp;"'!warmteinkoop_2027"),0)</f>
        <v>710.84199999999998</v>
      </c>
      <c r="R33" s="320">
        <f ca="1">+IFERROR(INDIRECT("'"&amp;$D$5&amp;"'!warmteinkoop_2028"),0)
+IFERROR(INDIRECT("'"&amp;$D$6&amp;"'!warmteinkoop_2028"),0)
+IFERROR(INDIRECT("'"&amp;$D$7&amp;"'!warmteinkoop_2028"),0)
+IFERROR(INDIRECT("'"&amp;$D$8&amp;"'!warmteinkoop_2028"),0)
+IFERROR(INDIRECT("'"&amp;$D$9&amp;"'!warmteinkoop_2028"),0)
+IFERROR(INDIRECT("'"&amp;$D$10&amp;"'!warmteinkoop_2028"),0)
+IFERROR(INDIRECT("'"&amp;$D$11&amp;"'!warmteinkoop_2028"),0)
+IFERROR(INDIRECT("'"&amp;$D$12&amp;"'!warmteinkoop_2028"),0)
+IFERROR(INDIRECT("'"&amp;$D$13&amp;"'!warmteinkoop_2028"),0)
+IFERROR(INDIRECT("'"&amp;$D$14&amp;"'!warmteinkoop_2028"),0)
+IFERROR(INDIRECT("'"&amp;$D$15&amp;"'!warmteinkoop_2028"),0)
+IFERROR(INDIRECT("'"&amp;$D$16&amp;"'!warmteinkoop_2028"),0)
+IFERROR(INDIRECT("'"&amp;$D$17&amp;"'!warmteinkoop_2028"),0)
+IFERROR(INDIRECT("'"&amp;$D$18&amp;"'!warmteinkoop_2028"),0)
+IFERROR(INDIRECT("'"&amp;$D$19&amp;"'!warmteinkoop_2028"),0)
+IFERROR(INDIRECT("'"&amp;$D$20&amp;"'!warmteinkoop_2028"),0)
+IFERROR(INDIRECT("'"&amp;$D$21&amp;"'!warmteinkoop_2028"),0)
+IFERROR(INDIRECT("'"&amp;$D$22&amp;"'!warmteinkoop_2028"),0)
+IFERROR(INDIRECT("'"&amp;$D$23&amp;"'!warmteinkoop_2028"),0)
+IFERROR(INDIRECT("'"&amp;$D$24&amp;"'!warmteinkoop_2028"),0)
+IFERROR(INDIRECT("'"&amp;$D$25&amp;"'!warmteinkoop_2028"),0)
+IFERROR(INDIRECT("'"&amp;$D$26&amp;"'!warmteinkoop_2028"),0)
+IFERROR(INDIRECT("'"&amp;$D$27&amp;"'!warmteinkoop_2028"),0)
+IFERROR(INDIRECT("'"&amp;$D$28&amp;"'!warmteinkoop_2028"),0)
+IFERROR(INDIRECT("'"&amp;$D$29&amp;"'!warmteinkoop_2028"),0)
+IFERROR(INDIRECT("'"&amp;$D$30&amp;"'!warmteinkoop_2028"),0)
+IFERROR(INDIRECT("'"&amp;$D$31&amp;"'!warmteinkoop_2028"),0)
+IFERROR(INDIRECT("'"&amp;$D$32&amp;"'!warmteinkoop_2028"),0)
+IFERROR(INDIRECT("'"&amp;$D$33&amp;"'!warmteinkoop_2028"),0)
+IFERROR(INDIRECT("'"&amp;$D$34&amp;"'!warmteinkoop_2028"),0)
+IFERROR(INDIRECT("'"&amp;$D$35&amp;"'!warmteinkoop_2028"),0)
+IFERROR(INDIRECT("'"&amp;$D$36&amp;"'!warmteinkoop_2028"),0)
+IFERROR(INDIRECT("'"&amp;$D$37&amp;"'!warmteinkoop_2028"),0)
+IFERROR(INDIRECT("'"&amp;$D$38&amp;"'!warmteinkoop_2028"),0)
+IFERROR(INDIRECT("'"&amp;$D$39&amp;"'!warmteinkoop_2028"),0)
+IFERROR(INDIRECT("'"&amp;$D$40&amp;"'!warmteinkoop_2028"),0)
+IFERROR(INDIRECT("'"&amp;$D$41&amp;"'!warmteinkoop_2028"),0)
+IFERROR(INDIRECT("'"&amp;$D$42&amp;"'!warmteinkoop_2028"),0)
+IFERROR(INDIRECT("'"&amp;$D$43&amp;"'!warmteinkoop_2028"),0)
+IFERROR(INDIRECT("'"&amp;$D$44&amp;"'!warmteinkoop_2028"),0)
+IFERROR(INDIRECT("'"&amp;$D$45&amp;"'!warmteinkoop_2028"),0)
+IFERROR(INDIRECT("'"&amp;$D$46&amp;"'!warmteinkoop_2028"),0)
+IFERROR(INDIRECT("'"&amp;$D$47&amp;"'!warmteinkoop_2028"),0)
+IFERROR(INDIRECT("'"&amp;$D$48&amp;"'!warmteinkoop_2028"),0)
+IFERROR(INDIRECT("'"&amp;$D$49&amp;"'!warmteinkoop_2028"),0)
+IFERROR(INDIRECT("'"&amp;$D$50&amp;"'!warmteinkoop_2028"),0)
+IFERROR(INDIRECT("'"&amp;$D$51&amp;"'!warmteinkoop_2028"),0)
+IFERROR(INDIRECT("'"&amp;$D$52&amp;"'!warmteinkoop_2028"),0)
+IFERROR(INDIRECT("'"&amp;$D$53&amp;"'!warmteinkoop_2028"),0)
+IFERROR(INDIRECT("'"&amp;$D$54&amp;"'!warmteinkoop_2028"),0)</f>
        <v>0</v>
      </c>
      <c r="S33" s="320">
        <f ca="1">+IFERROR(INDIRECT("'"&amp;$D$5&amp;"'!warmteinkoop_2029"),0)
+IFERROR(INDIRECT("'"&amp;$D$6&amp;"'!warmteinkoop_2029"),0)
+IFERROR(INDIRECT("'"&amp;$D$7&amp;"'!warmteinkoop_2029"),0)
+IFERROR(INDIRECT("'"&amp;$D$8&amp;"'!warmteinkoop_2029"),0)
+IFERROR(INDIRECT("'"&amp;$D$9&amp;"'!warmteinkoop_2029"),0)
+IFERROR(INDIRECT("'"&amp;$D$10&amp;"'!warmteinkoop_2029"),0)
+IFERROR(INDIRECT("'"&amp;$D$11&amp;"'!warmteinkoop_2029"),0)
+IFERROR(INDIRECT("'"&amp;$D$12&amp;"'!warmteinkoop_2029"),0)
+IFERROR(INDIRECT("'"&amp;$D$13&amp;"'!warmteinkoop_2029"),0)
+IFERROR(INDIRECT("'"&amp;$D$14&amp;"'!warmteinkoop_2029"),0)
+IFERROR(INDIRECT("'"&amp;$D$15&amp;"'!warmteinkoop_2029"),0)
+IFERROR(INDIRECT("'"&amp;$D$16&amp;"'!warmteinkoop_2029"),0)
+IFERROR(INDIRECT("'"&amp;$D$17&amp;"'!warmteinkoop_2029"),0)
+IFERROR(INDIRECT("'"&amp;$D$18&amp;"'!warmteinkoop_2029"),0)
+IFERROR(INDIRECT("'"&amp;$D$19&amp;"'!warmteinkoop_2029"),0)
+IFERROR(INDIRECT("'"&amp;$D$20&amp;"'!warmteinkoop_2029"),0)
+IFERROR(INDIRECT("'"&amp;$D$21&amp;"'!warmteinkoop_2029"),0)
+IFERROR(INDIRECT("'"&amp;$D$22&amp;"'!warmteinkoop_2029"),0)
+IFERROR(INDIRECT("'"&amp;$D$23&amp;"'!warmteinkoop_2029"),0)
+IFERROR(INDIRECT("'"&amp;$D$24&amp;"'!warmteinkoop_2029"),0)
+IFERROR(INDIRECT("'"&amp;$D$25&amp;"'!warmteinkoop_2029"),0)
+IFERROR(INDIRECT("'"&amp;$D$26&amp;"'!warmteinkoop_2029"),0)
+IFERROR(INDIRECT("'"&amp;$D$27&amp;"'!warmteinkoop_2029"),0)
+IFERROR(INDIRECT("'"&amp;$D$28&amp;"'!warmteinkoop_2029"),0)
+IFERROR(INDIRECT("'"&amp;$D$29&amp;"'!warmteinkoop_2029"),0)
+IFERROR(INDIRECT("'"&amp;$D$30&amp;"'!warmteinkoop_2029"),0)
+IFERROR(INDIRECT("'"&amp;$D$31&amp;"'!warmteinkoop_2029"),0)
+IFERROR(INDIRECT("'"&amp;$D$32&amp;"'!warmteinkoop_2029"),0)
+IFERROR(INDIRECT("'"&amp;$D$33&amp;"'!warmteinkoop_2029"),0)
+IFERROR(INDIRECT("'"&amp;$D$34&amp;"'!warmteinkoop_2029"),0)
+IFERROR(INDIRECT("'"&amp;$D$35&amp;"'!warmteinkoop_2029"),0)
+IFERROR(INDIRECT("'"&amp;$D$36&amp;"'!warmteinkoop_2029"),0)
+IFERROR(INDIRECT("'"&amp;$D$37&amp;"'!warmteinkoop_2029"),0)
+IFERROR(INDIRECT("'"&amp;$D$38&amp;"'!warmteinkoop_2029"),0)
+IFERROR(INDIRECT("'"&amp;$D$39&amp;"'!warmteinkoop_2029"),0)
+IFERROR(INDIRECT("'"&amp;$D$40&amp;"'!warmteinkoop_2029"),0)
+IFERROR(INDIRECT("'"&amp;$D$41&amp;"'!warmteinkoop_2029"),0)
+IFERROR(INDIRECT("'"&amp;$D$42&amp;"'!warmteinkoop_2029"),0)
+IFERROR(INDIRECT("'"&amp;$D$43&amp;"'!warmteinkoop_2029"),0)
+IFERROR(INDIRECT("'"&amp;$D$44&amp;"'!warmteinkoop_2029"),0)
+IFERROR(INDIRECT("'"&amp;$D$45&amp;"'!warmteinkoop_2029"),0)
+IFERROR(INDIRECT("'"&amp;$D$46&amp;"'!warmteinkoop_2029"),0)
+IFERROR(INDIRECT("'"&amp;$D$47&amp;"'!warmteinkoop_2029"),0)
+IFERROR(INDIRECT("'"&amp;$D$48&amp;"'!warmteinkoop_2029"),0)
+IFERROR(INDIRECT("'"&amp;$D$49&amp;"'!warmteinkoop_2029"),0)
+IFERROR(INDIRECT("'"&amp;$D$50&amp;"'!warmteinkoop_2029"),0)
+IFERROR(INDIRECT("'"&amp;$D$51&amp;"'!warmteinkoop_2029"),0)
+IFERROR(INDIRECT("'"&amp;$D$52&amp;"'!warmteinkoop_2029"),0)
+IFERROR(INDIRECT("'"&amp;$D$53&amp;"'!warmteinkoop_2029"),0)
+IFERROR(INDIRECT("'"&amp;$D$54&amp;"'!warmteinkoop_2029"),0)</f>
        <v>0</v>
      </c>
      <c r="T33" s="320">
        <f ca="1">+IFERROR(INDIRECT("'"&amp;$D$5&amp;"'!warmteinkoop_2030"),0)
+IFERROR(INDIRECT("'"&amp;$D$6&amp;"'!warmteinkoop_2030"),0)
+IFERROR(INDIRECT("'"&amp;$D$7&amp;"'!warmteinkoop_2030"),0)
+IFERROR(INDIRECT("'"&amp;$D$8&amp;"'!warmteinkoop_2030"),0)
+IFERROR(INDIRECT("'"&amp;$D$9&amp;"'!warmteinkoop_2030"),0)
+IFERROR(INDIRECT("'"&amp;$D$10&amp;"'!warmteinkoop_2030"),0)
+IFERROR(INDIRECT("'"&amp;$D$11&amp;"'!warmteinkoop_2030"),0)
+IFERROR(INDIRECT("'"&amp;$D$12&amp;"'!warmteinkoop_2030"),0)
+IFERROR(INDIRECT("'"&amp;$D$13&amp;"'!warmteinkoop_2030"),0)
+IFERROR(INDIRECT("'"&amp;$D$14&amp;"'!warmteinkoop_2030"),0)
+IFERROR(INDIRECT("'"&amp;$D$15&amp;"'!warmteinkoop_2030"),0)
+IFERROR(INDIRECT("'"&amp;$D$16&amp;"'!warmteinkoop_2030"),0)
+IFERROR(INDIRECT("'"&amp;$D$17&amp;"'!warmteinkoop_2030"),0)
+IFERROR(INDIRECT("'"&amp;$D$18&amp;"'!warmteinkoop_2030"),0)
+IFERROR(INDIRECT("'"&amp;$D$19&amp;"'!warmteinkoop_2030"),0)
+IFERROR(INDIRECT("'"&amp;$D$20&amp;"'!warmteinkoop_2030"),0)
+IFERROR(INDIRECT("'"&amp;$D$21&amp;"'!warmteinkoop_2030"),0)
+IFERROR(INDIRECT("'"&amp;$D$22&amp;"'!warmteinkoop_2030"),0)
+IFERROR(INDIRECT("'"&amp;$D$23&amp;"'!warmteinkoop_2030"),0)
+IFERROR(INDIRECT("'"&amp;$D$24&amp;"'!warmteinkoop_2030"),0)
+IFERROR(INDIRECT("'"&amp;$D$25&amp;"'!warmteinkoop_2030"),0)
+IFERROR(INDIRECT("'"&amp;$D$26&amp;"'!warmteinkoop_2030"),0)
+IFERROR(INDIRECT("'"&amp;$D$27&amp;"'!warmteinkoop_2030"),0)
+IFERROR(INDIRECT("'"&amp;$D$28&amp;"'!warmteinkoop_2030"),0)
+IFERROR(INDIRECT("'"&amp;$D$29&amp;"'!warmteinkoop_2030"),0)
+IFERROR(INDIRECT("'"&amp;$D$30&amp;"'!warmteinkoop_2030"),0)
+IFERROR(INDIRECT("'"&amp;$D$31&amp;"'!warmteinkoop_2030"),0)
+IFERROR(INDIRECT("'"&amp;$D$32&amp;"'!warmteinkoop_2030"),0)
+IFERROR(INDIRECT("'"&amp;$D$33&amp;"'!warmteinkoop_2030"),0)
+IFERROR(INDIRECT("'"&amp;$D$34&amp;"'!warmteinkoop_2030"),0)
+IFERROR(INDIRECT("'"&amp;$D$35&amp;"'!warmteinkoop_2030"),0)
+IFERROR(INDIRECT("'"&amp;$D$36&amp;"'!warmteinkoop_2030"),0)
+IFERROR(INDIRECT("'"&amp;$D$37&amp;"'!warmteinkoop_2030"),0)
+IFERROR(INDIRECT("'"&amp;$D$38&amp;"'!warmteinkoop_2030"),0)
+IFERROR(INDIRECT("'"&amp;$D$39&amp;"'!warmteinkoop_2030"),0)
+IFERROR(INDIRECT("'"&amp;$D$40&amp;"'!warmteinkoop_2030"),0)
+IFERROR(INDIRECT("'"&amp;$D$41&amp;"'!warmteinkoop_2030"),0)
+IFERROR(INDIRECT("'"&amp;$D$42&amp;"'!warmteinkoop_2030"),0)
+IFERROR(INDIRECT("'"&amp;$D$43&amp;"'!warmteinkoop_2030"),0)
+IFERROR(INDIRECT("'"&amp;$D$44&amp;"'!warmteinkoop_2030"),0)
+IFERROR(INDIRECT("'"&amp;$D$45&amp;"'!warmteinkoop_2030"),0)
+IFERROR(INDIRECT("'"&amp;$D$46&amp;"'!warmteinkoop_2030"),0)
+IFERROR(INDIRECT("'"&amp;$D$47&amp;"'!warmteinkoop_2030"),0)
+IFERROR(INDIRECT("'"&amp;$D$48&amp;"'!warmteinkoop_2030"),0)
+IFERROR(INDIRECT("'"&amp;$D$49&amp;"'!warmteinkoop_2030"),0)
+IFERROR(INDIRECT("'"&amp;$D$50&amp;"'!warmteinkoop_2030"),0)
+IFERROR(INDIRECT("'"&amp;$D$51&amp;"'!warmteinkoop_2030"),0)
+IFERROR(INDIRECT("'"&amp;$D$52&amp;"'!warmteinkoop_2030"),0)
+IFERROR(INDIRECT("'"&amp;$D$53&amp;"'!warmteinkoop_2030"),0)
+IFERROR(INDIRECT("'"&amp;$D$54&amp;"'!warmteinkoop_2030"),0)</f>
        <v>0</v>
      </c>
      <c r="U33" s="320">
        <f ca="1">+IFERROR(INDIRECT("'"&amp;$D$5&amp;"'!warmteinkoop_2031"),0)
+IFERROR(INDIRECT("'"&amp;$D$6&amp;"'!warmteinkoop_2031"),0)
+IFERROR(INDIRECT("'"&amp;$D$7&amp;"'!warmteinkoop_2031"),0)
+IFERROR(INDIRECT("'"&amp;$D$8&amp;"'!warmteinkoop_2031"),0)
+IFERROR(INDIRECT("'"&amp;$D$9&amp;"'!warmteinkoop_2031"),0)
+IFERROR(INDIRECT("'"&amp;$D$10&amp;"'!warmteinkoop_2031"),0)
+IFERROR(INDIRECT("'"&amp;$D$11&amp;"'!warmteinkoop_2031"),0)
+IFERROR(INDIRECT("'"&amp;$D$12&amp;"'!warmteinkoop_2031"),0)
+IFERROR(INDIRECT("'"&amp;$D$13&amp;"'!warmteinkoop_2031"),0)
+IFERROR(INDIRECT("'"&amp;$D$14&amp;"'!warmteinkoop_2031"),0)
+IFERROR(INDIRECT("'"&amp;$D$15&amp;"'!warmteinkoop_2031"),0)
+IFERROR(INDIRECT("'"&amp;$D$16&amp;"'!warmteinkoop_2031"),0)
+IFERROR(INDIRECT("'"&amp;$D$17&amp;"'!warmteinkoop_2031"),0)
+IFERROR(INDIRECT("'"&amp;$D$18&amp;"'!warmteinkoop_2031"),0)
+IFERROR(INDIRECT("'"&amp;$D$19&amp;"'!warmteinkoop_2031"),0)
+IFERROR(INDIRECT("'"&amp;$D$20&amp;"'!warmteinkoop_2031"),0)
+IFERROR(INDIRECT("'"&amp;$D$21&amp;"'!warmteinkoop_2031"),0)
+IFERROR(INDIRECT("'"&amp;$D$22&amp;"'!warmteinkoop_2031"),0)
+IFERROR(INDIRECT("'"&amp;$D$23&amp;"'!warmteinkoop_2031"),0)
+IFERROR(INDIRECT("'"&amp;$D$24&amp;"'!warmteinkoop_2031"),0)
+IFERROR(INDIRECT("'"&amp;$D$25&amp;"'!warmteinkoop_2031"),0)
+IFERROR(INDIRECT("'"&amp;$D$26&amp;"'!warmteinkoop_2031"),0)
+IFERROR(INDIRECT("'"&amp;$D$27&amp;"'!warmteinkoop_2031"),0)
+IFERROR(INDIRECT("'"&amp;$D$28&amp;"'!warmteinkoop_2031"),0)
+IFERROR(INDIRECT("'"&amp;$D$29&amp;"'!warmteinkoop_2031"),0)
+IFERROR(INDIRECT("'"&amp;$D$30&amp;"'!warmteinkoop_2031"),0)
+IFERROR(INDIRECT("'"&amp;$D$31&amp;"'!warmteinkoop_2031"),0)
+IFERROR(INDIRECT("'"&amp;$D$32&amp;"'!warmteinkoop_2031"),0)
+IFERROR(INDIRECT("'"&amp;$D$33&amp;"'!warmteinkoop_2031"),0)
+IFERROR(INDIRECT("'"&amp;$D$34&amp;"'!warmteinkoop_2031"),0)
+IFERROR(INDIRECT("'"&amp;$D$35&amp;"'!warmteinkoop_2031"),0)
+IFERROR(INDIRECT("'"&amp;$D$36&amp;"'!warmteinkoop_2031"),0)
+IFERROR(INDIRECT("'"&amp;$D$37&amp;"'!warmteinkoop_2031"),0)
+IFERROR(INDIRECT("'"&amp;$D$38&amp;"'!warmteinkoop_2031"),0)
+IFERROR(INDIRECT("'"&amp;$D$39&amp;"'!warmteinkoop_2031"),0)
+IFERROR(INDIRECT("'"&amp;$D$40&amp;"'!warmteinkoop_2031"),0)
+IFERROR(INDIRECT("'"&amp;$D$41&amp;"'!warmteinkoop_2031"),0)
+IFERROR(INDIRECT("'"&amp;$D$42&amp;"'!warmteinkoop_2031"),0)
+IFERROR(INDIRECT("'"&amp;$D$43&amp;"'!warmteinkoop_2031"),0)
+IFERROR(INDIRECT("'"&amp;$D$44&amp;"'!warmteinkoop_2031"),0)
+IFERROR(INDIRECT("'"&amp;$D$45&amp;"'!warmteinkoop_2031"),0)
+IFERROR(INDIRECT("'"&amp;$D$46&amp;"'!warmteinkoop_2031"),0)
+IFERROR(INDIRECT("'"&amp;$D$47&amp;"'!warmteinkoop_2031"),0)
+IFERROR(INDIRECT("'"&amp;$D$48&amp;"'!warmteinkoop_2031"),0)
+IFERROR(INDIRECT("'"&amp;$D$49&amp;"'!warmteinkoop_2031"),0)
+IFERROR(INDIRECT("'"&amp;$D$50&amp;"'!warmteinkoop_2031"),0)
+IFERROR(INDIRECT("'"&amp;$D$51&amp;"'!warmteinkoop_2031"),0)
+IFERROR(INDIRECT("'"&amp;$D$52&amp;"'!warmteinkoop_2031"),0)
+IFERROR(INDIRECT("'"&amp;$D$53&amp;"'!warmteinkoop_2031"),0)
+IFERROR(INDIRECT("'"&amp;$D$54&amp;"'!warmteinkoop_2031"),0)</f>
        <v>0</v>
      </c>
      <c r="V33" s="320">
        <f ca="1">+IFERROR(INDIRECT("'"&amp;$D$5&amp;"'!warmteinkoop_2032"),0)
+IFERROR(INDIRECT("'"&amp;$D$6&amp;"'!warmteinkoop_2032"),0)
+IFERROR(INDIRECT("'"&amp;$D$7&amp;"'!warmteinkoop_2032"),0)
+IFERROR(INDIRECT("'"&amp;$D$8&amp;"'!warmteinkoop_2032"),0)
+IFERROR(INDIRECT("'"&amp;$D$9&amp;"'!warmteinkoop_2032"),0)
+IFERROR(INDIRECT("'"&amp;$D$10&amp;"'!warmteinkoop_2032"),0)
+IFERROR(INDIRECT("'"&amp;$D$11&amp;"'!warmteinkoop_2032"),0)
+IFERROR(INDIRECT("'"&amp;$D$12&amp;"'!warmteinkoop_2032"),0)
+IFERROR(INDIRECT("'"&amp;$D$13&amp;"'!warmteinkoop_2032"),0)
+IFERROR(INDIRECT("'"&amp;$D$14&amp;"'!warmteinkoop_2032"),0)
+IFERROR(INDIRECT("'"&amp;$D$15&amp;"'!warmteinkoop_2032"),0)
+IFERROR(INDIRECT("'"&amp;$D$16&amp;"'!warmteinkoop_2032"),0)
+IFERROR(INDIRECT("'"&amp;$D$17&amp;"'!warmteinkoop_2032"),0)
+IFERROR(INDIRECT("'"&amp;$D$18&amp;"'!warmteinkoop_2032"),0)
+IFERROR(INDIRECT("'"&amp;$D$19&amp;"'!warmteinkoop_2032"),0)
+IFERROR(INDIRECT("'"&amp;$D$20&amp;"'!warmteinkoop_2032"),0)
+IFERROR(INDIRECT("'"&amp;$D$21&amp;"'!warmteinkoop_2032"),0)
+IFERROR(INDIRECT("'"&amp;$D$22&amp;"'!warmteinkoop_2032"),0)
+IFERROR(INDIRECT("'"&amp;$D$23&amp;"'!warmteinkoop_2032"),0)
+IFERROR(INDIRECT("'"&amp;$D$24&amp;"'!warmteinkoop_2032"),0)
+IFERROR(INDIRECT("'"&amp;$D$25&amp;"'!warmteinkoop_2032"),0)
+IFERROR(INDIRECT("'"&amp;$D$26&amp;"'!warmteinkoop_2032"),0)
+IFERROR(INDIRECT("'"&amp;$D$27&amp;"'!warmteinkoop_2032"),0)
+IFERROR(INDIRECT("'"&amp;$D$28&amp;"'!warmteinkoop_2032"),0)
+IFERROR(INDIRECT("'"&amp;$D$29&amp;"'!warmteinkoop_2032"),0)
+IFERROR(INDIRECT("'"&amp;$D$30&amp;"'!warmteinkoop_2032"),0)
+IFERROR(INDIRECT("'"&amp;$D$31&amp;"'!warmteinkoop_2032"),0)
+IFERROR(INDIRECT("'"&amp;$D$32&amp;"'!warmteinkoop_2032"),0)
+IFERROR(INDIRECT("'"&amp;$D$33&amp;"'!warmteinkoop_2032"),0)
+IFERROR(INDIRECT("'"&amp;$D$34&amp;"'!warmteinkoop_2032"),0)
+IFERROR(INDIRECT("'"&amp;$D$35&amp;"'!warmteinkoop_2032"),0)
+IFERROR(INDIRECT("'"&amp;$D$36&amp;"'!warmteinkoop_2032"),0)
+IFERROR(INDIRECT("'"&amp;$D$37&amp;"'!warmteinkoop_2032"),0)
+IFERROR(INDIRECT("'"&amp;$D$38&amp;"'!warmteinkoop_2032"),0)
+IFERROR(INDIRECT("'"&amp;$D$39&amp;"'!warmteinkoop_2032"),0)
+IFERROR(INDIRECT("'"&amp;$D$40&amp;"'!warmteinkoop_2032"),0)
+IFERROR(INDIRECT("'"&amp;$D$41&amp;"'!warmteinkoop_2032"),0)
+IFERROR(INDIRECT("'"&amp;$D$42&amp;"'!warmteinkoop_2032"),0)
+IFERROR(INDIRECT("'"&amp;$D$43&amp;"'!warmteinkoop_2032"),0)
+IFERROR(INDIRECT("'"&amp;$D$44&amp;"'!warmteinkoop_2032"),0)
+IFERROR(INDIRECT("'"&amp;$D$45&amp;"'!warmteinkoop_2032"),0)
+IFERROR(INDIRECT("'"&amp;$D$46&amp;"'!warmteinkoop_2032"),0)
+IFERROR(INDIRECT("'"&amp;$D$47&amp;"'!warmteinkoop_2032"),0)
+IFERROR(INDIRECT("'"&amp;$D$48&amp;"'!warmteinkoop_2032"),0)
+IFERROR(INDIRECT("'"&amp;$D$49&amp;"'!warmteinkoop_2032"),0)
+IFERROR(INDIRECT("'"&amp;$D$50&amp;"'!warmteinkoop_2032"),0)
+IFERROR(INDIRECT("'"&amp;$D$51&amp;"'!warmteinkoop_2032"),0)
+IFERROR(INDIRECT("'"&amp;$D$52&amp;"'!warmteinkoop_2032"),0)
+IFERROR(INDIRECT("'"&amp;$D$53&amp;"'!warmteinkoop_2032"),0)
+IFERROR(INDIRECT("'"&amp;$D$54&amp;"'!warmteinkoop_2032"),0)</f>
        <v>0</v>
      </c>
      <c r="W33" s="320">
        <f ca="1">+IFERROR(INDIRECT("'"&amp;$D$5&amp;"'!warmteinkoop_2033"),0)
+IFERROR(INDIRECT("'"&amp;$D$6&amp;"'!warmteinkoop_2033"),0)
+IFERROR(INDIRECT("'"&amp;$D$7&amp;"'!warmteinkoop_2033"),0)
+IFERROR(INDIRECT("'"&amp;$D$8&amp;"'!warmteinkoop_2033"),0)
+IFERROR(INDIRECT("'"&amp;$D$9&amp;"'!warmteinkoop_2033"),0)
+IFERROR(INDIRECT("'"&amp;$D$10&amp;"'!warmteinkoop_2033"),0)
+IFERROR(INDIRECT("'"&amp;$D$11&amp;"'!warmteinkoop_2033"),0)
+IFERROR(INDIRECT("'"&amp;$D$12&amp;"'!warmteinkoop_2033"),0)
+IFERROR(INDIRECT("'"&amp;$D$13&amp;"'!warmteinkoop_2033"),0)
+IFERROR(INDIRECT("'"&amp;$D$14&amp;"'!warmteinkoop_2033"),0)
+IFERROR(INDIRECT("'"&amp;$D$15&amp;"'!warmteinkoop_2033"),0)
+IFERROR(INDIRECT("'"&amp;$D$16&amp;"'!warmteinkoop_2033"),0)
+IFERROR(INDIRECT("'"&amp;$D$17&amp;"'!warmteinkoop_2033"),0)
+IFERROR(INDIRECT("'"&amp;$D$18&amp;"'!warmteinkoop_2033"),0)
+IFERROR(INDIRECT("'"&amp;$D$19&amp;"'!warmteinkoop_2033"),0)
+IFERROR(INDIRECT("'"&amp;$D$20&amp;"'!warmteinkoop_2033"),0)
+IFERROR(INDIRECT("'"&amp;$D$21&amp;"'!warmteinkoop_2033"),0)
+IFERROR(INDIRECT("'"&amp;$D$22&amp;"'!warmteinkoop_2033"),0)
+IFERROR(INDIRECT("'"&amp;$D$23&amp;"'!warmteinkoop_2033"),0)
+IFERROR(INDIRECT("'"&amp;$D$24&amp;"'!warmteinkoop_2033"),0)
+IFERROR(INDIRECT("'"&amp;$D$25&amp;"'!warmteinkoop_2033"),0)
+IFERROR(INDIRECT("'"&amp;$D$26&amp;"'!warmteinkoop_2033"),0)
+IFERROR(INDIRECT("'"&amp;$D$27&amp;"'!warmteinkoop_2033"),0)
+IFERROR(INDIRECT("'"&amp;$D$28&amp;"'!warmteinkoop_2033"),0)
+IFERROR(INDIRECT("'"&amp;$D$29&amp;"'!warmteinkoop_2033"),0)
+IFERROR(INDIRECT("'"&amp;$D$30&amp;"'!warmteinkoop_2033"),0)
+IFERROR(INDIRECT("'"&amp;$D$31&amp;"'!warmteinkoop_2033"),0)
+IFERROR(INDIRECT("'"&amp;$D$32&amp;"'!warmteinkoop_2033"),0)
+IFERROR(INDIRECT("'"&amp;$D$33&amp;"'!warmteinkoop_2033"),0)
+IFERROR(INDIRECT("'"&amp;$D$34&amp;"'!warmteinkoop_2033"),0)
+IFERROR(INDIRECT("'"&amp;$D$35&amp;"'!warmteinkoop_2033"),0)
+IFERROR(INDIRECT("'"&amp;$D$36&amp;"'!warmteinkoop_2033"),0)
+IFERROR(INDIRECT("'"&amp;$D$37&amp;"'!warmteinkoop_2033"),0)
+IFERROR(INDIRECT("'"&amp;$D$38&amp;"'!warmteinkoop_2033"),0)
+IFERROR(INDIRECT("'"&amp;$D$39&amp;"'!warmteinkoop_2033"),0)
+IFERROR(INDIRECT("'"&amp;$D$40&amp;"'!warmteinkoop_2033"),0)
+IFERROR(INDIRECT("'"&amp;$D$41&amp;"'!warmteinkoop_2033"),0)
+IFERROR(INDIRECT("'"&amp;$D$42&amp;"'!warmteinkoop_2033"),0)
+IFERROR(INDIRECT("'"&amp;$D$43&amp;"'!warmteinkoop_2033"),0)
+IFERROR(INDIRECT("'"&amp;$D$44&amp;"'!warmteinkoop_2033"),0)
+IFERROR(INDIRECT("'"&amp;$D$45&amp;"'!warmteinkoop_2033"),0)
+IFERROR(INDIRECT("'"&amp;$D$46&amp;"'!warmteinkoop_2033"),0)
+IFERROR(INDIRECT("'"&amp;$D$47&amp;"'!warmteinkoop_2033"),0)
+IFERROR(INDIRECT("'"&amp;$D$48&amp;"'!warmteinkoop_2033"),0)
+IFERROR(INDIRECT("'"&amp;$D$49&amp;"'!warmteinkoop_2033"),0)
+IFERROR(INDIRECT("'"&amp;$D$50&amp;"'!warmteinkoop_2033"),0)
+IFERROR(INDIRECT("'"&amp;$D$51&amp;"'!warmteinkoop_2033"),0)
+IFERROR(INDIRECT("'"&amp;$D$52&amp;"'!warmteinkoop_2033"),0)
+IFERROR(INDIRECT("'"&amp;$D$53&amp;"'!warmteinkoop_2033"),0)
+IFERROR(INDIRECT("'"&amp;$D$54&amp;"'!warmteinkoop_2033"),0)</f>
        <v>0</v>
      </c>
      <c r="X33" s="320">
        <f ca="1">+IFERROR(INDIRECT("'"&amp;$D$5&amp;"'!warmteinkoop_2034"),0)
+IFERROR(INDIRECT("'"&amp;$D$6&amp;"'!warmteinkoop_2034"),0)
+IFERROR(INDIRECT("'"&amp;$D$7&amp;"'!warmteinkoop_2034"),0)
+IFERROR(INDIRECT("'"&amp;$D$8&amp;"'!warmteinkoop_2034"),0)
+IFERROR(INDIRECT("'"&amp;$D$9&amp;"'!warmteinkoop_2034"),0)
+IFERROR(INDIRECT("'"&amp;$D$10&amp;"'!warmteinkoop_2034"),0)
+IFERROR(INDIRECT("'"&amp;$D$11&amp;"'!warmteinkoop_2034"),0)
+IFERROR(INDIRECT("'"&amp;$D$12&amp;"'!warmteinkoop_2034"),0)
+IFERROR(INDIRECT("'"&amp;$D$13&amp;"'!warmteinkoop_2034"),0)
+IFERROR(INDIRECT("'"&amp;$D$14&amp;"'!warmteinkoop_2034"),0)
+IFERROR(INDIRECT("'"&amp;$D$15&amp;"'!warmteinkoop_2034"),0)
+IFERROR(INDIRECT("'"&amp;$D$16&amp;"'!warmteinkoop_2034"),0)
+IFERROR(INDIRECT("'"&amp;$D$17&amp;"'!warmteinkoop_2034"),0)
+IFERROR(INDIRECT("'"&amp;$D$18&amp;"'!warmteinkoop_2034"),0)
+IFERROR(INDIRECT("'"&amp;$D$19&amp;"'!warmteinkoop_2034"),0)
+IFERROR(INDIRECT("'"&amp;$D$20&amp;"'!warmteinkoop_2034"),0)
+IFERROR(INDIRECT("'"&amp;$D$21&amp;"'!warmteinkoop_2034"),0)
+IFERROR(INDIRECT("'"&amp;$D$22&amp;"'!warmteinkoop_2034"),0)
+IFERROR(INDIRECT("'"&amp;$D$23&amp;"'!warmteinkoop_2034"),0)
+IFERROR(INDIRECT("'"&amp;$D$24&amp;"'!warmteinkoop_2034"),0)
+IFERROR(INDIRECT("'"&amp;$D$25&amp;"'!warmteinkoop_2034"),0)
+IFERROR(INDIRECT("'"&amp;$D$26&amp;"'!warmteinkoop_2034"),0)
+IFERROR(INDIRECT("'"&amp;$D$27&amp;"'!warmteinkoop_2034"),0)
+IFERROR(INDIRECT("'"&amp;$D$28&amp;"'!warmteinkoop_2034"),0)
+IFERROR(INDIRECT("'"&amp;$D$29&amp;"'!warmteinkoop_2034"),0)
+IFERROR(INDIRECT("'"&amp;$D$30&amp;"'!warmteinkoop_2034"),0)
+IFERROR(INDIRECT("'"&amp;$D$31&amp;"'!warmteinkoop_2034"),0)
+IFERROR(INDIRECT("'"&amp;$D$32&amp;"'!warmteinkoop_2034"),0)
+IFERROR(INDIRECT("'"&amp;$D$33&amp;"'!warmteinkoop_2034"),0)
+IFERROR(INDIRECT("'"&amp;$D$34&amp;"'!warmteinkoop_2034"),0)
+IFERROR(INDIRECT("'"&amp;$D$35&amp;"'!warmteinkoop_2034"),0)
+IFERROR(INDIRECT("'"&amp;$D$36&amp;"'!warmteinkoop_2034"),0)
+IFERROR(INDIRECT("'"&amp;$D$37&amp;"'!warmteinkoop_2034"),0)
+IFERROR(INDIRECT("'"&amp;$D$38&amp;"'!warmteinkoop_2034"),0)
+IFERROR(INDIRECT("'"&amp;$D$39&amp;"'!warmteinkoop_2034"),0)
+IFERROR(INDIRECT("'"&amp;$D$40&amp;"'!warmteinkoop_2034"),0)
+IFERROR(INDIRECT("'"&amp;$D$41&amp;"'!warmteinkoop_2034"),0)
+IFERROR(INDIRECT("'"&amp;$D$42&amp;"'!warmteinkoop_2034"),0)
+IFERROR(INDIRECT("'"&amp;$D$43&amp;"'!warmteinkoop_2034"),0)
+IFERROR(INDIRECT("'"&amp;$D$44&amp;"'!warmteinkoop_2034"),0)
+IFERROR(INDIRECT("'"&amp;$D$45&amp;"'!warmteinkoop_2034"),0)
+IFERROR(INDIRECT("'"&amp;$D$46&amp;"'!warmteinkoop_2034"),0)
+IFERROR(INDIRECT("'"&amp;$D$47&amp;"'!warmteinkoop_2034"),0)
+IFERROR(INDIRECT("'"&amp;$D$48&amp;"'!warmteinkoop_2034"),0)
+IFERROR(INDIRECT("'"&amp;$D$49&amp;"'!warmteinkoop_2034"),0)
+IFERROR(INDIRECT("'"&amp;$D$50&amp;"'!warmteinkoop_2034"),0)
+IFERROR(INDIRECT("'"&amp;$D$51&amp;"'!warmteinkoop_2034"),0)
+IFERROR(INDIRECT("'"&amp;$D$52&amp;"'!warmteinkoop_2034"),0)
+IFERROR(INDIRECT("'"&amp;$D$53&amp;"'!warmteinkoop_2034"),0)
+IFERROR(INDIRECT("'"&amp;$D$54&amp;"'!warmteinkoop_2034"),0)</f>
        <v>0</v>
      </c>
      <c r="Y33" s="320">
        <f ca="1">+IFERROR(INDIRECT("'"&amp;$D$5&amp;"'!warmteinkoop_2035"),0)
+IFERROR(INDIRECT("'"&amp;$D$6&amp;"'!warmteinkoop_2035"),0)
+IFERROR(INDIRECT("'"&amp;$D$7&amp;"'!warmteinkoop_2035"),0)
+IFERROR(INDIRECT("'"&amp;$D$8&amp;"'!warmteinkoop_2035"),0)
+IFERROR(INDIRECT("'"&amp;$D$9&amp;"'!warmteinkoop_2035"),0)
+IFERROR(INDIRECT("'"&amp;$D$10&amp;"'!warmteinkoop_2035"),0)
+IFERROR(INDIRECT("'"&amp;$D$11&amp;"'!warmteinkoop_2035"),0)
+IFERROR(INDIRECT("'"&amp;$D$12&amp;"'!warmteinkoop_2035"),0)
+IFERROR(INDIRECT("'"&amp;$D$13&amp;"'!warmteinkoop_2035"),0)
+IFERROR(INDIRECT("'"&amp;$D$14&amp;"'!warmteinkoop_2035"),0)
+IFERROR(INDIRECT("'"&amp;$D$15&amp;"'!warmteinkoop_2035"),0)
+IFERROR(INDIRECT("'"&amp;$D$16&amp;"'!warmteinkoop_2035"),0)
+IFERROR(INDIRECT("'"&amp;$D$17&amp;"'!warmteinkoop_2035"),0)
+IFERROR(INDIRECT("'"&amp;$D$18&amp;"'!warmteinkoop_2035"),0)
+IFERROR(INDIRECT("'"&amp;$D$19&amp;"'!warmteinkoop_2035"),0)
+IFERROR(INDIRECT("'"&amp;$D$20&amp;"'!warmteinkoop_2035"),0)
+IFERROR(INDIRECT("'"&amp;$D$21&amp;"'!warmteinkoop_2035"),0)
+IFERROR(INDIRECT("'"&amp;$D$22&amp;"'!warmteinkoop_2035"),0)
+IFERROR(INDIRECT("'"&amp;$D$23&amp;"'!warmteinkoop_2035"),0)
+IFERROR(INDIRECT("'"&amp;$D$24&amp;"'!warmteinkoop_2035"),0)
+IFERROR(INDIRECT("'"&amp;$D$25&amp;"'!warmteinkoop_2035"),0)
+IFERROR(INDIRECT("'"&amp;$D$26&amp;"'!warmteinkoop_2035"),0)
+IFERROR(INDIRECT("'"&amp;$D$27&amp;"'!warmteinkoop_2035"),0)
+IFERROR(INDIRECT("'"&amp;$D$28&amp;"'!warmteinkoop_2035"),0)
+IFERROR(INDIRECT("'"&amp;$D$29&amp;"'!warmteinkoop_2035"),0)
+IFERROR(INDIRECT("'"&amp;$D$30&amp;"'!warmteinkoop_2035"),0)
+IFERROR(INDIRECT("'"&amp;$D$31&amp;"'!warmteinkoop_2035"),0)
+IFERROR(INDIRECT("'"&amp;$D$32&amp;"'!warmteinkoop_2035"),0)
+IFERROR(INDIRECT("'"&amp;$D$33&amp;"'!warmteinkoop_2035"),0)
+IFERROR(INDIRECT("'"&amp;$D$34&amp;"'!warmteinkoop_2035"),0)
+IFERROR(INDIRECT("'"&amp;$D$35&amp;"'!warmteinkoop_2035"),0)
+IFERROR(INDIRECT("'"&amp;$D$36&amp;"'!warmteinkoop_2035"),0)
+IFERROR(INDIRECT("'"&amp;$D$37&amp;"'!warmteinkoop_2035"),0)
+IFERROR(INDIRECT("'"&amp;$D$38&amp;"'!warmteinkoop_2035"),0)
+IFERROR(INDIRECT("'"&amp;$D$39&amp;"'!warmteinkoop_2035"),0)
+IFERROR(INDIRECT("'"&amp;$D$40&amp;"'!warmteinkoop_2035"),0)
+IFERROR(INDIRECT("'"&amp;$D$41&amp;"'!warmteinkoop_2035"),0)
+IFERROR(INDIRECT("'"&amp;$D$42&amp;"'!warmteinkoop_2035"),0)
+IFERROR(INDIRECT("'"&amp;$D$43&amp;"'!warmteinkoop_2035"),0)
+IFERROR(INDIRECT("'"&amp;$D$44&amp;"'!warmteinkoop_2035"),0)
+IFERROR(INDIRECT("'"&amp;$D$45&amp;"'!warmteinkoop_2035"),0)
+IFERROR(INDIRECT("'"&amp;$D$46&amp;"'!warmteinkoop_2035"),0)
+IFERROR(INDIRECT("'"&amp;$D$47&amp;"'!warmteinkoop_2035"),0)
+IFERROR(INDIRECT("'"&amp;$D$48&amp;"'!warmteinkoop_2035"),0)
+IFERROR(INDIRECT("'"&amp;$D$49&amp;"'!warmteinkoop_2035"),0)
+IFERROR(INDIRECT("'"&amp;$D$50&amp;"'!warmteinkoop_2035"),0)
+IFERROR(INDIRECT("'"&amp;$D$51&amp;"'!warmteinkoop_2035"),0)
+IFERROR(INDIRECT("'"&amp;$D$52&amp;"'!warmteinkoop_2035"),0)
+IFERROR(INDIRECT("'"&amp;$D$53&amp;"'!warmteinkoop_2035"),0)
+IFERROR(INDIRECT("'"&amp;$D$54&amp;"'!warmteinkoop_2035"),0)</f>
        <v>0</v>
      </c>
      <c r="Z33" s="320">
        <f ca="1">+IFERROR(INDIRECT("'"&amp;$D$5&amp;"'!warmteinkoop_2036"),0)
+IFERROR(INDIRECT("'"&amp;$D$6&amp;"'!warmteinkoop_2036"),0)
+IFERROR(INDIRECT("'"&amp;$D$7&amp;"'!warmteinkoop_2036"),0)
+IFERROR(INDIRECT("'"&amp;$D$8&amp;"'!warmteinkoop_2036"),0)
+IFERROR(INDIRECT("'"&amp;$D$9&amp;"'!warmteinkoop_2036"),0)
+IFERROR(INDIRECT("'"&amp;$D$10&amp;"'!warmteinkoop_2036"),0)
+IFERROR(INDIRECT("'"&amp;$D$11&amp;"'!warmteinkoop_2036"),0)
+IFERROR(INDIRECT("'"&amp;$D$12&amp;"'!warmteinkoop_2036"),0)
+IFERROR(INDIRECT("'"&amp;$D$13&amp;"'!warmteinkoop_2036"),0)
+IFERROR(INDIRECT("'"&amp;$D$14&amp;"'!warmteinkoop_2036"),0)
+IFERROR(INDIRECT("'"&amp;$D$15&amp;"'!warmteinkoop_2036"),0)
+IFERROR(INDIRECT("'"&amp;$D$16&amp;"'!warmteinkoop_2036"),0)
+IFERROR(INDIRECT("'"&amp;$D$17&amp;"'!warmteinkoop_2036"),0)
+IFERROR(INDIRECT("'"&amp;$D$18&amp;"'!warmteinkoop_2036"),0)
+IFERROR(INDIRECT("'"&amp;$D$19&amp;"'!warmteinkoop_2036"),0)
+IFERROR(INDIRECT("'"&amp;$D$20&amp;"'!warmteinkoop_2036"),0)
+IFERROR(INDIRECT("'"&amp;$D$21&amp;"'!warmteinkoop_2036"),0)
+IFERROR(INDIRECT("'"&amp;$D$22&amp;"'!warmteinkoop_2036"),0)
+IFERROR(INDIRECT("'"&amp;$D$23&amp;"'!warmteinkoop_2036"),0)
+IFERROR(INDIRECT("'"&amp;$D$24&amp;"'!warmteinkoop_2036"),0)
+IFERROR(INDIRECT("'"&amp;$D$25&amp;"'!warmteinkoop_2036"),0)
+IFERROR(INDIRECT("'"&amp;$D$26&amp;"'!warmteinkoop_2036"),0)
+IFERROR(INDIRECT("'"&amp;$D$27&amp;"'!warmteinkoop_2036"),0)
+IFERROR(INDIRECT("'"&amp;$D$28&amp;"'!warmteinkoop_2036"),0)
+IFERROR(INDIRECT("'"&amp;$D$29&amp;"'!warmteinkoop_2036"),0)
+IFERROR(INDIRECT("'"&amp;$D$30&amp;"'!warmteinkoop_2036"),0)
+IFERROR(INDIRECT("'"&amp;$D$31&amp;"'!warmteinkoop_2036"),0)
+IFERROR(INDIRECT("'"&amp;$D$32&amp;"'!warmteinkoop_2036"),0)
+IFERROR(INDIRECT("'"&amp;$D$33&amp;"'!warmteinkoop_2036"),0)
+IFERROR(INDIRECT("'"&amp;$D$34&amp;"'!warmteinkoop_2036"),0)
+IFERROR(INDIRECT("'"&amp;$D$35&amp;"'!warmteinkoop_2036"),0)
+IFERROR(INDIRECT("'"&amp;$D$36&amp;"'!warmteinkoop_2036"),0)
+IFERROR(INDIRECT("'"&amp;$D$37&amp;"'!warmteinkoop_2036"),0)
+IFERROR(INDIRECT("'"&amp;$D$38&amp;"'!warmteinkoop_2036"),0)
+IFERROR(INDIRECT("'"&amp;$D$39&amp;"'!warmteinkoop_2036"),0)
+IFERROR(INDIRECT("'"&amp;$D$40&amp;"'!warmteinkoop_2036"),0)
+IFERROR(INDIRECT("'"&amp;$D$41&amp;"'!warmteinkoop_2036"),0)
+IFERROR(INDIRECT("'"&amp;$D$42&amp;"'!warmteinkoop_2036"),0)
+IFERROR(INDIRECT("'"&amp;$D$43&amp;"'!warmteinkoop_2036"),0)
+IFERROR(INDIRECT("'"&amp;$D$44&amp;"'!warmteinkoop_2036"),0)
+IFERROR(INDIRECT("'"&amp;$D$45&amp;"'!warmteinkoop_2036"),0)
+IFERROR(INDIRECT("'"&amp;$D$46&amp;"'!warmteinkoop_2036"),0)
+IFERROR(INDIRECT("'"&amp;$D$47&amp;"'!warmteinkoop_2036"),0)
+IFERROR(INDIRECT("'"&amp;$D$48&amp;"'!warmteinkoop_2036"),0)
+IFERROR(INDIRECT("'"&amp;$D$49&amp;"'!warmteinkoop_2036"),0)
+IFERROR(INDIRECT("'"&amp;$D$50&amp;"'!warmteinkoop_2036"),0)
+IFERROR(INDIRECT("'"&amp;$D$51&amp;"'!warmteinkoop_2036"),0)
+IFERROR(INDIRECT("'"&amp;$D$52&amp;"'!warmteinkoop_2036"),0)
+IFERROR(INDIRECT("'"&amp;$D$53&amp;"'!warmteinkoop_2036"),0)
+IFERROR(INDIRECT("'"&amp;$D$54&amp;"'!warmteinkoop_2036"),0)</f>
        <v>0</v>
      </c>
      <c r="AA33" s="320">
        <f ca="1">+IFERROR(INDIRECT("'"&amp;$D$5&amp;"'!warmteinkoop_2037"),0)
+IFERROR(INDIRECT("'"&amp;$D$6&amp;"'!warmteinkoop_2037"),0)
+IFERROR(INDIRECT("'"&amp;$D$7&amp;"'!warmteinkoop_2037"),0)
+IFERROR(INDIRECT("'"&amp;$D$8&amp;"'!warmteinkoop_2037"),0)
+IFERROR(INDIRECT("'"&amp;$D$9&amp;"'!warmteinkoop_2037"),0)
+IFERROR(INDIRECT("'"&amp;$D$10&amp;"'!warmteinkoop_2037"),0)
+IFERROR(INDIRECT("'"&amp;$D$11&amp;"'!warmteinkoop_2037"),0)
+IFERROR(INDIRECT("'"&amp;$D$12&amp;"'!warmteinkoop_2037"),0)
+IFERROR(INDIRECT("'"&amp;$D$13&amp;"'!warmteinkoop_2037"),0)
+IFERROR(INDIRECT("'"&amp;$D$14&amp;"'!warmteinkoop_2037"),0)
+IFERROR(INDIRECT("'"&amp;$D$15&amp;"'!warmteinkoop_2037"),0)
+IFERROR(INDIRECT("'"&amp;$D$16&amp;"'!warmteinkoop_2037"),0)
+IFERROR(INDIRECT("'"&amp;$D$17&amp;"'!warmteinkoop_2037"),0)
+IFERROR(INDIRECT("'"&amp;$D$18&amp;"'!warmteinkoop_2037"),0)
+IFERROR(INDIRECT("'"&amp;$D$19&amp;"'!warmteinkoop_2037"),0)
+IFERROR(INDIRECT("'"&amp;$D$20&amp;"'!warmteinkoop_2037"),0)
+IFERROR(INDIRECT("'"&amp;$D$21&amp;"'!warmteinkoop_2037"),0)
+IFERROR(INDIRECT("'"&amp;$D$22&amp;"'!warmteinkoop_2037"),0)
+IFERROR(INDIRECT("'"&amp;$D$23&amp;"'!warmteinkoop_2037"),0)
+IFERROR(INDIRECT("'"&amp;$D$24&amp;"'!warmteinkoop_2037"),0)
+IFERROR(INDIRECT("'"&amp;$D$25&amp;"'!warmteinkoop_2037"),0)
+IFERROR(INDIRECT("'"&amp;$D$26&amp;"'!warmteinkoop_2037"),0)
+IFERROR(INDIRECT("'"&amp;$D$27&amp;"'!warmteinkoop_2037"),0)
+IFERROR(INDIRECT("'"&amp;$D$28&amp;"'!warmteinkoop_2037"),0)
+IFERROR(INDIRECT("'"&amp;$D$29&amp;"'!warmteinkoop_2037"),0)
+IFERROR(INDIRECT("'"&amp;$D$30&amp;"'!warmteinkoop_2037"),0)
+IFERROR(INDIRECT("'"&amp;$D$31&amp;"'!warmteinkoop_2037"),0)
+IFERROR(INDIRECT("'"&amp;$D$32&amp;"'!warmteinkoop_2037"),0)
+IFERROR(INDIRECT("'"&amp;$D$33&amp;"'!warmteinkoop_2037"),0)
+IFERROR(INDIRECT("'"&amp;$D$34&amp;"'!warmteinkoop_2037"),0)
+IFERROR(INDIRECT("'"&amp;$D$35&amp;"'!warmteinkoop_2037"),0)
+IFERROR(INDIRECT("'"&amp;$D$36&amp;"'!warmteinkoop_2037"),0)
+IFERROR(INDIRECT("'"&amp;$D$37&amp;"'!warmteinkoop_2037"),0)
+IFERROR(INDIRECT("'"&amp;$D$38&amp;"'!warmteinkoop_2037"),0)
+IFERROR(INDIRECT("'"&amp;$D$39&amp;"'!warmteinkoop_2037"),0)
+IFERROR(INDIRECT("'"&amp;$D$40&amp;"'!warmteinkoop_2037"),0)
+IFERROR(INDIRECT("'"&amp;$D$41&amp;"'!warmteinkoop_2037"),0)
+IFERROR(INDIRECT("'"&amp;$D$42&amp;"'!warmteinkoop_2037"),0)
+IFERROR(INDIRECT("'"&amp;$D$43&amp;"'!warmteinkoop_2037"),0)
+IFERROR(INDIRECT("'"&amp;$D$44&amp;"'!warmteinkoop_2037"),0)
+IFERROR(INDIRECT("'"&amp;$D$45&amp;"'!warmteinkoop_2037"),0)
+IFERROR(INDIRECT("'"&amp;$D$46&amp;"'!warmteinkoop_2037"),0)
+IFERROR(INDIRECT("'"&amp;$D$47&amp;"'!warmteinkoop_2037"),0)
+IFERROR(INDIRECT("'"&amp;$D$48&amp;"'!warmteinkoop_2037"),0)
+IFERROR(INDIRECT("'"&amp;$D$49&amp;"'!warmteinkoop_2037"),0)
+IFERROR(INDIRECT("'"&amp;$D$50&amp;"'!warmteinkoop_2037"),0)
+IFERROR(INDIRECT("'"&amp;$D$51&amp;"'!warmteinkoop_2037"),0)
+IFERROR(INDIRECT("'"&amp;$D$52&amp;"'!warmteinkoop_2037"),0)
+IFERROR(INDIRECT("'"&amp;$D$53&amp;"'!warmteinkoop_2037"),0)
+IFERROR(INDIRECT("'"&amp;$D$54&amp;"'!warmteinkoop_2037"),0)</f>
        <v>0</v>
      </c>
      <c r="AB33" s="320">
        <f ca="1">+IFERROR(INDIRECT("'"&amp;$D$5&amp;"'!warmteinkoop_2038"),0)
+IFERROR(INDIRECT("'"&amp;$D$6&amp;"'!warmteinkoop_2038"),0)
+IFERROR(INDIRECT("'"&amp;$D$7&amp;"'!warmteinkoop_2038"),0)
+IFERROR(INDIRECT("'"&amp;$D$8&amp;"'!warmteinkoop_2038"),0)
+IFERROR(INDIRECT("'"&amp;$D$9&amp;"'!warmteinkoop_2038"),0)
+IFERROR(INDIRECT("'"&amp;$D$10&amp;"'!warmteinkoop_2038"),0)
+IFERROR(INDIRECT("'"&amp;$D$11&amp;"'!warmteinkoop_2038"),0)
+IFERROR(INDIRECT("'"&amp;$D$12&amp;"'!warmteinkoop_2038"),0)
+IFERROR(INDIRECT("'"&amp;$D$13&amp;"'!warmteinkoop_2038"),0)
+IFERROR(INDIRECT("'"&amp;$D$14&amp;"'!warmteinkoop_2038"),0)
+IFERROR(INDIRECT("'"&amp;$D$15&amp;"'!warmteinkoop_2038"),0)
+IFERROR(INDIRECT("'"&amp;$D$16&amp;"'!warmteinkoop_2038"),0)
+IFERROR(INDIRECT("'"&amp;$D$17&amp;"'!warmteinkoop_2038"),0)
+IFERROR(INDIRECT("'"&amp;$D$18&amp;"'!warmteinkoop_2038"),0)
+IFERROR(INDIRECT("'"&amp;$D$19&amp;"'!warmteinkoop_2038"),0)
+IFERROR(INDIRECT("'"&amp;$D$20&amp;"'!warmteinkoop_2038"),0)
+IFERROR(INDIRECT("'"&amp;$D$21&amp;"'!warmteinkoop_2038"),0)
+IFERROR(INDIRECT("'"&amp;$D$22&amp;"'!warmteinkoop_2038"),0)
+IFERROR(INDIRECT("'"&amp;$D$23&amp;"'!warmteinkoop_2038"),0)
+IFERROR(INDIRECT("'"&amp;$D$24&amp;"'!warmteinkoop_2038"),0)
+IFERROR(INDIRECT("'"&amp;$D$25&amp;"'!warmteinkoop_2038"),0)
+IFERROR(INDIRECT("'"&amp;$D$26&amp;"'!warmteinkoop_2038"),0)
+IFERROR(INDIRECT("'"&amp;$D$27&amp;"'!warmteinkoop_2038"),0)
+IFERROR(INDIRECT("'"&amp;$D$28&amp;"'!warmteinkoop_2038"),0)
+IFERROR(INDIRECT("'"&amp;$D$29&amp;"'!warmteinkoop_2038"),0)
+IFERROR(INDIRECT("'"&amp;$D$30&amp;"'!warmteinkoop_2038"),0)
+IFERROR(INDIRECT("'"&amp;$D$31&amp;"'!warmteinkoop_2038"),0)
+IFERROR(INDIRECT("'"&amp;$D$32&amp;"'!warmteinkoop_2038"),0)
+IFERROR(INDIRECT("'"&amp;$D$33&amp;"'!warmteinkoop_2038"),0)
+IFERROR(INDIRECT("'"&amp;$D$34&amp;"'!warmteinkoop_2038"),0)
+IFERROR(INDIRECT("'"&amp;$D$35&amp;"'!warmteinkoop_2038"),0)
+IFERROR(INDIRECT("'"&amp;$D$36&amp;"'!warmteinkoop_2038"),0)
+IFERROR(INDIRECT("'"&amp;$D$37&amp;"'!warmteinkoop_2038"),0)
+IFERROR(INDIRECT("'"&amp;$D$38&amp;"'!warmteinkoop_2038"),0)
+IFERROR(INDIRECT("'"&amp;$D$39&amp;"'!warmteinkoop_2038"),0)
+IFERROR(INDIRECT("'"&amp;$D$40&amp;"'!warmteinkoop_2038"),0)
+IFERROR(INDIRECT("'"&amp;$D$41&amp;"'!warmteinkoop_2038"),0)
+IFERROR(INDIRECT("'"&amp;$D$42&amp;"'!warmteinkoop_2038"),0)
+IFERROR(INDIRECT("'"&amp;$D$43&amp;"'!warmteinkoop_2038"),0)
+IFERROR(INDIRECT("'"&amp;$D$44&amp;"'!warmteinkoop_2038"),0)
+IFERROR(INDIRECT("'"&amp;$D$45&amp;"'!warmteinkoop_2038"),0)
+IFERROR(INDIRECT("'"&amp;$D$46&amp;"'!warmteinkoop_2038"),0)
+IFERROR(INDIRECT("'"&amp;$D$47&amp;"'!warmteinkoop_2038"),0)
+IFERROR(INDIRECT("'"&amp;$D$48&amp;"'!warmteinkoop_2038"),0)
+IFERROR(INDIRECT("'"&amp;$D$49&amp;"'!warmteinkoop_2038"),0)
+IFERROR(INDIRECT("'"&amp;$D$50&amp;"'!warmteinkoop_2038"),0)
+IFERROR(INDIRECT("'"&amp;$D$51&amp;"'!warmteinkoop_2038"),0)
+IFERROR(INDIRECT("'"&amp;$D$52&amp;"'!warmteinkoop_2038"),0)
+IFERROR(INDIRECT("'"&amp;$D$53&amp;"'!warmteinkoop_2038"),0)
+IFERROR(INDIRECT("'"&amp;$D$54&amp;"'!warmteinkoop_2038"),0)</f>
        <v>0</v>
      </c>
      <c r="AC33" s="320">
        <f ca="1">+IFERROR(INDIRECT("'"&amp;$D$5&amp;"'!warmteinkoop_2039"),0)
+IFERROR(INDIRECT("'"&amp;$D$6&amp;"'!warmteinkoop_2039"),0)
+IFERROR(INDIRECT("'"&amp;$D$7&amp;"'!warmteinkoop_2039"),0)
+IFERROR(INDIRECT("'"&amp;$D$8&amp;"'!warmteinkoop_2039"),0)
+IFERROR(INDIRECT("'"&amp;$D$9&amp;"'!warmteinkoop_2039"),0)
+IFERROR(INDIRECT("'"&amp;$D$10&amp;"'!warmteinkoop_2039"),0)
+IFERROR(INDIRECT("'"&amp;$D$11&amp;"'!warmteinkoop_2039"),0)
+IFERROR(INDIRECT("'"&amp;$D$12&amp;"'!warmteinkoop_2039"),0)
+IFERROR(INDIRECT("'"&amp;$D$13&amp;"'!warmteinkoop_2039"),0)
+IFERROR(INDIRECT("'"&amp;$D$14&amp;"'!warmteinkoop_2039"),0)
+IFERROR(INDIRECT("'"&amp;$D$15&amp;"'!warmteinkoop_2039"),0)
+IFERROR(INDIRECT("'"&amp;$D$16&amp;"'!warmteinkoop_2039"),0)
+IFERROR(INDIRECT("'"&amp;$D$17&amp;"'!warmteinkoop_2039"),0)
+IFERROR(INDIRECT("'"&amp;$D$18&amp;"'!warmteinkoop_2039"),0)
+IFERROR(INDIRECT("'"&amp;$D$19&amp;"'!warmteinkoop_2039"),0)
+IFERROR(INDIRECT("'"&amp;$D$20&amp;"'!warmteinkoop_2039"),0)
+IFERROR(INDIRECT("'"&amp;$D$21&amp;"'!warmteinkoop_2039"),0)
+IFERROR(INDIRECT("'"&amp;$D$22&amp;"'!warmteinkoop_2039"),0)
+IFERROR(INDIRECT("'"&amp;$D$23&amp;"'!warmteinkoop_2039"),0)
+IFERROR(INDIRECT("'"&amp;$D$24&amp;"'!warmteinkoop_2039"),0)
+IFERROR(INDIRECT("'"&amp;$D$25&amp;"'!warmteinkoop_2039"),0)
+IFERROR(INDIRECT("'"&amp;$D$26&amp;"'!warmteinkoop_2039"),0)
+IFERROR(INDIRECT("'"&amp;$D$27&amp;"'!warmteinkoop_2039"),0)
+IFERROR(INDIRECT("'"&amp;$D$28&amp;"'!warmteinkoop_2039"),0)
+IFERROR(INDIRECT("'"&amp;$D$29&amp;"'!warmteinkoop_2039"),0)
+IFERROR(INDIRECT("'"&amp;$D$30&amp;"'!warmteinkoop_2039"),0)
+IFERROR(INDIRECT("'"&amp;$D$31&amp;"'!warmteinkoop_2039"),0)
+IFERROR(INDIRECT("'"&amp;$D$32&amp;"'!warmteinkoop_2039"),0)
+IFERROR(INDIRECT("'"&amp;$D$33&amp;"'!warmteinkoop_2039"),0)
+IFERROR(INDIRECT("'"&amp;$D$34&amp;"'!warmteinkoop_2039"),0)
+IFERROR(INDIRECT("'"&amp;$D$35&amp;"'!warmteinkoop_2039"),0)
+IFERROR(INDIRECT("'"&amp;$D$36&amp;"'!warmteinkoop_2039"),0)
+IFERROR(INDIRECT("'"&amp;$D$37&amp;"'!warmteinkoop_2039"),0)
+IFERROR(INDIRECT("'"&amp;$D$38&amp;"'!warmteinkoop_2039"),0)
+IFERROR(INDIRECT("'"&amp;$D$39&amp;"'!warmteinkoop_2039"),0)
+IFERROR(INDIRECT("'"&amp;$D$40&amp;"'!warmteinkoop_2039"),0)
+IFERROR(INDIRECT("'"&amp;$D$41&amp;"'!warmteinkoop_2039"),0)
+IFERROR(INDIRECT("'"&amp;$D$42&amp;"'!warmteinkoop_2039"),0)
+IFERROR(INDIRECT("'"&amp;$D$43&amp;"'!warmteinkoop_2039"),0)
+IFERROR(INDIRECT("'"&amp;$D$44&amp;"'!warmteinkoop_2039"),0)
+IFERROR(INDIRECT("'"&amp;$D$45&amp;"'!warmteinkoop_2039"),0)
+IFERROR(INDIRECT("'"&amp;$D$46&amp;"'!warmteinkoop_2039"),0)
+IFERROR(INDIRECT("'"&amp;$D$47&amp;"'!warmteinkoop_2039"),0)
+IFERROR(INDIRECT("'"&amp;$D$48&amp;"'!warmteinkoop_2039"),0)
+IFERROR(INDIRECT("'"&amp;$D$49&amp;"'!warmteinkoop_2039"),0)
+IFERROR(INDIRECT("'"&amp;$D$50&amp;"'!warmteinkoop_2039"),0)
+IFERROR(INDIRECT("'"&amp;$D$51&amp;"'!warmteinkoop_2039"),0)
+IFERROR(INDIRECT("'"&amp;$D$52&amp;"'!warmteinkoop_2039"),0)
+IFERROR(INDIRECT("'"&amp;$D$53&amp;"'!warmteinkoop_2039"),0)
+IFERROR(INDIRECT("'"&amp;$D$54&amp;"'!warmteinkoop_2039"),0)</f>
        <v>0</v>
      </c>
      <c r="AD33" s="320">
        <f ca="1">+IFERROR(INDIRECT("'"&amp;$D$5&amp;"'!warmteinkoop_2040"),0)
+IFERROR(INDIRECT("'"&amp;$D$6&amp;"'!warmteinkoop_2040"),0)
+IFERROR(INDIRECT("'"&amp;$D$7&amp;"'!warmteinkoop_2040"),0)
+IFERROR(INDIRECT("'"&amp;$D$8&amp;"'!warmteinkoop_2040"),0)
+IFERROR(INDIRECT("'"&amp;$D$9&amp;"'!warmteinkoop_2040"),0)
+IFERROR(INDIRECT("'"&amp;$D$10&amp;"'!warmteinkoop_2040"),0)
+IFERROR(INDIRECT("'"&amp;$D$11&amp;"'!warmteinkoop_2040"),0)
+IFERROR(INDIRECT("'"&amp;$D$12&amp;"'!warmteinkoop_2040"),0)
+IFERROR(INDIRECT("'"&amp;$D$13&amp;"'!warmteinkoop_2040"),0)
+IFERROR(INDIRECT("'"&amp;$D$14&amp;"'!warmteinkoop_2040"),0)
+IFERROR(INDIRECT("'"&amp;$D$15&amp;"'!warmteinkoop_2040"),0)
+IFERROR(INDIRECT("'"&amp;$D$16&amp;"'!warmteinkoop_2040"),0)
+IFERROR(INDIRECT("'"&amp;$D$17&amp;"'!warmteinkoop_2040"),0)
+IFERROR(INDIRECT("'"&amp;$D$18&amp;"'!warmteinkoop_2040"),0)
+IFERROR(INDIRECT("'"&amp;$D$19&amp;"'!warmteinkoop_2040"),0)
+IFERROR(INDIRECT("'"&amp;$D$20&amp;"'!warmteinkoop_2040"),0)
+IFERROR(INDIRECT("'"&amp;$D$21&amp;"'!warmteinkoop_2040"),0)
+IFERROR(INDIRECT("'"&amp;$D$22&amp;"'!warmteinkoop_2040"),0)
+IFERROR(INDIRECT("'"&amp;$D$23&amp;"'!warmteinkoop_2040"),0)
+IFERROR(INDIRECT("'"&amp;$D$24&amp;"'!warmteinkoop_2040"),0)
+IFERROR(INDIRECT("'"&amp;$D$25&amp;"'!warmteinkoop_2040"),0)
+IFERROR(INDIRECT("'"&amp;$D$26&amp;"'!warmteinkoop_2040"),0)
+IFERROR(INDIRECT("'"&amp;$D$27&amp;"'!warmteinkoop_2040"),0)
+IFERROR(INDIRECT("'"&amp;$D$28&amp;"'!warmteinkoop_2040"),0)
+IFERROR(INDIRECT("'"&amp;$D$29&amp;"'!warmteinkoop_2040"),0)
+IFERROR(INDIRECT("'"&amp;$D$30&amp;"'!warmteinkoop_2040"),0)
+IFERROR(INDIRECT("'"&amp;$D$31&amp;"'!warmteinkoop_2040"),0)
+IFERROR(INDIRECT("'"&amp;$D$32&amp;"'!warmteinkoop_2040"),0)
+IFERROR(INDIRECT("'"&amp;$D$33&amp;"'!warmteinkoop_2040"),0)
+IFERROR(INDIRECT("'"&amp;$D$34&amp;"'!warmteinkoop_2040"),0)
+IFERROR(INDIRECT("'"&amp;$D$35&amp;"'!warmteinkoop_2040"),0)
+IFERROR(INDIRECT("'"&amp;$D$36&amp;"'!warmteinkoop_2040"),0)
+IFERROR(INDIRECT("'"&amp;$D$37&amp;"'!warmteinkoop_2040"),0)
+IFERROR(INDIRECT("'"&amp;$D$38&amp;"'!warmteinkoop_2040"),0)
+IFERROR(INDIRECT("'"&amp;$D$39&amp;"'!warmteinkoop_2040"),0)
+IFERROR(INDIRECT("'"&amp;$D$40&amp;"'!warmteinkoop_2040"),0)
+IFERROR(INDIRECT("'"&amp;$D$41&amp;"'!warmteinkoop_2040"),0)
+IFERROR(INDIRECT("'"&amp;$D$42&amp;"'!warmteinkoop_2040"),0)
+IFERROR(INDIRECT("'"&amp;$D$43&amp;"'!warmteinkoop_2040"),0)
+IFERROR(INDIRECT("'"&amp;$D$44&amp;"'!warmteinkoop_2040"),0)
+IFERROR(INDIRECT("'"&amp;$D$45&amp;"'!warmteinkoop_2040"),0)
+IFERROR(INDIRECT("'"&amp;$D$46&amp;"'!warmteinkoop_2040"),0)
+IFERROR(INDIRECT("'"&amp;$D$47&amp;"'!warmteinkoop_2040"),0)
+IFERROR(INDIRECT("'"&amp;$D$48&amp;"'!warmteinkoop_2040"),0)
+IFERROR(INDIRECT("'"&amp;$D$49&amp;"'!warmteinkoop_2040"),0)
+IFERROR(INDIRECT("'"&amp;$D$50&amp;"'!warmteinkoop_2040"),0)
+IFERROR(INDIRECT("'"&amp;$D$51&amp;"'!warmteinkoop_2040"),0)
+IFERROR(INDIRECT("'"&amp;$D$52&amp;"'!warmteinkoop_2040"),0)
+IFERROR(INDIRECT("'"&amp;$D$53&amp;"'!warmteinkoop_2040"),0)
+IFERROR(INDIRECT("'"&amp;$D$54&amp;"'!warmteinkoop_2040"),0)</f>
        <v>0</v>
      </c>
      <c r="AE33" s="320">
        <f ca="1">+IFERROR(INDIRECT("'"&amp;$D$5&amp;"'!warmteinkoop_2041"),0)
+IFERROR(INDIRECT("'"&amp;$D$6&amp;"'!warmteinkoop_2041"),0)
+IFERROR(INDIRECT("'"&amp;$D$7&amp;"'!warmteinkoop_2041"),0)
+IFERROR(INDIRECT("'"&amp;$D$8&amp;"'!warmteinkoop_2041"),0)
+IFERROR(INDIRECT("'"&amp;$D$9&amp;"'!warmteinkoop_2041"),0)
+IFERROR(INDIRECT("'"&amp;$D$10&amp;"'!warmteinkoop_2041"),0)
+IFERROR(INDIRECT("'"&amp;$D$11&amp;"'!warmteinkoop_2041"),0)
+IFERROR(INDIRECT("'"&amp;$D$12&amp;"'!warmteinkoop_2041"),0)
+IFERROR(INDIRECT("'"&amp;$D$13&amp;"'!warmteinkoop_2041"),0)
+IFERROR(INDIRECT("'"&amp;$D$14&amp;"'!warmteinkoop_2041"),0)
+IFERROR(INDIRECT("'"&amp;$D$15&amp;"'!warmteinkoop_2041"),0)
+IFERROR(INDIRECT("'"&amp;$D$16&amp;"'!warmteinkoop_2041"),0)
+IFERROR(INDIRECT("'"&amp;$D$17&amp;"'!warmteinkoop_2041"),0)
+IFERROR(INDIRECT("'"&amp;$D$18&amp;"'!warmteinkoop_2041"),0)
+IFERROR(INDIRECT("'"&amp;$D$19&amp;"'!warmteinkoop_2041"),0)
+IFERROR(INDIRECT("'"&amp;$D$20&amp;"'!warmteinkoop_2041"),0)
+IFERROR(INDIRECT("'"&amp;$D$21&amp;"'!warmteinkoop_2041"),0)
+IFERROR(INDIRECT("'"&amp;$D$22&amp;"'!warmteinkoop_2041"),0)
+IFERROR(INDIRECT("'"&amp;$D$23&amp;"'!warmteinkoop_2041"),0)
+IFERROR(INDIRECT("'"&amp;$D$24&amp;"'!warmteinkoop_2041"),0)
+IFERROR(INDIRECT("'"&amp;$D$25&amp;"'!warmteinkoop_2041"),0)
+IFERROR(INDIRECT("'"&amp;$D$26&amp;"'!warmteinkoop_2041"),0)
+IFERROR(INDIRECT("'"&amp;$D$27&amp;"'!warmteinkoop_2041"),0)
+IFERROR(INDIRECT("'"&amp;$D$28&amp;"'!warmteinkoop_2041"),0)
+IFERROR(INDIRECT("'"&amp;$D$29&amp;"'!warmteinkoop_2041"),0)
+IFERROR(INDIRECT("'"&amp;$D$30&amp;"'!warmteinkoop_2041"),0)
+IFERROR(INDIRECT("'"&amp;$D$31&amp;"'!warmteinkoop_2041"),0)
+IFERROR(INDIRECT("'"&amp;$D$32&amp;"'!warmteinkoop_2041"),0)
+IFERROR(INDIRECT("'"&amp;$D$33&amp;"'!warmteinkoop_2041"),0)
+IFERROR(INDIRECT("'"&amp;$D$34&amp;"'!warmteinkoop_2041"),0)
+IFERROR(INDIRECT("'"&amp;$D$35&amp;"'!warmteinkoop_2041"),0)
+IFERROR(INDIRECT("'"&amp;$D$36&amp;"'!warmteinkoop_2041"),0)
+IFERROR(INDIRECT("'"&amp;$D$37&amp;"'!warmteinkoop_2041"),0)
+IFERROR(INDIRECT("'"&amp;$D$38&amp;"'!warmteinkoop_2041"),0)
+IFERROR(INDIRECT("'"&amp;$D$39&amp;"'!warmteinkoop_2041"),0)
+IFERROR(INDIRECT("'"&amp;$D$40&amp;"'!warmteinkoop_2041"),0)
+IFERROR(INDIRECT("'"&amp;$D$41&amp;"'!warmteinkoop_2041"),0)
+IFERROR(INDIRECT("'"&amp;$D$42&amp;"'!warmteinkoop_2041"),0)
+IFERROR(INDIRECT("'"&amp;$D$43&amp;"'!warmteinkoop_2041"),0)
+IFERROR(INDIRECT("'"&amp;$D$44&amp;"'!warmteinkoop_2041"),0)
+IFERROR(INDIRECT("'"&amp;$D$45&amp;"'!warmteinkoop_2041"),0)
+IFERROR(INDIRECT("'"&amp;$D$46&amp;"'!warmteinkoop_2041"),0)
+IFERROR(INDIRECT("'"&amp;$D$47&amp;"'!warmteinkoop_2041"),0)
+IFERROR(INDIRECT("'"&amp;$D$48&amp;"'!warmteinkoop_2041"),0)
+IFERROR(INDIRECT("'"&amp;$D$49&amp;"'!warmteinkoop_2041"),0)
+IFERROR(INDIRECT("'"&amp;$D$50&amp;"'!warmteinkoop_2041"),0)
+IFERROR(INDIRECT("'"&amp;$D$51&amp;"'!warmteinkoop_2041"),0)
+IFERROR(INDIRECT("'"&amp;$D$52&amp;"'!warmteinkoop_2041"),0)
+IFERROR(INDIRECT("'"&amp;$D$53&amp;"'!warmteinkoop_2041"),0)
+IFERROR(INDIRECT("'"&amp;$D$54&amp;"'!warmteinkoop_2041"),0)</f>
        <v>0</v>
      </c>
      <c r="AF33" s="320">
        <f ca="1">+IFERROR(INDIRECT("'"&amp;$D$5&amp;"'!warmteinkoop_2042"),0)
+IFERROR(INDIRECT("'"&amp;$D$6&amp;"'!warmteinkoop_2042"),0)
+IFERROR(INDIRECT("'"&amp;$D$7&amp;"'!warmteinkoop_2042"),0)
+IFERROR(INDIRECT("'"&amp;$D$8&amp;"'!warmteinkoop_2042"),0)
+IFERROR(INDIRECT("'"&amp;$D$9&amp;"'!warmteinkoop_2042"),0)
+IFERROR(INDIRECT("'"&amp;$D$10&amp;"'!warmteinkoop_2042"),0)
+IFERROR(INDIRECT("'"&amp;$D$11&amp;"'!warmteinkoop_2042"),0)
+IFERROR(INDIRECT("'"&amp;$D$12&amp;"'!warmteinkoop_2042"),0)
+IFERROR(INDIRECT("'"&amp;$D$13&amp;"'!warmteinkoop_2042"),0)
+IFERROR(INDIRECT("'"&amp;$D$14&amp;"'!warmteinkoop_2042"),0)
+IFERROR(INDIRECT("'"&amp;$D$15&amp;"'!warmteinkoop_2042"),0)
+IFERROR(INDIRECT("'"&amp;$D$16&amp;"'!warmteinkoop_2042"),0)
+IFERROR(INDIRECT("'"&amp;$D$17&amp;"'!warmteinkoop_2042"),0)
+IFERROR(INDIRECT("'"&amp;$D$18&amp;"'!warmteinkoop_2042"),0)
+IFERROR(INDIRECT("'"&amp;$D$19&amp;"'!warmteinkoop_2042"),0)
+IFERROR(INDIRECT("'"&amp;$D$20&amp;"'!warmteinkoop_2042"),0)
+IFERROR(INDIRECT("'"&amp;$D$21&amp;"'!warmteinkoop_2042"),0)
+IFERROR(INDIRECT("'"&amp;$D$22&amp;"'!warmteinkoop_2042"),0)
+IFERROR(INDIRECT("'"&amp;$D$23&amp;"'!warmteinkoop_2042"),0)
+IFERROR(INDIRECT("'"&amp;$D$24&amp;"'!warmteinkoop_2042"),0)
+IFERROR(INDIRECT("'"&amp;$D$25&amp;"'!warmteinkoop_2042"),0)
+IFERROR(INDIRECT("'"&amp;$D$26&amp;"'!warmteinkoop_2042"),0)
+IFERROR(INDIRECT("'"&amp;$D$27&amp;"'!warmteinkoop_2042"),0)
+IFERROR(INDIRECT("'"&amp;$D$28&amp;"'!warmteinkoop_2042"),0)
+IFERROR(INDIRECT("'"&amp;$D$29&amp;"'!warmteinkoop_2042"),0)
+IFERROR(INDIRECT("'"&amp;$D$30&amp;"'!warmteinkoop_2042"),0)
+IFERROR(INDIRECT("'"&amp;$D$31&amp;"'!warmteinkoop_2042"),0)
+IFERROR(INDIRECT("'"&amp;$D$32&amp;"'!warmteinkoop_2042"),0)
+IFERROR(INDIRECT("'"&amp;$D$33&amp;"'!warmteinkoop_2042"),0)
+IFERROR(INDIRECT("'"&amp;$D$34&amp;"'!warmteinkoop_2042"),0)
+IFERROR(INDIRECT("'"&amp;$D$35&amp;"'!warmteinkoop_2042"),0)
+IFERROR(INDIRECT("'"&amp;$D$36&amp;"'!warmteinkoop_2042"),0)
+IFERROR(INDIRECT("'"&amp;$D$37&amp;"'!warmteinkoop_2042"),0)
+IFERROR(INDIRECT("'"&amp;$D$38&amp;"'!warmteinkoop_2042"),0)
+IFERROR(INDIRECT("'"&amp;$D$39&amp;"'!warmteinkoop_2042"),0)
+IFERROR(INDIRECT("'"&amp;$D$40&amp;"'!warmteinkoop_2042"),0)
+IFERROR(INDIRECT("'"&amp;$D$41&amp;"'!warmteinkoop_2042"),0)
+IFERROR(INDIRECT("'"&amp;$D$42&amp;"'!warmteinkoop_2042"),0)
+IFERROR(INDIRECT("'"&amp;$D$43&amp;"'!warmteinkoop_2042"),0)
+IFERROR(INDIRECT("'"&amp;$D$44&amp;"'!warmteinkoop_2042"),0)
+IFERROR(INDIRECT("'"&amp;$D$45&amp;"'!warmteinkoop_2042"),0)
+IFERROR(INDIRECT("'"&amp;$D$46&amp;"'!warmteinkoop_2042"),0)
+IFERROR(INDIRECT("'"&amp;$D$47&amp;"'!warmteinkoop_2042"),0)
+IFERROR(INDIRECT("'"&amp;$D$48&amp;"'!warmteinkoop_2042"),0)
+IFERROR(INDIRECT("'"&amp;$D$49&amp;"'!warmteinkoop_2042"),0)
+IFERROR(INDIRECT("'"&amp;$D$50&amp;"'!warmteinkoop_2042"),0)
+IFERROR(INDIRECT("'"&amp;$D$51&amp;"'!warmteinkoop_2042"),0)
+IFERROR(INDIRECT("'"&amp;$D$52&amp;"'!warmteinkoop_2042"),0)
+IFERROR(INDIRECT("'"&amp;$D$53&amp;"'!warmteinkoop_2042"),0)
+IFERROR(INDIRECT("'"&amp;$D$54&amp;"'!warmteinkoop_2042"),0)</f>
        <v>0</v>
      </c>
      <c r="AG33" s="320">
        <f ca="1">+IFERROR(INDIRECT("'"&amp;$D$5&amp;"'!warmteinkoop_2043"),0)
+IFERROR(INDIRECT("'"&amp;$D$6&amp;"'!warmteinkoop_2043"),0)
+IFERROR(INDIRECT("'"&amp;$D$7&amp;"'!warmteinkoop_2043"),0)
+IFERROR(INDIRECT("'"&amp;$D$8&amp;"'!warmteinkoop_2043"),0)
+IFERROR(INDIRECT("'"&amp;$D$9&amp;"'!warmteinkoop_2043"),0)
+IFERROR(INDIRECT("'"&amp;$D$10&amp;"'!warmteinkoop_2043"),0)
+IFERROR(INDIRECT("'"&amp;$D$11&amp;"'!warmteinkoop_2043"),0)
+IFERROR(INDIRECT("'"&amp;$D$12&amp;"'!warmteinkoop_2043"),0)
+IFERROR(INDIRECT("'"&amp;$D$13&amp;"'!warmteinkoop_2043"),0)
+IFERROR(INDIRECT("'"&amp;$D$14&amp;"'!warmteinkoop_2043"),0)
+IFERROR(INDIRECT("'"&amp;$D$15&amp;"'!warmteinkoop_2043"),0)
+IFERROR(INDIRECT("'"&amp;$D$16&amp;"'!warmteinkoop_2043"),0)
+IFERROR(INDIRECT("'"&amp;$D$17&amp;"'!warmteinkoop_2043"),0)
+IFERROR(INDIRECT("'"&amp;$D$18&amp;"'!warmteinkoop_2043"),0)
+IFERROR(INDIRECT("'"&amp;$D$19&amp;"'!warmteinkoop_2043"),0)
+IFERROR(INDIRECT("'"&amp;$D$20&amp;"'!warmteinkoop_2043"),0)
+IFERROR(INDIRECT("'"&amp;$D$21&amp;"'!warmteinkoop_2043"),0)
+IFERROR(INDIRECT("'"&amp;$D$22&amp;"'!warmteinkoop_2043"),0)
+IFERROR(INDIRECT("'"&amp;$D$23&amp;"'!warmteinkoop_2043"),0)
+IFERROR(INDIRECT("'"&amp;$D$24&amp;"'!warmteinkoop_2043"),0)
+IFERROR(INDIRECT("'"&amp;$D$25&amp;"'!warmteinkoop_2043"),0)
+IFERROR(INDIRECT("'"&amp;$D$26&amp;"'!warmteinkoop_2043"),0)
+IFERROR(INDIRECT("'"&amp;$D$27&amp;"'!warmteinkoop_2043"),0)
+IFERROR(INDIRECT("'"&amp;$D$28&amp;"'!warmteinkoop_2043"),0)
+IFERROR(INDIRECT("'"&amp;$D$29&amp;"'!warmteinkoop_2043"),0)
+IFERROR(INDIRECT("'"&amp;$D$30&amp;"'!warmteinkoop_2043"),0)
+IFERROR(INDIRECT("'"&amp;$D$31&amp;"'!warmteinkoop_2043"),0)
+IFERROR(INDIRECT("'"&amp;$D$32&amp;"'!warmteinkoop_2043"),0)
+IFERROR(INDIRECT("'"&amp;$D$33&amp;"'!warmteinkoop_2043"),0)
+IFERROR(INDIRECT("'"&amp;$D$34&amp;"'!warmteinkoop_2043"),0)
+IFERROR(INDIRECT("'"&amp;$D$35&amp;"'!warmteinkoop_2043"),0)
+IFERROR(INDIRECT("'"&amp;$D$36&amp;"'!warmteinkoop_2043"),0)
+IFERROR(INDIRECT("'"&amp;$D$37&amp;"'!warmteinkoop_2043"),0)
+IFERROR(INDIRECT("'"&amp;$D$38&amp;"'!warmteinkoop_2043"),0)
+IFERROR(INDIRECT("'"&amp;$D$39&amp;"'!warmteinkoop_2043"),0)
+IFERROR(INDIRECT("'"&amp;$D$40&amp;"'!warmteinkoop_2043"),0)
+IFERROR(INDIRECT("'"&amp;$D$41&amp;"'!warmteinkoop_2043"),0)
+IFERROR(INDIRECT("'"&amp;$D$42&amp;"'!warmteinkoop_2043"),0)
+IFERROR(INDIRECT("'"&amp;$D$43&amp;"'!warmteinkoop_2043"),0)
+IFERROR(INDIRECT("'"&amp;$D$44&amp;"'!warmteinkoop_2043"),0)
+IFERROR(INDIRECT("'"&amp;$D$45&amp;"'!warmteinkoop_2043"),0)
+IFERROR(INDIRECT("'"&amp;$D$46&amp;"'!warmteinkoop_2043"),0)
+IFERROR(INDIRECT("'"&amp;$D$47&amp;"'!warmteinkoop_2043"),0)
+IFERROR(INDIRECT("'"&amp;$D$48&amp;"'!warmteinkoop_2043"),0)
+IFERROR(INDIRECT("'"&amp;$D$49&amp;"'!warmteinkoop_2043"),0)
+IFERROR(INDIRECT("'"&amp;$D$50&amp;"'!warmteinkoop_2043"),0)
+IFERROR(INDIRECT("'"&amp;$D$51&amp;"'!warmteinkoop_2043"),0)
+IFERROR(INDIRECT("'"&amp;$D$52&amp;"'!warmteinkoop_2043"),0)
+IFERROR(INDIRECT("'"&amp;$D$53&amp;"'!warmteinkoop_2043"),0)
+IFERROR(INDIRECT("'"&amp;$D$54&amp;"'!warmteinkoop_2043"),0)</f>
        <v>0</v>
      </c>
      <c r="AH33" s="320">
        <f ca="1">+IFERROR(INDIRECT("'"&amp;$D$5&amp;"'!warmteinkoop_2044"),0)
+IFERROR(INDIRECT("'"&amp;$D$6&amp;"'!warmteinkoop_2044"),0)
+IFERROR(INDIRECT("'"&amp;$D$7&amp;"'!warmteinkoop_2044"),0)
+IFERROR(INDIRECT("'"&amp;$D$8&amp;"'!warmteinkoop_2044"),0)
+IFERROR(INDIRECT("'"&amp;$D$9&amp;"'!warmteinkoop_2044"),0)
+IFERROR(INDIRECT("'"&amp;$D$10&amp;"'!warmteinkoop_2044"),0)
+IFERROR(INDIRECT("'"&amp;$D$11&amp;"'!warmteinkoop_2044"),0)
+IFERROR(INDIRECT("'"&amp;$D$12&amp;"'!warmteinkoop_2044"),0)
+IFERROR(INDIRECT("'"&amp;$D$13&amp;"'!warmteinkoop_2044"),0)
+IFERROR(INDIRECT("'"&amp;$D$14&amp;"'!warmteinkoop_2044"),0)
+IFERROR(INDIRECT("'"&amp;$D$15&amp;"'!warmteinkoop_2044"),0)
+IFERROR(INDIRECT("'"&amp;$D$16&amp;"'!warmteinkoop_2044"),0)
+IFERROR(INDIRECT("'"&amp;$D$17&amp;"'!warmteinkoop_2044"),0)
+IFERROR(INDIRECT("'"&amp;$D$18&amp;"'!warmteinkoop_2044"),0)
+IFERROR(INDIRECT("'"&amp;$D$19&amp;"'!warmteinkoop_2044"),0)
+IFERROR(INDIRECT("'"&amp;$D$20&amp;"'!warmteinkoop_2044"),0)
+IFERROR(INDIRECT("'"&amp;$D$21&amp;"'!warmteinkoop_2044"),0)
+IFERROR(INDIRECT("'"&amp;$D$22&amp;"'!warmteinkoop_2044"),0)
+IFERROR(INDIRECT("'"&amp;$D$23&amp;"'!warmteinkoop_2044"),0)
+IFERROR(INDIRECT("'"&amp;$D$24&amp;"'!warmteinkoop_2044"),0)
+IFERROR(INDIRECT("'"&amp;$D$25&amp;"'!warmteinkoop_2044"),0)
+IFERROR(INDIRECT("'"&amp;$D$26&amp;"'!warmteinkoop_2044"),0)
+IFERROR(INDIRECT("'"&amp;$D$27&amp;"'!warmteinkoop_2044"),0)
+IFERROR(INDIRECT("'"&amp;$D$28&amp;"'!warmteinkoop_2044"),0)
+IFERROR(INDIRECT("'"&amp;$D$29&amp;"'!warmteinkoop_2044"),0)
+IFERROR(INDIRECT("'"&amp;$D$30&amp;"'!warmteinkoop_2044"),0)
+IFERROR(INDIRECT("'"&amp;$D$31&amp;"'!warmteinkoop_2044"),0)
+IFERROR(INDIRECT("'"&amp;$D$32&amp;"'!warmteinkoop_2044"),0)
+IFERROR(INDIRECT("'"&amp;$D$33&amp;"'!warmteinkoop_2044"),0)
+IFERROR(INDIRECT("'"&amp;$D$34&amp;"'!warmteinkoop_2044"),0)
+IFERROR(INDIRECT("'"&amp;$D$35&amp;"'!warmteinkoop_2044"),0)
+IFERROR(INDIRECT("'"&amp;$D$36&amp;"'!warmteinkoop_2044"),0)
+IFERROR(INDIRECT("'"&amp;$D$37&amp;"'!warmteinkoop_2044"),0)
+IFERROR(INDIRECT("'"&amp;$D$38&amp;"'!warmteinkoop_2044"),0)
+IFERROR(INDIRECT("'"&amp;$D$39&amp;"'!warmteinkoop_2044"),0)
+IFERROR(INDIRECT("'"&amp;$D$40&amp;"'!warmteinkoop_2044"),0)
+IFERROR(INDIRECT("'"&amp;$D$41&amp;"'!warmteinkoop_2044"),0)
+IFERROR(INDIRECT("'"&amp;$D$42&amp;"'!warmteinkoop_2044"),0)
+IFERROR(INDIRECT("'"&amp;$D$43&amp;"'!warmteinkoop_2044"),0)
+IFERROR(INDIRECT("'"&amp;$D$44&amp;"'!warmteinkoop_2044"),0)
+IFERROR(INDIRECT("'"&amp;$D$45&amp;"'!warmteinkoop_2044"),0)
+IFERROR(INDIRECT("'"&amp;$D$46&amp;"'!warmteinkoop_2044"),0)
+IFERROR(INDIRECT("'"&amp;$D$47&amp;"'!warmteinkoop_2044"),0)
+IFERROR(INDIRECT("'"&amp;$D$48&amp;"'!warmteinkoop_2044"),0)
+IFERROR(INDIRECT("'"&amp;$D$49&amp;"'!warmteinkoop_2044"),0)
+IFERROR(INDIRECT("'"&amp;$D$50&amp;"'!warmteinkoop_2044"),0)
+IFERROR(INDIRECT("'"&amp;$D$51&amp;"'!warmteinkoop_2044"),0)
+IFERROR(INDIRECT("'"&amp;$D$52&amp;"'!warmteinkoop_2044"),0)
+IFERROR(INDIRECT("'"&amp;$D$53&amp;"'!warmteinkoop_2044"),0)
+IFERROR(INDIRECT("'"&amp;$D$54&amp;"'!warmteinkoop_2044"),0)</f>
        <v>0</v>
      </c>
      <c r="AI33" s="320">
        <f ca="1">+IFERROR(INDIRECT("'"&amp;$D$5&amp;"'!warmteinkoop_2045"),0)
+IFERROR(INDIRECT("'"&amp;$D$6&amp;"'!warmteinkoop_2045"),0)
+IFERROR(INDIRECT("'"&amp;$D$7&amp;"'!warmteinkoop_2045"),0)
+IFERROR(INDIRECT("'"&amp;$D$8&amp;"'!warmteinkoop_2045"),0)
+IFERROR(INDIRECT("'"&amp;$D$9&amp;"'!warmteinkoop_2045"),0)
+IFERROR(INDIRECT("'"&amp;$D$10&amp;"'!warmteinkoop_2045"),0)
+IFERROR(INDIRECT("'"&amp;$D$11&amp;"'!warmteinkoop_2045"),0)
+IFERROR(INDIRECT("'"&amp;$D$12&amp;"'!warmteinkoop_2045"),0)
+IFERROR(INDIRECT("'"&amp;$D$13&amp;"'!warmteinkoop_2045"),0)
+IFERROR(INDIRECT("'"&amp;$D$14&amp;"'!warmteinkoop_2045"),0)
+IFERROR(INDIRECT("'"&amp;$D$15&amp;"'!warmteinkoop_2045"),0)
+IFERROR(INDIRECT("'"&amp;$D$16&amp;"'!warmteinkoop_2045"),0)
+IFERROR(INDIRECT("'"&amp;$D$17&amp;"'!warmteinkoop_2045"),0)
+IFERROR(INDIRECT("'"&amp;$D$18&amp;"'!warmteinkoop_2045"),0)
+IFERROR(INDIRECT("'"&amp;$D$19&amp;"'!warmteinkoop_2045"),0)
+IFERROR(INDIRECT("'"&amp;$D$20&amp;"'!warmteinkoop_2045"),0)
+IFERROR(INDIRECT("'"&amp;$D$21&amp;"'!warmteinkoop_2045"),0)
+IFERROR(INDIRECT("'"&amp;$D$22&amp;"'!warmteinkoop_2045"),0)
+IFERROR(INDIRECT("'"&amp;$D$23&amp;"'!warmteinkoop_2045"),0)
+IFERROR(INDIRECT("'"&amp;$D$24&amp;"'!warmteinkoop_2045"),0)
+IFERROR(INDIRECT("'"&amp;$D$25&amp;"'!warmteinkoop_2045"),0)
+IFERROR(INDIRECT("'"&amp;$D$26&amp;"'!warmteinkoop_2045"),0)
+IFERROR(INDIRECT("'"&amp;$D$27&amp;"'!warmteinkoop_2045"),0)
+IFERROR(INDIRECT("'"&amp;$D$28&amp;"'!warmteinkoop_2045"),0)
+IFERROR(INDIRECT("'"&amp;$D$29&amp;"'!warmteinkoop_2045"),0)
+IFERROR(INDIRECT("'"&amp;$D$30&amp;"'!warmteinkoop_2045"),0)
+IFERROR(INDIRECT("'"&amp;$D$31&amp;"'!warmteinkoop_2045"),0)
+IFERROR(INDIRECT("'"&amp;$D$32&amp;"'!warmteinkoop_2045"),0)
+IFERROR(INDIRECT("'"&amp;$D$33&amp;"'!warmteinkoop_2045"),0)
+IFERROR(INDIRECT("'"&amp;$D$34&amp;"'!warmteinkoop_2045"),0)
+IFERROR(INDIRECT("'"&amp;$D$35&amp;"'!warmteinkoop_2045"),0)
+IFERROR(INDIRECT("'"&amp;$D$36&amp;"'!warmteinkoop_2045"),0)
+IFERROR(INDIRECT("'"&amp;$D$37&amp;"'!warmteinkoop_2045"),0)
+IFERROR(INDIRECT("'"&amp;$D$38&amp;"'!warmteinkoop_2045"),0)
+IFERROR(INDIRECT("'"&amp;$D$39&amp;"'!warmteinkoop_2045"),0)
+IFERROR(INDIRECT("'"&amp;$D$40&amp;"'!warmteinkoop_2045"),0)
+IFERROR(INDIRECT("'"&amp;$D$41&amp;"'!warmteinkoop_2045"),0)
+IFERROR(INDIRECT("'"&amp;$D$42&amp;"'!warmteinkoop_2045"),0)
+IFERROR(INDIRECT("'"&amp;$D$43&amp;"'!warmteinkoop_2045"),0)
+IFERROR(INDIRECT("'"&amp;$D$44&amp;"'!warmteinkoop_2045"),0)
+IFERROR(INDIRECT("'"&amp;$D$45&amp;"'!warmteinkoop_2045"),0)
+IFERROR(INDIRECT("'"&amp;$D$46&amp;"'!warmteinkoop_2045"),0)
+IFERROR(INDIRECT("'"&amp;$D$47&amp;"'!warmteinkoop_2045"),0)
+IFERROR(INDIRECT("'"&amp;$D$48&amp;"'!warmteinkoop_2045"),0)
+IFERROR(INDIRECT("'"&amp;$D$49&amp;"'!warmteinkoop_2045"),0)
+IFERROR(INDIRECT("'"&amp;$D$50&amp;"'!warmteinkoop_2045"),0)
+IFERROR(INDIRECT("'"&amp;$D$51&amp;"'!warmteinkoop_2045"),0)
+IFERROR(INDIRECT("'"&amp;$D$52&amp;"'!warmteinkoop_2045"),0)
+IFERROR(INDIRECT("'"&amp;$D$53&amp;"'!warmteinkoop_2045"),0)
+IFERROR(INDIRECT("'"&amp;$D$54&amp;"'!warmteinkoop_2045"),0)</f>
        <v>0</v>
      </c>
      <c r="AJ33" s="320">
        <f ca="1">+IFERROR(INDIRECT("'"&amp;$D$5&amp;"'!warmteinkoop_2046"),0)
+IFERROR(INDIRECT("'"&amp;$D$6&amp;"'!warmteinkoop_2046"),0)
+IFERROR(INDIRECT("'"&amp;$D$7&amp;"'!warmteinkoop_2046"),0)
+IFERROR(INDIRECT("'"&amp;$D$8&amp;"'!warmteinkoop_2046"),0)
+IFERROR(INDIRECT("'"&amp;$D$9&amp;"'!warmteinkoop_2046"),0)
+IFERROR(INDIRECT("'"&amp;$D$10&amp;"'!warmteinkoop_2046"),0)
+IFERROR(INDIRECT("'"&amp;$D$11&amp;"'!warmteinkoop_2046"),0)
+IFERROR(INDIRECT("'"&amp;$D$12&amp;"'!warmteinkoop_2046"),0)
+IFERROR(INDIRECT("'"&amp;$D$13&amp;"'!warmteinkoop_2046"),0)
+IFERROR(INDIRECT("'"&amp;$D$14&amp;"'!warmteinkoop_2046"),0)
+IFERROR(INDIRECT("'"&amp;$D$15&amp;"'!warmteinkoop_2046"),0)
+IFERROR(INDIRECT("'"&amp;$D$16&amp;"'!warmteinkoop_2046"),0)
+IFERROR(INDIRECT("'"&amp;$D$17&amp;"'!warmteinkoop_2046"),0)
+IFERROR(INDIRECT("'"&amp;$D$18&amp;"'!warmteinkoop_2046"),0)
+IFERROR(INDIRECT("'"&amp;$D$19&amp;"'!warmteinkoop_2046"),0)
+IFERROR(INDIRECT("'"&amp;$D$20&amp;"'!warmteinkoop_2046"),0)
+IFERROR(INDIRECT("'"&amp;$D$21&amp;"'!warmteinkoop_2046"),0)
+IFERROR(INDIRECT("'"&amp;$D$22&amp;"'!warmteinkoop_2046"),0)
+IFERROR(INDIRECT("'"&amp;$D$23&amp;"'!warmteinkoop_2046"),0)
+IFERROR(INDIRECT("'"&amp;$D$24&amp;"'!warmteinkoop_2046"),0)
+IFERROR(INDIRECT("'"&amp;$D$25&amp;"'!warmteinkoop_2046"),0)
+IFERROR(INDIRECT("'"&amp;$D$26&amp;"'!warmteinkoop_2046"),0)
+IFERROR(INDIRECT("'"&amp;$D$27&amp;"'!warmteinkoop_2046"),0)
+IFERROR(INDIRECT("'"&amp;$D$28&amp;"'!warmteinkoop_2046"),0)
+IFERROR(INDIRECT("'"&amp;$D$29&amp;"'!warmteinkoop_2046"),0)
+IFERROR(INDIRECT("'"&amp;$D$30&amp;"'!warmteinkoop_2046"),0)
+IFERROR(INDIRECT("'"&amp;$D$31&amp;"'!warmteinkoop_2046"),0)
+IFERROR(INDIRECT("'"&amp;$D$32&amp;"'!warmteinkoop_2046"),0)
+IFERROR(INDIRECT("'"&amp;$D$33&amp;"'!warmteinkoop_2046"),0)
+IFERROR(INDIRECT("'"&amp;$D$34&amp;"'!warmteinkoop_2046"),0)
+IFERROR(INDIRECT("'"&amp;$D$35&amp;"'!warmteinkoop_2046"),0)
+IFERROR(INDIRECT("'"&amp;$D$36&amp;"'!warmteinkoop_2046"),0)
+IFERROR(INDIRECT("'"&amp;$D$37&amp;"'!warmteinkoop_2046"),0)
+IFERROR(INDIRECT("'"&amp;$D$38&amp;"'!warmteinkoop_2046"),0)
+IFERROR(INDIRECT("'"&amp;$D$39&amp;"'!warmteinkoop_2046"),0)
+IFERROR(INDIRECT("'"&amp;$D$40&amp;"'!warmteinkoop_2046"),0)
+IFERROR(INDIRECT("'"&amp;$D$41&amp;"'!warmteinkoop_2046"),0)
+IFERROR(INDIRECT("'"&amp;$D$42&amp;"'!warmteinkoop_2046"),0)
+IFERROR(INDIRECT("'"&amp;$D$43&amp;"'!warmteinkoop_2046"),0)
+IFERROR(INDIRECT("'"&amp;$D$44&amp;"'!warmteinkoop_2046"),0)
+IFERROR(INDIRECT("'"&amp;$D$45&amp;"'!warmteinkoop_2046"),0)
+IFERROR(INDIRECT("'"&amp;$D$46&amp;"'!warmteinkoop_2046"),0)
+IFERROR(INDIRECT("'"&amp;$D$47&amp;"'!warmteinkoop_2046"),0)
+IFERROR(INDIRECT("'"&amp;$D$48&amp;"'!warmteinkoop_2046"),0)
+IFERROR(INDIRECT("'"&amp;$D$49&amp;"'!warmteinkoop_2046"),0)
+IFERROR(INDIRECT("'"&amp;$D$50&amp;"'!warmteinkoop_2046"),0)
+IFERROR(INDIRECT("'"&amp;$D$51&amp;"'!warmteinkoop_2046"),0)
+IFERROR(INDIRECT("'"&amp;$D$52&amp;"'!warmteinkoop_2046"),0)
+IFERROR(INDIRECT("'"&amp;$D$53&amp;"'!warmteinkoop_2046"),0)
+IFERROR(INDIRECT("'"&amp;$D$54&amp;"'!warmteinkoop_2046"),0)</f>
        <v>0</v>
      </c>
      <c r="AK33" s="320">
        <f ca="1">+IFERROR(INDIRECT("'"&amp;$D$5&amp;"'!warmteinkoop_2047"),0)
+IFERROR(INDIRECT("'"&amp;$D$6&amp;"'!warmteinkoop_2047"),0)
+IFERROR(INDIRECT("'"&amp;$D$7&amp;"'!warmteinkoop_2047"),0)
+IFERROR(INDIRECT("'"&amp;$D$8&amp;"'!warmteinkoop_2047"),0)
+IFERROR(INDIRECT("'"&amp;$D$9&amp;"'!warmteinkoop_2047"),0)
+IFERROR(INDIRECT("'"&amp;$D$10&amp;"'!warmteinkoop_2047"),0)
+IFERROR(INDIRECT("'"&amp;$D$11&amp;"'!warmteinkoop_2047"),0)
+IFERROR(INDIRECT("'"&amp;$D$12&amp;"'!warmteinkoop_2047"),0)
+IFERROR(INDIRECT("'"&amp;$D$13&amp;"'!warmteinkoop_2047"),0)
+IFERROR(INDIRECT("'"&amp;$D$14&amp;"'!warmteinkoop_2047"),0)
+IFERROR(INDIRECT("'"&amp;$D$15&amp;"'!warmteinkoop_2047"),0)
+IFERROR(INDIRECT("'"&amp;$D$16&amp;"'!warmteinkoop_2047"),0)
+IFERROR(INDIRECT("'"&amp;$D$17&amp;"'!warmteinkoop_2047"),0)
+IFERROR(INDIRECT("'"&amp;$D$18&amp;"'!warmteinkoop_2047"),0)
+IFERROR(INDIRECT("'"&amp;$D$19&amp;"'!warmteinkoop_2047"),0)
+IFERROR(INDIRECT("'"&amp;$D$20&amp;"'!warmteinkoop_2047"),0)
+IFERROR(INDIRECT("'"&amp;$D$21&amp;"'!warmteinkoop_2047"),0)
+IFERROR(INDIRECT("'"&amp;$D$22&amp;"'!warmteinkoop_2047"),0)
+IFERROR(INDIRECT("'"&amp;$D$23&amp;"'!warmteinkoop_2047"),0)
+IFERROR(INDIRECT("'"&amp;$D$24&amp;"'!warmteinkoop_2047"),0)
+IFERROR(INDIRECT("'"&amp;$D$25&amp;"'!warmteinkoop_2047"),0)
+IFERROR(INDIRECT("'"&amp;$D$26&amp;"'!warmteinkoop_2047"),0)
+IFERROR(INDIRECT("'"&amp;$D$27&amp;"'!warmteinkoop_2047"),0)
+IFERROR(INDIRECT("'"&amp;$D$28&amp;"'!warmteinkoop_2047"),0)
+IFERROR(INDIRECT("'"&amp;$D$29&amp;"'!warmteinkoop_2047"),0)
+IFERROR(INDIRECT("'"&amp;$D$30&amp;"'!warmteinkoop_2047"),0)
+IFERROR(INDIRECT("'"&amp;$D$31&amp;"'!warmteinkoop_2047"),0)
+IFERROR(INDIRECT("'"&amp;$D$32&amp;"'!warmteinkoop_2047"),0)
+IFERROR(INDIRECT("'"&amp;$D$33&amp;"'!warmteinkoop_2047"),0)
+IFERROR(INDIRECT("'"&amp;$D$34&amp;"'!warmteinkoop_2047"),0)
+IFERROR(INDIRECT("'"&amp;$D$35&amp;"'!warmteinkoop_2047"),0)
+IFERROR(INDIRECT("'"&amp;$D$36&amp;"'!warmteinkoop_2047"),0)
+IFERROR(INDIRECT("'"&amp;$D$37&amp;"'!warmteinkoop_2047"),0)
+IFERROR(INDIRECT("'"&amp;$D$38&amp;"'!warmteinkoop_2047"),0)
+IFERROR(INDIRECT("'"&amp;$D$39&amp;"'!warmteinkoop_2047"),0)
+IFERROR(INDIRECT("'"&amp;$D$40&amp;"'!warmteinkoop_2047"),0)
+IFERROR(INDIRECT("'"&amp;$D$41&amp;"'!warmteinkoop_2047"),0)
+IFERROR(INDIRECT("'"&amp;$D$42&amp;"'!warmteinkoop_2047"),0)
+IFERROR(INDIRECT("'"&amp;$D$43&amp;"'!warmteinkoop_2047"),0)
+IFERROR(INDIRECT("'"&amp;$D$44&amp;"'!warmteinkoop_2047"),0)
+IFERROR(INDIRECT("'"&amp;$D$45&amp;"'!warmteinkoop_2047"),0)
+IFERROR(INDIRECT("'"&amp;$D$46&amp;"'!warmteinkoop_2047"),0)
+IFERROR(INDIRECT("'"&amp;$D$47&amp;"'!warmteinkoop_2047"),0)
+IFERROR(INDIRECT("'"&amp;$D$48&amp;"'!warmteinkoop_2047"),0)
+IFERROR(INDIRECT("'"&amp;$D$49&amp;"'!warmteinkoop_2047"),0)
+IFERROR(INDIRECT("'"&amp;$D$50&amp;"'!warmteinkoop_2047"),0)
+IFERROR(INDIRECT("'"&amp;$D$51&amp;"'!warmteinkoop_2047"),0)
+IFERROR(INDIRECT("'"&amp;$D$52&amp;"'!warmteinkoop_2047"),0)
+IFERROR(INDIRECT("'"&amp;$D$53&amp;"'!warmteinkoop_2047"),0)
+IFERROR(INDIRECT("'"&amp;$D$54&amp;"'!warmteinkoop_2047"),0)</f>
        <v>0</v>
      </c>
      <c r="AL33" s="320">
        <f ca="1">+IFERROR(INDIRECT("'"&amp;$D$5&amp;"'!warmteinkoop_2048"),0)
+IFERROR(INDIRECT("'"&amp;$D$6&amp;"'!warmteinkoop_2048"),0)
+IFERROR(INDIRECT("'"&amp;$D$7&amp;"'!warmteinkoop_2048"),0)
+IFERROR(INDIRECT("'"&amp;$D$8&amp;"'!warmteinkoop_2048"),0)
+IFERROR(INDIRECT("'"&amp;$D$9&amp;"'!warmteinkoop_2048"),0)
+IFERROR(INDIRECT("'"&amp;$D$10&amp;"'!warmteinkoop_2048"),0)
+IFERROR(INDIRECT("'"&amp;$D$11&amp;"'!warmteinkoop_2048"),0)
+IFERROR(INDIRECT("'"&amp;$D$12&amp;"'!warmteinkoop_2048"),0)
+IFERROR(INDIRECT("'"&amp;$D$13&amp;"'!warmteinkoop_2048"),0)
+IFERROR(INDIRECT("'"&amp;$D$14&amp;"'!warmteinkoop_2048"),0)
+IFERROR(INDIRECT("'"&amp;$D$15&amp;"'!warmteinkoop_2048"),0)
+IFERROR(INDIRECT("'"&amp;$D$16&amp;"'!warmteinkoop_2048"),0)
+IFERROR(INDIRECT("'"&amp;$D$17&amp;"'!warmteinkoop_2048"),0)
+IFERROR(INDIRECT("'"&amp;$D$18&amp;"'!warmteinkoop_2048"),0)
+IFERROR(INDIRECT("'"&amp;$D$19&amp;"'!warmteinkoop_2048"),0)
+IFERROR(INDIRECT("'"&amp;$D$20&amp;"'!warmteinkoop_2048"),0)
+IFERROR(INDIRECT("'"&amp;$D$21&amp;"'!warmteinkoop_2048"),0)
+IFERROR(INDIRECT("'"&amp;$D$22&amp;"'!warmteinkoop_2048"),0)
+IFERROR(INDIRECT("'"&amp;$D$23&amp;"'!warmteinkoop_2048"),0)
+IFERROR(INDIRECT("'"&amp;$D$24&amp;"'!warmteinkoop_2048"),0)
+IFERROR(INDIRECT("'"&amp;$D$25&amp;"'!warmteinkoop_2048"),0)
+IFERROR(INDIRECT("'"&amp;$D$26&amp;"'!warmteinkoop_2048"),0)
+IFERROR(INDIRECT("'"&amp;$D$27&amp;"'!warmteinkoop_2048"),0)
+IFERROR(INDIRECT("'"&amp;$D$28&amp;"'!warmteinkoop_2048"),0)
+IFERROR(INDIRECT("'"&amp;$D$29&amp;"'!warmteinkoop_2048"),0)
+IFERROR(INDIRECT("'"&amp;$D$30&amp;"'!warmteinkoop_2048"),0)
+IFERROR(INDIRECT("'"&amp;$D$31&amp;"'!warmteinkoop_2048"),0)
+IFERROR(INDIRECT("'"&amp;$D$32&amp;"'!warmteinkoop_2048"),0)
+IFERROR(INDIRECT("'"&amp;$D$33&amp;"'!warmteinkoop_2048"),0)
+IFERROR(INDIRECT("'"&amp;$D$34&amp;"'!warmteinkoop_2048"),0)
+IFERROR(INDIRECT("'"&amp;$D$35&amp;"'!warmteinkoop_2048"),0)
+IFERROR(INDIRECT("'"&amp;$D$36&amp;"'!warmteinkoop_2048"),0)
+IFERROR(INDIRECT("'"&amp;$D$37&amp;"'!warmteinkoop_2048"),0)
+IFERROR(INDIRECT("'"&amp;$D$38&amp;"'!warmteinkoop_2048"),0)
+IFERROR(INDIRECT("'"&amp;$D$39&amp;"'!warmteinkoop_2048"),0)
+IFERROR(INDIRECT("'"&amp;$D$40&amp;"'!warmteinkoop_2048"),0)
+IFERROR(INDIRECT("'"&amp;$D$41&amp;"'!warmteinkoop_2048"),0)
+IFERROR(INDIRECT("'"&amp;$D$42&amp;"'!warmteinkoop_2048"),0)
+IFERROR(INDIRECT("'"&amp;$D$43&amp;"'!warmteinkoop_2048"),0)
+IFERROR(INDIRECT("'"&amp;$D$44&amp;"'!warmteinkoop_2048"),0)
+IFERROR(INDIRECT("'"&amp;$D$45&amp;"'!warmteinkoop_2048"),0)
+IFERROR(INDIRECT("'"&amp;$D$46&amp;"'!warmteinkoop_2048"),0)
+IFERROR(INDIRECT("'"&amp;$D$47&amp;"'!warmteinkoop_2048"),0)
+IFERROR(INDIRECT("'"&amp;$D$48&amp;"'!warmteinkoop_2048"),0)
+IFERROR(INDIRECT("'"&amp;$D$49&amp;"'!warmteinkoop_2048"),0)
+IFERROR(INDIRECT("'"&amp;$D$50&amp;"'!warmteinkoop_2048"),0)
+IFERROR(INDIRECT("'"&amp;$D$51&amp;"'!warmteinkoop_2048"),0)
+IFERROR(INDIRECT("'"&amp;$D$52&amp;"'!warmteinkoop_2048"),0)
+IFERROR(INDIRECT("'"&amp;$D$53&amp;"'!warmteinkoop_2048"),0)
+IFERROR(INDIRECT("'"&amp;$D$54&amp;"'!warmteinkoop_2048"),0)</f>
        <v>0</v>
      </c>
      <c r="AM33" s="320">
        <f ca="1">+IFERROR(INDIRECT("'"&amp;$D$5&amp;"'!warmteinkoop_2049"),0)
+IFERROR(INDIRECT("'"&amp;$D$6&amp;"'!warmteinkoop_2049"),0)
+IFERROR(INDIRECT("'"&amp;$D$7&amp;"'!warmteinkoop_2049"),0)
+IFERROR(INDIRECT("'"&amp;$D$8&amp;"'!warmteinkoop_2049"),0)
+IFERROR(INDIRECT("'"&amp;$D$9&amp;"'!warmteinkoop_2049"),0)
+IFERROR(INDIRECT("'"&amp;$D$10&amp;"'!warmteinkoop_2049"),0)
+IFERROR(INDIRECT("'"&amp;$D$11&amp;"'!warmteinkoop_2049"),0)
+IFERROR(INDIRECT("'"&amp;$D$12&amp;"'!warmteinkoop_2049"),0)
+IFERROR(INDIRECT("'"&amp;$D$13&amp;"'!warmteinkoop_2049"),0)
+IFERROR(INDIRECT("'"&amp;$D$14&amp;"'!warmteinkoop_2049"),0)
+IFERROR(INDIRECT("'"&amp;$D$15&amp;"'!warmteinkoop_2049"),0)
+IFERROR(INDIRECT("'"&amp;$D$16&amp;"'!warmteinkoop_2049"),0)
+IFERROR(INDIRECT("'"&amp;$D$17&amp;"'!warmteinkoop_2049"),0)
+IFERROR(INDIRECT("'"&amp;$D$18&amp;"'!warmteinkoop_2049"),0)
+IFERROR(INDIRECT("'"&amp;$D$19&amp;"'!warmteinkoop_2049"),0)
+IFERROR(INDIRECT("'"&amp;$D$20&amp;"'!warmteinkoop_2049"),0)
+IFERROR(INDIRECT("'"&amp;$D$21&amp;"'!warmteinkoop_2049"),0)
+IFERROR(INDIRECT("'"&amp;$D$22&amp;"'!warmteinkoop_2049"),0)
+IFERROR(INDIRECT("'"&amp;$D$23&amp;"'!warmteinkoop_2049"),0)
+IFERROR(INDIRECT("'"&amp;$D$24&amp;"'!warmteinkoop_2049"),0)
+IFERROR(INDIRECT("'"&amp;$D$25&amp;"'!warmteinkoop_2049"),0)
+IFERROR(INDIRECT("'"&amp;$D$26&amp;"'!warmteinkoop_2049"),0)
+IFERROR(INDIRECT("'"&amp;$D$27&amp;"'!warmteinkoop_2049"),0)
+IFERROR(INDIRECT("'"&amp;$D$28&amp;"'!warmteinkoop_2049"),0)
+IFERROR(INDIRECT("'"&amp;$D$29&amp;"'!warmteinkoop_2049"),0)
+IFERROR(INDIRECT("'"&amp;$D$30&amp;"'!warmteinkoop_2049"),0)
+IFERROR(INDIRECT("'"&amp;$D$31&amp;"'!warmteinkoop_2049"),0)
+IFERROR(INDIRECT("'"&amp;$D$32&amp;"'!warmteinkoop_2049"),0)
+IFERROR(INDIRECT("'"&amp;$D$33&amp;"'!warmteinkoop_2049"),0)
+IFERROR(INDIRECT("'"&amp;$D$34&amp;"'!warmteinkoop_2049"),0)
+IFERROR(INDIRECT("'"&amp;$D$35&amp;"'!warmteinkoop_2049"),0)
+IFERROR(INDIRECT("'"&amp;$D$36&amp;"'!warmteinkoop_2049"),0)
+IFERROR(INDIRECT("'"&amp;$D$37&amp;"'!warmteinkoop_2049"),0)
+IFERROR(INDIRECT("'"&amp;$D$38&amp;"'!warmteinkoop_2049"),0)
+IFERROR(INDIRECT("'"&amp;$D$39&amp;"'!warmteinkoop_2049"),0)
+IFERROR(INDIRECT("'"&amp;$D$40&amp;"'!warmteinkoop_2049"),0)
+IFERROR(INDIRECT("'"&amp;$D$41&amp;"'!warmteinkoop_2049"),0)
+IFERROR(INDIRECT("'"&amp;$D$42&amp;"'!warmteinkoop_2049"),0)
+IFERROR(INDIRECT("'"&amp;$D$43&amp;"'!warmteinkoop_2049"),0)
+IFERROR(INDIRECT("'"&amp;$D$44&amp;"'!warmteinkoop_2049"),0)
+IFERROR(INDIRECT("'"&amp;$D$45&amp;"'!warmteinkoop_2049"),0)
+IFERROR(INDIRECT("'"&amp;$D$46&amp;"'!warmteinkoop_2049"),0)
+IFERROR(INDIRECT("'"&amp;$D$47&amp;"'!warmteinkoop_2049"),0)
+IFERROR(INDIRECT("'"&amp;$D$48&amp;"'!warmteinkoop_2049"),0)
+IFERROR(INDIRECT("'"&amp;$D$49&amp;"'!warmteinkoop_2049"),0)
+IFERROR(INDIRECT("'"&amp;$D$50&amp;"'!warmteinkoop_2049"),0)
+IFERROR(INDIRECT("'"&amp;$D$51&amp;"'!warmteinkoop_2049"),0)
+IFERROR(INDIRECT("'"&amp;$D$52&amp;"'!warmteinkoop_2049"),0)
+IFERROR(INDIRECT("'"&amp;$D$53&amp;"'!warmteinkoop_2049"),0)
+IFERROR(INDIRECT("'"&amp;$D$54&amp;"'!warmteinkoop_2049"),0)</f>
        <v>0</v>
      </c>
      <c r="AN33" s="320">
        <f ca="1">+IFERROR(INDIRECT("'"&amp;$D$5&amp;"'!warmteinkoop_2050"),0)
+IFERROR(INDIRECT("'"&amp;$D$6&amp;"'!warmteinkoop_2050"),0)
+IFERROR(INDIRECT("'"&amp;$D$7&amp;"'!warmteinkoop_2050"),0)
+IFERROR(INDIRECT("'"&amp;$D$8&amp;"'!warmteinkoop_2050"),0)
+IFERROR(INDIRECT("'"&amp;$D$9&amp;"'!warmteinkoop_2050"),0)
+IFERROR(INDIRECT("'"&amp;$D$10&amp;"'!warmteinkoop_2050"),0)
+IFERROR(INDIRECT("'"&amp;$D$11&amp;"'!warmteinkoop_2050"),0)
+IFERROR(INDIRECT("'"&amp;$D$12&amp;"'!warmteinkoop_2050"),0)
+IFERROR(INDIRECT("'"&amp;$D$13&amp;"'!warmteinkoop_2050"),0)
+IFERROR(INDIRECT("'"&amp;$D$14&amp;"'!warmteinkoop_2050"),0)
+IFERROR(INDIRECT("'"&amp;$D$15&amp;"'!warmteinkoop_2050"),0)
+IFERROR(INDIRECT("'"&amp;$D$16&amp;"'!warmteinkoop_2050"),0)
+IFERROR(INDIRECT("'"&amp;$D$17&amp;"'!warmteinkoop_2050"),0)
+IFERROR(INDIRECT("'"&amp;$D$18&amp;"'!warmteinkoop_2050"),0)
+IFERROR(INDIRECT("'"&amp;$D$19&amp;"'!warmteinkoop_2050"),0)
+IFERROR(INDIRECT("'"&amp;$D$20&amp;"'!warmteinkoop_2050"),0)
+IFERROR(INDIRECT("'"&amp;$D$21&amp;"'!warmteinkoop_2050"),0)
+IFERROR(INDIRECT("'"&amp;$D$22&amp;"'!warmteinkoop_2050"),0)
+IFERROR(INDIRECT("'"&amp;$D$23&amp;"'!warmteinkoop_2050"),0)
+IFERROR(INDIRECT("'"&amp;$D$24&amp;"'!warmteinkoop_2050"),0)
+IFERROR(INDIRECT("'"&amp;$D$25&amp;"'!warmteinkoop_2050"),0)
+IFERROR(INDIRECT("'"&amp;$D$26&amp;"'!warmteinkoop_2050"),0)
+IFERROR(INDIRECT("'"&amp;$D$27&amp;"'!warmteinkoop_2050"),0)
+IFERROR(INDIRECT("'"&amp;$D$28&amp;"'!warmteinkoop_2050"),0)
+IFERROR(INDIRECT("'"&amp;$D$29&amp;"'!warmteinkoop_2050"),0)
+IFERROR(INDIRECT("'"&amp;$D$30&amp;"'!warmteinkoop_2050"),0)
+IFERROR(INDIRECT("'"&amp;$D$31&amp;"'!warmteinkoop_2050"),0)
+IFERROR(INDIRECT("'"&amp;$D$32&amp;"'!warmteinkoop_2050"),0)
+IFERROR(INDIRECT("'"&amp;$D$33&amp;"'!warmteinkoop_2050"),0)
+IFERROR(INDIRECT("'"&amp;$D$34&amp;"'!warmteinkoop_2050"),0)
+IFERROR(INDIRECT("'"&amp;$D$35&amp;"'!warmteinkoop_2050"),0)
+IFERROR(INDIRECT("'"&amp;$D$36&amp;"'!warmteinkoop_2050"),0)
+IFERROR(INDIRECT("'"&amp;$D$37&amp;"'!warmteinkoop_2050"),0)
+IFERROR(INDIRECT("'"&amp;$D$38&amp;"'!warmteinkoop_2050"),0)
+IFERROR(INDIRECT("'"&amp;$D$39&amp;"'!warmteinkoop_2050"),0)
+IFERROR(INDIRECT("'"&amp;$D$40&amp;"'!warmteinkoop_2050"),0)
+IFERROR(INDIRECT("'"&amp;$D$41&amp;"'!warmteinkoop_2050"),0)
+IFERROR(INDIRECT("'"&amp;$D$42&amp;"'!warmteinkoop_2050"),0)
+IFERROR(INDIRECT("'"&amp;$D$43&amp;"'!warmteinkoop_2050"),0)
+IFERROR(INDIRECT("'"&amp;$D$44&amp;"'!warmteinkoop_2050"),0)
+IFERROR(INDIRECT("'"&amp;$D$45&amp;"'!warmteinkoop_2050"),0)
+IFERROR(INDIRECT("'"&amp;$D$46&amp;"'!warmteinkoop_2050"),0)
+IFERROR(INDIRECT("'"&amp;$D$47&amp;"'!warmteinkoop_2050"),0)
+IFERROR(INDIRECT("'"&amp;$D$48&amp;"'!warmteinkoop_2050"),0)
+IFERROR(INDIRECT("'"&amp;$D$49&amp;"'!warmteinkoop_2050"),0)
+IFERROR(INDIRECT("'"&amp;$D$50&amp;"'!warmteinkoop_2050"),0)
+IFERROR(INDIRECT("'"&amp;$D$51&amp;"'!warmteinkoop_2050"),0)
+IFERROR(INDIRECT("'"&amp;$D$52&amp;"'!warmteinkoop_2050"),0)
+IFERROR(INDIRECT("'"&amp;$D$53&amp;"'!warmteinkoop_2050"),0)
+IFERROR(INDIRECT("'"&amp;$D$54&amp;"'!warmteinkoop_2050"),0)</f>
        <v>0</v>
      </c>
      <c r="AO33" s="123"/>
    </row>
    <row r="34" spans="2:41" ht="18.75">
      <c r="B34" s="8"/>
      <c r="C34" s="279" t="s">
        <v>71</v>
      </c>
      <c r="D34" s="115"/>
      <c r="E34" s="8"/>
      <c r="F34" s="8"/>
      <c r="G34" s="300" t="s">
        <v>741</v>
      </c>
      <c r="H34" s="320">
        <f t="shared" ref="H34:AN34" ca="1" si="3">IF(H$23=0,0,H33/H$23)</f>
        <v>3.7660873441927131E-2</v>
      </c>
      <c r="I34" s="320">
        <f t="shared" ca="1" si="3"/>
        <v>3.7673769108614676E-2</v>
      </c>
      <c r="J34" s="320">
        <f t="shared" ca="1" si="3"/>
        <v>3.7673769108614676E-2</v>
      </c>
      <c r="K34" s="320">
        <f t="shared" ca="1" si="3"/>
        <v>3.7673769108614676E-2</v>
      </c>
      <c r="L34" s="320">
        <f t="shared" ca="1" si="3"/>
        <v>3.7673769108614676E-2</v>
      </c>
      <c r="M34" s="320">
        <f t="shared" ca="1" si="3"/>
        <v>3.4622193810816888E-2</v>
      </c>
      <c r="N34" s="320">
        <f t="shared" ca="1" si="3"/>
        <v>3.4622193810816888E-2</v>
      </c>
      <c r="O34" s="320">
        <f t="shared" ca="1" si="3"/>
        <v>3.2738505355386152E-2</v>
      </c>
      <c r="P34" s="320">
        <f t="shared" ca="1" si="3"/>
        <v>3.2738505355386152E-2</v>
      </c>
      <c r="Q34" s="320">
        <f t="shared" ca="1" si="3"/>
        <v>3.2737841935489814E-2</v>
      </c>
      <c r="R34" s="320">
        <f t="shared" ca="1" si="3"/>
        <v>0</v>
      </c>
      <c r="S34" s="320">
        <f t="shared" ca="1" si="3"/>
        <v>0</v>
      </c>
      <c r="T34" s="320">
        <f t="shared" ca="1" si="3"/>
        <v>0</v>
      </c>
      <c r="U34" s="320">
        <f t="shared" ca="1" si="3"/>
        <v>0</v>
      </c>
      <c r="V34" s="320">
        <f t="shared" ca="1" si="3"/>
        <v>0</v>
      </c>
      <c r="W34" s="320">
        <f t="shared" ca="1" si="3"/>
        <v>0</v>
      </c>
      <c r="X34" s="320">
        <f t="shared" ca="1" si="3"/>
        <v>0</v>
      </c>
      <c r="Y34" s="320">
        <f t="shared" ca="1" si="3"/>
        <v>0</v>
      </c>
      <c r="Z34" s="320">
        <f t="shared" ca="1" si="3"/>
        <v>0</v>
      </c>
      <c r="AA34" s="320">
        <f t="shared" ca="1" si="3"/>
        <v>0</v>
      </c>
      <c r="AB34" s="320">
        <f t="shared" ca="1" si="3"/>
        <v>0</v>
      </c>
      <c r="AC34" s="320">
        <f t="shared" ca="1" si="3"/>
        <v>0</v>
      </c>
      <c r="AD34" s="320">
        <f t="shared" ca="1" si="3"/>
        <v>0</v>
      </c>
      <c r="AE34" s="320">
        <f t="shared" ca="1" si="3"/>
        <v>0</v>
      </c>
      <c r="AF34" s="320">
        <f t="shared" ca="1" si="3"/>
        <v>0</v>
      </c>
      <c r="AG34" s="320">
        <f t="shared" ca="1" si="3"/>
        <v>0</v>
      </c>
      <c r="AH34" s="320">
        <f t="shared" ca="1" si="3"/>
        <v>0</v>
      </c>
      <c r="AI34" s="320">
        <f t="shared" ca="1" si="3"/>
        <v>0</v>
      </c>
      <c r="AJ34" s="320">
        <f t="shared" ca="1" si="3"/>
        <v>0</v>
      </c>
      <c r="AK34" s="320">
        <f t="shared" ca="1" si="3"/>
        <v>0</v>
      </c>
      <c r="AL34" s="320">
        <f t="shared" ca="1" si="3"/>
        <v>0</v>
      </c>
      <c r="AM34" s="320">
        <f t="shared" ca="1" si="3"/>
        <v>0</v>
      </c>
      <c r="AN34" s="320">
        <f t="shared" ca="1" si="3"/>
        <v>0</v>
      </c>
      <c r="AO34" s="123"/>
    </row>
    <row r="35" spans="2:41" ht="18.75">
      <c r="B35" s="8"/>
      <c r="C35" s="279" t="s">
        <v>72</v>
      </c>
      <c r="D35" s="115"/>
      <c r="E35" s="8"/>
      <c r="F35" s="8"/>
      <c r="G35" s="301" t="s">
        <v>634</v>
      </c>
      <c r="H35" s="320">
        <f ca="1">+IFERROR(INDIRECT("'"&amp;$D$5&amp;"'!Totaleinkoop_2018"),0)
+IFERROR(INDIRECT("'"&amp;$D$6&amp;"'!Totaleinkoop_2018"),0)
+IFERROR(INDIRECT("'"&amp;$D$7&amp;"'!Totaleinkoop_2018"),0)
+IFERROR(INDIRECT("'"&amp;$D$8&amp;"'!Totaleinkoop_2018"),0)
+IFERROR(INDIRECT("'"&amp;$D$9&amp;"'!Totaleinkoop_2018"),0)
+IFERROR(INDIRECT("'"&amp;$D$10&amp;"'!Totaleinkoop_2018"),0)
+IFERROR(INDIRECT("'"&amp;$D$11&amp;"'!Totaleinkoop_2018"),0)
+IFERROR(INDIRECT("'"&amp;$D$12&amp;"'!Totaleinkoop_2018"),0)
+IFERROR(INDIRECT("'"&amp;$D$13&amp;"'!Totaleinkoop_2018"),0)
+IFERROR(INDIRECT("'"&amp;$D$14&amp;"'!Totaleinkoop_2018"),0)
+IFERROR(INDIRECT("'"&amp;$D$15&amp;"'!Totaleinkoop_2018"),0)
+IFERROR(INDIRECT("'"&amp;$D$16&amp;"'!Totaleinkoop_2018"),0)
+IFERROR(INDIRECT("'"&amp;$D$17&amp;"'!Totaleinkoop_2018"),0)
+IFERROR(INDIRECT("'"&amp;$D$18&amp;"'!Totaleinkoop_2018"),0)
+IFERROR(INDIRECT("'"&amp;$D$19&amp;"'!Totaleinkoop_2018"),0)
+IFERROR(INDIRECT("'"&amp;$D$20&amp;"'!Totaleinkoop_2018"),0)
+IFERROR(INDIRECT("'"&amp;$D$21&amp;"'!Totaleinkoop_2018"),0)
+IFERROR(INDIRECT("'"&amp;$D$22&amp;"'!Totaleinkoop_2018"),0)
+IFERROR(INDIRECT("'"&amp;$D$23&amp;"'!Totaleinkoop_2018"),0)
+IFERROR(INDIRECT("'"&amp;$D$24&amp;"'!Totaleinkoop_2018"),0)
+IFERROR(INDIRECT("'"&amp;$D$25&amp;"'!Totaleinkoop_2018"),0)
+IFERROR(INDIRECT("'"&amp;$D$26&amp;"'!Totaleinkoop_2018"),0)
+IFERROR(INDIRECT("'"&amp;$D$27&amp;"'!Totaleinkoop_2018"),0)
+IFERROR(INDIRECT("'"&amp;$D$28&amp;"'!Totaleinkoop_2018"),0)
+IFERROR(INDIRECT("'"&amp;$D$29&amp;"'!Totaleinkoop_2018"),0)
+IFERROR(INDIRECT("'"&amp;$D$30&amp;"'!Totaleinkoop_2018"),0)
+IFERROR(INDIRECT("'"&amp;$D$31&amp;"'!Totaleinkoop_2018"),0)
+IFERROR(INDIRECT("'"&amp;$D$32&amp;"'!Totaleinkoop_2018"),0)
+IFERROR(INDIRECT("'"&amp;$D$33&amp;"'!Totaleinkoop_2018"),0)
+IFERROR(INDIRECT("'"&amp;$D$34&amp;"'!Totaleinkoop_2018"),0)
+IFERROR(INDIRECT("'"&amp;$D$35&amp;"'!Totaleinkoop_2018"),0)
+IFERROR(INDIRECT("'"&amp;$D$36&amp;"'!Totaleinkoop_2018"),0)
+IFERROR(INDIRECT("'"&amp;$D$37&amp;"'!Totaleinkoop_2018"),0)
+IFERROR(INDIRECT("'"&amp;$D$38&amp;"'!Totaleinkoop_2018"),0)
+IFERROR(INDIRECT("'"&amp;$D$39&amp;"'!Totaleinkoop_2018"),0)
+IFERROR(INDIRECT("'"&amp;$D$40&amp;"'!Totaleinkoop_2018"),0)
+IFERROR(INDIRECT("'"&amp;$D$41&amp;"'!Totaleinkoop_2018"),0)
+IFERROR(INDIRECT("'"&amp;$D$42&amp;"'!Totaleinkoop_2018"),0)
+IFERROR(INDIRECT("'"&amp;$D$43&amp;"'!Totaleinkoop_2018"),0)
+IFERROR(INDIRECT("'"&amp;$D$44&amp;"'!Totaleinkoop_2018"),0)
+IFERROR(INDIRECT("'"&amp;$D$45&amp;"'!Totaleinkoop_2018"),0)
+IFERROR(INDIRECT("'"&amp;$D$46&amp;"'!Totaleinkoop_2018"),0)
+IFERROR(INDIRECT("'"&amp;$D$47&amp;"'!Totaleinkoop_2018"),0)
+IFERROR(INDIRECT("'"&amp;$D$48&amp;"'!Totaleinkoop_2018"),0)
+IFERROR(INDIRECT("'"&amp;$D$49&amp;"'!Totaleinkoop_2018"),0)
+IFERROR(INDIRECT("'"&amp;$D$50&amp;"'!Totaleinkoop_2018"),0)
+IFERROR(INDIRECT("'"&amp;$D$51&amp;"'!Totaleinkoop_2018"),0)
+IFERROR(INDIRECT("'"&amp;$D$52&amp;"'!Totaleinkoop_2018"),0)
+IFERROR(INDIRECT("'"&amp;$D$53&amp;"'!Totaleinkoop_2018"),0)
+IFERROR(INDIRECT("'"&amp;$D$54&amp;"'!Totaleinkoop_2018"),0)
+Nieuwbouw!E54</f>
        <v>3305897.6840000004</v>
      </c>
      <c r="I35" s="320">
        <f ca="1">+IFERROR(INDIRECT("'"&amp;$D$5&amp;"'!Totaleinkoop_2019"),0)
+IFERROR(INDIRECT("'"&amp;$D$6&amp;"'!Totaleinkoop_2019"),0)
+IFERROR(INDIRECT("'"&amp;$D$7&amp;"'!Totaleinkoop_2019"),0)
+IFERROR(INDIRECT("'"&amp;$D$8&amp;"'!Totaleinkoop_2019"),0)
+IFERROR(INDIRECT("'"&amp;$D$9&amp;"'!Totaleinkoop_2019"),0)
+IFERROR(INDIRECT("'"&amp;$D$10&amp;"'!Totaleinkoop_2019"),0)
+IFERROR(INDIRECT("'"&amp;$D$11&amp;"'!Totaleinkoop_2019"),0)
+IFERROR(INDIRECT("'"&amp;$D$12&amp;"'!Totaleinkoop_2019"),0)
+IFERROR(INDIRECT("'"&amp;$D$13&amp;"'!Totaleinkoop_2019"),0)
+IFERROR(INDIRECT("'"&amp;$D$14&amp;"'!Totaleinkoop_2019"),0)
+IFERROR(INDIRECT("'"&amp;$D$15&amp;"'!Totaleinkoop_2019"),0)
+IFERROR(INDIRECT("'"&amp;$D$16&amp;"'!Totaleinkoop_2019"),0)
+IFERROR(INDIRECT("'"&amp;$D$17&amp;"'!Totaleinkoop_2019"),0)
+IFERROR(INDIRECT("'"&amp;$D$18&amp;"'!Totaleinkoop_2019"),0)
+IFERROR(INDIRECT("'"&amp;$D$19&amp;"'!Totaleinkoop_2019"),0)
+IFERROR(INDIRECT("'"&amp;$D$20&amp;"'!Totaleinkoop_2019"),0)
+IFERROR(INDIRECT("'"&amp;$D$21&amp;"'!Totaleinkoop_2019"),0)
+IFERROR(INDIRECT("'"&amp;$D$22&amp;"'!Totaleinkoop_2019"),0)
+IFERROR(INDIRECT("'"&amp;$D$23&amp;"'!Totaleinkoop_2019"),0)
+IFERROR(INDIRECT("'"&amp;$D$24&amp;"'!Totaleinkoop_2019"),0)
+IFERROR(INDIRECT("'"&amp;$D$25&amp;"'!Totaleinkoop_2019"),0)
+IFERROR(INDIRECT("'"&amp;$D$26&amp;"'!Totaleinkoop_2019"),0)
+IFERROR(INDIRECT("'"&amp;$D$27&amp;"'!Totaleinkoop_2019"),0)
+IFERROR(INDIRECT("'"&amp;$D$28&amp;"'!Totaleinkoop_2019"),0)
+IFERROR(INDIRECT("'"&amp;$D$29&amp;"'!Totaleinkoop_2019"),0)
+IFERROR(INDIRECT("'"&amp;$D$30&amp;"'!Totaleinkoop_2019"),0)
+IFERROR(INDIRECT("'"&amp;$D$31&amp;"'!Totaleinkoop_2019"),0)
+IFERROR(INDIRECT("'"&amp;$D$32&amp;"'!Totaleinkoop_2019"),0)
+IFERROR(INDIRECT("'"&amp;$D$33&amp;"'!Totaleinkoop_2019"),0)
+IFERROR(INDIRECT("'"&amp;$D$34&amp;"'!Totaleinkoop_2019"),0)
+IFERROR(INDIRECT("'"&amp;$D$35&amp;"'!Totaleinkoop_2019"),0)
+IFERROR(INDIRECT("'"&amp;$D$36&amp;"'!Totaleinkoop_2019"),0)
+IFERROR(INDIRECT("'"&amp;$D$37&amp;"'!Totaleinkoop_2019"),0)
+IFERROR(INDIRECT("'"&amp;$D$38&amp;"'!Totaleinkoop_2019"),0)
+IFERROR(INDIRECT("'"&amp;$D$39&amp;"'!Totaleinkoop_2019"),0)
+IFERROR(INDIRECT("'"&amp;$D$40&amp;"'!Totaleinkoop_2019"),0)
+IFERROR(INDIRECT("'"&amp;$D$41&amp;"'!Totaleinkoop_2019"),0)
+IFERROR(INDIRECT("'"&amp;$D$42&amp;"'!Totaleinkoop_2019"),0)
+IFERROR(INDIRECT("'"&amp;$D$43&amp;"'!Totaleinkoop_2019"),0)
+IFERROR(INDIRECT("'"&amp;$D$44&amp;"'!Totaleinkoop_2019"),0)
+IFERROR(INDIRECT("'"&amp;$D$45&amp;"'!Totaleinkoop_2019"),0)
+IFERROR(INDIRECT("'"&amp;$D$46&amp;"'!Totaleinkoop_2019"),0)
+IFERROR(INDIRECT("'"&amp;$D$47&amp;"'!Totaleinkoop_2019"),0)
+IFERROR(INDIRECT("'"&amp;$D$48&amp;"'!Totaleinkoop_2019"),0)
+IFERROR(INDIRECT("'"&amp;$D$49&amp;"'!Totaleinkoop_2019"),0)
+IFERROR(INDIRECT("'"&amp;$D$50&amp;"'!Totaleinkoop_2019"),0)
+IFERROR(INDIRECT("'"&amp;$D$51&amp;"'!Totaleinkoop_2019"),0)
+IFERROR(INDIRECT("'"&amp;$D$52&amp;"'!Totaleinkoop_2019"),0)
+IFERROR(INDIRECT("'"&amp;$D$53&amp;"'!Totaleinkoop_2019"),0)
+IFERROR(INDIRECT("'"&amp;$D$54&amp;"'!Totaleinkoop_2019"),0)
+Nieuwbouw!F54</f>
        <v>3305975.5240000002</v>
      </c>
      <c r="J35" s="320">
        <f ca="1">+IFERROR(INDIRECT("'"&amp;$D$5&amp;"'!Totaleinkoop_2020"),0)
+IFERROR(INDIRECT("'"&amp;$D$6&amp;"'!Totaleinkoop_2020"),0)
+IFERROR(INDIRECT("'"&amp;$D$7&amp;"'!Totaleinkoop_2020"),0)
+IFERROR(INDIRECT("'"&amp;$D$8&amp;"'!Totaleinkoop_2020"),0)
+IFERROR(INDIRECT("'"&amp;$D$9&amp;"'!Totaleinkoop_2020"),0)
+IFERROR(INDIRECT("'"&amp;$D$10&amp;"'!Totaleinkoop_2020"),0)
+IFERROR(INDIRECT("'"&amp;$D$11&amp;"'!Totaleinkoop_2020"),0)
+IFERROR(INDIRECT("'"&amp;$D$12&amp;"'!Totaleinkoop_2020"),0)
+IFERROR(INDIRECT("'"&amp;$D$13&amp;"'!Totaleinkoop_2020"),0)
+IFERROR(INDIRECT("'"&amp;$D$14&amp;"'!Totaleinkoop_2020"),0)
+IFERROR(INDIRECT("'"&amp;$D$15&amp;"'!Totaleinkoop_2020"),0)
+IFERROR(INDIRECT("'"&amp;$D$16&amp;"'!Totaleinkoop_2020"),0)
+IFERROR(INDIRECT("'"&amp;$D$17&amp;"'!Totaleinkoop_2020"),0)
+IFERROR(INDIRECT("'"&amp;$D$18&amp;"'!Totaleinkoop_2020"),0)
+IFERROR(INDIRECT("'"&amp;$D$19&amp;"'!Totaleinkoop_2020"),0)
+IFERROR(INDIRECT("'"&amp;$D$20&amp;"'!Totaleinkoop_2020"),0)
+IFERROR(INDIRECT("'"&amp;$D$21&amp;"'!Totaleinkoop_2020"),0)
+IFERROR(INDIRECT("'"&amp;$D$22&amp;"'!Totaleinkoop_2020"),0)
+IFERROR(INDIRECT("'"&amp;$D$23&amp;"'!Totaleinkoop_2020"),0)
+IFERROR(INDIRECT("'"&amp;$D$24&amp;"'!Totaleinkoop_2020"),0)
+IFERROR(INDIRECT("'"&amp;$D$25&amp;"'!Totaleinkoop_2020"),0)
+IFERROR(INDIRECT("'"&amp;$D$26&amp;"'!Totaleinkoop_2020"),0)
+IFERROR(INDIRECT("'"&amp;$D$27&amp;"'!Totaleinkoop_2020"),0)
+IFERROR(INDIRECT("'"&amp;$D$28&amp;"'!Totaleinkoop_2020"),0)
+IFERROR(INDIRECT("'"&amp;$D$29&amp;"'!Totaleinkoop_2020"),0)
+IFERROR(INDIRECT("'"&amp;$D$30&amp;"'!Totaleinkoop_2020"),0)
+IFERROR(INDIRECT("'"&amp;$D$31&amp;"'!Totaleinkoop_2020"),0)
+IFERROR(INDIRECT("'"&amp;$D$32&amp;"'!Totaleinkoop_2020"),0)
+IFERROR(INDIRECT("'"&amp;$D$33&amp;"'!Totaleinkoop_2020"),0)
+IFERROR(INDIRECT("'"&amp;$D$34&amp;"'!Totaleinkoop_2020"),0)
+IFERROR(INDIRECT("'"&amp;$D$35&amp;"'!Totaleinkoop_2020"),0)
+IFERROR(INDIRECT("'"&amp;$D$36&amp;"'!Totaleinkoop_2020"),0)
+IFERROR(INDIRECT("'"&amp;$D$37&amp;"'!Totaleinkoop_2020"),0)
+IFERROR(INDIRECT("'"&amp;$D$38&amp;"'!Totaleinkoop_2020"),0)
+IFERROR(INDIRECT("'"&amp;$D$39&amp;"'!Totaleinkoop_2020"),0)
+IFERROR(INDIRECT("'"&amp;$D$40&amp;"'!Totaleinkoop_2020"),0)
+IFERROR(INDIRECT("'"&amp;$D$41&amp;"'!Totaleinkoop_2020"),0)
+IFERROR(INDIRECT("'"&amp;$D$42&amp;"'!Totaleinkoop_2020"),0)
+IFERROR(INDIRECT("'"&amp;$D$43&amp;"'!Totaleinkoop_2020"),0)
+IFERROR(INDIRECT("'"&amp;$D$44&amp;"'!Totaleinkoop_2020"),0)
+IFERROR(INDIRECT("'"&amp;$D$45&amp;"'!Totaleinkoop_2020"),0)
+IFERROR(INDIRECT("'"&amp;$D$46&amp;"'!Totaleinkoop_2020"),0)
+IFERROR(INDIRECT("'"&amp;$D$47&amp;"'!Totaleinkoop_2020"),0)
+IFERROR(INDIRECT("'"&amp;$D$48&amp;"'!Totaleinkoop_2020"),0)
+IFERROR(INDIRECT("'"&amp;$D$49&amp;"'!Totaleinkoop_2020"),0)
+IFERROR(INDIRECT("'"&amp;$D$50&amp;"'!Totaleinkoop_2020"),0)
+IFERROR(INDIRECT("'"&amp;$D$51&amp;"'!Totaleinkoop_2020"),0)
+IFERROR(INDIRECT("'"&amp;$D$52&amp;"'!Totaleinkoop_2020"),0)
+IFERROR(INDIRECT("'"&amp;$D$53&amp;"'!Totaleinkoop_2020"),0)
+IFERROR(INDIRECT("'"&amp;$D$54&amp;"'!Totaleinkoop_2020"),0)
+Nieuwbouw!G54</f>
        <v>3305975.5240000002</v>
      </c>
      <c r="K35" s="320">
        <f ca="1">+IFERROR(INDIRECT("'"&amp;$D$5&amp;"'!Totaleinkoop_2021"),0)
+IFERROR(INDIRECT("'"&amp;$D$6&amp;"'!Totaleinkoop_2021"),0)
+IFERROR(INDIRECT("'"&amp;$D$7&amp;"'!Totaleinkoop_2021"),0)
+IFERROR(INDIRECT("'"&amp;$D$8&amp;"'!Totaleinkoop_2021"),0)
+IFERROR(INDIRECT("'"&amp;$D$9&amp;"'!Totaleinkoop_2021"),0)
+IFERROR(INDIRECT("'"&amp;$D$10&amp;"'!Totaleinkoop_2021"),0)
+IFERROR(INDIRECT("'"&amp;$D$11&amp;"'!Totaleinkoop_2021"),0)
+IFERROR(INDIRECT("'"&amp;$D$12&amp;"'!Totaleinkoop_2021"),0)
+IFERROR(INDIRECT("'"&amp;$D$13&amp;"'!Totaleinkoop_2021"),0)
+IFERROR(INDIRECT("'"&amp;$D$14&amp;"'!Totaleinkoop_2021"),0)
+IFERROR(INDIRECT("'"&amp;$D$15&amp;"'!Totaleinkoop_2021"),0)
+IFERROR(INDIRECT("'"&amp;$D$16&amp;"'!Totaleinkoop_2021"),0)
+IFERROR(INDIRECT("'"&amp;$D$17&amp;"'!Totaleinkoop_2021"),0)
+IFERROR(INDIRECT("'"&amp;$D$18&amp;"'!Totaleinkoop_2021"),0)
+IFERROR(INDIRECT("'"&amp;$D$19&amp;"'!Totaleinkoop_2021"),0)
+IFERROR(INDIRECT("'"&amp;$D$20&amp;"'!Totaleinkoop_2021"),0)
+IFERROR(INDIRECT("'"&amp;$D$21&amp;"'!Totaleinkoop_2021"),0)
+IFERROR(INDIRECT("'"&amp;$D$22&amp;"'!Totaleinkoop_2021"),0)
+IFERROR(INDIRECT("'"&amp;$D$23&amp;"'!Totaleinkoop_2021"),0)
+IFERROR(INDIRECT("'"&amp;$D$24&amp;"'!Totaleinkoop_2021"),0)
+IFERROR(INDIRECT("'"&amp;$D$25&amp;"'!Totaleinkoop_2021"),0)
+IFERROR(INDIRECT("'"&amp;$D$26&amp;"'!Totaleinkoop_2021"),0)
+IFERROR(INDIRECT("'"&amp;$D$27&amp;"'!Totaleinkoop_2021"),0)
+IFERROR(INDIRECT("'"&amp;$D$28&amp;"'!Totaleinkoop_2021"),0)
+IFERROR(INDIRECT("'"&amp;$D$29&amp;"'!Totaleinkoop_2021"),0)
+IFERROR(INDIRECT("'"&amp;$D$30&amp;"'!Totaleinkoop_2021"),0)
+IFERROR(INDIRECT("'"&amp;$D$31&amp;"'!Totaleinkoop_2021"),0)
+IFERROR(INDIRECT("'"&amp;$D$32&amp;"'!Totaleinkoop_2021"),0)
+IFERROR(INDIRECT("'"&amp;$D$33&amp;"'!Totaleinkoop_2021"),0)
+IFERROR(INDIRECT("'"&amp;$D$34&amp;"'!Totaleinkoop_2021"),0)
+IFERROR(INDIRECT("'"&amp;$D$35&amp;"'!Totaleinkoop_2021"),0)
+IFERROR(INDIRECT("'"&amp;$D$36&amp;"'!Totaleinkoop_2021"),0)
+IFERROR(INDIRECT("'"&amp;$D$37&amp;"'!Totaleinkoop_2021"),0)
+IFERROR(INDIRECT("'"&amp;$D$38&amp;"'!Totaleinkoop_2021"),0)
+IFERROR(INDIRECT("'"&amp;$D$39&amp;"'!Totaleinkoop_2021"),0)
+IFERROR(INDIRECT("'"&amp;$D$40&amp;"'!Totaleinkoop_2021"),0)
+IFERROR(INDIRECT("'"&amp;$D$41&amp;"'!Totaleinkoop_2021"),0)
+IFERROR(INDIRECT("'"&amp;$D$42&amp;"'!Totaleinkoop_2021"),0)
+IFERROR(INDIRECT("'"&amp;$D$43&amp;"'!Totaleinkoop_2021"),0)
+IFERROR(INDIRECT("'"&amp;$D$44&amp;"'!Totaleinkoop_2021"),0)
+IFERROR(INDIRECT("'"&amp;$D$45&amp;"'!Totaleinkoop_2021"),0)
+IFERROR(INDIRECT("'"&amp;$D$46&amp;"'!Totaleinkoop_2021"),0)
+IFERROR(INDIRECT("'"&amp;$D$47&amp;"'!Totaleinkoop_2021"),0)
+IFERROR(INDIRECT("'"&amp;$D$48&amp;"'!Totaleinkoop_2021"),0)
+IFERROR(INDIRECT("'"&amp;$D$49&amp;"'!Totaleinkoop_2021"),0)
+IFERROR(INDIRECT("'"&amp;$D$50&amp;"'!Totaleinkoop_2021"),0)
+IFERROR(INDIRECT("'"&amp;$D$51&amp;"'!Totaleinkoop_2021"),0)
+IFERROR(INDIRECT("'"&amp;$D$52&amp;"'!Totaleinkoop_2021"),0)
+IFERROR(INDIRECT("'"&amp;$D$53&amp;"'!Totaleinkoop_2021"),0)
+IFERROR(INDIRECT("'"&amp;$D$54&amp;"'!Totaleinkoop_2021"),0)
+Nieuwbouw!H54</f>
        <v>3305975.5240000002</v>
      </c>
      <c r="L35" s="320">
        <f ca="1">+IFERROR(INDIRECT("'"&amp;$D$5&amp;"'!Totaleinkoop_2022"),0)
+IFERROR(INDIRECT("'"&amp;$D$6&amp;"'!Totaleinkoop_2022"),0)
+IFERROR(INDIRECT("'"&amp;$D$7&amp;"'!Totaleinkoop_2022"),0)
+IFERROR(INDIRECT("'"&amp;$D$8&amp;"'!Totaleinkoop_2022"),0)
+IFERROR(INDIRECT("'"&amp;$D$9&amp;"'!Totaleinkoop_2022"),0)
+IFERROR(INDIRECT("'"&amp;$D$10&amp;"'!Totaleinkoop_2022"),0)
+IFERROR(INDIRECT("'"&amp;$D$11&amp;"'!Totaleinkoop_2022"),0)
+IFERROR(INDIRECT("'"&amp;$D$12&amp;"'!Totaleinkoop_2022"),0)
+IFERROR(INDIRECT("'"&amp;$D$13&amp;"'!Totaleinkoop_2022"),0)
+IFERROR(INDIRECT("'"&amp;$D$14&amp;"'!Totaleinkoop_2022"),0)
+IFERROR(INDIRECT("'"&amp;$D$15&amp;"'!Totaleinkoop_2022"),0)
+IFERROR(INDIRECT("'"&amp;$D$16&amp;"'!Totaleinkoop_2022"),0)
+IFERROR(INDIRECT("'"&amp;$D$17&amp;"'!Totaleinkoop_2022"),0)
+IFERROR(INDIRECT("'"&amp;$D$18&amp;"'!Totaleinkoop_2022"),0)
+IFERROR(INDIRECT("'"&amp;$D$19&amp;"'!Totaleinkoop_2022"),0)
+IFERROR(INDIRECT("'"&amp;$D$20&amp;"'!Totaleinkoop_2022"),0)
+IFERROR(INDIRECT("'"&amp;$D$21&amp;"'!Totaleinkoop_2022"),0)
+IFERROR(INDIRECT("'"&amp;$D$22&amp;"'!Totaleinkoop_2022"),0)
+IFERROR(INDIRECT("'"&amp;$D$23&amp;"'!Totaleinkoop_2022"),0)
+IFERROR(INDIRECT("'"&amp;$D$24&amp;"'!Totaleinkoop_2022"),0)
+IFERROR(INDIRECT("'"&amp;$D$25&amp;"'!Totaleinkoop_2022"),0)
+IFERROR(INDIRECT("'"&amp;$D$26&amp;"'!Totaleinkoop_2022"),0)
+IFERROR(INDIRECT("'"&amp;$D$27&amp;"'!Totaleinkoop_2022"),0)
+IFERROR(INDIRECT("'"&amp;$D$28&amp;"'!Totaleinkoop_2022"),0)
+IFERROR(INDIRECT("'"&amp;$D$29&amp;"'!Totaleinkoop_2022"),0)
+IFERROR(INDIRECT("'"&amp;$D$30&amp;"'!Totaleinkoop_2022"),0)
+IFERROR(INDIRECT("'"&amp;$D$31&amp;"'!Totaleinkoop_2022"),0)
+IFERROR(INDIRECT("'"&amp;$D$32&amp;"'!Totaleinkoop_2022"),0)
+IFERROR(INDIRECT("'"&amp;$D$33&amp;"'!Totaleinkoop_2022"),0)
+IFERROR(INDIRECT("'"&amp;$D$34&amp;"'!Totaleinkoop_2022"),0)
+IFERROR(INDIRECT("'"&amp;$D$35&amp;"'!Totaleinkoop_2022"),0)
+IFERROR(INDIRECT("'"&amp;$D$36&amp;"'!Totaleinkoop_2022"),0)
+IFERROR(INDIRECT("'"&amp;$D$37&amp;"'!Totaleinkoop_2022"),0)
+IFERROR(INDIRECT("'"&amp;$D$38&amp;"'!Totaleinkoop_2022"),0)
+IFERROR(INDIRECT("'"&amp;$D$39&amp;"'!Totaleinkoop_2022"),0)
+IFERROR(INDIRECT("'"&amp;$D$40&amp;"'!Totaleinkoop_2022"),0)
+IFERROR(INDIRECT("'"&amp;$D$41&amp;"'!Totaleinkoop_2022"),0)
+IFERROR(INDIRECT("'"&amp;$D$42&amp;"'!Totaleinkoop_2022"),0)
+IFERROR(INDIRECT("'"&amp;$D$43&amp;"'!Totaleinkoop_2022"),0)
+IFERROR(INDIRECT("'"&amp;$D$44&amp;"'!Totaleinkoop_2022"),0)
+IFERROR(INDIRECT("'"&amp;$D$45&amp;"'!Totaleinkoop_2022"),0)
+IFERROR(INDIRECT("'"&amp;$D$46&amp;"'!Totaleinkoop_2022"),0)
+IFERROR(INDIRECT("'"&amp;$D$47&amp;"'!Totaleinkoop_2022"),0)
+IFERROR(INDIRECT("'"&amp;$D$48&amp;"'!Totaleinkoop_2022"),0)
+IFERROR(INDIRECT("'"&amp;$D$49&amp;"'!Totaleinkoop_2022"),0)
+IFERROR(INDIRECT("'"&amp;$D$50&amp;"'!Totaleinkoop_2022"),0)
+IFERROR(INDIRECT("'"&amp;$D$51&amp;"'!Totaleinkoop_2022"),0)
+IFERROR(INDIRECT("'"&amp;$D$52&amp;"'!Totaleinkoop_2022"),0)
+IFERROR(INDIRECT("'"&amp;$D$53&amp;"'!Totaleinkoop_2022"),0)
+IFERROR(INDIRECT("'"&amp;$D$54&amp;"'!Totaleinkoop_2022"),0)
+Nieuwbouw!I54</f>
        <v>3305975.5240000002</v>
      </c>
      <c r="M35" s="320">
        <f ca="1">+IFERROR(INDIRECT("'"&amp;$D$5&amp;"'!Totaleinkoop_2023"),0)
+IFERROR(INDIRECT("'"&amp;$D$6&amp;"'!Totaleinkoop_2023"),0)
+IFERROR(INDIRECT("'"&amp;$D$7&amp;"'!Totaleinkoop_2023"),0)
+IFERROR(INDIRECT("'"&amp;$D$8&amp;"'!Totaleinkoop_2023"),0)
+IFERROR(INDIRECT("'"&amp;$D$9&amp;"'!Totaleinkoop_2023"),0)
+IFERROR(INDIRECT("'"&amp;$D$10&amp;"'!Totaleinkoop_2023"),0)
+IFERROR(INDIRECT("'"&amp;$D$11&amp;"'!Totaleinkoop_2023"),0)
+IFERROR(INDIRECT("'"&amp;$D$12&amp;"'!Totaleinkoop_2023"),0)
+IFERROR(INDIRECT("'"&amp;$D$13&amp;"'!Totaleinkoop_2023"),0)
+IFERROR(INDIRECT("'"&amp;$D$14&amp;"'!Totaleinkoop_2023"),0)
+IFERROR(INDIRECT("'"&amp;$D$15&amp;"'!Totaleinkoop_2023"),0)
+IFERROR(INDIRECT("'"&amp;$D$16&amp;"'!Totaleinkoop_2023"),0)
+IFERROR(INDIRECT("'"&amp;$D$17&amp;"'!Totaleinkoop_2023"),0)
+IFERROR(INDIRECT("'"&amp;$D$18&amp;"'!Totaleinkoop_2023"),0)
+IFERROR(INDIRECT("'"&amp;$D$19&amp;"'!Totaleinkoop_2023"),0)
+IFERROR(INDIRECT("'"&amp;$D$20&amp;"'!Totaleinkoop_2023"),0)
+IFERROR(INDIRECT("'"&amp;$D$21&amp;"'!Totaleinkoop_2023"),0)
+IFERROR(INDIRECT("'"&amp;$D$22&amp;"'!Totaleinkoop_2023"),0)
+IFERROR(INDIRECT("'"&amp;$D$23&amp;"'!Totaleinkoop_2023"),0)
+IFERROR(INDIRECT("'"&amp;$D$24&amp;"'!Totaleinkoop_2023"),0)
+IFERROR(INDIRECT("'"&amp;$D$25&amp;"'!Totaleinkoop_2023"),0)
+IFERROR(INDIRECT("'"&amp;$D$26&amp;"'!Totaleinkoop_2023"),0)
+IFERROR(INDIRECT("'"&amp;$D$27&amp;"'!Totaleinkoop_2023"),0)
+IFERROR(INDIRECT("'"&amp;$D$28&amp;"'!Totaleinkoop_2023"),0)
+IFERROR(INDIRECT("'"&amp;$D$29&amp;"'!Totaleinkoop_2023"),0)
+IFERROR(INDIRECT("'"&amp;$D$30&amp;"'!Totaleinkoop_2023"),0)
+IFERROR(INDIRECT("'"&amp;$D$31&amp;"'!Totaleinkoop_2023"),0)
+IFERROR(INDIRECT("'"&amp;$D$32&amp;"'!Totaleinkoop_2023"),0)
+IFERROR(INDIRECT("'"&amp;$D$33&amp;"'!Totaleinkoop_2023"),0)
+IFERROR(INDIRECT("'"&amp;$D$34&amp;"'!Totaleinkoop_2023"),0)
+IFERROR(INDIRECT("'"&amp;$D$35&amp;"'!Totaleinkoop_2023"),0)
+IFERROR(INDIRECT("'"&amp;$D$36&amp;"'!Totaleinkoop_2023"),0)
+IFERROR(INDIRECT("'"&amp;$D$37&amp;"'!Totaleinkoop_2023"),0)
+IFERROR(INDIRECT("'"&amp;$D$38&amp;"'!Totaleinkoop_2023"),0)
+IFERROR(INDIRECT("'"&amp;$D$39&amp;"'!Totaleinkoop_2023"),0)
+IFERROR(INDIRECT("'"&amp;$D$40&amp;"'!Totaleinkoop_2023"),0)
+IFERROR(INDIRECT("'"&amp;$D$41&amp;"'!Totaleinkoop_2023"),0)
+IFERROR(INDIRECT("'"&amp;$D$42&amp;"'!Totaleinkoop_2023"),0)
+IFERROR(INDIRECT("'"&amp;$D$43&amp;"'!Totaleinkoop_2023"),0)
+IFERROR(INDIRECT("'"&amp;$D$44&amp;"'!Totaleinkoop_2023"),0)
+IFERROR(INDIRECT("'"&amp;$D$45&amp;"'!Totaleinkoop_2023"),0)
+IFERROR(INDIRECT("'"&amp;$D$46&amp;"'!Totaleinkoop_2023"),0)
+IFERROR(INDIRECT("'"&amp;$D$47&amp;"'!Totaleinkoop_2023"),0)
+IFERROR(INDIRECT("'"&amp;$D$48&amp;"'!Totaleinkoop_2023"),0)
+IFERROR(INDIRECT("'"&amp;$D$49&amp;"'!Totaleinkoop_2023"),0)
+IFERROR(INDIRECT("'"&amp;$D$50&amp;"'!Totaleinkoop_2023"),0)
+IFERROR(INDIRECT("'"&amp;$D$51&amp;"'!Totaleinkoop_2023"),0)
+IFERROR(INDIRECT("'"&amp;$D$52&amp;"'!Totaleinkoop_2023"),0)
+IFERROR(INDIRECT("'"&amp;$D$53&amp;"'!Totaleinkoop_2023"),0)
+IFERROR(INDIRECT("'"&amp;$D$54&amp;"'!Totaleinkoop_2023"),0)
+Nieuwbouw!J54</f>
        <v>1657506.804987333</v>
      </c>
      <c r="N35" s="320">
        <f ca="1">+IFERROR(INDIRECT("'"&amp;$D$5&amp;"'!Totaleinkoop_2024"),0)
+IFERROR(INDIRECT("'"&amp;$D$6&amp;"'!Totaleinkoop_2024"),0)
+IFERROR(INDIRECT("'"&amp;$D$7&amp;"'!Totaleinkoop_2024"),0)
+IFERROR(INDIRECT("'"&amp;$D$8&amp;"'!Totaleinkoop_2024"),0)
+IFERROR(INDIRECT("'"&amp;$D$9&amp;"'!Totaleinkoop_2024"),0)
+IFERROR(INDIRECT("'"&amp;$D$10&amp;"'!Totaleinkoop_2024"),0)
+IFERROR(INDIRECT("'"&amp;$D$11&amp;"'!Totaleinkoop_2024"),0)
+IFERROR(INDIRECT("'"&amp;$D$12&amp;"'!Totaleinkoop_2024"),0)
+IFERROR(INDIRECT("'"&amp;$D$13&amp;"'!Totaleinkoop_2024"),0)
+IFERROR(INDIRECT("'"&amp;$D$14&amp;"'!Totaleinkoop_2024"),0)
+IFERROR(INDIRECT("'"&amp;$D$15&amp;"'!Totaleinkoop_2024"),0)
+IFERROR(INDIRECT("'"&amp;$D$16&amp;"'!Totaleinkoop_2024"),0)
+IFERROR(INDIRECT("'"&amp;$D$17&amp;"'!Totaleinkoop_2024"),0)
+IFERROR(INDIRECT("'"&amp;$D$18&amp;"'!Totaleinkoop_2024"),0)
+IFERROR(INDIRECT("'"&amp;$D$19&amp;"'!Totaleinkoop_2024"),0)
+IFERROR(INDIRECT("'"&amp;$D$20&amp;"'!Totaleinkoop_2024"),0)
+IFERROR(INDIRECT("'"&amp;$D$21&amp;"'!Totaleinkoop_2024"),0)
+IFERROR(INDIRECT("'"&amp;$D$22&amp;"'!Totaleinkoop_2024"),0)
+IFERROR(INDIRECT("'"&amp;$D$23&amp;"'!Totaleinkoop_2024"),0)
+IFERROR(INDIRECT("'"&amp;$D$24&amp;"'!Totaleinkoop_2024"),0)
+IFERROR(INDIRECT("'"&amp;$D$25&amp;"'!Totaleinkoop_2024"),0)
+IFERROR(INDIRECT("'"&amp;$D$26&amp;"'!Totaleinkoop_2024"),0)
+IFERROR(INDIRECT("'"&amp;$D$27&amp;"'!Totaleinkoop_2024"),0)
+IFERROR(INDIRECT("'"&amp;$D$28&amp;"'!Totaleinkoop_2024"),0)
+IFERROR(INDIRECT("'"&amp;$D$29&amp;"'!Totaleinkoop_2024"),0)
+IFERROR(INDIRECT("'"&amp;$D$30&amp;"'!Totaleinkoop_2024"),0)
+IFERROR(INDIRECT("'"&amp;$D$31&amp;"'!Totaleinkoop_2024"),0)
+IFERROR(INDIRECT("'"&amp;$D$32&amp;"'!Totaleinkoop_2024"),0)
+IFERROR(INDIRECT("'"&amp;$D$33&amp;"'!Totaleinkoop_2024"),0)
+IFERROR(INDIRECT("'"&amp;$D$34&amp;"'!Totaleinkoop_2024"),0)
+IFERROR(INDIRECT("'"&amp;$D$35&amp;"'!Totaleinkoop_2024"),0)
+IFERROR(INDIRECT("'"&amp;$D$36&amp;"'!Totaleinkoop_2024"),0)
+IFERROR(INDIRECT("'"&amp;$D$37&amp;"'!Totaleinkoop_2024"),0)
+IFERROR(INDIRECT("'"&amp;$D$38&amp;"'!Totaleinkoop_2024"),0)
+IFERROR(INDIRECT("'"&amp;$D$39&amp;"'!Totaleinkoop_2024"),0)
+IFERROR(INDIRECT("'"&amp;$D$40&amp;"'!Totaleinkoop_2024"),0)
+IFERROR(INDIRECT("'"&amp;$D$41&amp;"'!Totaleinkoop_2024"),0)
+IFERROR(INDIRECT("'"&amp;$D$42&amp;"'!Totaleinkoop_2024"),0)
+IFERROR(INDIRECT("'"&amp;$D$43&amp;"'!Totaleinkoop_2024"),0)
+IFERROR(INDIRECT("'"&amp;$D$44&amp;"'!Totaleinkoop_2024"),0)
+IFERROR(INDIRECT("'"&amp;$D$45&amp;"'!Totaleinkoop_2024"),0)
+IFERROR(INDIRECT("'"&amp;$D$46&amp;"'!Totaleinkoop_2024"),0)
+IFERROR(INDIRECT("'"&amp;$D$47&amp;"'!Totaleinkoop_2024"),0)
+IFERROR(INDIRECT("'"&amp;$D$48&amp;"'!Totaleinkoop_2024"),0)
+IFERROR(INDIRECT("'"&amp;$D$49&amp;"'!Totaleinkoop_2024"),0)
+IFERROR(INDIRECT("'"&amp;$D$50&amp;"'!Totaleinkoop_2024"),0)
+IFERROR(INDIRECT("'"&amp;$D$51&amp;"'!Totaleinkoop_2024"),0)
+IFERROR(INDIRECT("'"&amp;$D$52&amp;"'!Totaleinkoop_2024"),0)
+IFERROR(INDIRECT("'"&amp;$D$53&amp;"'!Totaleinkoop_2024"),0)
+IFERROR(INDIRECT("'"&amp;$D$54&amp;"'!Totaleinkoop_2024"),0)
+Nieuwbouw!K54</f>
        <v>1506038.0893275545</v>
      </c>
      <c r="O35" s="320">
        <f ca="1">+IFERROR(INDIRECT("'"&amp;$D$5&amp;"'!Totaleinkoop_2025"),0)
+IFERROR(INDIRECT("'"&amp;$D$6&amp;"'!Totaleinkoop_2025"),0)
+IFERROR(INDIRECT("'"&amp;$D$7&amp;"'!Totaleinkoop_2025"),0)
+IFERROR(INDIRECT("'"&amp;$D$8&amp;"'!Totaleinkoop_2025"),0)
+IFERROR(INDIRECT("'"&amp;$D$9&amp;"'!Totaleinkoop_2025"),0)
+IFERROR(INDIRECT("'"&amp;$D$10&amp;"'!Totaleinkoop_2025"),0)
+IFERROR(INDIRECT("'"&amp;$D$11&amp;"'!Totaleinkoop_2025"),0)
+IFERROR(INDIRECT("'"&amp;$D$12&amp;"'!Totaleinkoop_2025"),0)
+IFERROR(INDIRECT("'"&amp;$D$13&amp;"'!Totaleinkoop_2025"),0)
+IFERROR(INDIRECT("'"&amp;$D$14&amp;"'!Totaleinkoop_2025"),0)
+IFERROR(INDIRECT("'"&amp;$D$15&amp;"'!Totaleinkoop_2025"),0)
+IFERROR(INDIRECT("'"&amp;$D$16&amp;"'!Totaleinkoop_2025"),0)
+IFERROR(INDIRECT("'"&amp;$D$17&amp;"'!Totaleinkoop_2025"),0)
+IFERROR(INDIRECT("'"&amp;$D$18&amp;"'!Totaleinkoop_2025"),0)
+IFERROR(INDIRECT("'"&amp;$D$19&amp;"'!Totaleinkoop_2025"),0)
+IFERROR(INDIRECT("'"&amp;$D$20&amp;"'!Totaleinkoop_2025"),0)
+IFERROR(INDIRECT("'"&amp;$D$21&amp;"'!Totaleinkoop_2025"),0)
+IFERROR(INDIRECT("'"&amp;$D$22&amp;"'!Totaleinkoop_2025"),0)
+IFERROR(INDIRECT("'"&amp;$D$23&amp;"'!Totaleinkoop_2025"),0)
+IFERROR(INDIRECT("'"&amp;$D$24&amp;"'!Totaleinkoop_2025"),0)
+IFERROR(INDIRECT("'"&amp;$D$25&amp;"'!Totaleinkoop_2025"),0)
+IFERROR(INDIRECT("'"&amp;$D$26&amp;"'!Totaleinkoop_2025"),0)
+IFERROR(INDIRECT("'"&amp;$D$27&amp;"'!Totaleinkoop_2025"),0)
+IFERROR(INDIRECT("'"&amp;$D$28&amp;"'!Totaleinkoop_2025"),0)
+IFERROR(INDIRECT("'"&amp;$D$29&amp;"'!Totaleinkoop_2025"),0)
+IFERROR(INDIRECT("'"&amp;$D$30&amp;"'!Totaleinkoop_2025"),0)
+IFERROR(INDIRECT("'"&amp;$D$31&amp;"'!Totaleinkoop_2025"),0)
+IFERROR(INDIRECT("'"&amp;$D$32&amp;"'!Totaleinkoop_2025"),0)
+IFERROR(INDIRECT("'"&amp;$D$33&amp;"'!Totaleinkoop_2025"),0)
+IFERROR(INDIRECT("'"&amp;$D$34&amp;"'!Totaleinkoop_2025"),0)
+IFERROR(INDIRECT("'"&amp;$D$35&amp;"'!Totaleinkoop_2025"),0)
+IFERROR(INDIRECT("'"&amp;$D$36&amp;"'!Totaleinkoop_2025"),0)
+IFERROR(INDIRECT("'"&amp;$D$37&amp;"'!Totaleinkoop_2025"),0)
+IFERROR(INDIRECT("'"&amp;$D$38&amp;"'!Totaleinkoop_2025"),0)
+IFERROR(INDIRECT("'"&amp;$D$39&amp;"'!Totaleinkoop_2025"),0)
+IFERROR(INDIRECT("'"&amp;$D$40&amp;"'!Totaleinkoop_2025"),0)
+IFERROR(INDIRECT("'"&amp;$D$41&amp;"'!Totaleinkoop_2025"),0)
+IFERROR(INDIRECT("'"&amp;$D$42&amp;"'!Totaleinkoop_2025"),0)
+IFERROR(INDIRECT("'"&amp;$D$43&amp;"'!Totaleinkoop_2025"),0)
+IFERROR(INDIRECT("'"&amp;$D$44&amp;"'!Totaleinkoop_2025"),0)
+IFERROR(INDIRECT("'"&amp;$D$45&amp;"'!Totaleinkoop_2025"),0)
+IFERROR(INDIRECT("'"&amp;$D$46&amp;"'!Totaleinkoop_2025"),0)
+IFERROR(INDIRECT("'"&amp;$D$47&amp;"'!Totaleinkoop_2025"),0)
+IFERROR(INDIRECT("'"&amp;$D$48&amp;"'!Totaleinkoop_2025"),0)
+IFERROR(INDIRECT("'"&amp;$D$49&amp;"'!Totaleinkoop_2025"),0)
+IFERROR(INDIRECT("'"&amp;$D$50&amp;"'!Totaleinkoop_2025"),0)
+IFERROR(INDIRECT("'"&amp;$D$51&amp;"'!Totaleinkoop_2025"),0)
+IFERROR(INDIRECT("'"&amp;$D$52&amp;"'!Totaleinkoop_2025"),0)
+IFERROR(INDIRECT("'"&amp;$D$53&amp;"'!Totaleinkoop_2025"),0)
+IFERROR(INDIRECT("'"&amp;$D$54&amp;"'!Totaleinkoop_2025"),0)
+Nieuwbouw!L54</f>
        <v>1287082.359872876</v>
      </c>
      <c r="P35" s="320">
        <f ca="1">+IFERROR(INDIRECT("'"&amp;$D$5&amp;"'!Totaleinkoop_2026"),0)
+IFERROR(INDIRECT("'"&amp;$D$6&amp;"'!Totaleinkoop_2026"),0)
+IFERROR(INDIRECT("'"&amp;$D$7&amp;"'!Totaleinkoop_2026"),0)
+IFERROR(INDIRECT("'"&amp;$D$8&amp;"'!Totaleinkoop_2026"),0)
+IFERROR(INDIRECT("'"&amp;$D$9&amp;"'!Totaleinkoop_2026"),0)
+IFERROR(INDIRECT("'"&amp;$D$10&amp;"'!Totaleinkoop_2026"),0)
+IFERROR(INDIRECT("'"&amp;$D$11&amp;"'!Totaleinkoop_2026"),0)
+IFERROR(INDIRECT("'"&amp;$D$12&amp;"'!Totaleinkoop_2026"),0)
+IFERROR(INDIRECT("'"&amp;$D$13&amp;"'!Totaleinkoop_2026"),0)
+IFERROR(INDIRECT("'"&amp;$D$14&amp;"'!Totaleinkoop_2026"),0)
+IFERROR(INDIRECT("'"&amp;$D$15&amp;"'!Totaleinkoop_2026"),0)
+IFERROR(INDIRECT("'"&amp;$D$16&amp;"'!Totaleinkoop_2026"),0)
+IFERROR(INDIRECT("'"&amp;$D$17&amp;"'!Totaleinkoop_2026"),0)
+IFERROR(INDIRECT("'"&amp;$D$18&amp;"'!Totaleinkoop_2026"),0)
+IFERROR(INDIRECT("'"&amp;$D$19&amp;"'!Totaleinkoop_2026"),0)
+IFERROR(INDIRECT("'"&amp;$D$20&amp;"'!Totaleinkoop_2026"),0)
+IFERROR(INDIRECT("'"&amp;$D$21&amp;"'!Totaleinkoop_2026"),0)
+IFERROR(INDIRECT("'"&amp;$D$22&amp;"'!Totaleinkoop_2026"),0)
+IFERROR(INDIRECT("'"&amp;$D$23&amp;"'!Totaleinkoop_2026"),0)
+IFERROR(INDIRECT("'"&amp;$D$24&amp;"'!Totaleinkoop_2026"),0)
+IFERROR(INDIRECT("'"&amp;$D$25&amp;"'!Totaleinkoop_2026"),0)
+IFERROR(INDIRECT("'"&amp;$D$26&amp;"'!Totaleinkoop_2026"),0)
+IFERROR(INDIRECT("'"&amp;$D$27&amp;"'!Totaleinkoop_2026"),0)
+IFERROR(INDIRECT("'"&amp;$D$28&amp;"'!Totaleinkoop_2026"),0)
+IFERROR(INDIRECT("'"&amp;$D$29&amp;"'!Totaleinkoop_2026"),0)
+IFERROR(INDIRECT("'"&amp;$D$30&amp;"'!Totaleinkoop_2026"),0)
+IFERROR(INDIRECT("'"&amp;$D$31&amp;"'!Totaleinkoop_2026"),0)
+IFERROR(INDIRECT("'"&amp;$D$32&amp;"'!Totaleinkoop_2026"),0)
+IFERROR(INDIRECT("'"&amp;$D$33&amp;"'!Totaleinkoop_2026"),0)
+IFERROR(INDIRECT("'"&amp;$D$34&amp;"'!Totaleinkoop_2026"),0)
+IFERROR(INDIRECT("'"&amp;$D$35&amp;"'!Totaleinkoop_2026"),0)
+IFERROR(INDIRECT("'"&amp;$D$36&amp;"'!Totaleinkoop_2026"),0)
+IFERROR(INDIRECT("'"&amp;$D$37&amp;"'!Totaleinkoop_2026"),0)
+IFERROR(INDIRECT("'"&amp;$D$38&amp;"'!Totaleinkoop_2026"),0)
+IFERROR(INDIRECT("'"&amp;$D$39&amp;"'!Totaleinkoop_2026"),0)
+IFERROR(INDIRECT("'"&amp;$D$40&amp;"'!Totaleinkoop_2026"),0)
+IFERROR(INDIRECT("'"&amp;$D$41&amp;"'!Totaleinkoop_2026"),0)
+IFERROR(INDIRECT("'"&amp;$D$42&amp;"'!Totaleinkoop_2026"),0)
+IFERROR(INDIRECT("'"&amp;$D$43&amp;"'!Totaleinkoop_2026"),0)
+IFERROR(INDIRECT("'"&amp;$D$44&amp;"'!Totaleinkoop_2026"),0)
+IFERROR(INDIRECT("'"&amp;$D$45&amp;"'!Totaleinkoop_2026"),0)
+IFERROR(INDIRECT("'"&amp;$D$46&amp;"'!Totaleinkoop_2026"),0)
+IFERROR(INDIRECT("'"&amp;$D$47&amp;"'!Totaleinkoop_2026"),0)
+IFERROR(INDIRECT("'"&amp;$D$48&amp;"'!Totaleinkoop_2026"),0)
+IFERROR(INDIRECT("'"&amp;$D$49&amp;"'!Totaleinkoop_2026"),0)
+IFERROR(INDIRECT("'"&amp;$D$50&amp;"'!Totaleinkoop_2026"),0)
+IFERROR(INDIRECT("'"&amp;$D$51&amp;"'!Totaleinkoop_2026"),0)
+IFERROR(INDIRECT("'"&amp;$D$52&amp;"'!Totaleinkoop_2026"),0)
+IFERROR(INDIRECT("'"&amp;$D$53&amp;"'!Totaleinkoop_2026"),0)
+IFERROR(INDIRECT("'"&amp;$D$54&amp;"'!Totaleinkoop_2026"),0)
+Nieuwbouw!M54</f>
        <v>1226959.2190071975</v>
      </c>
      <c r="Q35" s="320">
        <f ca="1">+IFERROR(INDIRECT("'"&amp;$D$5&amp;"'!Totaleinkoop_2027"),0)
+IFERROR(INDIRECT("'"&amp;$D$6&amp;"'!Totaleinkoop_2027"),0)
+IFERROR(INDIRECT("'"&amp;$D$7&amp;"'!Totaleinkoop_2027"),0)
+IFERROR(INDIRECT("'"&amp;$D$8&amp;"'!Totaleinkoop_2027"),0)
+IFERROR(INDIRECT("'"&amp;$D$9&amp;"'!Totaleinkoop_2027"),0)
+IFERROR(INDIRECT("'"&amp;$D$10&amp;"'!Totaleinkoop_2027"),0)
+IFERROR(INDIRECT("'"&amp;$D$11&amp;"'!Totaleinkoop_2027"),0)
+IFERROR(INDIRECT("'"&amp;$D$12&amp;"'!Totaleinkoop_2027"),0)
+IFERROR(INDIRECT("'"&amp;$D$13&amp;"'!Totaleinkoop_2027"),0)
+IFERROR(INDIRECT("'"&amp;$D$14&amp;"'!Totaleinkoop_2027"),0)
+IFERROR(INDIRECT("'"&amp;$D$15&amp;"'!Totaleinkoop_2027"),0)
+IFERROR(INDIRECT("'"&amp;$D$16&amp;"'!Totaleinkoop_2027"),0)
+IFERROR(INDIRECT("'"&amp;$D$17&amp;"'!Totaleinkoop_2027"),0)
+IFERROR(INDIRECT("'"&amp;$D$18&amp;"'!Totaleinkoop_2027"),0)
+IFERROR(INDIRECT("'"&amp;$D$19&amp;"'!Totaleinkoop_2027"),0)
+IFERROR(INDIRECT("'"&amp;$D$20&amp;"'!Totaleinkoop_2027"),0)
+IFERROR(INDIRECT("'"&amp;$D$21&amp;"'!Totaleinkoop_2027"),0)
+IFERROR(INDIRECT("'"&amp;$D$22&amp;"'!Totaleinkoop_2027"),0)
+IFERROR(INDIRECT("'"&amp;$D$23&amp;"'!Totaleinkoop_2027"),0)
+IFERROR(INDIRECT("'"&amp;$D$24&amp;"'!Totaleinkoop_2027"),0)
+IFERROR(INDIRECT("'"&amp;$D$25&amp;"'!Totaleinkoop_2027"),0)
+IFERROR(INDIRECT("'"&amp;$D$26&amp;"'!Totaleinkoop_2027"),0)
+IFERROR(INDIRECT("'"&amp;$D$27&amp;"'!Totaleinkoop_2027"),0)
+IFERROR(INDIRECT("'"&amp;$D$28&amp;"'!Totaleinkoop_2027"),0)
+IFERROR(INDIRECT("'"&amp;$D$29&amp;"'!Totaleinkoop_2027"),0)
+IFERROR(INDIRECT("'"&amp;$D$30&amp;"'!Totaleinkoop_2027"),0)
+IFERROR(INDIRECT("'"&amp;$D$31&amp;"'!Totaleinkoop_2027"),0)
+IFERROR(INDIRECT("'"&amp;$D$32&amp;"'!Totaleinkoop_2027"),0)
+IFERROR(INDIRECT("'"&amp;$D$33&amp;"'!Totaleinkoop_2027"),0)
+IFERROR(INDIRECT("'"&amp;$D$34&amp;"'!Totaleinkoop_2027"),0)
+IFERROR(INDIRECT("'"&amp;$D$35&amp;"'!Totaleinkoop_2027"),0)
+IFERROR(INDIRECT("'"&amp;$D$36&amp;"'!Totaleinkoop_2027"),0)
+IFERROR(INDIRECT("'"&amp;$D$37&amp;"'!Totaleinkoop_2027"),0)
+IFERROR(INDIRECT("'"&amp;$D$38&amp;"'!Totaleinkoop_2027"),0)
+IFERROR(INDIRECT("'"&amp;$D$39&amp;"'!Totaleinkoop_2027"),0)
+IFERROR(INDIRECT("'"&amp;$D$40&amp;"'!Totaleinkoop_2027"),0)
+IFERROR(INDIRECT("'"&amp;$D$41&amp;"'!Totaleinkoop_2027"),0)
+IFERROR(INDIRECT("'"&amp;$D$42&amp;"'!Totaleinkoop_2027"),0)
+IFERROR(INDIRECT("'"&amp;$D$43&amp;"'!Totaleinkoop_2027"),0)
+IFERROR(INDIRECT("'"&amp;$D$44&amp;"'!Totaleinkoop_2027"),0)
+IFERROR(INDIRECT("'"&amp;$D$45&amp;"'!Totaleinkoop_2027"),0)
+IFERROR(INDIRECT("'"&amp;$D$46&amp;"'!Totaleinkoop_2027"),0)
+IFERROR(INDIRECT("'"&amp;$D$47&amp;"'!Totaleinkoop_2027"),0)
+IFERROR(INDIRECT("'"&amp;$D$48&amp;"'!Totaleinkoop_2027"),0)
+IFERROR(INDIRECT("'"&amp;$D$49&amp;"'!Totaleinkoop_2027"),0)
+IFERROR(INDIRECT("'"&amp;$D$50&amp;"'!Totaleinkoop_2027"),0)
+IFERROR(INDIRECT("'"&amp;$D$51&amp;"'!Totaleinkoop_2027"),0)
+IFERROR(INDIRECT("'"&amp;$D$52&amp;"'!Totaleinkoop_2027"),0)
+IFERROR(INDIRECT("'"&amp;$D$53&amp;"'!Totaleinkoop_2027"),0)
+IFERROR(INDIRECT("'"&amp;$D$54&amp;"'!Totaleinkoop_2027"),0)
+Nieuwbouw!N54</f>
        <v>1179516.5773829953</v>
      </c>
      <c r="R35" s="320">
        <f ca="1">+IFERROR(INDIRECT("'"&amp;$D$5&amp;"'!Totaleinkoop_2028"),0)
+IFERROR(INDIRECT("'"&amp;$D$6&amp;"'!Totaleinkoop_2028"),0)
+IFERROR(INDIRECT("'"&amp;$D$7&amp;"'!Totaleinkoop_2028"),0)
+IFERROR(INDIRECT("'"&amp;$D$8&amp;"'!Totaleinkoop_2028"),0)
+IFERROR(INDIRECT("'"&amp;$D$9&amp;"'!Totaleinkoop_2028"),0)
+IFERROR(INDIRECT("'"&amp;$D$10&amp;"'!Totaleinkoop_2028"),0)
+IFERROR(INDIRECT("'"&amp;$D$11&amp;"'!Totaleinkoop_2028"),0)
+IFERROR(INDIRECT("'"&amp;$D$12&amp;"'!Totaleinkoop_2028"),0)
+IFERROR(INDIRECT("'"&amp;$D$13&amp;"'!Totaleinkoop_2028"),0)
+IFERROR(INDIRECT("'"&amp;$D$14&amp;"'!Totaleinkoop_2028"),0)
+IFERROR(INDIRECT("'"&amp;$D$15&amp;"'!Totaleinkoop_2028"),0)
+IFERROR(INDIRECT("'"&amp;$D$16&amp;"'!Totaleinkoop_2028"),0)
+IFERROR(INDIRECT("'"&amp;$D$17&amp;"'!Totaleinkoop_2028"),0)
+IFERROR(INDIRECT("'"&amp;$D$18&amp;"'!Totaleinkoop_2028"),0)
+IFERROR(INDIRECT("'"&amp;$D$19&amp;"'!Totaleinkoop_2028"),0)
+IFERROR(INDIRECT("'"&amp;$D$20&amp;"'!Totaleinkoop_2028"),0)
+IFERROR(INDIRECT("'"&amp;$D$21&amp;"'!Totaleinkoop_2028"),0)
+IFERROR(INDIRECT("'"&amp;$D$22&amp;"'!Totaleinkoop_2028"),0)
+IFERROR(INDIRECT("'"&amp;$D$23&amp;"'!Totaleinkoop_2028"),0)
+IFERROR(INDIRECT("'"&amp;$D$24&amp;"'!Totaleinkoop_2028"),0)
+IFERROR(INDIRECT("'"&amp;$D$25&amp;"'!Totaleinkoop_2028"),0)
+IFERROR(INDIRECT("'"&amp;$D$26&amp;"'!Totaleinkoop_2028"),0)
+IFERROR(INDIRECT("'"&amp;$D$27&amp;"'!Totaleinkoop_2028"),0)
+IFERROR(INDIRECT("'"&amp;$D$28&amp;"'!Totaleinkoop_2028"),0)
+IFERROR(INDIRECT("'"&amp;$D$29&amp;"'!Totaleinkoop_2028"),0)
+IFERROR(INDIRECT("'"&amp;$D$30&amp;"'!Totaleinkoop_2028"),0)
+IFERROR(INDIRECT("'"&amp;$D$31&amp;"'!Totaleinkoop_2028"),0)
+IFERROR(INDIRECT("'"&amp;$D$32&amp;"'!Totaleinkoop_2028"),0)
+IFERROR(INDIRECT("'"&amp;$D$33&amp;"'!Totaleinkoop_2028"),0)
+IFERROR(INDIRECT("'"&amp;$D$34&amp;"'!Totaleinkoop_2028"),0)
+IFERROR(INDIRECT("'"&amp;$D$35&amp;"'!Totaleinkoop_2028"),0)
+IFERROR(INDIRECT("'"&amp;$D$36&amp;"'!Totaleinkoop_2028"),0)
+IFERROR(INDIRECT("'"&amp;$D$37&amp;"'!Totaleinkoop_2028"),0)
+IFERROR(INDIRECT("'"&amp;$D$38&amp;"'!Totaleinkoop_2028"),0)
+IFERROR(INDIRECT("'"&amp;$D$39&amp;"'!Totaleinkoop_2028"),0)
+IFERROR(INDIRECT("'"&amp;$D$40&amp;"'!Totaleinkoop_2028"),0)
+IFERROR(INDIRECT("'"&amp;$D$41&amp;"'!Totaleinkoop_2028"),0)
+IFERROR(INDIRECT("'"&amp;$D$42&amp;"'!Totaleinkoop_2028"),0)
+IFERROR(INDIRECT("'"&amp;$D$43&amp;"'!Totaleinkoop_2028"),0)
+IFERROR(INDIRECT("'"&amp;$D$44&amp;"'!Totaleinkoop_2028"),0)
+IFERROR(INDIRECT("'"&amp;$D$45&amp;"'!Totaleinkoop_2028"),0)
+IFERROR(INDIRECT("'"&amp;$D$46&amp;"'!Totaleinkoop_2028"),0)
+IFERROR(INDIRECT("'"&amp;$D$47&amp;"'!Totaleinkoop_2028"),0)
+IFERROR(INDIRECT("'"&amp;$D$48&amp;"'!Totaleinkoop_2028"),0)
+IFERROR(INDIRECT("'"&amp;$D$49&amp;"'!Totaleinkoop_2028"),0)
+IFERROR(INDIRECT("'"&amp;$D$50&amp;"'!Totaleinkoop_2028"),0)
+IFERROR(INDIRECT("'"&amp;$D$51&amp;"'!Totaleinkoop_2028"),0)
+IFERROR(INDIRECT("'"&amp;$D$52&amp;"'!Totaleinkoop_2028"),0)
+IFERROR(INDIRECT("'"&amp;$D$53&amp;"'!Totaleinkoop_2028"),0)
+IFERROR(INDIRECT("'"&amp;$D$54&amp;"'!Totaleinkoop_2028"),0)
+Nieuwbouw!O54</f>
        <v>1154028.9456987809</v>
      </c>
      <c r="S35" s="320">
        <f ca="1">+IFERROR(INDIRECT("'"&amp;$D$5&amp;"'!Totaleinkoop_2029"),0)
+IFERROR(INDIRECT("'"&amp;$D$6&amp;"'!Totaleinkoop_2029"),0)
+IFERROR(INDIRECT("'"&amp;$D$7&amp;"'!Totaleinkoop_2029"),0)
+IFERROR(INDIRECT("'"&amp;$D$8&amp;"'!Totaleinkoop_2029"),0)
+IFERROR(INDIRECT("'"&amp;$D$9&amp;"'!Totaleinkoop_2029"),0)
+IFERROR(INDIRECT("'"&amp;$D$10&amp;"'!Totaleinkoop_2029"),0)
+IFERROR(INDIRECT("'"&amp;$D$11&amp;"'!Totaleinkoop_2029"),0)
+IFERROR(INDIRECT("'"&amp;$D$12&amp;"'!Totaleinkoop_2029"),0)
+IFERROR(INDIRECT("'"&amp;$D$13&amp;"'!Totaleinkoop_2029"),0)
+IFERROR(INDIRECT("'"&amp;$D$14&amp;"'!Totaleinkoop_2029"),0)
+IFERROR(INDIRECT("'"&amp;$D$15&amp;"'!Totaleinkoop_2029"),0)
+IFERROR(INDIRECT("'"&amp;$D$16&amp;"'!Totaleinkoop_2029"),0)
+IFERROR(INDIRECT("'"&amp;$D$17&amp;"'!Totaleinkoop_2029"),0)
+IFERROR(INDIRECT("'"&amp;$D$18&amp;"'!Totaleinkoop_2029"),0)
+IFERROR(INDIRECT("'"&amp;$D$19&amp;"'!Totaleinkoop_2029"),0)
+IFERROR(INDIRECT("'"&amp;$D$20&amp;"'!Totaleinkoop_2029"),0)
+IFERROR(INDIRECT("'"&amp;$D$21&amp;"'!Totaleinkoop_2029"),0)
+IFERROR(INDIRECT("'"&amp;$D$22&amp;"'!Totaleinkoop_2029"),0)
+IFERROR(INDIRECT("'"&amp;$D$23&amp;"'!Totaleinkoop_2029"),0)
+IFERROR(INDIRECT("'"&amp;$D$24&amp;"'!Totaleinkoop_2029"),0)
+IFERROR(INDIRECT("'"&amp;$D$25&amp;"'!Totaleinkoop_2029"),0)
+IFERROR(INDIRECT("'"&amp;$D$26&amp;"'!Totaleinkoop_2029"),0)
+IFERROR(INDIRECT("'"&amp;$D$27&amp;"'!Totaleinkoop_2029"),0)
+IFERROR(INDIRECT("'"&amp;$D$28&amp;"'!Totaleinkoop_2029"),0)
+IFERROR(INDIRECT("'"&amp;$D$29&amp;"'!Totaleinkoop_2029"),0)
+IFERROR(INDIRECT("'"&amp;$D$30&amp;"'!Totaleinkoop_2029"),0)
+IFERROR(INDIRECT("'"&amp;$D$31&amp;"'!Totaleinkoop_2029"),0)
+IFERROR(INDIRECT("'"&amp;$D$32&amp;"'!Totaleinkoop_2029"),0)
+IFERROR(INDIRECT("'"&amp;$D$33&amp;"'!Totaleinkoop_2029"),0)
+IFERROR(INDIRECT("'"&amp;$D$34&amp;"'!Totaleinkoop_2029"),0)
+IFERROR(INDIRECT("'"&amp;$D$35&amp;"'!Totaleinkoop_2029"),0)
+IFERROR(INDIRECT("'"&amp;$D$36&amp;"'!Totaleinkoop_2029"),0)
+IFERROR(INDIRECT("'"&amp;$D$37&amp;"'!Totaleinkoop_2029"),0)
+IFERROR(INDIRECT("'"&amp;$D$38&amp;"'!Totaleinkoop_2029"),0)
+IFERROR(INDIRECT("'"&amp;$D$39&amp;"'!Totaleinkoop_2029"),0)
+IFERROR(INDIRECT("'"&amp;$D$40&amp;"'!Totaleinkoop_2029"),0)
+IFERROR(INDIRECT("'"&amp;$D$41&amp;"'!Totaleinkoop_2029"),0)
+IFERROR(INDIRECT("'"&amp;$D$42&amp;"'!Totaleinkoop_2029"),0)
+IFERROR(INDIRECT("'"&amp;$D$43&amp;"'!Totaleinkoop_2029"),0)
+IFERROR(INDIRECT("'"&amp;$D$44&amp;"'!Totaleinkoop_2029"),0)
+IFERROR(INDIRECT("'"&amp;$D$45&amp;"'!Totaleinkoop_2029"),0)
+IFERROR(INDIRECT("'"&amp;$D$46&amp;"'!Totaleinkoop_2029"),0)
+IFERROR(INDIRECT("'"&amp;$D$47&amp;"'!Totaleinkoop_2029"),0)
+IFERROR(INDIRECT("'"&amp;$D$48&amp;"'!Totaleinkoop_2029"),0)
+IFERROR(INDIRECT("'"&amp;$D$49&amp;"'!Totaleinkoop_2029"),0)
+IFERROR(INDIRECT("'"&amp;$D$50&amp;"'!Totaleinkoop_2029"),0)
+IFERROR(INDIRECT("'"&amp;$D$51&amp;"'!Totaleinkoop_2029"),0)
+IFERROR(INDIRECT("'"&amp;$D$52&amp;"'!Totaleinkoop_2029"),0)
+IFERROR(INDIRECT("'"&amp;$D$53&amp;"'!Totaleinkoop_2029"),0)
+IFERROR(INDIRECT("'"&amp;$D$54&amp;"'!Totaleinkoop_2029"),0)
+Nieuwbouw!P54</f>
        <v>1128497.3900145665</v>
      </c>
      <c r="T35" s="320">
        <f ca="1">+IFERROR(INDIRECT("'"&amp;$D$5&amp;"'!Totaleinkoop_2030"),0)
+IFERROR(INDIRECT("'"&amp;$D$6&amp;"'!Totaleinkoop_2030"),0)
+IFERROR(INDIRECT("'"&amp;$D$7&amp;"'!Totaleinkoop_2030"),0)
+IFERROR(INDIRECT("'"&amp;$D$8&amp;"'!Totaleinkoop_2030"),0)
+IFERROR(INDIRECT("'"&amp;$D$9&amp;"'!Totaleinkoop_2030"),0)
+IFERROR(INDIRECT("'"&amp;$D$10&amp;"'!Totaleinkoop_2030"),0)
+IFERROR(INDIRECT("'"&amp;$D$11&amp;"'!Totaleinkoop_2030"),0)
+IFERROR(INDIRECT("'"&amp;$D$12&amp;"'!Totaleinkoop_2030"),0)
+IFERROR(INDIRECT("'"&amp;$D$13&amp;"'!Totaleinkoop_2030"),0)
+IFERROR(INDIRECT("'"&amp;$D$14&amp;"'!Totaleinkoop_2030"),0)
+IFERROR(INDIRECT("'"&amp;$D$15&amp;"'!Totaleinkoop_2030"),0)
+IFERROR(INDIRECT("'"&amp;$D$16&amp;"'!Totaleinkoop_2030"),0)
+IFERROR(INDIRECT("'"&amp;$D$17&amp;"'!Totaleinkoop_2030"),0)
+IFERROR(INDIRECT("'"&amp;$D$18&amp;"'!Totaleinkoop_2030"),0)
+IFERROR(INDIRECT("'"&amp;$D$19&amp;"'!Totaleinkoop_2030"),0)
+IFERROR(INDIRECT("'"&amp;$D$20&amp;"'!Totaleinkoop_2030"),0)
+IFERROR(INDIRECT("'"&amp;$D$21&amp;"'!Totaleinkoop_2030"),0)
+IFERROR(INDIRECT("'"&amp;$D$22&amp;"'!Totaleinkoop_2030"),0)
+IFERROR(INDIRECT("'"&amp;$D$23&amp;"'!Totaleinkoop_2030"),0)
+IFERROR(INDIRECT("'"&amp;$D$24&amp;"'!Totaleinkoop_2030"),0)
+IFERROR(INDIRECT("'"&amp;$D$25&amp;"'!Totaleinkoop_2030"),0)
+IFERROR(INDIRECT("'"&amp;$D$26&amp;"'!Totaleinkoop_2030"),0)
+IFERROR(INDIRECT("'"&amp;$D$27&amp;"'!Totaleinkoop_2030"),0)
+IFERROR(INDIRECT("'"&amp;$D$28&amp;"'!Totaleinkoop_2030"),0)
+IFERROR(INDIRECT("'"&amp;$D$29&amp;"'!Totaleinkoop_2030"),0)
+IFERROR(INDIRECT("'"&amp;$D$30&amp;"'!Totaleinkoop_2030"),0)
+IFERROR(INDIRECT("'"&amp;$D$31&amp;"'!Totaleinkoop_2030"),0)
+IFERROR(INDIRECT("'"&amp;$D$32&amp;"'!Totaleinkoop_2030"),0)
+IFERROR(INDIRECT("'"&amp;$D$33&amp;"'!Totaleinkoop_2030"),0)
+IFERROR(INDIRECT("'"&amp;$D$34&amp;"'!Totaleinkoop_2030"),0)
+IFERROR(INDIRECT("'"&amp;$D$35&amp;"'!Totaleinkoop_2030"),0)
+IFERROR(INDIRECT("'"&amp;$D$36&amp;"'!Totaleinkoop_2030"),0)
+IFERROR(INDIRECT("'"&amp;$D$37&amp;"'!Totaleinkoop_2030"),0)
+IFERROR(INDIRECT("'"&amp;$D$38&amp;"'!Totaleinkoop_2030"),0)
+IFERROR(INDIRECT("'"&amp;$D$39&amp;"'!Totaleinkoop_2030"),0)
+IFERROR(INDIRECT("'"&amp;$D$40&amp;"'!Totaleinkoop_2030"),0)
+IFERROR(INDIRECT("'"&amp;$D$41&amp;"'!Totaleinkoop_2030"),0)
+IFERROR(INDIRECT("'"&amp;$D$42&amp;"'!Totaleinkoop_2030"),0)
+IFERROR(INDIRECT("'"&amp;$D$43&amp;"'!Totaleinkoop_2030"),0)
+IFERROR(INDIRECT("'"&amp;$D$44&amp;"'!Totaleinkoop_2030"),0)
+IFERROR(INDIRECT("'"&amp;$D$45&amp;"'!Totaleinkoop_2030"),0)
+IFERROR(INDIRECT("'"&amp;$D$46&amp;"'!Totaleinkoop_2030"),0)
+IFERROR(INDIRECT("'"&amp;$D$47&amp;"'!Totaleinkoop_2030"),0)
+IFERROR(INDIRECT("'"&amp;$D$48&amp;"'!Totaleinkoop_2030"),0)
+IFERROR(INDIRECT("'"&amp;$D$49&amp;"'!Totaleinkoop_2030"),0)
+IFERROR(INDIRECT("'"&amp;$D$50&amp;"'!Totaleinkoop_2030"),0)
+IFERROR(INDIRECT("'"&amp;$D$51&amp;"'!Totaleinkoop_2030"),0)
+IFERROR(INDIRECT("'"&amp;$D$52&amp;"'!Totaleinkoop_2030"),0)
+IFERROR(INDIRECT("'"&amp;$D$53&amp;"'!Totaleinkoop_2030"),0)
+IFERROR(INDIRECT("'"&amp;$D$54&amp;"'!Totaleinkoop_2030"),0)
+Nieuwbouw!Q54</f>
        <v>1102965.8343303523</v>
      </c>
      <c r="U35" s="320">
        <f ca="1">+IFERROR(INDIRECT("'"&amp;$D$5&amp;"'!Totaleinkoop_2031"),0)
+IFERROR(INDIRECT("'"&amp;$D$6&amp;"'!Totaleinkoop_2031"),0)
+IFERROR(INDIRECT("'"&amp;$D$7&amp;"'!Totaleinkoop_2031"),0)
+IFERROR(INDIRECT("'"&amp;$D$8&amp;"'!Totaleinkoop_2031"),0)
+IFERROR(INDIRECT("'"&amp;$D$9&amp;"'!Totaleinkoop_2031"),0)
+IFERROR(INDIRECT("'"&amp;$D$10&amp;"'!Totaleinkoop_2031"),0)
+IFERROR(INDIRECT("'"&amp;$D$11&amp;"'!Totaleinkoop_2031"),0)
+IFERROR(INDIRECT("'"&amp;$D$12&amp;"'!Totaleinkoop_2031"),0)
+IFERROR(INDIRECT("'"&amp;$D$13&amp;"'!Totaleinkoop_2031"),0)
+IFERROR(INDIRECT("'"&amp;$D$14&amp;"'!Totaleinkoop_2031"),0)
+IFERROR(INDIRECT("'"&amp;$D$15&amp;"'!Totaleinkoop_2031"),0)
+IFERROR(INDIRECT("'"&amp;$D$16&amp;"'!Totaleinkoop_2031"),0)
+IFERROR(INDIRECT("'"&amp;$D$17&amp;"'!Totaleinkoop_2031"),0)
+IFERROR(INDIRECT("'"&amp;$D$18&amp;"'!Totaleinkoop_2031"),0)
+IFERROR(INDIRECT("'"&amp;$D$19&amp;"'!Totaleinkoop_2031"),0)
+IFERROR(INDIRECT("'"&amp;$D$20&amp;"'!Totaleinkoop_2031"),0)
+IFERROR(INDIRECT("'"&amp;$D$21&amp;"'!Totaleinkoop_2031"),0)
+IFERROR(INDIRECT("'"&amp;$D$22&amp;"'!Totaleinkoop_2031"),0)
+IFERROR(INDIRECT("'"&amp;$D$23&amp;"'!Totaleinkoop_2031"),0)
+IFERROR(INDIRECT("'"&amp;$D$24&amp;"'!Totaleinkoop_2031"),0)
+IFERROR(INDIRECT("'"&amp;$D$25&amp;"'!Totaleinkoop_2031"),0)
+IFERROR(INDIRECT("'"&amp;$D$26&amp;"'!Totaleinkoop_2031"),0)
+IFERROR(INDIRECT("'"&amp;$D$27&amp;"'!Totaleinkoop_2031"),0)
+IFERROR(INDIRECT("'"&amp;$D$28&amp;"'!Totaleinkoop_2031"),0)
+IFERROR(INDIRECT("'"&amp;$D$29&amp;"'!Totaleinkoop_2031"),0)
+IFERROR(INDIRECT("'"&amp;$D$30&amp;"'!Totaleinkoop_2031"),0)
+IFERROR(INDIRECT("'"&amp;$D$31&amp;"'!Totaleinkoop_2031"),0)
+IFERROR(INDIRECT("'"&amp;$D$32&amp;"'!Totaleinkoop_2031"),0)
+IFERROR(INDIRECT("'"&amp;$D$33&amp;"'!Totaleinkoop_2031"),0)
+IFERROR(INDIRECT("'"&amp;$D$34&amp;"'!Totaleinkoop_2031"),0)
+IFERROR(INDIRECT("'"&amp;$D$35&amp;"'!Totaleinkoop_2031"),0)
+IFERROR(INDIRECT("'"&amp;$D$36&amp;"'!Totaleinkoop_2031"),0)
+IFERROR(INDIRECT("'"&amp;$D$37&amp;"'!Totaleinkoop_2031"),0)
+IFERROR(INDIRECT("'"&amp;$D$38&amp;"'!Totaleinkoop_2031"),0)
+IFERROR(INDIRECT("'"&amp;$D$39&amp;"'!Totaleinkoop_2031"),0)
+IFERROR(INDIRECT("'"&amp;$D$40&amp;"'!Totaleinkoop_2031"),0)
+IFERROR(INDIRECT("'"&amp;$D$41&amp;"'!Totaleinkoop_2031"),0)
+IFERROR(INDIRECT("'"&amp;$D$42&amp;"'!Totaleinkoop_2031"),0)
+IFERROR(INDIRECT("'"&amp;$D$43&amp;"'!Totaleinkoop_2031"),0)
+IFERROR(INDIRECT("'"&amp;$D$44&amp;"'!Totaleinkoop_2031"),0)
+IFERROR(INDIRECT("'"&amp;$D$45&amp;"'!Totaleinkoop_2031"),0)
+IFERROR(INDIRECT("'"&amp;$D$46&amp;"'!Totaleinkoop_2031"),0)
+IFERROR(INDIRECT("'"&amp;$D$47&amp;"'!Totaleinkoop_2031"),0)
+IFERROR(INDIRECT("'"&amp;$D$48&amp;"'!Totaleinkoop_2031"),0)
+IFERROR(INDIRECT("'"&amp;$D$49&amp;"'!Totaleinkoop_2031"),0)
+IFERROR(INDIRECT("'"&amp;$D$50&amp;"'!Totaleinkoop_2031"),0)
+IFERROR(INDIRECT("'"&amp;$D$51&amp;"'!Totaleinkoop_2031"),0)
+IFERROR(INDIRECT("'"&amp;$D$52&amp;"'!Totaleinkoop_2031"),0)
+IFERROR(INDIRECT("'"&amp;$D$53&amp;"'!Totaleinkoop_2031"),0)
+IFERROR(INDIRECT("'"&amp;$D$54&amp;"'!Totaleinkoop_2031"),0)
+Nieuwbouw!R54</f>
        <v>1077434.278646138</v>
      </c>
      <c r="V35" s="320">
        <f ca="1">+IFERROR(INDIRECT("'"&amp;$D$5&amp;"'!Totaleinkoop_2032"),0)
+IFERROR(INDIRECT("'"&amp;$D$6&amp;"'!Totaleinkoop_2032"),0)
+IFERROR(INDIRECT("'"&amp;$D$7&amp;"'!Totaleinkoop_2032"),0)
+IFERROR(INDIRECT("'"&amp;$D$8&amp;"'!Totaleinkoop_2032"),0)
+IFERROR(INDIRECT("'"&amp;$D$9&amp;"'!Totaleinkoop_2032"),0)
+IFERROR(INDIRECT("'"&amp;$D$10&amp;"'!Totaleinkoop_2032"),0)
+IFERROR(INDIRECT("'"&amp;$D$11&amp;"'!Totaleinkoop_2032"),0)
+IFERROR(INDIRECT("'"&amp;$D$12&amp;"'!Totaleinkoop_2032"),0)
+IFERROR(INDIRECT("'"&amp;$D$13&amp;"'!Totaleinkoop_2032"),0)
+IFERROR(INDIRECT("'"&amp;$D$14&amp;"'!Totaleinkoop_2032"),0)
+IFERROR(INDIRECT("'"&amp;$D$15&amp;"'!Totaleinkoop_2032"),0)
+IFERROR(INDIRECT("'"&amp;$D$16&amp;"'!Totaleinkoop_2032"),0)
+IFERROR(INDIRECT("'"&amp;$D$17&amp;"'!Totaleinkoop_2032"),0)
+IFERROR(INDIRECT("'"&amp;$D$18&amp;"'!Totaleinkoop_2032"),0)
+IFERROR(INDIRECT("'"&amp;$D$19&amp;"'!Totaleinkoop_2032"),0)
+IFERROR(INDIRECT("'"&amp;$D$20&amp;"'!Totaleinkoop_2032"),0)
+IFERROR(INDIRECT("'"&amp;$D$21&amp;"'!Totaleinkoop_2032"),0)
+IFERROR(INDIRECT("'"&amp;$D$22&amp;"'!Totaleinkoop_2032"),0)
+IFERROR(INDIRECT("'"&amp;$D$23&amp;"'!Totaleinkoop_2032"),0)
+IFERROR(INDIRECT("'"&amp;$D$24&amp;"'!Totaleinkoop_2032"),0)
+IFERROR(INDIRECT("'"&amp;$D$25&amp;"'!Totaleinkoop_2032"),0)
+IFERROR(INDIRECT("'"&amp;$D$26&amp;"'!Totaleinkoop_2032"),0)
+IFERROR(INDIRECT("'"&amp;$D$27&amp;"'!Totaleinkoop_2032"),0)
+IFERROR(INDIRECT("'"&amp;$D$28&amp;"'!Totaleinkoop_2032"),0)
+IFERROR(INDIRECT("'"&amp;$D$29&amp;"'!Totaleinkoop_2032"),0)
+IFERROR(INDIRECT("'"&amp;$D$30&amp;"'!Totaleinkoop_2032"),0)
+IFERROR(INDIRECT("'"&amp;$D$31&amp;"'!Totaleinkoop_2032"),0)
+IFERROR(INDIRECT("'"&amp;$D$32&amp;"'!Totaleinkoop_2032"),0)
+IFERROR(INDIRECT("'"&amp;$D$33&amp;"'!Totaleinkoop_2032"),0)
+IFERROR(INDIRECT("'"&amp;$D$34&amp;"'!Totaleinkoop_2032"),0)
+IFERROR(INDIRECT("'"&amp;$D$35&amp;"'!Totaleinkoop_2032"),0)
+IFERROR(INDIRECT("'"&amp;$D$36&amp;"'!Totaleinkoop_2032"),0)
+IFERROR(INDIRECT("'"&amp;$D$37&amp;"'!Totaleinkoop_2032"),0)
+IFERROR(INDIRECT("'"&amp;$D$38&amp;"'!Totaleinkoop_2032"),0)
+IFERROR(INDIRECT("'"&amp;$D$39&amp;"'!Totaleinkoop_2032"),0)
+IFERROR(INDIRECT("'"&amp;$D$40&amp;"'!Totaleinkoop_2032"),0)
+IFERROR(INDIRECT("'"&amp;$D$41&amp;"'!Totaleinkoop_2032"),0)
+IFERROR(INDIRECT("'"&amp;$D$42&amp;"'!Totaleinkoop_2032"),0)
+IFERROR(INDIRECT("'"&amp;$D$43&amp;"'!Totaleinkoop_2032"),0)
+IFERROR(INDIRECT("'"&amp;$D$44&amp;"'!Totaleinkoop_2032"),0)
+IFERROR(INDIRECT("'"&amp;$D$45&amp;"'!Totaleinkoop_2032"),0)
+IFERROR(INDIRECT("'"&amp;$D$46&amp;"'!Totaleinkoop_2032"),0)
+IFERROR(INDIRECT("'"&amp;$D$47&amp;"'!Totaleinkoop_2032"),0)
+IFERROR(INDIRECT("'"&amp;$D$48&amp;"'!Totaleinkoop_2032"),0)
+IFERROR(INDIRECT("'"&amp;$D$49&amp;"'!Totaleinkoop_2032"),0)
+IFERROR(INDIRECT("'"&amp;$D$50&amp;"'!Totaleinkoop_2032"),0)
+IFERROR(INDIRECT("'"&amp;$D$51&amp;"'!Totaleinkoop_2032"),0)
+IFERROR(INDIRECT("'"&amp;$D$52&amp;"'!Totaleinkoop_2032"),0)
+IFERROR(INDIRECT("'"&amp;$D$53&amp;"'!Totaleinkoop_2032"),0)
+IFERROR(INDIRECT("'"&amp;$D$54&amp;"'!Totaleinkoop_2032"),0)
+Nieuwbouw!S54</f>
        <v>852131.18339375709</v>
      </c>
      <c r="W35" s="320">
        <f ca="1">+IFERROR(INDIRECT("'"&amp;$D$5&amp;"'!Totaleinkoop_2033"),0)
+IFERROR(INDIRECT("'"&amp;$D$6&amp;"'!Totaleinkoop_2033"),0)
+IFERROR(INDIRECT("'"&amp;$D$7&amp;"'!Totaleinkoop_2033"),0)
+IFERROR(INDIRECT("'"&amp;$D$8&amp;"'!Totaleinkoop_2033"),0)
+IFERROR(INDIRECT("'"&amp;$D$9&amp;"'!Totaleinkoop_2033"),0)
+IFERROR(INDIRECT("'"&amp;$D$10&amp;"'!Totaleinkoop_2033"),0)
+IFERROR(INDIRECT("'"&amp;$D$11&amp;"'!Totaleinkoop_2033"),0)
+IFERROR(INDIRECT("'"&amp;$D$12&amp;"'!Totaleinkoop_2033"),0)
+IFERROR(INDIRECT("'"&amp;$D$13&amp;"'!Totaleinkoop_2033"),0)
+IFERROR(INDIRECT("'"&amp;$D$14&amp;"'!Totaleinkoop_2033"),0)
+IFERROR(INDIRECT("'"&amp;$D$15&amp;"'!Totaleinkoop_2033"),0)
+IFERROR(INDIRECT("'"&amp;$D$16&amp;"'!Totaleinkoop_2033"),0)
+IFERROR(INDIRECT("'"&amp;$D$17&amp;"'!Totaleinkoop_2033"),0)
+IFERROR(INDIRECT("'"&amp;$D$18&amp;"'!Totaleinkoop_2033"),0)
+IFERROR(INDIRECT("'"&amp;$D$19&amp;"'!Totaleinkoop_2033"),0)
+IFERROR(INDIRECT("'"&amp;$D$20&amp;"'!Totaleinkoop_2033"),0)
+IFERROR(INDIRECT("'"&amp;$D$21&amp;"'!Totaleinkoop_2033"),0)
+IFERROR(INDIRECT("'"&amp;$D$22&amp;"'!Totaleinkoop_2033"),0)
+IFERROR(INDIRECT("'"&amp;$D$23&amp;"'!Totaleinkoop_2033"),0)
+IFERROR(INDIRECT("'"&amp;$D$24&amp;"'!Totaleinkoop_2033"),0)
+IFERROR(INDIRECT("'"&amp;$D$25&amp;"'!Totaleinkoop_2033"),0)
+IFERROR(INDIRECT("'"&amp;$D$26&amp;"'!Totaleinkoop_2033"),0)
+IFERROR(INDIRECT("'"&amp;$D$27&amp;"'!Totaleinkoop_2033"),0)
+IFERROR(INDIRECT("'"&amp;$D$28&amp;"'!Totaleinkoop_2033"),0)
+IFERROR(INDIRECT("'"&amp;$D$29&amp;"'!Totaleinkoop_2033"),0)
+IFERROR(INDIRECT("'"&amp;$D$30&amp;"'!Totaleinkoop_2033"),0)
+IFERROR(INDIRECT("'"&amp;$D$31&amp;"'!Totaleinkoop_2033"),0)
+IFERROR(INDIRECT("'"&amp;$D$32&amp;"'!Totaleinkoop_2033"),0)
+IFERROR(INDIRECT("'"&amp;$D$33&amp;"'!Totaleinkoop_2033"),0)
+IFERROR(INDIRECT("'"&amp;$D$34&amp;"'!Totaleinkoop_2033"),0)
+IFERROR(INDIRECT("'"&amp;$D$35&amp;"'!Totaleinkoop_2033"),0)
+IFERROR(INDIRECT("'"&amp;$D$36&amp;"'!Totaleinkoop_2033"),0)
+IFERROR(INDIRECT("'"&amp;$D$37&amp;"'!Totaleinkoop_2033"),0)
+IFERROR(INDIRECT("'"&amp;$D$38&amp;"'!Totaleinkoop_2033"),0)
+IFERROR(INDIRECT("'"&amp;$D$39&amp;"'!Totaleinkoop_2033"),0)
+IFERROR(INDIRECT("'"&amp;$D$40&amp;"'!Totaleinkoop_2033"),0)
+IFERROR(INDIRECT("'"&amp;$D$41&amp;"'!Totaleinkoop_2033"),0)
+IFERROR(INDIRECT("'"&amp;$D$42&amp;"'!Totaleinkoop_2033"),0)
+IFERROR(INDIRECT("'"&amp;$D$43&amp;"'!Totaleinkoop_2033"),0)
+IFERROR(INDIRECT("'"&amp;$D$44&amp;"'!Totaleinkoop_2033"),0)
+IFERROR(INDIRECT("'"&amp;$D$45&amp;"'!Totaleinkoop_2033"),0)
+IFERROR(INDIRECT("'"&amp;$D$46&amp;"'!Totaleinkoop_2033"),0)
+IFERROR(INDIRECT("'"&amp;$D$47&amp;"'!Totaleinkoop_2033"),0)
+IFERROR(INDIRECT("'"&amp;$D$48&amp;"'!Totaleinkoop_2033"),0)
+IFERROR(INDIRECT("'"&amp;$D$49&amp;"'!Totaleinkoop_2033"),0)
+IFERROR(INDIRECT("'"&amp;$D$50&amp;"'!Totaleinkoop_2033"),0)
+IFERROR(INDIRECT("'"&amp;$D$51&amp;"'!Totaleinkoop_2033"),0)
+IFERROR(INDIRECT("'"&amp;$D$52&amp;"'!Totaleinkoop_2033"),0)
+IFERROR(INDIRECT("'"&amp;$D$53&amp;"'!Totaleinkoop_2033"),0)
+IFERROR(INDIRECT("'"&amp;$D$54&amp;"'!Totaleinkoop_2033"),0)
+Nieuwbouw!T54</f>
        <v>852131.18339375709</v>
      </c>
      <c r="X35" s="320">
        <f ca="1">+IFERROR(INDIRECT("'"&amp;$D$5&amp;"'!Totaleinkoop_2034"),0)
+IFERROR(INDIRECT("'"&amp;$D$6&amp;"'!Totaleinkoop_2034"),0)
+IFERROR(INDIRECT("'"&amp;$D$7&amp;"'!Totaleinkoop_2034"),0)
+IFERROR(INDIRECT("'"&amp;$D$8&amp;"'!Totaleinkoop_2034"),0)
+IFERROR(INDIRECT("'"&amp;$D$9&amp;"'!Totaleinkoop_2034"),0)
+IFERROR(INDIRECT("'"&amp;$D$10&amp;"'!Totaleinkoop_2034"),0)
+IFERROR(INDIRECT("'"&amp;$D$11&amp;"'!Totaleinkoop_2034"),0)
+IFERROR(INDIRECT("'"&amp;$D$12&amp;"'!Totaleinkoop_2034"),0)
+IFERROR(INDIRECT("'"&amp;$D$13&amp;"'!Totaleinkoop_2034"),0)
+IFERROR(INDIRECT("'"&amp;$D$14&amp;"'!Totaleinkoop_2034"),0)
+IFERROR(INDIRECT("'"&amp;$D$15&amp;"'!Totaleinkoop_2034"),0)
+IFERROR(INDIRECT("'"&amp;$D$16&amp;"'!Totaleinkoop_2034"),0)
+IFERROR(INDIRECT("'"&amp;$D$17&amp;"'!Totaleinkoop_2034"),0)
+IFERROR(INDIRECT("'"&amp;$D$18&amp;"'!Totaleinkoop_2034"),0)
+IFERROR(INDIRECT("'"&amp;$D$19&amp;"'!Totaleinkoop_2034"),0)
+IFERROR(INDIRECT("'"&amp;$D$20&amp;"'!Totaleinkoop_2034"),0)
+IFERROR(INDIRECT("'"&amp;$D$21&amp;"'!Totaleinkoop_2034"),0)
+IFERROR(INDIRECT("'"&amp;$D$22&amp;"'!Totaleinkoop_2034"),0)
+IFERROR(INDIRECT("'"&amp;$D$23&amp;"'!Totaleinkoop_2034"),0)
+IFERROR(INDIRECT("'"&amp;$D$24&amp;"'!Totaleinkoop_2034"),0)
+IFERROR(INDIRECT("'"&amp;$D$25&amp;"'!Totaleinkoop_2034"),0)
+IFERROR(INDIRECT("'"&amp;$D$26&amp;"'!Totaleinkoop_2034"),0)
+IFERROR(INDIRECT("'"&amp;$D$27&amp;"'!Totaleinkoop_2034"),0)
+IFERROR(INDIRECT("'"&amp;$D$28&amp;"'!Totaleinkoop_2034"),0)
+IFERROR(INDIRECT("'"&amp;$D$29&amp;"'!Totaleinkoop_2034"),0)
+IFERROR(INDIRECT("'"&amp;$D$30&amp;"'!Totaleinkoop_2034"),0)
+IFERROR(INDIRECT("'"&amp;$D$31&amp;"'!Totaleinkoop_2034"),0)
+IFERROR(INDIRECT("'"&amp;$D$32&amp;"'!Totaleinkoop_2034"),0)
+IFERROR(INDIRECT("'"&amp;$D$33&amp;"'!Totaleinkoop_2034"),0)
+IFERROR(INDIRECT("'"&amp;$D$34&amp;"'!Totaleinkoop_2034"),0)
+IFERROR(INDIRECT("'"&amp;$D$35&amp;"'!Totaleinkoop_2034"),0)
+IFERROR(INDIRECT("'"&amp;$D$36&amp;"'!Totaleinkoop_2034"),0)
+IFERROR(INDIRECT("'"&amp;$D$37&amp;"'!Totaleinkoop_2034"),0)
+IFERROR(INDIRECT("'"&amp;$D$38&amp;"'!Totaleinkoop_2034"),0)
+IFERROR(INDIRECT("'"&amp;$D$39&amp;"'!Totaleinkoop_2034"),0)
+IFERROR(INDIRECT("'"&amp;$D$40&amp;"'!Totaleinkoop_2034"),0)
+IFERROR(INDIRECT("'"&amp;$D$41&amp;"'!Totaleinkoop_2034"),0)
+IFERROR(INDIRECT("'"&amp;$D$42&amp;"'!Totaleinkoop_2034"),0)
+IFERROR(INDIRECT("'"&amp;$D$43&amp;"'!Totaleinkoop_2034"),0)
+IFERROR(INDIRECT("'"&amp;$D$44&amp;"'!Totaleinkoop_2034"),0)
+IFERROR(INDIRECT("'"&amp;$D$45&amp;"'!Totaleinkoop_2034"),0)
+IFERROR(INDIRECT("'"&amp;$D$46&amp;"'!Totaleinkoop_2034"),0)
+IFERROR(INDIRECT("'"&amp;$D$47&amp;"'!Totaleinkoop_2034"),0)
+IFERROR(INDIRECT("'"&amp;$D$48&amp;"'!Totaleinkoop_2034"),0)
+IFERROR(INDIRECT("'"&amp;$D$49&amp;"'!Totaleinkoop_2034"),0)
+IFERROR(INDIRECT("'"&amp;$D$50&amp;"'!Totaleinkoop_2034"),0)
+IFERROR(INDIRECT("'"&amp;$D$51&amp;"'!Totaleinkoop_2034"),0)
+IFERROR(INDIRECT("'"&amp;$D$52&amp;"'!Totaleinkoop_2034"),0)
+IFERROR(INDIRECT("'"&amp;$D$53&amp;"'!Totaleinkoop_2034"),0)
+IFERROR(INDIRECT("'"&amp;$D$54&amp;"'!Totaleinkoop_2034"),0)
+Nieuwbouw!U54</f>
        <v>852131.18339375709</v>
      </c>
      <c r="Y35" s="320">
        <f ca="1">+IFERROR(INDIRECT("'"&amp;$D$5&amp;"'!Totaleinkoop_2035"),0)
+IFERROR(INDIRECT("'"&amp;$D$6&amp;"'!Totaleinkoop_2035"),0)
+IFERROR(INDIRECT("'"&amp;$D$7&amp;"'!Totaleinkoop_2035"),0)
+IFERROR(INDIRECT("'"&amp;$D$8&amp;"'!Totaleinkoop_2035"),0)
+IFERROR(INDIRECT("'"&amp;$D$9&amp;"'!Totaleinkoop_2035"),0)
+IFERROR(INDIRECT("'"&amp;$D$10&amp;"'!Totaleinkoop_2035"),0)
+IFERROR(INDIRECT("'"&amp;$D$11&amp;"'!Totaleinkoop_2035"),0)
+IFERROR(INDIRECT("'"&amp;$D$12&amp;"'!Totaleinkoop_2035"),0)
+IFERROR(INDIRECT("'"&amp;$D$13&amp;"'!Totaleinkoop_2035"),0)
+IFERROR(INDIRECT("'"&amp;$D$14&amp;"'!Totaleinkoop_2035"),0)
+IFERROR(INDIRECT("'"&amp;$D$15&amp;"'!Totaleinkoop_2035"),0)
+IFERROR(INDIRECT("'"&amp;$D$16&amp;"'!Totaleinkoop_2035"),0)
+IFERROR(INDIRECT("'"&amp;$D$17&amp;"'!Totaleinkoop_2035"),0)
+IFERROR(INDIRECT("'"&amp;$D$18&amp;"'!Totaleinkoop_2035"),0)
+IFERROR(INDIRECT("'"&amp;$D$19&amp;"'!Totaleinkoop_2035"),0)
+IFERROR(INDIRECT("'"&amp;$D$20&amp;"'!Totaleinkoop_2035"),0)
+IFERROR(INDIRECT("'"&amp;$D$21&amp;"'!Totaleinkoop_2035"),0)
+IFERROR(INDIRECT("'"&amp;$D$22&amp;"'!Totaleinkoop_2035"),0)
+IFERROR(INDIRECT("'"&amp;$D$23&amp;"'!Totaleinkoop_2035"),0)
+IFERROR(INDIRECT("'"&amp;$D$24&amp;"'!Totaleinkoop_2035"),0)
+IFERROR(INDIRECT("'"&amp;$D$25&amp;"'!Totaleinkoop_2035"),0)
+IFERROR(INDIRECT("'"&amp;$D$26&amp;"'!Totaleinkoop_2035"),0)
+IFERROR(INDIRECT("'"&amp;$D$27&amp;"'!Totaleinkoop_2035"),0)
+IFERROR(INDIRECT("'"&amp;$D$28&amp;"'!Totaleinkoop_2035"),0)
+IFERROR(INDIRECT("'"&amp;$D$29&amp;"'!Totaleinkoop_2035"),0)
+IFERROR(INDIRECT("'"&amp;$D$30&amp;"'!Totaleinkoop_2035"),0)
+IFERROR(INDIRECT("'"&amp;$D$31&amp;"'!Totaleinkoop_2035"),0)
+IFERROR(INDIRECT("'"&amp;$D$32&amp;"'!Totaleinkoop_2035"),0)
+IFERROR(INDIRECT("'"&amp;$D$33&amp;"'!Totaleinkoop_2035"),0)
+IFERROR(INDIRECT("'"&amp;$D$34&amp;"'!Totaleinkoop_2035"),0)
+IFERROR(INDIRECT("'"&amp;$D$35&amp;"'!Totaleinkoop_2035"),0)
+IFERROR(INDIRECT("'"&amp;$D$36&amp;"'!Totaleinkoop_2035"),0)
+IFERROR(INDIRECT("'"&amp;$D$37&amp;"'!Totaleinkoop_2035"),0)
+IFERROR(INDIRECT("'"&amp;$D$38&amp;"'!Totaleinkoop_2035"),0)
+IFERROR(INDIRECT("'"&amp;$D$39&amp;"'!Totaleinkoop_2035"),0)
+IFERROR(INDIRECT("'"&amp;$D$40&amp;"'!Totaleinkoop_2035"),0)
+IFERROR(INDIRECT("'"&amp;$D$41&amp;"'!Totaleinkoop_2035"),0)
+IFERROR(INDIRECT("'"&amp;$D$42&amp;"'!Totaleinkoop_2035"),0)
+IFERROR(INDIRECT("'"&amp;$D$43&amp;"'!Totaleinkoop_2035"),0)
+IFERROR(INDIRECT("'"&amp;$D$44&amp;"'!Totaleinkoop_2035"),0)
+IFERROR(INDIRECT("'"&amp;$D$45&amp;"'!Totaleinkoop_2035"),0)
+IFERROR(INDIRECT("'"&amp;$D$46&amp;"'!Totaleinkoop_2035"),0)
+IFERROR(INDIRECT("'"&amp;$D$47&amp;"'!Totaleinkoop_2035"),0)
+IFERROR(INDIRECT("'"&amp;$D$48&amp;"'!Totaleinkoop_2035"),0)
+IFERROR(INDIRECT("'"&amp;$D$49&amp;"'!Totaleinkoop_2035"),0)
+IFERROR(INDIRECT("'"&amp;$D$50&amp;"'!Totaleinkoop_2035"),0)
+IFERROR(INDIRECT("'"&amp;$D$51&amp;"'!Totaleinkoop_2035"),0)
+IFERROR(INDIRECT("'"&amp;$D$52&amp;"'!Totaleinkoop_2035"),0)
+IFERROR(INDIRECT("'"&amp;$D$53&amp;"'!Totaleinkoop_2035"),0)
+IFERROR(INDIRECT("'"&amp;$D$54&amp;"'!Totaleinkoop_2035"),0)
+Nieuwbouw!V54</f>
        <v>852131.18339375709</v>
      </c>
      <c r="Z35" s="320">
        <f ca="1">+IFERROR(INDIRECT("'"&amp;$D$5&amp;"'!Totaleinkoop_2036"),0)
+IFERROR(INDIRECT("'"&amp;$D$6&amp;"'!Totaleinkoop_2036"),0)
+IFERROR(INDIRECT("'"&amp;$D$7&amp;"'!Totaleinkoop_2036"),0)
+IFERROR(INDIRECT("'"&amp;$D$8&amp;"'!Totaleinkoop_2036"),0)
+IFERROR(INDIRECT("'"&amp;$D$9&amp;"'!Totaleinkoop_2036"),0)
+IFERROR(INDIRECT("'"&amp;$D$10&amp;"'!Totaleinkoop_2036"),0)
+IFERROR(INDIRECT("'"&amp;$D$11&amp;"'!Totaleinkoop_2036"),0)
+IFERROR(INDIRECT("'"&amp;$D$12&amp;"'!Totaleinkoop_2036"),0)
+IFERROR(INDIRECT("'"&amp;$D$13&amp;"'!Totaleinkoop_2036"),0)
+IFERROR(INDIRECT("'"&amp;$D$14&amp;"'!Totaleinkoop_2036"),0)
+IFERROR(INDIRECT("'"&amp;$D$15&amp;"'!Totaleinkoop_2036"),0)
+IFERROR(INDIRECT("'"&amp;$D$16&amp;"'!Totaleinkoop_2036"),0)
+IFERROR(INDIRECT("'"&amp;$D$17&amp;"'!Totaleinkoop_2036"),0)
+IFERROR(INDIRECT("'"&amp;$D$18&amp;"'!Totaleinkoop_2036"),0)
+IFERROR(INDIRECT("'"&amp;$D$19&amp;"'!Totaleinkoop_2036"),0)
+IFERROR(INDIRECT("'"&amp;$D$20&amp;"'!Totaleinkoop_2036"),0)
+IFERROR(INDIRECT("'"&amp;$D$21&amp;"'!Totaleinkoop_2036"),0)
+IFERROR(INDIRECT("'"&amp;$D$22&amp;"'!Totaleinkoop_2036"),0)
+IFERROR(INDIRECT("'"&amp;$D$23&amp;"'!Totaleinkoop_2036"),0)
+IFERROR(INDIRECT("'"&amp;$D$24&amp;"'!Totaleinkoop_2036"),0)
+IFERROR(INDIRECT("'"&amp;$D$25&amp;"'!Totaleinkoop_2036"),0)
+IFERROR(INDIRECT("'"&amp;$D$26&amp;"'!Totaleinkoop_2036"),0)
+IFERROR(INDIRECT("'"&amp;$D$27&amp;"'!Totaleinkoop_2036"),0)
+IFERROR(INDIRECT("'"&amp;$D$28&amp;"'!Totaleinkoop_2036"),0)
+IFERROR(INDIRECT("'"&amp;$D$29&amp;"'!Totaleinkoop_2036"),0)
+IFERROR(INDIRECT("'"&amp;$D$30&amp;"'!Totaleinkoop_2036"),0)
+IFERROR(INDIRECT("'"&amp;$D$31&amp;"'!Totaleinkoop_2036"),0)
+IFERROR(INDIRECT("'"&amp;$D$32&amp;"'!Totaleinkoop_2036"),0)
+IFERROR(INDIRECT("'"&amp;$D$33&amp;"'!Totaleinkoop_2036"),0)
+IFERROR(INDIRECT("'"&amp;$D$34&amp;"'!Totaleinkoop_2036"),0)
+IFERROR(INDIRECT("'"&amp;$D$35&amp;"'!Totaleinkoop_2036"),0)
+IFERROR(INDIRECT("'"&amp;$D$36&amp;"'!Totaleinkoop_2036"),0)
+IFERROR(INDIRECT("'"&amp;$D$37&amp;"'!Totaleinkoop_2036"),0)
+IFERROR(INDIRECT("'"&amp;$D$38&amp;"'!Totaleinkoop_2036"),0)
+IFERROR(INDIRECT("'"&amp;$D$39&amp;"'!Totaleinkoop_2036"),0)
+IFERROR(INDIRECT("'"&amp;$D$40&amp;"'!Totaleinkoop_2036"),0)
+IFERROR(INDIRECT("'"&amp;$D$41&amp;"'!Totaleinkoop_2036"),0)
+IFERROR(INDIRECT("'"&amp;$D$42&amp;"'!Totaleinkoop_2036"),0)
+IFERROR(INDIRECT("'"&amp;$D$43&amp;"'!Totaleinkoop_2036"),0)
+IFERROR(INDIRECT("'"&amp;$D$44&amp;"'!Totaleinkoop_2036"),0)
+IFERROR(INDIRECT("'"&amp;$D$45&amp;"'!Totaleinkoop_2036"),0)
+IFERROR(INDIRECT("'"&amp;$D$46&amp;"'!Totaleinkoop_2036"),0)
+IFERROR(INDIRECT("'"&amp;$D$47&amp;"'!Totaleinkoop_2036"),0)
+IFERROR(INDIRECT("'"&amp;$D$48&amp;"'!Totaleinkoop_2036"),0)
+IFERROR(INDIRECT("'"&amp;$D$49&amp;"'!Totaleinkoop_2036"),0)
+IFERROR(INDIRECT("'"&amp;$D$50&amp;"'!Totaleinkoop_2036"),0)
+IFERROR(INDIRECT("'"&amp;$D$51&amp;"'!Totaleinkoop_2036"),0)
+IFERROR(INDIRECT("'"&amp;$D$52&amp;"'!Totaleinkoop_2036"),0)
+IFERROR(INDIRECT("'"&amp;$D$53&amp;"'!Totaleinkoop_2036"),0)
+IFERROR(INDIRECT("'"&amp;$D$54&amp;"'!Totaleinkoop_2036"),0)
+Nieuwbouw!W54</f>
        <v>775536.5163411143</v>
      </c>
      <c r="AA35" s="320">
        <f ca="1">+IFERROR(INDIRECT("'"&amp;$D$5&amp;"'!Totaleinkoop_2037"),0)
+IFERROR(INDIRECT("'"&amp;$D$6&amp;"'!Totaleinkoop_2037"),0)
+IFERROR(INDIRECT("'"&amp;$D$7&amp;"'!Totaleinkoop_2037"),0)
+IFERROR(INDIRECT("'"&amp;$D$8&amp;"'!Totaleinkoop_2037"),0)
+IFERROR(INDIRECT("'"&amp;$D$9&amp;"'!Totaleinkoop_2037"),0)
+IFERROR(INDIRECT("'"&amp;$D$10&amp;"'!Totaleinkoop_2037"),0)
+IFERROR(INDIRECT("'"&amp;$D$11&amp;"'!Totaleinkoop_2037"),0)
+IFERROR(INDIRECT("'"&amp;$D$12&amp;"'!Totaleinkoop_2037"),0)
+IFERROR(INDIRECT("'"&amp;$D$13&amp;"'!Totaleinkoop_2037"),0)
+IFERROR(INDIRECT("'"&amp;$D$14&amp;"'!Totaleinkoop_2037"),0)
+IFERROR(INDIRECT("'"&amp;$D$15&amp;"'!Totaleinkoop_2037"),0)
+IFERROR(INDIRECT("'"&amp;$D$16&amp;"'!Totaleinkoop_2037"),0)
+IFERROR(INDIRECT("'"&amp;$D$17&amp;"'!Totaleinkoop_2037"),0)
+IFERROR(INDIRECT("'"&amp;$D$18&amp;"'!Totaleinkoop_2037"),0)
+IFERROR(INDIRECT("'"&amp;$D$19&amp;"'!Totaleinkoop_2037"),0)
+IFERROR(INDIRECT("'"&amp;$D$20&amp;"'!Totaleinkoop_2037"),0)
+IFERROR(INDIRECT("'"&amp;$D$21&amp;"'!Totaleinkoop_2037"),0)
+IFERROR(INDIRECT("'"&amp;$D$22&amp;"'!Totaleinkoop_2037"),0)
+IFERROR(INDIRECT("'"&amp;$D$23&amp;"'!Totaleinkoop_2037"),0)
+IFERROR(INDIRECT("'"&amp;$D$24&amp;"'!Totaleinkoop_2037"),0)
+IFERROR(INDIRECT("'"&amp;$D$25&amp;"'!Totaleinkoop_2037"),0)
+IFERROR(INDIRECT("'"&amp;$D$26&amp;"'!Totaleinkoop_2037"),0)
+IFERROR(INDIRECT("'"&amp;$D$27&amp;"'!Totaleinkoop_2037"),0)
+IFERROR(INDIRECT("'"&amp;$D$28&amp;"'!Totaleinkoop_2037"),0)
+IFERROR(INDIRECT("'"&amp;$D$29&amp;"'!Totaleinkoop_2037"),0)
+IFERROR(INDIRECT("'"&amp;$D$30&amp;"'!Totaleinkoop_2037"),0)
+IFERROR(INDIRECT("'"&amp;$D$31&amp;"'!Totaleinkoop_2037"),0)
+IFERROR(INDIRECT("'"&amp;$D$32&amp;"'!Totaleinkoop_2037"),0)
+IFERROR(INDIRECT("'"&amp;$D$33&amp;"'!Totaleinkoop_2037"),0)
+IFERROR(INDIRECT("'"&amp;$D$34&amp;"'!Totaleinkoop_2037"),0)
+IFERROR(INDIRECT("'"&amp;$D$35&amp;"'!Totaleinkoop_2037"),0)
+IFERROR(INDIRECT("'"&amp;$D$36&amp;"'!Totaleinkoop_2037"),0)
+IFERROR(INDIRECT("'"&amp;$D$37&amp;"'!Totaleinkoop_2037"),0)
+IFERROR(INDIRECT("'"&amp;$D$38&amp;"'!Totaleinkoop_2037"),0)
+IFERROR(INDIRECT("'"&amp;$D$39&amp;"'!Totaleinkoop_2037"),0)
+IFERROR(INDIRECT("'"&amp;$D$40&amp;"'!Totaleinkoop_2037"),0)
+IFERROR(INDIRECT("'"&amp;$D$41&amp;"'!Totaleinkoop_2037"),0)
+IFERROR(INDIRECT("'"&amp;$D$42&amp;"'!Totaleinkoop_2037"),0)
+IFERROR(INDIRECT("'"&amp;$D$43&amp;"'!Totaleinkoop_2037"),0)
+IFERROR(INDIRECT("'"&amp;$D$44&amp;"'!Totaleinkoop_2037"),0)
+IFERROR(INDIRECT("'"&amp;$D$45&amp;"'!Totaleinkoop_2037"),0)
+IFERROR(INDIRECT("'"&amp;$D$46&amp;"'!Totaleinkoop_2037"),0)
+IFERROR(INDIRECT("'"&amp;$D$47&amp;"'!Totaleinkoop_2037"),0)
+IFERROR(INDIRECT("'"&amp;$D$48&amp;"'!Totaleinkoop_2037"),0)
+IFERROR(INDIRECT("'"&amp;$D$49&amp;"'!Totaleinkoop_2037"),0)
+IFERROR(INDIRECT("'"&amp;$D$50&amp;"'!Totaleinkoop_2037"),0)
+IFERROR(INDIRECT("'"&amp;$D$51&amp;"'!Totaleinkoop_2037"),0)
+IFERROR(INDIRECT("'"&amp;$D$52&amp;"'!Totaleinkoop_2037"),0)
+IFERROR(INDIRECT("'"&amp;$D$53&amp;"'!Totaleinkoop_2037"),0)
+IFERROR(INDIRECT("'"&amp;$D$54&amp;"'!Totaleinkoop_2037"),0)
+Nieuwbouw!X54</f>
        <v>775536.5163411143</v>
      </c>
      <c r="AB35" s="320">
        <f ca="1">+IFERROR(INDIRECT("'"&amp;$D$5&amp;"'!Totaleinkoop_2038"),0)
+IFERROR(INDIRECT("'"&amp;$D$6&amp;"'!Totaleinkoop_2038"),0)
+IFERROR(INDIRECT("'"&amp;$D$7&amp;"'!Totaleinkoop_2038"),0)
+IFERROR(INDIRECT("'"&amp;$D$8&amp;"'!Totaleinkoop_2038"),0)
+IFERROR(INDIRECT("'"&amp;$D$9&amp;"'!Totaleinkoop_2038"),0)
+IFERROR(INDIRECT("'"&amp;$D$10&amp;"'!Totaleinkoop_2038"),0)
+IFERROR(INDIRECT("'"&amp;$D$11&amp;"'!Totaleinkoop_2038"),0)
+IFERROR(INDIRECT("'"&amp;$D$12&amp;"'!Totaleinkoop_2038"),0)
+IFERROR(INDIRECT("'"&amp;$D$13&amp;"'!Totaleinkoop_2038"),0)
+IFERROR(INDIRECT("'"&amp;$D$14&amp;"'!Totaleinkoop_2038"),0)
+IFERROR(INDIRECT("'"&amp;$D$15&amp;"'!Totaleinkoop_2038"),0)
+IFERROR(INDIRECT("'"&amp;$D$16&amp;"'!Totaleinkoop_2038"),0)
+IFERROR(INDIRECT("'"&amp;$D$17&amp;"'!Totaleinkoop_2038"),0)
+IFERROR(INDIRECT("'"&amp;$D$18&amp;"'!Totaleinkoop_2038"),0)
+IFERROR(INDIRECT("'"&amp;$D$19&amp;"'!Totaleinkoop_2038"),0)
+IFERROR(INDIRECT("'"&amp;$D$20&amp;"'!Totaleinkoop_2038"),0)
+IFERROR(INDIRECT("'"&amp;$D$21&amp;"'!Totaleinkoop_2038"),0)
+IFERROR(INDIRECT("'"&amp;$D$22&amp;"'!Totaleinkoop_2038"),0)
+IFERROR(INDIRECT("'"&amp;$D$23&amp;"'!Totaleinkoop_2038"),0)
+IFERROR(INDIRECT("'"&amp;$D$24&amp;"'!Totaleinkoop_2038"),0)
+IFERROR(INDIRECT("'"&amp;$D$25&amp;"'!Totaleinkoop_2038"),0)
+IFERROR(INDIRECT("'"&amp;$D$26&amp;"'!Totaleinkoop_2038"),0)
+IFERROR(INDIRECT("'"&amp;$D$27&amp;"'!Totaleinkoop_2038"),0)
+IFERROR(INDIRECT("'"&amp;$D$28&amp;"'!Totaleinkoop_2038"),0)
+IFERROR(INDIRECT("'"&amp;$D$29&amp;"'!Totaleinkoop_2038"),0)
+IFERROR(INDIRECT("'"&amp;$D$30&amp;"'!Totaleinkoop_2038"),0)
+IFERROR(INDIRECT("'"&amp;$D$31&amp;"'!Totaleinkoop_2038"),0)
+IFERROR(INDIRECT("'"&amp;$D$32&amp;"'!Totaleinkoop_2038"),0)
+IFERROR(INDIRECT("'"&amp;$D$33&amp;"'!Totaleinkoop_2038"),0)
+IFERROR(INDIRECT("'"&amp;$D$34&amp;"'!Totaleinkoop_2038"),0)
+IFERROR(INDIRECT("'"&amp;$D$35&amp;"'!Totaleinkoop_2038"),0)
+IFERROR(INDIRECT("'"&amp;$D$36&amp;"'!Totaleinkoop_2038"),0)
+IFERROR(INDIRECT("'"&amp;$D$37&amp;"'!Totaleinkoop_2038"),0)
+IFERROR(INDIRECT("'"&amp;$D$38&amp;"'!Totaleinkoop_2038"),0)
+IFERROR(INDIRECT("'"&amp;$D$39&amp;"'!Totaleinkoop_2038"),0)
+IFERROR(INDIRECT("'"&amp;$D$40&amp;"'!Totaleinkoop_2038"),0)
+IFERROR(INDIRECT("'"&amp;$D$41&amp;"'!Totaleinkoop_2038"),0)
+IFERROR(INDIRECT("'"&amp;$D$42&amp;"'!Totaleinkoop_2038"),0)
+IFERROR(INDIRECT("'"&amp;$D$43&amp;"'!Totaleinkoop_2038"),0)
+IFERROR(INDIRECT("'"&amp;$D$44&amp;"'!Totaleinkoop_2038"),0)
+IFERROR(INDIRECT("'"&amp;$D$45&amp;"'!Totaleinkoop_2038"),0)
+IFERROR(INDIRECT("'"&amp;$D$46&amp;"'!Totaleinkoop_2038"),0)
+IFERROR(INDIRECT("'"&amp;$D$47&amp;"'!Totaleinkoop_2038"),0)
+IFERROR(INDIRECT("'"&amp;$D$48&amp;"'!Totaleinkoop_2038"),0)
+IFERROR(INDIRECT("'"&amp;$D$49&amp;"'!Totaleinkoop_2038"),0)
+IFERROR(INDIRECT("'"&amp;$D$50&amp;"'!Totaleinkoop_2038"),0)
+IFERROR(INDIRECT("'"&amp;$D$51&amp;"'!Totaleinkoop_2038"),0)
+IFERROR(INDIRECT("'"&amp;$D$52&amp;"'!Totaleinkoop_2038"),0)
+IFERROR(INDIRECT("'"&amp;$D$53&amp;"'!Totaleinkoop_2038"),0)
+IFERROR(INDIRECT("'"&amp;$D$54&amp;"'!Totaleinkoop_2038"),0)
+Nieuwbouw!Y54</f>
        <v>775536.5163411143</v>
      </c>
      <c r="AC35" s="320">
        <f ca="1">+IFERROR(INDIRECT("'"&amp;$D$5&amp;"'!Totaleinkoop_2039"),0)
+IFERROR(INDIRECT("'"&amp;$D$6&amp;"'!Totaleinkoop_2039"),0)
+IFERROR(INDIRECT("'"&amp;$D$7&amp;"'!Totaleinkoop_2039"),0)
+IFERROR(INDIRECT("'"&amp;$D$8&amp;"'!Totaleinkoop_2039"),0)
+IFERROR(INDIRECT("'"&amp;$D$9&amp;"'!Totaleinkoop_2039"),0)
+IFERROR(INDIRECT("'"&amp;$D$10&amp;"'!Totaleinkoop_2039"),0)
+IFERROR(INDIRECT("'"&amp;$D$11&amp;"'!Totaleinkoop_2039"),0)
+IFERROR(INDIRECT("'"&amp;$D$12&amp;"'!Totaleinkoop_2039"),0)
+IFERROR(INDIRECT("'"&amp;$D$13&amp;"'!Totaleinkoop_2039"),0)
+IFERROR(INDIRECT("'"&amp;$D$14&amp;"'!Totaleinkoop_2039"),0)
+IFERROR(INDIRECT("'"&amp;$D$15&amp;"'!Totaleinkoop_2039"),0)
+IFERROR(INDIRECT("'"&amp;$D$16&amp;"'!Totaleinkoop_2039"),0)
+IFERROR(INDIRECT("'"&amp;$D$17&amp;"'!Totaleinkoop_2039"),0)
+IFERROR(INDIRECT("'"&amp;$D$18&amp;"'!Totaleinkoop_2039"),0)
+IFERROR(INDIRECT("'"&amp;$D$19&amp;"'!Totaleinkoop_2039"),0)
+IFERROR(INDIRECT("'"&amp;$D$20&amp;"'!Totaleinkoop_2039"),0)
+IFERROR(INDIRECT("'"&amp;$D$21&amp;"'!Totaleinkoop_2039"),0)
+IFERROR(INDIRECT("'"&amp;$D$22&amp;"'!Totaleinkoop_2039"),0)
+IFERROR(INDIRECT("'"&amp;$D$23&amp;"'!Totaleinkoop_2039"),0)
+IFERROR(INDIRECT("'"&amp;$D$24&amp;"'!Totaleinkoop_2039"),0)
+IFERROR(INDIRECT("'"&amp;$D$25&amp;"'!Totaleinkoop_2039"),0)
+IFERROR(INDIRECT("'"&amp;$D$26&amp;"'!Totaleinkoop_2039"),0)
+IFERROR(INDIRECT("'"&amp;$D$27&amp;"'!Totaleinkoop_2039"),0)
+IFERROR(INDIRECT("'"&amp;$D$28&amp;"'!Totaleinkoop_2039"),0)
+IFERROR(INDIRECT("'"&amp;$D$29&amp;"'!Totaleinkoop_2039"),0)
+IFERROR(INDIRECT("'"&amp;$D$30&amp;"'!Totaleinkoop_2039"),0)
+IFERROR(INDIRECT("'"&amp;$D$31&amp;"'!Totaleinkoop_2039"),0)
+IFERROR(INDIRECT("'"&amp;$D$32&amp;"'!Totaleinkoop_2039"),0)
+IFERROR(INDIRECT("'"&amp;$D$33&amp;"'!Totaleinkoop_2039"),0)
+IFERROR(INDIRECT("'"&amp;$D$34&amp;"'!Totaleinkoop_2039"),0)
+IFERROR(INDIRECT("'"&amp;$D$35&amp;"'!Totaleinkoop_2039"),0)
+IFERROR(INDIRECT("'"&amp;$D$36&amp;"'!Totaleinkoop_2039"),0)
+IFERROR(INDIRECT("'"&amp;$D$37&amp;"'!Totaleinkoop_2039"),0)
+IFERROR(INDIRECT("'"&amp;$D$38&amp;"'!Totaleinkoop_2039"),0)
+IFERROR(INDIRECT("'"&amp;$D$39&amp;"'!Totaleinkoop_2039"),0)
+IFERROR(INDIRECT("'"&amp;$D$40&amp;"'!Totaleinkoop_2039"),0)
+IFERROR(INDIRECT("'"&amp;$D$41&amp;"'!Totaleinkoop_2039"),0)
+IFERROR(INDIRECT("'"&amp;$D$42&amp;"'!Totaleinkoop_2039"),0)
+IFERROR(INDIRECT("'"&amp;$D$43&amp;"'!Totaleinkoop_2039"),0)
+IFERROR(INDIRECT("'"&amp;$D$44&amp;"'!Totaleinkoop_2039"),0)
+IFERROR(INDIRECT("'"&amp;$D$45&amp;"'!Totaleinkoop_2039"),0)
+IFERROR(INDIRECT("'"&amp;$D$46&amp;"'!Totaleinkoop_2039"),0)
+IFERROR(INDIRECT("'"&amp;$D$47&amp;"'!Totaleinkoop_2039"),0)
+IFERROR(INDIRECT("'"&amp;$D$48&amp;"'!Totaleinkoop_2039"),0)
+IFERROR(INDIRECT("'"&amp;$D$49&amp;"'!Totaleinkoop_2039"),0)
+IFERROR(INDIRECT("'"&amp;$D$50&amp;"'!Totaleinkoop_2039"),0)
+IFERROR(INDIRECT("'"&amp;$D$51&amp;"'!Totaleinkoop_2039"),0)
+IFERROR(INDIRECT("'"&amp;$D$52&amp;"'!Totaleinkoop_2039"),0)
+IFERROR(INDIRECT("'"&amp;$D$53&amp;"'!Totaleinkoop_2039"),0)
+IFERROR(INDIRECT("'"&amp;$D$54&amp;"'!Totaleinkoop_2039"),0)
+Nieuwbouw!Z54</f>
        <v>775536.5163411143</v>
      </c>
      <c r="AD35" s="320">
        <f ca="1">+IFERROR(INDIRECT("'"&amp;$D$5&amp;"'!Totaleinkoop_2040"),0)
+IFERROR(INDIRECT("'"&amp;$D$6&amp;"'!Totaleinkoop_2040"),0)
+IFERROR(INDIRECT("'"&amp;$D$7&amp;"'!Totaleinkoop_2040"),0)
+IFERROR(INDIRECT("'"&amp;$D$8&amp;"'!Totaleinkoop_2040"),0)
+IFERROR(INDIRECT("'"&amp;$D$9&amp;"'!Totaleinkoop_2040"),0)
+IFERROR(INDIRECT("'"&amp;$D$10&amp;"'!Totaleinkoop_2040"),0)
+IFERROR(INDIRECT("'"&amp;$D$11&amp;"'!Totaleinkoop_2040"),0)
+IFERROR(INDIRECT("'"&amp;$D$12&amp;"'!Totaleinkoop_2040"),0)
+IFERROR(INDIRECT("'"&amp;$D$13&amp;"'!Totaleinkoop_2040"),0)
+IFERROR(INDIRECT("'"&amp;$D$14&amp;"'!Totaleinkoop_2040"),0)
+IFERROR(INDIRECT("'"&amp;$D$15&amp;"'!Totaleinkoop_2040"),0)
+IFERROR(INDIRECT("'"&amp;$D$16&amp;"'!Totaleinkoop_2040"),0)
+IFERROR(INDIRECT("'"&amp;$D$17&amp;"'!Totaleinkoop_2040"),0)
+IFERROR(INDIRECT("'"&amp;$D$18&amp;"'!Totaleinkoop_2040"),0)
+IFERROR(INDIRECT("'"&amp;$D$19&amp;"'!Totaleinkoop_2040"),0)
+IFERROR(INDIRECT("'"&amp;$D$20&amp;"'!Totaleinkoop_2040"),0)
+IFERROR(INDIRECT("'"&amp;$D$21&amp;"'!Totaleinkoop_2040"),0)
+IFERROR(INDIRECT("'"&amp;$D$22&amp;"'!Totaleinkoop_2040"),0)
+IFERROR(INDIRECT("'"&amp;$D$23&amp;"'!Totaleinkoop_2040"),0)
+IFERROR(INDIRECT("'"&amp;$D$24&amp;"'!Totaleinkoop_2040"),0)
+IFERROR(INDIRECT("'"&amp;$D$25&amp;"'!Totaleinkoop_2040"),0)
+IFERROR(INDIRECT("'"&amp;$D$26&amp;"'!Totaleinkoop_2040"),0)
+IFERROR(INDIRECT("'"&amp;$D$27&amp;"'!Totaleinkoop_2040"),0)
+IFERROR(INDIRECT("'"&amp;$D$28&amp;"'!Totaleinkoop_2040"),0)
+IFERROR(INDIRECT("'"&amp;$D$29&amp;"'!Totaleinkoop_2040"),0)
+IFERROR(INDIRECT("'"&amp;$D$30&amp;"'!Totaleinkoop_2040"),0)
+IFERROR(INDIRECT("'"&amp;$D$31&amp;"'!Totaleinkoop_2040"),0)
+IFERROR(INDIRECT("'"&amp;$D$32&amp;"'!Totaleinkoop_2040"),0)
+IFERROR(INDIRECT("'"&amp;$D$33&amp;"'!Totaleinkoop_2040"),0)
+IFERROR(INDIRECT("'"&amp;$D$34&amp;"'!Totaleinkoop_2040"),0)
+IFERROR(INDIRECT("'"&amp;$D$35&amp;"'!Totaleinkoop_2040"),0)
+IFERROR(INDIRECT("'"&amp;$D$36&amp;"'!Totaleinkoop_2040"),0)
+IFERROR(INDIRECT("'"&amp;$D$37&amp;"'!Totaleinkoop_2040"),0)
+IFERROR(INDIRECT("'"&amp;$D$38&amp;"'!Totaleinkoop_2040"),0)
+IFERROR(INDIRECT("'"&amp;$D$39&amp;"'!Totaleinkoop_2040"),0)
+IFERROR(INDIRECT("'"&amp;$D$40&amp;"'!Totaleinkoop_2040"),0)
+IFERROR(INDIRECT("'"&amp;$D$41&amp;"'!Totaleinkoop_2040"),0)
+IFERROR(INDIRECT("'"&amp;$D$42&amp;"'!Totaleinkoop_2040"),0)
+IFERROR(INDIRECT("'"&amp;$D$43&amp;"'!Totaleinkoop_2040"),0)
+IFERROR(INDIRECT("'"&amp;$D$44&amp;"'!Totaleinkoop_2040"),0)
+IFERROR(INDIRECT("'"&amp;$D$45&amp;"'!Totaleinkoop_2040"),0)
+IFERROR(INDIRECT("'"&amp;$D$46&amp;"'!Totaleinkoop_2040"),0)
+IFERROR(INDIRECT("'"&amp;$D$47&amp;"'!Totaleinkoop_2040"),0)
+IFERROR(INDIRECT("'"&amp;$D$48&amp;"'!Totaleinkoop_2040"),0)
+IFERROR(INDIRECT("'"&amp;$D$49&amp;"'!Totaleinkoop_2040"),0)
+IFERROR(INDIRECT("'"&amp;$D$50&amp;"'!Totaleinkoop_2040"),0)
+IFERROR(INDIRECT("'"&amp;$D$51&amp;"'!Totaleinkoop_2040"),0)
+IFERROR(INDIRECT("'"&amp;$D$52&amp;"'!Totaleinkoop_2040"),0)
+IFERROR(INDIRECT("'"&amp;$D$53&amp;"'!Totaleinkoop_2040"),0)
+IFERROR(INDIRECT("'"&amp;$D$54&amp;"'!Totaleinkoop_2040"),0)
+Nieuwbouw!AA54</f>
        <v>556184.06994111429</v>
      </c>
      <c r="AE35" s="320">
        <f ca="1">+IFERROR(INDIRECT("'"&amp;$D$5&amp;"'!Totaleinkoop_2041"),0)
+IFERROR(INDIRECT("'"&amp;$D$6&amp;"'!Totaleinkoop_2041"),0)
+IFERROR(INDIRECT("'"&amp;$D$7&amp;"'!Totaleinkoop_2041"),0)
+IFERROR(INDIRECT("'"&amp;$D$8&amp;"'!Totaleinkoop_2041"),0)
+IFERROR(INDIRECT("'"&amp;$D$9&amp;"'!Totaleinkoop_2041"),0)
+IFERROR(INDIRECT("'"&amp;$D$10&amp;"'!Totaleinkoop_2041"),0)
+IFERROR(INDIRECT("'"&amp;$D$11&amp;"'!Totaleinkoop_2041"),0)
+IFERROR(INDIRECT("'"&amp;$D$12&amp;"'!Totaleinkoop_2041"),0)
+IFERROR(INDIRECT("'"&amp;$D$13&amp;"'!Totaleinkoop_2041"),0)
+IFERROR(INDIRECT("'"&amp;$D$14&amp;"'!Totaleinkoop_2041"),0)
+IFERROR(INDIRECT("'"&amp;$D$15&amp;"'!Totaleinkoop_2041"),0)
+IFERROR(INDIRECT("'"&amp;$D$16&amp;"'!Totaleinkoop_2041"),0)
+IFERROR(INDIRECT("'"&amp;$D$17&amp;"'!Totaleinkoop_2041"),0)
+IFERROR(INDIRECT("'"&amp;$D$18&amp;"'!Totaleinkoop_2041"),0)
+IFERROR(INDIRECT("'"&amp;$D$19&amp;"'!Totaleinkoop_2041"),0)
+IFERROR(INDIRECT("'"&amp;$D$20&amp;"'!Totaleinkoop_2041"),0)
+IFERROR(INDIRECT("'"&amp;$D$21&amp;"'!Totaleinkoop_2041"),0)
+IFERROR(INDIRECT("'"&amp;$D$22&amp;"'!Totaleinkoop_2041"),0)
+IFERROR(INDIRECT("'"&amp;$D$23&amp;"'!Totaleinkoop_2041"),0)
+IFERROR(INDIRECT("'"&amp;$D$24&amp;"'!Totaleinkoop_2041"),0)
+IFERROR(INDIRECT("'"&amp;$D$25&amp;"'!Totaleinkoop_2041"),0)
+IFERROR(INDIRECT("'"&amp;$D$26&amp;"'!Totaleinkoop_2041"),0)
+IFERROR(INDIRECT("'"&amp;$D$27&amp;"'!Totaleinkoop_2041"),0)
+IFERROR(INDIRECT("'"&amp;$D$28&amp;"'!Totaleinkoop_2041"),0)
+IFERROR(INDIRECT("'"&amp;$D$29&amp;"'!Totaleinkoop_2041"),0)
+IFERROR(INDIRECT("'"&amp;$D$30&amp;"'!Totaleinkoop_2041"),0)
+IFERROR(INDIRECT("'"&amp;$D$31&amp;"'!Totaleinkoop_2041"),0)
+IFERROR(INDIRECT("'"&amp;$D$32&amp;"'!Totaleinkoop_2041"),0)
+IFERROR(INDIRECT("'"&amp;$D$33&amp;"'!Totaleinkoop_2041"),0)
+IFERROR(INDIRECT("'"&amp;$D$34&amp;"'!Totaleinkoop_2041"),0)
+IFERROR(INDIRECT("'"&amp;$D$35&amp;"'!Totaleinkoop_2041"),0)
+IFERROR(INDIRECT("'"&amp;$D$36&amp;"'!Totaleinkoop_2041"),0)
+IFERROR(INDIRECT("'"&amp;$D$37&amp;"'!Totaleinkoop_2041"),0)
+IFERROR(INDIRECT("'"&amp;$D$38&amp;"'!Totaleinkoop_2041"),0)
+IFERROR(INDIRECT("'"&amp;$D$39&amp;"'!Totaleinkoop_2041"),0)
+IFERROR(INDIRECT("'"&amp;$D$40&amp;"'!Totaleinkoop_2041"),0)
+IFERROR(INDIRECT("'"&amp;$D$41&amp;"'!Totaleinkoop_2041"),0)
+IFERROR(INDIRECT("'"&amp;$D$42&amp;"'!Totaleinkoop_2041"),0)
+IFERROR(INDIRECT("'"&amp;$D$43&amp;"'!Totaleinkoop_2041"),0)
+IFERROR(INDIRECT("'"&amp;$D$44&amp;"'!Totaleinkoop_2041"),0)
+IFERROR(INDIRECT("'"&amp;$D$45&amp;"'!Totaleinkoop_2041"),0)
+IFERROR(INDIRECT("'"&amp;$D$46&amp;"'!Totaleinkoop_2041"),0)
+IFERROR(INDIRECT("'"&amp;$D$47&amp;"'!Totaleinkoop_2041"),0)
+IFERROR(INDIRECT("'"&amp;$D$48&amp;"'!Totaleinkoop_2041"),0)
+IFERROR(INDIRECT("'"&amp;$D$49&amp;"'!Totaleinkoop_2041"),0)
+IFERROR(INDIRECT("'"&amp;$D$50&amp;"'!Totaleinkoop_2041"),0)
+IFERROR(INDIRECT("'"&amp;$D$51&amp;"'!Totaleinkoop_2041"),0)
+IFERROR(INDIRECT("'"&amp;$D$52&amp;"'!Totaleinkoop_2041"),0)
+IFERROR(INDIRECT("'"&amp;$D$53&amp;"'!Totaleinkoop_2041"),0)
+IFERROR(INDIRECT("'"&amp;$D$54&amp;"'!Totaleinkoop_2041"),0)
+Nieuwbouw!AB54</f>
        <v>556184.06994111429</v>
      </c>
      <c r="AF35" s="320">
        <f ca="1">+IFERROR(INDIRECT("'"&amp;$D$5&amp;"'!Totaleinkoop_2042"),0)
+IFERROR(INDIRECT("'"&amp;$D$6&amp;"'!Totaleinkoop_2042"),0)
+IFERROR(INDIRECT("'"&amp;$D$7&amp;"'!Totaleinkoop_2042"),0)
+IFERROR(INDIRECT("'"&amp;$D$8&amp;"'!Totaleinkoop_2042"),0)
+IFERROR(INDIRECT("'"&amp;$D$9&amp;"'!Totaleinkoop_2042"),0)
+IFERROR(INDIRECT("'"&amp;$D$10&amp;"'!Totaleinkoop_2042"),0)
+IFERROR(INDIRECT("'"&amp;$D$11&amp;"'!Totaleinkoop_2042"),0)
+IFERROR(INDIRECT("'"&amp;$D$12&amp;"'!Totaleinkoop_2042"),0)
+IFERROR(INDIRECT("'"&amp;$D$13&amp;"'!Totaleinkoop_2042"),0)
+IFERROR(INDIRECT("'"&amp;$D$14&amp;"'!Totaleinkoop_2042"),0)
+IFERROR(INDIRECT("'"&amp;$D$15&amp;"'!Totaleinkoop_2042"),0)
+IFERROR(INDIRECT("'"&amp;$D$16&amp;"'!Totaleinkoop_2042"),0)
+IFERROR(INDIRECT("'"&amp;$D$17&amp;"'!Totaleinkoop_2042"),0)
+IFERROR(INDIRECT("'"&amp;$D$18&amp;"'!Totaleinkoop_2042"),0)
+IFERROR(INDIRECT("'"&amp;$D$19&amp;"'!Totaleinkoop_2042"),0)
+IFERROR(INDIRECT("'"&amp;$D$20&amp;"'!Totaleinkoop_2042"),0)
+IFERROR(INDIRECT("'"&amp;$D$21&amp;"'!Totaleinkoop_2042"),0)
+IFERROR(INDIRECT("'"&amp;$D$22&amp;"'!Totaleinkoop_2042"),0)
+IFERROR(INDIRECT("'"&amp;$D$23&amp;"'!Totaleinkoop_2042"),0)
+IFERROR(INDIRECT("'"&amp;$D$24&amp;"'!Totaleinkoop_2042"),0)
+IFERROR(INDIRECT("'"&amp;$D$25&amp;"'!Totaleinkoop_2042"),0)
+IFERROR(INDIRECT("'"&amp;$D$26&amp;"'!Totaleinkoop_2042"),0)
+IFERROR(INDIRECT("'"&amp;$D$27&amp;"'!Totaleinkoop_2042"),0)
+IFERROR(INDIRECT("'"&amp;$D$28&amp;"'!Totaleinkoop_2042"),0)
+IFERROR(INDIRECT("'"&amp;$D$29&amp;"'!Totaleinkoop_2042"),0)
+IFERROR(INDIRECT("'"&amp;$D$30&amp;"'!Totaleinkoop_2042"),0)
+IFERROR(INDIRECT("'"&amp;$D$31&amp;"'!Totaleinkoop_2042"),0)
+IFERROR(INDIRECT("'"&amp;$D$32&amp;"'!Totaleinkoop_2042"),0)
+IFERROR(INDIRECT("'"&amp;$D$33&amp;"'!Totaleinkoop_2042"),0)
+IFERROR(INDIRECT("'"&amp;$D$34&amp;"'!Totaleinkoop_2042"),0)
+IFERROR(INDIRECT("'"&amp;$D$35&amp;"'!Totaleinkoop_2042"),0)
+IFERROR(INDIRECT("'"&amp;$D$36&amp;"'!Totaleinkoop_2042"),0)
+IFERROR(INDIRECT("'"&amp;$D$37&amp;"'!Totaleinkoop_2042"),0)
+IFERROR(INDIRECT("'"&amp;$D$38&amp;"'!Totaleinkoop_2042"),0)
+IFERROR(INDIRECT("'"&amp;$D$39&amp;"'!Totaleinkoop_2042"),0)
+IFERROR(INDIRECT("'"&amp;$D$40&amp;"'!Totaleinkoop_2042"),0)
+IFERROR(INDIRECT("'"&amp;$D$41&amp;"'!Totaleinkoop_2042"),0)
+IFERROR(INDIRECT("'"&amp;$D$42&amp;"'!Totaleinkoop_2042"),0)
+IFERROR(INDIRECT("'"&amp;$D$43&amp;"'!Totaleinkoop_2042"),0)
+IFERROR(INDIRECT("'"&amp;$D$44&amp;"'!Totaleinkoop_2042"),0)
+IFERROR(INDIRECT("'"&amp;$D$45&amp;"'!Totaleinkoop_2042"),0)
+IFERROR(INDIRECT("'"&amp;$D$46&amp;"'!Totaleinkoop_2042"),0)
+IFERROR(INDIRECT("'"&amp;$D$47&amp;"'!Totaleinkoop_2042"),0)
+IFERROR(INDIRECT("'"&amp;$D$48&amp;"'!Totaleinkoop_2042"),0)
+IFERROR(INDIRECT("'"&amp;$D$49&amp;"'!Totaleinkoop_2042"),0)
+IFERROR(INDIRECT("'"&amp;$D$50&amp;"'!Totaleinkoop_2042"),0)
+IFERROR(INDIRECT("'"&amp;$D$51&amp;"'!Totaleinkoop_2042"),0)
+IFERROR(INDIRECT("'"&amp;$D$52&amp;"'!Totaleinkoop_2042"),0)
+IFERROR(INDIRECT("'"&amp;$D$53&amp;"'!Totaleinkoop_2042"),0)
+IFERROR(INDIRECT("'"&amp;$D$54&amp;"'!Totaleinkoop_2042"),0)
+Nieuwbouw!AC54</f>
        <v>556184.06994111429</v>
      </c>
      <c r="AG35" s="320">
        <f ca="1">+IFERROR(INDIRECT("'"&amp;$D$5&amp;"'!Totaleinkoop_2043"),0)
+IFERROR(INDIRECT("'"&amp;$D$6&amp;"'!Totaleinkoop_2043"),0)
+IFERROR(INDIRECT("'"&amp;$D$7&amp;"'!Totaleinkoop_2043"),0)
+IFERROR(INDIRECT("'"&amp;$D$8&amp;"'!Totaleinkoop_2043"),0)
+IFERROR(INDIRECT("'"&amp;$D$9&amp;"'!Totaleinkoop_2043"),0)
+IFERROR(INDIRECT("'"&amp;$D$10&amp;"'!Totaleinkoop_2043"),0)
+IFERROR(INDIRECT("'"&amp;$D$11&amp;"'!Totaleinkoop_2043"),0)
+IFERROR(INDIRECT("'"&amp;$D$12&amp;"'!Totaleinkoop_2043"),0)
+IFERROR(INDIRECT("'"&amp;$D$13&amp;"'!Totaleinkoop_2043"),0)
+IFERROR(INDIRECT("'"&amp;$D$14&amp;"'!Totaleinkoop_2043"),0)
+IFERROR(INDIRECT("'"&amp;$D$15&amp;"'!Totaleinkoop_2043"),0)
+IFERROR(INDIRECT("'"&amp;$D$16&amp;"'!Totaleinkoop_2043"),0)
+IFERROR(INDIRECT("'"&amp;$D$17&amp;"'!Totaleinkoop_2043"),0)
+IFERROR(INDIRECT("'"&amp;$D$18&amp;"'!Totaleinkoop_2043"),0)
+IFERROR(INDIRECT("'"&amp;$D$19&amp;"'!Totaleinkoop_2043"),0)
+IFERROR(INDIRECT("'"&amp;$D$20&amp;"'!Totaleinkoop_2043"),0)
+IFERROR(INDIRECT("'"&amp;$D$21&amp;"'!Totaleinkoop_2043"),0)
+IFERROR(INDIRECT("'"&amp;$D$22&amp;"'!Totaleinkoop_2043"),0)
+IFERROR(INDIRECT("'"&amp;$D$23&amp;"'!Totaleinkoop_2043"),0)
+IFERROR(INDIRECT("'"&amp;$D$24&amp;"'!Totaleinkoop_2043"),0)
+IFERROR(INDIRECT("'"&amp;$D$25&amp;"'!Totaleinkoop_2043"),0)
+IFERROR(INDIRECT("'"&amp;$D$26&amp;"'!Totaleinkoop_2043"),0)
+IFERROR(INDIRECT("'"&amp;$D$27&amp;"'!Totaleinkoop_2043"),0)
+IFERROR(INDIRECT("'"&amp;$D$28&amp;"'!Totaleinkoop_2043"),0)
+IFERROR(INDIRECT("'"&amp;$D$29&amp;"'!Totaleinkoop_2043"),0)
+IFERROR(INDIRECT("'"&amp;$D$30&amp;"'!Totaleinkoop_2043"),0)
+IFERROR(INDIRECT("'"&amp;$D$31&amp;"'!Totaleinkoop_2043"),0)
+IFERROR(INDIRECT("'"&amp;$D$32&amp;"'!Totaleinkoop_2043"),0)
+IFERROR(INDIRECT("'"&amp;$D$33&amp;"'!Totaleinkoop_2043"),0)
+IFERROR(INDIRECT("'"&amp;$D$34&amp;"'!Totaleinkoop_2043"),0)
+IFERROR(INDIRECT("'"&amp;$D$35&amp;"'!Totaleinkoop_2043"),0)
+IFERROR(INDIRECT("'"&amp;$D$36&amp;"'!Totaleinkoop_2043"),0)
+IFERROR(INDIRECT("'"&amp;$D$37&amp;"'!Totaleinkoop_2043"),0)
+IFERROR(INDIRECT("'"&amp;$D$38&amp;"'!Totaleinkoop_2043"),0)
+IFERROR(INDIRECT("'"&amp;$D$39&amp;"'!Totaleinkoop_2043"),0)
+IFERROR(INDIRECT("'"&amp;$D$40&amp;"'!Totaleinkoop_2043"),0)
+IFERROR(INDIRECT("'"&amp;$D$41&amp;"'!Totaleinkoop_2043"),0)
+IFERROR(INDIRECT("'"&amp;$D$42&amp;"'!Totaleinkoop_2043"),0)
+IFERROR(INDIRECT("'"&amp;$D$43&amp;"'!Totaleinkoop_2043"),0)
+IFERROR(INDIRECT("'"&amp;$D$44&amp;"'!Totaleinkoop_2043"),0)
+IFERROR(INDIRECT("'"&amp;$D$45&amp;"'!Totaleinkoop_2043"),0)
+IFERROR(INDIRECT("'"&amp;$D$46&amp;"'!Totaleinkoop_2043"),0)
+IFERROR(INDIRECT("'"&amp;$D$47&amp;"'!Totaleinkoop_2043"),0)
+IFERROR(INDIRECT("'"&amp;$D$48&amp;"'!Totaleinkoop_2043"),0)
+IFERROR(INDIRECT("'"&amp;$D$49&amp;"'!Totaleinkoop_2043"),0)
+IFERROR(INDIRECT("'"&amp;$D$50&amp;"'!Totaleinkoop_2043"),0)
+IFERROR(INDIRECT("'"&amp;$D$51&amp;"'!Totaleinkoop_2043"),0)
+IFERROR(INDIRECT("'"&amp;$D$52&amp;"'!Totaleinkoop_2043"),0)
+IFERROR(INDIRECT("'"&amp;$D$53&amp;"'!Totaleinkoop_2043"),0)
+IFERROR(INDIRECT("'"&amp;$D$54&amp;"'!Totaleinkoop_2043"),0)
+Nieuwbouw!AD54</f>
        <v>556184.06994111429</v>
      </c>
      <c r="AH35" s="320">
        <f ca="1">+IFERROR(INDIRECT("'"&amp;$D$5&amp;"'!Totaleinkoop_2044"),0)
+IFERROR(INDIRECT("'"&amp;$D$6&amp;"'!Totaleinkoop_2044"),0)
+IFERROR(INDIRECT("'"&amp;$D$7&amp;"'!Totaleinkoop_2044"),0)
+IFERROR(INDIRECT("'"&amp;$D$8&amp;"'!Totaleinkoop_2044"),0)
+IFERROR(INDIRECT("'"&amp;$D$9&amp;"'!Totaleinkoop_2044"),0)
+IFERROR(INDIRECT("'"&amp;$D$10&amp;"'!Totaleinkoop_2044"),0)
+IFERROR(INDIRECT("'"&amp;$D$11&amp;"'!Totaleinkoop_2044"),0)
+IFERROR(INDIRECT("'"&amp;$D$12&amp;"'!Totaleinkoop_2044"),0)
+IFERROR(INDIRECT("'"&amp;$D$13&amp;"'!Totaleinkoop_2044"),0)
+IFERROR(INDIRECT("'"&amp;$D$14&amp;"'!Totaleinkoop_2044"),0)
+IFERROR(INDIRECT("'"&amp;$D$15&amp;"'!Totaleinkoop_2044"),0)
+IFERROR(INDIRECT("'"&amp;$D$16&amp;"'!Totaleinkoop_2044"),0)
+IFERROR(INDIRECT("'"&amp;$D$17&amp;"'!Totaleinkoop_2044"),0)
+IFERROR(INDIRECT("'"&amp;$D$18&amp;"'!Totaleinkoop_2044"),0)
+IFERROR(INDIRECT("'"&amp;$D$19&amp;"'!Totaleinkoop_2044"),0)
+IFERROR(INDIRECT("'"&amp;$D$20&amp;"'!Totaleinkoop_2044"),0)
+IFERROR(INDIRECT("'"&amp;$D$21&amp;"'!Totaleinkoop_2044"),0)
+IFERROR(INDIRECT("'"&amp;$D$22&amp;"'!Totaleinkoop_2044"),0)
+IFERROR(INDIRECT("'"&amp;$D$23&amp;"'!Totaleinkoop_2044"),0)
+IFERROR(INDIRECT("'"&amp;$D$24&amp;"'!Totaleinkoop_2044"),0)
+IFERROR(INDIRECT("'"&amp;$D$25&amp;"'!Totaleinkoop_2044"),0)
+IFERROR(INDIRECT("'"&amp;$D$26&amp;"'!Totaleinkoop_2044"),0)
+IFERROR(INDIRECT("'"&amp;$D$27&amp;"'!Totaleinkoop_2044"),0)
+IFERROR(INDIRECT("'"&amp;$D$28&amp;"'!Totaleinkoop_2044"),0)
+IFERROR(INDIRECT("'"&amp;$D$29&amp;"'!Totaleinkoop_2044"),0)
+IFERROR(INDIRECT("'"&amp;$D$30&amp;"'!Totaleinkoop_2044"),0)
+IFERROR(INDIRECT("'"&amp;$D$31&amp;"'!Totaleinkoop_2044"),0)
+IFERROR(INDIRECT("'"&amp;$D$32&amp;"'!Totaleinkoop_2044"),0)
+IFERROR(INDIRECT("'"&amp;$D$33&amp;"'!Totaleinkoop_2044"),0)
+IFERROR(INDIRECT("'"&amp;$D$34&amp;"'!Totaleinkoop_2044"),0)
+IFERROR(INDIRECT("'"&amp;$D$35&amp;"'!Totaleinkoop_2044"),0)
+IFERROR(INDIRECT("'"&amp;$D$36&amp;"'!Totaleinkoop_2044"),0)
+IFERROR(INDIRECT("'"&amp;$D$37&amp;"'!Totaleinkoop_2044"),0)
+IFERROR(INDIRECT("'"&amp;$D$38&amp;"'!Totaleinkoop_2044"),0)
+IFERROR(INDIRECT("'"&amp;$D$39&amp;"'!Totaleinkoop_2044"),0)
+IFERROR(INDIRECT("'"&amp;$D$40&amp;"'!Totaleinkoop_2044"),0)
+IFERROR(INDIRECT("'"&amp;$D$41&amp;"'!Totaleinkoop_2044"),0)
+IFERROR(INDIRECT("'"&amp;$D$42&amp;"'!Totaleinkoop_2044"),0)
+IFERROR(INDIRECT("'"&amp;$D$43&amp;"'!Totaleinkoop_2044"),0)
+IFERROR(INDIRECT("'"&amp;$D$44&amp;"'!Totaleinkoop_2044"),0)
+IFERROR(INDIRECT("'"&amp;$D$45&amp;"'!Totaleinkoop_2044"),0)
+IFERROR(INDIRECT("'"&amp;$D$46&amp;"'!Totaleinkoop_2044"),0)
+IFERROR(INDIRECT("'"&amp;$D$47&amp;"'!Totaleinkoop_2044"),0)
+IFERROR(INDIRECT("'"&amp;$D$48&amp;"'!Totaleinkoop_2044"),0)
+IFERROR(INDIRECT("'"&amp;$D$49&amp;"'!Totaleinkoop_2044"),0)
+IFERROR(INDIRECT("'"&amp;$D$50&amp;"'!Totaleinkoop_2044"),0)
+IFERROR(INDIRECT("'"&amp;$D$51&amp;"'!Totaleinkoop_2044"),0)
+IFERROR(INDIRECT("'"&amp;$D$52&amp;"'!Totaleinkoop_2044"),0)
+IFERROR(INDIRECT("'"&amp;$D$53&amp;"'!Totaleinkoop_2044"),0)
+IFERROR(INDIRECT("'"&amp;$D$54&amp;"'!Totaleinkoop_2044"),0)
+Nieuwbouw!AE54</f>
        <v>556184.06994111429</v>
      </c>
      <c r="AI35" s="320">
        <f ca="1">+IFERROR(INDIRECT("'"&amp;$D$5&amp;"'!Totaleinkoop_2045"),0)
+IFERROR(INDIRECT("'"&amp;$D$6&amp;"'!Totaleinkoop_2045"),0)
+IFERROR(INDIRECT("'"&amp;$D$7&amp;"'!Totaleinkoop_2045"),0)
+IFERROR(INDIRECT("'"&amp;$D$8&amp;"'!Totaleinkoop_2045"),0)
+IFERROR(INDIRECT("'"&amp;$D$9&amp;"'!Totaleinkoop_2045"),0)
+IFERROR(INDIRECT("'"&amp;$D$10&amp;"'!Totaleinkoop_2045"),0)
+IFERROR(INDIRECT("'"&amp;$D$11&amp;"'!Totaleinkoop_2045"),0)
+IFERROR(INDIRECT("'"&amp;$D$12&amp;"'!Totaleinkoop_2045"),0)
+IFERROR(INDIRECT("'"&amp;$D$13&amp;"'!Totaleinkoop_2045"),0)
+IFERROR(INDIRECT("'"&amp;$D$14&amp;"'!Totaleinkoop_2045"),0)
+IFERROR(INDIRECT("'"&amp;$D$15&amp;"'!Totaleinkoop_2045"),0)
+IFERROR(INDIRECT("'"&amp;$D$16&amp;"'!Totaleinkoop_2045"),0)
+IFERROR(INDIRECT("'"&amp;$D$17&amp;"'!Totaleinkoop_2045"),0)
+IFERROR(INDIRECT("'"&amp;$D$18&amp;"'!Totaleinkoop_2045"),0)
+IFERROR(INDIRECT("'"&amp;$D$19&amp;"'!Totaleinkoop_2045"),0)
+IFERROR(INDIRECT("'"&amp;$D$20&amp;"'!Totaleinkoop_2045"),0)
+IFERROR(INDIRECT("'"&amp;$D$21&amp;"'!Totaleinkoop_2045"),0)
+IFERROR(INDIRECT("'"&amp;$D$22&amp;"'!Totaleinkoop_2045"),0)
+IFERROR(INDIRECT("'"&amp;$D$23&amp;"'!Totaleinkoop_2045"),0)
+IFERROR(INDIRECT("'"&amp;$D$24&amp;"'!Totaleinkoop_2045"),0)
+IFERROR(INDIRECT("'"&amp;$D$25&amp;"'!Totaleinkoop_2045"),0)
+IFERROR(INDIRECT("'"&amp;$D$26&amp;"'!Totaleinkoop_2045"),0)
+IFERROR(INDIRECT("'"&amp;$D$27&amp;"'!Totaleinkoop_2045"),0)
+IFERROR(INDIRECT("'"&amp;$D$28&amp;"'!Totaleinkoop_2045"),0)
+IFERROR(INDIRECT("'"&amp;$D$29&amp;"'!Totaleinkoop_2045"),0)
+IFERROR(INDIRECT("'"&amp;$D$30&amp;"'!Totaleinkoop_2045"),0)
+IFERROR(INDIRECT("'"&amp;$D$31&amp;"'!Totaleinkoop_2045"),0)
+IFERROR(INDIRECT("'"&amp;$D$32&amp;"'!Totaleinkoop_2045"),0)
+IFERROR(INDIRECT("'"&amp;$D$33&amp;"'!Totaleinkoop_2045"),0)
+IFERROR(INDIRECT("'"&amp;$D$34&amp;"'!Totaleinkoop_2045"),0)
+IFERROR(INDIRECT("'"&amp;$D$35&amp;"'!Totaleinkoop_2045"),0)
+IFERROR(INDIRECT("'"&amp;$D$36&amp;"'!Totaleinkoop_2045"),0)
+IFERROR(INDIRECT("'"&amp;$D$37&amp;"'!Totaleinkoop_2045"),0)
+IFERROR(INDIRECT("'"&amp;$D$38&amp;"'!Totaleinkoop_2045"),0)
+IFERROR(INDIRECT("'"&amp;$D$39&amp;"'!Totaleinkoop_2045"),0)
+IFERROR(INDIRECT("'"&amp;$D$40&amp;"'!Totaleinkoop_2045"),0)
+IFERROR(INDIRECT("'"&amp;$D$41&amp;"'!Totaleinkoop_2045"),0)
+IFERROR(INDIRECT("'"&amp;$D$42&amp;"'!Totaleinkoop_2045"),0)
+IFERROR(INDIRECT("'"&amp;$D$43&amp;"'!Totaleinkoop_2045"),0)
+IFERROR(INDIRECT("'"&amp;$D$44&amp;"'!Totaleinkoop_2045"),0)
+IFERROR(INDIRECT("'"&amp;$D$45&amp;"'!Totaleinkoop_2045"),0)
+IFERROR(INDIRECT("'"&amp;$D$46&amp;"'!Totaleinkoop_2045"),0)
+IFERROR(INDIRECT("'"&amp;$D$47&amp;"'!Totaleinkoop_2045"),0)
+IFERROR(INDIRECT("'"&amp;$D$48&amp;"'!Totaleinkoop_2045"),0)
+IFERROR(INDIRECT("'"&amp;$D$49&amp;"'!Totaleinkoop_2045"),0)
+IFERROR(INDIRECT("'"&amp;$D$50&amp;"'!Totaleinkoop_2045"),0)
+IFERROR(INDIRECT("'"&amp;$D$51&amp;"'!Totaleinkoop_2045"),0)
+IFERROR(INDIRECT("'"&amp;$D$52&amp;"'!Totaleinkoop_2045"),0)
+IFERROR(INDIRECT("'"&amp;$D$53&amp;"'!Totaleinkoop_2045"),0)
+IFERROR(INDIRECT("'"&amp;$D$54&amp;"'!Totaleinkoop_2045"),0)
+Nieuwbouw!AF54</f>
        <v>556184.06994111429</v>
      </c>
      <c r="AJ35" s="320">
        <f ca="1">+IFERROR(INDIRECT("'"&amp;$D$5&amp;"'!Totaleinkoop_2046"),0)
+IFERROR(INDIRECT("'"&amp;$D$6&amp;"'!Totaleinkoop_2046"),0)
+IFERROR(INDIRECT("'"&amp;$D$7&amp;"'!Totaleinkoop_2046"),0)
+IFERROR(INDIRECT("'"&amp;$D$8&amp;"'!Totaleinkoop_2046"),0)
+IFERROR(INDIRECT("'"&amp;$D$9&amp;"'!Totaleinkoop_2046"),0)
+IFERROR(INDIRECT("'"&amp;$D$10&amp;"'!Totaleinkoop_2046"),0)
+IFERROR(INDIRECT("'"&amp;$D$11&amp;"'!Totaleinkoop_2046"),0)
+IFERROR(INDIRECT("'"&amp;$D$12&amp;"'!Totaleinkoop_2046"),0)
+IFERROR(INDIRECT("'"&amp;$D$13&amp;"'!Totaleinkoop_2046"),0)
+IFERROR(INDIRECT("'"&amp;$D$14&amp;"'!Totaleinkoop_2046"),0)
+IFERROR(INDIRECT("'"&amp;$D$15&amp;"'!Totaleinkoop_2046"),0)
+IFERROR(INDIRECT("'"&amp;$D$16&amp;"'!Totaleinkoop_2046"),0)
+IFERROR(INDIRECT("'"&amp;$D$17&amp;"'!Totaleinkoop_2046"),0)
+IFERROR(INDIRECT("'"&amp;$D$18&amp;"'!Totaleinkoop_2046"),0)
+IFERROR(INDIRECT("'"&amp;$D$19&amp;"'!Totaleinkoop_2046"),0)
+IFERROR(INDIRECT("'"&amp;$D$20&amp;"'!Totaleinkoop_2046"),0)
+IFERROR(INDIRECT("'"&amp;$D$21&amp;"'!Totaleinkoop_2046"),0)
+IFERROR(INDIRECT("'"&amp;$D$22&amp;"'!Totaleinkoop_2046"),0)
+IFERROR(INDIRECT("'"&amp;$D$23&amp;"'!Totaleinkoop_2046"),0)
+IFERROR(INDIRECT("'"&amp;$D$24&amp;"'!Totaleinkoop_2046"),0)
+IFERROR(INDIRECT("'"&amp;$D$25&amp;"'!Totaleinkoop_2046"),0)
+IFERROR(INDIRECT("'"&amp;$D$26&amp;"'!Totaleinkoop_2046"),0)
+IFERROR(INDIRECT("'"&amp;$D$27&amp;"'!Totaleinkoop_2046"),0)
+IFERROR(INDIRECT("'"&amp;$D$28&amp;"'!Totaleinkoop_2046"),0)
+IFERROR(INDIRECT("'"&amp;$D$29&amp;"'!Totaleinkoop_2046"),0)
+IFERROR(INDIRECT("'"&amp;$D$30&amp;"'!Totaleinkoop_2046"),0)
+IFERROR(INDIRECT("'"&amp;$D$31&amp;"'!Totaleinkoop_2046"),0)
+IFERROR(INDIRECT("'"&amp;$D$32&amp;"'!Totaleinkoop_2046"),0)
+IFERROR(INDIRECT("'"&amp;$D$33&amp;"'!Totaleinkoop_2046"),0)
+IFERROR(INDIRECT("'"&amp;$D$34&amp;"'!Totaleinkoop_2046"),0)
+IFERROR(INDIRECT("'"&amp;$D$35&amp;"'!Totaleinkoop_2046"),0)
+IFERROR(INDIRECT("'"&amp;$D$36&amp;"'!Totaleinkoop_2046"),0)
+IFERROR(INDIRECT("'"&amp;$D$37&amp;"'!Totaleinkoop_2046"),0)
+IFERROR(INDIRECT("'"&amp;$D$38&amp;"'!Totaleinkoop_2046"),0)
+IFERROR(INDIRECT("'"&amp;$D$39&amp;"'!Totaleinkoop_2046"),0)
+IFERROR(INDIRECT("'"&amp;$D$40&amp;"'!Totaleinkoop_2046"),0)
+IFERROR(INDIRECT("'"&amp;$D$41&amp;"'!Totaleinkoop_2046"),0)
+IFERROR(INDIRECT("'"&amp;$D$42&amp;"'!Totaleinkoop_2046"),0)
+IFERROR(INDIRECT("'"&amp;$D$43&amp;"'!Totaleinkoop_2046"),0)
+IFERROR(INDIRECT("'"&amp;$D$44&amp;"'!Totaleinkoop_2046"),0)
+IFERROR(INDIRECT("'"&amp;$D$45&amp;"'!Totaleinkoop_2046"),0)
+IFERROR(INDIRECT("'"&amp;$D$46&amp;"'!Totaleinkoop_2046"),0)
+IFERROR(INDIRECT("'"&amp;$D$47&amp;"'!Totaleinkoop_2046"),0)
+IFERROR(INDIRECT("'"&amp;$D$48&amp;"'!Totaleinkoop_2046"),0)
+IFERROR(INDIRECT("'"&amp;$D$49&amp;"'!Totaleinkoop_2046"),0)
+IFERROR(INDIRECT("'"&amp;$D$50&amp;"'!Totaleinkoop_2046"),0)
+IFERROR(INDIRECT("'"&amp;$D$51&amp;"'!Totaleinkoop_2046"),0)
+IFERROR(INDIRECT("'"&amp;$D$52&amp;"'!Totaleinkoop_2046"),0)
+IFERROR(INDIRECT("'"&amp;$D$53&amp;"'!Totaleinkoop_2046"),0)
+IFERROR(INDIRECT("'"&amp;$D$54&amp;"'!Totaleinkoop_2046"),0)
+Nieuwbouw!AG54</f>
        <v>556184.06994111429</v>
      </c>
      <c r="AK35" s="320">
        <f ca="1">+IFERROR(INDIRECT("'"&amp;$D$5&amp;"'!Totaleinkoop_2047"),0)
+IFERROR(INDIRECT("'"&amp;$D$6&amp;"'!Totaleinkoop_2047"),0)
+IFERROR(INDIRECT("'"&amp;$D$7&amp;"'!Totaleinkoop_2047"),0)
+IFERROR(INDIRECT("'"&amp;$D$8&amp;"'!Totaleinkoop_2047"),0)
+IFERROR(INDIRECT("'"&amp;$D$9&amp;"'!Totaleinkoop_2047"),0)
+IFERROR(INDIRECT("'"&amp;$D$10&amp;"'!Totaleinkoop_2047"),0)
+IFERROR(INDIRECT("'"&amp;$D$11&amp;"'!Totaleinkoop_2047"),0)
+IFERROR(INDIRECT("'"&amp;$D$12&amp;"'!Totaleinkoop_2047"),0)
+IFERROR(INDIRECT("'"&amp;$D$13&amp;"'!Totaleinkoop_2047"),0)
+IFERROR(INDIRECT("'"&amp;$D$14&amp;"'!Totaleinkoop_2047"),0)
+IFERROR(INDIRECT("'"&amp;$D$15&amp;"'!Totaleinkoop_2047"),0)
+IFERROR(INDIRECT("'"&amp;$D$16&amp;"'!Totaleinkoop_2047"),0)
+IFERROR(INDIRECT("'"&amp;$D$17&amp;"'!Totaleinkoop_2047"),0)
+IFERROR(INDIRECT("'"&amp;$D$18&amp;"'!Totaleinkoop_2047"),0)
+IFERROR(INDIRECT("'"&amp;$D$19&amp;"'!Totaleinkoop_2047"),0)
+IFERROR(INDIRECT("'"&amp;$D$20&amp;"'!Totaleinkoop_2047"),0)
+IFERROR(INDIRECT("'"&amp;$D$21&amp;"'!Totaleinkoop_2047"),0)
+IFERROR(INDIRECT("'"&amp;$D$22&amp;"'!Totaleinkoop_2047"),0)
+IFERROR(INDIRECT("'"&amp;$D$23&amp;"'!Totaleinkoop_2047"),0)
+IFERROR(INDIRECT("'"&amp;$D$24&amp;"'!Totaleinkoop_2047"),0)
+IFERROR(INDIRECT("'"&amp;$D$25&amp;"'!Totaleinkoop_2047"),0)
+IFERROR(INDIRECT("'"&amp;$D$26&amp;"'!Totaleinkoop_2047"),0)
+IFERROR(INDIRECT("'"&amp;$D$27&amp;"'!Totaleinkoop_2047"),0)
+IFERROR(INDIRECT("'"&amp;$D$28&amp;"'!Totaleinkoop_2047"),0)
+IFERROR(INDIRECT("'"&amp;$D$29&amp;"'!Totaleinkoop_2047"),0)
+IFERROR(INDIRECT("'"&amp;$D$30&amp;"'!Totaleinkoop_2047"),0)
+IFERROR(INDIRECT("'"&amp;$D$31&amp;"'!Totaleinkoop_2047"),0)
+IFERROR(INDIRECT("'"&amp;$D$32&amp;"'!Totaleinkoop_2047"),0)
+IFERROR(INDIRECT("'"&amp;$D$33&amp;"'!Totaleinkoop_2047"),0)
+IFERROR(INDIRECT("'"&amp;$D$34&amp;"'!Totaleinkoop_2047"),0)
+IFERROR(INDIRECT("'"&amp;$D$35&amp;"'!Totaleinkoop_2047"),0)
+IFERROR(INDIRECT("'"&amp;$D$36&amp;"'!Totaleinkoop_2047"),0)
+IFERROR(INDIRECT("'"&amp;$D$37&amp;"'!Totaleinkoop_2047"),0)
+IFERROR(INDIRECT("'"&amp;$D$38&amp;"'!Totaleinkoop_2047"),0)
+IFERROR(INDIRECT("'"&amp;$D$39&amp;"'!Totaleinkoop_2047"),0)
+IFERROR(INDIRECT("'"&amp;$D$40&amp;"'!Totaleinkoop_2047"),0)
+IFERROR(INDIRECT("'"&amp;$D$41&amp;"'!Totaleinkoop_2047"),0)
+IFERROR(INDIRECT("'"&amp;$D$42&amp;"'!Totaleinkoop_2047"),0)
+IFERROR(INDIRECT("'"&amp;$D$43&amp;"'!Totaleinkoop_2047"),0)
+IFERROR(INDIRECT("'"&amp;$D$44&amp;"'!Totaleinkoop_2047"),0)
+IFERROR(INDIRECT("'"&amp;$D$45&amp;"'!Totaleinkoop_2047"),0)
+IFERROR(INDIRECT("'"&amp;$D$46&amp;"'!Totaleinkoop_2047"),0)
+IFERROR(INDIRECT("'"&amp;$D$47&amp;"'!Totaleinkoop_2047"),0)
+IFERROR(INDIRECT("'"&amp;$D$48&amp;"'!Totaleinkoop_2047"),0)
+IFERROR(INDIRECT("'"&amp;$D$49&amp;"'!Totaleinkoop_2047"),0)
+IFERROR(INDIRECT("'"&amp;$D$50&amp;"'!Totaleinkoop_2047"),0)
+IFERROR(INDIRECT("'"&amp;$D$51&amp;"'!Totaleinkoop_2047"),0)
+IFERROR(INDIRECT("'"&amp;$D$52&amp;"'!Totaleinkoop_2047"),0)
+IFERROR(INDIRECT("'"&amp;$D$53&amp;"'!Totaleinkoop_2047"),0)
+IFERROR(INDIRECT("'"&amp;$D$54&amp;"'!Totaleinkoop_2047"),0)
+Nieuwbouw!AH54</f>
        <v>556184.06994111429</v>
      </c>
      <c r="AL35" s="320">
        <f ca="1">+IFERROR(INDIRECT("'"&amp;$D$5&amp;"'!Totaleinkoop_2048"),0)
+IFERROR(INDIRECT("'"&amp;$D$6&amp;"'!Totaleinkoop_2048"),0)
+IFERROR(INDIRECT("'"&amp;$D$7&amp;"'!Totaleinkoop_2048"),0)
+IFERROR(INDIRECT("'"&amp;$D$8&amp;"'!Totaleinkoop_2048"),0)
+IFERROR(INDIRECT("'"&amp;$D$9&amp;"'!Totaleinkoop_2048"),0)
+IFERROR(INDIRECT("'"&amp;$D$10&amp;"'!Totaleinkoop_2048"),0)
+IFERROR(INDIRECT("'"&amp;$D$11&amp;"'!Totaleinkoop_2048"),0)
+IFERROR(INDIRECT("'"&amp;$D$12&amp;"'!Totaleinkoop_2048"),0)
+IFERROR(INDIRECT("'"&amp;$D$13&amp;"'!Totaleinkoop_2048"),0)
+IFERROR(INDIRECT("'"&amp;$D$14&amp;"'!Totaleinkoop_2048"),0)
+IFERROR(INDIRECT("'"&amp;$D$15&amp;"'!Totaleinkoop_2048"),0)
+IFERROR(INDIRECT("'"&amp;$D$16&amp;"'!Totaleinkoop_2048"),0)
+IFERROR(INDIRECT("'"&amp;$D$17&amp;"'!Totaleinkoop_2048"),0)
+IFERROR(INDIRECT("'"&amp;$D$18&amp;"'!Totaleinkoop_2048"),0)
+IFERROR(INDIRECT("'"&amp;$D$19&amp;"'!Totaleinkoop_2048"),0)
+IFERROR(INDIRECT("'"&amp;$D$20&amp;"'!Totaleinkoop_2048"),0)
+IFERROR(INDIRECT("'"&amp;$D$21&amp;"'!Totaleinkoop_2048"),0)
+IFERROR(INDIRECT("'"&amp;$D$22&amp;"'!Totaleinkoop_2048"),0)
+IFERROR(INDIRECT("'"&amp;$D$23&amp;"'!Totaleinkoop_2048"),0)
+IFERROR(INDIRECT("'"&amp;$D$24&amp;"'!Totaleinkoop_2048"),0)
+IFERROR(INDIRECT("'"&amp;$D$25&amp;"'!Totaleinkoop_2048"),0)
+IFERROR(INDIRECT("'"&amp;$D$26&amp;"'!Totaleinkoop_2048"),0)
+IFERROR(INDIRECT("'"&amp;$D$27&amp;"'!Totaleinkoop_2048"),0)
+IFERROR(INDIRECT("'"&amp;$D$28&amp;"'!Totaleinkoop_2048"),0)
+IFERROR(INDIRECT("'"&amp;$D$29&amp;"'!Totaleinkoop_2048"),0)
+IFERROR(INDIRECT("'"&amp;$D$30&amp;"'!Totaleinkoop_2048"),0)
+IFERROR(INDIRECT("'"&amp;$D$31&amp;"'!Totaleinkoop_2048"),0)
+IFERROR(INDIRECT("'"&amp;$D$32&amp;"'!Totaleinkoop_2048"),0)
+IFERROR(INDIRECT("'"&amp;$D$33&amp;"'!Totaleinkoop_2048"),0)
+IFERROR(INDIRECT("'"&amp;$D$34&amp;"'!Totaleinkoop_2048"),0)
+IFERROR(INDIRECT("'"&amp;$D$35&amp;"'!Totaleinkoop_2048"),0)
+IFERROR(INDIRECT("'"&amp;$D$36&amp;"'!Totaleinkoop_2048"),0)
+IFERROR(INDIRECT("'"&amp;$D$37&amp;"'!Totaleinkoop_2048"),0)
+IFERROR(INDIRECT("'"&amp;$D$38&amp;"'!Totaleinkoop_2048"),0)
+IFERROR(INDIRECT("'"&amp;$D$39&amp;"'!Totaleinkoop_2048"),0)
+IFERROR(INDIRECT("'"&amp;$D$40&amp;"'!Totaleinkoop_2048"),0)
+IFERROR(INDIRECT("'"&amp;$D$41&amp;"'!Totaleinkoop_2048"),0)
+IFERROR(INDIRECT("'"&amp;$D$42&amp;"'!Totaleinkoop_2048"),0)
+IFERROR(INDIRECT("'"&amp;$D$43&amp;"'!Totaleinkoop_2048"),0)
+IFERROR(INDIRECT("'"&amp;$D$44&amp;"'!Totaleinkoop_2048"),0)
+IFERROR(INDIRECT("'"&amp;$D$45&amp;"'!Totaleinkoop_2048"),0)
+IFERROR(INDIRECT("'"&amp;$D$46&amp;"'!Totaleinkoop_2048"),0)
+IFERROR(INDIRECT("'"&amp;$D$47&amp;"'!Totaleinkoop_2048"),0)
+IFERROR(INDIRECT("'"&amp;$D$48&amp;"'!Totaleinkoop_2048"),0)
+IFERROR(INDIRECT("'"&amp;$D$49&amp;"'!Totaleinkoop_2048"),0)
+IFERROR(INDIRECT("'"&amp;$D$50&amp;"'!Totaleinkoop_2048"),0)
+IFERROR(INDIRECT("'"&amp;$D$51&amp;"'!Totaleinkoop_2048"),0)
+IFERROR(INDIRECT("'"&amp;$D$52&amp;"'!Totaleinkoop_2048"),0)
+IFERROR(INDIRECT("'"&amp;$D$53&amp;"'!Totaleinkoop_2048"),0)
+IFERROR(INDIRECT("'"&amp;$D$54&amp;"'!Totaleinkoop_2048"),0)
+Nieuwbouw!AI54</f>
        <v>556184.06994111429</v>
      </c>
      <c r="AM35" s="320">
        <f ca="1">+IFERROR(INDIRECT("'"&amp;$D$5&amp;"'!Totaleinkoop_2049"),0)
+IFERROR(INDIRECT("'"&amp;$D$6&amp;"'!Totaleinkoop_2049"),0)
+IFERROR(INDIRECT("'"&amp;$D$7&amp;"'!Totaleinkoop_2049"),0)
+IFERROR(INDIRECT("'"&amp;$D$8&amp;"'!Totaleinkoop_2049"),0)
+IFERROR(INDIRECT("'"&amp;$D$9&amp;"'!Totaleinkoop_2049"),0)
+IFERROR(INDIRECT("'"&amp;$D$10&amp;"'!Totaleinkoop_2049"),0)
+IFERROR(INDIRECT("'"&amp;$D$11&amp;"'!Totaleinkoop_2049"),0)
+IFERROR(INDIRECT("'"&amp;$D$12&amp;"'!Totaleinkoop_2049"),0)
+IFERROR(INDIRECT("'"&amp;$D$13&amp;"'!Totaleinkoop_2049"),0)
+IFERROR(INDIRECT("'"&amp;$D$14&amp;"'!Totaleinkoop_2049"),0)
+IFERROR(INDIRECT("'"&amp;$D$15&amp;"'!Totaleinkoop_2049"),0)
+IFERROR(INDIRECT("'"&amp;$D$16&amp;"'!Totaleinkoop_2049"),0)
+IFERROR(INDIRECT("'"&amp;$D$17&amp;"'!Totaleinkoop_2049"),0)
+IFERROR(INDIRECT("'"&amp;$D$18&amp;"'!Totaleinkoop_2049"),0)
+IFERROR(INDIRECT("'"&amp;$D$19&amp;"'!Totaleinkoop_2049"),0)
+IFERROR(INDIRECT("'"&amp;$D$20&amp;"'!Totaleinkoop_2049"),0)
+IFERROR(INDIRECT("'"&amp;$D$21&amp;"'!Totaleinkoop_2049"),0)
+IFERROR(INDIRECT("'"&amp;$D$22&amp;"'!Totaleinkoop_2049"),0)
+IFERROR(INDIRECT("'"&amp;$D$23&amp;"'!Totaleinkoop_2049"),0)
+IFERROR(INDIRECT("'"&amp;$D$24&amp;"'!Totaleinkoop_2049"),0)
+IFERROR(INDIRECT("'"&amp;$D$25&amp;"'!Totaleinkoop_2049"),0)
+IFERROR(INDIRECT("'"&amp;$D$26&amp;"'!Totaleinkoop_2049"),0)
+IFERROR(INDIRECT("'"&amp;$D$27&amp;"'!Totaleinkoop_2049"),0)
+IFERROR(INDIRECT("'"&amp;$D$28&amp;"'!Totaleinkoop_2049"),0)
+IFERROR(INDIRECT("'"&amp;$D$29&amp;"'!Totaleinkoop_2049"),0)
+IFERROR(INDIRECT("'"&amp;$D$30&amp;"'!Totaleinkoop_2049"),0)
+IFERROR(INDIRECT("'"&amp;$D$31&amp;"'!Totaleinkoop_2049"),0)
+IFERROR(INDIRECT("'"&amp;$D$32&amp;"'!Totaleinkoop_2049"),0)
+IFERROR(INDIRECT("'"&amp;$D$33&amp;"'!Totaleinkoop_2049"),0)
+IFERROR(INDIRECT("'"&amp;$D$34&amp;"'!Totaleinkoop_2049"),0)
+IFERROR(INDIRECT("'"&amp;$D$35&amp;"'!Totaleinkoop_2049"),0)
+IFERROR(INDIRECT("'"&amp;$D$36&amp;"'!Totaleinkoop_2049"),0)
+IFERROR(INDIRECT("'"&amp;$D$37&amp;"'!Totaleinkoop_2049"),0)
+IFERROR(INDIRECT("'"&amp;$D$38&amp;"'!Totaleinkoop_2049"),0)
+IFERROR(INDIRECT("'"&amp;$D$39&amp;"'!Totaleinkoop_2049"),0)
+IFERROR(INDIRECT("'"&amp;$D$40&amp;"'!Totaleinkoop_2049"),0)
+IFERROR(INDIRECT("'"&amp;$D$41&amp;"'!Totaleinkoop_2049"),0)
+IFERROR(INDIRECT("'"&amp;$D$42&amp;"'!Totaleinkoop_2049"),0)
+IFERROR(INDIRECT("'"&amp;$D$43&amp;"'!Totaleinkoop_2049"),0)
+IFERROR(INDIRECT("'"&amp;$D$44&amp;"'!Totaleinkoop_2049"),0)
+IFERROR(INDIRECT("'"&amp;$D$45&amp;"'!Totaleinkoop_2049"),0)
+IFERROR(INDIRECT("'"&amp;$D$46&amp;"'!Totaleinkoop_2049"),0)
+IFERROR(INDIRECT("'"&amp;$D$47&amp;"'!Totaleinkoop_2049"),0)
+IFERROR(INDIRECT("'"&amp;$D$48&amp;"'!Totaleinkoop_2049"),0)
+IFERROR(INDIRECT("'"&amp;$D$49&amp;"'!Totaleinkoop_2049"),0)
+IFERROR(INDIRECT("'"&amp;$D$50&amp;"'!Totaleinkoop_2049"),0)
+IFERROR(INDIRECT("'"&amp;$D$51&amp;"'!Totaleinkoop_2049"),0)
+IFERROR(INDIRECT("'"&amp;$D$52&amp;"'!Totaleinkoop_2049"),0)
+IFERROR(INDIRECT("'"&amp;$D$53&amp;"'!Totaleinkoop_2049"),0)
+IFERROR(INDIRECT("'"&amp;$D$54&amp;"'!Totaleinkoop_2049"),0)
+Nieuwbouw!AJ54</f>
        <v>556184.06994111429</v>
      </c>
      <c r="AN35" s="320">
        <f ca="1">+IFERROR(INDIRECT("'"&amp;$D$5&amp;"'!Totaleinkoop_2050"),0)
+IFERROR(INDIRECT("'"&amp;$D$6&amp;"'!Totaleinkoop_2050"),0)
+IFERROR(INDIRECT("'"&amp;$D$7&amp;"'!Totaleinkoop_2050"),0)
+IFERROR(INDIRECT("'"&amp;$D$8&amp;"'!Totaleinkoop_2050"),0)
+IFERROR(INDIRECT("'"&amp;$D$9&amp;"'!Totaleinkoop_2050"),0)
+IFERROR(INDIRECT("'"&amp;$D$10&amp;"'!Totaleinkoop_2050"),0)
+IFERROR(INDIRECT("'"&amp;$D$11&amp;"'!Totaleinkoop_2050"),0)
+IFERROR(INDIRECT("'"&amp;$D$12&amp;"'!Totaleinkoop_2050"),0)
+IFERROR(INDIRECT("'"&amp;$D$13&amp;"'!Totaleinkoop_2050"),0)
+IFERROR(INDIRECT("'"&amp;$D$14&amp;"'!Totaleinkoop_2050"),0)
+IFERROR(INDIRECT("'"&amp;$D$15&amp;"'!Totaleinkoop_2050"),0)
+IFERROR(INDIRECT("'"&amp;$D$16&amp;"'!Totaleinkoop_2050"),0)
+IFERROR(INDIRECT("'"&amp;$D$17&amp;"'!Totaleinkoop_2050"),0)
+IFERROR(INDIRECT("'"&amp;$D$18&amp;"'!Totaleinkoop_2050"),0)
+IFERROR(INDIRECT("'"&amp;$D$19&amp;"'!Totaleinkoop_2050"),0)
+IFERROR(INDIRECT("'"&amp;$D$20&amp;"'!Totaleinkoop_2050"),0)
+IFERROR(INDIRECT("'"&amp;$D$21&amp;"'!Totaleinkoop_2050"),0)
+IFERROR(INDIRECT("'"&amp;$D$22&amp;"'!Totaleinkoop_2050"),0)
+IFERROR(INDIRECT("'"&amp;$D$23&amp;"'!Totaleinkoop_2050"),0)
+IFERROR(INDIRECT("'"&amp;$D$24&amp;"'!Totaleinkoop_2050"),0)
+IFERROR(INDIRECT("'"&amp;$D$25&amp;"'!Totaleinkoop_2050"),0)
+IFERROR(INDIRECT("'"&amp;$D$26&amp;"'!Totaleinkoop_2050"),0)
+IFERROR(INDIRECT("'"&amp;$D$27&amp;"'!Totaleinkoop_2050"),0)
+IFERROR(INDIRECT("'"&amp;$D$28&amp;"'!Totaleinkoop_2050"),0)
+IFERROR(INDIRECT("'"&amp;$D$29&amp;"'!Totaleinkoop_2050"),0)
+IFERROR(INDIRECT("'"&amp;$D$30&amp;"'!Totaleinkoop_2050"),0)
+IFERROR(INDIRECT("'"&amp;$D$31&amp;"'!Totaleinkoop_2050"),0)
+IFERROR(INDIRECT("'"&amp;$D$32&amp;"'!Totaleinkoop_2050"),0)
+IFERROR(INDIRECT("'"&amp;$D$33&amp;"'!Totaleinkoop_2050"),0)
+IFERROR(INDIRECT("'"&amp;$D$34&amp;"'!Totaleinkoop_2050"),0)
+IFERROR(INDIRECT("'"&amp;$D$35&amp;"'!Totaleinkoop_2050"),0)
+IFERROR(INDIRECT("'"&amp;$D$36&amp;"'!Totaleinkoop_2050"),0)
+IFERROR(INDIRECT("'"&amp;$D$37&amp;"'!Totaleinkoop_2050"),0)
+IFERROR(INDIRECT("'"&amp;$D$38&amp;"'!Totaleinkoop_2050"),0)
+IFERROR(INDIRECT("'"&amp;$D$39&amp;"'!Totaleinkoop_2050"),0)
+IFERROR(INDIRECT("'"&amp;$D$40&amp;"'!Totaleinkoop_2050"),0)
+IFERROR(INDIRECT("'"&amp;$D$41&amp;"'!Totaleinkoop_2050"),0)
+IFERROR(INDIRECT("'"&amp;$D$42&amp;"'!Totaleinkoop_2050"),0)
+IFERROR(INDIRECT("'"&amp;$D$43&amp;"'!Totaleinkoop_2050"),0)
+IFERROR(INDIRECT("'"&amp;$D$44&amp;"'!Totaleinkoop_2050"),0)
+IFERROR(INDIRECT("'"&amp;$D$45&amp;"'!Totaleinkoop_2050"),0)
+IFERROR(INDIRECT("'"&amp;$D$46&amp;"'!Totaleinkoop_2050"),0)
+IFERROR(INDIRECT("'"&amp;$D$47&amp;"'!Totaleinkoop_2050"),0)
+IFERROR(INDIRECT("'"&amp;$D$48&amp;"'!Totaleinkoop_2050"),0)
+IFERROR(INDIRECT("'"&amp;$D$49&amp;"'!Totaleinkoop_2050"),0)
+IFERROR(INDIRECT("'"&amp;$D$50&amp;"'!Totaleinkoop_2050"),0)
+IFERROR(INDIRECT("'"&amp;$D$51&amp;"'!Totaleinkoop_2050"),0)
+IFERROR(INDIRECT("'"&amp;$D$52&amp;"'!Totaleinkoop_2050"),0)
+IFERROR(INDIRECT("'"&amp;$D$53&amp;"'!Totaleinkoop_2050"),0)
+IFERROR(INDIRECT("'"&amp;$D$54&amp;"'!Totaleinkoop_2050"),0)
+Nieuwbouw!AK54</f>
        <v>556184.06994111429</v>
      </c>
      <c r="AO35" s="123"/>
    </row>
    <row r="36" spans="2:41" ht="18.75" customHeight="1">
      <c r="B36" s="8"/>
      <c r="C36" s="279" t="s">
        <v>73</v>
      </c>
      <c r="D36" s="115"/>
      <c r="E36" s="8"/>
      <c r="F36" s="8"/>
      <c r="G36" s="324" t="s">
        <v>641</v>
      </c>
      <c r="H36" s="322">
        <f t="shared" ref="H36:AN36" ca="1" si="4">IF(H$23=0,0,H35/H$23)</f>
        <v>152.25626655711494</v>
      </c>
      <c r="I36" s="322">
        <f t="shared" ca="1" si="4"/>
        <v>152.25985155245408</v>
      </c>
      <c r="J36" s="322">
        <f t="shared" ca="1" si="4"/>
        <v>152.25985155245408</v>
      </c>
      <c r="K36" s="322">
        <f t="shared" ca="1" si="4"/>
        <v>152.25985155245408</v>
      </c>
      <c r="L36" s="322">
        <f t="shared" ca="1" si="4"/>
        <v>152.25985155245408</v>
      </c>
      <c r="M36" s="322">
        <f t="shared" ca="1" si="4"/>
        <v>76.338054605196092</v>
      </c>
      <c r="N36" s="322">
        <f t="shared" ca="1" si="4"/>
        <v>69.362018638270769</v>
      </c>
      <c r="O36" s="322">
        <f t="shared" ca="1" si="4"/>
        <v>59.277803972642587</v>
      </c>
      <c r="P36" s="322">
        <f t="shared" ca="1" si="4"/>
        <v>56.508775455456416</v>
      </c>
      <c r="Q36" s="322">
        <f t="shared" ca="1" si="4"/>
        <v>54.322658580464349</v>
      </c>
      <c r="R36" s="322">
        <f t="shared" ca="1" si="4"/>
        <v>53.148825214698412</v>
      </c>
      <c r="S36" s="322">
        <f t="shared" ca="1" si="4"/>
        <v>51.972968928270525</v>
      </c>
      <c r="T36" s="322">
        <f t="shared" ca="1" si="4"/>
        <v>50.797112641842652</v>
      </c>
      <c r="U36" s="322">
        <f t="shared" ca="1" si="4"/>
        <v>49.621256355414779</v>
      </c>
      <c r="V36" s="322">
        <f t="shared" ca="1" si="4"/>
        <v>39.244990282085539</v>
      </c>
      <c r="W36" s="322">
        <f t="shared" ca="1" si="4"/>
        <v>39.244990282085539</v>
      </c>
      <c r="X36" s="322">
        <f t="shared" ca="1" si="4"/>
        <v>39.244990282085539</v>
      </c>
      <c r="Y36" s="322">
        <f t="shared" ca="1" si="4"/>
        <v>39.244990282085539</v>
      </c>
      <c r="Z36" s="322">
        <f t="shared" ca="1" si="4"/>
        <v>35.717414924299888</v>
      </c>
      <c r="AA36" s="322">
        <f t="shared" ca="1" si="4"/>
        <v>35.717414924299888</v>
      </c>
      <c r="AB36" s="322">
        <f t="shared" ca="1" si="4"/>
        <v>35.717414924299888</v>
      </c>
      <c r="AC36" s="322">
        <f t="shared" ca="1" si="4"/>
        <v>35.717414924299888</v>
      </c>
      <c r="AD36" s="322">
        <f t="shared" ca="1" si="4"/>
        <v>25.614596129843026</v>
      </c>
      <c r="AE36" s="322">
        <f t="shared" ca="1" si="4"/>
        <v>25.614596129843026</v>
      </c>
      <c r="AF36" s="322">
        <f t="shared" ca="1" si="4"/>
        <v>25.614596129843026</v>
      </c>
      <c r="AG36" s="322">
        <f t="shared" ca="1" si="4"/>
        <v>25.614596129843026</v>
      </c>
      <c r="AH36" s="322">
        <f t="shared" ca="1" si="4"/>
        <v>25.614596129843026</v>
      </c>
      <c r="AI36" s="322">
        <f t="shared" ca="1" si="4"/>
        <v>25.614596129843026</v>
      </c>
      <c r="AJ36" s="322">
        <f t="shared" ca="1" si="4"/>
        <v>25.614596129843026</v>
      </c>
      <c r="AK36" s="322">
        <f t="shared" ca="1" si="4"/>
        <v>25.614596129843026</v>
      </c>
      <c r="AL36" s="322">
        <f t="shared" ca="1" si="4"/>
        <v>25.614596129843026</v>
      </c>
      <c r="AM36" s="322">
        <f t="shared" ca="1" si="4"/>
        <v>25.614596129843026</v>
      </c>
      <c r="AN36" s="322">
        <f t="shared" ca="1" si="4"/>
        <v>25.614596129843026</v>
      </c>
      <c r="AO36" s="123"/>
    </row>
    <row r="37" spans="2:41" ht="18.75">
      <c r="B37" s="8"/>
      <c r="C37" s="279" t="s">
        <v>74</v>
      </c>
      <c r="D37" s="115"/>
      <c r="E37" s="8"/>
      <c r="F37" s="303"/>
      <c r="G37" s="308" t="s">
        <v>679</v>
      </c>
      <c r="H37" s="320">
        <f ca="1">+IFERROR(INDIRECT("'"&amp;$D$5&amp;"'!OpwekPV_2018"),0)
+IFERROR(INDIRECT("'"&amp;$D$6&amp;"'!OpwekPV_2018"),0)
+IFERROR(INDIRECT("'"&amp;$D$7&amp;"'!OpwekPV_2018"),0)
+IFERROR(INDIRECT("'"&amp;$D$8&amp;"'!OpwekPV_2018"),0)
+IFERROR(INDIRECT("'"&amp;$D$9&amp;"'!OpwekPV_2018"),0)
+IFERROR(INDIRECT("'"&amp;$D$10&amp;"'!OpwekPV_2018"),0)
+IFERROR(INDIRECT("'"&amp;$D$11&amp;"'!OpwekPV_2018"),0)
+IFERROR(INDIRECT("'"&amp;$D$12&amp;"'!OpwekPV_2018"),0)
+IFERROR(INDIRECT("'"&amp;$D$13&amp;"'!OpwekPV_2018"),0)
+IFERROR(INDIRECT("'"&amp;$D$14&amp;"'!OpwekPV_2018"),0)
+IFERROR(INDIRECT("'"&amp;$D$15&amp;"'!OpwekPV_2018"),0)
+IFERROR(INDIRECT("'"&amp;$D$16&amp;"'!OpwekPV_2018"),0)
+IFERROR(INDIRECT("'"&amp;$D$17&amp;"'!OpwekPV_2018"),0)
+IFERROR(INDIRECT("'"&amp;$D$18&amp;"'!OpwekPV_2018"),0)
+IFERROR(INDIRECT("'"&amp;$D$19&amp;"'!OpwekPV_2018"),0)
+IFERROR(INDIRECT("'"&amp;$D$20&amp;"'!OpwekPV_2018"),0)
+IFERROR(INDIRECT("'"&amp;$D$21&amp;"'!OpwekPV_2018"),0)
+IFERROR(INDIRECT("'"&amp;$D$22&amp;"'!OpwekPV_2018"),0)
+IFERROR(INDIRECT("'"&amp;$D$23&amp;"'!OpwekPV_2018"),0)
+IFERROR(INDIRECT("'"&amp;$D$24&amp;"'!OpwekPV_2018"),0)
+IFERROR(INDIRECT("'"&amp;$D$25&amp;"'!OpwekPV_2018"),0)
+IFERROR(INDIRECT("'"&amp;$D$26&amp;"'!OpwekPV_2018"),0)
+IFERROR(INDIRECT("'"&amp;$D$27&amp;"'!OpwekPV_2018"),0)
+IFERROR(INDIRECT("'"&amp;$D$28&amp;"'!OpwekPV_2018"),0)
+IFERROR(INDIRECT("'"&amp;$D$29&amp;"'!OpwekPV_2018"),0)
+IFERROR(INDIRECT("'"&amp;$D$30&amp;"'!OpwekPV_2018"),0)
+IFERROR(INDIRECT("'"&amp;$D$31&amp;"'!OpwekPV_2018"),0)
+IFERROR(INDIRECT("'"&amp;$D$32&amp;"'!OpwekPV_2018"),0)
+IFERROR(INDIRECT("'"&amp;$D$33&amp;"'!OpwekPV_2018"),0)
+IFERROR(INDIRECT("'"&amp;$D$34&amp;"'!OpwekPV_2018"),0)
+IFERROR(INDIRECT("'"&amp;$D$35&amp;"'!OpwekPV_2018"),0)
+IFERROR(INDIRECT("'"&amp;$D$36&amp;"'!OpwekPV_2018"),0)
+IFERROR(INDIRECT("'"&amp;$D$37&amp;"'!OpwekPV_2018"),0)
+IFERROR(INDIRECT("'"&amp;$D$38&amp;"'!OpwekPV_2018"),0)
+IFERROR(INDIRECT("'"&amp;$D$39&amp;"'!OpwekPV_2018"),0)
+IFERROR(INDIRECT("'"&amp;$D$40&amp;"'!OpwekPV_2018"),0)
+IFERROR(INDIRECT("'"&amp;$D$41&amp;"'!OpwekPV_2018"),0)
+IFERROR(INDIRECT("'"&amp;$D$42&amp;"'!OpwekPV_2018"),0)
+IFERROR(INDIRECT("'"&amp;$D$43&amp;"'!OpwekPV_2018"),0)
+IFERROR(INDIRECT("'"&amp;$D$44&amp;"'!OpwekPV_2018"),0)
+IFERROR(INDIRECT("'"&amp;$D$45&amp;"'!OpwekPV_2018"),0)
+IFERROR(INDIRECT("'"&amp;$D$46&amp;"'!OpwekPV_2018"),0)
+IFERROR(INDIRECT("'"&amp;$D$47&amp;"'!OpwekPV_2018"),0)
+IFERROR(INDIRECT("'"&amp;$D$48&amp;"'!OpwekPV_2018"),0)
+IFERROR(INDIRECT("'"&amp;$D$49&amp;"'!OpwekPV_2018"),0)
+IFERROR(INDIRECT("'"&amp;$D$50&amp;"'!OpwekPV_2018"),0)
+IFERROR(INDIRECT("'"&amp;$D$51&amp;"'!OpwekPV_2018"),0)
+IFERROR(INDIRECT("'"&amp;$D$52&amp;"'!OpwekPV_2018"),0)
+IFERROR(INDIRECT("'"&amp;$D$53&amp;"'!OpwekPV_2018"),0)
+IFERROR(INDIRECT("'"&amp;$D$54&amp;"'!OpwekPV_2018"),0)</f>
        <v>0</v>
      </c>
      <c r="I37" s="320">
        <f ca="1">+IFERROR(INDIRECT("'"&amp;$D$5&amp;"'!OpwekPV_2019"),0)
+IFERROR(INDIRECT("'"&amp;$D$6&amp;"'!OpwekPV_2019"),0)
+IFERROR(INDIRECT("'"&amp;$D$7&amp;"'!OpwekPV_2019"),0)
+IFERROR(INDIRECT("'"&amp;$D$8&amp;"'!OpwekPV_2019"),0)
+IFERROR(INDIRECT("'"&amp;$D$9&amp;"'!OpwekPV_2019"),0)
+IFERROR(INDIRECT("'"&amp;$D$10&amp;"'!OpwekPV_2019"),0)
+IFERROR(INDIRECT("'"&amp;$D$11&amp;"'!OpwekPV_2019"),0)
+IFERROR(INDIRECT("'"&amp;$D$12&amp;"'!OpwekPV_2019"),0)
+IFERROR(INDIRECT("'"&amp;$D$13&amp;"'!OpwekPV_2019"),0)
+IFERROR(INDIRECT("'"&amp;$D$14&amp;"'!OpwekPV_2019"),0)
+IFERROR(INDIRECT("'"&amp;$D$15&amp;"'!OpwekPV_2019"),0)
+IFERROR(INDIRECT("'"&amp;$D$16&amp;"'!OpwekPV_2019"),0)
+IFERROR(INDIRECT("'"&amp;$D$17&amp;"'!OpwekPV_2019"),0)
+IFERROR(INDIRECT("'"&amp;$D$18&amp;"'!OpwekPV_2019"),0)
+IFERROR(INDIRECT("'"&amp;$D$19&amp;"'!OpwekPV_2019"),0)
+IFERROR(INDIRECT("'"&amp;$D$20&amp;"'!OpwekPV_2019"),0)
+IFERROR(INDIRECT("'"&amp;$D$21&amp;"'!OpwekPV_2019"),0)
+IFERROR(INDIRECT("'"&amp;$D$22&amp;"'!OpwekPV_2019"),0)
+IFERROR(INDIRECT("'"&amp;$D$23&amp;"'!OpwekPV_2019"),0)
+IFERROR(INDIRECT("'"&amp;$D$24&amp;"'!OpwekPV_2019"),0)
+IFERROR(INDIRECT("'"&amp;$D$25&amp;"'!OpwekPV_2019"),0)
+IFERROR(INDIRECT("'"&amp;$D$26&amp;"'!OpwekPV_2019"),0)
+IFERROR(INDIRECT("'"&amp;$D$27&amp;"'!OpwekPV_2019"),0)
+IFERROR(INDIRECT("'"&amp;$D$28&amp;"'!OpwekPV_2019"),0)
+IFERROR(INDIRECT("'"&amp;$D$29&amp;"'!OpwekPV_2019"),0)
+IFERROR(INDIRECT("'"&amp;$D$30&amp;"'!OpwekPV_2019"),0)
+IFERROR(INDIRECT("'"&amp;$D$31&amp;"'!OpwekPV_2019"),0)
+IFERROR(INDIRECT("'"&amp;$D$32&amp;"'!OpwekPV_2019"),0)
+IFERROR(INDIRECT("'"&amp;$D$33&amp;"'!OpwekPV_2019"),0)
+IFERROR(INDIRECT("'"&amp;$D$34&amp;"'!OpwekPV_2019"),0)
+IFERROR(INDIRECT("'"&amp;$D$35&amp;"'!OpwekPV_2019"),0)
+IFERROR(INDIRECT("'"&amp;$D$36&amp;"'!OpwekPV_2019"),0)
+IFERROR(INDIRECT("'"&amp;$D$37&amp;"'!OpwekPV_2019"),0)
+IFERROR(INDIRECT("'"&amp;$D$38&amp;"'!OpwekPV_2019"),0)
+IFERROR(INDIRECT("'"&amp;$D$39&amp;"'!OpwekPV_2019"),0)
+IFERROR(INDIRECT("'"&amp;$D$40&amp;"'!OpwekPV_2019"),0)
+IFERROR(INDIRECT("'"&amp;$D$41&amp;"'!OpwekPV_2019"),0)
+IFERROR(INDIRECT("'"&amp;$D$42&amp;"'!OpwekPV_2019"),0)
+IFERROR(INDIRECT("'"&amp;$D$43&amp;"'!OpwekPV_2019"),0)
+IFERROR(INDIRECT("'"&amp;$D$44&amp;"'!OpwekPV_2019"),0)
+IFERROR(INDIRECT("'"&amp;$D$45&amp;"'!OpwekPV_2019"),0)
+IFERROR(INDIRECT("'"&amp;$D$46&amp;"'!OpwekPV_2019"),0)
+IFERROR(INDIRECT("'"&amp;$D$47&amp;"'!OpwekPV_2019"),0)
+IFERROR(INDIRECT("'"&amp;$D$48&amp;"'!OpwekPV_2019"),0)
+IFERROR(INDIRECT("'"&amp;$D$49&amp;"'!OpwekPV_2019"),0)
+IFERROR(INDIRECT("'"&amp;$D$50&amp;"'!OpwekPV_2019"),0)
+IFERROR(INDIRECT("'"&amp;$D$51&amp;"'!OpwekPV_2019"),0)
+IFERROR(INDIRECT("'"&amp;$D$52&amp;"'!OpwekPV_2019"),0)
+IFERROR(INDIRECT("'"&amp;$D$53&amp;"'!OpwekPV_2019"),0)
+IFERROR(INDIRECT("'"&amp;$D$54&amp;"'!OpwekPV_2019"),0)</f>
        <v>0</v>
      </c>
      <c r="J37" s="320">
        <f ca="1">+IFERROR(INDIRECT("'"&amp;$D$5&amp;"'!OpwekPV_2020"),0)
+IFERROR(INDIRECT("'"&amp;$D$6&amp;"'!OpwekPV_2020"),0)
+IFERROR(INDIRECT("'"&amp;$D$7&amp;"'!OpwekPV_2020"),0)
+IFERROR(INDIRECT("'"&amp;$D$8&amp;"'!OpwekPV_2020"),0)
+IFERROR(INDIRECT("'"&amp;$D$9&amp;"'!OpwekPV_2020"),0)
+IFERROR(INDIRECT("'"&amp;$D$10&amp;"'!OpwekPV_2020"),0)
+IFERROR(INDIRECT("'"&amp;$D$11&amp;"'!OpwekPV_2020"),0)
+IFERROR(INDIRECT("'"&amp;$D$12&amp;"'!OpwekPV_2020"),0)
+IFERROR(INDIRECT("'"&amp;$D$13&amp;"'!OpwekPV_2020"),0)
+IFERROR(INDIRECT("'"&amp;$D$14&amp;"'!OpwekPV_2020"),0)
+IFERROR(INDIRECT("'"&amp;$D$15&amp;"'!OpwekPV_2020"),0)
+IFERROR(INDIRECT("'"&amp;$D$16&amp;"'!OpwekPV_2020"),0)
+IFERROR(INDIRECT("'"&amp;$D$17&amp;"'!OpwekPV_2020"),0)
+IFERROR(INDIRECT("'"&amp;$D$18&amp;"'!OpwekPV_2020"),0)
+IFERROR(INDIRECT("'"&amp;$D$19&amp;"'!OpwekPV_2020"),0)
+IFERROR(INDIRECT("'"&amp;$D$20&amp;"'!OpwekPV_2020"),0)
+IFERROR(INDIRECT("'"&amp;$D$21&amp;"'!OpwekPV_2020"),0)
+IFERROR(INDIRECT("'"&amp;$D$22&amp;"'!OpwekPV_2020"),0)
+IFERROR(INDIRECT("'"&amp;$D$23&amp;"'!OpwekPV_2020"),0)
+IFERROR(INDIRECT("'"&amp;$D$24&amp;"'!OpwekPV_2020"),0)
+IFERROR(INDIRECT("'"&amp;$D$25&amp;"'!OpwekPV_2020"),0)
+IFERROR(INDIRECT("'"&amp;$D$26&amp;"'!OpwekPV_2020"),0)
+IFERROR(INDIRECT("'"&amp;$D$27&amp;"'!OpwekPV_2020"),0)
+IFERROR(INDIRECT("'"&amp;$D$28&amp;"'!OpwekPV_2020"),0)
+IFERROR(INDIRECT("'"&amp;$D$29&amp;"'!OpwekPV_2020"),0)
+IFERROR(INDIRECT("'"&amp;$D$30&amp;"'!OpwekPV_2020"),0)
+IFERROR(INDIRECT("'"&amp;$D$31&amp;"'!OpwekPV_2020"),0)
+IFERROR(INDIRECT("'"&amp;$D$32&amp;"'!OpwekPV_2020"),0)
+IFERROR(INDIRECT("'"&amp;$D$33&amp;"'!OpwekPV_2020"),0)
+IFERROR(INDIRECT("'"&amp;$D$34&amp;"'!OpwekPV_2020"),0)
+IFERROR(INDIRECT("'"&amp;$D$35&amp;"'!OpwekPV_2020"),0)
+IFERROR(INDIRECT("'"&amp;$D$36&amp;"'!OpwekPV_2020"),0)
+IFERROR(INDIRECT("'"&amp;$D$37&amp;"'!OpwekPV_2020"),0)
+IFERROR(INDIRECT("'"&amp;$D$38&amp;"'!OpwekPV_2020"),0)
+IFERROR(INDIRECT("'"&amp;$D$39&amp;"'!OpwekPV_2020"),0)
+IFERROR(INDIRECT("'"&amp;$D$40&amp;"'!OpwekPV_2020"),0)
+IFERROR(INDIRECT("'"&amp;$D$41&amp;"'!OpwekPV_2020"),0)
+IFERROR(INDIRECT("'"&amp;$D$42&amp;"'!OpwekPV_2020"),0)
+IFERROR(INDIRECT("'"&amp;$D$43&amp;"'!OpwekPV_2020"),0)
+IFERROR(INDIRECT("'"&amp;$D$44&amp;"'!OpwekPV_2020"),0)
+IFERROR(INDIRECT("'"&amp;$D$45&amp;"'!OpwekPV_2020"),0)
+IFERROR(INDIRECT("'"&amp;$D$46&amp;"'!OpwekPV_2020"),0)
+IFERROR(INDIRECT("'"&amp;$D$47&amp;"'!OpwekPV_2020"),0)
+IFERROR(INDIRECT("'"&amp;$D$48&amp;"'!OpwekPV_2020"),0)
+IFERROR(INDIRECT("'"&amp;$D$49&amp;"'!OpwekPV_2020"),0)
+IFERROR(INDIRECT("'"&amp;$D$50&amp;"'!OpwekPV_2020"),0)
+IFERROR(INDIRECT("'"&amp;$D$51&amp;"'!OpwekPV_2020"),0)
+IFERROR(INDIRECT("'"&amp;$D$52&amp;"'!OpwekPV_2020"),0)
+IFERROR(INDIRECT("'"&amp;$D$53&amp;"'!OpwekPV_2020"),0)
+IFERROR(INDIRECT("'"&amp;$D$54&amp;"'!OpwekPV_2020"),0)</f>
        <v>0</v>
      </c>
      <c r="K37" s="320">
        <f ca="1">+IFERROR(INDIRECT("'"&amp;$D$5&amp;"'!OpwekPV_2021"),0)
+IFERROR(INDIRECT("'"&amp;$D$6&amp;"'!OpwekPV_2021"),0)
+IFERROR(INDIRECT("'"&amp;$D$7&amp;"'!OpwekPV_2021"),0)
+IFERROR(INDIRECT("'"&amp;$D$8&amp;"'!OpwekPV_2021"),0)
+IFERROR(INDIRECT("'"&amp;$D$9&amp;"'!OpwekPV_2021"),0)
+IFERROR(INDIRECT("'"&amp;$D$10&amp;"'!OpwekPV_2021"),0)
+IFERROR(INDIRECT("'"&amp;$D$11&amp;"'!OpwekPV_2021"),0)
+IFERROR(INDIRECT("'"&amp;$D$12&amp;"'!OpwekPV_2021"),0)
+IFERROR(INDIRECT("'"&amp;$D$13&amp;"'!OpwekPV_2021"),0)
+IFERROR(INDIRECT("'"&amp;$D$14&amp;"'!OpwekPV_2021"),0)
+IFERROR(INDIRECT("'"&amp;$D$15&amp;"'!OpwekPV_2021"),0)
+IFERROR(INDIRECT("'"&amp;$D$16&amp;"'!OpwekPV_2021"),0)
+IFERROR(INDIRECT("'"&amp;$D$17&amp;"'!OpwekPV_2021"),0)
+IFERROR(INDIRECT("'"&amp;$D$18&amp;"'!OpwekPV_2021"),0)
+IFERROR(INDIRECT("'"&amp;$D$19&amp;"'!OpwekPV_2021"),0)
+IFERROR(INDIRECT("'"&amp;$D$20&amp;"'!OpwekPV_2021"),0)
+IFERROR(INDIRECT("'"&amp;$D$21&amp;"'!OpwekPV_2021"),0)
+IFERROR(INDIRECT("'"&amp;$D$22&amp;"'!OpwekPV_2021"),0)
+IFERROR(INDIRECT("'"&amp;$D$23&amp;"'!OpwekPV_2021"),0)
+IFERROR(INDIRECT("'"&amp;$D$24&amp;"'!OpwekPV_2021"),0)
+IFERROR(INDIRECT("'"&amp;$D$25&amp;"'!OpwekPV_2021"),0)
+IFERROR(INDIRECT("'"&amp;$D$26&amp;"'!OpwekPV_2021"),0)
+IFERROR(INDIRECT("'"&amp;$D$27&amp;"'!OpwekPV_2021"),0)
+IFERROR(INDIRECT("'"&amp;$D$28&amp;"'!OpwekPV_2021"),0)
+IFERROR(INDIRECT("'"&amp;$D$29&amp;"'!OpwekPV_2021"),0)
+IFERROR(INDIRECT("'"&amp;$D$30&amp;"'!OpwekPV_2021"),0)
+IFERROR(INDIRECT("'"&amp;$D$31&amp;"'!OpwekPV_2021"),0)
+IFERROR(INDIRECT("'"&amp;$D$32&amp;"'!OpwekPV_2021"),0)
+IFERROR(INDIRECT("'"&amp;$D$33&amp;"'!OpwekPV_2021"),0)
+IFERROR(INDIRECT("'"&amp;$D$34&amp;"'!OpwekPV_2021"),0)
+IFERROR(INDIRECT("'"&amp;$D$35&amp;"'!OpwekPV_2021"),0)
+IFERROR(INDIRECT("'"&amp;$D$36&amp;"'!OpwekPV_2021"),0)
+IFERROR(INDIRECT("'"&amp;$D$37&amp;"'!OpwekPV_2021"),0)
+IFERROR(INDIRECT("'"&amp;$D$38&amp;"'!OpwekPV_2021"),0)
+IFERROR(INDIRECT("'"&amp;$D$39&amp;"'!OpwekPV_2021"),0)
+IFERROR(INDIRECT("'"&amp;$D$40&amp;"'!OpwekPV_2021"),0)
+IFERROR(INDIRECT("'"&amp;$D$41&amp;"'!OpwekPV_2021"),0)
+IFERROR(INDIRECT("'"&amp;$D$42&amp;"'!OpwekPV_2021"),0)
+IFERROR(INDIRECT("'"&amp;$D$43&amp;"'!OpwekPV_2021"),0)
+IFERROR(INDIRECT("'"&amp;$D$44&amp;"'!OpwekPV_2021"),0)
+IFERROR(INDIRECT("'"&amp;$D$45&amp;"'!OpwekPV_2021"),0)
+IFERROR(INDIRECT("'"&amp;$D$46&amp;"'!OpwekPV_2021"),0)
+IFERROR(INDIRECT("'"&amp;$D$47&amp;"'!OpwekPV_2021"),0)
+IFERROR(INDIRECT("'"&amp;$D$48&amp;"'!OpwekPV_2021"),0)
+IFERROR(INDIRECT("'"&amp;$D$49&amp;"'!OpwekPV_2021"),0)
+IFERROR(INDIRECT("'"&amp;$D$50&amp;"'!OpwekPV_2021"),0)
+IFERROR(INDIRECT("'"&amp;$D$51&amp;"'!OpwekPV_2021"),0)
+IFERROR(INDIRECT("'"&amp;$D$52&amp;"'!OpwekPV_2021"),0)
+IFERROR(INDIRECT("'"&amp;$D$53&amp;"'!OpwekPV_2021"),0)
+IFERROR(INDIRECT("'"&amp;$D$54&amp;"'!OpwekPV_2021"),0)</f>
        <v>0</v>
      </c>
      <c r="L37" s="320">
        <f ca="1">+IFERROR(INDIRECT("'"&amp;$D$5&amp;"'!OpwekPV_2022"),0)
+IFERROR(INDIRECT("'"&amp;$D$6&amp;"'!OpwekPV_2022"),0)
+IFERROR(INDIRECT("'"&amp;$D$7&amp;"'!OpwekPV_2022"),0)
+IFERROR(INDIRECT("'"&amp;$D$8&amp;"'!OpwekPV_2022"),0)
+IFERROR(INDIRECT("'"&amp;$D$9&amp;"'!OpwekPV_2022"),0)
+IFERROR(INDIRECT("'"&amp;$D$10&amp;"'!OpwekPV_2022"),0)
+IFERROR(INDIRECT("'"&amp;$D$11&amp;"'!OpwekPV_2022"),0)
+IFERROR(INDIRECT("'"&amp;$D$12&amp;"'!OpwekPV_2022"),0)
+IFERROR(INDIRECT("'"&amp;$D$13&amp;"'!OpwekPV_2022"),0)
+IFERROR(INDIRECT("'"&amp;$D$14&amp;"'!OpwekPV_2022"),0)
+IFERROR(INDIRECT("'"&amp;$D$15&amp;"'!OpwekPV_2022"),0)
+IFERROR(INDIRECT("'"&amp;$D$16&amp;"'!OpwekPV_2022"),0)
+IFERROR(INDIRECT("'"&amp;$D$17&amp;"'!OpwekPV_2022"),0)
+IFERROR(INDIRECT("'"&amp;$D$18&amp;"'!OpwekPV_2022"),0)
+IFERROR(INDIRECT("'"&amp;$D$19&amp;"'!OpwekPV_2022"),0)
+IFERROR(INDIRECT("'"&amp;$D$20&amp;"'!OpwekPV_2022"),0)
+IFERROR(INDIRECT("'"&amp;$D$21&amp;"'!OpwekPV_2022"),0)
+IFERROR(INDIRECT("'"&amp;$D$22&amp;"'!OpwekPV_2022"),0)
+IFERROR(INDIRECT("'"&amp;$D$23&amp;"'!OpwekPV_2022"),0)
+IFERROR(INDIRECT("'"&amp;$D$24&amp;"'!OpwekPV_2022"),0)
+IFERROR(INDIRECT("'"&amp;$D$25&amp;"'!OpwekPV_2022"),0)
+IFERROR(INDIRECT("'"&amp;$D$26&amp;"'!OpwekPV_2022"),0)
+IFERROR(INDIRECT("'"&amp;$D$27&amp;"'!OpwekPV_2022"),0)
+IFERROR(INDIRECT("'"&amp;$D$28&amp;"'!OpwekPV_2022"),0)
+IFERROR(INDIRECT("'"&amp;$D$29&amp;"'!OpwekPV_2022"),0)
+IFERROR(INDIRECT("'"&amp;$D$30&amp;"'!OpwekPV_2022"),0)
+IFERROR(INDIRECT("'"&amp;$D$31&amp;"'!OpwekPV_2022"),0)
+IFERROR(INDIRECT("'"&amp;$D$32&amp;"'!OpwekPV_2022"),0)
+IFERROR(INDIRECT("'"&amp;$D$33&amp;"'!OpwekPV_2022"),0)
+IFERROR(INDIRECT("'"&amp;$D$34&amp;"'!OpwekPV_2022"),0)
+IFERROR(INDIRECT("'"&amp;$D$35&amp;"'!OpwekPV_2022"),0)
+IFERROR(INDIRECT("'"&amp;$D$36&amp;"'!OpwekPV_2022"),0)
+IFERROR(INDIRECT("'"&amp;$D$37&amp;"'!OpwekPV_2022"),0)
+IFERROR(INDIRECT("'"&amp;$D$38&amp;"'!OpwekPV_2022"),0)
+IFERROR(INDIRECT("'"&amp;$D$39&amp;"'!OpwekPV_2022"),0)
+IFERROR(INDIRECT("'"&amp;$D$40&amp;"'!OpwekPV_2022"),0)
+IFERROR(INDIRECT("'"&amp;$D$41&amp;"'!OpwekPV_2022"),0)
+IFERROR(INDIRECT("'"&amp;$D$42&amp;"'!OpwekPV_2022"),0)
+IFERROR(INDIRECT("'"&amp;$D$43&amp;"'!OpwekPV_2022"),0)
+IFERROR(INDIRECT("'"&amp;$D$44&amp;"'!OpwekPV_2022"),0)
+IFERROR(INDIRECT("'"&amp;$D$45&amp;"'!OpwekPV_2022"),0)
+IFERROR(INDIRECT("'"&amp;$D$46&amp;"'!OpwekPV_2022"),0)
+IFERROR(INDIRECT("'"&amp;$D$47&amp;"'!OpwekPV_2022"),0)
+IFERROR(INDIRECT("'"&amp;$D$48&amp;"'!OpwekPV_2022"),0)
+IFERROR(INDIRECT("'"&amp;$D$49&amp;"'!OpwekPV_2022"),0)
+IFERROR(INDIRECT("'"&amp;$D$50&amp;"'!OpwekPV_2022"),0)
+IFERROR(INDIRECT("'"&amp;$D$51&amp;"'!OpwekPV_2022"),0)
+IFERROR(INDIRECT("'"&amp;$D$52&amp;"'!OpwekPV_2022"),0)
+IFERROR(INDIRECT("'"&amp;$D$53&amp;"'!OpwekPV_2022"),0)
+IFERROR(INDIRECT("'"&amp;$D$54&amp;"'!OpwekPV_2022"),0)</f>
        <v>0</v>
      </c>
      <c r="M37" s="320">
        <f ca="1">+IFERROR(INDIRECT("'"&amp;$D$5&amp;"'!OpwekPV_2023"),0)
+IFERROR(INDIRECT("'"&amp;$D$6&amp;"'!OpwekPV_2023"),0)
+IFERROR(INDIRECT("'"&amp;$D$7&amp;"'!OpwekPV_2023"),0)
+IFERROR(INDIRECT("'"&amp;$D$8&amp;"'!OpwekPV_2023"),0)
+IFERROR(INDIRECT("'"&amp;$D$9&amp;"'!OpwekPV_2023"),0)
+IFERROR(INDIRECT("'"&amp;$D$10&amp;"'!OpwekPV_2023"),0)
+IFERROR(INDIRECT("'"&amp;$D$11&amp;"'!OpwekPV_2023"),0)
+IFERROR(INDIRECT("'"&amp;$D$12&amp;"'!OpwekPV_2023"),0)
+IFERROR(INDIRECT("'"&amp;$D$13&amp;"'!OpwekPV_2023"),0)
+IFERROR(INDIRECT("'"&amp;$D$14&amp;"'!OpwekPV_2023"),0)
+IFERROR(INDIRECT("'"&amp;$D$15&amp;"'!OpwekPV_2023"),0)
+IFERROR(INDIRECT("'"&amp;$D$16&amp;"'!OpwekPV_2023"),0)
+IFERROR(INDIRECT("'"&amp;$D$17&amp;"'!OpwekPV_2023"),0)
+IFERROR(INDIRECT("'"&amp;$D$18&amp;"'!OpwekPV_2023"),0)
+IFERROR(INDIRECT("'"&amp;$D$19&amp;"'!OpwekPV_2023"),0)
+IFERROR(INDIRECT("'"&amp;$D$20&amp;"'!OpwekPV_2023"),0)
+IFERROR(INDIRECT("'"&amp;$D$21&amp;"'!OpwekPV_2023"),0)
+IFERROR(INDIRECT("'"&amp;$D$22&amp;"'!OpwekPV_2023"),0)
+IFERROR(INDIRECT("'"&amp;$D$23&amp;"'!OpwekPV_2023"),0)
+IFERROR(INDIRECT("'"&amp;$D$24&amp;"'!OpwekPV_2023"),0)
+IFERROR(INDIRECT("'"&amp;$D$25&amp;"'!OpwekPV_2023"),0)
+IFERROR(INDIRECT("'"&amp;$D$26&amp;"'!OpwekPV_2023"),0)
+IFERROR(INDIRECT("'"&amp;$D$27&amp;"'!OpwekPV_2023"),0)
+IFERROR(INDIRECT("'"&amp;$D$28&amp;"'!OpwekPV_2023"),0)
+IFERROR(INDIRECT("'"&amp;$D$29&amp;"'!OpwekPV_2023"),0)
+IFERROR(INDIRECT("'"&amp;$D$30&amp;"'!OpwekPV_2023"),0)
+IFERROR(INDIRECT("'"&amp;$D$31&amp;"'!OpwekPV_2023"),0)
+IFERROR(INDIRECT("'"&amp;$D$32&amp;"'!OpwekPV_2023"),0)
+IFERROR(INDIRECT("'"&amp;$D$33&amp;"'!OpwekPV_2023"),0)
+IFERROR(INDIRECT("'"&amp;$D$34&amp;"'!OpwekPV_2023"),0)
+IFERROR(INDIRECT("'"&amp;$D$35&amp;"'!OpwekPV_2023"),0)
+IFERROR(INDIRECT("'"&amp;$D$36&amp;"'!OpwekPV_2023"),0)
+IFERROR(INDIRECT("'"&amp;$D$37&amp;"'!OpwekPV_2023"),0)
+IFERROR(INDIRECT("'"&amp;$D$38&amp;"'!OpwekPV_2023"),0)
+IFERROR(INDIRECT("'"&amp;$D$39&amp;"'!OpwekPV_2023"),0)
+IFERROR(INDIRECT("'"&amp;$D$40&amp;"'!OpwekPV_2023"),0)
+IFERROR(INDIRECT("'"&amp;$D$41&amp;"'!OpwekPV_2023"),0)
+IFERROR(INDIRECT("'"&amp;$D$42&amp;"'!OpwekPV_2023"),0)
+IFERROR(INDIRECT("'"&amp;$D$43&amp;"'!OpwekPV_2023"),0)
+IFERROR(INDIRECT("'"&amp;$D$44&amp;"'!OpwekPV_2023"),0)
+IFERROR(INDIRECT("'"&amp;$D$45&amp;"'!OpwekPV_2023"),0)
+IFERROR(INDIRECT("'"&amp;$D$46&amp;"'!OpwekPV_2023"),0)
+IFERROR(INDIRECT("'"&amp;$D$47&amp;"'!OpwekPV_2023"),0)
+IFERROR(INDIRECT("'"&amp;$D$48&amp;"'!OpwekPV_2023"),0)
+IFERROR(INDIRECT("'"&amp;$D$49&amp;"'!OpwekPV_2023"),0)
+IFERROR(INDIRECT("'"&amp;$D$50&amp;"'!OpwekPV_2023"),0)
+IFERROR(INDIRECT("'"&amp;$D$51&amp;"'!OpwekPV_2023"),0)
+IFERROR(INDIRECT("'"&amp;$D$52&amp;"'!OpwekPV_2023"),0)
+IFERROR(INDIRECT("'"&amp;$D$53&amp;"'!OpwekPV_2023"),0)
+IFERROR(INDIRECT("'"&amp;$D$54&amp;"'!OpwekPV_2023"),0)</f>
        <v>383377.51599999995</v>
      </c>
      <c r="N37" s="320">
        <f ca="1">+IFERROR(INDIRECT("'"&amp;$D$5&amp;"'!OpwekPV_2024"),0)
+IFERROR(INDIRECT("'"&amp;$D$6&amp;"'!OpwekPV_2024"),0)
+IFERROR(INDIRECT("'"&amp;$D$7&amp;"'!OpwekPV_2024"),0)
+IFERROR(INDIRECT("'"&amp;$D$8&amp;"'!OpwekPV_2024"),0)
+IFERROR(INDIRECT("'"&amp;$D$9&amp;"'!OpwekPV_2024"),0)
+IFERROR(INDIRECT("'"&amp;$D$10&amp;"'!OpwekPV_2024"),0)
+IFERROR(INDIRECT("'"&amp;$D$11&amp;"'!OpwekPV_2024"),0)
+IFERROR(INDIRECT("'"&amp;$D$12&amp;"'!OpwekPV_2024"),0)
+IFERROR(INDIRECT("'"&amp;$D$13&amp;"'!OpwekPV_2024"),0)
+IFERROR(INDIRECT("'"&amp;$D$14&amp;"'!OpwekPV_2024"),0)
+IFERROR(INDIRECT("'"&amp;$D$15&amp;"'!OpwekPV_2024"),0)
+IFERROR(INDIRECT("'"&amp;$D$16&amp;"'!OpwekPV_2024"),0)
+IFERROR(INDIRECT("'"&amp;$D$17&amp;"'!OpwekPV_2024"),0)
+IFERROR(INDIRECT("'"&amp;$D$18&amp;"'!OpwekPV_2024"),0)
+IFERROR(INDIRECT("'"&amp;$D$19&amp;"'!OpwekPV_2024"),0)
+IFERROR(INDIRECT("'"&amp;$D$20&amp;"'!OpwekPV_2024"),0)
+IFERROR(INDIRECT("'"&amp;$D$21&amp;"'!OpwekPV_2024"),0)
+IFERROR(INDIRECT("'"&amp;$D$22&amp;"'!OpwekPV_2024"),0)
+IFERROR(INDIRECT("'"&amp;$D$23&amp;"'!OpwekPV_2024"),0)
+IFERROR(INDIRECT("'"&amp;$D$24&amp;"'!OpwekPV_2024"),0)
+IFERROR(INDIRECT("'"&amp;$D$25&amp;"'!OpwekPV_2024"),0)
+IFERROR(INDIRECT("'"&amp;$D$26&amp;"'!OpwekPV_2024"),0)
+IFERROR(INDIRECT("'"&amp;$D$27&amp;"'!OpwekPV_2024"),0)
+IFERROR(INDIRECT("'"&amp;$D$28&amp;"'!OpwekPV_2024"),0)
+IFERROR(INDIRECT("'"&amp;$D$29&amp;"'!OpwekPV_2024"),0)
+IFERROR(INDIRECT("'"&amp;$D$30&amp;"'!OpwekPV_2024"),0)
+IFERROR(INDIRECT("'"&amp;$D$31&amp;"'!OpwekPV_2024"),0)
+IFERROR(INDIRECT("'"&amp;$D$32&amp;"'!OpwekPV_2024"),0)
+IFERROR(INDIRECT("'"&amp;$D$33&amp;"'!OpwekPV_2024"),0)
+IFERROR(INDIRECT("'"&amp;$D$34&amp;"'!OpwekPV_2024"),0)
+IFERROR(INDIRECT("'"&amp;$D$35&amp;"'!OpwekPV_2024"),0)
+IFERROR(INDIRECT("'"&amp;$D$36&amp;"'!OpwekPV_2024"),0)
+IFERROR(INDIRECT("'"&amp;$D$37&amp;"'!OpwekPV_2024"),0)
+IFERROR(INDIRECT("'"&amp;$D$38&amp;"'!OpwekPV_2024"),0)
+IFERROR(INDIRECT("'"&amp;$D$39&amp;"'!OpwekPV_2024"),0)
+IFERROR(INDIRECT("'"&amp;$D$40&amp;"'!OpwekPV_2024"),0)
+IFERROR(INDIRECT("'"&amp;$D$41&amp;"'!OpwekPV_2024"),0)
+IFERROR(INDIRECT("'"&amp;$D$42&amp;"'!OpwekPV_2024"),0)
+IFERROR(INDIRECT("'"&amp;$D$43&amp;"'!OpwekPV_2024"),0)
+IFERROR(INDIRECT("'"&amp;$D$44&amp;"'!OpwekPV_2024"),0)
+IFERROR(INDIRECT("'"&amp;$D$45&amp;"'!OpwekPV_2024"),0)
+IFERROR(INDIRECT("'"&amp;$D$46&amp;"'!OpwekPV_2024"),0)
+IFERROR(INDIRECT("'"&amp;$D$47&amp;"'!OpwekPV_2024"),0)
+IFERROR(INDIRECT("'"&amp;$D$48&amp;"'!OpwekPV_2024"),0)
+IFERROR(INDIRECT("'"&amp;$D$49&amp;"'!OpwekPV_2024"),0)
+IFERROR(INDIRECT("'"&amp;$D$50&amp;"'!OpwekPV_2024"),0)
+IFERROR(INDIRECT("'"&amp;$D$51&amp;"'!OpwekPV_2024"),0)
+IFERROR(INDIRECT("'"&amp;$D$52&amp;"'!OpwekPV_2024"),0)
+IFERROR(INDIRECT("'"&amp;$D$53&amp;"'!OpwekPV_2024"),0)
+IFERROR(INDIRECT("'"&amp;$D$54&amp;"'!OpwekPV_2024"),0)</f>
        <v>383377.51599999995</v>
      </c>
      <c r="O37" s="320">
        <f ca="1">+IFERROR(INDIRECT("'"&amp;$D$5&amp;"'!OpwekPV_2025"),0)
+IFERROR(INDIRECT("'"&amp;$D$6&amp;"'!OpwekPV_2025"),0)
+IFERROR(INDIRECT("'"&amp;$D$7&amp;"'!OpwekPV_2025"),0)
+IFERROR(INDIRECT("'"&amp;$D$8&amp;"'!OpwekPV_2025"),0)
+IFERROR(INDIRECT("'"&amp;$D$9&amp;"'!OpwekPV_2025"),0)
+IFERROR(INDIRECT("'"&amp;$D$10&amp;"'!OpwekPV_2025"),0)
+IFERROR(INDIRECT("'"&amp;$D$11&amp;"'!OpwekPV_2025"),0)
+IFERROR(INDIRECT("'"&amp;$D$12&amp;"'!OpwekPV_2025"),0)
+IFERROR(INDIRECT("'"&amp;$D$13&amp;"'!OpwekPV_2025"),0)
+IFERROR(INDIRECT("'"&amp;$D$14&amp;"'!OpwekPV_2025"),0)
+IFERROR(INDIRECT("'"&amp;$D$15&amp;"'!OpwekPV_2025"),0)
+IFERROR(INDIRECT("'"&amp;$D$16&amp;"'!OpwekPV_2025"),0)
+IFERROR(INDIRECT("'"&amp;$D$17&amp;"'!OpwekPV_2025"),0)
+IFERROR(INDIRECT("'"&amp;$D$18&amp;"'!OpwekPV_2025"),0)
+IFERROR(INDIRECT("'"&amp;$D$19&amp;"'!OpwekPV_2025"),0)
+IFERROR(INDIRECT("'"&amp;$D$20&amp;"'!OpwekPV_2025"),0)
+IFERROR(INDIRECT("'"&amp;$D$21&amp;"'!OpwekPV_2025"),0)
+IFERROR(INDIRECT("'"&amp;$D$22&amp;"'!OpwekPV_2025"),0)
+IFERROR(INDIRECT("'"&amp;$D$23&amp;"'!OpwekPV_2025"),0)
+IFERROR(INDIRECT("'"&amp;$D$24&amp;"'!OpwekPV_2025"),0)
+IFERROR(INDIRECT("'"&amp;$D$25&amp;"'!OpwekPV_2025"),0)
+IFERROR(INDIRECT("'"&amp;$D$26&amp;"'!OpwekPV_2025"),0)
+IFERROR(INDIRECT("'"&amp;$D$27&amp;"'!OpwekPV_2025"),0)
+IFERROR(INDIRECT("'"&amp;$D$28&amp;"'!OpwekPV_2025"),0)
+IFERROR(INDIRECT("'"&amp;$D$29&amp;"'!OpwekPV_2025"),0)
+IFERROR(INDIRECT("'"&amp;$D$30&amp;"'!OpwekPV_2025"),0)
+IFERROR(INDIRECT("'"&amp;$D$31&amp;"'!OpwekPV_2025"),0)
+IFERROR(INDIRECT("'"&amp;$D$32&amp;"'!OpwekPV_2025"),0)
+IFERROR(INDIRECT("'"&amp;$D$33&amp;"'!OpwekPV_2025"),0)
+IFERROR(INDIRECT("'"&amp;$D$34&amp;"'!OpwekPV_2025"),0)
+IFERROR(INDIRECT("'"&amp;$D$35&amp;"'!OpwekPV_2025"),0)
+IFERROR(INDIRECT("'"&amp;$D$36&amp;"'!OpwekPV_2025"),0)
+IFERROR(INDIRECT("'"&amp;$D$37&amp;"'!OpwekPV_2025"),0)
+IFERROR(INDIRECT("'"&amp;$D$38&amp;"'!OpwekPV_2025"),0)
+IFERROR(INDIRECT("'"&amp;$D$39&amp;"'!OpwekPV_2025"),0)
+IFERROR(INDIRECT("'"&amp;$D$40&amp;"'!OpwekPV_2025"),0)
+IFERROR(INDIRECT("'"&amp;$D$41&amp;"'!OpwekPV_2025"),0)
+IFERROR(INDIRECT("'"&amp;$D$42&amp;"'!OpwekPV_2025"),0)
+IFERROR(INDIRECT("'"&amp;$D$43&amp;"'!OpwekPV_2025"),0)
+IFERROR(INDIRECT("'"&amp;$D$44&amp;"'!OpwekPV_2025"),0)
+IFERROR(INDIRECT("'"&amp;$D$45&amp;"'!OpwekPV_2025"),0)
+IFERROR(INDIRECT("'"&amp;$D$46&amp;"'!OpwekPV_2025"),0)
+IFERROR(INDIRECT("'"&amp;$D$47&amp;"'!OpwekPV_2025"),0)
+IFERROR(INDIRECT("'"&amp;$D$48&amp;"'!OpwekPV_2025"),0)
+IFERROR(INDIRECT("'"&amp;$D$49&amp;"'!OpwekPV_2025"),0)
+IFERROR(INDIRECT("'"&amp;$D$50&amp;"'!OpwekPV_2025"),0)
+IFERROR(INDIRECT("'"&amp;$D$51&amp;"'!OpwekPV_2025"),0)
+IFERROR(INDIRECT("'"&amp;$D$52&amp;"'!OpwekPV_2025"),0)
+IFERROR(INDIRECT("'"&amp;$D$53&amp;"'!OpwekPV_2025"),0)
+IFERROR(INDIRECT("'"&amp;$D$54&amp;"'!OpwekPV_2025"),0)</f>
        <v>497690.451</v>
      </c>
      <c r="P37" s="320">
        <f ca="1">+IFERROR(INDIRECT("'"&amp;$D$5&amp;"'!OpwekPV_2026"),0)
+IFERROR(INDIRECT("'"&amp;$D$6&amp;"'!OpwekPV_2026"),0)
+IFERROR(INDIRECT("'"&amp;$D$7&amp;"'!OpwekPV_2026"),0)
+IFERROR(INDIRECT("'"&amp;$D$8&amp;"'!OpwekPV_2026"),0)
+IFERROR(INDIRECT("'"&amp;$D$9&amp;"'!OpwekPV_2026"),0)
+IFERROR(INDIRECT("'"&amp;$D$10&amp;"'!OpwekPV_2026"),0)
+IFERROR(INDIRECT("'"&amp;$D$11&amp;"'!OpwekPV_2026"),0)
+IFERROR(INDIRECT("'"&amp;$D$12&amp;"'!OpwekPV_2026"),0)
+IFERROR(INDIRECT("'"&amp;$D$13&amp;"'!OpwekPV_2026"),0)
+IFERROR(INDIRECT("'"&amp;$D$14&amp;"'!OpwekPV_2026"),0)
+IFERROR(INDIRECT("'"&amp;$D$15&amp;"'!OpwekPV_2026"),0)
+IFERROR(INDIRECT("'"&amp;$D$16&amp;"'!OpwekPV_2026"),0)
+IFERROR(INDIRECT("'"&amp;$D$17&amp;"'!OpwekPV_2026"),0)
+IFERROR(INDIRECT("'"&amp;$D$18&amp;"'!OpwekPV_2026"),0)
+IFERROR(INDIRECT("'"&amp;$D$19&amp;"'!OpwekPV_2026"),0)
+IFERROR(INDIRECT("'"&amp;$D$20&amp;"'!OpwekPV_2026"),0)
+IFERROR(INDIRECT("'"&amp;$D$21&amp;"'!OpwekPV_2026"),0)
+IFERROR(INDIRECT("'"&amp;$D$22&amp;"'!OpwekPV_2026"),0)
+IFERROR(INDIRECT("'"&amp;$D$23&amp;"'!OpwekPV_2026"),0)
+IFERROR(INDIRECT("'"&amp;$D$24&amp;"'!OpwekPV_2026"),0)
+IFERROR(INDIRECT("'"&amp;$D$25&amp;"'!OpwekPV_2026"),0)
+IFERROR(INDIRECT("'"&amp;$D$26&amp;"'!OpwekPV_2026"),0)
+IFERROR(INDIRECT("'"&amp;$D$27&amp;"'!OpwekPV_2026"),0)
+IFERROR(INDIRECT("'"&amp;$D$28&amp;"'!OpwekPV_2026"),0)
+IFERROR(INDIRECT("'"&amp;$D$29&amp;"'!OpwekPV_2026"),0)
+IFERROR(INDIRECT("'"&amp;$D$30&amp;"'!OpwekPV_2026"),0)
+IFERROR(INDIRECT("'"&amp;$D$31&amp;"'!OpwekPV_2026"),0)
+IFERROR(INDIRECT("'"&amp;$D$32&amp;"'!OpwekPV_2026"),0)
+IFERROR(INDIRECT("'"&amp;$D$33&amp;"'!OpwekPV_2026"),0)
+IFERROR(INDIRECT("'"&amp;$D$34&amp;"'!OpwekPV_2026"),0)
+IFERROR(INDIRECT("'"&amp;$D$35&amp;"'!OpwekPV_2026"),0)
+IFERROR(INDIRECT("'"&amp;$D$36&amp;"'!OpwekPV_2026"),0)
+IFERROR(INDIRECT("'"&amp;$D$37&amp;"'!OpwekPV_2026"),0)
+IFERROR(INDIRECT("'"&amp;$D$38&amp;"'!OpwekPV_2026"),0)
+IFERROR(INDIRECT("'"&amp;$D$39&amp;"'!OpwekPV_2026"),0)
+IFERROR(INDIRECT("'"&amp;$D$40&amp;"'!OpwekPV_2026"),0)
+IFERROR(INDIRECT("'"&amp;$D$41&amp;"'!OpwekPV_2026"),0)
+IFERROR(INDIRECT("'"&amp;$D$42&amp;"'!OpwekPV_2026"),0)
+IFERROR(INDIRECT("'"&amp;$D$43&amp;"'!OpwekPV_2026"),0)
+IFERROR(INDIRECT("'"&amp;$D$44&amp;"'!OpwekPV_2026"),0)
+IFERROR(INDIRECT("'"&amp;$D$45&amp;"'!OpwekPV_2026"),0)
+IFERROR(INDIRECT("'"&amp;$D$46&amp;"'!OpwekPV_2026"),0)
+IFERROR(INDIRECT("'"&amp;$D$47&amp;"'!OpwekPV_2026"),0)
+IFERROR(INDIRECT("'"&amp;$D$48&amp;"'!OpwekPV_2026"),0)
+IFERROR(INDIRECT("'"&amp;$D$49&amp;"'!OpwekPV_2026"),0)
+IFERROR(INDIRECT("'"&amp;$D$50&amp;"'!OpwekPV_2026"),0)
+IFERROR(INDIRECT("'"&amp;$D$51&amp;"'!OpwekPV_2026"),0)
+IFERROR(INDIRECT("'"&amp;$D$52&amp;"'!OpwekPV_2026"),0)
+IFERROR(INDIRECT("'"&amp;$D$53&amp;"'!OpwekPV_2026"),0)
+IFERROR(INDIRECT("'"&amp;$D$54&amp;"'!OpwekPV_2026"),0)</f>
        <v>497690.451</v>
      </c>
      <c r="Q37" s="320">
        <f ca="1">+IFERROR(INDIRECT("'"&amp;$D$5&amp;"'!OpwekPV_2027"),0)
+IFERROR(INDIRECT("'"&amp;$D$6&amp;"'!OpwekPV_2027"),0)
+IFERROR(INDIRECT("'"&amp;$D$7&amp;"'!OpwekPV_2027"),0)
+IFERROR(INDIRECT("'"&amp;$D$8&amp;"'!OpwekPV_2027"),0)
+IFERROR(INDIRECT("'"&amp;$D$9&amp;"'!OpwekPV_2027"),0)
+IFERROR(INDIRECT("'"&amp;$D$10&amp;"'!OpwekPV_2027"),0)
+IFERROR(INDIRECT("'"&amp;$D$11&amp;"'!OpwekPV_2027"),0)
+IFERROR(INDIRECT("'"&amp;$D$12&amp;"'!OpwekPV_2027"),0)
+IFERROR(INDIRECT("'"&amp;$D$13&amp;"'!OpwekPV_2027"),0)
+IFERROR(INDIRECT("'"&amp;$D$14&amp;"'!OpwekPV_2027"),0)
+IFERROR(INDIRECT("'"&amp;$D$15&amp;"'!OpwekPV_2027"),0)
+IFERROR(INDIRECT("'"&amp;$D$16&amp;"'!OpwekPV_2027"),0)
+IFERROR(INDIRECT("'"&amp;$D$17&amp;"'!OpwekPV_2027"),0)
+IFERROR(INDIRECT("'"&amp;$D$18&amp;"'!OpwekPV_2027"),0)
+IFERROR(INDIRECT("'"&amp;$D$19&amp;"'!OpwekPV_2027"),0)
+IFERROR(INDIRECT("'"&amp;$D$20&amp;"'!OpwekPV_2027"),0)
+IFERROR(INDIRECT("'"&amp;$D$21&amp;"'!OpwekPV_2027"),0)
+IFERROR(INDIRECT("'"&amp;$D$22&amp;"'!OpwekPV_2027"),0)
+IFERROR(INDIRECT("'"&amp;$D$23&amp;"'!OpwekPV_2027"),0)
+IFERROR(INDIRECT("'"&amp;$D$24&amp;"'!OpwekPV_2027"),0)
+IFERROR(INDIRECT("'"&amp;$D$25&amp;"'!OpwekPV_2027"),0)
+IFERROR(INDIRECT("'"&amp;$D$26&amp;"'!OpwekPV_2027"),0)
+IFERROR(INDIRECT("'"&amp;$D$27&amp;"'!OpwekPV_2027"),0)
+IFERROR(INDIRECT("'"&amp;$D$28&amp;"'!OpwekPV_2027"),0)
+IFERROR(INDIRECT("'"&amp;$D$29&amp;"'!OpwekPV_2027"),0)
+IFERROR(INDIRECT("'"&amp;$D$30&amp;"'!OpwekPV_2027"),0)
+IFERROR(INDIRECT("'"&amp;$D$31&amp;"'!OpwekPV_2027"),0)
+IFERROR(INDIRECT("'"&amp;$D$32&amp;"'!OpwekPV_2027"),0)
+IFERROR(INDIRECT("'"&amp;$D$33&amp;"'!OpwekPV_2027"),0)
+IFERROR(INDIRECT("'"&amp;$D$34&amp;"'!OpwekPV_2027"),0)
+IFERROR(INDIRECT("'"&amp;$D$35&amp;"'!OpwekPV_2027"),0)
+IFERROR(INDIRECT("'"&amp;$D$36&amp;"'!OpwekPV_2027"),0)
+IFERROR(INDIRECT("'"&amp;$D$37&amp;"'!OpwekPV_2027"),0)
+IFERROR(INDIRECT("'"&amp;$D$38&amp;"'!OpwekPV_2027"),0)
+IFERROR(INDIRECT("'"&amp;$D$39&amp;"'!OpwekPV_2027"),0)
+IFERROR(INDIRECT("'"&amp;$D$40&amp;"'!OpwekPV_2027"),0)
+IFERROR(INDIRECT("'"&amp;$D$41&amp;"'!OpwekPV_2027"),0)
+IFERROR(INDIRECT("'"&amp;$D$42&amp;"'!OpwekPV_2027"),0)
+IFERROR(INDIRECT("'"&amp;$D$43&amp;"'!OpwekPV_2027"),0)
+IFERROR(INDIRECT("'"&amp;$D$44&amp;"'!OpwekPV_2027"),0)
+IFERROR(INDIRECT("'"&amp;$D$45&amp;"'!OpwekPV_2027"),0)
+IFERROR(INDIRECT("'"&amp;$D$46&amp;"'!OpwekPV_2027"),0)
+IFERROR(INDIRECT("'"&amp;$D$47&amp;"'!OpwekPV_2027"),0)
+IFERROR(INDIRECT("'"&amp;$D$48&amp;"'!OpwekPV_2027"),0)
+IFERROR(INDIRECT("'"&amp;$D$49&amp;"'!OpwekPV_2027"),0)
+IFERROR(INDIRECT("'"&amp;$D$50&amp;"'!OpwekPV_2027"),0)
+IFERROR(INDIRECT("'"&amp;$D$51&amp;"'!OpwekPV_2027"),0)
+IFERROR(INDIRECT("'"&amp;$D$52&amp;"'!OpwekPV_2027"),0)
+IFERROR(INDIRECT("'"&amp;$D$53&amp;"'!OpwekPV_2027"),0)
+IFERROR(INDIRECT("'"&amp;$D$54&amp;"'!OpwekPV_2027"),0)</f>
        <v>245860.19099999999</v>
      </c>
      <c r="R37" s="320">
        <f ca="1">+IFERROR(INDIRECT("'"&amp;$D$5&amp;"'!OpwekPV_2028"),0)
+IFERROR(INDIRECT("'"&amp;$D$6&amp;"'!OpwekPV_2028"),0)
+IFERROR(INDIRECT("'"&amp;$D$7&amp;"'!OpwekPV_2028"),0)
+IFERROR(INDIRECT("'"&amp;$D$8&amp;"'!OpwekPV_2028"),0)
+IFERROR(INDIRECT("'"&amp;$D$9&amp;"'!OpwekPV_2028"),0)
+IFERROR(INDIRECT("'"&amp;$D$10&amp;"'!OpwekPV_2028"),0)
+IFERROR(INDIRECT("'"&amp;$D$11&amp;"'!OpwekPV_2028"),0)
+IFERROR(INDIRECT("'"&amp;$D$12&amp;"'!OpwekPV_2028"),0)
+IFERROR(INDIRECT("'"&amp;$D$13&amp;"'!OpwekPV_2028"),0)
+IFERROR(INDIRECT("'"&amp;$D$14&amp;"'!OpwekPV_2028"),0)
+IFERROR(INDIRECT("'"&amp;$D$15&amp;"'!OpwekPV_2028"),0)
+IFERROR(INDIRECT("'"&amp;$D$16&amp;"'!OpwekPV_2028"),0)
+IFERROR(INDIRECT("'"&amp;$D$17&amp;"'!OpwekPV_2028"),0)
+IFERROR(INDIRECT("'"&amp;$D$18&amp;"'!OpwekPV_2028"),0)
+IFERROR(INDIRECT("'"&amp;$D$19&amp;"'!OpwekPV_2028"),0)
+IFERROR(INDIRECT("'"&amp;$D$20&amp;"'!OpwekPV_2028"),0)
+IFERROR(INDIRECT("'"&amp;$D$21&amp;"'!OpwekPV_2028"),0)
+IFERROR(INDIRECT("'"&amp;$D$22&amp;"'!OpwekPV_2028"),0)
+IFERROR(INDIRECT("'"&amp;$D$23&amp;"'!OpwekPV_2028"),0)
+IFERROR(INDIRECT("'"&amp;$D$24&amp;"'!OpwekPV_2028"),0)
+IFERROR(INDIRECT("'"&amp;$D$25&amp;"'!OpwekPV_2028"),0)
+IFERROR(INDIRECT("'"&amp;$D$26&amp;"'!OpwekPV_2028"),0)
+IFERROR(INDIRECT("'"&amp;$D$27&amp;"'!OpwekPV_2028"),0)
+IFERROR(INDIRECT("'"&amp;$D$28&amp;"'!OpwekPV_2028"),0)
+IFERROR(INDIRECT("'"&amp;$D$29&amp;"'!OpwekPV_2028"),0)
+IFERROR(INDIRECT("'"&amp;$D$30&amp;"'!OpwekPV_2028"),0)
+IFERROR(INDIRECT("'"&amp;$D$31&amp;"'!OpwekPV_2028"),0)
+IFERROR(INDIRECT("'"&amp;$D$32&amp;"'!OpwekPV_2028"),0)
+IFERROR(INDIRECT("'"&amp;$D$33&amp;"'!OpwekPV_2028"),0)
+IFERROR(INDIRECT("'"&amp;$D$34&amp;"'!OpwekPV_2028"),0)
+IFERROR(INDIRECT("'"&amp;$D$35&amp;"'!OpwekPV_2028"),0)
+IFERROR(INDIRECT("'"&amp;$D$36&amp;"'!OpwekPV_2028"),0)
+IFERROR(INDIRECT("'"&amp;$D$37&amp;"'!OpwekPV_2028"),0)
+IFERROR(INDIRECT("'"&amp;$D$38&amp;"'!OpwekPV_2028"),0)
+IFERROR(INDIRECT("'"&amp;$D$39&amp;"'!OpwekPV_2028"),0)
+IFERROR(INDIRECT("'"&amp;$D$40&amp;"'!OpwekPV_2028"),0)
+IFERROR(INDIRECT("'"&amp;$D$41&amp;"'!OpwekPV_2028"),0)
+IFERROR(INDIRECT("'"&amp;$D$42&amp;"'!OpwekPV_2028"),0)
+IFERROR(INDIRECT("'"&amp;$D$43&amp;"'!OpwekPV_2028"),0)
+IFERROR(INDIRECT("'"&amp;$D$44&amp;"'!OpwekPV_2028"),0)
+IFERROR(INDIRECT("'"&amp;$D$45&amp;"'!OpwekPV_2028"),0)
+IFERROR(INDIRECT("'"&amp;$D$46&amp;"'!OpwekPV_2028"),0)
+IFERROR(INDIRECT("'"&amp;$D$47&amp;"'!OpwekPV_2028"),0)
+IFERROR(INDIRECT("'"&amp;$D$48&amp;"'!OpwekPV_2028"),0)
+IFERROR(INDIRECT("'"&amp;$D$49&amp;"'!OpwekPV_2028"),0)
+IFERROR(INDIRECT("'"&amp;$D$50&amp;"'!OpwekPV_2028"),0)
+IFERROR(INDIRECT("'"&amp;$D$51&amp;"'!OpwekPV_2028"),0)
+IFERROR(INDIRECT("'"&amp;$D$52&amp;"'!OpwekPV_2028"),0)
+IFERROR(INDIRECT("'"&amp;$D$53&amp;"'!OpwekPV_2028"),0)
+IFERROR(INDIRECT("'"&amp;$D$54&amp;"'!OpwekPV_2028"),0)</f>
        <v>245860.19099999999</v>
      </c>
      <c r="S37" s="320">
        <f ca="1">+IFERROR(INDIRECT("'"&amp;$D$5&amp;"'!OpwekPV_2029"),0)
+IFERROR(INDIRECT("'"&amp;$D$6&amp;"'!OpwekPV_2029"),0)
+IFERROR(INDIRECT("'"&amp;$D$7&amp;"'!OpwekPV_2029"),0)
+IFERROR(INDIRECT("'"&amp;$D$8&amp;"'!OpwekPV_2029"),0)
+IFERROR(INDIRECT("'"&amp;$D$9&amp;"'!OpwekPV_2029"),0)
+IFERROR(INDIRECT("'"&amp;$D$10&amp;"'!OpwekPV_2029"),0)
+IFERROR(INDIRECT("'"&amp;$D$11&amp;"'!OpwekPV_2029"),0)
+IFERROR(INDIRECT("'"&amp;$D$12&amp;"'!OpwekPV_2029"),0)
+IFERROR(INDIRECT("'"&amp;$D$13&amp;"'!OpwekPV_2029"),0)
+IFERROR(INDIRECT("'"&amp;$D$14&amp;"'!OpwekPV_2029"),0)
+IFERROR(INDIRECT("'"&amp;$D$15&amp;"'!OpwekPV_2029"),0)
+IFERROR(INDIRECT("'"&amp;$D$16&amp;"'!OpwekPV_2029"),0)
+IFERROR(INDIRECT("'"&amp;$D$17&amp;"'!OpwekPV_2029"),0)
+IFERROR(INDIRECT("'"&amp;$D$18&amp;"'!OpwekPV_2029"),0)
+IFERROR(INDIRECT("'"&amp;$D$19&amp;"'!OpwekPV_2029"),0)
+IFERROR(INDIRECT("'"&amp;$D$20&amp;"'!OpwekPV_2029"),0)
+IFERROR(INDIRECT("'"&amp;$D$21&amp;"'!OpwekPV_2029"),0)
+IFERROR(INDIRECT("'"&amp;$D$22&amp;"'!OpwekPV_2029"),0)
+IFERROR(INDIRECT("'"&amp;$D$23&amp;"'!OpwekPV_2029"),0)
+IFERROR(INDIRECT("'"&amp;$D$24&amp;"'!OpwekPV_2029"),0)
+IFERROR(INDIRECT("'"&amp;$D$25&amp;"'!OpwekPV_2029"),0)
+IFERROR(INDIRECT("'"&amp;$D$26&amp;"'!OpwekPV_2029"),0)
+IFERROR(INDIRECT("'"&amp;$D$27&amp;"'!OpwekPV_2029"),0)
+IFERROR(INDIRECT("'"&amp;$D$28&amp;"'!OpwekPV_2029"),0)
+IFERROR(INDIRECT("'"&amp;$D$29&amp;"'!OpwekPV_2029"),0)
+IFERROR(INDIRECT("'"&amp;$D$30&amp;"'!OpwekPV_2029"),0)
+IFERROR(INDIRECT("'"&amp;$D$31&amp;"'!OpwekPV_2029"),0)
+IFERROR(INDIRECT("'"&amp;$D$32&amp;"'!OpwekPV_2029"),0)
+IFERROR(INDIRECT("'"&amp;$D$33&amp;"'!OpwekPV_2029"),0)
+IFERROR(INDIRECT("'"&amp;$D$34&amp;"'!OpwekPV_2029"),0)
+IFERROR(INDIRECT("'"&amp;$D$35&amp;"'!OpwekPV_2029"),0)
+IFERROR(INDIRECT("'"&amp;$D$36&amp;"'!OpwekPV_2029"),0)
+IFERROR(INDIRECT("'"&amp;$D$37&amp;"'!OpwekPV_2029"),0)
+IFERROR(INDIRECT("'"&amp;$D$38&amp;"'!OpwekPV_2029"),0)
+IFERROR(INDIRECT("'"&amp;$D$39&amp;"'!OpwekPV_2029"),0)
+IFERROR(INDIRECT("'"&amp;$D$40&amp;"'!OpwekPV_2029"),0)
+IFERROR(INDIRECT("'"&amp;$D$41&amp;"'!OpwekPV_2029"),0)
+IFERROR(INDIRECT("'"&amp;$D$42&amp;"'!OpwekPV_2029"),0)
+IFERROR(INDIRECT("'"&amp;$D$43&amp;"'!OpwekPV_2029"),0)
+IFERROR(INDIRECT("'"&amp;$D$44&amp;"'!OpwekPV_2029"),0)
+IFERROR(INDIRECT("'"&amp;$D$45&amp;"'!OpwekPV_2029"),0)
+IFERROR(INDIRECT("'"&amp;$D$46&amp;"'!OpwekPV_2029"),0)
+IFERROR(INDIRECT("'"&amp;$D$47&amp;"'!OpwekPV_2029"),0)
+IFERROR(INDIRECT("'"&amp;$D$48&amp;"'!OpwekPV_2029"),0)
+IFERROR(INDIRECT("'"&amp;$D$49&amp;"'!OpwekPV_2029"),0)
+IFERROR(INDIRECT("'"&amp;$D$50&amp;"'!OpwekPV_2029"),0)
+IFERROR(INDIRECT("'"&amp;$D$51&amp;"'!OpwekPV_2029"),0)
+IFERROR(INDIRECT("'"&amp;$D$52&amp;"'!OpwekPV_2029"),0)
+IFERROR(INDIRECT("'"&amp;$D$53&amp;"'!OpwekPV_2029"),0)
+IFERROR(INDIRECT("'"&amp;$D$54&amp;"'!OpwekPV_2029"),0)</f>
        <v>245860.19099999999</v>
      </c>
      <c r="T37" s="320">
        <f ca="1">+IFERROR(INDIRECT("'"&amp;$D$5&amp;"'!OpwekPV_2030"),0)
+IFERROR(INDIRECT("'"&amp;$D$6&amp;"'!OpwekPV_2030"),0)
+IFERROR(INDIRECT("'"&amp;$D$7&amp;"'!OpwekPV_2030"),0)
+IFERROR(INDIRECT("'"&amp;$D$8&amp;"'!OpwekPV_2030"),0)
+IFERROR(INDIRECT("'"&amp;$D$9&amp;"'!OpwekPV_2030"),0)
+IFERROR(INDIRECT("'"&amp;$D$10&amp;"'!OpwekPV_2030"),0)
+IFERROR(INDIRECT("'"&amp;$D$11&amp;"'!OpwekPV_2030"),0)
+IFERROR(INDIRECT("'"&amp;$D$12&amp;"'!OpwekPV_2030"),0)
+IFERROR(INDIRECT("'"&amp;$D$13&amp;"'!OpwekPV_2030"),0)
+IFERROR(INDIRECT("'"&amp;$D$14&amp;"'!OpwekPV_2030"),0)
+IFERROR(INDIRECT("'"&amp;$D$15&amp;"'!OpwekPV_2030"),0)
+IFERROR(INDIRECT("'"&amp;$D$16&amp;"'!OpwekPV_2030"),0)
+IFERROR(INDIRECT("'"&amp;$D$17&amp;"'!OpwekPV_2030"),0)
+IFERROR(INDIRECT("'"&amp;$D$18&amp;"'!OpwekPV_2030"),0)
+IFERROR(INDIRECT("'"&amp;$D$19&amp;"'!OpwekPV_2030"),0)
+IFERROR(INDIRECT("'"&amp;$D$20&amp;"'!OpwekPV_2030"),0)
+IFERROR(INDIRECT("'"&amp;$D$21&amp;"'!OpwekPV_2030"),0)
+IFERROR(INDIRECT("'"&amp;$D$22&amp;"'!OpwekPV_2030"),0)
+IFERROR(INDIRECT("'"&amp;$D$23&amp;"'!OpwekPV_2030"),0)
+IFERROR(INDIRECT("'"&amp;$D$24&amp;"'!OpwekPV_2030"),0)
+IFERROR(INDIRECT("'"&amp;$D$25&amp;"'!OpwekPV_2030"),0)
+IFERROR(INDIRECT("'"&amp;$D$26&amp;"'!OpwekPV_2030"),0)
+IFERROR(INDIRECT("'"&amp;$D$27&amp;"'!OpwekPV_2030"),0)
+IFERROR(INDIRECT("'"&amp;$D$28&amp;"'!OpwekPV_2030"),0)
+IFERROR(INDIRECT("'"&amp;$D$29&amp;"'!OpwekPV_2030"),0)
+IFERROR(INDIRECT("'"&amp;$D$30&amp;"'!OpwekPV_2030"),0)
+IFERROR(INDIRECT("'"&amp;$D$31&amp;"'!OpwekPV_2030"),0)
+IFERROR(INDIRECT("'"&amp;$D$32&amp;"'!OpwekPV_2030"),0)
+IFERROR(INDIRECT("'"&amp;$D$33&amp;"'!OpwekPV_2030"),0)
+IFERROR(INDIRECT("'"&amp;$D$34&amp;"'!OpwekPV_2030"),0)
+IFERROR(INDIRECT("'"&amp;$D$35&amp;"'!OpwekPV_2030"),0)
+IFERROR(INDIRECT("'"&amp;$D$36&amp;"'!OpwekPV_2030"),0)
+IFERROR(INDIRECT("'"&amp;$D$37&amp;"'!OpwekPV_2030"),0)
+IFERROR(INDIRECT("'"&amp;$D$38&amp;"'!OpwekPV_2030"),0)
+IFERROR(INDIRECT("'"&amp;$D$39&amp;"'!OpwekPV_2030"),0)
+IFERROR(INDIRECT("'"&amp;$D$40&amp;"'!OpwekPV_2030"),0)
+IFERROR(INDIRECT("'"&amp;$D$41&amp;"'!OpwekPV_2030"),0)
+IFERROR(INDIRECT("'"&amp;$D$42&amp;"'!OpwekPV_2030"),0)
+IFERROR(INDIRECT("'"&amp;$D$43&amp;"'!OpwekPV_2030"),0)
+IFERROR(INDIRECT("'"&amp;$D$44&amp;"'!OpwekPV_2030"),0)
+IFERROR(INDIRECT("'"&amp;$D$45&amp;"'!OpwekPV_2030"),0)
+IFERROR(INDIRECT("'"&amp;$D$46&amp;"'!OpwekPV_2030"),0)
+IFERROR(INDIRECT("'"&amp;$D$47&amp;"'!OpwekPV_2030"),0)
+IFERROR(INDIRECT("'"&amp;$D$48&amp;"'!OpwekPV_2030"),0)
+IFERROR(INDIRECT("'"&amp;$D$49&amp;"'!OpwekPV_2030"),0)
+IFERROR(INDIRECT("'"&amp;$D$50&amp;"'!OpwekPV_2030"),0)
+IFERROR(INDIRECT("'"&amp;$D$51&amp;"'!OpwekPV_2030"),0)
+IFERROR(INDIRECT("'"&amp;$D$52&amp;"'!OpwekPV_2030"),0)
+IFERROR(INDIRECT("'"&amp;$D$53&amp;"'!OpwekPV_2030"),0)
+IFERROR(INDIRECT("'"&amp;$D$54&amp;"'!OpwekPV_2030"),0)</f>
        <v>245860.19099999999</v>
      </c>
      <c r="U37" s="320">
        <f ca="1">+IFERROR(INDIRECT("'"&amp;$D$5&amp;"'!OpwekPV_2031"),0)
+IFERROR(INDIRECT("'"&amp;$D$6&amp;"'!OpwekPV_2031"),0)
+IFERROR(INDIRECT("'"&amp;$D$7&amp;"'!OpwekPV_2031"),0)
+IFERROR(INDIRECT("'"&amp;$D$8&amp;"'!OpwekPV_2031"),0)
+IFERROR(INDIRECT("'"&amp;$D$9&amp;"'!OpwekPV_2031"),0)
+IFERROR(INDIRECT("'"&amp;$D$10&amp;"'!OpwekPV_2031"),0)
+IFERROR(INDIRECT("'"&amp;$D$11&amp;"'!OpwekPV_2031"),0)
+IFERROR(INDIRECT("'"&amp;$D$12&amp;"'!OpwekPV_2031"),0)
+IFERROR(INDIRECT("'"&amp;$D$13&amp;"'!OpwekPV_2031"),0)
+IFERROR(INDIRECT("'"&amp;$D$14&amp;"'!OpwekPV_2031"),0)
+IFERROR(INDIRECT("'"&amp;$D$15&amp;"'!OpwekPV_2031"),0)
+IFERROR(INDIRECT("'"&amp;$D$16&amp;"'!OpwekPV_2031"),0)
+IFERROR(INDIRECT("'"&amp;$D$17&amp;"'!OpwekPV_2031"),0)
+IFERROR(INDIRECT("'"&amp;$D$18&amp;"'!OpwekPV_2031"),0)
+IFERROR(INDIRECT("'"&amp;$D$19&amp;"'!OpwekPV_2031"),0)
+IFERROR(INDIRECT("'"&amp;$D$20&amp;"'!OpwekPV_2031"),0)
+IFERROR(INDIRECT("'"&amp;$D$21&amp;"'!OpwekPV_2031"),0)
+IFERROR(INDIRECT("'"&amp;$D$22&amp;"'!OpwekPV_2031"),0)
+IFERROR(INDIRECT("'"&amp;$D$23&amp;"'!OpwekPV_2031"),0)
+IFERROR(INDIRECT("'"&amp;$D$24&amp;"'!OpwekPV_2031"),0)
+IFERROR(INDIRECT("'"&amp;$D$25&amp;"'!OpwekPV_2031"),0)
+IFERROR(INDIRECT("'"&amp;$D$26&amp;"'!OpwekPV_2031"),0)
+IFERROR(INDIRECT("'"&amp;$D$27&amp;"'!OpwekPV_2031"),0)
+IFERROR(INDIRECT("'"&amp;$D$28&amp;"'!OpwekPV_2031"),0)
+IFERROR(INDIRECT("'"&amp;$D$29&amp;"'!OpwekPV_2031"),0)
+IFERROR(INDIRECT("'"&amp;$D$30&amp;"'!OpwekPV_2031"),0)
+IFERROR(INDIRECT("'"&amp;$D$31&amp;"'!OpwekPV_2031"),0)
+IFERROR(INDIRECT("'"&amp;$D$32&amp;"'!OpwekPV_2031"),0)
+IFERROR(INDIRECT("'"&amp;$D$33&amp;"'!OpwekPV_2031"),0)
+IFERROR(INDIRECT("'"&amp;$D$34&amp;"'!OpwekPV_2031"),0)
+IFERROR(INDIRECT("'"&amp;$D$35&amp;"'!OpwekPV_2031"),0)
+IFERROR(INDIRECT("'"&amp;$D$36&amp;"'!OpwekPV_2031"),0)
+IFERROR(INDIRECT("'"&amp;$D$37&amp;"'!OpwekPV_2031"),0)
+IFERROR(INDIRECT("'"&amp;$D$38&amp;"'!OpwekPV_2031"),0)
+IFERROR(INDIRECT("'"&amp;$D$39&amp;"'!OpwekPV_2031"),0)
+IFERROR(INDIRECT("'"&amp;$D$40&amp;"'!OpwekPV_2031"),0)
+IFERROR(INDIRECT("'"&amp;$D$41&amp;"'!OpwekPV_2031"),0)
+IFERROR(INDIRECT("'"&amp;$D$42&amp;"'!OpwekPV_2031"),0)
+IFERROR(INDIRECT("'"&amp;$D$43&amp;"'!OpwekPV_2031"),0)
+IFERROR(INDIRECT("'"&amp;$D$44&amp;"'!OpwekPV_2031"),0)
+IFERROR(INDIRECT("'"&amp;$D$45&amp;"'!OpwekPV_2031"),0)
+IFERROR(INDIRECT("'"&amp;$D$46&amp;"'!OpwekPV_2031"),0)
+IFERROR(INDIRECT("'"&amp;$D$47&amp;"'!OpwekPV_2031"),0)
+IFERROR(INDIRECT("'"&amp;$D$48&amp;"'!OpwekPV_2031"),0)
+IFERROR(INDIRECT("'"&amp;$D$49&amp;"'!OpwekPV_2031"),0)
+IFERROR(INDIRECT("'"&amp;$D$50&amp;"'!OpwekPV_2031"),0)
+IFERROR(INDIRECT("'"&amp;$D$51&amp;"'!OpwekPV_2031"),0)
+IFERROR(INDIRECT("'"&amp;$D$52&amp;"'!OpwekPV_2031"),0)
+IFERROR(INDIRECT("'"&amp;$D$53&amp;"'!OpwekPV_2031"),0)
+IFERROR(INDIRECT("'"&amp;$D$54&amp;"'!OpwekPV_2031"),0)</f>
        <v>245860.19099999999</v>
      </c>
      <c r="V37" s="320">
        <f ca="1">+IFERROR(INDIRECT("'"&amp;$D$5&amp;"'!OpwekPV_2032"),0)
+IFERROR(INDIRECT("'"&amp;$D$6&amp;"'!OpwekPV_2032"),0)
+IFERROR(INDIRECT("'"&amp;$D$7&amp;"'!OpwekPV_2032"),0)
+IFERROR(INDIRECT("'"&amp;$D$8&amp;"'!OpwekPV_2032"),0)
+IFERROR(INDIRECT("'"&amp;$D$9&amp;"'!OpwekPV_2032"),0)
+IFERROR(INDIRECT("'"&amp;$D$10&amp;"'!OpwekPV_2032"),0)
+IFERROR(INDIRECT("'"&amp;$D$11&amp;"'!OpwekPV_2032"),0)
+IFERROR(INDIRECT("'"&amp;$D$12&amp;"'!OpwekPV_2032"),0)
+IFERROR(INDIRECT("'"&amp;$D$13&amp;"'!OpwekPV_2032"),0)
+IFERROR(INDIRECT("'"&amp;$D$14&amp;"'!OpwekPV_2032"),0)
+IFERROR(INDIRECT("'"&amp;$D$15&amp;"'!OpwekPV_2032"),0)
+IFERROR(INDIRECT("'"&amp;$D$16&amp;"'!OpwekPV_2032"),0)
+IFERROR(INDIRECT("'"&amp;$D$17&amp;"'!OpwekPV_2032"),0)
+IFERROR(INDIRECT("'"&amp;$D$18&amp;"'!OpwekPV_2032"),0)
+IFERROR(INDIRECT("'"&amp;$D$19&amp;"'!OpwekPV_2032"),0)
+IFERROR(INDIRECT("'"&amp;$D$20&amp;"'!OpwekPV_2032"),0)
+IFERROR(INDIRECT("'"&amp;$D$21&amp;"'!OpwekPV_2032"),0)
+IFERROR(INDIRECT("'"&amp;$D$22&amp;"'!OpwekPV_2032"),0)
+IFERROR(INDIRECT("'"&amp;$D$23&amp;"'!OpwekPV_2032"),0)
+IFERROR(INDIRECT("'"&amp;$D$24&amp;"'!OpwekPV_2032"),0)
+IFERROR(INDIRECT("'"&amp;$D$25&amp;"'!OpwekPV_2032"),0)
+IFERROR(INDIRECT("'"&amp;$D$26&amp;"'!OpwekPV_2032"),0)
+IFERROR(INDIRECT("'"&amp;$D$27&amp;"'!OpwekPV_2032"),0)
+IFERROR(INDIRECT("'"&amp;$D$28&amp;"'!OpwekPV_2032"),0)
+IFERROR(INDIRECT("'"&amp;$D$29&amp;"'!OpwekPV_2032"),0)
+IFERROR(INDIRECT("'"&amp;$D$30&amp;"'!OpwekPV_2032"),0)
+IFERROR(INDIRECT("'"&amp;$D$31&amp;"'!OpwekPV_2032"),0)
+IFERROR(INDIRECT("'"&amp;$D$32&amp;"'!OpwekPV_2032"),0)
+IFERROR(INDIRECT("'"&amp;$D$33&amp;"'!OpwekPV_2032"),0)
+IFERROR(INDIRECT("'"&amp;$D$34&amp;"'!OpwekPV_2032"),0)
+IFERROR(INDIRECT("'"&amp;$D$35&amp;"'!OpwekPV_2032"),0)
+IFERROR(INDIRECT("'"&amp;$D$36&amp;"'!OpwekPV_2032"),0)
+IFERROR(INDIRECT("'"&amp;$D$37&amp;"'!OpwekPV_2032"),0)
+IFERROR(INDIRECT("'"&amp;$D$38&amp;"'!OpwekPV_2032"),0)
+IFERROR(INDIRECT("'"&amp;$D$39&amp;"'!OpwekPV_2032"),0)
+IFERROR(INDIRECT("'"&amp;$D$40&amp;"'!OpwekPV_2032"),0)
+IFERROR(INDIRECT("'"&amp;$D$41&amp;"'!OpwekPV_2032"),0)
+IFERROR(INDIRECT("'"&amp;$D$42&amp;"'!OpwekPV_2032"),0)
+IFERROR(INDIRECT("'"&amp;$D$43&amp;"'!OpwekPV_2032"),0)
+IFERROR(INDIRECT("'"&amp;$D$44&amp;"'!OpwekPV_2032"),0)
+IFERROR(INDIRECT("'"&amp;$D$45&amp;"'!OpwekPV_2032"),0)
+IFERROR(INDIRECT("'"&amp;$D$46&amp;"'!OpwekPV_2032"),0)
+IFERROR(INDIRECT("'"&amp;$D$47&amp;"'!OpwekPV_2032"),0)
+IFERROR(INDIRECT("'"&amp;$D$48&amp;"'!OpwekPV_2032"),0)
+IFERROR(INDIRECT("'"&amp;$D$49&amp;"'!OpwekPV_2032"),0)
+IFERROR(INDIRECT("'"&amp;$D$50&amp;"'!OpwekPV_2032"),0)
+IFERROR(INDIRECT("'"&amp;$D$51&amp;"'!OpwekPV_2032"),0)
+IFERROR(INDIRECT("'"&amp;$D$52&amp;"'!OpwekPV_2032"),0)
+IFERROR(INDIRECT("'"&amp;$D$53&amp;"'!OpwekPV_2032"),0)
+IFERROR(INDIRECT("'"&amp;$D$54&amp;"'!OpwekPV_2032"),0)</f>
        <v>219042.45500000002</v>
      </c>
      <c r="W37" s="320">
        <f ca="1">+IFERROR(INDIRECT("'"&amp;$D$5&amp;"'!OpwekPV_2033"),0)
+IFERROR(INDIRECT("'"&amp;$D$6&amp;"'!OpwekPV_2033"),0)
+IFERROR(INDIRECT("'"&amp;$D$7&amp;"'!OpwekPV_2033"),0)
+IFERROR(INDIRECT("'"&amp;$D$8&amp;"'!OpwekPV_2033"),0)
+IFERROR(INDIRECT("'"&amp;$D$9&amp;"'!OpwekPV_2033"),0)
+IFERROR(INDIRECT("'"&amp;$D$10&amp;"'!OpwekPV_2033"),0)
+IFERROR(INDIRECT("'"&amp;$D$11&amp;"'!OpwekPV_2033"),0)
+IFERROR(INDIRECT("'"&amp;$D$12&amp;"'!OpwekPV_2033"),0)
+IFERROR(INDIRECT("'"&amp;$D$13&amp;"'!OpwekPV_2033"),0)
+IFERROR(INDIRECT("'"&amp;$D$14&amp;"'!OpwekPV_2033"),0)
+IFERROR(INDIRECT("'"&amp;$D$15&amp;"'!OpwekPV_2033"),0)
+IFERROR(INDIRECT("'"&amp;$D$16&amp;"'!OpwekPV_2033"),0)
+IFERROR(INDIRECT("'"&amp;$D$17&amp;"'!OpwekPV_2033"),0)
+IFERROR(INDIRECT("'"&amp;$D$18&amp;"'!OpwekPV_2033"),0)
+IFERROR(INDIRECT("'"&amp;$D$19&amp;"'!OpwekPV_2033"),0)
+IFERROR(INDIRECT("'"&amp;$D$20&amp;"'!OpwekPV_2033"),0)
+IFERROR(INDIRECT("'"&amp;$D$21&amp;"'!OpwekPV_2033"),0)
+IFERROR(INDIRECT("'"&amp;$D$22&amp;"'!OpwekPV_2033"),0)
+IFERROR(INDIRECT("'"&amp;$D$23&amp;"'!OpwekPV_2033"),0)
+IFERROR(INDIRECT("'"&amp;$D$24&amp;"'!OpwekPV_2033"),0)
+IFERROR(INDIRECT("'"&amp;$D$25&amp;"'!OpwekPV_2033"),0)
+IFERROR(INDIRECT("'"&amp;$D$26&amp;"'!OpwekPV_2033"),0)
+IFERROR(INDIRECT("'"&amp;$D$27&amp;"'!OpwekPV_2033"),0)
+IFERROR(INDIRECT("'"&amp;$D$28&amp;"'!OpwekPV_2033"),0)
+IFERROR(INDIRECT("'"&amp;$D$29&amp;"'!OpwekPV_2033"),0)
+IFERROR(INDIRECT("'"&amp;$D$30&amp;"'!OpwekPV_2033"),0)
+IFERROR(INDIRECT("'"&amp;$D$31&amp;"'!OpwekPV_2033"),0)
+IFERROR(INDIRECT("'"&amp;$D$32&amp;"'!OpwekPV_2033"),0)
+IFERROR(INDIRECT("'"&amp;$D$33&amp;"'!OpwekPV_2033"),0)
+IFERROR(INDIRECT("'"&amp;$D$34&amp;"'!OpwekPV_2033"),0)
+IFERROR(INDIRECT("'"&amp;$D$35&amp;"'!OpwekPV_2033"),0)
+IFERROR(INDIRECT("'"&amp;$D$36&amp;"'!OpwekPV_2033"),0)
+IFERROR(INDIRECT("'"&amp;$D$37&amp;"'!OpwekPV_2033"),0)
+IFERROR(INDIRECT("'"&amp;$D$38&amp;"'!OpwekPV_2033"),0)
+IFERROR(INDIRECT("'"&amp;$D$39&amp;"'!OpwekPV_2033"),0)
+IFERROR(INDIRECT("'"&amp;$D$40&amp;"'!OpwekPV_2033"),0)
+IFERROR(INDIRECT("'"&amp;$D$41&amp;"'!OpwekPV_2033"),0)
+IFERROR(INDIRECT("'"&amp;$D$42&amp;"'!OpwekPV_2033"),0)
+IFERROR(INDIRECT("'"&amp;$D$43&amp;"'!OpwekPV_2033"),0)
+IFERROR(INDIRECT("'"&amp;$D$44&amp;"'!OpwekPV_2033"),0)
+IFERROR(INDIRECT("'"&amp;$D$45&amp;"'!OpwekPV_2033"),0)
+IFERROR(INDIRECT("'"&amp;$D$46&amp;"'!OpwekPV_2033"),0)
+IFERROR(INDIRECT("'"&amp;$D$47&amp;"'!OpwekPV_2033"),0)
+IFERROR(INDIRECT("'"&amp;$D$48&amp;"'!OpwekPV_2033"),0)
+IFERROR(INDIRECT("'"&amp;$D$49&amp;"'!OpwekPV_2033"),0)
+IFERROR(INDIRECT("'"&amp;$D$50&amp;"'!OpwekPV_2033"),0)
+IFERROR(INDIRECT("'"&amp;$D$51&amp;"'!OpwekPV_2033"),0)
+IFERROR(INDIRECT("'"&amp;$D$52&amp;"'!OpwekPV_2033"),0)
+IFERROR(INDIRECT("'"&amp;$D$53&amp;"'!OpwekPV_2033"),0)
+IFERROR(INDIRECT("'"&amp;$D$54&amp;"'!OpwekPV_2033"),0)</f>
        <v>219042.45500000002</v>
      </c>
      <c r="X37" s="320">
        <f ca="1">+IFERROR(INDIRECT("'"&amp;$D$5&amp;"'!OpwekPV_2034"),0)
+IFERROR(INDIRECT("'"&amp;$D$6&amp;"'!OpwekPV_2034"),0)
+IFERROR(INDIRECT("'"&amp;$D$7&amp;"'!OpwekPV_2034"),0)
+IFERROR(INDIRECT("'"&amp;$D$8&amp;"'!OpwekPV_2034"),0)
+IFERROR(INDIRECT("'"&amp;$D$9&amp;"'!OpwekPV_2034"),0)
+IFERROR(INDIRECT("'"&amp;$D$10&amp;"'!OpwekPV_2034"),0)
+IFERROR(INDIRECT("'"&amp;$D$11&amp;"'!OpwekPV_2034"),0)
+IFERROR(INDIRECT("'"&amp;$D$12&amp;"'!OpwekPV_2034"),0)
+IFERROR(INDIRECT("'"&amp;$D$13&amp;"'!OpwekPV_2034"),0)
+IFERROR(INDIRECT("'"&amp;$D$14&amp;"'!OpwekPV_2034"),0)
+IFERROR(INDIRECT("'"&amp;$D$15&amp;"'!OpwekPV_2034"),0)
+IFERROR(INDIRECT("'"&amp;$D$16&amp;"'!OpwekPV_2034"),0)
+IFERROR(INDIRECT("'"&amp;$D$17&amp;"'!OpwekPV_2034"),0)
+IFERROR(INDIRECT("'"&amp;$D$18&amp;"'!OpwekPV_2034"),0)
+IFERROR(INDIRECT("'"&amp;$D$19&amp;"'!OpwekPV_2034"),0)
+IFERROR(INDIRECT("'"&amp;$D$20&amp;"'!OpwekPV_2034"),0)
+IFERROR(INDIRECT("'"&amp;$D$21&amp;"'!OpwekPV_2034"),0)
+IFERROR(INDIRECT("'"&amp;$D$22&amp;"'!OpwekPV_2034"),0)
+IFERROR(INDIRECT("'"&amp;$D$23&amp;"'!OpwekPV_2034"),0)
+IFERROR(INDIRECT("'"&amp;$D$24&amp;"'!OpwekPV_2034"),0)
+IFERROR(INDIRECT("'"&amp;$D$25&amp;"'!OpwekPV_2034"),0)
+IFERROR(INDIRECT("'"&amp;$D$26&amp;"'!OpwekPV_2034"),0)
+IFERROR(INDIRECT("'"&amp;$D$27&amp;"'!OpwekPV_2034"),0)
+IFERROR(INDIRECT("'"&amp;$D$28&amp;"'!OpwekPV_2034"),0)
+IFERROR(INDIRECT("'"&amp;$D$29&amp;"'!OpwekPV_2034"),0)
+IFERROR(INDIRECT("'"&amp;$D$30&amp;"'!OpwekPV_2034"),0)
+IFERROR(INDIRECT("'"&amp;$D$31&amp;"'!OpwekPV_2034"),0)
+IFERROR(INDIRECT("'"&amp;$D$32&amp;"'!OpwekPV_2034"),0)
+IFERROR(INDIRECT("'"&amp;$D$33&amp;"'!OpwekPV_2034"),0)
+IFERROR(INDIRECT("'"&amp;$D$34&amp;"'!OpwekPV_2034"),0)
+IFERROR(INDIRECT("'"&amp;$D$35&amp;"'!OpwekPV_2034"),0)
+IFERROR(INDIRECT("'"&amp;$D$36&amp;"'!OpwekPV_2034"),0)
+IFERROR(INDIRECT("'"&amp;$D$37&amp;"'!OpwekPV_2034"),0)
+IFERROR(INDIRECT("'"&amp;$D$38&amp;"'!OpwekPV_2034"),0)
+IFERROR(INDIRECT("'"&amp;$D$39&amp;"'!OpwekPV_2034"),0)
+IFERROR(INDIRECT("'"&amp;$D$40&amp;"'!OpwekPV_2034"),0)
+IFERROR(INDIRECT("'"&amp;$D$41&amp;"'!OpwekPV_2034"),0)
+IFERROR(INDIRECT("'"&amp;$D$42&amp;"'!OpwekPV_2034"),0)
+IFERROR(INDIRECT("'"&amp;$D$43&amp;"'!OpwekPV_2034"),0)
+IFERROR(INDIRECT("'"&amp;$D$44&amp;"'!OpwekPV_2034"),0)
+IFERROR(INDIRECT("'"&amp;$D$45&amp;"'!OpwekPV_2034"),0)
+IFERROR(INDIRECT("'"&amp;$D$46&amp;"'!OpwekPV_2034"),0)
+IFERROR(INDIRECT("'"&amp;$D$47&amp;"'!OpwekPV_2034"),0)
+IFERROR(INDIRECT("'"&amp;$D$48&amp;"'!OpwekPV_2034"),0)
+IFERROR(INDIRECT("'"&amp;$D$49&amp;"'!OpwekPV_2034"),0)
+IFERROR(INDIRECT("'"&amp;$D$50&amp;"'!OpwekPV_2034"),0)
+IFERROR(INDIRECT("'"&amp;$D$51&amp;"'!OpwekPV_2034"),0)
+IFERROR(INDIRECT("'"&amp;$D$52&amp;"'!OpwekPV_2034"),0)
+IFERROR(INDIRECT("'"&amp;$D$53&amp;"'!OpwekPV_2034"),0)
+IFERROR(INDIRECT("'"&amp;$D$54&amp;"'!OpwekPV_2034"),0)</f>
        <v>219042.45500000002</v>
      </c>
      <c r="Y37" s="320">
        <f ca="1">+IFERROR(INDIRECT("'"&amp;$D$5&amp;"'!OpwekPV_2035"),0)
+IFERROR(INDIRECT("'"&amp;$D$6&amp;"'!OpwekPV_2035"),0)
+IFERROR(INDIRECT("'"&amp;$D$7&amp;"'!OpwekPV_2035"),0)
+IFERROR(INDIRECT("'"&amp;$D$8&amp;"'!OpwekPV_2035"),0)
+IFERROR(INDIRECT("'"&amp;$D$9&amp;"'!OpwekPV_2035"),0)
+IFERROR(INDIRECT("'"&amp;$D$10&amp;"'!OpwekPV_2035"),0)
+IFERROR(INDIRECT("'"&amp;$D$11&amp;"'!OpwekPV_2035"),0)
+IFERROR(INDIRECT("'"&amp;$D$12&amp;"'!OpwekPV_2035"),0)
+IFERROR(INDIRECT("'"&amp;$D$13&amp;"'!OpwekPV_2035"),0)
+IFERROR(INDIRECT("'"&amp;$D$14&amp;"'!OpwekPV_2035"),0)
+IFERROR(INDIRECT("'"&amp;$D$15&amp;"'!OpwekPV_2035"),0)
+IFERROR(INDIRECT("'"&amp;$D$16&amp;"'!OpwekPV_2035"),0)
+IFERROR(INDIRECT("'"&amp;$D$17&amp;"'!OpwekPV_2035"),0)
+IFERROR(INDIRECT("'"&amp;$D$18&amp;"'!OpwekPV_2035"),0)
+IFERROR(INDIRECT("'"&amp;$D$19&amp;"'!OpwekPV_2035"),0)
+IFERROR(INDIRECT("'"&amp;$D$20&amp;"'!OpwekPV_2035"),0)
+IFERROR(INDIRECT("'"&amp;$D$21&amp;"'!OpwekPV_2035"),0)
+IFERROR(INDIRECT("'"&amp;$D$22&amp;"'!OpwekPV_2035"),0)
+IFERROR(INDIRECT("'"&amp;$D$23&amp;"'!OpwekPV_2035"),0)
+IFERROR(INDIRECT("'"&amp;$D$24&amp;"'!OpwekPV_2035"),0)
+IFERROR(INDIRECT("'"&amp;$D$25&amp;"'!OpwekPV_2035"),0)
+IFERROR(INDIRECT("'"&amp;$D$26&amp;"'!OpwekPV_2035"),0)
+IFERROR(INDIRECT("'"&amp;$D$27&amp;"'!OpwekPV_2035"),0)
+IFERROR(INDIRECT("'"&amp;$D$28&amp;"'!OpwekPV_2035"),0)
+IFERROR(INDIRECT("'"&amp;$D$29&amp;"'!OpwekPV_2035"),0)
+IFERROR(INDIRECT("'"&amp;$D$30&amp;"'!OpwekPV_2035"),0)
+IFERROR(INDIRECT("'"&amp;$D$31&amp;"'!OpwekPV_2035"),0)
+IFERROR(INDIRECT("'"&amp;$D$32&amp;"'!OpwekPV_2035"),0)
+IFERROR(INDIRECT("'"&amp;$D$33&amp;"'!OpwekPV_2035"),0)
+IFERROR(INDIRECT("'"&amp;$D$34&amp;"'!OpwekPV_2035"),0)
+IFERROR(INDIRECT("'"&amp;$D$35&amp;"'!OpwekPV_2035"),0)
+IFERROR(INDIRECT("'"&amp;$D$36&amp;"'!OpwekPV_2035"),0)
+IFERROR(INDIRECT("'"&amp;$D$37&amp;"'!OpwekPV_2035"),0)
+IFERROR(INDIRECT("'"&amp;$D$38&amp;"'!OpwekPV_2035"),0)
+IFERROR(INDIRECT("'"&amp;$D$39&amp;"'!OpwekPV_2035"),0)
+IFERROR(INDIRECT("'"&amp;$D$40&amp;"'!OpwekPV_2035"),0)
+IFERROR(INDIRECT("'"&amp;$D$41&amp;"'!OpwekPV_2035"),0)
+IFERROR(INDIRECT("'"&amp;$D$42&amp;"'!OpwekPV_2035"),0)
+IFERROR(INDIRECT("'"&amp;$D$43&amp;"'!OpwekPV_2035"),0)
+IFERROR(INDIRECT("'"&amp;$D$44&amp;"'!OpwekPV_2035"),0)
+IFERROR(INDIRECT("'"&amp;$D$45&amp;"'!OpwekPV_2035"),0)
+IFERROR(INDIRECT("'"&amp;$D$46&amp;"'!OpwekPV_2035"),0)
+IFERROR(INDIRECT("'"&amp;$D$47&amp;"'!OpwekPV_2035"),0)
+IFERROR(INDIRECT("'"&amp;$D$48&amp;"'!OpwekPV_2035"),0)
+IFERROR(INDIRECT("'"&amp;$D$49&amp;"'!OpwekPV_2035"),0)
+IFERROR(INDIRECT("'"&amp;$D$50&amp;"'!OpwekPV_2035"),0)
+IFERROR(INDIRECT("'"&amp;$D$51&amp;"'!OpwekPV_2035"),0)
+IFERROR(INDIRECT("'"&amp;$D$52&amp;"'!OpwekPV_2035"),0)
+IFERROR(INDIRECT("'"&amp;$D$53&amp;"'!OpwekPV_2035"),0)
+IFERROR(INDIRECT("'"&amp;$D$54&amp;"'!OpwekPV_2035"),0)</f>
        <v>219042.45500000002</v>
      </c>
      <c r="Z37" s="320">
        <f ca="1">+IFERROR(INDIRECT("'"&amp;$D$5&amp;"'!OpwekPV_2036"),0)
+IFERROR(INDIRECT("'"&amp;$D$6&amp;"'!OpwekPV_2036"),0)
+IFERROR(INDIRECT("'"&amp;$D$7&amp;"'!OpwekPV_2036"),0)
+IFERROR(INDIRECT("'"&amp;$D$8&amp;"'!OpwekPV_2036"),0)
+IFERROR(INDIRECT("'"&amp;$D$9&amp;"'!OpwekPV_2036"),0)
+IFERROR(INDIRECT("'"&amp;$D$10&amp;"'!OpwekPV_2036"),0)
+IFERROR(INDIRECT("'"&amp;$D$11&amp;"'!OpwekPV_2036"),0)
+IFERROR(INDIRECT("'"&amp;$D$12&amp;"'!OpwekPV_2036"),0)
+IFERROR(INDIRECT("'"&amp;$D$13&amp;"'!OpwekPV_2036"),0)
+IFERROR(INDIRECT("'"&amp;$D$14&amp;"'!OpwekPV_2036"),0)
+IFERROR(INDIRECT("'"&amp;$D$15&amp;"'!OpwekPV_2036"),0)
+IFERROR(INDIRECT("'"&amp;$D$16&amp;"'!OpwekPV_2036"),0)
+IFERROR(INDIRECT("'"&amp;$D$17&amp;"'!OpwekPV_2036"),0)
+IFERROR(INDIRECT("'"&amp;$D$18&amp;"'!OpwekPV_2036"),0)
+IFERROR(INDIRECT("'"&amp;$D$19&amp;"'!OpwekPV_2036"),0)
+IFERROR(INDIRECT("'"&amp;$D$20&amp;"'!OpwekPV_2036"),0)
+IFERROR(INDIRECT("'"&amp;$D$21&amp;"'!OpwekPV_2036"),0)
+IFERROR(INDIRECT("'"&amp;$D$22&amp;"'!OpwekPV_2036"),0)
+IFERROR(INDIRECT("'"&amp;$D$23&amp;"'!OpwekPV_2036"),0)
+IFERROR(INDIRECT("'"&amp;$D$24&amp;"'!OpwekPV_2036"),0)
+IFERROR(INDIRECT("'"&amp;$D$25&amp;"'!OpwekPV_2036"),0)
+IFERROR(INDIRECT("'"&amp;$D$26&amp;"'!OpwekPV_2036"),0)
+IFERROR(INDIRECT("'"&amp;$D$27&amp;"'!OpwekPV_2036"),0)
+IFERROR(INDIRECT("'"&amp;$D$28&amp;"'!OpwekPV_2036"),0)
+IFERROR(INDIRECT("'"&amp;$D$29&amp;"'!OpwekPV_2036"),0)
+IFERROR(INDIRECT("'"&amp;$D$30&amp;"'!OpwekPV_2036"),0)
+IFERROR(INDIRECT("'"&amp;$D$31&amp;"'!OpwekPV_2036"),0)
+IFERROR(INDIRECT("'"&amp;$D$32&amp;"'!OpwekPV_2036"),0)
+IFERROR(INDIRECT("'"&amp;$D$33&amp;"'!OpwekPV_2036"),0)
+IFERROR(INDIRECT("'"&amp;$D$34&amp;"'!OpwekPV_2036"),0)
+IFERROR(INDIRECT("'"&amp;$D$35&amp;"'!OpwekPV_2036"),0)
+IFERROR(INDIRECT("'"&amp;$D$36&amp;"'!OpwekPV_2036"),0)
+IFERROR(INDIRECT("'"&amp;$D$37&amp;"'!OpwekPV_2036"),0)
+IFERROR(INDIRECT("'"&amp;$D$38&amp;"'!OpwekPV_2036"),0)
+IFERROR(INDIRECT("'"&amp;$D$39&amp;"'!OpwekPV_2036"),0)
+IFERROR(INDIRECT("'"&amp;$D$40&amp;"'!OpwekPV_2036"),0)
+IFERROR(INDIRECT("'"&amp;$D$41&amp;"'!OpwekPV_2036"),0)
+IFERROR(INDIRECT("'"&amp;$D$42&amp;"'!OpwekPV_2036"),0)
+IFERROR(INDIRECT("'"&amp;$D$43&amp;"'!OpwekPV_2036"),0)
+IFERROR(INDIRECT("'"&amp;$D$44&amp;"'!OpwekPV_2036"),0)
+IFERROR(INDIRECT("'"&amp;$D$45&amp;"'!OpwekPV_2036"),0)
+IFERROR(INDIRECT("'"&amp;$D$46&amp;"'!OpwekPV_2036"),0)
+IFERROR(INDIRECT("'"&amp;$D$47&amp;"'!OpwekPV_2036"),0)
+IFERROR(INDIRECT("'"&amp;$D$48&amp;"'!OpwekPV_2036"),0)
+IFERROR(INDIRECT("'"&amp;$D$49&amp;"'!OpwekPV_2036"),0)
+IFERROR(INDIRECT("'"&amp;$D$50&amp;"'!OpwekPV_2036"),0)
+IFERROR(INDIRECT("'"&amp;$D$51&amp;"'!OpwekPV_2036"),0)
+IFERROR(INDIRECT("'"&amp;$D$52&amp;"'!OpwekPV_2036"),0)
+IFERROR(INDIRECT("'"&amp;$D$53&amp;"'!OpwekPV_2036"),0)
+IFERROR(INDIRECT("'"&amp;$D$54&amp;"'!OpwekPV_2036"),0)</f>
        <v>219042.45500000002</v>
      </c>
      <c r="AA37" s="320">
        <f ca="1">+IFERROR(INDIRECT("'"&amp;$D$5&amp;"'!OpwekPV_2037"),0)
+IFERROR(INDIRECT("'"&amp;$D$6&amp;"'!OpwekPV_2037"),0)
+IFERROR(INDIRECT("'"&amp;$D$7&amp;"'!OpwekPV_2037"),0)
+IFERROR(INDIRECT("'"&amp;$D$8&amp;"'!OpwekPV_2037"),0)
+IFERROR(INDIRECT("'"&amp;$D$9&amp;"'!OpwekPV_2037"),0)
+IFERROR(INDIRECT("'"&amp;$D$10&amp;"'!OpwekPV_2037"),0)
+IFERROR(INDIRECT("'"&amp;$D$11&amp;"'!OpwekPV_2037"),0)
+IFERROR(INDIRECT("'"&amp;$D$12&amp;"'!OpwekPV_2037"),0)
+IFERROR(INDIRECT("'"&amp;$D$13&amp;"'!OpwekPV_2037"),0)
+IFERROR(INDIRECT("'"&amp;$D$14&amp;"'!OpwekPV_2037"),0)
+IFERROR(INDIRECT("'"&amp;$D$15&amp;"'!OpwekPV_2037"),0)
+IFERROR(INDIRECT("'"&amp;$D$16&amp;"'!OpwekPV_2037"),0)
+IFERROR(INDIRECT("'"&amp;$D$17&amp;"'!OpwekPV_2037"),0)
+IFERROR(INDIRECT("'"&amp;$D$18&amp;"'!OpwekPV_2037"),0)
+IFERROR(INDIRECT("'"&amp;$D$19&amp;"'!OpwekPV_2037"),0)
+IFERROR(INDIRECT("'"&amp;$D$20&amp;"'!OpwekPV_2037"),0)
+IFERROR(INDIRECT("'"&amp;$D$21&amp;"'!OpwekPV_2037"),0)
+IFERROR(INDIRECT("'"&amp;$D$22&amp;"'!OpwekPV_2037"),0)
+IFERROR(INDIRECT("'"&amp;$D$23&amp;"'!OpwekPV_2037"),0)
+IFERROR(INDIRECT("'"&amp;$D$24&amp;"'!OpwekPV_2037"),0)
+IFERROR(INDIRECT("'"&amp;$D$25&amp;"'!OpwekPV_2037"),0)
+IFERROR(INDIRECT("'"&amp;$D$26&amp;"'!OpwekPV_2037"),0)
+IFERROR(INDIRECT("'"&amp;$D$27&amp;"'!OpwekPV_2037"),0)
+IFERROR(INDIRECT("'"&amp;$D$28&amp;"'!OpwekPV_2037"),0)
+IFERROR(INDIRECT("'"&amp;$D$29&amp;"'!OpwekPV_2037"),0)
+IFERROR(INDIRECT("'"&amp;$D$30&amp;"'!OpwekPV_2037"),0)
+IFERROR(INDIRECT("'"&amp;$D$31&amp;"'!OpwekPV_2037"),0)
+IFERROR(INDIRECT("'"&amp;$D$32&amp;"'!OpwekPV_2037"),0)
+IFERROR(INDIRECT("'"&amp;$D$33&amp;"'!OpwekPV_2037"),0)
+IFERROR(INDIRECT("'"&amp;$D$34&amp;"'!OpwekPV_2037"),0)
+IFERROR(INDIRECT("'"&amp;$D$35&amp;"'!OpwekPV_2037"),0)
+IFERROR(INDIRECT("'"&amp;$D$36&amp;"'!OpwekPV_2037"),0)
+IFERROR(INDIRECT("'"&amp;$D$37&amp;"'!OpwekPV_2037"),0)
+IFERROR(INDIRECT("'"&amp;$D$38&amp;"'!OpwekPV_2037"),0)
+IFERROR(INDIRECT("'"&amp;$D$39&amp;"'!OpwekPV_2037"),0)
+IFERROR(INDIRECT("'"&amp;$D$40&amp;"'!OpwekPV_2037"),0)
+IFERROR(INDIRECT("'"&amp;$D$41&amp;"'!OpwekPV_2037"),0)
+IFERROR(INDIRECT("'"&amp;$D$42&amp;"'!OpwekPV_2037"),0)
+IFERROR(INDIRECT("'"&amp;$D$43&amp;"'!OpwekPV_2037"),0)
+IFERROR(INDIRECT("'"&amp;$D$44&amp;"'!OpwekPV_2037"),0)
+IFERROR(INDIRECT("'"&amp;$D$45&amp;"'!OpwekPV_2037"),0)
+IFERROR(INDIRECT("'"&amp;$D$46&amp;"'!OpwekPV_2037"),0)
+IFERROR(INDIRECT("'"&amp;$D$47&amp;"'!OpwekPV_2037"),0)
+IFERROR(INDIRECT("'"&amp;$D$48&amp;"'!OpwekPV_2037"),0)
+IFERROR(INDIRECT("'"&amp;$D$49&amp;"'!OpwekPV_2037"),0)
+IFERROR(INDIRECT("'"&amp;$D$50&amp;"'!OpwekPV_2037"),0)
+IFERROR(INDIRECT("'"&amp;$D$51&amp;"'!OpwekPV_2037"),0)
+IFERROR(INDIRECT("'"&amp;$D$52&amp;"'!OpwekPV_2037"),0)
+IFERROR(INDIRECT("'"&amp;$D$53&amp;"'!OpwekPV_2037"),0)
+IFERROR(INDIRECT("'"&amp;$D$54&amp;"'!OpwekPV_2037"),0)</f>
        <v>219042.45500000002</v>
      </c>
      <c r="AB37" s="320">
        <f ca="1">+IFERROR(INDIRECT("'"&amp;$D$5&amp;"'!OpwekPV_2038"),0)
+IFERROR(INDIRECT("'"&amp;$D$6&amp;"'!OpwekPV_2038"),0)
+IFERROR(INDIRECT("'"&amp;$D$7&amp;"'!OpwekPV_2038"),0)
+IFERROR(INDIRECT("'"&amp;$D$8&amp;"'!OpwekPV_2038"),0)
+IFERROR(INDIRECT("'"&amp;$D$9&amp;"'!OpwekPV_2038"),0)
+IFERROR(INDIRECT("'"&amp;$D$10&amp;"'!OpwekPV_2038"),0)
+IFERROR(INDIRECT("'"&amp;$D$11&amp;"'!OpwekPV_2038"),0)
+IFERROR(INDIRECT("'"&amp;$D$12&amp;"'!OpwekPV_2038"),0)
+IFERROR(INDIRECT("'"&amp;$D$13&amp;"'!OpwekPV_2038"),0)
+IFERROR(INDIRECT("'"&amp;$D$14&amp;"'!OpwekPV_2038"),0)
+IFERROR(INDIRECT("'"&amp;$D$15&amp;"'!OpwekPV_2038"),0)
+IFERROR(INDIRECT("'"&amp;$D$16&amp;"'!OpwekPV_2038"),0)
+IFERROR(INDIRECT("'"&amp;$D$17&amp;"'!OpwekPV_2038"),0)
+IFERROR(INDIRECT("'"&amp;$D$18&amp;"'!OpwekPV_2038"),0)
+IFERROR(INDIRECT("'"&amp;$D$19&amp;"'!OpwekPV_2038"),0)
+IFERROR(INDIRECT("'"&amp;$D$20&amp;"'!OpwekPV_2038"),0)
+IFERROR(INDIRECT("'"&amp;$D$21&amp;"'!OpwekPV_2038"),0)
+IFERROR(INDIRECT("'"&amp;$D$22&amp;"'!OpwekPV_2038"),0)
+IFERROR(INDIRECT("'"&amp;$D$23&amp;"'!OpwekPV_2038"),0)
+IFERROR(INDIRECT("'"&amp;$D$24&amp;"'!OpwekPV_2038"),0)
+IFERROR(INDIRECT("'"&amp;$D$25&amp;"'!OpwekPV_2038"),0)
+IFERROR(INDIRECT("'"&amp;$D$26&amp;"'!OpwekPV_2038"),0)
+IFERROR(INDIRECT("'"&amp;$D$27&amp;"'!OpwekPV_2038"),0)
+IFERROR(INDIRECT("'"&amp;$D$28&amp;"'!OpwekPV_2038"),0)
+IFERROR(INDIRECT("'"&amp;$D$29&amp;"'!OpwekPV_2038"),0)
+IFERROR(INDIRECT("'"&amp;$D$30&amp;"'!OpwekPV_2038"),0)
+IFERROR(INDIRECT("'"&amp;$D$31&amp;"'!OpwekPV_2038"),0)
+IFERROR(INDIRECT("'"&amp;$D$32&amp;"'!OpwekPV_2038"),0)
+IFERROR(INDIRECT("'"&amp;$D$33&amp;"'!OpwekPV_2038"),0)
+IFERROR(INDIRECT("'"&amp;$D$34&amp;"'!OpwekPV_2038"),0)
+IFERROR(INDIRECT("'"&amp;$D$35&amp;"'!OpwekPV_2038"),0)
+IFERROR(INDIRECT("'"&amp;$D$36&amp;"'!OpwekPV_2038"),0)
+IFERROR(INDIRECT("'"&amp;$D$37&amp;"'!OpwekPV_2038"),0)
+IFERROR(INDIRECT("'"&amp;$D$38&amp;"'!OpwekPV_2038"),0)
+IFERROR(INDIRECT("'"&amp;$D$39&amp;"'!OpwekPV_2038"),0)
+IFERROR(INDIRECT("'"&amp;$D$40&amp;"'!OpwekPV_2038"),0)
+IFERROR(INDIRECT("'"&amp;$D$41&amp;"'!OpwekPV_2038"),0)
+IFERROR(INDIRECT("'"&amp;$D$42&amp;"'!OpwekPV_2038"),0)
+IFERROR(INDIRECT("'"&amp;$D$43&amp;"'!OpwekPV_2038"),0)
+IFERROR(INDIRECT("'"&amp;$D$44&amp;"'!OpwekPV_2038"),0)
+IFERROR(INDIRECT("'"&amp;$D$45&amp;"'!OpwekPV_2038"),0)
+IFERROR(INDIRECT("'"&amp;$D$46&amp;"'!OpwekPV_2038"),0)
+IFERROR(INDIRECT("'"&amp;$D$47&amp;"'!OpwekPV_2038"),0)
+IFERROR(INDIRECT("'"&amp;$D$48&amp;"'!OpwekPV_2038"),0)
+IFERROR(INDIRECT("'"&amp;$D$49&amp;"'!OpwekPV_2038"),0)
+IFERROR(INDIRECT("'"&amp;$D$50&amp;"'!OpwekPV_2038"),0)
+IFERROR(INDIRECT("'"&amp;$D$51&amp;"'!OpwekPV_2038"),0)
+IFERROR(INDIRECT("'"&amp;$D$52&amp;"'!OpwekPV_2038"),0)
+IFERROR(INDIRECT("'"&amp;$D$53&amp;"'!OpwekPV_2038"),0)
+IFERROR(INDIRECT("'"&amp;$D$54&amp;"'!OpwekPV_2038"),0)</f>
        <v>219042.45500000002</v>
      </c>
      <c r="AC37" s="320">
        <f ca="1">+IFERROR(INDIRECT("'"&amp;$D$5&amp;"'!OpwekPV_2039"),0)
+IFERROR(INDIRECT("'"&amp;$D$6&amp;"'!OpwekPV_2039"),0)
+IFERROR(INDIRECT("'"&amp;$D$7&amp;"'!OpwekPV_2039"),0)
+IFERROR(INDIRECT("'"&amp;$D$8&amp;"'!OpwekPV_2039"),0)
+IFERROR(INDIRECT("'"&amp;$D$9&amp;"'!OpwekPV_2039"),0)
+IFERROR(INDIRECT("'"&amp;$D$10&amp;"'!OpwekPV_2039"),0)
+IFERROR(INDIRECT("'"&amp;$D$11&amp;"'!OpwekPV_2039"),0)
+IFERROR(INDIRECT("'"&amp;$D$12&amp;"'!OpwekPV_2039"),0)
+IFERROR(INDIRECT("'"&amp;$D$13&amp;"'!OpwekPV_2039"),0)
+IFERROR(INDIRECT("'"&amp;$D$14&amp;"'!OpwekPV_2039"),0)
+IFERROR(INDIRECT("'"&amp;$D$15&amp;"'!OpwekPV_2039"),0)
+IFERROR(INDIRECT("'"&amp;$D$16&amp;"'!OpwekPV_2039"),0)
+IFERROR(INDIRECT("'"&amp;$D$17&amp;"'!OpwekPV_2039"),0)
+IFERROR(INDIRECT("'"&amp;$D$18&amp;"'!OpwekPV_2039"),0)
+IFERROR(INDIRECT("'"&amp;$D$19&amp;"'!OpwekPV_2039"),0)
+IFERROR(INDIRECT("'"&amp;$D$20&amp;"'!OpwekPV_2039"),0)
+IFERROR(INDIRECT("'"&amp;$D$21&amp;"'!OpwekPV_2039"),0)
+IFERROR(INDIRECT("'"&amp;$D$22&amp;"'!OpwekPV_2039"),0)
+IFERROR(INDIRECT("'"&amp;$D$23&amp;"'!OpwekPV_2039"),0)
+IFERROR(INDIRECT("'"&amp;$D$24&amp;"'!OpwekPV_2039"),0)
+IFERROR(INDIRECT("'"&amp;$D$25&amp;"'!OpwekPV_2039"),0)
+IFERROR(INDIRECT("'"&amp;$D$26&amp;"'!OpwekPV_2039"),0)
+IFERROR(INDIRECT("'"&amp;$D$27&amp;"'!OpwekPV_2039"),0)
+IFERROR(INDIRECT("'"&amp;$D$28&amp;"'!OpwekPV_2039"),0)
+IFERROR(INDIRECT("'"&amp;$D$29&amp;"'!OpwekPV_2039"),0)
+IFERROR(INDIRECT("'"&amp;$D$30&amp;"'!OpwekPV_2039"),0)
+IFERROR(INDIRECT("'"&amp;$D$31&amp;"'!OpwekPV_2039"),0)
+IFERROR(INDIRECT("'"&amp;$D$32&amp;"'!OpwekPV_2039"),0)
+IFERROR(INDIRECT("'"&amp;$D$33&amp;"'!OpwekPV_2039"),0)
+IFERROR(INDIRECT("'"&amp;$D$34&amp;"'!OpwekPV_2039"),0)
+IFERROR(INDIRECT("'"&amp;$D$35&amp;"'!OpwekPV_2039"),0)
+IFERROR(INDIRECT("'"&amp;$D$36&amp;"'!OpwekPV_2039"),0)
+IFERROR(INDIRECT("'"&amp;$D$37&amp;"'!OpwekPV_2039"),0)
+IFERROR(INDIRECT("'"&amp;$D$38&amp;"'!OpwekPV_2039"),0)
+IFERROR(INDIRECT("'"&amp;$D$39&amp;"'!OpwekPV_2039"),0)
+IFERROR(INDIRECT("'"&amp;$D$40&amp;"'!OpwekPV_2039"),0)
+IFERROR(INDIRECT("'"&amp;$D$41&amp;"'!OpwekPV_2039"),0)
+IFERROR(INDIRECT("'"&amp;$D$42&amp;"'!OpwekPV_2039"),0)
+IFERROR(INDIRECT("'"&amp;$D$43&amp;"'!OpwekPV_2039"),0)
+IFERROR(INDIRECT("'"&amp;$D$44&amp;"'!OpwekPV_2039"),0)
+IFERROR(INDIRECT("'"&amp;$D$45&amp;"'!OpwekPV_2039"),0)
+IFERROR(INDIRECT("'"&amp;$D$46&amp;"'!OpwekPV_2039"),0)
+IFERROR(INDIRECT("'"&amp;$D$47&amp;"'!OpwekPV_2039"),0)
+IFERROR(INDIRECT("'"&amp;$D$48&amp;"'!OpwekPV_2039"),0)
+IFERROR(INDIRECT("'"&amp;$D$49&amp;"'!OpwekPV_2039"),0)
+IFERROR(INDIRECT("'"&amp;$D$50&amp;"'!OpwekPV_2039"),0)
+IFERROR(INDIRECT("'"&amp;$D$51&amp;"'!OpwekPV_2039"),0)
+IFERROR(INDIRECT("'"&amp;$D$52&amp;"'!OpwekPV_2039"),0)
+IFERROR(INDIRECT("'"&amp;$D$53&amp;"'!OpwekPV_2039"),0)
+IFERROR(INDIRECT("'"&amp;$D$54&amp;"'!OpwekPV_2039"),0)</f>
        <v>219042.45500000002</v>
      </c>
      <c r="AD37" s="320">
        <f ca="1">+IFERROR(INDIRECT("'"&amp;$D$5&amp;"'!OpwekPV_2040"),0)
+IFERROR(INDIRECT("'"&amp;$D$6&amp;"'!OpwekPV_2040"),0)
+IFERROR(INDIRECT("'"&amp;$D$7&amp;"'!OpwekPV_2040"),0)
+IFERROR(INDIRECT("'"&amp;$D$8&amp;"'!OpwekPV_2040"),0)
+IFERROR(INDIRECT("'"&amp;$D$9&amp;"'!OpwekPV_2040"),0)
+IFERROR(INDIRECT("'"&amp;$D$10&amp;"'!OpwekPV_2040"),0)
+IFERROR(INDIRECT("'"&amp;$D$11&amp;"'!OpwekPV_2040"),0)
+IFERROR(INDIRECT("'"&amp;$D$12&amp;"'!OpwekPV_2040"),0)
+IFERROR(INDIRECT("'"&amp;$D$13&amp;"'!OpwekPV_2040"),0)
+IFERROR(INDIRECT("'"&amp;$D$14&amp;"'!OpwekPV_2040"),0)
+IFERROR(INDIRECT("'"&amp;$D$15&amp;"'!OpwekPV_2040"),0)
+IFERROR(INDIRECT("'"&amp;$D$16&amp;"'!OpwekPV_2040"),0)
+IFERROR(INDIRECT("'"&amp;$D$17&amp;"'!OpwekPV_2040"),0)
+IFERROR(INDIRECT("'"&amp;$D$18&amp;"'!OpwekPV_2040"),0)
+IFERROR(INDIRECT("'"&amp;$D$19&amp;"'!OpwekPV_2040"),0)
+IFERROR(INDIRECT("'"&amp;$D$20&amp;"'!OpwekPV_2040"),0)
+IFERROR(INDIRECT("'"&amp;$D$21&amp;"'!OpwekPV_2040"),0)
+IFERROR(INDIRECT("'"&amp;$D$22&amp;"'!OpwekPV_2040"),0)
+IFERROR(INDIRECT("'"&amp;$D$23&amp;"'!OpwekPV_2040"),0)
+IFERROR(INDIRECT("'"&amp;$D$24&amp;"'!OpwekPV_2040"),0)
+IFERROR(INDIRECT("'"&amp;$D$25&amp;"'!OpwekPV_2040"),0)
+IFERROR(INDIRECT("'"&amp;$D$26&amp;"'!OpwekPV_2040"),0)
+IFERROR(INDIRECT("'"&amp;$D$27&amp;"'!OpwekPV_2040"),0)
+IFERROR(INDIRECT("'"&amp;$D$28&amp;"'!OpwekPV_2040"),0)
+IFERROR(INDIRECT("'"&amp;$D$29&amp;"'!OpwekPV_2040"),0)
+IFERROR(INDIRECT("'"&amp;$D$30&amp;"'!OpwekPV_2040"),0)
+IFERROR(INDIRECT("'"&amp;$D$31&amp;"'!OpwekPV_2040"),0)
+IFERROR(INDIRECT("'"&amp;$D$32&amp;"'!OpwekPV_2040"),0)
+IFERROR(INDIRECT("'"&amp;$D$33&amp;"'!OpwekPV_2040"),0)
+IFERROR(INDIRECT("'"&amp;$D$34&amp;"'!OpwekPV_2040"),0)
+IFERROR(INDIRECT("'"&amp;$D$35&amp;"'!OpwekPV_2040"),0)
+IFERROR(INDIRECT("'"&amp;$D$36&amp;"'!OpwekPV_2040"),0)
+IFERROR(INDIRECT("'"&amp;$D$37&amp;"'!OpwekPV_2040"),0)
+IFERROR(INDIRECT("'"&amp;$D$38&amp;"'!OpwekPV_2040"),0)
+IFERROR(INDIRECT("'"&amp;$D$39&amp;"'!OpwekPV_2040"),0)
+IFERROR(INDIRECT("'"&amp;$D$40&amp;"'!OpwekPV_2040"),0)
+IFERROR(INDIRECT("'"&amp;$D$41&amp;"'!OpwekPV_2040"),0)
+IFERROR(INDIRECT("'"&amp;$D$42&amp;"'!OpwekPV_2040"),0)
+IFERROR(INDIRECT("'"&amp;$D$43&amp;"'!OpwekPV_2040"),0)
+IFERROR(INDIRECT("'"&amp;$D$44&amp;"'!OpwekPV_2040"),0)
+IFERROR(INDIRECT("'"&amp;$D$45&amp;"'!OpwekPV_2040"),0)
+IFERROR(INDIRECT("'"&amp;$D$46&amp;"'!OpwekPV_2040"),0)
+IFERROR(INDIRECT("'"&amp;$D$47&amp;"'!OpwekPV_2040"),0)
+IFERROR(INDIRECT("'"&amp;$D$48&amp;"'!OpwekPV_2040"),0)
+IFERROR(INDIRECT("'"&amp;$D$49&amp;"'!OpwekPV_2040"),0)
+IFERROR(INDIRECT("'"&amp;$D$50&amp;"'!OpwekPV_2040"),0)
+IFERROR(INDIRECT("'"&amp;$D$51&amp;"'!OpwekPV_2040"),0)
+IFERROR(INDIRECT("'"&amp;$D$52&amp;"'!OpwekPV_2040"),0)
+IFERROR(INDIRECT("'"&amp;$D$53&amp;"'!OpwekPV_2040"),0)
+IFERROR(INDIRECT("'"&amp;$D$54&amp;"'!OpwekPV_2040"),0)</f>
        <v>114312.935</v>
      </c>
      <c r="AE37" s="320">
        <f ca="1">+IFERROR(INDIRECT("'"&amp;$D$5&amp;"'!OpwekPV_2041"),0)
+IFERROR(INDIRECT("'"&amp;$D$6&amp;"'!OpwekPV_2041"),0)
+IFERROR(INDIRECT("'"&amp;$D$7&amp;"'!OpwekPV_2041"),0)
+IFERROR(INDIRECT("'"&amp;$D$8&amp;"'!OpwekPV_2041"),0)
+IFERROR(INDIRECT("'"&amp;$D$9&amp;"'!OpwekPV_2041"),0)
+IFERROR(INDIRECT("'"&amp;$D$10&amp;"'!OpwekPV_2041"),0)
+IFERROR(INDIRECT("'"&amp;$D$11&amp;"'!OpwekPV_2041"),0)
+IFERROR(INDIRECT("'"&amp;$D$12&amp;"'!OpwekPV_2041"),0)
+IFERROR(INDIRECT("'"&amp;$D$13&amp;"'!OpwekPV_2041"),0)
+IFERROR(INDIRECT("'"&amp;$D$14&amp;"'!OpwekPV_2041"),0)
+IFERROR(INDIRECT("'"&amp;$D$15&amp;"'!OpwekPV_2041"),0)
+IFERROR(INDIRECT("'"&amp;$D$16&amp;"'!OpwekPV_2041"),0)
+IFERROR(INDIRECT("'"&amp;$D$17&amp;"'!OpwekPV_2041"),0)
+IFERROR(INDIRECT("'"&amp;$D$18&amp;"'!OpwekPV_2041"),0)
+IFERROR(INDIRECT("'"&amp;$D$19&amp;"'!OpwekPV_2041"),0)
+IFERROR(INDIRECT("'"&amp;$D$20&amp;"'!OpwekPV_2041"),0)
+IFERROR(INDIRECT("'"&amp;$D$21&amp;"'!OpwekPV_2041"),0)
+IFERROR(INDIRECT("'"&amp;$D$22&amp;"'!OpwekPV_2041"),0)
+IFERROR(INDIRECT("'"&amp;$D$23&amp;"'!OpwekPV_2041"),0)
+IFERROR(INDIRECT("'"&amp;$D$24&amp;"'!OpwekPV_2041"),0)
+IFERROR(INDIRECT("'"&amp;$D$25&amp;"'!OpwekPV_2041"),0)
+IFERROR(INDIRECT("'"&amp;$D$26&amp;"'!OpwekPV_2041"),0)
+IFERROR(INDIRECT("'"&amp;$D$27&amp;"'!OpwekPV_2041"),0)
+IFERROR(INDIRECT("'"&amp;$D$28&amp;"'!OpwekPV_2041"),0)
+IFERROR(INDIRECT("'"&amp;$D$29&amp;"'!OpwekPV_2041"),0)
+IFERROR(INDIRECT("'"&amp;$D$30&amp;"'!OpwekPV_2041"),0)
+IFERROR(INDIRECT("'"&amp;$D$31&amp;"'!OpwekPV_2041"),0)
+IFERROR(INDIRECT("'"&amp;$D$32&amp;"'!OpwekPV_2041"),0)
+IFERROR(INDIRECT("'"&amp;$D$33&amp;"'!OpwekPV_2041"),0)
+IFERROR(INDIRECT("'"&amp;$D$34&amp;"'!OpwekPV_2041"),0)
+IFERROR(INDIRECT("'"&amp;$D$35&amp;"'!OpwekPV_2041"),0)
+IFERROR(INDIRECT("'"&amp;$D$36&amp;"'!OpwekPV_2041"),0)
+IFERROR(INDIRECT("'"&amp;$D$37&amp;"'!OpwekPV_2041"),0)
+IFERROR(INDIRECT("'"&amp;$D$38&amp;"'!OpwekPV_2041"),0)
+IFERROR(INDIRECT("'"&amp;$D$39&amp;"'!OpwekPV_2041"),0)
+IFERROR(INDIRECT("'"&amp;$D$40&amp;"'!OpwekPV_2041"),0)
+IFERROR(INDIRECT("'"&amp;$D$41&amp;"'!OpwekPV_2041"),0)
+IFERROR(INDIRECT("'"&amp;$D$42&amp;"'!OpwekPV_2041"),0)
+IFERROR(INDIRECT("'"&amp;$D$43&amp;"'!OpwekPV_2041"),0)
+IFERROR(INDIRECT("'"&amp;$D$44&amp;"'!OpwekPV_2041"),0)
+IFERROR(INDIRECT("'"&amp;$D$45&amp;"'!OpwekPV_2041"),0)
+IFERROR(INDIRECT("'"&amp;$D$46&amp;"'!OpwekPV_2041"),0)
+IFERROR(INDIRECT("'"&amp;$D$47&amp;"'!OpwekPV_2041"),0)
+IFERROR(INDIRECT("'"&amp;$D$48&amp;"'!OpwekPV_2041"),0)
+IFERROR(INDIRECT("'"&amp;$D$49&amp;"'!OpwekPV_2041"),0)
+IFERROR(INDIRECT("'"&amp;$D$50&amp;"'!OpwekPV_2041"),0)
+IFERROR(INDIRECT("'"&amp;$D$51&amp;"'!OpwekPV_2041"),0)
+IFERROR(INDIRECT("'"&amp;$D$52&amp;"'!OpwekPV_2041"),0)
+IFERROR(INDIRECT("'"&amp;$D$53&amp;"'!OpwekPV_2041"),0)
+IFERROR(INDIRECT("'"&amp;$D$54&amp;"'!OpwekPV_2041"),0)</f>
        <v>114312.935</v>
      </c>
      <c r="AF37" s="320">
        <f ca="1">+IFERROR(INDIRECT("'"&amp;$D$5&amp;"'!OpwekPV_2042"),0)
+IFERROR(INDIRECT("'"&amp;$D$6&amp;"'!OpwekPV_2042"),0)
+IFERROR(INDIRECT("'"&amp;$D$7&amp;"'!OpwekPV_2042"),0)
+IFERROR(INDIRECT("'"&amp;$D$8&amp;"'!OpwekPV_2042"),0)
+IFERROR(INDIRECT("'"&amp;$D$9&amp;"'!OpwekPV_2042"),0)
+IFERROR(INDIRECT("'"&amp;$D$10&amp;"'!OpwekPV_2042"),0)
+IFERROR(INDIRECT("'"&amp;$D$11&amp;"'!OpwekPV_2042"),0)
+IFERROR(INDIRECT("'"&amp;$D$12&amp;"'!OpwekPV_2042"),0)
+IFERROR(INDIRECT("'"&amp;$D$13&amp;"'!OpwekPV_2042"),0)
+IFERROR(INDIRECT("'"&amp;$D$14&amp;"'!OpwekPV_2042"),0)
+IFERROR(INDIRECT("'"&amp;$D$15&amp;"'!OpwekPV_2042"),0)
+IFERROR(INDIRECT("'"&amp;$D$16&amp;"'!OpwekPV_2042"),0)
+IFERROR(INDIRECT("'"&amp;$D$17&amp;"'!OpwekPV_2042"),0)
+IFERROR(INDIRECT("'"&amp;$D$18&amp;"'!OpwekPV_2042"),0)
+IFERROR(INDIRECT("'"&amp;$D$19&amp;"'!OpwekPV_2042"),0)
+IFERROR(INDIRECT("'"&amp;$D$20&amp;"'!OpwekPV_2042"),0)
+IFERROR(INDIRECT("'"&amp;$D$21&amp;"'!OpwekPV_2042"),0)
+IFERROR(INDIRECT("'"&amp;$D$22&amp;"'!OpwekPV_2042"),0)
+IFERROR(INDIRECT("'"&amp;$D$23&amp;"'!OpwekPV_2042"),0)
+IFERROR(INDIRECT("'"&amp;$D$24&amp;"'!OpwekPV_2042"),0)
+IFERROR(INDIRECT("'"&amp;$D$25&amp;"'!OpwekPV_2042"),0)
+IFERROR(INDIRECT("'"&amp;$D$26&amp;"'!OpwekPV_2042"),0)
+IFERROR(INDIRECT("'"&amp;$D$27&amp;"'!OpwekPV_2042"),0)
+IFERROR(INDIRECT("'"&amp;$D$28&amp;"'!OpwekPV_2042"),0)
+IFERROR(INDIRECT("'"&amp;$D$29&amp;"'!OpwekPV_2042"),0)
+IFERROR(INDIRECT("'"&amp;$D$30&amp;"'!OpwekPV_2042"),0)
+IFERROR(INDIRECT("'"&amp;$D$31&amp;"'!OpwekPV_2042"),0)
+IFERROR(INDIRECT("'"&amp;$D$32&amp;"'!OpwekPV_2042"),0)
+IFERROR(INDIRECT("'"&amp;$D$33&amp;"'!OpwekPV_2042"),0)
+IFERROR(INDIRECT("'"&amp;$D$34&amp;"'!OpwekPV_2042"),0)
+IFERROR(INDIRECT("'"&amp;$D$35&amp;"'!OpwekPV_2042"),0)
+IFERROR(INDIRECT("'"&amp;$D$36&amp;"'!OpwekPV_2042"),0)
+IFERROR(INDIRECT("'"&amp;$D$37&amp;"'!OpwekPV_2042"),0)
+IFERROR(INDIRECT("'"&amp;$D$38&amp;"'!OpwekPV_2042"),0)
+IFERROR(INDIRECT("'"&amp;$D$39&amp;"'!OpwekPV_2042"),0)
+IFERROR(INDIRECT("'"&amp;$D$40&amp;"'!OpwekPV_2042"),0)
+IFERROR(INDIRECT("'"&amp;$D$41&amp;"'!OpwekPV_2042"),0)
+IFERROR(INDIRECT("'"&amp;$D$42&amp;"'!OpwekPV_2042"),0)
+IFERROR(INDIRECT("'"&amp;$D$43&amp;"'!OpwekPV_2042"),0)
+IFERROR(INDIRECT("'"&amp;$D$44&amp;"'!OpwekPV_2042"),0)
+IFERROR(INDIRECT("'"&amp;$D$45&amp;"'!OpwekPV_2042"),0)
+IFERROR(INDIRECT("'"&amp;$D$46&amp;"'!OpwekPV_2042"),0)
+IFERROR(INDIRECT("'"&amp;$D$47&amp;"'!OpwekPV_2042"),0)
+IFERROR(INDIRECT("'"&amp;$D$48&amp;"'!OpwekPV_2042"),0)
+IFERROR(INDIRECT("'"&amp;$D$49&amp;"'!OpwekPV_2042"),0)
+IFERROR(INDIRECT("'"&amp;$D$50&amp;"'!OpwekPV_2042"),0)
+IFERROR(INDIRECT("'"&amp;$D$51&amp;"'!OpwekPV_2042"),0)
+IFERROR(INDIRECT("'"&amp;$D$52&amp;"'!OpwekPV_2042"),0)
+IFERROR(INDIRECT("'"&amp;$D$53&amp;"'!OpwekPV_2042"),0)
+IFERROR(INDIRECT("'"&amp;$D$54&amp;"'!OpwekPV_2042"),0)</f>
        <v>114312.935</v>
      </c>
      <c r="AG37" s="320">
        <f ca="1">+IFERROR(INDIRECT("'"&amp;$D$5&amp;"'!OpwekPV_2043"),0)
+IFERROR(INDIRECT("'"&amp;$D$6&amp;"'!OpwekPV_2043"),0)
+IFERROR(INDIRECT("'"&amp;$D$7&amp;"'!OpwekPV_2043"),0)
+IFERROR(INDIRECT("'"&amp;$D$8&amp;"'!OpwekPV_2043"),0)
+IFERROR(INDIRECT("'"&amp;$D$9&amp;"'!OpwekPV_2043"),0)
+IFERROR(INDIRECT("'"&amp;$D$10&amp;"'!OpwekPV_2043"),0)
+IFERROR(INDIRECT("'"&amp;$D$11&amp;"'!OpwekPV_2043"),0)
+IFERROR(INDIRECT("'"&amp;$D$12&amp;"'!OpwekPV_2043"),0)
+IFERROR(INDIRECT("'"&amp;$D$13&amp;"'!OpwekPV_2043"),0)
+IFERROR(INDIRECT("'"&amp;$D$14&amp;"'!OpwekPV_2043"),0)
+IFERROR(INDIRECT("'"&amp;$D$15&amp;"'!OpwekPV_2043"),0)
+IFERROR(INDIRECT("'"&amp;$D$16&amp;"'!OpwekPV_2043"),0)
+IFERROR(INDIRECT("'"&amp;$D$17&amp;"'!OpwekPV_2043"),0)
+IFERROR(INDIRECT("'"&amp;$D$18&amp;"'!OpwekPV_2043"),0)
+IFERROR(INDIRECT("'"&amp;$D$19&amp;"'!OpwekPV_2043"),0)
+IFERROR(INDIRECT("'"&amp;$D$20&amp;"'!OpwekPV_2043"),0)
+IFERROR(INDIRECT("'"&amp;$D$21&amp;"'!OpwekPV_2043"),0)
+IFERROR(INDIRECT("'"&amp;$D$22&amp;"'!OpwekPV_2043"),0)
+IFERROR(INDIRECT("'"&amp;$D$23&amp;"'!OpwekPV_2043"),0)
+IFERROR(INDIRECT("'"&amp;$D$24&amp;"'!OpwekPV_2043"),0)
+IFERROR(INDIRECT("'"&amp;$D$25&amp;"'!OpwekPV_2043"),0)
+IFERROR(INDIRECT("'"&amp;$D$26&amp;"'!OpwekPV_2043"),0)
+IFERROR(INDIRECT("'"&amp;$D$27&amp;"'!OpwekPV_2043"),0)
+IFERROR(INDIRECT("'"&amp;$D$28&amp;"'!OpwekPV_2043"),0)
+IFERROR(INDIRECT("'"&amp;$D$29&amp;"'!OpwekPV_2043"),0)
+IFERROR(INDIRECT("'"&amp;$D$30&amp;"'!OpwekPV_2043"),0)
+IFERROR(INDIRECT("'"&amp;$D$31&amp;"'!OpwekPV_2043"),0)
+IFERROR(INDIRECT("'"&amp;$D$32&amp;"'!OpwekPV_2043"),0)
+IFERROR(INDIRECT("'"&amp;$D$33&amp;"'!OpwekPV_2043"),0)
+IFERROR(INDIRECT("'"&amp;$D$34&amp;"'!OpwekPV_2043"),0)
+IFERROR(INDIRECT("'"&amp;$D$35&amp;"'!OpwekPV_2043"),0)
+IFERROR(INDIRECT("'"&amp;$D$36&amp;"'!OpwekPV_2043"),0)
+IFERROR(INDIRECT("'"&amp;$D$37&amp;"'!OpwekPV_2043"),0)
+IFERROR(INDIRECT("'"&amp;$D$38&amp;"'!OpwekPV_2043"),0)
+IFERROR(INDIRECT("'"&amp;$D$39&amp;"'!OpwekPV_2043"),0)
+IFERROR(INDIRECT("'"&amp;$D$40&amp;"'!OpwekPV_2043"),0)
+IFERROR(INDIRECT("'"&amp;$D$41&amp;"'!OpwekPV_2043"),0)
+IFERROR(INDIRECT("'"&amp;$D$42&amp;"'!OpwekPV_2043"),0)
+IFERROR(INDIRECT("'"&amp;$D$43&amp;"'!OpwekPV_2043"),0)
+IFERROR(INDIRECT("'"&amp;$D$44&amp;"'!OpwekPV_2043"),0)
+IFERROR(INDIRECT("'"&amp;$D$45&amp;"'!OpwekPV_2043"),0)
+IFERROR(INDIRECT("'"&amp;$D$46&amp;"'!OpwekPV_2043"),0)
+IFERROR(INDIRECT("'"&amp;$D$47&amp;"'!OpwekPV_2043"),0)
+IFERROR(INDIRECT("'"&amp;$D$48&amp;"'!OpwekPV_2043"),0)
+IFERROR(INDIRECT("'"&amp;$D$49&amp;"'!OpwekPV_2043"),0)
+IFERROR(INDIRECT("'"&amp;$D$50&amp;"'!OpwekPV_2043"),0)
+IFERROR(INDIRECT("'"&amp;$D$51&amp;"'!OpwekPV_2043"),0)
+IFERROR(INDIRECT("'"&amp;$D$52&amp;"'!OpwekPV_2043"),0)
+IFERROR(INDIRECT("'"&amp;$D$53&amp;"'!OpwekPV_2043"),0)
+IFERROR(INDIRECT("'"&amp;$D$54&amp;"'!OpwekPV_2043"),0)</f>
        <v>114312.935</v>
      </c>
      <c r="AH37" s="320">
        <f ca="1">+IFERROR(INDIRECT("'"&amp;$D$5&amp;"'!OpwekPV_2044"),0)
+IFERROR(INDIRECT("'"&amp;$D$6&amp;"'!OpwekPV_2044"),0)
+IFERROR(INDIRECT("'"&amp;$D$7&amp;"'!OpwekPV_2044"),0)
+IFERROR(INDIRECT("'"&amp;$D$8&amp;"'!OpwekPV_2044"),0)
+IFERROR(INDIRECT("'"&amp;$D$9&amp;"'!OpwekPV_2044"),0)
+IFERROR(INDIRECT("'"&amp;$D$10&amp;"'!OpwekPV_2044"),0)
+IFERROR(INDIRECT("'"&amp;$D$11&amp;"'!OpwekPV_2044"),0)
+IFERROR(INDIRECT("'"&amp;$D$12&amp;"'!OpwekPV_2044"),0)
+IFERROR(INDIRECT("'"&amp;$D$13&amp;"'!OpwekPV_2044"),0)
+IFERROR(INDIRECT("'"&amp;$D$14&amp;"'!OpwekPV_2044"),0)
+IFERROR(INDIRECT("'"&amp;$D$15&amp;"'!OpwekPV_2044"),0)
+IFERROR(INDIRECT("'"&amp;$D$16&amp;"'!OpwekPV_2044"),0)
+IFERROR(INDIRECT("'"&amp;$D$17&amp;"'!OpwekPV_2044"),0)
+IFERROR(INDIRECT("'"&amp;$D$18&amp;"'!OpwekPV_2044"),0)
+IFERROR(INDIRECT("'"&amp;$D$19&amp;"'!OpwekPV_2044"),0)
+IFERROR(INDIRECT("'"&amp;$D$20&amp;"'!OpwekPV_2044"),0)
+IFERROR(INDIRECT("'"&amp;$D$21&amp;"'!OpwekPV_2044"),0)
+IFERROR(INDIRECT("'"&amp;$D$22&amp;"'!OpwekPV_2044"),0)
+IFERROR(INDIRECT("'"&amp;$D$23&amp;"'!OpwekPV_2044"),0)
+IFERROR(INDIRECT("'"&amp;$D$24&amp;"'!OpwekPV_2044"),0)
+IFERROR(INDIRECT("'"&amp;$D$25&amp;"'!OpwekPV_2044"),0)
+IFERROR(INDIRECT("'"&amp;$D$26&amp;"'!OpwekPV_2044"),0)
+IFERROR(INDIRECT("'"&amp;$D$27&amp;"'!OpwekPV_2044"),0)
+IFERROR(INDIRECT("'"&amp;$D$28&amp;"'!OpwekPV_2044"),0)
+IFERROR(INDIRECT("'"&amp;$D$29&amp;"'!OpwekPV_2044"),0)
+IFERROR(INDIRECT("'"&amp;$D$30&amp;"'!OpwekPV_2044"),0)
+IFERROR(INDIRECT("'"&amp;$D$31&amp;"'!OpwekPV_2044"),0)
+IFERROR(INDIRECT("'"&amp;$D$32&amp;"'!OpwekPV_2044"),0)
+IFERROR(INDIRECT("'"&amp;$D$33&amp;"'!OpwekPV_2044"),0)
+IFERROR(INDIRECT("'"&amp;$D$34&amp;"'!OpwekPV_2044"),0)
+IFERROR(INDIRECT("'"&amp;$D$35&amp;"'!OpwekPV_2044"),0)
+IFERROR(INDIRECT("'"&amp;$D$36&amp;"'!OpwekPV_2044"),0)
+IFERROR(INDIRECT("'"&amp;$D$37&amp;"'!OpwekPV_2044"),0)
+IFERROR(INDIRECT("'"&amp;$D$38&amp;"'!OpwekPV_2044"),0)
+IFERROR(INDIRECT("'"&amp;$D$39&amp;"'!OpwekPV_2044"),0)
+IFERROR(INDIRECT("'"&amp;$D$40&amp;"'!OpwekPV_2044"),0)
+IFERROR(INDIRECT("'"&amp;$D$41&amp;"'!OpwekPV_2044"),0)
+IFERROR(INDIRECT("'"&amp;$D$42&amp;"'!OpwekPV_2044"),0)
+IFERROR(INDIRECT("'"&amp;$D$43&amp;"'!OpwekPV_2044"),0)
+IFERROR(INDIRECT("'"&amp;$D$44&amp;"'!OpwekPV_2044"),0)
+IFERROR(INDIRECT("'"&amp;$D$45&amp;"'!OpwekPV_2044"),0)
+IFERROR(INDIRECT("'"&amp;$D$46&amp;"'!OpwekPV_2044"),0)
+IFERROR(INDIRECT("'"&amp;$D$47&amp;"'!OpwekPV_2044"),0)
+IFERROR(INDIRECT("'"&amp;$D$48&amp;"'!OpwekPV_2044"),0)
+IFERROR(INDIRECT("'"&amp;$D$49&amp;"'!OpwekPV_2044"),0)
+IFERROR(INDIRECT("'"&amp;$D$50&amp;"'!OpwekPV_2044"),0)
+IFERROR(INDIRECT("'"&amp;$D$51&amp;"'!OpwekPV_2044"),0)
+IFERROR(INDIRECT("'"&amp;$D$52&amp;"'!OpwekPV_2044"),0)
+IFERROR(INDIRECT("'"&amp;$D$53&amp;"'!OpwekPV_2044"),0)
+IFERROR(INDIRECT("'"&amp;$D$54&amp;"'!OpwekPV_2044"),0)</f>
        <v>114312.935</v>
      </c>
      <c r="AI37" s="320">
        <f ca="1">+IFERROR(INDIRECT("'"&amp;$D$5&amp;"'!OpwekPV_2045"),0)
+IFERROR(INDIRECT("'"&amp;$D$6&amp;"'!OpwekPV_2045"),0)
+IFERROR(INDIRECT("'"&amp;$D$7&amp;"'!OpwekPV_2045"),0)
+IFERROR(INDIRECT("'"&amp;$D$8&amp;"'!OpwekPV_2045"),0)
+IFERROR(INDIRECT("'"&amp;$D$9&amp;"'!OpwekPV_2045"),0)
+IFERROR(INDIRECT("'"&amp;$D$10&amp;"'!OpwekPV_2045"),0)
+IFERROR(INDIRECT("'"&amp;$D$11&amp;"'!OpwekPV_2045"),0)
+IFERROR(INDIRECT("'"&amp;$D$12&amp;"'!OpwekPV_2045"),0)
+IFERROR(INDIRECT("'"&amp;$D$13&amp;"'!OpwekPV_2045"),0)
+IFERROR(INDIRECT("'"&amp;$D$14&amp;"'!OpwekPV_2045"),0)
+IFERROR(INDIRECT("'"&amp;$D$15&amp;"'!OpwekPV_2045"),0)
+IFERROR(INDIRECT("'"&amp;$D$16&amp;"'!OpwekPV_2045"),0)
+IFERROR(INDIRECT("'"&amp;$D$17&amp;"'!OpwekPV_2045"),0)
+IFERROR(INDIRECT("'"&amp;$D$18&amp;"'!OpwekPV_2045"),0)
+IFERROR(INDIRECT("'"&amp;$D$19&amp;"'!OpwekPV_2045"),0)
+IFERROR(INDIRECT("'"&amp;$D$20&amp;"'!OpwekPV_2045"),0)
+IFERROR(INDIRECT("'"&amp;$D$21&amp;"'!OpwekPV_2045"),0)
+IFERROR(INDIRECT("'"&amp;$D$22&amp;"'!OpwekPV_2045"),0)
+IFERROR(INDIRECT("'"&amp;$D$23&amp;"'!OpwekPV_2045"),0)
+IFERROR(INDIRECT("'"&amp;$D$24&amp;"'!OpwekPV_2045"),0)
+IFERROR(INDIRECT("'"&amp;$D$25&amp;"'!OpwekPV_2045"),0)
+IFERROR(INDIRECT("'"&amp;$D$26&amp;"'!OpwekPV_2045"),0)
+IFERROR(INDIRECT("'"&amp;$D$27&amp;"'!OpwekPV_2045"),0)
+IFERROR(INDIRECT("'"&amp;$D$28&amp;"'!OpwekPV_2045"),0)
+IFERROR(INDIRECT("'"&amp;$D$29&amp;"'!OpwekPV_2045"),0)
+IFERROR(INDIRECT("'"&amp;$D$30&amp;"'!OpwekPV_2045"),0)
+IFERROR(INDIRECT("'"&amp;$D$31&amp;"'!OpwekPV_2045"),0)
+IFERROR(INDIRECT("'"&amp;$D$32&amp;"'!OpwekPV_2045"),0)
+IFERROR(INDIRECT("'"&amp;$D$33&amp;"'!OpwekPV_2045"),0)
+IFERROR(INDIRECT("'"&amp;$D$34&amp;"'!OpwekPV_2045"),0)
+IFERROR(INDIRECT("'"&amp;$D$35&amp;"'!OpwekPV_2045"),0)
+IFERROR(INDIRECT("'"&amp;$D$36&amp;"'!OpwekPV_2045"),0)
+IFERROR(INDIRECT("'"&amp;$D$37&amp;"'!OpwekPV_2045"),0)
+IFERROR(INDIRECT("'"&amp;$D$38&amp;"'!OpwekPV_2045"),0)
+IFERROR(INDIRECT("'"&amp;$D$39&amp;"'!OpwekPV_2045"),0)
+IFERROR(INDIRECT("'"&amp;$D$40&amp;"'!OpwekPV_2045"),0)
+IFERROR(INDIRECT("'"&amp;$D$41&amp;"'!OpwekPV_2045"),0)
+IFERROR(INDIRECT("'"&amp;$D$42&amp;"'!OpwekPV_2045"),0)
+IFERROR(INDIRECT("'"&amp;$D$43&amp;"'!OpwekPV_2045"),0)
+IFERROR(INDIRECT("'"&amp;$D$44&amp;"'!OpwekPV_2045"),0)
+IFERROR(INDIRECT("'"&amp;$D$45&amp;"'!OpwekPV_2045"),0)
+IFERROR(INDIRECT("'"&amp;$D$46&amp;"'!OpwekPV_2045"),0)
+IFERROR(INDIRECT("'"&amp;$D$47&amp;"'!OpwekPV_2045"),0)
+IFERROR(INDIRECT("'"&amp;$D$48&amp;"'!OpwekPV_2045"),0)
+IFERROR(INDIRECT("'"&amp;$D$49&amp;"'!OpwekPV_2045"),0)
+IFERROR(INDIRECT("'"&amp;$D$50&amp;"'!OpwekPV_2045"),0)
+IFERROR(INDIRECT("'"&amp;$D$51&amp;"'!OpwekPV_2045"),0)
+IFERROR(INDIRECT("'"&amp;$D$52&amp;"'!OpwekPV_2045"),0)
+IFERROR(INDIRECT("'"&amp;$D$53&amp;"'!OpwekPV_2045"),0)
+IFERROR(INDIRECT("'"&amp;$D$54&amp;"'!OpwekPV_2045"),0)</f>
        <v>114312.935</v>
      </c>
      <c r="AJ37" s="320">
        <f ca="1">+IFERROR(INDIRECT("'"&amp;$D$5&amp;"'!OpwekPV_2046"),0)
+IFERROR(INDIRECT("'"&amp;$D$6&amp;"'!OpwekPV_2046"),0)
+IFERROR(INDIRECT("'"&amp;$D$7&amp;"'!OpwekPV_2046"),0)
+IFERROR(INDIRECT("'"&amp;$D$8&amp;"'!OpwekPV_2046"),0)
+IFERROR(INDIRECT("'"&amp;$D$9&amp;"'!OpwekPV_2046"),0)
+IFERROR(INDIRECT("'"&amp;$D$10&amp;"'!OpwekPV_2046"),0)
+IFERROR(INDIRECT("'"&amp;$D$11&amp;"'!OpwekPV_2046"),0)
+IFERROR(INDIRECT("'"&amp;$D$12&amp;"'!OpwekPV_2046"),0)
+IFERROR(INDIRECT("'"&amp;$D$13&amp;"'!OpwekPV_2046"),0)
+IFERROR(INDIRECT("'"&amp;$D$14&amp;"'!OpwekPV_2046"),0)
+IFERROR(INDIRECT("'"&amp;$D$15&amp;"'!OpwekPV_2046"),0)
+IFERROR(INDIRECT("'"&amp;$D$16&amp;"'!OpwekPV_2046"),0)
+IFERROR(INDIRECT("'"&amp;$D$17&amp;"'!OpwekPV_2046"),0)
+IFERROR(INDIRECT("'"&amp;$D$18&amp;"'!OpwekPV_2046"),0)
+IFERROR(INDIRECT("'"&amp;$D$19&amp;"'!OpwekPV_2046"),0)
+IFERROR(INDIRECT("'"&amp;$D$20&amp;"'!OpwekPV_2046"),0)
+IFERROR(INDIRECT("'"&amp;$D$21&amp;"'!OpwekPV_2046"),0)
+IFERROR(INDIRECT("'"&amp;$D$22&amp;"'!OpwekPV_2046"),0)
+IFERROR(INDIRECT("'"&amp;$D$23&amp;"'!OpwekPV_2046"),0)
+IFERROR(INDIRECT("'"&amp;$D$24&amp;"'!OpwekPV_2046"),0)
+IFERROR(INDIRECT("'"&amp;$D$25&amp;"'!OpwekPV_2046"),0)
+IFERROR(INDIRECT("'"&amp;$D$26&amp;"'!OpwekPV_2046"),0)
+IFERROR(INDIRECT("'"&amp;$D$27&amp;"'!OpwekPV_2046"),0)
+IFERROR(INDIRECT("'"&amp;$D$28&amp;"'!OpwekPV_2046"),0)
+IFERROR(INDIRECT("'"&amp;$D$29&amp;"'!OpwekPV_2046"),0)
+IFERROR(INDIRECT("'"&amp;$D$30&amp;"'!OpwekPV_2046"),0)
+IFERROR(INDIRECT("'"&amp;$D$31&amp;"'!OpwekPV_2046"),0)
+IFERROR(INDIRECT("'"&amp;$D$32&amp;"'!OpwekPV_2046"),0)
+IFERROR(INDIRECT("'"&amp;$D$33&amp;"'!OpwekPV_2046"),0)
+IFERROR(INDIRECT("'"&amp;$D$34&amp;"'!OpwekPV_2046"),0)
+IFERROR(INDIRECT("'"&amp;$D$35&amp;"'!OpwekPV_2046"),0)
+IFERROR(INDIRECT("'"&amp;$D$36&amp;"'!OpwekPV_2046"),0)
+IFERROR(INDIRECT("'"&amp;$D$37&amp;"'!OpwekPV_2046"),0)
+IFERROR(INDIRECT("'"&amp;$D$38&amp;"'!OpwekPV_2046"),0)
+IFERROR(INDIRECT("'"&amp;$D$39&amp;"'!OpwekPV_2046"),0)
+IFERROR(INDIRECT("'"&amp;$D$40&amp;"'!OpwekPV_2046"),0)
+IFERROR(INDIRECT("'"&amp;$D$41&amp;"'!OpwekPV_2046"),0)
+IFERROR(INDIRECT("'"&amp;$D$42&amp;"'!OpwekPV_2046"),0)
+IFERROR(INDIRECT("'"&amp;$D$43&amp;"'!OpwekPV_2046"),0)
+IFERROR(INDIRECT("'"&amp;$D$44&amp;"'!OpwekPV_2046"),0)
+IFERROR(INDIRECT("'"&amp;$D$45&amp;"'!OpwekPV_2046"),0)
+IFERROR(INDIRECT("'"&amp;$D$46&amp;"'!OpwekPV_2046"),0)
+IFERROR(INDIRECT("'"&amp;$D$47&amp;"'!OpwekPV_2046"),0)
+IFERROR(INDIRECT("'"&amp;$D$48&amp;"'!OpwekPV_2046"),0)
+IFERROR(INDIRECT("'"&amp;$D$49&amp;"'!OpwekPV_2046"),0)
+IFERROR(INDIRECT("'"&amp;$D$50&amp;"'!OpwekPV_2046"),0)
+IFERROR(INDIRECT("'"&amp;$D$51&amp;"'!OpwekPV_2046"),0)
+IFERROR(INDIRECT("'"&amp;$D$52&amp;"'!OpwekPV_2046"),0)
+IFERROR(INDIRECT("'"&amp;$D$53&amp;"'!OpwekPV_2046"),0)
+IFERROR(INDIRECT("'"&amp;$D$54&amp;"'!OpwekPV_2046"),0)</f>
        <v>114312.935</v>
      </c>
      <c r="AK37" s="320">
        <f ca="1">+IFERROR(INDIRECT("'"&amp;$D$5&amp;"'!OpwekPV_2047"),0)
+IFERROR(INDIRECT("'"&amp;$D$6&amp;"'!OpwekPV_2047"),0)
+IFERROR(INDIRECT("'"&amp;$D$7&amp;"'!OpwekPV_2047"),0)
+IFERROR(INDIRECT("'"&amp;$D$8&amp;"'!OpwekPV_2047"),0)
+IFERROR(INDIRECT("'"&amp;$D$9&amp;"'!OpwekPV_2047"),0)
+IFERROR(INDIRECT("'"&amp;$D$10&amp;"'!OpwekPV_2047"),0)
+IFERROR(INDIRECT("'"&amp;$D$11&amp;"'!OpwekPV_2047"),0)
+IFERROR(INDIRECT("'"&amp;$D$12&amp;"'!OpwekPV_2047"),0)
+IFERROR(INDIRECT("'"&amp;$D$13&amp;"'!OpwekPV_2047"),0)
+IFERROR(INDIRECT("'"&amp;$D$14&amp;"'!OpwekPV_2047"),0)
+IFERROR(INDIRECT("'"&amp;$D$15&amp;"'!OpwekPV_2047"),0)
+IFERROR(INDIRECT("'"&amp;$D$16&amp;"'!OpwekPV_2047"),0)
+IFERROR(INDIRECT("'"&amp;$D$17&amp;"'!OpwekPV_2047"),0)
+IFERROR(INDIRECT("'"&amp;$D$18&amp;"'!OpwekPV_2047"),0)
+IFERROR(INDIRECT("'"&amp;$D$19&amp;"'!OpwekPV_2047"),0)
+IFERROR(INDIRECT("'"&amp;$D$20&amp;"'!OpwekPV_2047"),0)
+IFERROR(INDIRECT("'"&amp;$D$21&amp;"'!OpwekPV_2047"),0)
+IFERROR(INDIRECT("'"&amp;$D$22&amp;"'!OpwekPV_2047"),0)
+IFERROR(INDIRECT("'"&amp;$D$23&amp;"'!OpwekPV_2047"),0)
+IFERROR(INDIRECT("'"&amp;$D$24&amp;"'!OpwekPV_2047"),0)
+IFERROR(INDIRECT("'"&amp;$D$25&amp;"'!OpwekPV_2047"),0)
+IFERROR(INDIRECT("'"&amp;$D$26&amp;"'!OpwekPV_2047"),0)
+IFERROR(INDIRECT("'"&amp;$D$27&amp;"'!OpwekPV_2047"),0)
+IFERROR(INDIRECT("'"&amp;$D$28&amp;"'!OpwekPV_2047"),0)
+IFERROR(INDIRECT("'"&amp;$D$29&amp;"'!OpwekPV_2047"),0)
+IFERROR(INDIRECT("'"&amp;$D$30&amp;"'!OpwekPV_2047"),0)
+IFERROR(INDIRECT("'"&amp;$D$31&amp;"'!OpwekPV_2047"),0)
+IFERROR(INDIRECT("'"&amp;$D$32&amp;"'!OpwekPV_2047"),0)
+IFERROR(INDIRECT("'"&amp;$D$33&amp;"'!OpwekPV_2047"),0)
+IFERROR(INDIRECT("'"&amp;$D$34&amp;"'!OpwekPV_2047"),0)
+IFERROR(INDIRECT("'"&amp;$D$35&amp;"'!OpwekPV_2047"),0)
+IFERROR(INDIRECT("'"&amp;$D$36&amp;"'!OpwekPV_2047"),0)
+IFERROR(INDIRECT("'"&amp;$D$37&amp;"'!OpwekPV_2047"),0)
+IFERROR(INDIRECT("'"&amp;$D$38&amp;"'!OpwekPV_2047"),0)
+IFERROR(INDIRECT("'"&amp;$D$39&amp;"'!OpwekPV_2047"),0)
+IFERROR(INDIRECT("'"&amp;$D$40&amp;"'!OpwekPV_2047"),0)
+IFERROR(INDIRECT("'"&amp;$D$41&amp;"'!OpwekPV_2047"),0)
+IFERROR(INDIRECT("'"&amp;$D$42&amp;"'!OpwekPV_2047"),0)
+IFERROR(INDIRECT("'"&amp;$D$43&amp;"'!OpwekPV_2047"),0)
+IFERROR(INDIRECT("'"&amp;$D$44&amp;"'!OpwekPV_2047"),0)
+IFERROR(INDIRECT("'"&amp;$D$45&amp;"'!OpwekPV_2047"),0)
+IFERROR(INDIRECT("'"&amp;$D$46&amp;"'!OpwekPV_2047"),0)
+IFERROR(INDIRECT("'"&amp;$D$47&amp;"'!OpwekPV_2047"),0)
+IFERROR(INDIRECT("'"&amp;$D$48&amp;"'!OpwekPV_2047"),0)
+IFERROR(INDIRECT("'"&amp;$D$49&amp;"'!OpwekPV_2047"),0)
+IFERROR(INDIRECT("'"&amp;$D$50&amp;"'!OpwekPV_2047"),0)
+IFERROR(INDIRECT("'"&amp;$D$51&amp;"'!OpwekPV_2047"),0)
+IFERROR(INDIRECT("'"&amp;$D$52&amp;"'!OpwekPV_2047"),0)
+IFERROR(INDIRECT("'"&amp;$D$53&amp;"'!OpwekPV_2047"),0)
+IFERROR(INDIRECT("'"&amp;$D$54&amp;"'!OpwekPV_2047"),0)</f>
        <v>114312.935</v>
      </c>
      <c r="AL37" s="320">
        <f ca="1">+IFERROR(INDIRECT("'"&amp;$D$5&amp;"'!OpwekPV_2048"),0)
+IFERROR(INDIRECT("'"&amp;$D$6&amp;"'!OpwekPV_2048"),0)
+IFERROR(INDIRECT("'"&amp;$D$7&amp;"'!OpwekPV_2048"),0)
+IFERROR(INDIRECT("'"&amp;$D$8&amp;"'!OpwekPV_2048"),0)
+IFERROR(INDIRECT("'"&amp;$D$9&amp;"'!OpwekPV_2048"),0)
+IFERROR(INDIRECT("'"&amp;$D$10&amp;"'!OpwekPV_2048"),0)
+IFERROR(INDIRECT("'"&amp;$D$11&amp;"'!OpwekPV_2048"),0)
+IFERROR(INDIRECT("'"&amp;$D$12&amp;"'!OpwekPV_2048"),0)
+IFERROR(INDIRECT("'"&amp;$D$13&amp;"'!OpwekPV_2048"),0)
+IFERROR(INDIRECT("'"&amp;$D$14&amp;"'!OpwekPV_2048"),0)
+IFERROR(INDIRECT("'"&amp;$D$15&amp;"'!OpwekPV_2048"),0)
+IFERROR(INDIRECT("'"&amp;$D$16&amp;"'!OpwekPV_2048"),0)
+IFERROR(INDIRECT("'"&amp;$D$17&amp;"'!OpwekPV_2048"),0)
+IFERROR(INDIRECT("'"&amp;$D$18&amp;"'!OpwekPV_2048"),0)
+IFERROR(INDIRECT("'"&amp;$D$19&amp;"'!OpwekPV_2048"),0)
+IFERROR(INDIRECT("'"&amp;$D$20&amp;"'!OpwekPV_2048"),0)
+IFERROR(INDIRECT("'"&amp;$D$21&amp;"'!OpwekPV_2048"),0)
+IFERROR(INDIRECT("'"&amp;$D$22&amp;"'!OpwekPV_2048"),0)
+IFERROR(INDIRECT("'"&amp;$D$23&amp;"'!OpwekPV_2048"),0)
+IFERROR(INDIRECT("'"&amp;$D$24&amp;"'!OpwekPV_2048"),0)
+IFERROR(INDIRECT("'"&amp;$D$25&amp;"'!OpwekPV_2048"),0)
+IFERROR(INDIRECT("'"&amp;$D$26&amp;"'!OpwekPV_2048"),0)
+IFERROR(INDIRECT("'"&amp;$D$27&amp;"'!OpwekPV_2048"),0)
+IFERROR(INDIRECT("'"&amp;$D$28&amp;"'!OpwekPV_2048"),0)
+IFERROR(INDIRECT("'"&amp;$D$29&amp;"'!OpwekPV_2048"),0)
+IFERROR(INDIRECT("'"&amp;$D$30&amp;"'!OpwekPV_2048"),0)
+IFERROR(INDIRECT("'"&amp;$D$31&amp;"'!OpwekPV_2048"),0)
+IFERROR(INDIRECT("'"&amp;$D$32&amp;"'!OpwekPV_2048"),0)
+IFERROR(INDIRECT("'"&amp;$D$33&amp;"'!OpwekPV_2048"),0)
+IFERROR(INDIRECT("'"&amp;$D$34&amp;"'!OpwekPV_2048"),0)
+IFERROR(INDIRECT("'"&amp;$D$35&amp;"'!OpwekPV_2048"),0)
+IFERROR(INDIRECT("'"&amp;$D$36&amp;"'!OpwekPV_2048"),0)
+IFERROR(INDIRECT("'"&amp;$D$37&amp;"'!OpwekPV_2048"),0)
+IFERROR(INDIRECT("'"&amp;$D$38&amp;"'!OpwekPV_2048"),0)
+IFERROR(INDIRECT("'"&amp;$D$39&amp;"'!OpwekPV_2048"),0)
+IFERROR(INDIRECT("'"&amp;$D$40&amp;"'!OpwekPV_2048"),0)
+IFERROR(INDIRECT("'"&amp;$D$41&amp;"'!OpwekPV_2048"),0)
+IFERROR(INDIRECT("'"&amp;$D$42&amp;"'!OpwekPV_2048"),0)
+IFERROR(INDIRECT("'"&amp;$D$43&amp;"'!OpwekPV_2048"),0)
+IFERROR(INDIRECT("'"&amp;$D$44&amp;"'!OpwekPV_2048"),0)
+IFERROR(INDIRECT("'"&amp;$D$45&amp;"'!OpwekPV_2048"),0)
+IFERROR(INDIRECT("'"&amp;$D$46&amp;"'!OpwekPV_2048"),0)
+IFERROR(INDIRECT("'"&amp;$D$47&amp;"'!OpwekPV_2048"),0)
+IFERROR(INDIRECT("'"&amp;$D$48&amp;"'!OpwekPV_2048"),0)
+IFERROR(INDIRECT("'"&amp;$D$49&amp;"'!OpwekPV_2048"),0)
+IFERROR(INDIRECT("'"&amp;$D$50&amp;"'!OpwekPV_2048"),0)
+IFERROR(INDIRECT("'"&amp;$D$51&amp;"'!OpwekPV_2048"),0)
+IFERROR(INDIRECT("'"&amp;$D$52&amp;"'!OpwekPV_2048"),0)
+IFERROR(INDIRECT("'"&amp;$D$53&amp;"'!OpwekPV_2048"),0)
+IFERROR(INDIRECT("'"&amp;$D$54&amp;"'!OpwekPV_2048"),0)</f>
        <v>114312.935</v>
      </c>
      <c r="AM37" s="320">
        <f ca="1">+IFERROR(INDIRECT("'"&amp;$D$5&amp;"'!OpwekPV_2049"),0)
+IFERROR(INDIRECT("'"&amp;$D$6&amp;"'!OpwekPV_2049"),0)
+IFERROR(INDIRECT("'"&amp;$D$7&amp;"'!OpwekPV_2049"),0)
+IFERROR(INDIRECT("'"&amp;$D$8&amp;"'!OpwekPV_2049"),0)
+IFERROR(INDIRECT("'"&amp;$D$9&amp;"'!OpwekPV_2049"),0)
+IFERROR(INDIRECT("'"&amp;$D$10&amp;"'!OpwekPV_2049"),0)
+IFERROR(INDIRECT("'"&amp;$D$11&amp;"'!OpwekPV_2049"),0)
+IFERROR(INDIRECT("'"&amp;$D$12&amp;"'!OpwekPV_2049"),0)
+IFERROR(INDIRECT("'"&amp;$D$13&amp;"'!OpwekPV_2049"),0)
+IFERROR(INDIRECT("'"&amp;$D$14&amp;"'!OpwekPV_2049"),0)
+IFERROR(INDIRECT("'"&amp;$D$15&amp;"'!OpwekPV_2049"),0)
+IFERROR(INDIRECT("'"&amp;$D$16&amp;"'!OpwekPV_2049"),0)
+IFERROR(INDIRECT("'"&amp;$D$17&amp;"'!OpwekPV_2049"),0)
+IFERROR(INDIRECT("'"&amp;$D$18&amp;"'!OpwekPV_2049"),0)
+IFERROR(INDIRECT("'"&amp;$D$19&amp;"'!OpwekPV_2049"),0)
+IFERROR(INDIRECT("'"&amp;$D$20&amp;"'!OpwekPV_2049"),0)
+IFERROR(INDIRECT("'"&amp;$D$21&amp;"'!OpwekPV_2049"),0)
+IFERROR(INDIRECT("'"&amp;$D$22&amp;"'!OpwekPV_2049"),0)
+IFERROR(INDIRECT("'"&amp;$D$23&amp;"'!OpwekPV_2049"),0)
+IFERROR(INDIRECT("'"&amp;$D$24&amp;"'!OpwekPV_2049"),0)
+IFERROR(INDIRECT("'"&amp;$D$25&amp;"'!OpwekPV_2049"),0)
+IFERROR(INDIRECT("'"&amp;$D$26&amp;"'!OpwekPV_2049"),0)
+IFERROR(INDIRECT("'"&amp;$D$27&amp;"'!OpwekPV_2049"),0)
+IFERROR(INDIRECT("'"&amp;$D$28&amp;"'!OpwekPV_2049"),0)
+IFERROR(INDIRECT("'"&amp;$D$29&amp;"'!OpwekPV_2049"),0)
+IFERROR(INDIRECT("'"&amp;$D$30&amp;"'!OpwekPV_2049"),0)
+IFERROR(INDIRECT("'"&amp;$D$31&amp;"'!OpwekPV_2049"),0)
+IFERROR(INDIRECT("'"&amp;$D$32&amp;"'!OpwekPV_2049"),0)
+IFERROR(INDIRECT("'"&amp;$D$33&amp;"'!OpwekPV_2049"),0)
+IFERROR(INDIRECT("'"&amp;$D$34&amp;"'!OpwekPV_2049"),0)
+IFERROR(INDIRECT("'"&amp;$D$35&amp;"'!OpwekPV_2049"),0)
+IFERROR(INDIRECT("'"&amp;$D$36&amp;"'!OpwekPV_2049"),0)
+IFERROR(INDIRECT("'"&amp;$D$37&amp;"'!OpwekPV_2049"),0)
+IFERROR(INDIRECT("'"&amp;$D$38&amp;"'!OpwekPV_2049"),0)
+IFERROR(INDIRECT("'"&amp;$D$39&amp;"'!OpwekPV_2049"),0)
+IFERROR(INDIRECT("'"&amp;$D$40&amp;"'!OpwekPV_2049"),0)
+IFERROR(INDIRECT("'"&amp;$D$41&amp;"'!OpwekPV_2049"),0)
+IFERROR(INDIRECT("'"&amp;$D$42&amp;"'!OpwekPV_2049"),0)
+IFERROR(INDIRECT("'"&amp;$D$43&amp;"'!OpwekPV_2049"),0)
+IFERROR(INDIRECT("'"&amp;$D$44&amp;"'!OpwekPV_2049"),0)
+IFERROR(INDIRECT("'"&amp;$D$45&amp;"'!OpwekPV_2049"),0)
+IFERROR(INDIRECT("'"&amp;$D$46&amp;"'!OpwekPV_2049"),0)
+IFERROR(INDIRECT("'"&amp;$D$47&amp;"'!OpwekPV_2049"),0)
+IFERROR(INDIRECT("'"&amp;$D$48&amp;"'!OpwekPV_2049"),0)
+IFERROR(INDIRECT("'"&amp;$D$49&amp;"'!OpwekPV_2049"),0)
+IFERROR(INDIRECT("'"&amp;$D$50&amp;"'!OpwekPV_2049"),0)
+IFERROR(INDIRECT("'"&amp;$D$51&amp;"'!OpwekPV_2049"),0)
+IFERROR(INDIRECT("'"&amp;$D$52&amp;"'!OpwekPV_2049"),0)
+IFERROR(INDIRECT("'"&amp;$D$53&amp;"'!OpwekPV_2049"),0)
+IFERROR(INDIRECT("'"&amp;$D$54&amp;"'!OpwekPV_2049"),0)</f>
        <v>114312.935</v>
      </c>
      <c r="AN37" s="320">
        <f ca="1">+IFERROR(INDIRECT("'"&amp;$D$5&amp;"'!OpwekPV_2050"),0)
+IFERROR(INDIRECT("'"&amp;$D$6&amp;"'!OpwekPV_2050"),0)
+IFERROR(INDIRECT("'"&amp;$D$7&amp;"'!OpwekPV_2050"),0)
+IFERROR(INDIRECT("'"&amp;$D$8&amp;"'!OpwekPV_2050"),0)
+IFERROR(INDIRECT("'"&amp;$D$9&amp;"'!OpwekPV_2050"),0)
+IFERROR(INDIRECT("'"&amp;$D$10&amp;"'!OpwekPV_2050"),0)
+IFERROR(INDIRECT("'"&amp;$D$11&amp;"'!OpwekPV_2050"),0)
+IFERROR(INDIRECT("'"&amp;$D$12&amp;"'!OpwekPV_2050"),0)
+IFERROR(INDIRECT("'"&amp;$D$13&amp;"'!OpwekPV_2050"),0)
+IFERROR(INDIRECT("'"&amp;$D$14&amp;"'!OpwekPV_2050"),0)
+IFERROR(INDIRECT("'"&amp;$D$15&amp;"'!OpwekPV_2050"),0)
+IFERROR(INDIRECT("'"&amp;$D$16&amp;"'!OpwekPV_2050"),0)
+IFERROR(INDIRECT("'"&amp;$D$17&amp;"'!OpwekPV_2050"),0)
+IFERROR(INDIRECT("'"&amp;$D$18&amp;"'!OpwekPV_2050"),0)
+IFERROR(INDIRECT("'"&amp;$D$19&amp;"'!OpwekPV_2050"),0)
+IFERROR(INDIRECT("'"&amp;$D$20&amp;"'!OpwekPV_2050"),0)
+IFERROR(INDIRECT("'"&amp;$D$21&amp;"'!OpwekPV_2050"),0)
+IFERROR(INDIRECT("'"&amp;$D$22&amp;"'!OpwekPV_2050"),0)
+IFERROR(INDIRECT("'"&amp;$D$23&amp;"'!OpwekPV_2050"),0)
+IFERROR(INDIRECT("'"&amp;$D$24&amp;"'!OpwekPV_2050"),0)
+IFERROR(INDIRECT("'"&amp;$D$25&amp;"'!OpwekPV_2050"),0)
+IFERROR(INDIRECT("'"&amp;$D$26&amp;"'!OpwekPV_2050"),0)
+IFERROR(INDIRECT("'"&amp;$D$27&amp;"'!OpwekPV_2050"),0)
+IFERROR(INDIRECT("'"&amp;$D$28&amp;"'!OpwekPV_2050"),0)
+IFERROR(INDIRECT("'"&amp;$D$29&amp;"'!OpwekPV_2050"),0)
+IFERROR(INDIRECT("'"&amp;$D$30&amp;"'!OpwekPV_2050"),0)
+IFERROR(INDIRECT("'"&amp;$D$31&amp;"'!OpwekPV_2050"),0)
+IFERROR(INDIRECT("'"&amp;$D$32&amp;"'!OpwekPV_2050"),0)
+IFERROR(INDIRECT("'"&amp;$D$33&amp;"'!OpwekPV_2050"),0)
+IFERROR(INDIRECT("'"&amp;$D$34&amp;"'!OpwekPV_2050"),0)
+IFERROR(INDIRECT("'"&amp;$D$35&amp;"'!OpwekPV_2050"),0)
+IFERROR(INDIRECT("'"&amp;$D$36&amp;"'!OpwekPV_2050"),0)
+IFERROR(INDIRECT("'"&amp;$D$37&amp;"'!OpwekPV_2050"),0)
+IFERROR(INDIRECT("'"&amp;$D$38&amp;"'!OpwekPV_2050"),0)
+IFERROR(INDIRECT("'"&amp;$D$39&amp;"'!OpwekPV_2050"),0)
+IFERROR(INDIRECT("'"&amp;$D$40&amp;"'!OpwekPV_2050"),0)
+IFERROR(INDIRECT("'"&amp;$D$41&amp;"'!OpwekPV_2050"),0)
+IFERROR(INDIRECT("'"&amp;$D$42&amp;"'!OpwekPV_2050"),0)
+IFERROR(INDIRECT("'"&amp;$D$43&amp;"'!OpwekPV_2050"),0)
+IFERROR(INDIRECT("'"&amp;$D$44&amp;"'!OpwekPV_2050"),0)
+IFERROR(INDIRECT("'"&amp;$D$45&amp;"'!OpwekPV_2050"),0)
+IFERROR(INDIRECT("'"&amp;$D$46&amp;"'!OpwekPV_2050"),0)
+IFERROR(INDIRECT("'"&amp;$D$47&amp;"'!OpwekPV_2050"),0)
+IFERROR(INDIRECT("'"&amp;$D$48&amp;"'!OpwekPV_2050"),0)
+IFERROR(INDIRECT("'"&amp;$D$49&amp;"'!OpwekPV_2050"),0)
+IFERROR(INDIRECT("'"&amp;$D$50&amp;"'!OpwekPV_2050"),0)
+IFERROR(INDIRECT("'"&amp;$D$51&amp;"'!OpwekPV_2050"),0)
+IFERROR(INDIRECT("'"&amp;$D$52&amp;"'!OpwekPV_2050"),0)
+IFERROR(INDIRECT("'"&amp;$D$53&amp;"'!OpwekPV_2050"),0)
+IFERROR(INDIRECT("'"&amp;$D$54&amp;"'!OpwekPV_2050"),0)</f>
        <v>114312.935</v>
      </c>
      <c r="AO37" s="123"/>
    </row>
    <row r="38" spans="2:41" ht="18.75">
      <c r="B38" s="8"/>
      <c r="C38" s="279" t="s">
        <v>75</v>
      </c>
      <c r="D38" s="115"/>
      <c r="E38" s="8"/>
      <c r="F38" s="8"/>
      <c r="G38" s="302" t="s">
        <v>680</v>
      </c>
      <c r="H38" s="321">
        <f>Nieuwbouw!E50</f>
        <v>0</v>
      </c>
      <c r="I38" s="321">
        <f>Nieuwbouw!F50</f>
        <v>0</v>
      </c>
      <c r="J38" s="321">
        <f>Nieuwbouw!G50</f>
        <v>0</v>
      </c>
      <c r="K38" s="321">
        <f>Nieuwbouw!H50</f>
        <v>0</v>
      </c>
      <c r="L38" s="321">
        <f>Nieuwbouw!I50</f>
        <v>0</v>
      </c>
      <c r="M38" s="321">
        <f>Nieuwbouw!J50</f>
        <v>0</v>
      </c>
      <c r="N38" s="321">
        <f>Nieuwbouw!K50</f>
        <v>0</v>
      </c>
      <c r="O38" s="321">
        <f>Nieuwbouw!L50</f>
        <v>0</v>
      </c>
      <c r="P38" s="321">
        <f>Nieuwbouw!M50</f>
        <v>0</v>
      </c>
      <c r="Q38" s="321">
        <f>Nieuwbouw!N50</f>
        <v>354926</v>
      </c>
      <c r="R38" s="321">
        <f>Nieuwbouw!O50</f>
        <v>354926</v>
      </c>
      <c r="S38" s="321">
        <f>Nieuwbouw!P50</f>
        <v>354926</v>
      </c>
      <c r="T38" s="321">
        <f>Nieuwbouw!Q50</f>
        <v>354926</v>
      </c>
      <c r="U38" s="321">
        <f>Nieuwbouw!R50</f>
        <v>354926</v>
      </c>
      <c r="V38" s="321">
        <f>Nieuwbouw!S50</f>
        <v>449412</v>
      </c>
      <c r="W38" s="321">
        <f>Nieuwbouw!T50</f>
        <v>449412</v>
      </c>
      <c r="X38" s="321">
        <f>Nieuwbouw!U50</f>
        <v>449412</v>
      </c>
      <c r="Y38" s="321">
        <f>Nieuwbouw!V50</f>
        <v>449412</v>
      </c>
      <c r="Z38" s="321">
        <f>Nieuwbouw!W50</f>
        <v>449412</v>
      </c>
      <c r="AA38" s="321">
        <f>Nieuwbouw!X50</f>
        <v>449412</v>
      </c>
      <c r="AB38" s="321">
        <f>Nieuwbouw!Y50</f>
        <v>449412</v>
      </c>
      <c r="AC38" s="321">
        <f>Nieuwbouw!Z50</f>
        <v>449412</v>
      </c>
      <c r="AD38" s="321">
        <f>Nieuwbouw!AA50</f>
        <v>523226</v>
      </c>
      <c r="AE38" s="321">
        <f>Nieuwbouw!AB50</f>
        <v>523226</v>
      </c>
      <c r="AF38" s="321">
        <f>Nieuwbouw!AC50</f>
        <v>523226</v>
      </c>
      <c r="AG38" s="321">
        <f>Nieuwbouw!AD50</f>
        <v>523226</v>
      </c>
      <c r="AH38" s="321">
        <f>Nieuwbouw!AE50</f>
        <v>523226</v>
      </c>
      <c r="AI38" s="321">
        <f>Nieuwbouw!AF50</f>
        <v>523226</v>
      </c>
      <c r="AJ38" s="321">
        <f>Nieuwbouw!AG50</f>
        <v>523226</v>
      </c>
      <c r="AK38" s="321">
        <f>Nieuwbouw!AH50</f>
        <v>523226</v>
      </c>
      <c r="AL38" s="321">
        <f>Nieuwbouw!AI50</f>
        <v>523226</v>
      </c>
      <c r="AM38" s="321">
        <f>Nieuwbouw!AJ50</f>
        <v>523226</v>
      </c>
      <c r="AN38" s="321">
        <f>Nieuwbouw!AK50</f>
        <v>523226</v>
      </c>
      <c r="AO38" s="123"/>
    </row>
    <row r="39" spans="2:41" ht="18" customHeight="1">
      <c r="B39" s="8"/>
      <c r="C39" s="279" t="s">
        <v>76</v>
      </c>
      <c r="D39" s="115"/>
      <c r="E39" s="8"/>
      <c r="F39" s="8"/>
      <c r="G39" s="302" t="s">
        <v>681</v>
      </c>
      <c r="H39" s="321">
        <f ca="1">SUM(H37:H38)</f>
        <v>0</v>
      </c>
      <c r="I39" s="321">
        <f t="shared" ref="I39:AN39" ca="1" si="5">SUM(I37:I38)</f>
        <v>0</v>
      </c>
      <c r="J39" s="321">
        <f t="shared" ca="1" si="5"/>
        <v>0</v>
      </c>
      <c r="K39" s="321">
        <f t="shared" ca="1" si="5"/>
        <v>0</v>
      </c>
      <c r="L39" s="321">
        <f t="shared" ca="1" si="5"/>
        <v>0</v>
      </c>
      <c r="M39" s="321">
        <f t="shared" ca="1" si="5"/>
        <v>383377.51599999995</v>
      </c>
      <c r="N39" s="321">
        <f t="shared" ca="1" si="5"/>
        <v>383377.51599999995</v>
      </c>
      <c r="O39" s="321">
        <f t="shared" ca="1" si="5"/>
        <v>497690.451</v>
      </c>
      <c r="P39" s="321">
        <f t="shared" ca="1" si="5"/>
        <v>497690.451</v>
      </c>
      <c r="Q39" s="321">
        <f t="shared" ca="1" si="5"/>
        <v>600786.19099999999</v>
      </c>
      <c r="R39" s="321">
        <f t="shared" ca="1" si="5"/>
        <v>600786.19099999999</v>
      </c>
      <c r="S39" s="321">
        <f t="shared" ca="1" si="5"/>
        <v>600786.19099999999</v>
      </c>
      <c r="T39" s="321">
        <f t="shared" ca="1" si="5"/>
        <v>600786.19099999999</v>
      </c>
      <c r="U39" s="321">
        <f t="shared" ca="1" si="5"/>
        <v>600786.19099999999</v>
      </c>
      <c r="V39" s="321">
        <f t="shared" ca="1" si="5"/>
        <v>668454.45500000007</v>
      </c>
      <c r="W39" s="321">
        <f t="shared" ca="1" si="5"/>
        <v>668454.45500000007</v>
      </c>
      <c r="X39" s="321">
        <f t="shared" ca="1" si="5"/>
        <v>668454.45500000007</v>
      </c>
      <c r="Y39" s="321">
        <f t="shared" ca="1" si="5"/>
        <v>668454.45500000007</v>
      </c>
      <c r="Z39" s="321">
        <f t="shared" ca="1" si="5"/>
        <v>668454.45500000007</v>
      </c>
      <c r="AA39" s="321">
        <f t="shared" ca="1" si="5"/>
        <v>668454.45500000007</v>
      </c>
      <c r="AB39" s="321">
        <f t="shared" ca="1" si="5"/>
        <v>668454.45500000007</v>
      </c>
      <c r="AC39" s="321">
        <f t="shared" ca="1" si="5"/>
        <v>668454.45500000007</v>
      </c>
      <c r="AD39" s="321">
        <f t="shared" ca="1" si="5"/>
        <v>637538.93500000006</v>
      </c>
      <c r="AE39" s="321">
        <f t="shared" ca="1" si="5"/>
        <v>637538.93500000006</v>
      </c>
      <c r="AF39" s="321">
        <f t="shared" ca="1" si="5"/>
        <v>637538.93500000006</v>
      </c>
      <c r="AG39" s="321">
        <f t="shared" ca="1" si="5"/>
        <v>637538.93500000006</v>
      </c>
      <c r="AH39" s="321">
        <f t="shared" ca="1" si="5"/>
        <v>637538.93500000006</v>
      </c>
      <c r="AI39" s="321">
        <f t="shared" ca="1" si="5"/>
        <v>637538.93500000006</v>
      </c>
      <c r="AJ39" s="321">
        <f t="shared" ca="1" si="5"/>
        <v>637538.93500000006</v>
      </c>
      <c r="AK39" s="321">
        <f t="shared" ca="1" si="5"/>
        <v>637538.93500000006</v>
      </c>
      <c r="AL39" s="321">
        <f t="shared" ca="1" si="5"/>
        <v>637538.93500000006</v>
      </c>
      <c r="AM39" s="321">
        <f t="shared" ca="1" si="5"/>
        <v>637538.93500000006</v>
      </c>
      <c r="AN39" s="321">
        <f t="shared" ca="1" si="5"/>
        <v>637538.93500000006</v>
      </c>
      <c r="AO39" s="123"/>
    </row>
    <row r="40" spans="2:41" ht="18.75" customHeight="1">
      <c r="B40" s="8"/>
      <c r="C40" s="279" t="s">
        <v>77</v>
      </c>
      <c r="D40" s="115"/>
      <c r="E40" s="8"/>
      <c r="F40" s="8"/>
      <c r="G40" s="302" t="s">
        <v>682</v>
      </c>
      <c r="H40" s="320">
        <f t="shared" ref="H40:AN40" ca="1" si="6">IF(H$23=0,0,H39/H$23)</f>
        <v>0</v>
      </c>
      <c r="I40" s="320">
        <f t="shared" ca="1" si="6"/>
        <v>0</v>
      </c>
      <c r="J40" s="320">
        <f t="shared" ca="1" si="6"/>
        <v>0</v>
      </c>
      <c r="K40" s="320">
        <f t="shared" ca="1" si="6"/>
        <v>0</v>
      </c>
      <c r="L40" s="320">
        <f t="shared" ca="1" si="6"/>
        <v>0</v>
      </c>
      <c r="M40" s="320">
        <f t="shared" ca="1" si="6"/>
        <v>17.656816649411034</v>
      </c>
      <c r="N40" s="320">
        <f t="shared" ca="1" si="6"/>
        <v>17.656816649411034</v>
      </c>
      <c r="O40" s="320">
        <f t="shared" ca="1" si="6"/>
        <v>22.921607748821891</v>
      </c>
      <c r="P40" s="320">
        <f t="shared" ca="1" si="6"/>
        <v>22.921607748821891</v>
      </c>
      <c r="Q40" s="320">
        <f t="shared" ca="1" si="6"/>
        <v>27.669219542434174</v>
      </c>
      <c r="R40" s="320">
        <f t="shared" ca="1" si="6"/>
        <v>27.669219542434174</v>
      </c>
      <c r="S40" s="320">
        <f t="shared" ca="1" si="6"/>
        <v>27.669219542434174</v>
      </c>
      <c r="T40" s="320">
        <f t="shared" ca="1" si="6"/>
        <v>27.669219542434174</v>
      </c>
      <c r="U40" s="320">
        <f t="shared" ca="1" si="6"/>
        <v>27.669219542434174</v>
      </c>
      <c r="V40" s="320">
        <f t="shared" ca="1" si="6"/>
        <v>30.785739451538984</v>
      </c>
      <c r="W40" s="320">
        <f t="shared" ca="1" si="6"/>
        <v>30.785739451538984</v>
      </c>
      <c r="X40" s="320">
        <f t="shared" ca="1" si="6"/>
        <v>30.785739451538984</v>
      </c>
      <c r="Y40" s="320">
        <f t="shared" ca="1" si="6"/>
        <v>30.785739451538984</v>
      </c>
      <c r="Z40" s="320">
        <f t="shared" ca="1" si="6"/>
        <v>30.785739451538984</v>
      </c>
      <c r="AA40" s="320">
        <f t="shared" ca="1" si="6"/>
        <v>30.785739451538984</v>
      </c>
      <c r="AB40" s="320">
        <f t="shared" ca="1" si="6"/>
        <v>30.785739451538984</v>
      </c>
      <c r="AC40" s="320">
        <f t="shared" ca="1" si="6"/>
        <v>30.785739451538984</v>
      </c>
      <c r="AD40" s="320">
        <f t="shared" ca="1" si="6"/>
        <v>29.361326977243717</v>
      </c>
      <c r="AE40" s="320">
        <f t="shared" ca="1" si="6"/>
        <v>29.361326977243717</v>
      </c>
      <c r="AF40" s="320">
        <f t="shared" ca="1" si="6"/>
        <v>29.361326977243717</v>
      </c>
      <c r="AG40" s="320">
        <f t="shared" ca="1" si="6"/>
        <v>29.361326977243717</v>
      </c>
      <c r="AH40" s="320">
        <f t="shared" ca="1" si="6"/>
        <v>29.361326977243717</v>
      </c>
      <c r="AI40" s="320">
        <f t="shared" ca="1" si="6"/>
        <v>29.361326977243717</v>
      </c>
      <c r="AJ40" s="320">
        <f t="shared" ca="1" si="6"/>
        <v>29.361326977243717</v>
      </c>
      <c r="AK40" s="320">
        <f t="shared" ca="1" si="6"/>
        <v>29.361326977243717</v>
      </c>
      <c r="AL40" s="320">
        <f t="shared" ca="1" si="6"/>
        <v>29.361326977243717</v>
      </c>
      <c r="AM40" s="320">
        <f t="shared" ca="1" si="6"/>
        <v>29.361326977243717</v>
      </c>
      <c r="AN40" s="320">
        <f t="shared" ca="1" si="6"/>
        <v>29.361326977243717</v>
      </c>
      <c r="AO40" s="123"/>
    </row>
    <row r="41" spans="2:41" ht="18.600000000000001" customHeight="1">
      <c r="B41" s="8"/>
      <c r="C41" s="279" t="s">
        <v>78</v>
      </c>
      <c r="D41" s="115"/>
      <c r="E41" s="8"/>
      <c r="F41" s="8"/>
      <c r="G41" s="302" t="s">
        <v>742</v>
      </c>
      <c r="H41" s="321">
        <f ca="1">+IFERROR(INDIRECT("'"&amp;$D$5&amp;"'!Duurzamewarmte_2018"),0)
+IFERROR(INDIRECT("'"&amp;$D$6&amp;"'!Duurzamewarmte_2018"),0)
+IFERROR(INDIRECT("'"&amp;$D$7&amp;"'!Duurzamewarmte_2018"),0)
+IFERROR(INDIRECT("'"&amp;$D$8&amp;"'!Duurzamewarmte_2018"),0)
+IFERROR(INDIRECT("'"&amp;$D$9&amp;"'!Duurzamewarmte_2018"),0)
+IFERROR(INDIRECT("'"&amp;$D$10&amp;"'!Duurzamewarmte_2018"),0)
+IFERROR(INDIRECT("'"&amp;$D$11&amp;"'!Duurzamewarmte_2018"),0)
+IFERROR(INDIRECT("'"&amp;$D$12&amp;"'!Duurzamewarmte_2018"),0)
+IFERROR(INDIRECT("'"&amp;$D$13&amp;"'!Duurzamewarmte_2018"),0)
+IFERROR(INDIRECT("'"&amp;$D$14&amp;"'!Duurzamewarmte_2018"),0)
+IFERROR(INDIRECT("'"&amp;$D$15&amp;"'!Duurzamewarmte_2018"),0)
+IFERROR(INDIRECT("'"&amp;$D$16&amp;"'!Duurzamewarmte_2018"),0)
+IFERROR(INDIRECT("'"&amp;$D$17&amp;"'!Duurzamewarmte_2018"),0)
+IFERROR(INDIRECT("'"&amp;$D$18&amp;"'!Duurzamewarmte_2018"),0)
+IFERROR(INDIRECT("'"&amp;$D$19&amp;"'!Duurzamewarmte_2018"),0)
+IFERROR(INDIRECT("'"&amp;$D$20&amp;"'!Duurzamewarmte_2018"),0)
+IFERROR(INDIRECT("'"&amp;$D$21&amp;"'!Duurzamewarmte_2018"),0)
+IFERROR(INDIRECT("'"&amp;$D$22&amp;"'!Duurzamewarmte_2018"),0)
+IFERROR(INDIRECT("'"&amp;$D$23&amp;"'!Duurzamewarmte_2018"),0)
+IFERROR(INDIRECT("'"&amp;$D$24&amp;"'!Duurzamewarmte_2018"),0)
+IFERROR(INDIRECT("'"&amp;$D$25&amp;"'!Duurzamewarmte_2018"),0)
+IFERROR(INDIRECT("'"&amp;$D$26&amp;"'!Duurzamewarmte_2018"),0)
+IFERROR(INDIRECT("'"&amp;$D$27&amp;"'!Duurzamewarmte_2018"),0)
+IFERROR(INDIRECT("'"&amp;$D$28&amp;"'!Duurzamewarmte_2018"),0)
+IFERROR(INDIRECT("'"&amp;$D$29&amp;"'!Duurzamewarmte_2018"),0)
+IFERROR(INDIRECT("'"&amp;$D$30&amp;"'!Duurzamewarmte_2018"),0)
+IFERROR(INDIRECT("'"&amp;$D$31&amp;"'!Duurzamewarmte_2018"),0)
+IFERROR(INDIRECT("'"&amp;$D$32&amp;"'!Duurzamewarmte_2018"),0)
+IFERROR(INDIRECT("'"&amp;$D$33&amp;"'!Duurzamewarmte_2018"),0)
+IFERROR(INDIRECT("'"&amp;$D$34&amp;"'!Duurzamewarmte_2018"),0)
+IFERROR(INDIRECT("'"&amp;$D$35&amp;"'!Duurzamewarmte_2018"),0)
+IFERROR(INDIRECT("'"&amp;$D$36&amp;"'!Duurzamewarmte_2018"),0)
+IFERROR(INDIRECT("'"&amp;$D$37&amp;"'!Duurzamewarmte_2018"),0)
+IFERROR(INDIRECT("'"&amp;$D$38&amp;"'!Duurzamewarmte_2018"),0)
+IFERROR(INDIRECT("'"&amp;$D$39&amp;"'!Duurzamewarmte_2018"),0)
+IFERROR(INDIRECT("'"&amp;$D$40&amp;"'!Duurzamewarmte_2018"),0)
+IFERROR(INDIRECT("'"&amp;$D$41&amp;"'!Duurzamewarmte_2018"),0)
+IFERROR(INDIRECT("'"&amp;$D$42&amp;"'!Duurzamewarmte_2018"),0)
+IFERROR(INDIRECT("'"&amp;$D$43&amp;"'!Duurzamewarmte_2018"),0)
+IFERROR(INDIRECT("'"&amp;$D$44&amp;"'!Duurzamewarmte_2018"),0)
+IFERROR(INDIRECT("'"&amp;$D$45&amp;"'!Duurzamewarmte_2018"),0)
+IFERROR(INDIRECT("'"&amp;$D$46&amp;"'!Duurzamewarmte_2018"),0)
+IFERROR(INDIRECT("'"&amp;$D$47&amp;"'!Duurzamewarmte_2018"),0)
+IFERROR(INDIRECT("'"&amp;$D$48&amp;"'!Duurzamewarmte_2018"),0)
+IFERROR(INDIRECT("'"&amp;$D$49&amp;"'!Duurzamewarmte_2018"),0)
+IFERROR(INDIRECT("'"&amp;$D$50&amp;"'!Duurzamewarmte_2018"),0)
+IFERROR(INDIRECT("'"&amp;$D$51&amp;"'!Duurzamewarmte_2018"),0)
+IFERROR(INDIRECT("'"&amp;$D$52&amp;"'!Duurzamewarmte_2018"),0)
+IFERROR(INDIRECT("'"&amp;$D$53&amp;"'!Duurzamewarmte_2018"),0)
+IFERROR(INDIRECT("'"&amp;$D$54&amp;"'!Duurzamewarmte_2018"),0)</f>
        <v>0</v>
      </c>
      <c r="I41" s="321">
        <f ca="1">+IFERROR(INDIRECT("'"&amp;$D$5&amp;"'!Duurzamewarmte_2019"),0)
+IFERROR(INDIRECT("'"&amp;$D$6&amp;"'!Duurzamewarmte_2019"),0)
+IFERROR(INDIRECT("'"&amp;$D$7&amp;"'!Duurzamewarmte_2019"),0)
+IFERROR(INDIRECT("'"&amp;$D$8&amp;"'!Duurzamewarmte_2019"),0)
+IFERROR(INDIRECT("'"&amp;$D$9&amp;"'!Duurzamewarmte_2019"),0)
+IFERROR(INDIRECT("'"&amp;$D$10&amp;"'!Duurzamewarmte_2019"),0)
+IFERROR(INDIRECT("'"&amp;$D$11&amp;"'!Duurzamewarmte_2019"),0)
+IFERROR(INDIRECT("'"&amp;$D$12&amp;"'!Duurzamewarmte_2019"),0)
+IFERROR(INDIRECT("'"&amp;$D$13&amp;"'!Duurzamewarmte_2019"),0)
+IFERROR(INDIRECT("'"&amp;$D$14&amp;"'!Duurzamewarmte_2019"),0)
+IFERROR(INDIRECT("'"&amp;$D$15&amp;"'!Duurzamewarmte_2019"),0)
+IFERROR(INDIRECT("'"&amp;$D$16&amp;"'!Duurzamewarmte_2019"),0)
+IFERROR(INDIRECT("'"&amp;$D$17&amp;"'!Duurzamewarmte_2019"),0)
+IFERROR(INDIRECT("'"&amp;$D$18&amp;"'!Duurzamewarmte_2019"),0)
+IFERROR(INDIRECT("'"&amp;$D$19&amp;"'!Duurzamewarmte_2019"),0)
+IFERROR(INDIRECT("'"&amp;$D$20&amp;"'!Duurzamewarmte_2019"),0)
+IFERROR(INDIRECT("'"&amp;$D$21&amp;"'!Duurzamewarmte_2019"),0)
+IFERROR(INDIRECT("'"&amp;$D$22&amp;"'!Duurzamewarmte_2019"),0)
+IFERROR(INDIRECT("'"&amp;$D$23&amp;"'!Duurzamewarmte_2019"),0)
+IFERROR(INDIRECT("'"&amp;$D$24&amp;"'!Duurzamewarmte_2019"),0)
+IFERROR(INDIRECT("'"&amp;$D$25&amp;"'!Duurzamewarmte_2019"),0)
+IFERROR(INDIRECT("'"&amp;$D$26&amp;"'!Duurzamewarmte_2019"),0)
+IFERROR(INDIRECT("'"&amp;$D$27&amp;"'!Duurzamewarmte_2019"),0)
+IFERROR(INDIRECT("'"&amp;$D$28&amp;"'!Duurzamewarmte_2019"),0)
+IFERROR(INDIRECT("'"&amp;$D$29&amp;"'!Duurzamewarmte_2019"),0)
+IFERROR(INDIRECT("'"&amp;$D$30&amp;"'!Duurzamewarmte_2019"),0)
+IFERROR(INDIRECT("'"&amp;$D$31&amp;"'!Duurzamewarmte_2019"),0)
+IFERROR(INDIRECT("'"&amp;$D$32&amp;"'!Duurzamewarmte_2019"),0)
+IFERROR(INDIRECT("'"&amp;$D$33&amp;"'!Duurzamewarmte_2019"),0)
+IFERROR(INDIRECT("'"&amp;$D$34&amp;"'!Duurzamewarmte_2019"),0)
+IFERROR(INDIRECT("'"&amp;$D$35&amp;"'!Duurzamewarmte_2019"),0)
+IFERROR(INDIRECT("'"&amp;$D$36&amp;"'!Duurzamewarmte_2019"),0)
+IFERROR(INDIRECT("'"&amp;$D$37&amp;"'!Duurzamewarmte_2019"),0)
+IFERROR(INDIRECT("'"&amp;$D$38&amp;"'!Duurzamewarmte_2019"),0)
+IFERROR(INDIRECT("'"&amp;$D$39&amp;"'!Duurzamewarmte_2019"),0)
+IFERROR(INDIRECT("'"&amp;$D$40&amp;"'!Duurzamewarmte_2019"),0)
+IFERROR(INDIRECT("'"&amp;$D$41&amp;"'!Duurzamewarmte_2019"),0)
+IFERROR(INDIRECT("'"&amp;$D$42&amp;"'!Duurzamewarmte_2019"),0)
+IFERROR(INDIRECT("'"&amp;$D$43&amp;"'!Duurzamewarmte_2019"),0)
+IFERROR(INDIRECT("'"&amp;$D$44&amp;"'!Duurzamewarmte_2019"),0)
+IFERROR(INDIRECT("'"&amp;$D$45&amp;"'!Duurzamewarmte_2019"),0)
+IFERROR(INDIRECT("'"&amp;$D$46&amp;"'!Duurzamewarmte_2019"),0)
+IFERROR(INDIRECT("'"&amp;$D$47&amp;"'!Duurzamewarmte_2019"),0)
+IFERROR(INDIRECT("'"&amp;$D$48&amp;"'!Duurzamewarmte_2019"),0)
+IFERROR(INDIRECT("'"&amp;$D$49&amp;"'!Duurzamewarmte_2019"),0)
+IFERROR(INDIRECT("'"&amp;$D$50&amp;"'!Duurzamewarmte_2019"),0)
+IFERROR(INDIRECT("'"&amp;$D$51&amp;"'!Duurzamewarmte_2019"),0)
+IFERROR(INDIRECT("'"&amp;$D$52&amp;"'!Duurzamewarmte_2019"),0)
+IFERROR(INDIRECT("'"&amp;$D$53&amp;"'!Duurzamewarmte_2019"),0)
+IFERROR(INDIRECT("'"&amp;$D$54&amp;"'!Duurzamewarmte_2019"),0)</f>
        <v>0</v>
      </c>
      <c r="J41" s="321">
        <f ca="1">+IFERROR(INDIRECT("'"&amp;$D$5&amp;"'!Duurzamewarmte_2020"),0)
+IFERROR(INDIRECT("'"&amp;$D$6&amp;"'!Duurzamewarmte_2020"),0)
+IFERROR(INDIRECT("'"&amp;$D$7&amp;"'!Duurzamewarmte_2020"),0)
+IFERROR(INDIRECT("'"&amp;$D$8&amp;"'!Duurzamewarmte_2020"),0)
+IFERROR(INDIRECT("'"&amp;$D$9&amp;"'!Duurzamewarmte_2020"),0)
+IFERROR(INDIRECT("'"&amp;$D$10&amp;"'!Duurzamewarmte_2020"),0)
+IFERROR(INDIRECT("'"&amp;$D$11&amp;"'!Duurzamewarmte_2020"),0)
+IFERROR(INDIRECT("'"&amp;$D$12&amp;"'!Duurzamewarmte_2020"),0)
+IFERROR(INDIRECT("'"&amp;$D$13&amp;"'!Duurzamewarmte_2020"),0)
+IFERROR(INDIRECT("'"&amp;$D$14&amp;"'!Duurzamewarmte_2020"),0)
+IFERROR(INDIRECT("'"&amp;$D$15&amp;"'!Duurzamewarmte_2020"),0)
+IFERROR(INDIRECT("'"&amp;$D$16&amp;"'!Duurzamewarmte_2020"),0)
+IFERROR(INDIRECT("'"&amp;$D$17&amp;"'!Duurzamewarmte_2020"),0)
+IFERROR(INDIRECT("'"&amp;$D$18&amp;"'!Duurzamewarmte_2020"),0)
+IFERROR(INDIRECT("'"&amp;$D$19&amp;"'!Duurzamewarmte_2020"),0)
+IFERROR(INDIRECT("'"&amp;$D$20&amp;"'!Duurzamewarmte_2020"),0)
+IFERROR(INDIRECT("'"&amp;$D$21&amp;"'!Duurzamewarmte_2020"),0)
+IFERROR(INDIRECT("'"&amp;$D$22&amp;"'!Duurzamewarmte_2020"),0)
+IFERROR(INDIRECT("'"&amp;$D$23&amp;"'!Duurzamewarmte_2020"),0)
+IFERROR(INDIRECT("'"&amp;$D$24&amp;"'!Duurzamewarmte_2020"),0)
+IFERROR(INDIRECT("'"&amp;$D$25&amp;"'!Duurzamewarmte_2020"),0)
+IFERROR(INDIRECT("'"&amp;$D$26&amp;"'!Duurzamewarmte_2020"),0)
+IFERROR(INDIRECT("'"&amp;$D$27&amp;"'!Duurzamewarmte_2020"),0)
+IFERROR(INDIRECT("'"&amp;$D$28&amp;"'!Duurzamewarmte_2020"),0)
+IFERROR(INDIRECT("'"&amp;$D$29&amp;"'!Duurzamewarmte_2020"),0)
+IFERROR(INDIRECT("'"&amp;$D$30&amp;"'!Duurzamewarmte_2020"),0)
+IFERROR(INDIRECT("'"&amp;$D$31&amp;"'!Duurzamewarmte_2020"),0)
+IFERROR(INDIRECT("'"&amp;$D$32&amp;"'!Duurzamewarmte_2020"),0)
+IFERROR(INDIRECT("'"&amp;$D$33&amp;"'!Duurzamewarmte_2020"),0)
+IFERROR(INDIRECT("'"&amp;$D$34&amp;"'!Duurzamewarmte_2020"),0)
+IFERROR(INDIRECT("'"&amp;$D$35&amp;"'!Duurzamewarmte_2020"),0)
+IFERROR(INDIRECT("'"&amp;$D$36&amp;"'!Duurzamewarmte_2020"),0)
+IFERROR(INDIRECT("'"&amp;$D$37&amp;"'!Duurzamewarmte_2020"),0)
+IFERROR(INDIRECT("'"&amp;$D$38&amp;"'!Duurzamewarmte_2020"),0)
+IFERROR(INDIRECT("'"&amp;$D$39&amp;"'!Duurzamewarmte_2020"),0)
+IFERROR(INDIRECT("'"&amp;$D$40&amp;"'!Duurzamewarmte_2020"),0)
+IFERROR(INDIRECT("'"&amp;$D$41&amp;"'!Duurzamewarmte_2020"),0)
+IFERROR(INDIRECT("'"&amp;$D$42&amp;"'!Duurzamewarmte_2020"),0)
+IFERROR(INDIRECT("'"&amp;$D$43&amp;"'!Duurzamewarmte_2020"),0)
+IFERROR(INDIRECT("'"&amp;$D$44&amp;"'!Duurzamewarmte_2020"),0)
+IFERROR(INDIRECT("'"&amp;$D$45&amp;"'!Duurzamewarmte_2020"),0)
+IFERROR(INDIRECT("'"&amp;$D$46&amp;"'!Duurzamewarmte_2020"),0)
+IFERROR(INDIRECT("'"&amp;$D$47&amp;"'!Duurzamewarmte_2020"),0)
+IFERROR(INDIRECT("'"&amp;$D$48&amp;"'!Duurzamewarmte_2020"),0)
+IFERROR(INDIRECT("'"&amp;$D$49&amp;"'!Duurzamewarmte_2020"),0)
+IFERROR(INDIRECT("'"&amp;$D$50&amp;"'!Duurzamewarmte_2020"),0)
+IFERROR(INDIRECT("'"&amp;$D$51&amp;"'!Duurzamewarmte_2020"),0)
+IFERROR(INDIRECT("'"&amp;$D$52&amp;"'!Duurzamewarmte_2020"),0)
+IFERROR(INDIRECT("'"&amp;$D$53&amp;"'!Duurzamewarmte_2020"),0)
+IFERROR(INDIRECT("'"&amp;$D$54&amp;"'!Duurzamewarmte_2020"),0)</f>
        <v>0</v>
      </c>
      <c r="K41" s="321">
        <f ca="1">+IFERROR(INDIRECT("'"&amp;$D$5&amp;"'!Duurzamewarmte_2021"),0)
+IFERROR(INDIRECT("'"&amp;$D$6&amp;"'!Duurzamewarmte_2021"),0)
+IFERROR(INDIRECT("'"&amp;$D$7&amp;"'!Duurzamewarmte_2021"),0)
+IFERROR(INDIRECT("'"&amp;$D$8&amp;"'!Duurzamewarmte_2021"),0)
+IFERROR(INDIRECT("'"&amp;$D$9&amp;"'!Duurzamewarmte_2021"),0)
+IFERROR(INDIRECT("'"&amp;$D$10&amp;"'!Duurzamewarmte_2021"),0)
+IFERROR(INDIRECT("'"&amp;$D$11&amp;"'!Duurzamewarmte_2021"),0)
+IFERROR(INDIRECT("'"&amp;$D$12&amp;"'!Duurzamewarmte_2021"),0)
+IFERROR(INDIRECT("'"&amp;$D$13&amp;"'!Duurzamewarmte_2021"),0)
+IFERROR(INDIRECT("'"&amp;$D$14&amp;"'!Duurzamewarmte_2021"),0)
+IFERROR(INDIRECT("'"&amp;$D$15&amp;"'!Duurzamewarmte_2021"),0)
+IFERROR(INDIRECT("'"&amp;$D$16&amp;"'!Duurzamewarmte_2021"),0)
+IFERROR(INDIRECT("'"&amp;$D$17&amp;"'!Duurzamewarmte_2021"),0)
+IFERROR(INDIRECT("'"&amp;$D$18&amp;"'!Duurzamewarmte_2021"),0)
+IFERROR(INDIRECT("'"&amp;$D$19&amp;"'!Duurzamewarmte_2021"),0)
+IFERROR(INDIRECT("'"&amp;$D$20&amp;"'!Duurzamewarmte_2021"),0)
+IFERROR(INDIRECT("'"&amp;$D$21&amp;"'!Duurzamewarmte_2021"),0)
+IFERROR(INDIRECT("'"&amp;$D$22&amp;"'!Duurzamewarmte_2021"),0)
+IFERROR(INDIRECT("'"&amp;$D$23&amp;"'!Duurzamewarmte_2021"),0)
+IFERROR(INDIRECT("'"&amp;$D$24&amp;"'!Duurzamewarmte_2021"),0)
+IFERROR(INDIRECT("'"&amp;$D$25&amp;"'!Duurzamewarmte_2021"),0)
+IFERROR(INDIRECT("'"&amp;$D$26&amp;"'!Duurzamewarmte_2021"),0)
+IFERROR(INDIRECT("'"&amp;$D$27&amp;"'!Duurzamewarmte_2021"),0)
+IFERROR(INDIRECT("'"&amp;$D$28&amp;"'!Duurzamewarmte_2021"),0)
+IFERROR(INDIRECT("'"&amp;$D$29&amp;"'!Duurzamewarmte_2021"),0)
+IFERROR(INDIRECT("'"&amp;$D$30&amp;"'!Duurzamewarmte_2021"),0)
+IFERROR(INDIRECT("'"&amp;$D$31&amp;"'!Duurzamewarmte_2021"),0)
+IFERROR(INDIRECT("'"&amp;$D$32&amp;"'!Duurzamewarmte_2021"),0)
+IFERROR(INDIRECT("'"&amp;$D$33&amp;"'!Duurzamewarmte_2021"),0)
+IFERROR(INDIRECT("'"&amp;$D$34&amp;"'!Duurzamewarmte_2021"),0)
+IFERROR(INDIRECT("'"&amp;$D$35&amp;"'!Duurzamewarmte_2021"),0)
+IFERROR(INDIRECT("'"&amp;$D$36&amp;"'!Duurzamewarmte_2021"),0)
+IFERROR(INDIRECT("'"&amp;$D$37&amp;"'!Duurzamewarmte_2021"),0)
+IFERROR(INDIRECT("'"&amp;$D$38&amp;"'!Duurzamewarmte_2021"),0)
+IFERROR(INDIRECT("'"&amp;$D$39&amp;"'!Duurzamewarmte_2021"),0)
+IFERROR(INDIRECT("'"&amp;$D$40&amp;"'!Duurzamewarmte_2021"),0)
+IFERROR(INDIRECT("'"&amp;$D$41&amp;"'!Duurzamewarmte_2021"),0)
+IFERROR(INDIRECT("'"&amp;$D$42&amp;"'!Duurzamewarmte_2021"),0)
+IFERROR(INDIRECT("'"&amp;$D$43&amp;"'!Duurzamewarmte_2021"),0)
+IFERROR(INDIRECT("'"&amp;$D$44&amp;"'!Duurzamewarmte_2021"),0)
+IFERROR(INDIRECT("'"&amp;$D$45&amp;"'!Duurzamewarmte_2021"),0)
+IFERROR(INDIRECT("'"&amp;$D$46&amp;"'!Duurzamewarmte_2021"),0)
+IFERROR(INDIRECT("'"&amp;$D$47&amp;"'!Duurzamewarmte_2021"),0)
+IFERROR(INDIRECT("'"&amp;$D$48&amp;"'!Duurzamewarmte_2021"),0)
+IFERROR(INDIRECT("'"&amp;$D$49&amp;"'!Duurzamewarmte_2021"),0)
+IFERROR(INDIRECT("'"&amp;$D$50&amp;"'!Duurzamewarmte_2021"),0)
+IFERROR(INDIRECT("'"&amp;$D$51&amp;"'!Duurzamewarmte_2021"),0)
+IFERROR(INDIRECT("'"&amp;$D$52&amp;"'!Duurzamewarmte_2021"),0)
+IFERROR(INDIRECT("'"&amp;$D$53&amp;"'!Duurzamewarmte_2021"),0)
+IFERROR(INDIRECT("'"&amp;$D$54&amp;"'!Duurzamewarmte_2021"),0)</f>
        <v>0</v>
      </c>
      <c r="L41" s="321">
        <f ca="1">+IFERROR(INDIRECT("'"&amp;$D$5&amp;"'!Duurzamewarmte_2022"),0)
+IFERROR(INDIRECT("'"&amp;$D$6&amp;"'!Duurzamewarmte_2022"),0)
+IFERROR(INDIRECT("'"&amp;$D$7&amp;"'!Duurzamewarmte_2022"),0)
+IFERROR(INDIRECT("'"&amp;$D$8&amp;"'!Duurzamewarmte_2022"),0)
+IFERROR(INDIRECT("'"&amp;$D$9&amp;"'!Duurzamewarmte_2022"),0)
+IFERROR(INDIRECT("'"&amp;$D$10&amp;"'!Duurzamewarmte_2022"),0)
+IFERROR(INDIRECT("'"&amp;$D$11&amp;"'!Duurzamewarmte_2022"),0)
+IFERROR(INDIRECT("'"&amp;$D$12&amp;"'!Duurzamewarmte_2022"),0)
+IFERROR(INDIRECT("'"&amp;$D$13&amp;"'!Duurzamewarmte_2022"),0)
+IFERROR(INDIRECT("'"&amp;$D$14&amp;"'!Duurzamewarmte_2022"),0)
+IFERROR(INDIRECT("'"&amp;$D$15&amp;"'!Duurzamewarmte_2022"),0)
+IFERROR(INDIRECT("'"&amp;$D$16&amp;"'!Duurzamewarmte_2022"),0)
+IFERROR(INDIRECT("'"&amp;$D$17&amp;"'!Duurzamewarmte_2022"),0)
+IFERROR(INDIRECT("'"&amp;$D$18&amp;"'!Duurzamewarmte_2022"),0)
+IFERROR(INDIRECT("'"&amp;$D$19&amp;"'!Duurzamewarmte_2022"),0)
+IFERROR(INDIRECT("'"&amp;$D$20&amp;"'!Duurzamewarmte_2022"),0)
+IFERROR(INDIRECT("'"&amp;$D$21&amp;"'!Duurzamewarmte_2022"),0)
+IFERROR(INDIRECT("'"&amp;$D$22&amp;"'!Duurzamewarmte_2022"),0)
+IFERROR(INDIRECT("'"&amp;$D$23&amp;"'!Duurzamewarmte_2022"),0)
+IFERROR(INDIRECT("'"&amp;$D$24&amp;"'!Duurzamewarmte_2022"),0)
+IFERROR(INDIRECT("'"&amp;$D$25&amp;"'!Duurzamewarmte_2022"),0)
+IFERROR(INDIRECT("'"&amp;$D$26&amp;"'!Duurzamewarmte_2022"),0)
+IFERROR(INDIRECT("'"&amp;$D$27&amp;"'!Duurzamewarmte_2022"),0)
+IFERROR(INDIRECT("'"&amp;$D$28&amp;"'!Duurzamewarmte_2022"),0)
+IFERROR(INDIRECT("'"&amp;$D$29&amp;"'!Duurzamewarmte_2022"),0)
+IFERROR(INDIRECT("'"&amp;$D$30&amp;"'!Duurzamewarmte_2022"),0)
+IFERROR(INDIRECT("'"&amp;$D$31&amp;"'!Duurzamewarmte_2022"),0)
+IFERROR(INDIRECT("'"&amp;$D$32&amp;"'!Duurzamewarmte_2022"),0)
+IFERROR(INDIRECT("'"&amp;$D$33&amp;"'!Duurzamewarmte_2022"),0)
+IFERROR(INDIRECT("'"&amp;$D$34&amp;"'!Duurzamewarmte_2022"),0)
+IFERROR(INDIRECT("'"&amp;$D$35&amp;"'!Duurzamewarmte_2022"),0)
+IFERROR(INDIRECT("'"&amp;$D$36&amp;"'!Duurzamewarmte_2022"),0)
+IFERROR(INDIRECT("'"&amp;$D$37&amp;"'!Duurzamewarmte_2022"),0)
+IFERROR(INDIRECT("'"&amp;$D$38&amp;"'!Duurzamewarmte_2022"),0)
+IFERROR(INDIRECT("'"&amp;$D$39&amp;"'!Duurzamewarmte_2022"),0)
+IFERROR(INDIRECT("'"&amp;$D$40&amp;"'!Duurzamewarmte_2022"),0)
+IFERROR(INDIRECT("'"&amp;$D$41&amp;"'!Duurzamewarmte_2022"),0)
+IFERROR(INDIRECT("'"&amp;$D$42&amp;"'!Duurzamewarmte_2022"),0)
+IFERROR(INDIRECT("'"&amp;$D$43&amp;"'!Duurzamewarmte_2022"),0)
+IFERROR(INDIRECT("'"&amp;$D$44&amp;"'!Duurzamewarmte_2022"),0)
+IFERROR(INDIRECT("'"&amp;$D$45&amp;"'!Duurzamewarmte_2022"),0)
+IFERROR(INDIRECT("'"&amp;$D$46&amp;"'!Duurzamewarmte_2022"),0)
+IFERROR(INDIRECT("'"&amp;$D$47&amp;"'!Duurzamewarmte_2022"),0)
+IFERROR(INDIRECT("'"&amp;$D$48&amp;"'!Duurzamewarmte_2022"),0)
+IFERROR(INDIRECT("'"&amp;$D$49&amp;"'!Duurzamewarmte_2022"),0)
+IFERROR(INDIRECT("'"&amp;$D$50&amp;"'!Duurzamewarmte_2022"),0)
+IFERROR(INDIRECT("'"&amp;$D$51&amp;"'!Duurzamewarmte_2022"),0)
+IFERROR(INDIRECT("'"&amp;$D$52&amp;"'!Duurzamewarmte_2022"),0)
+IFERROR(INDIRECT("'"&amp;$D$53&amp;"'!Duurzamewarmte_2022"),0)
+IFERROR(INDIRECT("'"&amp;$D$54&amp;"'!Duurzamewarmte_2022"),0)</f>
        <v>0</v>
      </c>
      <c r="M41" s="321">
        <f ca="1">+IFERROR(INDIRECT("'"&amp;$D$5&amp;"'!Duurzamewarmte_2023"),0)
+IFERROR(INDIRECT("'"&amp;$D$6&amp;"'!Duurzamewarmte_2023"),0)
+IFERROR(INDIRECT("'"&amp;$D$7&amp;"'!Duurzamewarmte_2023"),0)
+IFERROR(INDIRECT("'"&amp;$D$8&amp;"'!Duurzamewarmte_2023"),0)
+IFERROR(INDIRECT("'"&amp;$D$9&amp;"'!Duurzamewarmte_2023"),0)
+IFERROR(INDIRECT("'"&amp;$D$10&amp;"'!Duurzamewarmte_2023"),0)
+IFERROR(INDIRECT("'"&amp;$D$11&amp;"'!Duurzamewarmte_2023"),0)
+IFERROR(INDIRECT("'"&amp;$D$12&amp;"'!Duurzamewarmte_2023"),0)
+IFERROR(INDIRECT("'"&amp;$D$13&amp;"'!Duurzamewarmte_2023"),0)
+IFERROR(INDIRECT("'"&amp;$D$14&amp;"'!Duurzamewarmte_2023"),0)
+IFERROR(INDIRECT("'"&amp;$D$15&amp;"'!Duurzamewarmte_2023"),0)
+IFERROR(INDIRECT("'"&amp;$D$16&amp;"'!Duurzamewarmte_2023"),0)
+IFERROR(INDIRECT("'"&amp;$D$17&amp;"'!Duurzamewarmte_2023"),0)
+IFERROR(INDIRECT("'"&amp;$D$18&amp;"'!Duurzamewarmte_2023"),0)
+IFERROR(INDIRECT("'"&amp;$D$19&amp;"'!Duurzamewarmte_2023"),0)
+IFERROR(INDIRECT("'"&amp;$D$20&amp;"'!Duurzamewarmte_2023"),0)
+IFERROR(INDIRECT("'"&amp;$D$21&amp;"'!Duurzamewarmte_2023"),0)
+IFERROR(INDIRECT("'"&amp;$D$22&amp;"'!Duurzamewarmte_2023"),0)
+IFERROR(INDIRECT("'"&amp;$D$23&amp;"'!Duurzamewarmte_2023"),0)
+IFERROR(INDIRECT("'"&amp;$D$24&amp;"'!Duurzamewarmte_2023"),0)
+IFERROR(INDIRECT("'"&amp;$D$25&amp;"'!Duurzamewarmte_2023"),0)
+IFERROR(INDIRECT("'"&amp;$D$26&amp;"'!Duurzamewarmte_2023"),0)
+IFERROR(INDIRECT("'"&amp;$D$27&amp;"'!Duurzamewarmte_2023"),0)
+IFERROR(INDIRECT("'"&amp;$D$28&amp;"'!Duurzamewarmte_2023"),0)
+IFERROR(INDIRECT("'"&amp;$D$29&amp;"'!Duurzamewarmte_2023"),0)
+IFERROR(INDIRECT("'"&amp;$D$30&amp;"'!Duurzamewarmte_2023"),0)
+IFERROR(INDIRECT("'"&amp;$D$31&amp;"'!Duurzamewarmte_2023"),0)
+IFERROR(INDIRECT("'"&amp;$D$32&amp;"'!Duurzamewarmte_2023"),0)
+IFERROR(INDIRECT("'"&amp;$D$33&amp;"'!Duurzamewarmte_2023"),0)
+IFERROR(INDIRECT("'"&amp;$D$34&amp;"'!Duurzamewarmte_2023"),0)
+IFERROR(INDIRECT("'"&amp;$D$35&amp;"'!Duurzamewarmte_2023"),0)
+IFERROR(INDIRECT("'"&amp;$D$36&amp;"'!Duurzamewarmte_2023"),0)
+IFERROR(INDIRECT("'"&amp;$D$37&amp;"'!Duurzamewarmte_2023"),0)
+IFERROR(INDIRECT("'"&amp;$D$38&amp;"'!Duurzamewarmte_2023"),0)
+IFERROR(INDIRECT("'"&amp;$D$39&amp;"'!Duurzamewarmte_2023"),0)
+IFERROR(INDIRECT("'"&amp;$D$40&amp;"'!Duurzamewarmte_2023"),0)
+IFERROR(INDIRECT("'"&amp;$D$41&amp;"'!Duurzamewarmte_2023"),0)
+IFERROR(INDIRECT("'"&amp;$D$42&amp;"'!Duurzamewarmte_2023"),0)
+IFERROR(INDIRECT("'"&amp;$D$43&amp;"'!Duurzamewarmte_2023"),0)
+IFERROR(INDIRECT("'"&amp;$D$44&amp;"'!Duurzamewarmte_2023"),0)
+IFERROR(INDIRECT("'"&amp;$D$45&amp;"'!Duurzamewarmte_2023"),0)
+IFERROR(INDIRECT("'"&amp;$D$46&amp;"'!Duurzamewarmte_2023"),0)
+IFERROR(INDIRECT("'"&amp;$D$47&amp;"'!Duurzamewarmte_2023"),0)
+IFERROR(INDIRECT("'"&amp;$D$48&amp;"'!Duurzamewarmte_2023"),0)
+IFERROR(INDIRECT("'"&amp;$D$49&amp;"'!Duurzamewarmte_2023"),0)
+IFERROR(INDIRECT("'"&amp;$D$50&amp;"'!Duurzamewarmte_2023"),0)
+IFERROR(INDIRECT("'"&amp;$D$51&amp;"'!Duurzamewarmte_2023"),0)
+IFERROR(INDIRECT("'"&amp;$D$52&amp;"'!Duurzamewarmte_2023"),0)
+IFERROR(INDIRECT("'"&amp;$D$53&amp;"'!Duurzamewarmte_2023"),0)
+IFERROR(INDIRECT("'"&amp;$D$54&amp;"'!Duurzamewarmte_2023"),0)</f>
        <v>0</v>
      </c>
      <c r="N41" s="321">
        <f ca="1">+IFERROR(INDIRECT("'"&amp;$D$5&amp;"'!Duurzamewarmte_2024"),0)
+IFERROR(INDIRECT("'"&amp;$D$6&amp;"'!Duurzamewarmte_2024"),0)
+IFERROR(INDIRECT("'"&amp;$D$7&amp;"'!Duurzamewarmte_2024"),0)
+IFERROR(INDIRECT("'"&amp;$D$8&amp;"'!Duurzamewarmte_2024"),0)
+IFERROR(INDIRECT("'"&amp;$D$9&amp;"'!Duurzamewarmte_2024"),0)
+IFERROR(INDIRECT("'"&amp;$D$10&amp;"'!Duurzamewarmte_2024"),0)
+IFERROR(INDIRECT("'"&amp;$D$11&amp;"'!Duurzamewarmte_2024"),0)
+IFERROR(INDIRECT("'"&amp;$D$12&amp;"'!Duurzamewarmte_2024"),0)
+IFERROR(INDIRECT("'"&amp;$D$13&amp;"'!Duurzamewarmte_2024"),0)
+IFERROR(INDIRECT("'"&amp;$D$14&amp;"'!Duurzamewarmte_2024"),0)
+IFERROR(INDIRECT("'"&amp;$D$15&amp;"'!Duurzamewarmte_2024"),0)
+IFERROR(INDIRECT("'"&amp;$D$16&amp;"'!Duurzamewarmte_2024"),0)
+IFERROR(INDIRECT("'"&amp;$D$17&amp;"'!Duurzamewarmte_2024"),0)
+IFERROR(INDIRECT("'"&amp;$D$18&amp;"'!Duurzamewarmte_2024"),0)
+IFERROR(INDIRECT("'"&amp;$D$19&amp;"'!Duurzamewarmte_2024"),0)
+IFERROR(INDIRECT("'"&amp;$D$20&amp;"'!Duurzamewarmte_2024"),0)
+IFERROR(INDIRECT("'"&amp;$D$21&amp;"'!Duurzamewarmte_2024"),0)
+IFERROR(INDIRECT("'"&amp;$D$22&amp;"'!Duurzamewarmte_2024"),0)
+IFERROR(INDIRECT("'"&amp;$D$23&amp;"'!Duurzamewarmte_2024"),0)
+IFERROR(INDIRECT("'"&amp;$D$24&amp;"'!Duurzamewarmte_2024"),0)
+IFERROR(INDIRECT("'"&amp;$D$25&amp;"'!Duurzamewarmte_2024"),0)
+IFERROR(INDIRECT("'"&amp;$D$26&amp;"'!Duurzamewarmte_2024"),0)
+IFERROR(INDIRECT("'"&amp;$D$27&amp;"'!Duurzamewarmte_2024"),0)
+IFERROR(INDIRECT("'"&amp;$D$28&amp;"'!Duurzamewarmte_2024"),0)
+IFERROR(INDIRECT("'"&amp;$D$29&amp;"'!Duurzamewarmte_2024"),0)
+IFERROR(INDIRECT("'"&amp;$D$30&amp;"'!Duurzamewarmte_2024"),0)
+IFERROR(INDIRECT("'"&amp;$D$31&amp;"'!Duurzamewarmte_2024"),0)
+IFERROR(INDIRECT("'"&amp;$D$32&amp;"'!Duurzamewarmte_2024"),0)
+IFERROR(INDIRECT("'"&amp;$D$33&amp;"'!Duurzamewarmte_2024"),0)
+IFERROR(INDIRECT("'"&amp;$D$34&amp;"'!Duurzamewarmte_2024"),0)
+IFERROR(INDIRECT("'"&amp;$D$35&amp;"'!Duurzamewarmte_2024"),0)
+IFERROR(INDIRECT("'"&amp;$D$36&amp;"'!Duurzamewarmte_2024"),0)
+IFERROR(INDIRECT("'"&amp;$D$37&amp;"'!Duurzamewarmte_2024"),0)
+IFERROR(INDIRECT("'"&amp;$D$38&amp;"'!Duurzamewarmte_2024"),0)
+IFERROR(INDIRECT("'"&amp;$D$39&amp;"'!Duurzamewarmte_2024"),0)
+IFERROR(INDIRECT("'"&amp;$D$40&amp;"'!Duurzamewarmte_2024"),0)
+IFERROR(INDIRECT("'"&amp;$D$41&amp;"'!Duurzamewarmte_2024"),0)
+IFERROR(INDIRECT("'"&amp;$D$42&amp;"'!Duurzamewarmte_2024"),0)
+IFERROR(INDIRECT("'"&amp;$D$43&amp;"'!Duurzamewarmte_2024"),0)
+IFERROR(INDIRECT("'"&amp;$D$44&amp;"'!Duurzamewarmte_2024"),0)
+IFERROR(INDIRECT("'"&amp;$D$45&amp;"'!Duurzamewarmte_2024"),0)
+IFERROR(INDIRECT("'"&amp;$D$46&amp;"'!Duurzamewarmte_2024"),0)
+IFERROR(INDIRECT("'"&amp;$D$47&amp;"'!Duurzamewarmte_2024"),0)
+IFERROR(INDIRECT("'"&amp;$D$48&amp;"'!Duurzamewarmte_2024"),0)
+IFERROR(INDIRECT("'"&amp;$D$49&amp;"'!Duurzamewarmte_2024"),0)
+IFERROR(INDIRECT("'"&amp;$D$50&amp;"'!Duurzamewarmte_2024"),0)
+IFERROR(INDIRECT("'"&amp;$D$51&amp;"'!Duurzamewarmte_2024"),0)
+IFERROR(INDIRECT("'"&amp;$D$52&amp;"'!Duurzamewarmte_2024"),0)
+IFERROR(INDIRECT("'"&amp;$D$53&amp;"'!Duurzamewarmte_2024"),0)
+IFERROR(INDIRECT("'"&amp;$D$54&amp;"'!Duurzamewarmte_2024"),0)</f>
        <v>0</v>
      </c>
      <c r="O41" s="321">
        <f ca="1">+IFERROR(INDIRECT("'"&amp;$D$5&amp;"'!Duurzamewarmte_2025"),0)
+IFERROR(INDIRECT("'"&amp;$D$6&amp;"'!Duurzamewarmte_2025"),0)
+IFERROR(INDIRECT("'"&amp;$D$7&amp;"'!Duurzamewarmte_2025"),0)
+IFERROR(INDIRECT("'"&amp;$D$8&amp;"'!Duurzamewarmte_2025"),0)
+IFERROR(INDIRECT("'"&amp;$D$9&amp;"'!Duurzamewarmte_2025"),0)
+IFERROR(INDIRECT("'"&amp;$D$10&amp;"'!Duurzamewarmte_2025"),0)
+IFERROR(INDIRECT("'"&amp;$D$11&amp;"'!Duurzamewarmte_2025"),0)
+IFERROR(INDIRECT("'"&amp;$D$12&amp;"'!Duurzamewarmte_2025"),0)
+IFERROR(INDIRECT("'"&amp;$D$13&amp;"'!Duurzamewarmte_2025"),0)
+IFERROR(INDIRECT("'"&amp;$D$14&amp;"'!Duurzamewarmte_2025"),0)
+IFERROR(INDIRECT("'"&amp;$D$15&amp;"'!Duurzamewarmte_2025"),0)
+IFERROR(INDIRECT("'"&amp;$D$16&amp;"'!Duurzamewarmte_2025"),0)
+IFERROR(INDIRECT("'"&amp;$D$17&amp;"'!Duurzamewarmte_2025"),0)
+IFERROR(INDIRECT("'"&amp;$D$18&amp;"'!Duurzamewarmte_2025"),0)
+IFERROR(INDIRECT("'"&amp;$D$19&amp;"'!Duurzamewarmte_2025"),0)
+IFERROR(INDIRECT("'"&amp;$D$20&amp;"'!Duurzamewarmte_2025"),0)
+IFERROR(INDIRECT("'"&amp;$D$21&amp;"'!Duurzamewarmte_2025"),0)
+IFERROR(INDIRECT("'"&amp;$D$22&amp;"'!Duurzamewarmte_2025"),0)
+IFERROR(INDIRECT("'"&amp;$D$23&amp;"'!Duurzamewarmte_2025"),0)
+IFERROR(INDIRECT("'"&amp;$D$24&amp;"'!Duurzamewarmte_2025"),0)
+IFERROR(INDIRECT("'"&amp;$D$25&amp;"'!Duurzamewarmte_2025"),0)
+IFERROR(INDIRECT("'"&amp;$D$26&amp;"'!Duurzamewarmte_2025"),0)
+IFERROR(INDIRECT("'"&amp;$D$27&amp;"'!Duurzamewarmte_2025"),0)
+IFERROR(INDIRECT("'"&amp;$D$28&amp;"'!Duurzamewarmte_2025"),0)
+IFERROR(INDIRECT("'"&amp;$D$29&amp;"'!Duurzamewarmte_2025"),0)
+IFERROR(INDIRECT("'"&amp;$D$30&amp;"'!Duurzamewarmte_2025"),0)
+IFERROR(INDIRECT("'"&amp;$D$31&amp;"'!Duurzamewarmte_2025"),0)
+IFERROR(INDIRECT("'"&amp;$D$32&amp;"'!Duurzamewarmte_2025"),0)
+IFERROR(INDIRECT("'"&amp;$D$33&amp;"'!Duurzamewarmte_2025"),0)
+IFERROR(INDIRECT("'"&amp;$D$34&amp;"'!Duurzamewarmte_2025"),0)
+IFERROR(INDIRECT("'"&amp;$D$35&amp;"'!Duurzamewarmte_2025"),0)
+IFERROR(INDIRECT("'"&amp;$D$36&amp;"'!Duurzamewarmte_2025"),0)
+IFERROR(INDIRECT("'"&amp;$D$37&amp;"'!Duurzamewarmte_2025"),0)
+IFERROR(INDIRECT("'"&amp;$D$38&amp;"'!Duurzamewarmte_2025"),0)
+IFERROR(INDIRECT("'"&amp;$D$39&amp;"'!Duurzamewarmte_2025"),0)
+IFERROR(INDIRECT("'"&amp;$D$40&amp;"'!Duurzamewarmte_2025"),0)
+IFERROR(INDIRECT("'"&amp;$D$41&amp;"'!Duurzamewarmte_2025"),0)
+IFERROR(INDIRECT("'"&amp;$D$42&amp;"'!Duurzamewarmte_2025"),0)
+IFERROR(INDIRECT("'"&amp;$D$43&amp;"'!Duurzamewarmte_2025"),0)
+IFERROR(INDIRECT("'"&amp;$D$44&amp;"'!Duurzamewarmte_2025"),0)
+IFERROR(INDIRECT("'"&amp;$D$45&amp;"'!Duurzamewarmte_2025"),0)
+IFERROR(INDIRECT("'"&amp;$D$46&amp;"'!Duurzamewarmte_2025"),0)
+IFERROR(INDIRECT("'"&amp;$D$47&amp;"'!Duurzamewarmte_2025"),0)
+IFERROR(INDIRECT("'"&amp;$D$48&amp;"'!Duurzamewarmte_2025"),0)
+IFERROR(INDIRECT("'"&amp;$D$49&amp;"'!Duurzamewarmte_2025"),0)
+IFERROR(INDIRECT("'"&amp;$D$50&amp;"'!Duurzamewarmte_2025"),0)
+IFERROR(INDIRECT("'"&amp;$D$51&amp;"'!Duurzamewarmte_2025"),0)
+IFERROR(INDIRECT("'"&amp;$D$52&amp;"'!Duurzamewarmte_2025"),0)
+IFERROR(INDIRECT("'"&amp;$D$53&amp;"'!Duurzamewarmte_2025"),0)
+IFERROR(INDIRECT("'"&amp;$D$54&amp;"'!Duurzamewarmte_2025"),0)</f>
        <v>0</v>
      </c>
      <c r="P41" s="321">
        <f ca="1">+IFERROR(INDIRECT("'"&amp;$D$5&amp;"'!Duurzamewarmte_2026"),0)
+IFERROR(INDIRECT("'"&amp;$D$6&amp;"'!Duurzamewarmte_2026"),0)
+IFERROR(INDIRECT("'"&amp;$D$7&amp;"'!Duurzamewarmte_2026"),0)
+IFERROR(INDIRECT("'"&amp;$D$8&amp;"'!Duurzamewarmte_2026"),0)
+IFERROR(INDIRECT("'"&amp;$D$9&amp;"'!Duurzamewarmte_2026"),0)
+IFERROR(INDIRECT("'"&amp;$D$10&amp;"'!Duurzamewarmte_2026"),0)
+IFERROR(INDIRECT("'"&amp;$D$11&amp;"'!Duurzamewarmte_2026"),0)
+IFERROR(INDIRECT("'"&amp;$D$12&amp;"'!Duurzamewarmte_2026"),0)
+IFERROR(INDIRECT("'"&amp;$D$13&amp;"'!Duurzamewarmte_2026"),0)
+IFERROR(INDIRECT("'"&amp;$D$14&amp;"'!Duurzamewarmte_2026"),0)
+IFERROR(INDIRECT("'"&amp;$D$15&amp;"'!Duurzamewarmte_2026"),0)
+IFERROR(INDIRECT("'"&amp;$D$16&amp;"'!Duurzamewarmte_2026"),0)
+IFERROR(INDIRECT("'"&amp;$D$17&amp;"'!Duurzamewarmte_2026"),0)
+IFERROR(INDIRECT("'"&amp;$D$18&amp;"'!Duurzamewarmte_2026"),0)
+IFERROR(INDIRECT("'"&amp;$D$19&amp;"'!Duurzamewarmte_2026"),0)
+IFERROR(INDIRECT("'"&amp;$D$20&amp;"'!Duurzamewarmte_2026"),0)
+IFERROR(INDIRECT("'"&amp;$D$21&amp;"'!Duurzamewarmte_2026"),0)
+IFERROR(INDIRECT("'"&amp;$D$22&amp;"'!Duurzamewarmte_2026"),0)
+IFERROR(INDIRECT("'"&amp;$D$23&amp;"'!Duurzamewarmte_2026"),0)
+IFERROR(INDIRECT("'"&amp;$D$24&amp;"'!Duurzamewarmte_2026"),0)
+IFERROR(INDIRECT("'"&amp;$D$25&amp;"'!Duurzamewarmte_2026"),0)
+IFERROR(INDIRECT("'"&amp;$D$26&amp;"'!Duurzamewarmte_2026"),0)
+IFERROR(INDIRECT("'"&amp;$D$27&amp;"'!Duurzamewarmte_2026"),0)
+IFERROR(INDIRECT("'"&amp;$D$28&amp;"'!Duurzamewarmte_2026"),0)
+IFERROR(INDIRECT("'"&amp;$D$29&amp;"'!Duurzamewarmte_2026"),0)
+IFERROR(INDIRECT("'"&amp;$D$30&amp;"'!Duurzamewarmte_2026"),0)
+IFERROR(INDIRECT("'"&amp;$D$31&amp;"'!Duurzamewarmte_2026"),0)
+IFERROR(INDIRECT("'"&amp;$D$32&amp;"'!Duurzamewarmte_2026"),0)
+IFERROR(INDIRECT("'"&amp;$D$33&amp;"'!Duurzamewarmte_2026"),0)
+IFERROR(INDIRECT("'"&amp;$D$34&amp;"'!Duurzamewarmte_2026"),0)
+IFERROR(INDIRECT("'"&amp;$D$35&amp;"'!Duurzamewarmte_2026"),0)
+IFERROR(INDIRECT("'"&amp;$D$36&amp;"'!Duurzamewarmte_2026"),0)
+IFERROR(INDIRECT("'"&amp;$D$37&amp;"'!Duurzamewarmte_2026"),0)
+IFERROR(INDIRECT("'"&amp;$D$38&amp;"'!Duurzamewarmte_2026"),0)
+IFERROR(INDIRECT("'"&amp;$D$39&amp;"'!Duurzamewarmte_2026"),0)
+IFERROR(INDIRECT("'"&amp;$D$40&amp;"'!Duurzamewarmte_2026"),0)
+IFERROR(INDIRECT("'"&amp;$D$41&amp;"'!Duurzamewarmte_2026"),0)
+IFERROR(INDIRECT("'"&amp;$D$42&amp;"'!Duurzamewarmte_2026"),0)
+IFERROR(INDIRECT("'"&amp;$D$43&amp;"'!Duurzamewarmte_2026"),0)
+IFERROR(INDIRECT("'"&amp;$D$44&amp;"'!Duurzamewarmte_2026"),0)
+IFERROR(INDIRECT("'"&amp;$D$45&amp;"'!Duurzamewarmte_2026"),0)
+IFERROR(INDIRECT("'"&amp;$D$46&amp;"'!Duurzamewarmte_2026"),0)
+IFERROR(INDIRECT("'"&amp;$D$47&amp;"'!Duurzamewarmte_2026"),0)
+IFERROR(INDIRECT("'"&amp;$D$48&amp;"'!Duurzamewarmte_2026"),0)
+IFERROR(INDIRECT("'"&amp;$D$49&amp;"'!Duurzamewarmte_2026"),0)
+IFERROR(INDIRECT("'"&amp;$D$50&amp;"'!Duurzamewarmte_2026"),0)
+IFERROR(INDIRECT("'"&amp;$D$51&amp;"'!Duurzamewarmte_2026"),0)
+IFERROR(INDIRECT("'"&amp;$D$52&amp;"'!Duurzamewarmte_2026"),0)
+IFERROR(INDIRECT("'"&amp;$D$53&amp;"'!Duurzamewarmte_2026"),0)
+IFERROR(INDIRECT("'"&amp;$D$54&amp;"'!Duurzamewarmte_2026"),0)</f>
        <v>0</v>
      </c>
      <c r="Q41" s="321">
        <f ca="1">+IFERROR(INDIRECT("'"&amp;$D$5&amp;"'!Duurzamewarmte_2027"),0)
+IFERROR(INDIRECT("'"&amp;$D$6&amp;"'!Duurzamewarmte_2027"),0)
+IFERROR(INDIRECT("'"&amp;$D$7&amp;"'!Duurzamewarmte_2027"),0)
+IFERROR(INDIRECT("'"&amp;$D$8&amp;"'!Duurzamewarmte_2027"),0)
+IFERROR(INDIRECT("'"&amp;$D$9&amp;"'!Duurzamewarmte_2027"),0)
+IFERROR(INDIRECT("'"&amp;$D$10&amp;"'!Duurzamewarmte_2027"),0)
+IFERROR(INDIRECT("'"&amp;$D$11&amp;"'!Duurzamewarmte_2027"),0)
+IFERROR(INDIRECT("'"&amp;$D$12&amp;"'!Duurzamewarmte_2027"),0)
+IFERROR(INDIRECT("'"&amp;$D$13&amp;"'!Duurzamewarmte_2027"),0)
+IFERROR(INDIRECT("'"&amp;$D$14&amp;"'!Duurzamewarmte_2027"),0)
+IFERROR(INDIRECT("'"&amp;$D$15&amp;"'!Duurzamewarmte_2027"),0)
+IFERROR(INDIRECT("'"&amp;$D$16&amp;"'!Duurzamewarmte_2027"),0)
+IFERROR(INDIRECT("'"&amp;$D$17&amp;"'!Duurzamewarmte_2027"),0)
+IFERROR(INDIRECT("'"&amp;$D$18&amp;"'!Duurzamewarmte_2027"),0)
+IFERROR(INDIRECT("'"&amp;$D$19&amp;"'!Duurzamewarmte_2027"),0)
+IFERROR(INDIRECT("'"&amp;$D$20&amp;"'!Duurzamewarmte_2027"),0)
+IFERROR(INDIRECT("'"&amp;$D$21&amp;"'!Duurzamewarmte_2027"),0)
+IFERROR(INDIRECT("'"&amp;$D$22&amp;"'!Duurzamewarmte_2027"),0)
+IFERROR(INDIRECT("'"&amp;$D$23&amp;"'!Duurzamewarmte_2027"),0)
+IFERROR(INDIRECT("'"&amp;$D$24&amp;"'!Duurzamewarmte_2027"),0)
+IFERROR(INDIRECT("'"&amp;$D$25&amp;"'!Duurzamewarmte_2027"),0)
+IFERROR(INDIRECT("'"&amp;$D$26&amp;"'!Duurzamewarmte_2027"),0)
+IFERROR(INDIRECT("'"&amp;$D$27&amp;"'!Duurzamewarmte_2027"),0)
+IFERROR(INDIRECT("'"&amp;$D$28&amp;"'!Duurzamewarmte_2027"),0)
+IFERROR(INDIRECT("'"&amp;$D$29&amp;"'!Duurzamewarmte_2027"),0)
+IFERROR(INDIRECT("'"&amp;$D$30&amp;"'!Duurzamewarmte_2027"),0)
+IFERROR(INDIRECT("'"&amp;$D$31&amp;"'!Duurzamewarmte_2027"),0)
+IFERROR(INDIRECT("'"&amp;$D$32&amp;"'!Duurzamewarmte_2027"),0)
+IFERROR(INDIRECT("'"&amp;$D$33&amp;"'!Duurzamewarmte_2027"),0)
+IFERROR(INDIRECT("'"&amp;$D$34&amp;"'!Duurzamewarmte_2027"),0)
+IFERROR(INDIRECT("'"&amp;$D$35&amp;"'!Duurzamewarmte_2027"),0)
+IFERROR(INDIRECT("'"&amp;$D$36&amp;"'!Duurzamewarmte_2027"),0)
+IFERROR(INDIRECT("'"&amp;$D$37&amp;"'!Duurzamewarmte_2027"),0)
+IFERROR(INDIRECT("'"&amp;$D$38&amp;"'!Duurzamewarmte_2027"),0)
+IFERROR(INDIRECT("'"&amp;$D$39&amp;"'!Duurzamewarmte_2027"),0)
+IFERROR(INDIRECT("'"&amp;$D$40&amp;"'!Duurzamewarmte_2027"),0)
+IFERROR(INDIRECT("'"&amp;$D$41&amp;"'!Duurzamewarmte_2027"),0)
+IFERROR(INDIRECT("'"&amp;$D$42&amp;"'!Duurzamewarmte_2027"),0)
+IFERROR(INDIRECT("'"&amp;$D$43&amp;"'!Duurzamewarmte_2027"),0)
+IFERROR(INDIRECT("'"&amp;$D$44&amp;"'!Duurzamewarmte_2027"),0)
+IFERROR(INDIRECT("'"&amp;$D$45&amp;"'!Duurzamewarmte_2027"),0)
+IFERROR(INDIRECT("'"&amp;$D$46&amp;"'!Duurzamewarmte_2027"),0)
+IFERROR(INDIRECT("'"&amp;$D$47&amp;"'!Duurzamewarmte_2027"),0)
+IFERROR(INDIRECT("'"&amp;$D$48&amp;"'!Duurzamewarmte_2027"),0)
+IFERROR(INDIRECT("'"&amp;$D$49&amp;"'!Duurzamewarmte_2027"),0)
+IFERROR(INDIRECT("'"&amp;$D$50&amp;"'!Duurzamewarmte_2027"),0)
+IFERROR(INDIRECT("'"&amp;$D$51&amp;"'!Duurzamewarmte_2027"),0)
+IFERROR(INDIRECT("'"&amp;$D$52&amp;"'!Duurzamewarmte_2027"),0)
+IFERROR(INDIRECT("'"&amp;$D$53&amp;"'!Duurzamewarmte_2027"),0)
+IFERROR(INDIRECT("'"&amp;$D$54&amp;"'!Duurzamewarmte_2027"),0)</f>
        <v>0</v>
      </c>
      <c r="R41" s="321">
        <f ca="1">+IFERROR(INDIRECT("'"&amp;$D$5&amp;"'!Duurzamewarmte_2028"),0)
+IFERROR(INDIRECT("'"&amp;$D$6&amp;"'!Duurzamewarmte_2028"),0)
+IFERROR(INDIRECT("'"&amp;$D$7&amp;"'!Duurzamewarmte_2028"),0)
+IFERROR(INDIRECT("'"&amp;$D$8&amp;"'!Duurzamewarmte_2028"),0)
+IFERROR(INDIRECT("'"&amp;$D$9&amp;"'!Duurzamewarmte_2028"),0)
+IFERROR(INDIRECT("'"&amp;$D$10&amp;"'!Duurzamewarmte_2028"),0)
+IFERROR(INDIRECT("'"&amp;$D$11&amp;"'!Duurzamewarmte_2028"),0)
+IFERROR(INDIRECT("'"&amp;$D$12&amp;"'!Duurzamewarmte_2028"),0)
+IFERROR(INDIRECT("'"&amp;$D$13&amp;"'!Duurzamewarmte_2028"),0)
+IFERROR(INDIRECT("'"&amp;$D$14&amp;"'!Duurzamewarmte_2028"),0)
+IFERROR(INDIRECT("'"&amp;$D$15&amp;"'!Duurzamewarmte_2028"),0)
+IFERROR(INDIRECT("'"&amp;$D$16&amp;"'!Duurzamewarmte_2028"),0)
+IFERROR(INDIRECT("'"&amp;$D$17&amp;"'!Duurzamewarmte_2028"),0)
+IFERROR(INDIRECT("'"&amp;$D$18&amp;"'!Duurzamewarmte_2028"),0)
+IFERROR(INDIRECT("'"&amp;$D$19&amp;"'!Duurzamewarmte_2028"),0)
+IFERROR(INDIRECT("'"&amp;$D$20&amp;"'!Duurzamewarmte_2028"),0)
+IFERROR(INDIRECT("'"&amp;$D$21&amp;"'!Duurzamewarmte_2028"),0)
+IFERROR(INDIRECT("'"&amp;$D$22&amp;"'!Duurzamewarmte_2028"),0)
+IFERROR(INDIRECT("'"&amp;$D$23&amp;"'!Duurzamewarmte_2028"),0)
+IFERROR(INDIRECT("'"&amp;$D$24&amp;"'!Duurzamewarmte_2028"),0)
+IFERROR(INDIRECT("'"&amp;$D$25&amp;"'!Duurzamewarmte_2028"),0)
+IFERROR(INDIRECT("'"&amp;$D$26&amp;"'!Duurzamewarmte_2028"),0)
+IFERROR(INDIRECT("'"&amp;$D$27&amp;"'!Duurzamewarmte_2028"),0)
+IFERROR(INDIRECT("'"&amp;$D$28&amp;"'!Duurzamewarmte_2028"),0)
+IFERROR(INDIRECT("'"&amp;$D$29&amp;"'!Duurzamewarmte_2028"),0)
+IFERROR(INDIRECT("'"&amp;$D$30&amp;"'!Duurzamewarmte_2028"),0)
+IFERROR(INDIRECT("'"&amp;$D$31&amp;"'!Duurzamewarmte_2028"),0)
+IFERROR(INDIRECT("'"&amp;$D$32&amp;"'!Duurzamewarmte_2028"),0)
+IFERROR(INDIRECT("'"&amp;$D$33&amp;"'!Duurzamewarmte_2028"),0)
+IFERROR(INDIRECT("'"&amp;$D$34&amp;"'!Duurzamewarmte_2028"),0)
+IFERROR(INDIRECT("'"&amp;$D$35&amp;"'!Duurzamewarmte_2028"),0)
+IFERROR(INDIRECT("'"&amp;$D$36&amp;"'!Duurzamewarmte_2028"),0)
+IFERROR(INDIRECT("'"&amp;$D$37&amp;"'!Duurzamewarmte_2028"),0)
+IFERROR(INDIRECT("'"&amp;$D$38&amp;"'!Duurzamewarmte_2028"),0)
+IFERROR(INDIRECT("'"&amp;$D$39&amp;"'!Duurzamewarmte_2028"),0)
+IFERROR(INDIRECT("'"&amp;$D$40&amp;"'!Duurzamewarmte_2028"),0)
+IFERROR(INDIRECT("'"&amp;$D$41&amp;"'!Duurzamewarmte_2028"),0)
+IFERROR(INDIRECT("'"&amp;$D$42&amp;"'!Duurzamewarmte_2028"),0)
+IFERROR(INDIRECT("'"&amp;$D$43&amp;"'!Duurzamewarmte_2028"),0)
+IFERROR(INDIRECT("'"&amp;$D$44&amp;"'!Duurzamewarmte_2028"),0)
+IFERROR(INDIRECT("'"&amp;$D$45&amp;"'!Duurzamewarmte_2028"),0)
+IFERROR(INDIRECT("'"&amp;$D$46&amp;"'!Duurzamewarmte_2028"),0)
+IFERROR(INDIRECT("'"&amp;$D$47&amp;"'!Duurzamewarmte_2028"),0)
+IFERROR(INDIRECT("'"&amp;$D$48&amp;"'!Duurzamewarmte_2028"),0)
+IFERROR(INDIRECT("'"&amp;$D$49&amp;"'!Duurzamewarmte_2028"),0)
+IFERROR(INDIRECT("'"&amp;$D$50&amp;"'!Duurzamewarmte_2028"),0)
+IFERROR(INDIRECT("'"&amp;$D$51&amp;"'!Duurzamewarmte_2028"),0)
+IFERROR(INDIRECT("'"&amp;$D$52&amp;"'!Duurzamewarmte_2028"),0)
+IFERROR(INDIRECT("'"&amp;$D$53&amp;"'!Duurzamewarmte_2028"),0)
+IFERROR(INDIRECT("'"&amp;$D$54&amp;"'!Duurzamewarmte_2028"),0)</f>
        <v>711</v>
      </c>
      <c r="S41" s="321">
        <f ca="1">+IFERROR(INDIRECT("'"&amp;$D$5&amp;"'!Duurzamewarmte_2029"),0)
+IFERROR(INDIRECT("'"&amp;$D$6&amp;"'!Duurzamewarmte_2029"),0)
+IFERROR(INDIRECT("'"&amp;$D$7&amp;"'!Duurzamewarmte_2029"),0)
+IFERROR(INDIRECT("'"&amp;$D$8&amp;"'!Duurzamewarmte_2029"),0)
+IFERROR(INDIRECT("'"&amp;$D$9&amp;"'!Duurzamewarmte_2029"),0)
+IFERROR(INDIRECT("'"&amp;$D$10&amp;"'!Duurzamewarmte_2029"),0)
+IFERROR(INDIRECT("'"&amp;$D$11&amp;"'!Duurzamewarmte_2029"),0)
+IFERROR(INDIRECT("'"&amp;$D$12&amp;"'!Duurzamewarmte_2029"),0)
+IFERROR(INDIRECT("'"&amp;$D$13&amp;"'!Duurzamewarmte_2029"),0)
+IFERROR(INDIRECT("'"&amp;$D$14&amp;"'!Duurzamewarmte_2029"),0)
+IFERROR(INDIRECT("'"&amp;$D$15&amp;"'!Duurzamewarmte_2029"),0)
+IFERROR(INDIRECT("'"&amp;$D$16&amp;"'!Duurzamewarmte_2029"),0)
+IFERROR(INDIRECT("'"&amp;$D$17&amp;"'!Duurzamewarmte_2029"),0)
+IFERROR(INDIRECT("'"&amp;$D$18&amp;"'!Duurzamewarmte_2029"),0)
+IFERROR(INDIRECT("'"&amp;$D$19&amp;"'!Duurzamewarmte_2029"),0)
+IFERROR(INDIRECT("'"&amp;$D$20&amp;"'!Duurzamewarmte_2029"),0)
+IFERROR(INDIRECT("'"&amp;$D$21&amp;"'!Duurzamewarmte_2029"),0)
+IFERROR(INDIRECT("'"&amp;$D$22&amp;"'!Duurzamewarmte_2029"),0)
+IFERROR(INDIRECT("'"&amp;$D$23&amp;"'!Duurzamewarmte_2029"),0)
+IFERROR(INDIRECT("'"&amp;$D$24&amp;"'!Duurzamewarmte_2029"),0)
+IFERROR(INDIRECT("'"&amp;$D$25&amp;"'!Duurzamewarmte_2029"),0)
+IFERROR(INDIRECT("'"&amp;$D$26&amp;"'!Duurzamewarmte_2029"),0)
+IFERROR(INDIRECT("'"&amp;$D$27&amp;"'!Duurzamewarmte_2029"),0)
+IFERROR(INDIRECT("'"&amp;$D$28&amp;"'!Duurzamewarmte_2029"),0)
+IFERROR(INDIRECT("'"&amp;$D$29&amp;"'!Duurzamewarmte_2029"),0)
+IFERROR(INDIRECT("'"&amp;$D$30&amp;"'!Duurzamewarmte_2029"),0)
+IFERROR(INDIRECT("'"&amp;$D$31&amp;"'!Duurzamewarmte_2029"),0)
+IFERROR(INDIRECT("'"&amp;$D$32&amp;"'!Duurzamewarmte_2029"),0)
+IFERROR(INDIRECT("'"&amp;$D$33&amp;"'!Duurzamewarmte_2029"),0)
+IFERROR(INDIRECT("'"&amp;$D$34&amp;"'!Duurzamewarmte_2029"),0)
+IFERROR(INDIRECT("'"&amp;$D$35&amp;"'!Duurzamewarmte_2029"),0)
+IFERROR(INDIRECT("'"&amp;$D$36&amp;"'!Duurzamewarmte_2029"),0)
+IFERROR(INDIRECT("'"&amp;$D$37&amp;"'!Duurzamewarmte_2029"),0)
+IFERROR(INDIRECT("'"&amp;$D$38&amp;"'!Duurzamewarmte_2029"),0)
+IFERROR(INDIRECT("'"&amp;$D$39&amp;"'!Duurzamewarmte_2029"),0)
+IFERROR(INDIRECT("'"&amp;$D$40&amp;"'!Duurzamewarmte_2029"),0)
+IFERROR(INDIRECT("'"&amp;$D$41&amp;"'!Duurzamewarmte_2029"),0)
+IFERROR(INDIRECT("'"&amp;$D$42&amp;"'!Duurzamewarmte_2029"),0)
+IFERROR(INDIRECT("'"&amp;$D$43&amp;"'!Duurzamewarmte_2029"),0)
+IFERROR(INDIRECT("'"&amp;$D$44&amp;"'!Duurzamewarmte_2029"),0)
+IFERROR(INDIRECT("'"&amp;$D$45&amp;"'!Duurzamewarmte_2029"),0)
+IFERROR(INDIRECT("'"&amp;$D$46&amp;"'!Duurzamewarmte_2029"),0)
+IFERROR(INDIRECT("'"&amp;$D$47&amp;"'!Duurzamewarmte_2029"),0)
+IFERROR(INDIRECT("'"&amp;$D$48&amp;"'!Duurzamewarmte_2029"),0)
+IFERROR(INDIRECT("'"&amp;$D$49&amp;"'!Duurzamewarmte_2029"),0)
+IFERROR(INDIRECT("'"&amp;$D$50&amp;"'!Duurzamewarmte_2029"),0)
+IFERROR(INDIRECT("'"&amp;$D$51&amp;"'!Duurzamewarmte_2029"),0)
+IFERROR(INDIRECT("'"&amp;$D$52&amp;"'!Duurzamewarmte_2029"),0)
+IFERROR(INDIRECT("'"&amp;$D$53&amp;"'!Duurzamewarmte_2029"),0)
+IFERROR(INDIRECT("'"&amp;$D$54&amp;"'!Duurzamewarmte_2029"),0)</f>
        <v>711</v>
      </c>
      <c r="T41" s="321">
        <f ca="1">+IFERROR(INDIRECT("'"&amp;$D$5&amp;"'!Duurzamewarmte_2030"),0)
+IFERROR(INDIRECT("'"&amp;$D$6&amp;"'!Duurzamewarmte_2030"),0)
+IFERROR(INDIRECT("'"&amp;$D$7&amp;"'!Duurzamewarmte_2030"),0)
+IFERROR(INDIRECT("'"&amp;$D$8&amp;"'!Duurzamewarmte_2030"),0)
+IFERROR(INDIRECT("'"&amp;$D$9&amp;"'!Duurzamewarmte_2030"),0)
+IFERROR(INDIRECT("'"&amp;$D$10&amp;"'!Duurzamewarmte_2030"),0)
+IFERROR(INDIRECT("'"&amp;$D$11&amp;"'!Duurzamewarmte_2030"),0)
+IFERROR(INDIRECT("'"&amp;$D$12&amp;"'!Duurzamewarmte_2030"),0)
+IFERROR(INDIRECT("'"&amp;$D$13&amp;"'!Duurzamewarmte_2030"),0)
+IFERROR(INDIRECT("'"&amp;$D$14&amp;"'!Duurzamewarmte_2030"),0)
+IFERROR(INDIRECT("'"&amp;$D$15&amp;"'!Duurzamewarmte_2030"),0)
+IFERROR(INDIRECT("'"&amp;$D$16&amp;"'!Duurzamewarmte_2030"),0)
+IFERROR(INDIRECT("'"&amp;$D$17&amp;"'!Duurzamewarmte_2030"),0)
+IFERROR(INDIRECT("'"&amp;$D$18&amp;"'!Duurzamewarmte_2030"),0)
+IFERROR(INDIRECT("'"&amp;$D$19&amp;"'!Duurzamewarmte_2030"),0)
+IFERROR(INDIRECT("'"&amp;$D$20&amp;"'!Duurzamewarmte_2030"),0)
+IFERROR(INDIRECT("'"&amp;$D$21&amp;"'!Duurzamewarmte_2030"),0)
+IFERROR(INDIRECT("'"&amp;$D$22&amp;"'!Duurzamewarmte_2030"),0)
+IFERROR(INDIRECT("'"&amp;$D$23&amp;"'!Duurzamewarmte_2030"),0)
+IFERROR(INDIRECT("'"&amp;$D$24&amp;"'!Duurzamewarmte_2030"),0)
+IFERROR(INDIRECT("'"&amp;$D$25&amp;"'!Duurzamewarmte_2030"),0)
+IFERROR(INDIRECT("'"&amp;$D$26&amp;"'!Duurzamewarmte_2030"),0)
+IFERROR(INDIRECT("'"&amp;$D$27&amp;"'!Duurzamewarmte_2030"),0)
+IFERROR(INDIRECT("'"&amp;$D$28&amp;"'!Duurzamewarmte_2030"),0)
+IFERROR(INDIRECT("'"&amp;$D$29&amp;"'!Duurzamewarmte_2030"),0)
+IFERROR(INDIRECT("'"&amp;$D$30&amp;"'!Duurzamewarmte_2030"),0)
+IFERROR(INDIRECT("'"&amp;$D$31&amp;"'!Duurzamewarmte_2030"),0)
+IFERROR(INDIRECT("'"&amp;$D$32&amp;"'!Duurzamewarmte_2030"),0)
+IFERROR(INDIRECT("'"&amp;$D$33&amp;"'!Duurzamewarmte_2030"),0)
+IFERROR(INDIRECT("'"&amp;$D$34&amp;"'!Duurzamewarmte_2030"),0)
+IFERROR(INDIRECT("'"&amp;$D$35&amp;"'!Duurzamewarmte_2030"),0)
+IFERROR(INDIRECT("'"&amp;$D$36&amp;"'!Duurzamewarmte_2030"),0)
+IFERROR(INDIRECT("'"&amp;$D$37&amp;"'!Duurzamewarmte_2030"),0)
+IFERROR(INDIRECT("'"&amp;$D$38&amp;"'!Duurzamewarmte_2030"),0)
+IFERROR(INDIRECT("'"&amp;$D$39&amp;"'!Duurzamewarmte_2030"),0)
+IFERROR(INDIRECT("'"&amp;$D$40&amp;"'!Duurzamewarmte_2030"),0)
+IFERROR(INDIRECT("'"&amp;$D$41&amp;"'!Duurzamewarmte_2030"),0)
+IFERROR(INDIRECT("'"&amp;$D$42&amp;"'!Duurzamewarmte_2030"),0)
+IFERROR(INDIRECT("'"&amp;$D$43&amp;"'!Duurzamewarmte_2030"),0)
+IFERROR(INDIRECT("'"&amp;$D$44&amp;"'!Duurzamewarmte_2030"),0)
+IFERROR(INDIRECT("'"&amp;$D$45&amp;"'!Duurzamewarmte_2030"),0)
+IFERROR(INDIRECT("'"&amp;$D$46&amp;"'!Duurzamewarmte_2030"),0)
+IFERROR(INDIRECT("'"&amp;$D$47&amp;"'!Duurzamewarmte_2030"),0)
+IFERROR(INDIRECT("'"&amp;$D$48&amp;"'!Duurzamewarmte_2030"),0)
+IFERROR(INDIRECT("'"&amp;$D$49&amp;"'!Duurzamewarmte_2030"),0)
+IFERROR(INDIRECT("'"&amp;$D$50&amp;"'!Duurzamewarmte_2030"),0)
+IFERROR(INDIRECT("'"&amp;$D$51&amp;"'!Duurzamewarmte_2030"),0)
+IFERROR(INDIRECT("'"&amp;$D$52&amp;"'!Duurzamewarmte_2030"),0)
+IFERROR(INDIRECT("'"&amp;$D$53&amp;"'!Duurzamewarmte_2030"),0)
+IFERROR(INDIRECT("'"&amp;$D$54&amp;"'!Duurzamewarmte_2030"),0)</f>
        <v>711</v>
      </c>
      <c r="U41" s="321">
        <f ca="1">+IFERROR(INDIRECT("'"&amp;$D$5&amp;"'!Duurzamewarmte_2031"),0)
+IFERROR(INDIRECT("'"&amp;$D$6&amp;"'!Duurzamewarmte_2031"),0)
+IFERROR(INDIRECT("'"&amp;$D$7&amp;"'!Duurzamewarmte_2031"),0)
+IFERROR(INDIRECT("'"&amp;$D$8&amp;"'!Duurzamewarmte_2031"),0)
+IFERROR(INDIRECT("'"&amp;$D$9&amp;"'!Duurzamewarmte_2031"),0)
+IFERROR(INDIRECT("'"&amp;$D$10&amp;"'!Duurzamewarmte_2031"),0)
+IFERROR(INDIRECT("'"&amp;$D$11&amp;"'!Duurzamewarmte_2031"),0)
+IFERROR(INDIRECT("'"&amp;$D$12&amp;"'!Duurzamewarmte_2031"),0)
+IFERROR(INDIRECT("'"&amp;$D$13&amp;"'!Duurzamewarmte_2031"),0)
+IFERROR(INDIRECT("'"&amp;$D$14&amp;"'!Duurzamewarmte_2031"),0)
+IFERROR(INDIRECT("'"&amp;$D$15&amp;"'!Duurzamewarmte_2031"),0)
+IFERROR(INDIRECT("'"&amp;$D$16&amp;"'!Duurzamewarmte_2031"),0)
+IFERROR(INDIRECT("'"&amp;$D$17&amp;"'!Duurzamewarmte_2031"),0)
+IFERROR(INDIRECT("'"&amp;$D$18&amp;"'!Duurzamewarmte_2031"),0)
+IFERROR(INDIRECT("'"&amp;$D$19&amp;"'!Duurzamewarmte_2031"),0)
+IFERROR(INDIRECT("'"&amp;$D$20&amp;"'!Duurzamewarmte_2031"),0)
+IFERROR(INDIRECT("'"&amp;$D$21&amp;"'!Duurzamewarmte_2031"),0)
+IFERROR(INDIRECT("'"&amp;$D$22&amp;"'!Duurzamewarmte_2031"),0)
+IFERROR(INDIRECT("'"&amp;$D$23&amp;"'!Duurzamewarmte_2031"),0)
+IFERROR(INDIRECT("'"&amp;$D$24&amp;"'!Duurzamewarmte_2031"),0)
+IFERROR(INDIRECT("'"&amp;$D$25&amp;"'!Duurzamewarmte_2031"),0)
+IFERROR(INDIRECT("'"&amp;$D$26&amp;"'!Duurzamewarmte_2031"),0)
+IFERROR(INDIRECT("'"&amp;$D$27&amp;"'!Duurzamewarmte_2031"),0)
+IFERROR(INDIRECT("'"&amp;$D$28&amp;"'!Duurzamewarmte_2031"),0)
+IFERROR(INDIRECT("'"&amp;$D$29&amp;"'!Duurzamewarmte_2031"),0)
+IFERROR(INDIRECT("'"&amp;$D$30&amp;"'!Duurzamewarmte_2031"),0)
+IFERROR(INDIRECT("'"&amp;$D$31&amp;"'!Duurzamewarmte_2031"),0)
+IFERROR(INDIRECT("'"&amp;$D$32&amp;"'!Duurzamewarmte_2031"),0)
+IFERROR(INDIRECT("'"&amp;$D$33&amp;"'!Duurzamewarmte_2031"),0)
+IFERROR(INDIRECT("'"&amp;$D$34&amp;"'!Duurzamewarmte_2031"),0)
+IFERROR(INDIRECT("'"&amp;$D$35&amp;"'!Duurzamewarmte_2031"),0)
+IFERROR(INDIRECT("'"&amp;$D$36&amp;"'!Duurzamewarmte_2031"),0)
+IFERROR(INDIRECT("'"&amp;$D$37&amp;"'!Duurzamewarmte_2031"),0)
+IFERROR(INDIRECT("'"&amp;$D$38&amp;"'!Duurzamewarmte_2031"),0)
+IFERROR(INDIRECT("'"&amp;$D$39&amp;"'!Duurzamewarmte_2031"),0)
+IFERROR(INDIRECT("'"&amp;$D$40&amp;"'!Duurzamewarmte_2031"),0)
+IFERROR(INDIRECT("'"&amp;$D$41&amp;"'!Duurzamewarmte_2031"),0)
+IFERROR(INDIRECT("'"&amp;$D$42&amp;"'!Duurzamewarmte_2031"),0)
+IFERROR(INDIRECT("'"&amp;$D$43&amp;"'!Duurzamewarmte_2031"),0)
+IFERROR(INDIRECT("'"&amp;$D$44&amp;"'!Duurzamewarmte_2031"),0)
+IFERROR(INDIRECT("'"&amp;$D$45&amp;"'!Duurzamewarmte_2031"),0)
+IFERROR(INDIRECT("'"&amp;$D$46&amp;"'!Duurzamewarmte_2031"),0)
+IFERROR(INDIRECT("'"&amp;$D$47&amp;"'!Duurzamewarmte_2031"),0)
+IFERROR(INDIRECT("'"&amp;$D$48&amp;"'!Duurzamewarmte_2031"),0)
+IFERROR(INDIRECT("'"&amp;$D$49&amp;"'!Duurzamewarmte_2031"),0)
+IFERROR(INDIRECT("'"&amp;$D$50&amp;"'!Duurzamewarmte_2031"),0)
+IFERROR(INDIRECT("'"&amp;$D$51&amp;"'!Duurzamewarmte_2031"),0)
+IFERROR(INDIRECT("'"&amp;$D$52&amp;"'!Duurzamewarmte_2031"),0)
+IFERROR(INDIRECT("'"&amp;$D$53&amp;"'!Duurzamewarmte_2031"),0)
+IFERROR(INDIRECT("'"&amp;$D$54&amp;"'!Duurzamewarmte_2031"),0)</f>
        <v>711</v>
      </c>
      <c r="V41" s="321">
        <f ca="1">+IFERROR(INDIRECT("'"&amp;$D$5&amp;"'!Duurzamewarmte_2032"),0)
+IFERROR(INDIRECT("'"&amp;$D$6&amp;"'!Duurzamewarmte_2032"),0)
+IFERROR(INDIRECT("'"&amp;$D$7&amp;"'!Duurzamewarmte_2032"),0)
+IFERROR(INDIRECT("'"&amp;$D$8&amp;"'!Duurzamewarmte_2032"),0)
+IFERROR(INDIRECT("'"&amp;$D$9&amp;"'!Duurzamewarmte_2032"),0)
+IFERROR(INDIRECT("'"&amp;$D$10&amp;"'!Duurzamewarmte_2032"),0)
+IFERROR(INDIRECT("'"&amp;$D$11&amp;"'!Duurzamewarmte_2032"),0)
+IFERROR(INDIRECT("'"&amp;$D$12&amp;"'!Duurzamewarmte_2032"),0)
+IFERROR(INDIRECT("'"&amp;$D$13&amp;"'!Duurzamewarmte_2032"),0)
+IFERROR(INDIRECT("'"&amp;$D$14&amp;"'!Duurzamewarmte_2032"),0)
+IFERROR(INDIRECT("'"&amp;$D$15&amp;"'!Duurzamewarmte_2032"),0)
+IFERROR(INDIRECT("'"&amp;$D$16&amp;"'!Duurzamewarmte_2032"),0)
+IFERROR(INDIRECT("'"&amp;$D$17&amp;"'!Duurzamewarmte_2032"),0)
+IFERROR(INDIRECT("'"&amp;$D$18&amp;"'!Duurzamewarmte_2032"),0)
+IFERROR(INDIRECT("'"&amp;$D$19&amp;"'!Duurzamewarmte_2032"),0)
+IFERROR(INDIRECT("'"&amp;$D$20&amp;"'!Duurzamewarmte_2032"),0)
+IFERROR(INDIRECT("'"&amp;$D$21&amp;"'!Duurzamewarmte_2032"),0)
+IFERROR(INDIRECT("'"&amp;$D$22&amp;"'!Duurzamewarmte_2032"),0)
+IFERROR(INDIRECT("'"&amp;$D$23&amp;"'!Duurzamewarmte_2032"),0)
+IFERROR(INDIRECT("'"&amp;$D$24&amp;"'!Duurzamewarmte_2032"),0)
+IFERROR(INDIRECT("'"&amp;$D$25&amp;"'!Duurzamewarmte_2032"),0)
+IFERROR(INDIRECT("'"&amp;$D$26&amp;"'!Duurzamewarmte_2032"),0)
+IFERROR(INDIRECT("'"&amp;$D$27&amp;"'!Duurzamewarmte_2032"),0)
+IFERROR(INDIRECT("'"&amp;$D$28&amp;"'!Duurzamewarmte_2032"),0)
+IFERROR(INDIRECT("'"&amp;$D$29&amp;"'!Duurzamewarmte_2032"),0)
+IFERROR(INDIRECT("'"&amp;$D$30&amp;"'!Duurzamewarmte_2032"),0)
+IFERROR(INDIRECT("'"&amp;$D$31&amp;"'!Duurzamewarmte_2032"),0)
+IFERROR(INDIRECT("'"&amp;$D$32&amp;"'!Duurzamewarmte_2032"),0)
+IFERROR(INDIRECT("'"&amp;$D$33&amp;"'!Duurzamewarmte_2032"),0)
+IFERROR(INDIRECT("'"&amp;$D$34&amp;"'!Duurzamewarmte_2032"),0)
+IFERROR(INDIRECT("'"&amp;$D$35&amp;"'!Duurzamewarmte_2032"),0)
+IFERROR(INDIRECT("'"&amp;$D$36&amp;"'!Duurzamewarmte_2032"),0)
+IFERROR(INDIRECT("'"&amp;$D$37&amp;"'!Duurzamewarmte_2032"),0)
+IFERROR(INDIRECT("'"&amp;$D$38&amp;"'!Duurzamewarmte_2032"),0)
+IFERROR(INDIRECT("'"&amp;$D$39&amp;"'!Duurzamewarmte_2032"),0)
+IFERROR(INDIRECT("'"&amp;$D$40&amp;"'!Duurzamewarmte_2032"),0)
+IFERROR(INDIRECT("'"&amp;$D$41&amp;"'!Duurzamewarmte_2032"),0)
+IFERROR(INDIRECT("'"&amp;$D$42&amp;"'!Duurzamewarmte_2032"),0)
+IFERROR(INDIRECT("'"&amp;$D$43&amp;"'!Duurzamewarmte_2032"),0)
+IFERROR(INDIRECT("'"&amp;$D$44&amp;"'!Duurzamewarmte_2032"),0)
+IFERROR(INDIRECT("'"&amp;$D$45&amp;"'!Duurzamewarmte_2032"),0)
+IFERROR(INDIRECT("'"&amp;$D$46&amp;"'!Duurzamewarmte_2032"),0)
+IFERROR(INDIRECT("'"&amp;$D$47&amp;"'!Duurzamewarmte_2032"),0)
+IFERROR(INDIRECT("'"&amp;$D$48&amp;"'!Duurzamewarmte_2032"),0)
+IFERROR(INDIRECT("'"&amp;$D$49&amp;"'!Duurzamewarmte_2032"),0)
+IFERROR(INDIRECT("'"&amp;$D$50&amp;"'!Duurzamewarmte_2032"),0)
+IFERROR(INDIRECT("'"&amp;$D$51&amp;"'!Duurzamewarmte_2032"),0)
+IFERROR(INDIRECT("'"&amp;$D$52&amp;"'!Duurzamewarmte_2032"),0)
+IFERROR(INDIRECT("'"&amp;$D$53&amp;"'!Duurzamewarmte_2032"),0)
+IFERROR(INDIRECT("'"&amp;$D$54&amp;"'!Duurzamewarmte_2032"),0)</f>
        <v>711</v>
      </c>
      <c r="W41" s="321">
        <f ca="1">+IFERROR(INDIRECT("'"&amp;$D$5&amp;"'!Duurzamewarmte_2033"),0)
+IFERROR(INDIRECT("'"&amp;$D$6&amp;"'!Duurzamewarmte_2033"),0)
+IFERROR(INDIRECT("'"&amp;$D$7&amp;"'!Duurzamewarmte_2033"),0)
+IFERROR(INDIRECT("'"&amp;$D$8&amp;"'!Duurzamewarmte_2033"),0)
+IFERROR(INDIRECT("'"&amp;$D$9&amp;"'!Duurzamewarmte_2033"),0)
+IFERROR(INDIRECT("'"&amp;$D$10&amp;"'!Duurzamewarmte_2033"),0)
+IFERROR(INDIRECT("'"&amp;$D$11&amp;"'!Duurzamewarmte_2033"),0)
+IFERROR(INDIRECT("'"&amp;$D$12&amp;"'!Duurzamewarmte_2033"),0)
+IFERROR(INDIRECT("'"&amp;$D$13&amp;"'!Duurzamewarmte_2033"),0)
+IFERROR(INDIRECT("'"&amp;$D$14&amp;"'!Duurzamewarmte_2033"),0)
+IFERROR(INDIRECT("'"&amp;$D$15&amp;"'!Duurzamewarmte_2033"),0)
+IFERROR(INDIRECT("'"&amp;$D$16&amp;"'!Duurzamewarmte_2033"),0)
+IFERROR(INDIRECT("'"&amp;$D$17&amp;"'!Duurzamewarmte_2033"),0)
+IFERROR(INDIRECT("'"&amp;$D$18&amp;"'!Duurzamewarmte_2033"),0)
+IFERROR(INDIRECT("'"&amp;$D$19&amp;"'!Duurzamewarmte_2033"),0)
+IFERROR(INDIRECT("'"&amp;$D$20&amp;"'!Duurzamewarmte_2033"),0)
+IFERROR(INDIRECT("'"&amp;$D$21&amp;"'!Duurzamewarmte_2033"),0)
+IFERROR(INDIRECT("'"&amp;$D$22&amp;"'!Duurzamewarmte_2033"),0)
+IFERROR(INDIRECT("'"&amp;$D$23&amp;"'!Duurzamewarmte_2033"),0)
+IFERROR(INDIRECT("'"&amp;$D$24&amp;"'!Duurzamewarmte_2033"),0)
+IFERROR(INDIRECT("'"&amp;$D$25&amp;"'!Duurzamewarmte_2033"),0)
+IFERROR(INDIRECT("'"&amp;$D$26&amp;"'!Duurzamewarmte_2033"),0)
+IFERROR(INDIRECT("'"&amp;$D$27&amp;"'!Duurzamewarmte_2033"),0)
+IFERROR(INDIRECT("'"&amp;$D$28&amp;"'!Duurzamewarmte_2033"),0)
+IFERROR(INDIRECT("'"&amp;$D$29&amp;"'!Duurzamewarmte_2033"),0)
+IFERROR(INDIRECT("'"&amp;$D$30&amp;"'!Duurzamewarmte_2033"),0)
+IFERROR(INDIRECT("'"&amp;$D$31&amp;"'!Duurzamewarmte_2033"),0)
+IFERROR(INDIRECT("'"&amp;$D$32&amp;"'!Duurzamewarmte_2033"),0)
+IFERROR(INDIRECT("'"&amp;$D$33&amp;"'!Duurzamewarmte_2033"),0)
+IFERROR(INDIRECT("'"&amp;$D$34&amp;"'!Duurzamewarmte_2033"),0)
+IFERROR(INDIRECT("'"&amp;$D$35&amp;"'!Duurzamewarmte_2033"),0)
+IFERROR(INDIRECT("'"&amp;$D$36&amp;"'!Duurzamewarmte_2033"),0)
+IFERROR(INDIRECT("'"&amp;$D$37&amp;"'!Duurzamewarmte_2033"),0)
+IFERROR(INDIRECT("'"&amp;$D$38&amp;"'!Duurzamewarmte_2033"),0)
+IFERROR(INDIRECT("'"&amp;$D$39&amp;"'!Duurzamewarmte_2033"),0)
+IFERROR(INDIRECT("'"&amp;$D$40&amp;"'!Duurzamewarmte_2033"),0)
+IFERROR(INDIRECT("'"&amp;$D$41&amp;"'!Duurzamewarmte_2033"),0)
+IFERROR(INDIRECT("'"&amp;$D$42&amp;"'!Duurzamewarmte_2033"),0)
+IFERROR(INDIRECT("'"&amp;$D$43&amp;"'!Duurzamewarmte_2033"),0)
+IFERROR(INDIRECT("'"&amp;$D$44&amp;"'!Duurzamewarmte_2033"),0)
+IFERROR(INDIRECT("'"&amp;$D$45&amp;"'!Duurzamewarmte_2033"),0)
+IFERROR(INDIRECT("'"&amp;$D$46&amp;"'!Duurzamewarmte_2033"),0)
+IFERROR(INDIRECT("'"&amp;$D$47&amp;"'!Duurzamewarmte_2033"),0)
+IFERROR(INDIRECT("'"&amp;$D$48&amp;"'!Duurzamewarmte_2033"),0)
+IFERROR(INDIRECT("'"&amp;$D$49&amp;"'!Duurzamewarmte_2033"),0)
+IFERROR(INDIRECT("'"&amp;$D$50&amp;"'!Duurzamewarmte_2033"),0)
+IFERROR(INDIRECT("'"&amp;$D$51&amp;"'!Duurzamewarmte_2033"),0)
+IFERROR(INDIRECT("'"&amp;$D$52&amp;"'!Duurzamewarmte_2033"),0)
+IFERROR(INDIRECT("'"&amp;$D$53&amp;"'!Duurzamewarmte_2033"),0)
+IFERROR(INDIRECT("'"&amp;$D$54&amp;"'!Duurzamewarmte_2033"),0)</f>
        <v>711</v>
      </c>
      <c r="X41" s="321">
        <f ca="1">+IFERROR(INDIRECT("'"&amp;$D$5&amp;"'!Duurzamewarmte_2034"),0)
+IFERROR(INDIRECT("'"&amp;$D$6&amp;"'!Duurzamewarmte_2034"),0)
+IFERROR(INDIRECT("'"&amp;$D$7&amp;"'!Duurzamewarmte_2034"),0)
+IFERROR(INDIRECT("'"&amp;$D$8&amp;"'!Duurzamewarmte_2034"),0)
+IFERROR(INDIRECT("'"&amp;$D$9&amp;"'!Duurzamewarmte_2034"),0)
+IFERROR(INDIRECT("'"&amp;$D$10&amp;"'!Duurzamewarmte_2034"),0)
+IFERROR(INDIRECT("'"&amp;$D$11&amp;"'!Duurzamewarmte_2034"),0)
+IFERROR(INDIRECT("'"&amp;$D$12&amp;"'!Duurzamewarmte_2034"),0)
+IFERROR(INDIRECT("'"&amp;$D$13&amp;"'!Duurzamewarmte_2034"),0)
+IFERROR(INDIRECT("'"&amp;$D$14&amp;"'!Duurzamewarmte_2034"),0)
+IFERROR(INDIRECT("'"&amp;$D$15&amp;"'!Duurzamewarmte_2034"),0)
+IFERROR(INDIRECT("'"&amp;$D$16&amp;"'!Duurzamewarmte_2034"),0)
+IFERROR(INDIRECT("'"&amp;$D$17&amp;"'!Duurzamewarmte_2034"),0)
+IFERROR(INDIRECT("'"&amp;$D$18&amp;"'!Duurzamewarmte_2034"),0)
+IFERROR(INDIRECT("'"&amp;$D$19&amp;"'!Duurzamewarmte_2034"),0)
+IFERROR(INDIRECT("'"&amp;$D$20&amp;"'!Duurzamewarmte_2034"),0)
+IFERROR(INDIRECT("'"&amp;$D$21&amp;"'!Duurzamewarmte_2034"),0)
+IFERROR(INDIRECT("'"&amp;$D$22&amp;"'!Duurzamewarmte_2034"),0)
+IFERROR(INDIRECT("'"&amp;$D$23&amp;"'!Duurzamewarmte_2034"),0)
+IFERROR(INDIRECT("'"&amp;$D$24&amp;"'!Duurzamewarmte_2034"),0)
+IFERROR(INDIRECT("'"&amp;$D$25&amp;"'!Duurzamewarmte_2034"),0)
+IFERROR(INDIRECT("'"&amp;$D$26&amp;"'!Duurzamewarmte_2034"),0)
+IFERROR(INDIRECT("'"&amp;$D$27&amp;"'!Duurzamewarmte_2034"),0)
+IFERROR(INDIRECT("'"&amp;$D$28&amp;"'!Duurzamewarmte_2034"),0)
+IFERROR(INDIRECT("'"&amp;$D$29&amp;"'!Duurzamewarmte_2034"),0)
+IFERROR(INDIRECT("'"&amp;$D$30&amp;"'!Duurzamewarmte_2034"),0)
+IFERROR(INDIRECT("'"&amp;$D$31&amp;"'!Duurzamewarmte_2034"),0)
+IFERROR(INDIRECT("'"&amp;$D$32&amp;"'!Duurzamewarmte_2034"),0)
+IFERROR(INDIRECT("'"&amp;$D$33&amp;"'!Duurzamewarmte_2034"),0)
+IFERROR(INDIRECT("'"&amp;$D$34&amp;"'!Duurzamewarmte_2034"),0)
+IFERROR(INDIRECT("'"&amp;$D$35&amp;"'!Duurzamewarmte_2034"),0)
+IFERROR(INDIRECT("'"&amp;$D$36&amp;"'!Duurzamewarmte_2034"),0)
+IFERROR(INDIRECT("'"&amp;$D$37&amp;"'!Duurzamewarmte_2034"),0)
+IFERROR(INDIRECT("'"&amp;$D$38&amp;"'!Duurzamewarmte_2034"),0)
+IFERROR(INDIRECT("'"&amp;$D$39&amp;"'!Duurzamewarmte_2034"),0)
+IFERROR(INDIRECT("'"&amp;$D$40&amp;"'!Duurzamewarmte_2034"),0)
+IFERROR(INDIRECT("'"&amp;$D$41&amp;"'!Duurzamewarmte_2034"),0)
+IFERROR(INDIRECT("'"&amp;$D$42&amp;"'!Duurzamewarmte_2034"),0)
+IFERROR(INDIRECT("'"&amp;$D$43&amp;"'!Duurzamewarmte_2034"),0)
+IFERROR(INDIRECT("'"&amp;$D$44&amp;"'!Duurzamewarmte_2034"),0)
+IFERROR(INDIRECT("'"&amp;$D$45&amp;"'!Duurzamewarmte_2034"),0)
+IFERROR(INDIRECT("'"&amp;$D$46&amp;"'!Duurzamewarmte_2034"),0)
+IFERROR(INDIRECT("'"&amp;$D$47&amp;"'!Duurzamewarmte_2034"),0)
+IFERROR(INDIRECT("'"&amp;$D$48&amp;"'!Duurzamewarmte_2034"),0)
+IFERROR(INDIRECT("'"&amp;$D$49&amp;"'!Duurzamewarmte_2034"),0)
+IFERROR(INDIRECT("'"&amp;$D$50&amp;"'!Duurzamewarmte_2034"),0)
+IFERROR(INDIRECT("'"&amp;$D$51&amp;"'!Duurzamewarmte_2034"),0)
+IFERROR(INDIRECT("'"&amp;$D$52&amp;"'!Duurzamewarmte_2034"),0)
+IFERROR(INDIRECT("'"&amp;$D$53&amp;"'!Duurzamewarmte_2034"),0)
+IFERROR(INDIRECT("'"&amp;$D$54&amp;"'!Duurzamewarmte_2034"),0)</f>
        <v>711</v>
      </c>
      <c r="Y41" s="321">
        <f ca="1">+IFERROR(INDIRECT("'"&amp;$D$5&amp;"'!Duurzamewarmte_2035"),0)
+IFERROR(INDIRECT("'"&amp;$D$6&amp;"'!Duurzamewarmte_2035"),0)
+IFERROR(INDIRECT("'"&amp;$D$7&amp;"'!Duurzamewarmte_2035"),0)
+IFERROR(INDIRECT("'"&amp;$D$8&amp;"'!Duurzamewarmte_2035"),0)
+IFERROR(INDIRECT("'"&amp;$D$9&amp;"'!Duurzamewarmte_2035"),0)
+IFERROR(INDIRECT("'"&amp;$D$10&amp;"'!Duurzamewarmte_2035"),0)
+IFERROR(INDIRECT("'"&amp;$D$11&amp;"'!Duurzamewarmte_2035"),0)
+IFERROR(INDIRECT("'"&amp;$D$12&amp;"'!Duurzamewarmte_2035"),0)
+IFERROR(INDIRECT("'"&amp;$D$13&amp;"'!Duurzamewarmte_2035"),0)
+IFERROR(INDIRECT("'"&amp;$D$14&amp;"'!Duurzamewarmte_2035"),0)
+IFERROR(INDIRECT("'"&amp;$D$15&amp;"'!Duurzamewarmte_2035"),0)
+IFERROR(INDIRECT("'"&amp;$D$16&amp;"'!Duurzamewarmte_2035"),0)
+IFERROR(INDIRECT("'"&amp;$D$17&amp;"'!Duurzamewarmte_2035"),0)
+IFERROR(INDIRECT("'"&amp;$D$18&amp;"'!Duurzamewarmte_2035"),0)
+IFERROR(INDIRECT("'"&amp;$D$19&amp;"'!Duurzamewarmte_2035"),0)
+IFERROR(INDIRECT("'"&amp;$D$20&amp;"'!Duurzamewarmte_2035"),0)
+IFERROR(INDIRECT("'"&amp;$D$21&amp;"'!Duurzamewarmte_2035"),0)
+IFERROR(INDIRECT("'"&amp;$D$22&amp;"'!Duurzamewarmte_2035"),0)
+IFERROR(INDIRECT("'"&amp;$D$23&amp;"'!Duurzamewarmte_2035"),0)
+IFERROR(INDIRECT("'"&amp;$D$24&amp;"'!Duurzamewarmte_2035"),0)
+IFERROR(INDIRECT("'"&amp;$D$25&amp;"'!Duurzamewarmte_2035"),0)
+IFERROR(INDIRECT("'"&amp;$D$26&amp;"'!Duurzamewarmte_2035"),0)
+IFERROR(INDIRECT("'"&amp;$D$27&amp;"'!Duurzamewarmte_2035"),0)
+IFERROR(INDIRECT("'"&amp;$D$28&amp;"'!Duurzamewarmte_2035"),0)
+IFERROR(INDIRECT("'"&amp;$D$29&amp;"'!Duurzamewarmte_2035"),0)
+IFERROR(INDIRECT("'"&amp;$D$30&amp;"'!Duurzamewarmte_2035"),0)
+IFERROR(INDIRECT("'"&amp;$D$31&amp;"'!Duurzamewarmte_2035"),0)
+IFERROR(INDIRECT("'"&amp;$D$32&amp;"'!Duurzamewarmte_2035"),0)
+IFERROR(INDIRECT("'"&amp;$D$33&amp;"'!Duurzamewarmte_2035"),0)
+IFERROR(INDIRECT("'"&amp;$D$34&amp;"'!Duurzamewarmte_2035"),0)
+IFERROR(INDIRECT("'"&amp;$D$35&amp;"'!Duurzamewarmte_2035"),0)
+IFERROR(INDIRECT("'"&amp;$D$36&amp;"'!Duurzamewarmte_2035"),0)
+IFERROR(INDIRECT("'"&amp;$D$37&amp;"'!Duurzamewarmte_2035"),0)
+IFERROR(INDIRECT("'"&amp;$D$38&amp;"'!Duurzamewarmte_2035"),0)
+IFERROR(INDIRECT("'"&amp;$D$39&amp;"'!Duurzamewarmte_2035"),0)
+IFERROR(INDIRECT("'"&amp;$D$40&amp;"'!Duurzamewarmte_2035"),0)
+IFERROR(INDIRECT("'"&amp;$D$41&amp;"'!Duurzamewarmte_2035"),0)
+IFERROR(INDIRECT("'"&amp;$D$42&amp;"'!Duurzamewarmte_2035"),0)
+IFERROR(INDIRECT("'"&amp;$D$43&amp;"'!Duurzamewarmte_2035"),0)
+IFERROR(INDIRECT("'"&amp;$D$44&amp;"'!Duurzamewarmte_2035"),0)
+IFERROR(INDIRECT("'"&amp;$D$45&amp;"'!Duurzamewarmte_2035"),0)
+IFERROR(INDIRECT("'"&amp;$D$46&amp;"'!Duurzamewarmte_2035"),0)
+IFERROR(INDIRECT("'"&amp;$D$47&amp;"'!Duurzamewarmte_2035"),0)
+IFERROR(INDIRECT("'"&amp;$D$48&amp;"'!Duurzamewarmte_2035"),0)
+IFERROR(INDIRECT("'"&amp;$D$49&amp;"'!Duurzamewarmte_2035"),0)
+IFERROR(INDIRECT("'"&amp;$D$50&amp;"'!Duurzamewarmte_2035"),0)
+IFERROR(INDIRECT("'"&amp;$D$51&amp;"'!Duurzamewarmte_2035"),0)
+IFERROR(INDIRECT("'"&amp;$D$52&amp;"'!Duurzamewarmte_2035"),0)
+IFERROR(INDIRECT("'"&amp;$D$53&amp;"'!Duurzamewarmte_2035"),0)
+IFERROR(INDIRECT("'"&amp;$D$54&amp;"'!Duurzamewarmte_2035"),0)</f>
        <v>711</v>
      </c>
      <c r="Z41" s="321">
        <f ca="1">+IFERROR(INDIRECT("'"&amp;$D$5&amp;"'!Duurzamewarmte_2036"),0)
+IFERROR(INDIRECT("'"&amp;$D$6&amp;"'!Duurzamewarmte_2036"),0)
+IFERROR(INDIRECT("'"&amp;$D$7&amp;"'!Duurzamewarmte_2036"),0)
+IFERROR(INDIRECT("'"&amp;$D$8&amp;"'!Duurzamewarmte_2036"),0)
+IFERROR(INDIRECT("'"&amp;$D$9&amp;"'!Duurzamewarmte_2036"),0)
+IFERROR(INDIRECT("'"&amp;$D$10&amp;"'!Duurzamewarmte_2036"),0)
+IFERROR(INDIRECT("'"&amp;$D$11&amp;"'!Duurzamewarmte_2036"),0)
+IFERROR(INDIRECT("'"&amp;$D$12&amp;"'!Duurzamewarmte_2036"),0)
+IFERROR(INDIRECT("'"&amp;$D$13&amp;"'!Duurzamewarmte_2036"),0)
+IFERROR(INDIRECT("'"&amp;$D$14&amp;"'!Duurzamewarmte_2036"),0)
+IFERROR(INDIRECT("'"&amp;$D$15&amp;"'!Duurzamewarmte_2036"),0)
+IFERROR(INDIRECT("'"&amp;$D$16&amp;"'!Duurzamewarmte_2036"),0)
+IFERROR(INDIRECT("'"&amp;$D$17&amp;"'!Duurzamewarmte_2036"),0)
+IFERROR(INDIRECT("'"&amp;$D$18&amp;"'!Duurzamewarmte_2036"),0)
+IFERROR(INDIRECT("'"&amp;$D$19&amp;"'!Duurzamewarmte_2036"),0)
+IFERROR(INDIRECT("'"&amp;$D$20&amp;"'!Duurzamewarmte_2036"),0)
+IFERROR(INDIRECT("'"&amp;$D$21&amp;"'!Duurzamewarmte_2036"),0)
+IFERROR(INDIRECT("'"&amp;$D$22&amp;"'!Duurzamewarmte_2036"),0)
+IFERROR(INDIRECT("'"&amp;$D$23&amp;"'!Duurzamewarmte_2036"),0)
+IFERROR(INDIRECT("'"&amp;$D$24&amp;"'!Duurzamewarmte_2036"),0)
+IFERROR(INDIRECT("'"&amp;$D$25&amp;"'!Duurzamewarmte_2036"),0)
+IFERROR(INDIRECT("'"&amp;$D$26&amp;"'!Duurzamewarmte_2036"),0)
+IFERROR(INDIRECT("'"&amp;$D$27&amp;"'!Duurzamewarmte_2036"),0)
+IFERROR(INDIRECT("'"&amp;$D$28&amp;"'!Duurzamewarmte_2036"),0)
+IFERROR(INDIRECT("'"&amp;$D$29&amp;"'!Duurzamewarmte_2036"),0)
+IFERROR(INDIRECT("'"&amp;$D$30&amp;"'!Duurzamewarmte_2036"),0)
+IFERROR(INDIRECT("'"&amp;$D$31&amp;"'!Duurzamewarmte_2036"),0)
+IFERROR(INDIRECT("'"&amp;$D$32&amp;"'!Duurzamewarmte_2036"),0)
+IFERROR(INDIRECT("'"&amp;$D$33&amp;"'!Duurzamewarmte_2036"),0)
+IFERROR(INDIRECT("'"&amp;$D$34&amp;"'!Duurzamewarmte_2036"),0)
+IFERROR(INDIRECT("'"&amp;$D$35&amp;"'!Duurzamewarmte_2036"),0)
+IFERROR(INDIRECT("'"&amp;$D$36&amp;"'!Duurzamewarmte_2036"),0)
+IFERROR(INDIRECT("'"&amp;$D$37&amp;"'!Duurzamewarmte_2036"),0)
+IFERROR(INDIRECT("'"&amp;$D$38&amp;"'!Duurzamewarmte_2036"),0)
+IFERROR(INDIRECT("'"&amp;$D$39&amp;"'!Duurzamewarmte_2036"),0)
+IFERROR(INDIRECT("'"&amp;$D$40&amp;"'!Duurzamewarmte_2036"),0)
+IFERROR(INDIRECT("'"&amp;$D$41&amp;"'!Duurzamewarmte_2036"),0)
+IFERROR(INDIRECT("'"&amp;$D$42&amp;"'!Duurzamewarmte_2036"),0)
+IFERROR(INDIRECT("'"&amp;$D$43&amp;"'!Duurzamewarmte_2036"),0)
+IFERROR(INDIRECT("'"&amp;$D$44&amp;"'!Duurzamewarmte_2036"),0)
+IFERROR(INDIRECT("'"&amp;$D$45&amp;"'!Duurzamewarmte_2036"),0)
+IFERROR(INDIRECT("'"&amp;$D$46&amp;"'!Duurzamewarmte_2036"),0)
+IFERROR(INDIRECT("'"&amp;$D$47&amp;"'!Duurzamewarmte_2036"),0)
+IFERROR(INDIRECT("'"&amp;$D$48&amp;"'!Duurzamewarmte_2036"),0)
+IFERROR(INDIRECT("'"&amp;$D$49&amp;"'!Duurzamewarmte_2036"),0)
+IFERROR(INDIRECT("'"&amp;$D$50&amp;"'!Duurzamewarmte_2036"),0)
+IFERROR(INDIRECT("'"&amp;$D$51&amp;"'!Duurzamewarmte_2036"),0)
+IFERROR(INDIRECT("'"&amp;$D$52&amp;"'!Duurzamewarmte_2036"),0)
+IFERROR(INDIRECT("'"&amp;$D$53&amp;"'!Duurzamewarmte_2036"),0)
+IFERROR(INDIRECT("'"&amp;$D$54&amp;"'!Duurzamewarmte_2036"),0)</f>
        <v>711</v>
      </c>
      <c r="AA41" s="321">
        <f ca="1">+IFERROR(INDIRECT("'"&amp;$D$5&amp;"'!Duurzamewarmte_2037"),0)
+IFERROR(INDIRECT("'"&amp;$D$6&amp;"'!Duurzamewarmte_2037"),0)
+IFERROR(INDIRECT("'"&amp;$D$7&amp;"'!Duurzamewarmte_2037"),0)
+IFERROR(INDIRECT("'"&amp;$D$8&amp;"'!Duurzamewarmte_2037"),0)
+IFERROR(INDIRECT("'"&amp;$D$9&amp;"'!Duurzamewarmte_2037"),0)
+IFERROR(INDIRECT("'"&amp;$D$10&amp;"'!Duurzamewarmte_2037"),0)
+IFERROR(INDIRECT("'"&amp;$D$11&amp;"'!Duurzamewarmte_2037"),0)
+IFERROR(INDIRECT("'"&amp;$D$12&amp;"'!Duurzamewarmte_2037"),0)
+IFERROR(INDIRECT("'"&amp;$D$13&amp;"'!Duurzamewarmte_2037"),0)
+IFERROR(INDIRECT("'"&amp;$D$14&amp;"'!Duurzamewarmte_2037"),0)
+IFERROR(INDIRECT("'"&amp;$D$15&amp;"'!Duurzamewarmte_2037"),0)
+IFERROR(INDIRECT("'"&amp;$D$16&amp;"'!Duurzamewarmte_2037"),0)
+IFERROR(INDIRECT("'"&amp;$D$17&amp;"'!Duurzamewarmte_2037"),0)
+IFERROR(INDIRECT("'"&amp;$D$18&amp;"'!Duurzamewarmte_2037"),0)
+IFERROR(INDIRECT("'"&amp;$D$19&amp;"'!Duurzamewarmte_2037"),0)
+IFERROR(INDIRECT("'"&amp;$D$20&amp;"'!Duurzamewarmte_2037"),0)
+IFERROR(INDIRECT("'"&amp;$D$21&amp;"'!Duurzamewarmte_2037"),0)
+IFERROR(INDIRECT("'"&amp;$D$22&amp;"'!Duurzamewarmte_2037"),0)
+IFERROR(INDIRECT("'"&amp;$D$23&amp;"'!Duurzamewarmte_2037"),0)
+IFERROR(INDIRECT("'"&amp;$D$24&amp;"'!Duurzamewarmte_2037"),0)
+IFERROR(INDIRECT("'"&amp;$D$25&amp;"'!Duurzamewarmte_2037"),0)
+IFERROR(INDIRECT("'"&amp;$D$26&amp;"'!Duurzamewarmte_2037"),0)
+IFERROR(INDIRECT("'"&amp;$D$27&amp;"'!Duurzamewarmte_2037"),0)
+IFERROR(INDIRECT("'"&amp;$D$28&amp;"'!Duurzamewarmte_2037"),0)
+IFERROR(INDIRECT("'"&amp;$D$29&amp;"'!Duurzamewarmte_2037"),0)
+IFERROR(INDIRECT("'"&amp;$D$30&amp;"'!Duurzamewarmte_2037"),0)
+IFERROR(INDIRECT("'"&amp;$D$31&amp;"'!Duurzamewarmte_2037"),0)
+IFERROR(INDIRECT("'"&amp;$D$32&amp;"'!Duurzamewarmte_2037"),0)
+IFERROR(INDIRECT("'"&amp;$D$33&amp;"'!Duurzamewarmte_2037"),0)
+IFERROR(INDIRECT("'"&amp;$D$34&amp;"'!Duurzamewarmte_2037"),0)
+IFERROR(INDIRECT("'"&amp;$D$35&amp;"'!Duurzamewarmte_2037"),0)
+IFERROR(INDIRECT("'"&amp;$D$36&amp;"'!Duurzamewarmte_2037"),0)
+IFERROR(INDIRECT("'"&amp;$D$37&amp;"'!Duurzamewarmte_2037"),0)
+IFERROR(INDIRECT("'"&amp;$D$38&amp;"'!Duurzamewarmte_2037"),0)
+IFERROR(INDIRECT("'"&amp;$D$39&amp;"'!Duurzamewarmte_2037"),0)
+IFERROR(INDIRECT("'"&amp;$D$40&amp;"'!Duurzamewarmte_2037"),0)
+IFERROR(INDIRECT("'"&amp;$D$41&amp;"'!Duurzamewarmte_2037"),0)
+IFERROR(INDIRECT("'"&amp;$D$42&amp;"'!Duurzamewarmte_2037"),0)
+IFERROR(INDIRECT("'"&amp;$D$43&amp;"'!Duurzamewarmte_2037"),0)
+IFERROR(INDIRECT("'"&amp;$D$44&amp;"'!Duurzamewarmte_2037"),0)
+IFERROR(INDIRECT("'"&amp;$D$45&amp;"'!Duurzamewarmte_2037"),0)
+IFERROR(INDIRECT("'"&amp;$D$46&amp;"'!Duurzamewarmte_2037"),0)
+IFERROR(INDIRECT("'"&amp;$D$47&amp;"'!Duurzamewarmte_2037"),0)
+IFERROR(INDIRECT("'"&amp;$D$48&amp;"'!Duurzamewarmte_2037"),0)
+IFERROR(INDIRECT("'"&amp;$D$49&amp;"'!Duurzamewarmte_2037"),0)
+IFERROR(INDIRECT("'"&amp;$D$50&amp;"'!Duurzamewarmte_2037"),0)
+IFERROR(INDIRECT("'"&amp;$D$51&amp;"'!Duurzamewarmte_2037"),0)
+IFERROR(INDIRECT("'"&amp;$D$52&amp;"'!Duurzamewarmte_2037"),0)
+IFERROR(INDIRECT("'"&amp;$D$53&amp;"'!Duurzamewarmte_2037"),0)
+IFERROR(INDIRECT("'"&amp;$D$54&amp;"'!Duurzamewarmte_2037"),0)</f>
        <v>711</v>
      </c>
      <c r="AB41" s="321">
        <f ca="1">+IFERROR(INDIRECT("'"&amp;$D$5&amp;"'!Duurzamewarmte_2038"),0)
+IFERROR(INDIRECT("'"&amp;$D$6&amp;"'!Duurzamewarmte_2038"),0)
+IFERROR(INDIRECT("'"&amp;$D$7&amp;"'!Duurzamewarmte_2038"),0)
+IFERROR(INDIRECT("'"&amp;$D$8&amp;"'!Duurzamewarmte_2038"),0)
+IFERROR(INDIRECT("'"&amp;$D$9&amp;"'!Duurzamewarmte_2038"),0)
+IFERROR(INDIRECT("'"&amp;$D$10&amp;"'!Duurzamewarmte_2038"),0)
+IFERROR(INDIRECT("'"&amp;$D$11&amp;"'!Duurzamewarmte_2038"),0)
+IFERROR(INDIRECT("'"&amp;$D$12&amp;"'!Duurzamewarmte_2038"),0)
+IFERROR(INDIRECT("'"&amp;$D$13&amp;"'!Duurzamewarmte_2038"),0)
+IFERROR(INDIRECT("'"&amp;$D$14&amp;"'!Duurzamewarmte_2038"),0)
+IFERROR(INDIRECT("'"&amp;$D$15&amp;"'!Duurzamewarmte_2038"),0)
+IFERROR(INDIRECT("'"&amp;$D$16&amp;"'!Duurzamewarmte_2038"),0)
+IFERROR(INDIRECT("'"&amp;$D$17&amp;"'!Duurzamewarmte_2038"),0)
+IFERROR(INDIRECT("'"&amp;$D$18&amp;"'!Duurzamewarmte_2038"),0)
+IFERROR(INDIRECT("'"&amp;$D$19&amp;"'!Duurzamewarmte_2038"),0)
+IFERROR(INDIRECT("'"&amp;$D$20&amp;"'!Duurzamewarmte_2038"),0)
+IFERROR(INDIRECT("'"&amp;$D$21&amp;"'!Duurzamewarmte_2038"),0)
+IFERROR(INDIRECT("'"&amp;$D$22&amp;"'!Duurzamewarmte_2038"),0)
+IFERROR(INDIRECT("'"&amp;$D$23&amp;"'!Duurzamewarmte_2038"),0)
+IFERROR(INDIRECT("'"&amp;$D$24&amp;"'!Duurzamewarmte_2038"),0)
+IFERROR(INDIRECT("'"&amp;$D$25&amp;"'!Duurzamewarmte_2038"),0)
+IFERROR(INDIRECT("'"&amp;$D$26&amp;"'!Duurzamewarmte_2038"),0)
+IFERROR(INDIRECT("'"&amp;$D$27&amp;"'!Duurzamewarmte_2038"),0)
+IFERROR(INDIRECT("'"&amp;$D$28&amp;"'!Duurzamewarmte_2038"),0)
+IFERROR(INDIRECT("'"&amp;$D$29&amp;"'!Duurzamewarmte_2038"),0)
+IFERROR(INDIRECT("'"&amp;$D$30&amp;"'!Duurzamewarmte_2038"),0)
+IFERROR(INDIRECT("'"&amp;$D$31&amp;"'!Duurzamewarmte_2038"),0)
+IFERROR(INDIRECT("'"&amp;$D$32&amp;"'!Duurzamewarmte_2038"),0)
+IFERROR(INDIRECT("'"&amp;$D$33&amp;"'!Duurzamewarmte_2038"),0)
+IFERROR(INDIRECT("'"&amp;$D$34&amp;"'!Duurzamewarmte_2038"),0)
+IFERROR(INDIRECT("'"&amp;$D$35&amp;"'!Duurzamewarmte_2038"),0)
+IFERROR(INDIRECT("'"&amp;$D$36&amp;"'!Duurzamewarmte_2038"),0)
+IFERROR(INDIRECT("'"&amp;$D$37&amp;"'!Duurzamewarmte_2038"),0)
+IFERROR(INDIRECT("'"&amp;$D$38&amp;"'!Duurzamewarmte_2038"),0)
+IFERROR(INDIRECT("'"&amp;$D$39&amp;"'!Duurzamewarmte_2038"),0)
+IFERROR(INDIRECT("'"&amp;$D$40&amp;"'!Duurzamewarmte_2038"),0)
+IFERROR(INDIRECT("'"&amp;$D$41&amp;"'!Duurzamewarmte_2038"),0)
+IFERROR(INDIRECT("'"&amp;$D$42&amp;"'!Duurzamewarmte_2038"),0)
+IFERROR(INDIRECT("'"&amp;$D$43&amp;"'!Duurzamewarmte_2038"),0)
+IFERROR(INDIRECT("'"&amp;$D$44&amp;"'!Duurzamewarmte_2038"),0)
+IFERROR(INDIRECT("'"&amp;$D$45&amp;"'!Duurzamewarmte_2038"),0)
+IFERROR(INDIRECT("'"&amp;$D$46&amp;"'!Duurzamewarmte_2038"),0)
+IFERROR(INDIRECT("'"&amp;$D$47&amp;"'!Duurzamewarmte_2038"),0)
+IFERROR(INDIRECT("'"&amp;$D$48&amp;"'!Duurzamewarmte_2038"),0)
+IFERROR(INDIRECT("'"&amp;$D$49&amp;"'!Duurzamewarmte_2038"),0)
+IFERROR(INDIRECT("'"&amp;$D$50&amp;"'!Duurzamewarmte_2038"),0)
+IFERROR(INDIRECT("'"&amp;$D$51&amp;"'!Duurzamewarmte_2038"),0)
+IFERROR(INDIRECT("'"&amp;$D$52&amp;"'!Duurzamewarmte_2038"),0)
+IFERROR(INDIRECT("'"&amp;$D$53&amp;"'!Duurzamewarmte_2038"),0)
+IFERROR(INDIRECT("'"&amp;$D$54&amp;"'!Duurzamewarmte_2038"),0)</f>
        <v>711</v>
      </c>
      <c r="AC41" s="321">
        <f ca="1">+IFERROR(INDIRECT("'"&amp;$D$5&amp;"'!Duurzamewarmte_2039"),0)
+IFERROR(INDIRECT("'"&amp;$D$6&amp;"'!Duurzamewarmte_2039"),0)
+IFERROR(INDIRECT("'"&amp;$D$7&amp;"'!Duurzamewarmte_2039"),0)
+IFERROR(INDIRECT("'"&amp;$D$8&amp;"'!Duurzamewarmte_2039"),0)
+IFERROR(INDIRECT("'"&amp;$D$9&amp;"'!Duurzamewarmte_2039"),0)
+IFERROR(INDIRECT("'"&amp;$D$10&amp;"'!Duurzamewarmte_2039"),0)
+IFERROR(INDIRECT("'"&amp;$D$11&amp;"'!Duurzamewarmte_2039"),0)
+IFERROR(INDIRECT("'"&amp;$D$12&amp;"'!Duurzamewarmte_2039"),0)
+IFERROR(INDIRECT("'"&amp;$D$13&amp;"'!Duurzamewarmte_2039"),0)
+IFERROR(INDIRECT("'"&amp;$D$14&amp;"'!Duurzamewarmte_2039"),0)
+IFERROR(INDIRECT("'"&amp;$D$15&amp;"'!Duurzamewarmte_2039"),0)
+IFERROR(INDIRECT("'"&amp;$D$16&amp;"'!Duurzamewarmte_2039"),0)
+IFERROR(INDIRECT("'"&amp;$D$17&amp;"'!Duurzamewarmte_2039"),0)
+IFERROR(INDIRECT("'"&amp;$D$18&amp;"'!Duurzamewarmte_2039"),0)
+IFERROR(INDIRECT("'"&amp;$D$19&amp;"'!Duurzamewarmte_2039"),0)
+IFERROR(INDIRECT("'"&amp;$D$20&amp;"'!Duurzamewarmte_2039"),0)
+IFERROR(INDIRECT("'"&amp;$D$21&amp;"'!Duurzamewarmte_2039"),0)
+IFERROR(INDIRECT("'"&amp;$D$22&amp;"'!Duurzamewarmte_2039"),0)
+IFERROR(INDIRECT("'"&amp;$D$23&amp;"'!Duurzamewarmte_2039"),0)
+IFERROR(INDIRECT("'"&amp;$D$24&amp;"'!Duurzamewarmte_2039"),0)
+IFERROR(INDIRECT("'"&amp;$D$25&amp;"'!Duurzamewarmte_2039"),0)
+IFERROR(INDIRECT("'"&amp;$D$26&amp;"'!Duurzamewarmte_2039"),0)
+IFERROR(INDIRECT("'"&amp;$D$27&amp;"'!Duurzamewarmte_2039"),0)
+IFERROR(INDIRECT("'"&amp;$D$28&amp;"'!Duurzamewarmte_2039"),0)
+IFERROR(INDIRECT("'"&amp;$D$29&amp;"'!Duurzamewarmte_2039"),0)
+IFERROR(INDIRECT("'"&amp;$D$30&amp;"'!Duurzamewarmte_2039"),0)
+IFERROR(INDIRECT("'"&amp;$D$31&amp;"'!Duurzamewarmte_2039"),0)
+IFERROR(INDIRECT("'"&amp;$D$32&amp;"'!Duurzamewarmte_2039"),0)
+IFERROR(INDIRECT("'"&amp;$D$33&amp;"'!Duurzamewarmte_2039"),0)
+IFERROR(INDIRECT("'"&amp;$D$34&amp;"'!Duurzamewarmte_2039"),0)
+IFERROR(INDIRECT("'"&amp;$D$35&amp;"'!Duurzamewarmte_2039"),0)
+IFERROR(INDIRECT("'"&amp;$D$36&amp;"'!Duurzamewarmte_2039"),0)
+IFERROR(INDIRECT("'"&amp;$D$37&amp;"'!Duurzamewarmte_2039"),0)
+IFERROR(INDIRECT("'"&amp;$D$38&amp;"'!Duurzamewarmte_2039"),0)
+IFERROR(INDIRECT("'"&amp;$D$39&amp;"'!Duurzamewarmte_2039"),0)
+IFERROR(INDIRECT("'"&amp;$D$40&amp;"'!Duurzamewarmte_2039"),0)
+IFERROR(INDIRECT("'"&amp;$D$41&amp;"'!Duurzamewarmte_2039"),0)
+IFERROR(INDIRECT("'"&amp;$D$42&amp;"'!Duurzamewarmte_2039"),0)
+IFERROR(INDIRECT("'"&amp;$D$43&amp;"'!Duurzamewarmte_2039"),0)
+IFERROR(INDIRECT("'"&amp;$D$44&amp;"'!Duurzamewarmte_2039"),0)
+IFERROR(INDIRECT("'"&amp;$D$45&amp;"'!Duurzamewarmte_2039"),0)
+IFERROR(INDIRECT("'"&amp;$D$46&amp;"'!Duurzamewarmte_2039"),0)
+IFERROR(INDIRECT("'"&amp;$D$47&amp;"'!Duurzamewarmte_2039"),0)
+IFERROR(INDIRECT("'"&amp;$D$48&amp;"'!Duurzamewarmte_2039"),0)
+IFERROR(INDIRECT("'"&amp;$D$49&amp;"'!Duurzamewarmte_2039"),0)
+IFERROR(INDIRECT("'"&amp;$D$50&amp;"'!Duurzamewarmte_2039"),0)
+IFERROR(INDIRECT("'"&amp;$D$51&amp;"'!Duurzamewarmte_2039"),0)
+IFERROR(INDIRECT("'"&amp;$D$52&amp;"'!Duurzamewarmte_2039"),0)
+IFERROR(INDIRECT("'"&amp;$D$53&amp;"'!Duurzamewarmte_2039"),0)
+IFERROR(INDIRECT("'"&amp;$D$54&amp;"'!Duurzamewarmte_2039"),0)</f>
        <v>711</v>
      </c>
      <c r="AD41" s="321">
        <f ca="1">+IFERROR(INDIRECT("'"&amp;$D$5&amp;"'!Duurzamewarmte_2040"),0)
+IFERROR(INDIRECT("'"&amp;$D$6&amp;"'!Duurzamewarmte_2040"),0)
+IFERROR(INDIRECT("'"&amp;$D$7&amp;"'!Duurzamewarmte_2040"),0)
+IFERROR(INDIRECT("'"&amp;$D$8&amp;"'!Duurzamewarmte_2040"),0)
+IFERROR(INDIRECT("'"&amp;$D$9&amp;"'!Duurzamewarmte_2040"),0)
+IFERROR(INDIRECT("'"&amp;$D$10&amp;"'!Duurzamewarmte_2040"),0)
+IFERROR(INDIRECT("'"&amp;$D$11&amp;"'!Duurzamewarmte_2040"),0)
+IFERROR(INDIRECT("'"&amp;$D$12&amp;"'!Duurzamewarmte_2040"),0)
+IFERROR(INDIRECT("'"&amp;$D$13&amp;"'!Duurzamewarmte_2040"),0)
+IFERROR(INDIRECT("'"&amp;$D$14&amp;"'!Duurzamewarmte_2040"),0)
+IFERROR(INDIRECT("'"&amp;$D$15&amp;"'!Duurzamewarmte_2040"),0)
+IFERROR(INDIRECT("'"&amp;$D$16&amp;"'!Duurzamewarmte_2040"),0)
+IFERROR(INDIRECT("'"&amp;$D$17&amp;"'!Duurzamewarmte_2040"),0)
+IFERROR(INDIRECT("'"&amp;$D$18&amp;"'!Duurzamewarmte_2040"),0)
+IFERROR(INDIRECT("'"&amp;$D$19&amp;"'!Duurzamewarmte_2040"),0)
+IFERROR(INDIRECT("'"&amp;$D$20&amp;"'!Duurzamewarmte_2040"),0)
+IFERROR(INDIRECT("'"&amp;$D$21&amp;"'!Duurzamewarmte_2040"),0)
+IFERROR(INDIRECT("'"&amp;$D$22&amp;"'!Duurzamewarmte_2040"),0)
+IFERROR(INDIRECT("'"&amp;$D$23&amp;"'!Duurzamewarmte_2040"),0)
+IFERROR(INDIRECT("'"&amp;$D$24&amp;"'!Duurzamewarmte_2040"),0)
+IFERROR(INDIRECT("'"&amp;$D$25&amp;"'!Duurzamewarmte_2040"),0)
+IFERROR(INDIRECT("'"&amp;$D$26&amp;"'!Duurzamewarmte_2040"),0)
+IFERROR(INDIRECT("'"&amp;$D$27&amp;"'!Duurzamewarmte_2040"),0)
+IFERROR(INDIRECT("'"&amp;$D$28&amp;"'!Duurzamewarmte_2040"),0)
+IFERROR(INDIRECT("'"&amp;$D$29&amp;"'!Duurzamewarmte_2040"),0)
+IFERROR(INDIRECT("'"&amp;$D$30&amp;"'!Duurzamewarmte_2040"),0)
+IFERROR(INDIRECT("'"&amp;$D$31&amp;"'!Duurzamewarmte_2040"),0)
+IFERROR(INDIRECT("'"&amp;$D$32&amp;"'!Duurzamewarmte_2040"),0)
+IFERROR(INDIRECT("'"&amp;$D$33&amp;"'!Duurzamewarmte_2040"),0)
+IFERROR(INDIRECT("'"&amp;$D$34&amp;"'!Duurzamewarmte_2040"),0)
+IFERROR(INDIRECT("'"&amp;$D$35&amp;"'!Duurzamewarmte_2040"),0)
+IFERROR(INDIRECT("'"&amp;$D$36&amp;"'!Duurzamewarmte_2040"),0)
+IFERROR(INDIRECT("'"&amp;$D$37&amp;"'!Duurzamewarmte_2040"),0)
+IFERROR(INDIRECT("'"&amp;$D$38&amp;"'!Duurzamewarmte_2040"),0)
+IFERROR(INDIRECT("'"&amp;$D$39&amp;"'!Duurzamewarmte_2040"),0)
+IFERROR(INDIRECT("'"&amp;$D$40&amp;"'!Duurzamewarmte_2040"),0)
+IFERROR(INDIRECT("'"&amp;$D$41&amp;"'!Duurzamewarmte_2040"),0)
+IFERROR(INDIRECT("'"&amp;$D$42&amp;"'!Duurzamewarmte_2040"),0)
+IFERROR(INDIRECT("'"&amp;$D$43&amp;"'!Duurzamewarmte_2040"),0)
+IFERROR(INDIRECT("'"&amp;$D$44&amp;"'!Duurzamewarmte_2040"),0)
+IFERROR(INDIRECT("'"&amp;$D$45&amp;"'!Duurzamewarmte_2040"),0)
+IFERROR(INDIRECT("'"&amp;$D$46&amp;"'!Duurzamewarmte_2040"),0)
+IFERROR(INDIRECT("'"&amp;$D$47&amp;"'!Duurzamewarmte_2040"),0)
+IFERROR(INDIRECT("'"&amp;$D$48&amp;"'!Duurzamewarmte_2040"),0)
+IFERROR(INDIRECT("'"&amp;$D$49&amp;"'!Duurzamewarmte_2040"),0)
+IFERROR(INDIRECT("'"&amp;$D$50&amp;"'!Duurzamewarmte_2040"),0)
+IFERROR(INDIRECT("'"&amp;$D$51&amp;"'!Duurzamewarmte_2040"),0)
+IFERROR(INDIRECT("'"&amp;$D$52&amp;"'!Duurzamewarmte_2040"),0)
+IFERROR(INDIRECT("'"&amp;$D$53&amp;"'!Duurzamewarmte_2040"),0)
+IFERROR(INDIRECT("'"&amp;$D$54&amp;"'!Duurzamewarmte_2040"),0)</f>
        <v>0</v>
      </c>
      <c r="AE41" s="321">
        <f ca="1">+IFERROR(INDIRECT("'"&amp;$D$5&amp;"'!Duurzamewarmte_2041"),0)
+IFERROR(INDIRECT("'"&amp;$D$6&amp;"'!Duurzamewarmte_2041"),0)
+IFERROR(INDIRECT("'"&amp;$D$7&amp;"'!Duurzamewarmte_2041"),0)
+IFERROR(INDIRECT("'"&amp;$D$8&amp;"'!Duurzamewarmte_2041"),0)
+IFERROR(INDIRECT("'"&amp;$D$9&amp;"'!Duurzamewarmte_2041"),0)
+IFERROR(INDIRECT("'"&amp;$D$10&amp;"'!Duurzamewarmte_2041"),0)
+IFERROR(INDIRECT("'"&amp;$D$11&amp;"'!Duurzamewarmte_2041"),0)
+IFERROR(INDIRECT("'"&amp;$D$12&amp;"'!Duurzamewarmte_2041"),0)
+IFERROR(INDIRECT("'"&amp;$D$13&amp;"'!Duurzamewarmte_2041"),0)
+IFERROR(INDIRECT("'"&amp;$D$14&amp;"'!Duurzamewarmte_2041"),0)
+IFERROR(INDIRECT("'"&amp;$D$15&amp;"'!Duurzamewarmte_2041"),0)
+IFERROR(INDIRECT("'"&amp;$D$16&amp;"'!Duurzamewarmte_2041"),0)
+IFERROR(INDIRECT("'"&amp;$D$17&amp;"'!Duurzamewarmte_2041"),0)
+IFERROR(INDIRECT("'"&amp;$D$18&amp;"'!Duurzamewarmte_2041"),0)
+IFERROR(INDIRECT("'"&amp;$D$19&amp;"'!Duurzamewarmte_2041"),0)
+IFERROR(INDIRECT("'"&amp;$D$20&amp;"'!Duurzamewarmte_2041"),0)
+IFERROR(INDIRECT("'"&amp;$D$21&amp;"'!Duurzamewarmte_2041"),0)
+IFERROR(INDIRECT("'"&amp;$D$22&amp;"'!Duurzamewarmte_2041"),0)
+IFERROR(INDIRECT("'"&amp;$D$23&amp;"'!Duurzamewarmte_2041"),0)
+IFERROR(INDIRECT("'"&amp;$D$24&amp;"'!Duurzamewarmte_2041"),0)
+IFERROR(INDIRECT("'"&amp;$D$25&amp;"'!Duurzamewarmte_2041"),0)
+IFERROR(INDIRECT("'"&amp;$D$26&amp;"'!Duurzamewarmte_2041"),0)
+IFERROR(INDIRECT("'"&amp;$D$27&amp;"'!Duurzamewarmte_2041"),0)
+IFERROR(INDIRECT("'"&amp;$D$28&amp;"'!Duurzamewarmte_2041"),0)
+IFERROR(INDIRECT("'"&amp;$D$29&amp;"'!Duurzamewarmte_2041"),0)
+IFERROR(INDIRECT("'"&amp;$D$30&amp;"'!Duurzamewarmte_2041"),0)
+IFERROR(INDIRECT("'"&amp;$D$31&amp;"'!Duurzamewarmte_2041"),0)
+IFERROR(INDIRECT("'"&amp;$D$32&amp;"'!Duurzamewarmte_2041"),0)
+IFERROR(INDIRECT("'"&amp;$D$33&amp;"'!Duurzamewarmte_2041"),0)
+IFERROR(INDIRECT("'"&amp;$D$34&amp;"'!Duurzamewarmte_2041"),0)
+IFERROR(INDIRECT("'"&amp;$D$35&amp;"'!Duurzamewarmte_2041"),0)
+IFERROR(INDIRECT("'"&amp;$D$36&amp;"'!Duurzamewarmte_2041"),0)
+IFERROR(INDIRECT("'"&amp;$D$37&amp;"'!Duurzamewarmte_2041"),0)
+IFERROR(INDIRECT("'"&amp;$D$38&amp;"'!Duurzamewarmte_2041"),0)
+IFERROR(INDIRECT("'"&amp;$D$39&amp;"'!Duurzamewarmte_2041"),0)
+IFERROR(INDIRECT("'"&amp;$D$40&amp;"'!Duurzamewarmte_2041"),0)
+IFERROR(INDIRECT("'"&amp;$D$41&amp;"'!Duurzamewarmte_2041"),0)
+IFERROR(INDIRECT("'"&amp;$D$42&amp;"'!Duurzamewarmte_2041"),0)
+IFERROR(INDIRECT("'"&amp;$D$43&amp;"'!Duurzamewarmte_2041"),0)
+IFERROR(INDIRECT("'"&amp;$D$44&amp;"'!Duurzamewarmte_2041"),0)
+IFERROR(INDIRECT("'"&amp;$D$45&amp;"'!Duurzamewarmte_2041"),0)
+IFERROR(INDIRECT("'"&amp;$D$46&amp;"'!Duurzamewarmte_2041"),0)
+IFERROR(INDIRECT("'"&amp;$D$47&amp;"'!Duurzamewarmte_2041"),0)
+IFERROR(INDIRECT("'"&amp;$D$48&amp;"'!Duurzamewarmte_2041"),0)
+IFERROR(INDIRECT("'"&amp;$D$49&amp;"'!Duurzamewarmte_2041"),0)
+IFERROR(INDIRECT("'"&amp;$D$50&amp;"'!Duurzamewarmte_2041"),0)
+IFERROR(INDIRECT("'"&amp;$D$51&amp;"'!Duurzamewarmte_2041"),0)
+IFERROR(INDIRECT("'"&amp;$D$52&amp;"'!Duurzamewarmte_2041"),0)
+IFERROR(INDIRECT("'"&amp;$D$53&amp;"'!Duurzamewarmte_2041"),0)
+IFERROR(INDIRECT("'"&amp;$D$54&amp;"'!Duurzamewarmte_2041"),0)</f>
        <v>0</v>
      </c>
      <c r="AF41" s="321">
        <f ca="1">+IFERROR(INDIRECT("'"&amp;$D$5&amp;"'!Duurzamewarmte_2042"),0)
+IFERROR(INDIRECT("'"&amp;$D$6&amp;"'!Duurzamewarmte_2042"),0)
+IFERROR(INDIRECT("'"&amp;$D$7&amp;"'!Duurzamewarmte_2042"),0)
+IFERROR(INDIRECT("'"&amp;$D$8&amp;"'!Duurzamewarmte_2042"),0)
+IFERROR(INDIRECT("'"&amp;$D$9&amp;"'!Duurzamewarmte_2042"),0)
+IFERROR(INDIRECT("'"&amp;$D$10&amp;"'!Duurzamewarmte_2042"),0)
+IFERROR(INDIRECT("'"&amp;$D$11&amp;"'!Duurzamewarmte_2042"),0)
+IFERROR(INDIRECT("'"&amp;$D$12&amp;"'!Duurzamewarmte_2042"),0)
+IFERROR(INDIRECT("'"&amp;$D$13&amp;"'!Duurzamewarmte_2042"),0)
+IFERROR(INDIRECT("'"&amp;$D$14&amp;"'!Duurzamewarmte_2042"),0)
+IFERROR(INDIRECT("'"&amp;$D$15&amp;"'!Duurzamewarmte_2042"),0)
+IFERROR(INDIRECT("'"&amp;$D$16&amp;"'!Duurzamewarmte_2042"),0)
+IFERROR(INDIRECT("'"&amp;$D$17&amp;"'!Duurzamewarmte_2042"),0)
+IFERROR(INDIRECT("'"&amp;$D$18&amp;"'!Duurzamewarmte_2042"),0)
+IFERROR(INDIRECT("'"&amp;$D$19&amp;"'!Duurzamewarmte_2042"),0)
+IFERROR(INDIRECT("'"&amp;$D$20&amp;"'!Duurzamewarmte_2042"),0)
+IFERROR(INDIRECT("'"&amp;$D$21&amp;"'!Duurzamewarmte_2042"),0)
+IFERROR(INDIRECT("'"&amp;$D$22&amp;"'!Duurzamewarmte_2042"),0)
+IFERROR(INDIRECT("'"&amp;$D$23&amp;"'!Duurzamewarmte_2042"),0)
+IFERROR(INDIRECT("'"&amp;$D$24&amp;"'!Duurzamewarmte_2042"),0)
+IFERROR(INDIRECT("'"&amp;$D$25&amp;"'!Duurzamewarmte_2042"),0)
+IFERROR(INDIRECT("'"&amp;$D$26&amp;"'!Duurzamewarmte_2042"),0)
+IFERROR(INDIRECT("'"&amp;$D$27&amp;"'!Duurzamewarmte_2042"),0)
+IFERROR(INDIRECT("'"&amp;$D$28&amp;"'!Duurzamewarmte_2042"),0)
+IFERROR(INDIRECT("'"&amp;$D$29&amp;"'!Duurzamewarmte_2042"),0)
+IFERROR(INDIRECT("'"&amp;$D$30&amp;"'!Duurzamewarmte_2042"),0)
+IFERROR(INDIRECT("'"&amp;$D$31&amp;"'!Duurzamewarmte_2042"),0)
+IFERROR(INDIRECT("'"&amp;$D$32&amp;"'!Duurzamewarmte_2042"),0)
+IFERROR(INDIRECT("'"&amp;$D$33&amp;"'!Duurzamewarmte_2042"),0)
+IFERROR(INDIRECT("'"&amp;$D$34&amp;"'!Duurzamewarmte_2042"),0)
+IFERROR(INDIRECT("'"&amp;$D$35&amp;"'!Duurzamewarmte_2042"),0)
+IFERROR(INDIRECT("'"&amp;$D$36&amp;"'!Duurzamewarmte_2042"),0)
+IFERROR(INDIRECT("'"&amp;$D$37&amp;"'!Duurzamewarmte_2042"),0)
+IFERROR(INDIRECT("'"&amp;$D$38&amp;"'!Duurzamewarmte_2042"),0)
+IFERROR(INDIRECT("'"&amp;$D$39&amp;"'!Duurzamewarmte_2042"),0)
+IFERROR(INDIRECT("'"&amp;$D$40&amp;"'!Duurzamewarmte_2042"),0)
+IFERROR(INDIRECT("'"&amp;$D$41&amp;"'!Duurzamewarmte_2042"),0)
+IFERROR(INDIRECT("'"&amp;$D$42&amp;"'!Duurzamewarmte_2042"),0)
+IFERROR(INDIRECT("'"&amp;$D$43&amp;"'!Duurzamewarmte_2042"),0)
+IFERROR(INDIRECT("'"&amp;$D$44&amp;"'!Duurzamewarmte_2042"),0)
+IFERROR(INDIRECT("'"&amp;$D$45&amp;"'!Duurzamewarmte_2042"),0)
+IFERROR(INDIRECT("'"&amp;$D$46&amp;"'!Duurzamewarmte_2042"),0)
+IFERROR(INDIRECT("'"&amp;$D$47&amp;"'!Duurzamewarmte_2042"),0)
+IFERROR(INDIRECT("'"&amp;$D$48&amp;"'!Duurzamewarmte_2042"),0)
+IFERROR(INDIRECT("'"&amp;$D$49&amp;"'!Duurzamewarmte_2042"),0)
+IFERROR(INDIRECT("'"&amp;$D$50&amp;"'!Duurzamewarmte_2042"),0)
+IFERROR(INDIRECT("'"&amp;$D$51&amp;"'!Duurzamewarmte_2042"),0)
+IFERROR(INDIRECT("'"&amp;$D$52&amp;"'!Duurzamewarmte_2042"),0)
+IFERROR(INDIRECT("'"&amp;$D$53&amp;"'!Duurzamewarmte_2042"),0)
+IFERROR(INDIRECT("'"&amp;$D$54&amp;"'!Duurzamewarmte_2042"),0)</f>
        <v>0</v>
      </c>
      <c r="AG41" s="321">
        <f ca="1">+IFERROR(INDIRECT("'"&amp;$D$5&amp;"'!Duurzamewarmte_2043"),0)
+IFERROR(INDIRECT("'"&amp;$D$6&amp;"'!Duurzamewarmte_2043"),0)
+IFERROR(INDIRECT("'"&amp;$D$7&amp;"'!Duurzamewarmte_2043"),0)
+IFERROR(INDIRECT("'"&amp;$D$8&amp;"'!Duurzamewarmte_2043"),0)
+IFERROR(INDIRECT("'"&amp;$D$9&amp;"'!Duurzamewarmte_2043"),0)
+IFERROR(INDIRECT("'"&amp;$D$10&amp;"'!Duurzamewarmte_2043"),0)
+IFERROR(INDIRECT("'"&amp;$D$11&amp;"'!Duurzamewarmte_2043"),0)
+IFERROR(INDIRECT("'"&amp;$D$12&amp;"'!Duurzamewarmte_2043"),0)
+IFERROR(INDIRECT("'"&amp;$D$13&amp;"'!Duurzamewarmte_2043"),0)
+IFERROR(INDIRECT("'"&amp;$D$14&amp;"'!Duurzamewarmte_2043"),0)
+IFERROR(INDIRECT("'"&amp;$D$15&amp;"'!Duurzamewarmte_2043"),0)
+IFERROR(INDIRECT("'"&amp;$D$16&amp;"'!Duurzamewarmte_2043"),0)
+IFERROR(INDIRECT("'"&amp;$D$17&amp;"'!Duurzamewarmte_2043"),0)
+IFERROR(INDIRECT("'"&amp;$D$18&amp;"'!Duurzamewarmte_2043"),0)
+IFERROR(INDIRECT("'"&amp;$D$19&amp;"'!Duurzamewarmte_2043"),0)
+IFERROR(INDIRECT("'"&amp;$D$20&amp;"'!Duurzamewarmte_2043"),0)
+IFERROR(INDIRECT("'"&amp;$D$21&amp;"'!Duurzamewarmte_2043"),0)
+IFERROR(INDIRECT("'"&amp;$D$22&amp;"'!Duurzamewarmte_2043"),0)
+IFERROR(INDIRECT("'"&amp;$D$23&amp;"'!Duurzamewarmte_2043"),0)
+IFERROR(INDIRECT("'"&amp;$D$24&amp;"'!Duurzamewarmte_2043"),0)
+IFERROR(INDIRECT("'"&amp;$D$25&amp;"'!Duurzamewarmte_2043"),0)
+IFERROR(INDIRECT("'"&amp;$D$26&amp;"'!Duurzamewarmte_2043"),0)
+IFERROR(INDIRECT("'"&amp;$D$27&amp;"'!Duurzamewarmte_2043"),0)
+IFERROR(INDIRECT("'"&amp;$D$28&amp;"'!Duurzamewarmte_2043"),0)
+IFERROR(INDIRECT("'"&amp;$D$29&amp;"'!Duurzamewarmte_2043"),0)
+IFERROR(INDIRECT("'"&amp;$D$30&amp;"'!Duurzamewarmte_2043"),0)
+IFERROR(INDIRECT("'"&amp;$D$31&amp;"'!Duurzamewarmte_2043"),0)
+IFERROR(INDIRECT("'"&amp;$D$32&amp;"'!Duurzamewarmte_2043"),0)
+IFERROR(INDIRECT("'"&amp;$D$33&amp;"'!Duurzamewarmte_2043"),0)
+IFERROR(INDIRECT("'"&amp;$D$34&amp;"'!Duurzamewarmte_2043"),0)
+IFERROR(INDIRECT("'"&amp;$D$35&amp;"'!Duurzamewarmte_2043"),0)
+IFERROR(INDIRECT("'"&amp;$D$36&amp;"'!Duurzamewarmte_2043"),0)
+IFERROR(INDIRECT("'"&amp;$D$37&amp;"'!Duurzamewarmte_2043"),0)
+IFERROR(INDIRECT("'"&amp;$D$38&amp;"'!Duurzamewarmte_2043"),0)
+IFERROR(INDIRECT("'"&amp;$D$39&amp;"'!Duurzamewarmte_2043"),0)
+IFERROR(INDIRECT("'"&amp;$D$40&amp;"'!Duurzamewarmte_2043"),0)
+IFERROR(INDIRECT("'"&amp;$D$41&amp;"'!Duurzamewarmte_2043"),0)
+IFERROR(INDIRECT("'"&amp;$D$42&amp;"'!Duurzamewarmte_2043"),0)
+IFERROR(INDIRECT("'"&amp;$D$43&amp;"'!Duurzamewarmte_2043"),0)
+IFERROR(INDIRECT("'"&amp;$D$44&amp;"'!Duurzamewarmte_2043"),0)
+IFERROR(INDIRECT("'"&amp;$D$45&amp;"'!Duurzamewarmte_2043"),0)
+IFERROR(INDIRECT("'"&amp;$D$46&amp;"'!Duurzamewarmte_2043"),0)
+IFERROR(INDIRECT("'"&amp;$D$47&amp;"'!Duurzamewarmte_2043"),0)
+IFERROR(INDIRECT("'"&amp;$D$48&amp;"'!Duurzamewarmte_2043"),0)
+IFERROR(INDIRECT("'"&amp;$D$49&amp;"'!Duurzamewarmte_2043"),0)
+IFERROR(INDIRECT("'"&amp;$D$50&amp;"'!Duurzamewarmte_2043"),0)
+IFERROR(INDIRECT("'"&amp;$D$51&amp;"'!Duurzamewarmte_2043"),0)
+IFERROR(INDIRECT("'"&amp;$D$52&amp;"'!Duurzamewarmte_2043"),0)
+IFERROR(INDIRECT("'"&amp;$D$53&amp;"'!Duurzamewarmte_2043"),0)
+IFERROR(INDIRECT("'"&amp;$D$54&amp;"'!Duurzamewarmte_2043"),0)</f>
        <v>0</v>
      </c>
      <c r="AH41" s="321">
        <f ca="1">+IFERROR(INDIRECT("'"&amp;$D$5&amp;"'!Duurzamewarmte_2044"),0)
+IFERROR(INDIRECT("'"&amp;$D$6&amp;"'!Duurzamewarmte_2044"),0)
+IFERROR(INDIRECT("'"&amp;$D$7&amp;"'!Duurzamewarmte_2044"),0)
+IFERROR(INDIRECT("'"&amp;$D$8&amp;"'!Duurzamewarmte_2044"),0)
+IFERROR(INDIRECT("'"&amp;$D$9&amp;"'!Duurzamewarmte_2044"),0)
+IFERROR(INDIRECT("'"&amp;$D$10&amp;"'!Duurzamewarmte_2044"),0)
+IFERROR(INDIRECT("'"&amp;$D$11&amp;"'!Duurzamewarmte_2044"),0)
+IFERROR(INDIRECT("'"&amp;$D$12&amp;"'!Duurzamewarmte_2044"),0)
+IFERROR(INDIRECT("'"&amp;$D$13&amp;"'!Duurzamewarmte_2044"),0)
+IFERROR(INDIRECT("'"&amp;$D$14&amp;"'!Duurzamewarmte_2044"),0)
+IFERROR(INDIRECT("'"&amp;$D$15&amp;"'!Duurzamewarmte_2044"),0)
+IFERROR(INDIRECT("'"&amp;$D$16&amp;"'!Duurzamewarmte_2044"),0)
+IFERROR(INDIRECT("'"&amp;$D$17&amp;"'!Duurzamewarmte_2044"),0)
+IFERROR(INDIRECT("'"&amp;$D$18&amp;"'!Duurzamewarmte_2044"),0)
+IFERROR(INDIRECT("'"&amp;$D$19&amp;"'!Duurzamewarmte_2044"),0)
+IFERROR(INDIRECT("'"&amp;$D$20&amp;"'!Duurzamewarmte_2044"),0)
+IFERROR(INDIRECT("'"&amp;$D$21&amp;"'!Duurzamewarmte_2044"),0)
+IFERROR(INDIRECT("'"&amp;$D$22&amp;"'!Duurzamewarmte_2044"),0)
+IFERROR(INDIRECT("'"&amp;$D$23&amp;"'!Duurzamewarmte_2044"),0)
+IFERROR(INDIRECT("'"&amp;$D$24&amp;"'!Duurzamewarmte_2044"),0)
+IFERROR(INDIRECT("'"&amp;$D$25&amp;"'!Duurzamewarmte_2044"),0)
+IFERROR(INDIRECT("'"&amp;$D$26&amp;"'!Duurzamewarmte_2044"),0)
+IFERROR(INDIRECT("'"&amp;$D$27&amp;"'!Duurzamewarmte_2044"),0)
+IFERROR(INDIRECT("'"&amp;$D$28&amp;"'!Duurzamewarmte_2044"),0)
+IFERROR(INDIRECT("'"&amp;$D$29&amp;"'!Duurzamewarmte_2044"),0)
+IFERROR(INDIRECT("'"&amp;$D$30&amp;"'!Duurzamewarmte_2044"),0)
+IFERROR(INDIRECT("'"&amp;$D$31&amp;"'!Duurzamewarmte_2044"),0)
+IFERROR(INDIRECT("'"&amp;$D$32&amp;"'!Duurzamewarmte_2044"),0)
+IFERROR(INDIRECT("'"&amp;$D$33&amp;"'!Duurzamewarmte_2044"),0)
+IFERROR(INDIRECT("'"&amp;$D$34&amp;"'!Duurzamewarmte_2044"),0)
+IFERROR(INDIRECT("'"&amp;$D$35&amp;"'!Duurzamewarmte_2044"),0)
+IFERROR(INDIRECT("'"&amp;$D$36&amp;"'!Duurzamewarmte_2044"),0)
+IFERROR(INDIRECT("'"&amp;$D$37&amp;"'!Duurzamewarmte_2044"),0)
+IFERROR(INDIRECT("'"&amp;$D$38&amp;"'!Duurzamewarmte_2044"),0)
+IFERROR(INDIRECT("'"&amp;$D$39&amp;"'!Duurzamewarmte_2044"),0)
+IFERROR(INDIRECT("'"&amp;$D$40&amp;"'!Duurzamewarmte_2044"),0)
+IFERROR(INDIRECT("'"&amp;$D$41&amp;"'!Duurzamewarmte_2044"),0)
+IFERROR(INDIRECT("'"&amp;$D$42&amp;"'!Duurzamewarmte_2044"),0)
+IFERROR(INDIRECT("'"&amp;$D$43&amp;"'!Duurzamewarmte_2044"),0)
+IFERROR(INDIRECT("'"&amp;$D$44&amp;"'!Duurzamewarmte_2044"),0)
+IFERROR(INDIRECT("'"&amp;$D$45&amp;"'!Duurzamewarmte_2044"),0)
+IFERROR(INDIRECT("'"&amp;$D$46&amp;"'!Duurzamewarmte_2044"),0)
+IFERROR(INDIRECT("'"&amp;$D$47&amp;"'!Duurzamewarmte_2044"),0)
+IFERROR(INDIRECT("'"&amp;$D$48&amp;"'!Duurzamewarmte_2044"),0)
+IFERROR(INDIRECT("'"&amp;$D$49&amp;"'!Duurzamewarmte_2044"),0)
+IFERROR(INDIRECT("'"&amp;$D$50&amp;"'!Duurzamewarmte_2044"),0)
+IFERROR(INDIRECT("'"&amp;$D$51&amp;"'!Duurzamewarmte_2044"),0)
+IFERROR(INDIRECT("'"&amp;$D$52&amp;"'!Duurzamewarmte_2044"),0)
+IFERROR(INDIRECT("'"&amp;$D$53&amp;"'!Duurzamewarmte_2044"),0)
+IFERROR(INDIRECT("'"&amp;$D$54&amp;"'!Duurzamewarmte_2044"),0)</f>
        <v>0</v>
      </c>
      <c r="AI41" s="321">
        <f ca="1">+IFERROR(INDIRECT("'"&amp;$D$5&amp;"'!Duurzamewarmte_2045"),0)
+IFERROR(INDIRECT("'"&amp;$D$6&amp;"'!Duurzamewarmte_2045"),0)
+IFERROR(INDIRECT("'"&amp;$D$7&amp;"'!Duurzamewarmte_2045"),0)
+IFERROR(INDIRECT("'"&amp;$D$8&amp;"'!Duurzamewarmte_2045"),0)
+IFERROR(INDIRECT("'"&amp;$D$9&amp;"'!Duurzamewarmte_2045"),0)
+IFERROR(INDIRECT("'"&amp;$D$10&amp;"'!Duurzamewarmte_2045"),0)
+IFERROR(INDIRECT("'"&amp;$D$11&amp;"'!Duurzamewarmte_2045"),0)
+IFERROR(INDIRECT("'"&amp;$D$12&amp;"'!Duurzamewarmte_2045"),0)
+IFERROR(INDIRECT("'"&amp;$D$13&amp;"'!Duurzamewarmte_2045"),0)
+IFERROR(INDIRECT("'"&amp;$D$14&amp;"'!Duurzamewarmte_2045"),0)
+IFERROR(INDIRECT("'"&amp;$D$15&amp;"'!Duurzamewarmte_2045"),0)
+IFERROR(INDIRECT("'"&amp;$D$16&amp;"'!Duurzamewarmte_2045"),0)
+IFERROR(INDIRECT("'"&amp;$D$17&amp;"'!Duurzamewarmte_2045"),0)
+IFERROR(INDIRECT("'"&amp;$D$18&amp;"'!Duurzamewarmte_2045"),0)
+IFERROR(INDIRECT("'"&amp;$D$19&amp;"'!Duurzamewarmte_2045"),0)
+IFERROR(INDIRECT("'"&amp;$D$20&amp;"'!Duurzamewarmte_2045"),0)
+IFERROR(INDIRECT("'"&amp;$D$21&amp;"'!Duurzamewarmte_2045"),0)
+IFERROR(INDIRECT("'"&amp;$D$22&amp;"'!Duurzamewarmte_2045"),0)
+IFERROR(INDIRECT("'"&amp;$D$23&amp;"'!Duurzamewarmte_2045"),0)
+IFERROR(INDIRECT("'"&amp;$D$24&amp;"'!Duurzamewarmte_2045"),0)
+IFERROR(INDIRECT("'"&amp;$D$25&amp;"'!Duurzamewarmte_2045"),0)
+IFERROR(INDIRECT("'"&amp;$D$26&amp;"'!Duurzamewarmte_2045"),0)
+IFERROR(INDIRECT("'"&amp;$D$27&amp;"'!Duurzamewarmte_2045"),0)
+IFERROR(INDIRECT("'"&amp;$D$28&amp;"'!Duurzamewarmte_2045"),0)
+IFERROR(INDIRECT("'"&amp;$D$29&amp;"'!Duurzamewarmte_2045"),0)
+IFERROR(INDIRECT("'"&amp;$D$30&amp;"'!Duurzamewarmte_2045"),0)
+IFERROR(INDIRECT("'"&amp;$D$31&amp;"'!Duurzamewarmte_2045"),0)
+IFERROR(INDIRECT("'"&amp;$D$32&amp;"'!Duurzamewarmte_2045"),0)
+IFERROR(INDIRECT("'"&amp;$D$33&amp;"'!Duurzamewarmte_2045"),0)
+IFERROR(INDIRECT("'"&amp;$D$34&amp;"'!Duurzamewarmte_2045"),0)
+IFERROR(INDIRECT("'"&amp;$D$35&amp;"'!Duurzamewarmte_2045"),0)
+IFERROR(INDIRECT("'"&amp;$D$36&amp;"'!Duurzamewarmte_2045"),0)
+IFERROR(INDIRECT("'"&amp;$D$37&amp;"'!Duurzamewarmte_2045"),0)
+IFERROR(INDIRECT("'"&amp;$D$38&amp;"'!Duurzamewarmte_2045"),0)
+IFERROR(INDIRECT("'"&amp;$D$39&amp;"'!Duurzamewarmte_2045"),0)
+IFERROR(INDIRECT("'"&amp;$D$40&amp;"'!Duurzamewarmte_2045"),0)
+IFERROR(INDIRECT("'"&amp;$D$41&amp;"'!Duurzamewarmte_2045"),0)
+IFERROR(INDIRECT("'"&amp;$D$42&amp;"'!Duurzamewarmte_2045"),0)
+IFERROR(INDIRECT("'"&amp;$D$43&amp;"'!Duurzamewarmte_2045"),0)
+IFERROR(INDIRECT("'"&amp;$D$44&amp;"'!Duurzamewarmte_2045"),0)
+IFERROR(INDIRECT("'"&amp;$D$45&amp;"'!Duurzamewarmte_2045"),0)
+IFERROR(INDIRECT("'"&amp;$D$46&amp;"'!Duurzamewarmte_2045"),0)
+IFERROR(INDIRECT("'"&amp;$D$47&amp;"'!Duurzamewarmte_2045"),0)
+IFERROR(INDIRECT("'"&amp;$D$48&amp;"'!Duurzamewarmte_2045"),0)
+IFERROR(INDIRECT("'"&amp;$D$49&amp;"'!Duurzamewarmte_2045"),0)
+IFERROR(INDIRECT("'"&amp;$D$50&amp;"'!Duurzamewarmte_2045"),0)
+IFERROR(INDIRECT("'"&amp;$D$51&amp;"'!Duurzamewarmte_2045"),0)
+IFERROR(INDIRECT("'"&amp;$D$52&amp;"'!Duurzamewarmte_2045"),0)
+IFERROR(INDIRECT("'"&amp;$D$53&amp;"'!Duurzamewarmte_2045"),0)
+IFERROR(INDIRECT("'"&amp;$D$54&amp;"'!Duurzamewarmte_2045"),0)</f>
        <v>0</v>
      </c>
      <c r="AJ41" s="321">
        <f ca="1">+IFERROR(INDIRECT("'"&amp;$D$5&amp;"'!Duurzamewarmte_2046"),0)
+IFERROR(INDIRECT("'"&amp;$D$6&amp;"'!Duurzamewarmte_2046"),0)
+IFERROR(INDIRECT("'"&amp;$D$7&amp;"'!Duurzamewarmte_2046"),0)
+IFERROR(INDIRECT("'"&amp;$D$8&amp;"'!Duurzamewarmte_2046"),0)
+IFERROR(INDIRECT("'"&amp;$D$9&amp;"'!Duurzamewarmte_2046"),0)
+IFERROR(INDIRECT("'"&amp;$D$10&amp;"'!Duurzamewarmte_2046"),0)
+IFERROR(INDIRECT("'"&amp;$D$11&amp;"'!Duurzamewarmte_2046"),0)
+IFERROR(INDIRECT("'"&amp;$D$12&amp;"'!Duurzamewarmte_2046"),0)
+IFERROR(INDIRECT("'"&amp;$D$13&amp;"'!Duurzamewarmte_2046"),0)
+IFERROR(INDIRECT("'"&amp;$D$14&amp;"'!Duurzamewarmte_2046"),0)
+IFERROR(INDIRECT("'"&amp;$D$15&amp;"'!Duurzamewarmte_2046"),0)
+IFERROR(INDIRECT("'"&amp;$D$16&amp;"'!Duurzamewarmte_2046"),0)
+IFERROR(INDIRECT("'"&amp;$D$17&amp;"'!Duurzamewarmte_2046"),0)
+IFERROR(INDIRECT("'"&amp;$D$18&amp;"'!Duurzamewarmte_2046"),0)
+IFERROR(INDIRECT("'"&amp;$D$19&amp;"'!Duurzamewarmte_2046"),0)
+IFERROR(INDIRECT("'"&amp;$D$20&amp;"'!Duurzamewarmte_2046"),0)
+IFERROR(INDIRECT("'"&amp;$D$21&amp;"'!Duurzamewarmte_2046"),0)
+IFERROR(INDIRECT("'"&amp;$D$22&amp;"'!Duurzamewarmte_2046"),0)
+IFERROR(INDIRECT("'"&amp;$D$23&amp;"'!Duurzamewarmte_2046"),0)
+IFERROR(INDIRECT("'"&amp;$D$24&amp;"'!Duurzamewarmte_2046"),0)
+IFERROR(INDIRECT("'"&amp;$D$25&amp;"'!Duurzamewarmte_2046"),0)
+IFERROR(INDIRECT("'"&amp;$D$26&amp;"'!Duurzamewarmte_2046"),0)
+IFERROR(INDIRECT("'"&amp;$D$27&amp;"'!Duurzamewarmte_2046"),0)
+IFERROR(INDIRECT("'"&amp;$D$28&amp;"'!Duurzamewarmte_2046"),0)
+IFERROR(INDIRECT("'"&amp;$D$29&amp;"'!Duurzamewarmte_2046"),0)
+IFERROR(INDIRECT("'"&amp;$D$30&amp;"'!Duurzamewarmte_2046"),0)
+IFERROR(INDIRECT("'"&amp;$D$31&amp;"'!Duurzamewarmte_2046"),0)
+IFERROR(INDIRECT("'"&amp;$D$32&amp;"'!Duurzamewarmte_2046"),0)
+IFERROR(INDIRECT("'"&amp;$D$33&amp;"'!Duurzamewarmte_2046"),0)
+IFERROR(INDIRECT("'"&amp;$D$34&amp;"'!Duurzamewarmte_2046"),0)
+IFERROR(INDIRECT("'"&amp;$D$35&amp;"'!Duurzamewarmte_2046"),0)
+IFERROR(INDIRECT("'"&amp;$D$36&amp;"'!Duurzamewarmte_2046"),0)
+IFERROR(INDIRECT("'"&amp;$D$37&amp;"'!Duurzamewarmte_2046"),0)
+IFERROR(INDIRECT("'"&amp;$D$38&amp;"'!Duurzamewarmte_2046"),0)
+IFERROR(INDIRECT("'"&amp;$D$39&amp;"'!Duurzamewarmte_2046"),0)
+IFERROR(INDIRECT("'"&amp;$D$40&amp;"'!Duurzamewarmte_2046"),0)
+IFERROR(INDIRECT("'"&amp;$D$41&amp;"'!Duurzamewarmte_2046"),0)
+IFERROR(INDIRECT("'"&amp;$D$42&amp;"'!Duurzamewarmte_2046"),0)
+IFERROR(INDIRECT("'"&amp;$D$43&amp;"'!Duurzamewarmte_2046"),0)
+IFERROR(INDIRECT("'"&amp;$D$44&amp;"'!Duurzamewarmte_2046"),0)
+IFERROR(INDIRECT("'"&amp;$D$45&amp;"'!Duurzamewarmte_2046"),0)
+IFERROR(INDIRECT("'"&amp;$D$46&amp;"'!Duurzamewarmte_2046"),0)
+IFERROR(INDIRECT("'"&amp;$D$47&amp;"'!Duurzamewarmte_2046"),0)
+IFERROR(INDIRECT("'"&amp;$D$48&amp;"'!Duurzamewarmte_2046"),0)
+IFERROR(INDIRECT("'"&amp;$D$49&amp;"'!Duurzamewarmte_2046"),0)
+IFERROR(INDIRECT("'"&amp;$D$50&amp;"'!Duurzamewarmte_2046"),0)
+IFERROR(INDIRECT("'"&amp;$D$51&amp;"'!Duurzamewarmte_2046"),0)
+IFERROR(INDIRECT("'"&amp;$D$52&amp;"'!Duurzamewarmte_2046"),0)
+IFERROR(INDIRECT("'"&amp;$D$53&amp;"'!Duurzamewarmte_2046"),0)
+IFERROR(INDIRECT("'"&amp;$D$54&amp;"'!Duurzamewarmte_2046"),0)</f>
        <v>0</v>
      </c>
      <c r="AK41" s="321">
        <f ca="1">+IFERROR(INDIRECT("'"&amp;$D$5&amp;"'!Duurzamewarmte_2047"),0)
+IFERROR(INDIRECT("'"&amp;$D$6&amp;"'!Duurzamewarmte_2047"),0)
+IFERROR(INDIRECT("'"&amp;$D$7&amp;"'!Duurzamewarmte_2047"),0)
+IFERROR(INDIRECT("'"&amp;$D$8&amp;"'!Duurzamewarmte_2047"),0)
+IFERROR(INDIRECT("'"&amp;$D$9&amp;"'!Duurzamewarmte_2047"),0)
+IFERROR(INDIRECT("'"&amp;$D$10&amp;"'!Duurzamewarmte_2047"),0)
+IFERROR(INDIRECT("'"&amp;$D$11&amp;"'!Duurzamewarmte_2047"),0)
+IFERROR(INDIRECT("'"&amp;$D$12&amp;"'!Duurzamewarmte_2047"),0)
+IFERROR(INDIRECT("'"&amp;$D$13&amp;"'!Duurzamewarmte_2047"),0)
+IFERROR(INDIRECT("'"&amp;$D$14&amp;"'!Duurzamewarmte_2047"),0)
+IFERROR(INDIRECT("'"&amp;$D$15&amp;"'!Duurzamewarmte_2047"),0)
+IFERROR(INDIRECT("'"&amp;$D$16&amp;"'!Duurzamewarmte_2047"),0)
+IFERROR(INDIRECT("'"&amp;$D$17&amp;"'!Duurzamewarmte_2047"),0)
+IFERROR(INDIRECT("'"&amp;$D$18&amp;"'!Duurzamewarmte_2047"),0)
+IFERROR(INDIRECT("'"&amp;$D$19&amp;"'!Duurzamewarmte_2047"),0)
+IFERROR(INDIRECT("'"&amp;$D$20&amp;"'!Duurzamewarmte_2047"),0)
+IFERROR(INDIRECT("'"&amp;$D$21&amp;"'!Duurzamewarmte_2047"),0)
+IFERROR(INDIRECT("'"&amp;$D$22&amp;"'!Duurzamewarmte_2047"),0)
+IFERROR(INDIRECT("'"&amp;$D$23&amp;"'!Duurzamewarmte_2047"),0)
+IFERROR(INDIRECT("'"&amp;$D$24&amp;"'!Duurzamewarmte_2047"),0)
+IFERROR(INDIRECT("'"&amp;$D$25&amp;"'!Duurzamewarmte_2047"),0)
+IFERROR(INDIRECT("'"&amp;$D$26&amp;"'!Duurzamewarmte_2047"),0)
+IFERROR(INDIRECT("'"&amp;$D$27&amp;"'!Duurzamewarmte_2047"),0)
+IFERROR(INDIRECT("'"&amp;$D$28&amp;"'!Duurzamewarmte_2047"),0)
+IFERROR(INDIRECT("'"&amp;$D$29&amp;"'!Duurzamewarmte_2047"),0)
+IFERROR(INDIRECT("'"&amp;$D$30&amp;"'!Duurzamewarmte_2047"),0)
+IFERROR(INDIRECT("'"&amp;$D$31&amp;"'!Duurzamewarmte_2047"),0)
+IFERROR(INDIRECT("'"&amp;$D$32&amp;"'!Duurzamewarmte_2047"),0)
+IFERROR(INDIRECT("'"&amp;$D$33&amp;"'!Duurzamewarmte_2047"),0)
+IFERROR(INDIRECT("'"&amp;$D$34&amp;"'!Duurzamewarmte_2047"),0)
+IFERROR(INDIRECT("'"&amp;$D$35&amp;"'!Duurzamewarmte_2047"),0)
+IFERROR(INDIRECT("'"&amp;$D$36&amp;"'!Duurzamewarmte_2047"),0)
+IFERROR(INDIRECT("'"&amp;$D$37&amp;"'!Duurzamewarmte_2047"),0)
+IFERROR(INDIRECT("'"&amp;$D$38&amp;"'!Duurzamewarmte_2047"),0)
+IFERROR(INDIRECT("'"&amp;$D$39&amp;"'!Duurzamewarmte_2047"),0)
+IFERROR(INDIRECT("'"&amp;$D$40&amp;"'!Duurzamewarmte_2047"),0)
+IFERROR(INDIRECT("'"&amp;$D$41&amp;"'!Duurzamewarmte_2047"),0)
+IFERROR(INDIRECT("'"&amp;$D$42&amp;"'!Duurzamewarmte_2047"),0)
+IFERROR(INDIRECT("'"&amp;$D$43&amp;"'!Duurzamewarmte_2047"),0)
+IFERROR(INDIRECT("'"&amp;$D$44&amp;"'!Duurzamewarmte_2047"),0)
+IFERROR(INDIRECT("'"&amp;$D$45&amp;"'!Duurzamewarmte_2047"),0)
+IFERROR(INDIRECT("'"&amp;$D$46&amp;"'!Duurzamewarmte_2047"),0)
+IFERROR(INDIRECT("'"&amp;$D$47&amp;"'!Duurzamewarmte_2047"),0)
+IFERROR(INDIRECT("'"&amp;$D$48&amp;"'!Duurzamewarmte_2047"),0)
+IFERROR(INDIRECT("'"&amp;$D$49&amp;"'!Duurzamewarmte_2047"),0)
+IFERROR(INDIRECT("'"&amp;$D$50&amp;"'!Duurzamewarmte_2047"),0)
+IFERROR(INDIRECT("'"&amp;$D$51&amp;"'!Duurzamewarmte_2047"),0)
+IFERROR(INDIRECT("'"&amp;$D$52&amp;"'!Duurzamewarmte_2047"),0)
+IFERROR(INDIRECT("'"&amp;$D$53&amp;"'!Duurzamewarmte_2047"),0)
+IFERROR(INDIRECT("'"&amp;$D$54&amp;"'!Duurzamewarmte_2047"),0)</f>
        <v>0</v>
      </c>
      <c r="AL41" s="321">
        <f ca="1">+IFERROR(INDIRECT("'"&amp;$D$5&amp;"'!Duurzamewarmte_2048"),0)
+IFERROR(INDIRECT("'"&amp;$D$6&amp;"'!Duurzamewarmte_2048"),0)
+IFERROR(INDIRECT("'"&amp;$D$7&amp;"'!Duurzamewarmte_2048"),0)
+IFERROR(INDIRECT("'"&amp;$D$8&amp;"'!Duurzamewarmte_2048"),0)
+IFERROR(INDIRECT("'"&amp;$D$9&amp;"'!Duurzamewarmte_2048"),0)
+IFERROR(INDIRECT("'"&amp;$D$10&amp;"'!Duurzamewarmte_2048"),0)
+IFERROR(INDIRECT("'"&amp;$D$11&amp;"'!Duurzamewarmte_2048"),0)
+IFERROR(INDIRECT("'"&amp;$D$12&amp;"'!Duurzamewarmte_2048"),0)
+IFERROR(INDIRECT("'"&amp;$D$13&amp;"'!Duurzamewarmte_2048"),0)
+IFERROR(INDIRECT("'"&amp;$D$14&amp;"'!Duurzamewarmte_2048"),0)
+IFERROR(INDIRECT("'"&amp;$D$15&amp;"'!Duurzamewarmte_2048"),0)
+IFERROR(INDIRECT("'"&amp;$D$16&amp;"'!Duurzamewarmte_2048"),0)
+IFERROR(INDIRECT("'"&amp;$D$17&amp;"'!Duurzamewarmte_2048"),0)
+IFERROR(INDIRECT("'"&amp;$D$18&amp;"'!Duurzamewarmte_2048"),0)
+IFERROR(INDIRECT("'"&amp;$D$19&amp;"'!Duurzamewarmte_2048"),0)
+IFERROR(INDIRECT("'"&amp;$D$20&amp;"'!Duurzamewarmte_2048"),0)
+IFERROR(INDIRECT("'"&amp;$D$21&amp;"'!Duurzamewarmte_2048"),0)
+IFERROR(INDIRECT("'"&amp;$D$22&amp;"'!Duurzamewarmte_2048"),0)
+IFERROR(INDIRECT("'"&amp;$D$23&amp;"'!Duurzamewarmte_2048"),0)
+IFERROR(INDIRECT("'"&amp;$D$24&amp;"'!Duurzamewarmte_2048"),0)
+IFERROR(INDIRECT("'"&amp;$D$25&amp;"'!Duurzamewarmte_2048"),0)
+IFERROR(INDIRECT("'"&amp;$D$26&amp;"'!Duurzamewarmte_2048"),0)
+IFERROR(INDIRECT("'"&amp;$D$27&amp;"'!Duurzamewarmte_2048"),0)
+IFERROR(INDIRECT("'"&amp;$D$28&amp;"'!Duurzamewarmte_2048"),0)
+IFERROR(INDIRECT("'"&amp;$D$29&amp;"'!Duurzamewarmte_2048"),0)
+IFERROR(INDIRECT("'"&amp;$D$30&amp;"'!Duurzamewarmte_2048"),0)
+IFERROR(INDIRECT("'"&amp;$D$31&amp;"'!Duurzamewarmte_2048"),0)
+IFERROR(INDIRECT("'"&amp;$D$32&amp;"'!Duurzamewarmte_2048"),0)
+IFERROR(INDIRECT("'"&amp;$D$33&amp;"'!Duurzamewarmte_2048"),0)
+IFERROR(INDIRECT("'"&amp;$D$34&amp;"'!Duurzamewarmte_2048"),0)
+IFERROR(INDIRECT("'"&amp;$D$35&amp;"'!Duurzamewarmte_2048"),0)
+IFERROR(INDIRECT("'"&amp;$D$36&amp;"'!Duurzamewarmte_2048"),0)
+IFERROR(INDIRECT("'"&amp;$D$37&amp;"'!Duurzamewarmte_2048"),0)
+IFERROR(INDIRECT("'"&amp;$D$38&amp;"'!Duurzamewarmte_2048"),0)
+IFERROR(INDIRECT("'"&amp;$D$39&amp;"'!Duurzamewarmte_2048"),0)
+IFERROR(INDIRECT("'"&amp;$D$40&amp;"'!Duurzamewarmte_2048"),0)
+IFERROR(INDIRECT("'"&amp;$D$41&amp;"'!Duurzamewarmte_2048"),0)
+IFERROR(INDIRECT("'"&amp;$D$42&amp;"'!Duurzamewarmte_2048"),0)
+IFERROR(INDIRECT("'"&amp;$D$43&amp;"'!Duurzamewarmte_2048"),0)
+IFERROR(INDIRECT("'"&amp;$D$44&amp;"'!Duurzamewarmte_2048"),0)
+IFERROR(INDIRECT("'"&amp;$D$45&amp;"'!Duurzamewarmte_2048"),0)
+IFERROR(INDIRECT("'"&amp;$D$46&amp;"'!Duurzamewarmte_2048"),0)
+IFERROR(INDIRECT("'"&amp;$D$47&amp;"'!Duurzamewarmte_2048"),0)
+IFERROR(INDIRECT("'"&amp;$D$48&amp;"'!Duurzamewarmte_2048"),0)
+IFERROR(INDIRECT("'"&amp;$D$49&amp;"'!Duurzamewarmte_2048"),0)
+IFERROR(INDIRECT("'"&amp;$D$50&amp;"'!Duurzamewarmte_2048"),0)
+IFERROR(INDIRECT("'"&amp;$D$51&amp;"'!Duurzamewarmte_2048"),0)
+IFERROR(INDIRECT("'"&amp;$D$52&amp;"'!Duurzamewarmte_2048"),0)
+IFERROR(INDIRECT("'"&amp;$D$53&amp;"'!Duurzamewarmte_2048"),0)
+IFERROR(INDIRECT("'"&amp;$D$54&amp;"'!Duurzamewarmte_2048"),0)</f>
        <v>0</v>
      </c>
      <c r="AM41" s="321">
        <f ca="1">+IFERROR(INDIRECT("'"&amp;$D$5&amp;"'!Duurzamewarmte_2049"),0)
+IFERROR(INDIRECT("'"&amp;$D$6&amp;"'!Duurzamewarmte_2049"),0)
+IFERROR(INDIRECT("'"&amp;$D$7&amp;"'!Duurzamewarmte_2049"),0)
+IFERROR(INDIRECT("'"&amp;$D$8&amp;"'!Duurzamewarmte_2049"),0)
+IFERROR(INDIRECT("'"&amp;$D$9&amp;"'!Duurzamewarmte_2049"),0)
+IFERROR(INDIRECT("'"&amp;$D$10&amp;"'!Duurzamewarmte_2049"),0)
+IFERROR(INDIRECT("'"&amp;$D$11&amp;"'!Duurzamewarmte_2049"),0)
+IFERROR(INDIRECT("'"&amp;$D$12&amp;"'!Duurzamewarmte_2049"),0)
+IFERROR(INDIRECT("'"&amp;$D$13&amp;"'!Duurzamewarmte_2049"),0)
+IFERROR(INDIRECT("'"&amp;$D$14&amp;"'!Duurzamewarmte_2049"),0)
+IFERROR(INDIRECT("'"&amp;$D$15&amp;"'!Duurzamewarmte_2049"),0)
+IFERROR(INDIRECT("'"&amp;$D$16&amp;"'!Duurzamewarmte_2049"),0)
+IFERROR(INDIRECT("'"&amp;$D$17&amp;"'!Duurzamewarmte_2049"),0)
+IFERROR(INDIRECT("'"&amp;$D$18&amp;"'!Duurzamewarmte_2049"),0)
+IFERROR(INDIRECT("'"&amp;$D$19&amp;"'!Duurzamewarmte_2049"),0)
+IFERROR(INDIRECT("'"&amp;$D$20&amp;"'!Duurzamewarmte_2049"),0)
+IFERROR(INDIRECT("'"&amp;$D$21&amp;"'!Duurzamewarmte_2049"),0)
+IFERROR(INDIRECT("'"&amp;$D$22&amp;"'!Duurzamewarmte_2049"),0)
+IFERROR(INDIRECT("'"&amp;$D$23&amp;"'!Duurzamewarmte_2049"),0)
+IFERROR(INDIRECT("'"&amp;$D$24&amp;"'!Duurzamewarmte_2049"),0)
+IFERROR(INDIRECT("'"&amp;$D$25&amp;"'!Duurzamewarmte_2049"),0)
+IFERROR(INDIRECT("'"&amp;$D$26&amp;"'!Duurzamewarmte_2049"),0)
+IFERROR(INDIRECT("'"&amp;$D$27&amp;"'!Duurzamewarmte_2049"),0)
+IFERROR(INDIRECT("'"&amp;$D$28&amp;"'!Duurzamewarmte_2049"),0)
+IFERROR(INDIRECT("'"&amp;$D$29&amp;"'!Duurzamewarmte_2049"),0)
+IFERROR(INDIRECT("'"&amp;$D$30&amp;"'!Duurzamewarmte_2049"),0)
+IFERROR(INDIRECT("'"&amp;$D$31&amp;"'!Duurzamewarmte_2049"),0)
+IFERROR(INDIRECT("'"&amp;$D$32&amp;"'!Duurzamewarmte_2049"),0)
+IFERROR(INDIRECT("'"&amp;$D$33&amp;"'!Duurzamewarmte_2049"),0)
+IFERROR(INDIRECT("'"&amp;$D$34&amp;"'!Duurzamewarmte_2049"),0)
+IFERROR(INDIRECT("'"&amp;$D$35&amp;"'!Duurzamewarmte_2049"),0)
+IFERROR(INDIRECT("'"&amp;$D$36&amp;"'!Duurzamewarmte_2049"),0)
+IFERROR(INDIRECT("'"&amp;$D$37&amp;"'!Duurzamewarmte_2049"),0)
+IFERROR(INDIRECT("'"&amp;$D$38&amp;"'!Duurzamewarmte_2049"),0)
+IFERROR(INDIRECT("'"&amp;$D$39&amp;"'!Duurzamewarmte_2049"),0)
+IFERROR(INDIRECT("'"&amp;$D$40&amp;"'!Duurzamewarmte_2049"),0)
+IFERROR(INDIRECT("'"&amp;$D$41&amp;"'!Duurzamewarmte_2049"),0)
+IFERROR(INDIRECT("'"&amp;$D$42&amp;"'!Duurzamewarmte_2049"),0)
+IFERROR(INDIRECT("'"&amp;$D$43&amp;"'!Duurzamewarmte_2049"),0)
+IFERROR(INDIRECT("'"&amp;$D$44&amp;"'!Duurzamewarmte_2049"),0)
+IFERROR(INDIRECT("'"&amp;$D$45&amp;"'!Duurzamewarmte_2049"),0)
+IFERROR(INDIRECT("'"&amp;$D$46&amp;"'!Duurzamewarmte_2049"),0)
+IFERROR(INDIRECT("'"&amp;$D$47&amp;"'!Duurzamewarmte_2049"),0)
+IFERROR(INDIRECT("'"&amp;$D$48&amp;"'!Duurzamewarmte_2049"),0)
+IFERROR(INDIRECT("'"&amp;$D$49&amp;"'!Duurzamewarmte_2049"),0)
+IFERROR(INDIRECT("'"&amp;$D$50&amp;"'!Duurzamewarmte_2049"),0)
+IFERROR(INDIRECT("'"&amp;$D$51&amp;"'!Duurzamewarmte_2049"),0)
+IFERROR(INDIRECT("'"&amp;$D$52&amp;"'!Duurzamewarmte_2049"),0)
+IFERROR(INDIRECT("'"&amp;$D$53&amp;"'!Duurzamewarmte_2049"),0)
+IFERROR(INDIRECT("'"&amp;$D$54&amp;"'!Duurzamewarmte_2049"),0)</f>
        <v>0</v>
      </c>
      <c r="AN41" s="321">
        <f ca="1">+IFERROR(INDIRECT("'"&amp;$D$5&amp;"'!Duurzamewarmte_2050"),0)
+IFERROR(INDIRECT("'"&amp;$D$6&amp;"'!Duurzamewarmte_2050"),0)
+IFERROR(INDIRECT("'"&amp;$D$7&amp;"'!Duurzamewarmte_2050"),0)
+IFERROR(INDIRECT("'"&amp;$D$8&amp;"'!Duurzamewarmte_2050"),0)
+IFERROR(INDIRECT("'"&amp;$D$9&amp;"'!Duurzamewarmte_2050"),0)
+IFERROR(INDIRECT("'"&amp;$D$10&amp;"'!Duurzamewarmte_2050"),0)
+IFERROR(INDIRECT("'"&amp;$D$11&amp;"'!Duurzamewarmte_2050"),0)
+IFERROR(INDIRECT("'"&amp;$D$12&amp;"'!Duurzamewarmte_2050"),0)
+IFERROR(INDIRECT("'"&amp;$D$13&amp;"'!Duurzamewarmte_2050"),0)
+IFERROR(INDIRECT("'"&amp;$D$14&amp;"'!Duurzamewarmte_2050"),0)
+IFERROR(INDIRECT("'"&amp;$D$15&amp;"'!Duurzamewarmte_2050"),0)
+IFERROR(INDIRECT("'"&amp;$D$16&amp;"'!Duurzamewarmte_2050"),0)
+IFERROR(INDIRECT("'"&amp;$D$17&amp;"'!Duurzamewarmte_2050"),0)
+IFERROR(INDIRECT("'"&amp;$D$18&amp;"'!Duurzamewarmte_2050"),0)
+IFERROR(INDIRECT("'"&amp;$D$19&amp;"'!Duurzamewarmte_2050"),0)
+IFERROR(INDIRECT("'"&amp;$D$20&amp;"'!Duurzamewarmte_2050"),0)
+IFERROR(INDIRECT("'"&amp;$D$21&amp;"'!Duurzamewarmte_2050"),0)
+IFERROR(INDIRECT("'"&amp;$D$22&amp;"'!Duurzamewarmte_2050"),0)
+IFERROR(INDIRECT("'"&amp;$D$23&amp;"'!Duurzamewarmte_2050"),0)
+IFERROR(INDIRECT("'"&amp;$D$24&amp;"'!Duurzamewarmte_2050"),0)
+IFERROR(INDIRECT("'"&amp;$D$25&amp;"'!Duurzamewarmte_2050"),0)
+IFERROR(INDIRECT("'"&amp;$D$26&amp;"'!Duurzamewarmte_2050"),0)
+IFERROR(INDIRECT("'"&amp;$D$27&amp;"'!Duurzamewarmte_2050"),0)
+IFERROR(INDIRECT("'"&amp;$D$28&amp;"'!Duurzamewarmte_2050"),0)
+IFERROR(INDIRECT("'"&amp;$D$29&amp;"'!Duurzamewarmte_2050"),0)
+IFERROR(INDIRECT("'"&amp;$D$30&amp;"'!Duurzamewarmte_2050"),0)
+IFERROR(INDIRECT("'"&amp;$D$31&amp;"'!Duurzamewarmte_2050"),0)
+IFERROR(INDIRECT("'"&amp;$D$32&amp;"'!Duurzamewarmte_2050"),0)
+IFERROR(INDIRECT("'"&amp;$D$33&amp;"'!Duurzamewarmte_2050"),0)
+IFERROR(INDIRECT("'"&amp;$D$34&amp;"'!Duurzamewarmte_2050"),0)
+IFERROR(INDIRECT("'"&amp;$D$35&amp;"'!Duurzamewarmte_2050"),0)
+IFERROR(INDIRECT("'"&amp;$D$36&amp;"'!Duurzamewarmte_2050"),0)
+IFERROR(INDIRECT("'"&amp;$D$37&amp;"'!Duurzamewarmte_2050"),0)
+IFERROR(INDIRECT("'"&amp;$D$38&amp;"'!Duurzamewarmte_2050"),0)
+IFERROR(INDIRECT("'"&amp;$D$39&amp;"'!Duurzamewarmte_2050"),0)
+IFERROR(INDIRECT("'"&amp;$D$40&amp;"'!Duurzamewarmte_2050"),0)
+IFERROR(INDIRECT("'"&amp;$D$41&amp;"'!Duurzamewarmte_2050"),0)
+IFERROR(INDIRECT("'"&amp;$D$42&amp;"'!Duurzamewarmte_2050"),0)
+IFERROR(INDIRECT("'"&amp;$D$43&amp;"'!Duurzamewarmte_2050"),0)
+IFERROR(INDIRECT("'"&amp;$D$44&amp;"'!Duurzamewarmte_2050"),0)
+IFERROR(INDIRECT("'"&amp;$D$45&amp;"'!Duurzamewarmte_2050"),0)
+IFERROR(INDIRECT("'"&amp;$D$46&amp;"'!Duurzamewarmte_2050"),0)
+IFERROR(INDIRECT("'"&amp;$D$47&amp;"'!Duurzamewarmte_2050"),0)
+IFERROR(INDIRECT("'"&amp;$D$48&amp;"'!Duurzamewarmte_2050"),0)
+IFERROR(INDIRECT("'"&amp;$D$49&amp;"'!Duurzamewarmte_2050"),0)
+IFERROR(INDIRECT("'"&amp;$D$50&amp;"'!Duurzamewarmte_2050"),0)
+IFERROR(INDIRECT("'"&amp;$D$51&amp;"'!Duurzamewarmte_2050"),0)
+IFERROR(INDIRECT("'"&amp;$D$52&amp;"'!Duurzamewarmte_2050"),0)
+IFERROR(INDIRECT("'"&amp;$D$53&amp;"'!Duurzamewarmte_2050"),0)
+IFERROR(INDIRECT("'"&amp;$D$54&amp;"'!Duurzamewarmte_2050"),0)</f>
        <v>0</v>
      </c>
      <c r="AO41" s="8"/>
    </row>
    <row r="42" spans="2:41" ht="18.75">
      <c r="B42" s="8"/>
      <c r="C42" s="279" t="s">
        <v>79</v>
      </c>
      <c r="D42" s="115"/>
      <c r="E42" s="8"/>
      <c r="F42" s="8"/>
      <c r="G42" s="302" t="s">
        <v>743</v>
      </c>
      <c r="H42" s="320">
        <f t="shared" ref="H42:AN42" ca="1" si="7">IF(H$23=0,0,H41/H$23)</f>
        <v>0</v>
      </c>
      <c r="I42" s="320">
        <f t="shared" ca="1" si="7"/>
        <v>0</v>
      </c>
      <c r="J42" s="320">
        <f t="shared" ca="1" si="7"/>
        <v>0</v>
      </c>
      <c r="K42" s="320">
        <f t="shared" ca="1" si="7"/>
        <v>0</v>
      </c>
      <c r="L42" s="320">
        <f t="shared" ca="1" si="7"/>
        <v>0</v>
      </c>
      <c r="M42" s="320">
        <f t="shared" ca="1" si="7"/>
        <v>0</v>
      </c>
      <c r="N42" s="320">
        <f t="shared" ca="1" si="7"/>
        <v>0</v>
      </c>
      <c r="O42" s="320">
        <f t="shared" ca="1" si="7"/>
        <v>0</v>
      </c>
      <c r="P42" s="320">
        <f t="shared" ca="1" si="7"/>
        <v>0</v>
      </c>
      <c r="Q42" s="320">
        <f t="shared" ca="1" si="7"/>
        <v>0</v>
      </c>
      <c r="R42" s="320">
        <f t="shared" ca="1" si="7"/>
        <v>3.2745118628518373E-2</v>
      </c>
      <c r="S42" s="320">
        <f t="shared" ca="1" si="7"/>
        <v>3.2745118628518373E-2</v>
      </c>
      <c r="T42" s="320">
        <f t="shared" ca="1" si="7"/>
        <v>3.2745118628518373E-2</v>
      </c>
      <c r="U42" s="320">
        <f t="shared" ca="1" si="7"/>
        <v>3.2745118628518373E-2</v>
      </c>
      <c r="V42" s="320">
        <f t="shared" ca="1" si="7"/>
        <v>3.2745178951712146E-2</v>
      </c>
      <c r="W42" s="320">
        <f t="shared" ca="1" si="7"/>
        <v>3.2745178951712146E-2</v>
      </c>
      <c r="X42" s="320">
        <f t="shared" ca="1" si="7"/>
        <v>3.2745178951712146E-2</v>
      </c>
      <c r="Y42" s="320">
        <f t="shared" ca="1" si="7"/>
        <v>3.2745178951712146E-2</v>
      </c>
      <c r="Z42" s="320">
        <f t="shared" ca="1" si="7"/>
        <v>3.2745178951712146E-2</v>
      </c>
      <c r="AA42" s="320">
        <f t="shared" ca="1" si="7"/>
        <v>3.2745178951712146E-2</v>
      </c>
      <c r="AB42" s="320">
        <f t="shared" ca="1" si="7"/>
        <v>3.2745178951712146E-2</v>
      </c>
      <c r="AC42" s="320">
        <f t="shared" ca="1" si="7"/>
        <v>3.2745178951712146E-2</v>
      </c>
      <c r="AD42" s="320">
        <f t="shared" ca="1" si="7"/>
        <v>0</v>
      </c>
      <c r="AE42" s="320">
        <f t="shared" ca="1" si="7"/>
        <v>0</v>
      </c>
      <c r="AF42" s="320">
        <f t="shared" ca="1" si="7"/>
        <v>0</v>
      </c>
      <c r="AG42" s="320">
        <f t="shared" ca="1" si="7"/>
        <v>0</v>
      </c>
      <c r="AH42" s="320">
        <f t="shared" ca="1" si="7"/>
        <v>0</v>
      </c>
      <c r="AI42" s="320">
        <f t="shared" ca="1" si="7"/>
        <v>0</v>
      </c>
      <c r="AJ42" s="320">
        <f t="shared" ca="1" si="7"/>
        <v>0</v>
      </c>
      <c r="AK42" s="320">
        <f t="shared" ca="1" si="7"/>
        <v>0</v>
      </c>
      <c r="AL42" s="320">
        <f t="shared" ca="1" si="7"/>
        <v>0</v>
      </c>
      <c r="AM42" s="320">
        <f t="shared" ca="1" si="7"/>
        <v>0</v>
      </c>
      <c r="AN42" s="320">
        <f t="shared" ca="1" si="7"/>
        <v>0</v>
      </c>
      <c r="AO42" s="8"/>
    </row>
    <row r="43" spans="2:41" ht="18.75">
      <c r="B43" s="8"/>
      <c r="C43" s="279" t="s">
        <v>80</v>
      </c>
      <c r="D43" s="115"/>
      <c r="E43" s="8"/>
      <c r="F43" s="8"/>
      <c r="G43" s="301" t="s">
        <v>686</v>
      </c>
      <c r="H43" s="321">
        <f ca="1">+IFERROR(INDIRECT("'"&amp;$D$5&amp;"'!Totaalverbruik_2018"),0)
+IFERROR(INDIRECT("'"&amp;$D$6&amp;"'!Totaalverbruik_2018"),0)
+IFERROR(INDIRECT("'"&amp;$D$7&amp;"'!Totaalverbruik_2018"),0)
+IFERROR(INDIRECT("'"&amp;$D$8&amp;"'!Totaalverbruik_2018"),0)
+IFERROR(INDIRECT("'"&amp;$D$9&amp;"'!Totaalverbruik_2018"),0)
+IFERROR(INDIRECT("'"&amp;$D$10&amp;"'!Totaalverbruik_2018"),0)
+IFERROR(INDIRECT("'"&amp;$D$11&amp;"'!Totaalverbruik_2018"),0)
+IFERROR(INDIRECT("'"&amp;$D$12&amp;"'!Totaalverbruik_2018"),0)
+IFERROR(INDIRECT("'"&amp;$D$13&amp;"'!Totaalverbruik_2018"),0)
+IFERROR(INDIRECT("'"&amp;$D$14&amp;"'!Totaalverbruik_2018"),0)
+IFERROR(INDIRECT("'"&amp;$D$15&amp;"'!Totaalverbruik_2018"),0)
+IFERROR(INDIRECT("'"&amp;$D$16&amp;"'!Totaalverbruik_2018"),0)
+IFERROR(INDIRECT("'"&amp;$D$17&amp;"'!Totaalverbruik_2018"),0)
+IFERROR(INDIRECT("'"&amp;$D$18&amp;"'!Totaalverbruik_2018"),0)
+IFERROR(INDIRECT("'"&amp;$D$19&amp;"'!Totaalverbruik_2018"),0)
+IFERROR(INDIRECT("'"&amp;$D$20&amp;"'!Totaalverbruik_2018"),0)
+IFERROR(INDIRECT("'"&amp;$D$21&amp;"'!Totaalverbruik_2018"),0)
+IFERROR(INDIRECT("'"&amp;$D$22&amp;"'!Totaalverbruik_2018"),0)
+IFERROR(INDIRECT("'"&amp;$D$23&amp;"'!Totaalverbruik_2018"),0)
+IFERROR(INDIRECT("'"&amp;$D$24&amp;"'!Totaalverbruik_2018"),0)
+IFERROR(INDIRECT("'"&amp;$D$25&amp;"'!Totaalverbruik_2018"),0)
+IFERROR(INDIRECT("'"&amp;$D$26&amp;"'!Totaalverbruik_2018"),0)
+IFERROR(INDIRECT("'"&amp;$D$27&amp;"'!Totaalverbruik_2018"),0)
+IFERROR(INDIRECT("'"&amp;$D$28&amp;"'!Totaalverbruik_2018"),0)
+IFERROR(INDIRECT("'"&amp;$D$29&amp;"'!Totaalverbruik_2018"),0)
+IFERROR(INDIRECT("'"&amp;$D$30&amp;"'!Totaalverbruik_2018"),0)
+IFERROR(INDIRECT("'"&amp;$D$31&amp;"'!Totaalverbruik_2018"),0)
+IFERROR(INDIRECT("'"&amp;$D$32&amp;"'!Totaalverbruik_2018"),0)
+IFERROR(INDIRECT("'"&amp;$D$33&amp;"'!Totaalverbruik_2018"),0)
+IFERROR(INDIRECT("'"&amp;$D$34&amp;"'!Totaalverbruik_2018"),0)
+IFERROR(INDIRECT("'"&amp;$D$35&amp;"'!Totaalverbruik_2018"),0)
+IFERROR(INDIRECT("'"&amp;$D$36&amp;"'!Totaalverbruik_2018"),0)
+IFERROR(INDIRECT("'"&amp;$D$37&amp;"'!Totaalverbruik_2018"),0)
+IFERROR(INDIRECT("'"&amp;$D$38&amp;"'!Totaalverbruik_2018"),0)
+IFERROR(INDIRECT("'"&amp;$D$39&amp;"'!Totaalverbruik_2018"),0)
+IFERROR(INDIRECT("'"&amp;$D$40&amp;"'!Totaalverbruik_2018"),0)
+IFERROR(INDIRECT("'"&amp;$D$41&amp;"'!Totaalverbruik_2018"),0)
+IFERROR(INDIRECT("'"&amp;$D$42&amp;"'!Totaalverbruik_2018"),0)
+IFERROR(INDIRECT("'"&amp;$D$43&amp;"'!Totaalverbruik_2018"),0)
+IFERROR(INDIRECT("'"&amp;$D$44&amp;"'!Totaalverbruik_2018"),0)
+IFERROR(INDIRECT("'"&amp;$D$45&amp;"'!Totaalverbruik_2018"),0)
+IFERROR(INDIRECT("'"&amp;$D$46&amp;"'!Totaalverbruik_2018"),0)
+IFERROR(INDIRECT("'"&amp;$D$47&amp;"'!Totaalverbruik_2018"),0)
+IFERROR(INDIRECT("'"&amp;$D$48&amp;"'!Totaalverbruik_2018"),0)
+IFERROR(INDIRECT("'"&amp;$D$49&amp;"'!Totaalverbruik_2018"),0)
+IFERROR(INDIRECT("'"&amp;$D$50&amp;"'!Totaalverbruik_2018"),0)
+IFERROR(INDIRECT("'"&amp;$D$51&amp;"'!Totaalverbruik_2018"),0)
+IFERROR(INDIRECT("'"&amp;$D$52&amp;"'!Totaalverbruik_2018"),0)
+IFERROR(INDIRECT("'"&amp;$D$53&amp;"'!Totaalverbruik_2018"),0)
+IFERROR(INDIRECT("'"&amp;$D$54&amp;"'!Totaalverbruik_2018"),0)
+Nieuwbouw!E51</f>
        <v>3305897.6840000004</v>
      </c>
      <c r="I43" s="321">
        <f ca="1">+IFERROR(INDIRECT("'"&amp;$D$5&amp;"'!Totaalverbruik_2019"),0)
+IFERROR(INDIRECT("'"&amp;$D$6&amp;"'!Totaalverbruik_2019"),0)
+IFERROR(INDIRECT("'"&amp;$D$7&amp;"'!Totaalverbruik_2019"),0)
+IFERROR(INDIRECT("'"&amp;$D$8&amp;"'!Totaalverbruik_2019"),0)
+IFERROR(INDIRECT("'"&amp;$D$9&amp;"'!Totaalverbruik_2019"),0)
+IFERROR(INDIRECT("'"&amp;$D$10&amp;"'!Totaalverbruik_2019"),0)
+IFERROR(INDIRECT("'"&amp;$D$11&amp;"'!Totaalverbruik_2019"),0)
+IFERROR(INDIRECT("'"&amp;$D$12&amp;"'!Totaalverbruik_2019"),0)
+IFERROR(INDIRECT("'"&amp;$D$13&amp;"'!Totaalverbruik_2019"),0)
+IFERROR(INDIRECT("'"&amp;$D$14&amp;"'!Totaalverbruik_2019"),0)
+IFERROR(INDIRECT("'"&amp;$D$15&amp;"'!Totaalverbruik_2019"),0)
+IFERROR(INDIRECT("'"&amp;$D$16&amp;"'!Totaalverbruik_2019"),0)
+IFERROR(INDIRECT("'"&amp;$D$17&amp;"'!Totaalverbruik_2019"),0)
+IFERROR(INDIRECT("'"&amp;$D$18&amp;"'!Totaalverbruik_2019"),0)
+IFERROR(INDIRECT("'"&amp;$D$19&amp;"'!Totaalverbruik_2019"),0)
+IFERROR(INDIRECT("'"&amp;$D$20&amp;"'!Totaalverbruik_2019"),0)
+IFERROR(INDIRECT("'"&amp;$D$21&amp;"'!Totaalverbruik_2019"),0)
+IFERROR(INDIRECT("'"&amp;$D$22&amp;"'!Totaalverbruik_2019"),0)
+IFERROR(INDIRECT("'"&amp;$D$23&amp;"'!Totaalverbruik_2019"),0)
+IFERROR(INDIRECT("'"&amp;$D$24&amp;"'!Totaalverbruik_2019"),0)
+IFERROR(INDIRECT("'"&amp;$D$25&amp;"'!Totaalverbruik_2019"),0)
+IFERROR(INDIRECT("'"&amp;$D$26&amp;"'!Totaalverbruik_2019"),0)
+IFERROR(INDIRECT("'"&amp;$D$27&amp;"'!Totaalverbruik_2019"),0)
+IFERROR(INDIRECT("'"&amp;$D$28&amp;"'!Totaalverbruik_2019"),0)
+IFERROR(INDIRECT("'"&amp;$D$29&amp;"'!Totaalverbruik_2019"),0)
+IFERROR(INDIRECT("'"&amp;$D$30&amp;"'!Totaalverbruik_2019"),0)
+IFERROR(INDIRECT("'"&amp;$D$31&amp;"'!Totaalverbruik_2019"),0)
+IFERROR(INDIRECT("'"&amp;$D$32&amp;"'!Totaalverbruik_2019"),0)
+IFERROR(INDIRECT("'"&amp;$D$33&amp;"'!Totaalverbruik_2019"),0)
+IFERROR(INDIRECT("'"&amp;$D$34&amp;"'!Totaalverbruik_2019"),0)
+IFERROR(INDIRECT("'"&amp;$D$35&amp;"'!Totaalverbruik_2019"),0)
+IFERROR(INDIRECT("'"&amp;$D$36&amp;"'!Totaalverbruik_2019"),0)
+IFERROR(INDIRECT("'"&amp;$D$37&amp;"'!Totaalverbruik_2019"),0)
+IFERROR(INDIRECT("'"&amp;$D$38&amp;"'!Totaalverbruik_2019"),0)
+IFERROR(INDIRECT("'"&amp;$D$39&amp;"'!Totaalverbruik_2019"),0)
+IFERROR(INDIRECT("'"&amp;$D$40&amp;"'!Totaalverbruik_2019"),0)
+IFERROR(INDIRECT("'"&amp;$D$41&amp;"'!Totaalverbruik_2019"),0)
+IFERROR(INDIRECT("'"&amp;$D$42&amp;"'!Totaalverbruik_2019"),0)
+IFERROR(INDIRECT("'"&amp;$D$43&amp;"'!Totaalverbruik_2019"),0)
+IFERROR(INDIRECT("'"&amp;$D$44&amp;"'!Totaalverbruik_2019"),0)
+IFERROR(INDIRECT("'"&amp;$D$45&amp;"'!Totaalverbruik_2019"),0)
+IFERROR(INDIRECT("'"&amp;$D$46&amp;"'!Totaalverbruik_2019"),0)
+IFERROR(INDIRECT("'"&amp;$D$47&amp;"'!Totaalverbruik_2019"),0)
+IFERROR(INDIRECT("'"&amp;$D$48&amp;"'!Totaalverbruik_2019"),0)
+IFERROR(INDIRECT("'"&amp;$D$49&amp;"'!Totaalverbruik_2019"),0)
+IFERROR(INDIRECT("'"&amp;$D$50&amp;"'!Totaalverbruik_2019"),0)
+IFERROR(INDIRECT("'"&amp;$D$51&amp;"'!Totaalverbruik_2019"),0)
+IFERROR(INDIRECT("'"&amp;$D$52&amp;"'!Totaalverbruik_2019"),0)
+IFERROR(INDIRECT("'"&amp;$D$53&amp;"'!Totaalverbruik_2019"),0)
+IFERROR(INDIRECT("'"&amp;$D$54&amp;"'!Totaalverbruik_2019"),0)
+Nieuwbouw!F51</f>
        <v>3305975.5240000002</v>
      </c>
      <c r="J43" s="321">
        <f ca="1">+IFERROR(INDIRECT("'"&amp;$D$5&amp;"'!Totaalverbruik_2020"),0)
+IFERROR(INDIRECT("'"&amp;$D$6&amp;"'!Totaalverbruik_2020"),0)
+IFERROR(INDIRECT("'"&amp;$D$7&amp;"'!Totaalverbruik_2020"),0)
+IFERROR(INDIRECT("'"&amp;$D$8&amp;"'!Totaalverbruik_2020"),0)
+IFERROR(INDIRECT("'"&amp;$D$9&amp;"'!Totaalverbruik_2020"),0)
+IFERROR(INDIRECT("'"&amp;$D$10&amp;"'!Totaalverbruik_2020"),0)
+IFERROR(INDIRECT("'"&amp;$D$11&amp;"'!Totaalverbruik_2020"),0)
+IFERROR(INDIRECT("'"&amp;$D$12&amp;"'!Totaalverbruik_2020"),0)
+IFERROR(INDIRECT("'"&amp;$D$13&amp;"'!Totaalverbruik_2020"),0)
+IFERROR(INDIRECT("'"&amp;$D$14&amp;"'!Totaalverbruik_2020"),0)
+IFERROR(INDIRECT("'"&amp;$D$15&amp;"'!Totaalverbruik_2020"),0)
+IFERROR(INDIRECT("'"&amp;$D$16&amp;"'!Totaalverbruik_2020"),0)
+IFERROR(INDIRECT("'"&amp;$D$17&amp;"'!Totaalverbruik_2020"),0)
+IFERROR(INDIRECT("'"&amp;$D$18&amp;"'!Totaalverbruik_2020"),0)
+IFERROR(INDIRECT("'"&amp;$D$19&amp;"'!Totaalverbruik_2020"),0)
+IFERROR(INDIRECT("'"&amp;$D$20&amp;"'!Totaalverbruik_2020"),0)
+IFERROR(INDIRECT("'"&amp;$D$21&amp;"'!Totaalverbruik_2020"),0)
+IFERROR(INDIRECT("'"&amp;$D$22&amp;"'!Totaalverbruik_2020"),0)
+IFERROR(INDIRECT("'"&amp;$D$23&amp;"'!Totaalverbruik_2020"),0)
+IFERROR(INDIRECT("'"&amp;$D$24&amp;"'!Totaalverbruik_2020"),0)
+IFERROR(INDIRECT("'"&amp;$D$25&amp;"'!Totaalverbruik_2020"),0)
+IFERROR(INDIRECT("'"&amp;$D$26&amp;"'!Totaalverbruik_2020"),0)
+IFERROR(INDIRECT("'"&amp;$D$27&amp;"'!Totaalverbruik_2020"),0)
+IFERROR(INDIRECT("'"&amp;$D$28&amp;"'!Totaalverbruik_2020"),0)
+IFERROR(INDIRECT("'"&amp;$D$29&amp;"'!Totaalverbruik_2020"),0)
+IFERROR(INDIRECT("'"&amp;$D$30&amp;"'!Totaalverbruik_2020"),0)
+IFERROR(INDIRECT("'"&amp;$D$31&amp;"'!Totaalverbruik_2020"),0)
+IFERROR(INDIRECT("'"&amp;$D$32&amp;"'!Totaalverbruik_2020"),0)
+IFERROR(INDIRECT("'"&amp;$D$33&amp;"'!Totaalverbruik_2020"),0)
+IFERROR(INDIRECT("'"&amp;$D$34&amp;"'!Totaalverbruik_2020"),0)
+IFERROR(INDIRECT("'"&amp;$D$35&amp;"'!Totaalverbruik_2020"),0)
+IFERROR(INDIRECT("'"&amp;$D$36&amp;"'!Totaalverbruik_2020"),0)
+IFERROR(INDIRECT("'"&amp;$D$37&amp;"'!Totaalverbruik_2020"),0)
+IFERROR(INDIRECT("'"&amp;$D$38&amp;"'!Totaalverbruik_2020"),0)
+IFERROR(INDIRECT("'"&amp;$D$39&amp;"'!Totaalverbruik_2020"),0)
+IFERROR(INDIRECT("'"&amp;$D$40&amp;"'!Totaalverbruik_2020"),0)
+IFERROR(INDIRECT("'"&amp;$D$41&amp;"'!Totaalverbruik_2020"),0)
+IFERROR(INDIRECT("'"&amp;$D$42&amp;"'!Totaalverbruik_2020"),0)
+IFERROR(INDIRECT("'"&amp;$D$43&amp;"'!Totaalverbruik_2020"),0)
+IFERROR(INDIRECT("'"&amp;$D$44&amp;"'!Totaalverbruik_2020"),0)
+IFERROR(INDIRECT("'"&amp;$D$45&amp;"'!Totaalverbruik_2020"),0)
+IFERROR(INDIRECT("'"&amp;$D$46&amp;"'!Totaalverbruik_2020"),0)
+IFERROR(INDIRECT("'"&amp;$D$47&amp;"'!Totaalverbruik_2020"),0)
+IFERROR(INDIRECT("'"&amp;$D$48&amp;"'!Totaalverbruik_2020"),0)
+IFERROR(INDIRECT("'"&amp;$D$49&amp;"'!Totaalverbruik_2020"),0)
+IFERROR(INDIRECT("'"&amp;$D$50&amp;"'!Totaalverbruik_2020"),0)
+IFERROR(INDIRECT("'"&amp;$D$51&amp;"'!Totaalverbruik_2020"),0)
+IFERROR(INDIRECT("'"&amp;$D$52&amp;"'!Totaalverbruik_2020"),0)
+IFERROR(INDIRECT("'"&amp;$D$53&amp;"'!Totaalverbruik_2020"),0)
+IFERROR(INDIRECT("'"&amp;$D$54&amp;"'!Totaalverbruik_2020"),0)
+Nieuwbouw!G51</f>
        <v>3305975.5240000002</v>
      </c>
      <c r="K43" s="321">
        <f ca="1">+IFERROR(INDIRECT("'"&amp;$D$5&amp;"'!Totaalverbruik_2021"),0)
+IFERROR(INDIRECT("'"&amp;$D$6&amp;"'!Totaalverbruik_2021"),0)
+IFERROR(INDIRECT("'"&amp;$D$7&amp;"'!Totaalverbruik_2021"),0)
+IFERROR(INDIRECT("'"&amp;$D$8&amp;"'!Totaalverbruik_2021"),0)
+IFERROR(INDIRECT("'"&amp;$D$9&amp;"'!Totaalverbruik_2021"),0)
+IFERROR(INDIRECT("'"&amp;$D$10&amp;"'!Totaalverbruik_2021"),0)
+IFERROR(INDIRECT("'"&amp;$D$11&amp;"'!Totaalverbruik_2021"),0)
+IFERROR(INDIRECT("'"&amp;$D$12&amp;"'!Totaalverbruik_2021"),0)
+IFERROR(INDIRECT("'"&amp;$D$13&amp;"'!Totaalverbruik_2021"),0)
+IFERROR(INDIRECT("'"&amp;$D$14&amp;"'!Totaalverbruik_2021"),0)
+IFERROR(INDIRECT("'"&amp;$D$15&amp;"'!Totaalverbruik_2021"),0)
+IFERROR(INDIRECT("'"&amp;$D$16&amp;"'!Totaalverbruik_2021"),0)
+IFERROR(INDIRECT("'"&amp;$D$17&amp;"'!Totaalverbruik_2021"),0)
+IFERROR(INDIRECT("'"&amp;$D$18&amp;"'!Totaalverbruik_2021"),0)
+IFERROR(INDIRECT("'"&amp;$D$19&amp;"'!Totaalverbruik_2021"),0)
+IFERROR(INDIRECT("'"&amp;$D$20&amp;"'!Totaalverbruik_2021"),0)
+IFERROR(INDIRECT("'"&amp;$D$21&amp;"'!Totaalverbruik_2021"),0)
+IFERROR(INDIRECT("'"&amp;$D$22&amp;"'!Totaalverbruik_2021"),0)
+IFERROR(INDIRECT("'"&amp;$D$23&amp;"'!Totaalverbruik_2021"),0)
+IFERROR(INDIRECT("'"&amp;$D$24&amp;"'!Totaalverbruik_2021"),0)
+IFERROR(INDIRECT("'"&amp;$D$25&amp;"'!Totaalverbruik_2021"),0)
+IFERROR(INDIRECT("'"&amp;$D$26&amp;"'!Totaalverbruik_2021"),0)
+IFERROR(INDIRECT("'"&amp;$D$27&amp;"'!Totaalverbruik_2021"),0)
+IFERROR(INDIRECT("'"&amp;$D$28&amp;"'!Totaalverbruik_2021"),0)
+IFERROR(INDIRECT("'"&amp;$D$29&amp;"'!Totaalverbruik_2021"),0)
+IFERROR(INDIRECT("'"&amp;$D$30&amp;"'!Totaalverbruik_2021"),0)
+IFERROR(INDIRECT("'"&amp;$D$31&amp;"'!Totaalverbruik_2021"),0)
+IFERROR(INDIRECT("'"&amp;$D$32&amp;"'!Totaalverbruik_2021"),0)
+IFERROR(INDIRECT("'"&amp;$D$33&amp;"'!Totaalverbruik_2021"),0)
+IFERROR(INDIRECT("'"&amp;$D$34&amp;"'!Totaalverbruik_2021"),0)
+IFERROR(INDIRECT("'"&amp;$D$35&amp;"'!Totaalverbruik_2021"),0)
+IFERROR(INDIRECT("'"&amp;$D$36&amp;"'!Totaalverbruik_2021"),0)
+IFERROR(INDIRECT("'"&amp;$D$37&amp;"'!Totaalverbruik_2021"),0)
+IFERROR(INDIRECT("'"&amp;$D$38&amp;"'!Totaalverbruik_2021"),0)
+IFERROR(INDIRECT("'"&amp;$D$39&amp;"'!Totaalverbruik_2021"),0)
+IFERROR(INDIRECT("'"&amp;$D$40&amp;"'!Totaalverbruik_2021"),0)
+IFERROR(INDIRECT("'"&amp;$D$41&amp;"'!Totaalverbruik_2021"),0)
+IFERROR(INDIRECT("'"&amp;$D$42&amp;"'!Totaalverbruik_2021"),0)
+IFERROR(INDIRECT("'"&amp;$D$43&amp;"'!Totaalverbruik_2021"),0)
+IFERROR(INDIRECT("'"&amp;$D$44&amp;"'!Totaalverbruik_2021"),0)
+IFERROR(INDIRECT("'"&amp;$D$45&amp;"'!Totaalverbruik_2021"),0)
+IFERROR(INDIRECT("'"&amp;$D$46&amp;"'!Totaalverbruik_2021"),0)
+IFERROR(INDIRECT("'"&amp;$D$47&amp;"'!Totaalverbruik_2021"),0)
+IFERROR(INDIRECT("'"&amp;$D$48&amp;"'!Totaalverbruik_2021"),0)
+IFERROR(INDIRECT("'"&amp;$D$49&amp;"'!Totaalverbruik_2021"),0)
+IFERROR(INDIRECT("'"&amp;$D$50&amp;"'!Totaalverbruik_2021"),0)
+IFERROR(INDIRECT("'"&amp;$D$51&amp;"'!Totaalverbruik_2021"),0)
+IFERROR(INDIRECT("'"&amp;$D$52&amp;"'!Totaalverbruik_2021"),0)
+IFERROR(INDIRECT("'"&amp;$D$53&amp;"'!Totaalverbruik_2021"),0)
+IFERROR(INDIRECT("'"&amp;$D$54&amp;"'!Totaalverbruik_2021"),0)
+Nieuwbouw!H51</f>
        <v>3305975.5240000002</v>
      </c>
      <c r="L43" s="321">
        <f ca="1">+IFERROR(INDIRECT("'"&amp;$D$5&amp;"'!Totaalverbruik_2022"),0)
+IFERROR(INDIRECT("'"&amp;$D$6&amp;"'!Totaalverbruik_2022"),0)
+IFERROR(INDIRECT("'"&amp;$D$7&amp;"'!Totaalverbruik_2022"),0)
+IFERROR(INDIRECT("'"&amp;$D$8&amp;"'!Totaalverbruik_2022"),0)
+IFERROR(INDIRECT("'"&amp;$D$9&amp;"'!Totaalverbruik_2022"),0)
+IFERROR(INDIRECT("'"&amp;$D$10&amp;"'!Totaalverbruik_2022"),0)
+IFERROR(INDIRECT("'"&amp;$D$11&amp;"'!Totaalverbruik_2022"),0)
+IFERROR(INDIRECT("'"&amp;$D$12&amp;"'!Totaalverbruik_2022"),0)
+IFERROR(INDIRECT("'"&amp;$D$13&amp;"'!Totaalverbruik_2022"),0)
+IFERROR(INDIRECT("'"&amp;$D$14&amp;"'!Totaalverbruik_2022"),0)
+IFERROR(INDIRECT("'"&amp;$D$15&amp;"'!Totaalverbruik_2022"),0)
+IFERROR(INDIRECT("'"&amp;$D$16&amp;"'!Totaalverbruik_2022"),0)
+IFERROR(INDIRECT("'"&amp;$D$17&amp;"'!Totaalverbruik_2022"),0)
+IFERROR(INDIRECT("'"&amp;$D$18&amp;"'!Totaalverbruik_2022"),0)
+IFERROR(INDIRECT("'"&amp;$D$19&amp;"'!Totaalverbruik_2022"),0)
+IFERROR(INDIRECT("'"&amp;$D$20&amp;"'!Totaalverbruik_2022"),0)
+IFERROR(INDIRECT("'"&amp;$D$21&amp;"'!Totaalverbruik_2022"),0)
+IFERROR(INDIRECT("'"&amp;$D$22&amp;"'!Totaalverbruik_2022"),0)
+IFERROR(INDIRECT("'"&amp;$D$23&amp;"'!Totaalverbruik_2022"),0)
+IFERROR(INDIRECT("'"&amp;$D$24&amp;"'!Totaalverbruik_2022"),0)
+IFERROR(INDIRECT("'"&amp;$D$25&amp;"'!Totaalverbruik_2022"),0)
+IFERROR(INDIRECT("'"&amp;$D$26&amp;"'!Totaalverbruik_2022"),0)
+IFERROR(INDIRECT("'"&amp;$D$27&amp;"'!Totaalverbruik_2022"),0)
+IFERROR(INDIRECT("'"&amp;$D$28&amp;"'!Totaalverbruik_2022"),0)
+IFERROR(INDIRECT("'"&amp;$D$29&amp;"'!Totaalverbruik_2022"),0)
+IFERROR(INDIRECT("'"&amp;$D$30&amp;"'!Totaalverbruik_2022"),0)
+IFERROR(INDIRECT("'"&amp;$D$31&amp;"'!Totaalverbruik_2022"),0)
+IFERROR(INDIRECT("'"&amp;$D$32&amp;"'!Totaalverbruik_2022"),0)
+IFERROR(INDIRECT("'"&amp;$D$33&amp;"'!Totaalverbruik_2022"),0)
+IFERROR(INDIRECT("'"&amp;$D$34&amp;"'!Totaalverbruik_2022"),0)
+IFERROR(INDIRECT("'"&amp;$D$35&amp;"'!Totaalverbruik_2022"),0)
+IFERROR(INDIRECT("'"&amp;$D$36&amp;"'!Totaalverbruik_2022"),0)
+IFERROR(INDIRECT("'"&amp;$D$37&amp;"'!Totaalverbruik_2022"),0)
+IFERROR(INDIRECT("'"&amp;$D$38&amp;"'!Totaalverbruik_2022"),0)
+IFERROR(INDIRECT("'"&amp;$D$39&amp;"'!Totaalverbruik_2022"),0)
+IFERROR(INDIRECT("'"&amp;$D$40&amp;"'!Totaalverbruik_2022"),0)
+IFERROR(INDIRECT("'"&amp;$D$41&amp;"'!Totaalverbruik_2022"),0)
+IFERROR(INDIRECT("'"&amp;$D$42&amp;"'!Totaalverbruik_2022"),0)
+IFERROR(INDIRECT("'"&amp;$D$43&amp;"'!Totaalverbruik_2022"),0)
+IFERROR(INDIRECT("'"&amp;$D$44&amp;"'!Totaalverbruik_2022"),0)
+IFERROR(INDIRECT("'"&amp;$D$45&amp;"'!Totaalverbruik_2022"),0)
+IFERROR(INDIRECT("'"&amp;$D$46&amp;"'!Totaalverbruik_2022"),0)
+IFERROR(INDIRECT("'"&amp;$D$47&amp;"'!Totaalverbruik_2022"),0)
+IFERROR(INDIRECT("'"&amp;$D$48&amp;"'!Totaalverbruik_2022"),0)
+IFERROR(INDIRECT("'"&amp;$D$49&amp;"'!Totaalverbruik_2022"),0)
+IFERROR(INDIRECT("'"&amp;$D$50&amp;"'!Totaalverbruik_2022"),0)
+IFERROR(INDIRECT("'"&amp;$D$51&amp;"'!Totaalverbruik_2022"),0)
+IFERROR(INDIRECT("'"&amp;$D$52&amp;"'!Totaalverbruik_2022"),0)
+IFERROR(INDIRECT("'"&amp;$D$53&amp;"'!Totaalverbruik_2022"),0)
+IFERROR(INDIRECT("'"&amp;$D$54&amp;"'!Totaalverbruik_2022"),0)
+Nieuwbouw!I51</f>
        <v>3305975.5240000002</v>
      </c>
      <c r="M43" s="321">
        <f ca="1">+IFERROR(INDIRECT("'"&amp;$D$5&amp;"'!Totaalverbruik_2023"),0)
+IFERROR(INDIRECT("'"&amp;$D$6&amp;"'!Totaalverbruik_2023"),0)
+IFERROR(INDIRECT("'"&amp;$D$7&amp;"'!Totaalverbruik_2023"),0)
+IFERROR(INDIRECT("'"&amp;$D$8&amp;"'!Totaalverbruik_2023"),0)
+IFERROR(INDIRECT("'"&amp;$D$9&amp;"'!Totaalverbruik_2023"),0)
+IFERROR(INDIRECT("'"&amp;$D$10&amp;"'!Totaalverbruik_2023"),0)
+IFERROR(INDIRECT("'"&amp;$D$11&amp;"'!Totaalverbruik_2023"),0)
+IFERROR(INDIRECT("'"&amp;$D$12&amp;"'!Totaalverbruik_2023"),0)
+IFERROR(INDIRECT("'"&amp;$D$13&amp;"'!Totaalverbruik_2023"),0)
+IFERROR(INDIRECT("'"&amp;$D$14&amp;"'!Totaalverbruik_2023"),0)
+IFERROR(INDIRECT("'"&amp;$D$15&amp;"'!Totaalverbruik_2023"),0)
+IFERROR(INDIRECT("'"&amp;$D$16&amp;"'!Totaalverbruik_2023"),0)
+IFERROR(INDIRECT("'"&amp;$D$17&amp;"'!Totaalverbruik_2023"),0)
+IFERROR(INDIRECT("'"&amp;$D$18&amp;"'!Totaalverbruik_2023"),0)
+IFERROR(INDIRECT("'"&amp;$D$19&amp;"'!Totaalverbruik_2023"),0)
+IFERROR(INDIRECT("'"&amp;$D$20&amp;"'!Totaalverbruik_2023"),0)
+IFERROR(INDIRECT("'"&amp;$D$21&amp;"'!Totaalverbruik_2023"),0)
+IFERROR(INDIRECT("'"&amp;$D$22&amp;"'!Totaalverbruik_2023"),0)
+IFERROR(INDIRECT("'"&amp;$D$23&amp;"'!Totaalverbruik_2023"),0)
+IFERROR(INDIRECT("'"&amp;$D$24&amp;"'!Totaalverbruik_2023"),0)
+IFERROR(INDIRECT("'"&amp;$D$25&amp;"'!Totaalverbruik_2023"),0)
+IFERROR(INDIRECT("'"&amp;$D$26&amp;"'!Totaalverbruik_2023"),0)
+IFERROR(INDIRECT("'"&amp;$D$27&amp;"'!Totaalverbruik_2023"),0)
+IFERROR(INDIRECT("'"&amp;$D$28&amp;"'!Totaalverbruik_2023"),0)
+IFERROR(INDIRECT("'"&amp;$D$29&amp;"'!Totaalverbruik_2023"),0)
+IFERROR(INDIRECT("'"&amp;$D$30&amp;"'!Totaalverbruik_2023"),0)
+IFERROR(INDIRECT("'"&amp;$D$31&amp;"'!Totaalverbruik_2023"),0)
+IFERROR(INDIRECT("'"&amp;$D$32&amp;"'!Totaalverbruik_2023"),0)
+IFERROR(INDIRECT("'"&amp;$D$33&amp;"'!Totaalverbruik_2023"),0)
+IFERROR(INDIRECT("'"&amp;$D$34&amp;"'!Totaalverbruik_2023"),0)
+IFERROR(INDIRECT("'"&amp;$D$35&amp;"'!Totaalverbruik_2023"),0)
+IFERROR(INDIRECT("'"&amp;$D$36&amp;"'!Totaalverbruik_2023"),0)
+IFERROR(INDIRECT("'"&amp;$D$37&amp;"'!Totaalverbruik_2023"),0)
+IFERROR(INDIRECT("'"&amp;$D$38&amp;"'!Totaalverbruik_2023"),0)
+IFERROR(INDIRECT("'"&amp;$D$39&amp;"'!Totaalverbruik_2023"),0)
+IFERROR(INDIRECT("'"&amp;$D$40&amp;"'!Totaalverbruik_2023"),0)
+IFERROR(INDIRECT("'"&amp;$D$41&amp;"'!Totaalverbruik_2023"),0)
+IFERROR(INDIRECT("'"&amp;$D$42&amp;"'!Totaalverbruik_2023"),0)
+IFERROR(INDIRECT("'"&amp;$D$43&amp;"'!Totaalverbruik_2023"),0)
+IFERROR(INDIRECT("'"&amp;$D$44&amp;"'!Totaalverbruik_2023"),0)
+IFERROR(INDIRECT("'"&amp;$D$45&amp;"'!Totaalverbruik_2023"),0)
+IFERROR(INDIRECT("'"&amp;$D$46&amp;"'!Totaalverbruik_2023"),0)
+IFERROR(INDIRECT("'"&amp;$D$47&amp;"'!Totaalverbruik_2023"),0)
+IFERROR(INDIRECT("'"&amp;$D$48&amp;"'!Totaalverbruik_2023"),0)
+IFERROR(INDIRECT("'"&amp;$D$49&amp;"'!Totaalverbruik_2023"),0)
+IFERROR(INDIRECT("'"&amp;$D$50&amp;"'!Totaalverbruik_2023"),0)
+IFERROR(INDIRECT("'"&amp;$D$51&amp;"'!Totaalverbruik_2023"),0)
+IFERROR(INDIRECT("'"&amp;$D$52&amp;"'!Totaalverbruik_2023"),0)
+IFERROR(INDIRECT("'"&amp;$D$53&amp;"'!Totaalverbruik_2023"),0)
+IFERROR(INDIRECT("'"&amp;$D$54&amp;"'!Totaalverbruik_2023"),0)
+Nieuwbouw!J51</f>
        <v>2040884.3209873331</v>
      </c>
      <c r="N43" s="321">
        <f ca="1">+IFERROR(INDIRECT("'"&amp;$D$5&amp;"'!Totaalverbruik_2024"),0)
+IFERROR(INDIRECT("'"&amp;$D$6&amp;"'!Totaalverbruik_2024"),0)
+IFERROR(INDIRECT("'"&amp;$D$7&amp;"'!Totaalverbruik_2024"),0)
+IFERROR(INDIRECT("'"&amp;$D$8&amp;"'!Totaalverbruik_2024"),0)
+IFERROR(INDIRECT("'"&amp;$D$9&amp;"'!Totaalverbruik_2024"),0)
+IFERROR(INDIRECT("'"&amp;$D$10&amp;"'!Totaalverbruik_2024"),0)
+IFERROR(INDIRECT("'"&amp;$D$11&amp;"'!Totaalverbruik_2024"),0)
+IFERROR(INDIRECT("'"&amp;$D$12&amp;"'!Totaalverbruik_2024"),0)
+IFERROR(INDIRECT("'"&amp;$D$13&amp;"'!Totaalverbruik_2024"),0)
+IFERROR(INDIRECT("'"&amp;$D$14&amp;"'!Totaalverbruik_2024"),0)
+IFERROR(INDIRECT("'"&amp;$D$15&amp;"'!Totaalverbruik_2024"),0)
+IFERROR(INDIRECT("'"&amp;$D$16&amp;"'!Totaalverbruik_2024"),0)
+IFERROR(INDIRECT("'"&amp;$D$17&amp;"'!Totaalverbruik_2024"),0)
+IFERROR(INDIRECT("'"&amp;$D$18&amp;"'!Totaalverbruik_2024"),0)
+IFERROR(INDIRECT("'"&amp;$D$19&amp;"'!Totaalverbruik_2024"),0)
+IFERROR(INDIRECT("'"&amp;$D$20&amp;"'!Totaalverbruik_2024"),0)
+IFERROR(INDIRECT("'"&amp;$D$21&amp;"'!Totaalverbruik_2024"),0)
+IFERROR(INDIRECT("'"&amp;$D$22&amp;"'!Totaalverbruik_2024"),0)
+IFERROR(INDIRECT("'"&amp;$D$23&amp;"'!Totaalverbruik_2024"),0)
+IFERROR(INDIRECT("'"&amp;$D$24&amp;"'!Totaalverbruik_2024"),0)
+IFERROR(INDIRECT("'"&amp;$D$25&amp;"'!Totaalverbruik_2024"),0)
+IFERROR(INDIRECT("'"&amp;$D$26&amp;"'!Totaalverbruik_2024"),0)
+IFERROR(INDIRECT("'"&amp;$D$27&amp;"'!Totaalverbruik_2024"),0)
+IFERROR(INDIRECT("'"&amp;$D$28&amp;"'!Totaalverbruik_2024"),0)
+IFERROR(INDIRECT("'"&amp;$D$29&amp;"'!Totaalverbruik_2024"),0)
+IFERROR(INDIRECT("'"&amp;$D$30&amp;"'!Totaalverbruik_2024"),0)
+IFERROR(INDIRECT("'"&amp;$D$31&amp;"'!Totaalverbruik_2024"),0)
+IFERROR(INDIRECT("'"&amp;$D$32&amp;"'!Totaalverbruik_2024"),0)
+IFERROR(INDIRECT("'"&amp;$D$33&amp;"'!Totaalverbruik_2024"),0)
+IFERROR(INDIRECT("'"&amp;$D$34&amp;"'!Totaalverbruik_2024"),0)
+IFERROR(INDIRECT("'"&amp;$D$35&amp;"'!Totaalverbruik_2024"),0)
+IFERROR(INDIRECT("'"&amp;$D$36&amp;"'!Totaalverbruik_2024"),0)
+IFERROR(INDIRECT("'"&amp;$D$37&amp;"'!Totaalverbruik_2024"),0)
+IFERROR(INDIRECT("'"&amp;$D$38&amp;"'!Totaalverbruik_2024"),0)
+IFERROR(INDIRECT("'"&amp;$D$39&amp;"'!Totaalverbruik_2024"),0)
+IFERROR(INDIRECT("'"&amp;$D$40&amp;"'!Totaalverbruik_2024"),0)
+IFERROR(INDIRECT("'"&amp;$D$41&amp;"'!Totaalverbruik_2024"),0)
+IFERROR(INDIRECT("'"&amp;$D$42&amp;"'!Totaalverbruik_2024"),0)
+IFERROR(INDIRECT("'"&amp;$D$43&amp;"'!Totaalverbruik_2024"),0)
+IFERROR(INDIRECT("'"&amp;$D$44&amp;"'!Totaalverbruik_2024"),0)
+IFERROR(INDIRECT("'"&amp;$D$45&amp;"'!Totaalverbruik_2024"),0)
+IFERROR(INDIRECT("'"&amp;$D$46&amp;"'!Totaalverbruik_2024"),0)
+IFERROR(INDIRECT("'"&amp;$D$47&amp;"'!Totaalverbruik_2024"),0)
+IFERROR(INDIRECT("'"&amp;$D$48&amp;"'!Totaalverbruik_2024"),0)
+IFERROR(INDIRECT("'"&amp;$D$49&amp;"'!Totaalverbruik_2024"),0)
+IFERROR(INDIRECT("'"&amp;$D$50&amp;"'!Totaalverbruik_2024"),0)
+IFERROR(INDIRECT("'"&amp;$D$51&amp;"'!Totaalverbruik_2024"),0)
+IFERROR(INDIRECT("'"&amp;$D$52&amp;"'!Totaalverbruik_2024"),0)
+IFERROR(INDIRECT("'"&amp;$D$53&amp;"'!Totaalverbruik_2024"),0)
+IFERROR(INDIRECT("'"&amp;$D$54&amp;"'!Totaalverbruik_2024"),0)
+Nieuwbouw!K51</f>
        <v>1889415.6053275545</v>
      </c>
      <c r="O43" s="321">
        <f ca="1">+IFERROR(INDIRECT("'"&amp;$D$5&amp;"'!Totaalverbruik_2025"),0)
+IFERROR(INDIRECT("'"&amp;$D$6&amp;"'!Totaalverbruik_2025"),0)
+IFERROR(INDIRECT("'"&amp;$D$7&amp;"'!Totaalverbruik_2025"),0)
+IFERROR(INDIRECT("'"&amp;$D$8&amp;"'!Totaalverbruik_2025"),0)
+IFERROR(INDIRECT("'"&amp;$D$9&amp;"'!Totaalverbruik_2025"),0)
+IFERROR(INDIRECT("'"&amp;$D$10&amp;"'!Totaalverbruik_2025"),0)
+IFERROR(INDIRECT("'"&amp;$D$11&amp;"'!Totaalverbruik_2025"),0)
+IFERROR(INDIRECT("'"&amp;$D$12&amp;"'!Totaalverbruik_2025"),0)
+IFERROR(INDIRECT("'"&amp;$D$13&amp;"'!Totaalverbruik_2025"),0)
+IFERROR(INDIRECT("'"&amp;$D$14&amp;"'!Totaalverbruik_2025"),0)
+IFERROR(INDIRECT("'"&amp;$D$15&amp;"'!Totaalverbruik_2025"),0)
+IFERROR(INDIRECT("'"&amp;$D$16&amp;"'!Totaalverbruik_2025"),0)
+IFERROR(INDIRECT("'"&amp;$D$17&amp;"'!Totaalverbruik_2025"),0)
+IFERROR(INDIRECT("'"&amp;$D$18&amp;"'!Totaalverbruik_2025"),0)
+IFERROR(INDIRECT("'"&amp;$D$19&amp;"'!Totaalverbruik_2025"),0)
+IFERROR(INDIRECT("'"&amp;$D$20&amp;"'!Totaalverbruik_2025"),0)
+IFERROR(INDIRECT("'"&amp;$D$21&amp;"'!Totaalverbruik_2025"),0)
+IFERROR(INDIRECT("'"&amp;$D$22&amp;"'!Totaalverbruik_2025"),0)
+IFERROR(INDIRECT("'"&amp;$D$23&amp;"'!Totaalverbruik_2025"),0)
+IFERROR(INDIRECT("'"&amp;$D$24&amp;"'!Totaalverbruik_2025"),0)
+IFERROR(INDIRECT("'"&amp;$D$25&amp;"'!Totaalverbruik_2025"),0)
+IFERROR(INDIRECT("'"&amp;$D$26&amp;"'!Totaalverbruik_2025"),0)
+IFERROR(INDIRECT("'"&amp;$D$27&amp;"'!Totaalverbruik_2025"),0)
+IFERROR(INDIRECT("'"&amp;$D$28&amp;"'!Totaalverbruik_2025"),0)
+IFERROR(INDIRECT("'"&amp;$D$29&amp;"'!Totaalverbruik_2025"),0)
+IFERROR(INDIRECT("'"&amp;$D$30&amp;"'!Totaalverbruik_2025"),0)
+IFERROR(INDIRECT("'"&amp;$D$31&amp;"'!Totaalverbruik_2025"),0)
+IFERROR(INDIRECT("'"&amp;$D$32&amp;"'!Totaalverbruik_2025"),0)
+IFERROR(INDIRECT("'"&amp;$D$33&amp;"'!Totaalverbruik_2025"),0)
+IFERROR(INDIRECT("'"&amp;$D$34&amp;"'!Totaalverbruik_2025"),0)
+IFERROR(INDIRECT("'"&amp;$D$35&amp;"'!Totaalverbruik_2025"),0)
+IFERROR(INDIRECT("'"&amp;$D$36&amp;"'!Totaalverbruik_2025"),0)
+IFERROR(INDIRECT("'"&amp;$D$37&amp;"'!Totaalverbruik_2025"),0)
+IFERROR(INDIRECT("'"&amp;$D$38&amp;"'!Totaalverbruik_2025"),0)
+IFERROR(INDIRECT("'"&amp;$D$39&amp;"'!Totaalverbruik_2025"),0)
+IFERROR(INDIRECT("'"&amp;$D$40&amp;"'!Totaalverbruik_2025"),0)
+IFERROR(INDIRECT("'"&amp;$D$41&amp;"'!Totaalverbruik_2025"),0)
+IFERROR(INDIRECT("'"&amp;$D$42&amp;"'!Totaalverbruik_2025"),0)
+IFERROR(INDIRECT("'"&amp;$D$43&amp;"'!Totaalverbruik_2025"),0)
+IFERROR(INDIRECT("'"&amp;$D$44&amp;"'!Totaalverbruik_2025"),0)
+IFERROR(INDIRECT("'"&amp;$D$45&amp;"'!Totaalverbruik_2025"),0)
+IFERROR(INDIRECT("'"&amp;$D$46&amp;"'!Totaalverbruik_2025"),0)
+IFERROR(INDIRECT("'"&amp;$D$47&amp;"'!Totaalverbruik_2025"),0)
+IFERROR(INDIRECT("'"&amp;$D$48&amp;"'!Totaalverbruik_2025"),0)
+IFERROR(INDIRECT("'"&amp;$D$49&amp;"'!Totaalverbruik_2025"),0)
+IFERROR(INDIRECT("'"&amp;$D$50&amp;"'!Totaalverbruik_2025"),0)
+IFERROR(INDIRECT("'"&amp;$D$51&amp;"'!Totaalverbruik_2025"),0)
+IFERROR(INDIRECT("'"&amp;$D$52&amp;"'!Totaalverbruik_2025"),0)
+IFERROR(INDIRECT("'"&amp;$D$53&amp;"'!Totaalverbruik_2025"),0)
+IFERROR(INDIRECT("'"&amp;$D$54&amp;"'!Totaalverbruik_2025"),0)
+Nieuwbouw!L51</f>
        <v>1784772.8108728761</v>
      </c>
      <c r="P43" s="321">
        <f ca="1">+IFERROR(INDIRECT("'"&amp;$D$5&amp;"'!Totaalverbruik_2026"),0)
+IFERROR(INDIRECT("'"&amp;$D$6&amp;"'!Totaalverbruik_2026"),0)
+IFERROR(INDIRECT("'"&amp;$D$7&amp;"'!Totaalverbruik_2026"),0)
+IFERROR(INDIRECT("'"&amp;$D$8&amp;"'!Totaalverbruik_2026"),0)
+IFERROR(INDIRECT("'"&amp;$D$9&amp;"'!Totaalverbruik_2026"),0)
+IFERROR(INDIRECT("'"&amp;$D$10&amp;"'!Totaalverbruik_2026"),0)
+IFERROR(INDIRECT("'"&amp;$D$11&amp;"'!Totaalverbruik_2026"),0)
+IFERROR(INDIRECT("'"&amp;$D$12&amp;"'!Totaalverbruik_2026"),0)
+IFERROR(INDIRECT("'"&amp;$D$13&amp;"'!Totaalverbruik_2026"),0)
+IFERROR(INDIRECT("'"&amp;$D$14&amp;"'!Totaalverbruik_2026"),0)
+IFERROR(INDIRECT("'"&amp;$D$15&amp;"'!Totaalverbruik_2026"),0)
+IFERROR(INDIRECT("'"&amp;$D$16&amp;"'!Totaalverbruik_2026"),0)
+IFERROR(INDIRECT("'"&amp;$D$17&amp;"'!Totaalverbruik_2026"),0)
+IFERROR(INDIRECT("'"&amp;$D$18&amp;"'!Totaalverbruik_2026"),0)
+IFERROR(INDIRECT("'"&amp;$D$19&amp;"'!Totaalverbruik_2026"),0)
+IFERROR(INDIRECT("'"&amp;$D$20&amp;"'!Totaalverbruik_2026"),0)
+IFERROR(INDIRECT("'"&amp;$D$21&amp;"'!Totaalverbruik_2026"),0)
+IFERROR(INDIRECT("'"&amp;$D$22&amp;"'!Totaalverbruik_2026"),0)
+IFERROR(INDIRECT("'"&amp;$D$23&amp;"'!Totaalverbruik_2026"),0)
+IFERROR(INDIRECT("'"&amp;$D$24&amp;"'!Totaalverbruik_2026"),0)
+IFERROR(INDIRECT("'"&amp;$D$25&amp;"'!Totaalverbruik_2026"),0)
+IFERROR(INDIRECT("'"&amp;$D$26&amp;"'!Totaalverbruik_2026"),0)
+IFERROR(INDIRECT("'"&amp;$D$27&amp;"'!Totaalverbruik_2026"),0)
+IFERROR(INDIRECT("'"&amp;$D$28&amp;"'!Totaalverbruik_2026"),0)
+IFERROR(INDIRECT("'"&amp;$D$29&amp;"'!Totaalverbruik_2026"),0)
+IFERROR(INDIRECT("'"&amp;$D$30&amp;"'!Totaalverbruik_2026"),0)
+IFERROR(INDIRECT("'"&amp;$D$31&amp;"'!Totaalverbruik_2026"),0)
+IFERROR(INDIRECT("'"&amp;$D$32&amp;"'!Totaalverbruik_2026"),0)
+IFERROR(INDIRECT("'"&amp;$D$33&amp;"'!Totaalverbruik_2026"),0)
+IFERROR(INDIRECT("'"&amp;$D$34&amp;"'!Totaalverbruik_2026"),0)
+IFERROR(INDIRECT("'"&amp;$D$35&amp;"'!Totaalverbruik_2026"),0)
+IFERROR(INDIRECT("'"&amp;$D$36&amp;"'!Totaalverbruik_2026"),0)
+IFERROR(INDIRECT("'"&amp;$D$37&amp;"'!Totaalverbruik_2026"),0)
+IFERROR(INDIRECT("'"&amp;$D$38&amp;"'!Totaalverbruik_2026"),0)
+IFERROR(INDIRECT("'"&amp;$D$39&amp;"'!Totaalverbruik_2026"),0)
+IFERROR(INDIRECT("'"&amp;$D$40&amp;"'!Totaalverbruik_2026"),0)
+IFERROR(INDIRECT("'"&amp;$D$41&amp;"'!Totaalverbruik_2026"),0)
+IFERROR(INDIRECT("'"&amp;$D$42&amp;"'!Totaalverbruik_2026"),0)
+IFERROR(INDIRECT("'"&amp;$D$43&amp;"'!Totaalverbruik_2026"),0)
+IFERROR(INDIRECT("'"&amp;$D$44&amp;"'!Totaalverbruik_2026"),0)
+IFERROR(INDIRECT("'"&amp;$D$45&amp;"'!Totaalverbruik_2026"),0)
+IFERROR(INDIRECT("'"&amp;$D$46&amp;"'!Totaalverbruik_2026"),0)
+IFERROR(INDIRECT("'"&amp;$D$47&amp;"'!Totaalverbruik_2026"),0)
+IFERROR(INDIRECT("'"&amp;$D$48&amp;"'!Totaalverbruik_2026"),0)
+IFERROR(INDIRECT("'"&amp;$D$49&amp;"'!Totaalverbruik_2026"),0)
+IFERROR(INDIRECT("'"&amp;$D$50&amp;"'!Totaalverbruik_2026"),0)
+IFERROR(INDIRECT("'"&amp;$D$51&amp;"'!Totaalverbruik_2026"),0)
+IFERROR(INDIRECT("'"&amp;$D$52&amp;"'!Totaalverbruik_2026"),0)
+IFERROR(INDIRECT("'"&amp;$D$53&amp;"'!Totaalverbruik_2026"),0)
+IFERROR(INDIRECT("'"&amp;$D$54&amp;"'!Totaalverbruik_2026"),0)
+Nieuwbouw!M51</f>
        <v>1724649.6700071974</v>
      </c>
      <c r="Q43" s="321">
        <f ca="1">+IFERROR(INDIRECT("'"&amp;$D$5&amp;"'!Totaalverbruik_2027"),0)
+IFERROR(INDIRECT("'"&amp;$D$6&amp;"'!Totaalverbruik_2027"),0)
+IFERROR(INDIRECT("'"&amp;$D$7&amp;"'!Totaalverbruik_2027"),0)
+IFERROR(INDIRECT("'"&amp;$D$8&amp;"'!Totaalverbruik_2027"),0)
+IFERROR(INDIRECT("'"&amp;$D$9&amp;"'!Totaalverbruik_2027"),0)
+IFERROR(INDIRECT("'"&amp;$D$10&amp;"'!Totaalverbruik_2027"),0)
+IFERROR(INDIRECT("'"&amp;$D$11&amp;"'!Totaalverbruik_2027"),0)
+IFERROR(INDIRECT("'"&amp;$D$12&amp;"'!Totaalverbruik_2027"),0)
+IFERROR(INDIRECT("'"&amp;$D$13&amp;"'!Totaalverbruik_2027"),0)
+IFERROR(INDIRECT("'"&amp;$D$14&amp;"'!Totaalverbruik_2027"),0)
+IFERROR(INDIRECT("'"&amp;$D$15&amp;"'!Totaalverbruik_2027"),0)
+IFERROR(INDIRECT("'"&amp;$D$16&amp;"'!Totaalverbruik_2027"),0)
+IFERROR(INDIRECT("'"&amp;$D$17&amp;"'!Totaalverbruik_2027"),0)
+IFERROR(INDIRECT("'"&amp;$D$18&amp;"'!Totaalverbruik_2027"),0)
+IFERROR(INDIRECT("'"&amp;$D$19&amp;"'!Totaalverbruik_2027"),0)
+IFERROR(INDIRECT("'"&amp;$D$20&amp;"'!Totaalverbruik_2027"),0)
+IFERROR(INDIRECT("'"&amp;$D$21&amp;"'!Totaalverbruik_2027"),0)
+IFERROR(INDIRECT("'"&amp;$D$22&amp;"'!Totaalverbruik_2027"),0)
+IFERROR(INDIRECT("'"&amp;$D$23&amp;"'!Totaalverbruik_2027"),0)
+IFERROR(INDIRECT("'"&amp;$D$24&amp;"'!Totaalverbruik_2027"),0)
+IFERROR(INDIRECT("'"&amp;$D$25&amp;"'!Totaalverbruik_2027"),0)
+IFERROR(INDIRECT("'"&amp;$D$26&amp;"'!Totaalverbruik_2027"),0)
+IFERROR(INDIRECT("'"&amp;$D$27&amp;"'!Totaalverbruik_2027"),0)
+IFERROR(INDIRECT("'"&amp;$D$28&amp;"'!Totaalverbruik_2027"),0)
+IFERROR(INDIRECT("'"&amp;$D$29&amp;"'!Totaalverbruik_2027"),0)
+IFERROR(INDIRECT("'"&amp;$D$30&amp;"'!Totaalverbruik_2027"),0)
+IFERROR(INDIRECT("'"&amp;$D$31&amp;"'!Totaalverbruik_2027"),0)
+IFERROR(INDIRECT("'"&amp;$D$32&amp;"'!Totaalverbruik_2027"),0)
+IFERROR(INDIRECT("'"&amp;$D$33&amp;"'!Totaalverbruik_2027"),0)
+IFERROR(INDIRECT("'"&amp;$D$34&amp;"'!Totaalverbruik_2027"),0)
+IFERROR(INDIRECT("'"&amp;$D$35&amp;"'!Totaalverbruik_2027"),0)
+IFERROR(INDIRECT("'"&amp;$D$36&amp;"'!Totaalverbruik_2027"),0)
+IFERROR(INDIRECT("'"&amp;$D$37&amp;"'!Totaalverbruik_2027"),0)
+IFERROR(INDIRECT("'"&amp;$D$38&amp;"'!Totaalverbruik_2027"),0)
+IFERROR(INDIRECT("'"&amp;$D$39&amp;"'!Totaalverbruik_2027"),0)
+IFERROR(INDIRECT("'"&amp;$D$40&amp;"'!Totaalverbruik_2027"),0)
+IFERROR(INDIRECT("'"&amp;$D$41&amp;"'!Totaalverbruik_2027"),0)
+IFERROR(INDIRECT("'"&amp;$D$42&amp;"'!Totaalverbruik_2027"),0)
+IFERROR(INDIRECT("'"&amp;$D$43&amp;"'!Totaalverbruik_2027"),0)
+IFERROR(INDIRECT("'"&amp;$D$44&amp;"'!Totaalverbruik_2027"),0)
+IFERROR(INDIRECT("'"&amp;$D$45&amp;"'!Totaalverbruik_2027"),0)
+IFERROR(INDIRECT("'"&amp;$D$46&amp;"'!Totaalverbruik_2027"),0)
+IFERROR(INDIRECT("'"&amp;$D$47&amp;"'!Totaalverbruik_2027"),0)
+IFERROR(INDIRECT("'"&amp;$D$48&amp;"'!Totaalverbruik_2027"),0)
+IFERROR(INDIRECT("'"&amp;$D$49&amp;"'!Totaalverbruik_2027"),0)
+IFERROR(INDIRECT("'"&amp;$D$50&amp;"'!Totaalverbruik_2027"),0)
+IFERROR(INDIRECT("'"&amp;$D$51&amp;"'!Totaalverbruik_2027"),0)
+IFERROR(INDIRECT("'"&amp;$D$52&amp;"'!Totaalverbruik_2027"),0)
+IFERROR(INDIRECT("'"&amp;$D$53&amp;"'!Totaalverbruik_2027"),0)
+IFERROR(INDIRECT("'"&amp;$D$54&amp;"'!Totaalverbruik_2027"),0)
+Nieuwbouw!N51</f>
        <v>1780302.7683829952</v>
      </c>
      <c r="R43" s="321">
        <f ca="1">+IFERROR(INDIRECT("'"&amp;$D$5&amp;"'!Totaalverbruik_2028"),0)
+IFERROR(INDIRECT("'"&amp;$D$6&amp;"'!Totaalverbruik_2028"),0)
+IFERROR(INDIRECT("'"&amp;$D$7&amp;"'!Totaalverbruik_2028"),0)
+IFERROR(INDIRECT("'"&amp;$D$8&amp;"'!Totaalverbruik_2028"),0)
+IFERROR(INDIRECT("'"&amp;$D$9&amp;"'!Totaalverbruik_2028"),0)
+IFERROR(INDIRECT("'"&amp;$D$10&amp;"'!Totaalverbruik_2028"),0)
+IFERROR(INDIRECT("'"&amp;$D$11&amp;"'!Totaalverbruik_2028"),0)
+IFERROR(INDIRECT("'"&amp;$D$12&amp;"'!Totaalverbruik_2028"),0)
+IFERROR(INDIRECT("'"&amp;$D$13&amp;"'!Totaalverbruik_2028"),0)
+IFERROR(INDIRECT("'"&amp;$D$14&amp;"'!Totaalverbruik_2028"),0)
+IFERROR(INDIRECT("'"&amp;$D$15&amp;"'!Totaalverbruik_2028"),0)
+IFERROR(INDIRECT("'"&amp;$D$16&amp;"'!Totaalverbruik_2028"),0)
+IFERROR(INDIRECT("'"&amp;$D$17&amp;"'!Totaalverbruik_2028"),0)
+IFERROR(INDIRECT("'"&amp;$D$18&amp;"'!Totaalverbruik_2028"),0)
+IFERROR(INDIRECT("'"&amp;$D$19&amp;"'!Totaalverbruik_2028"),0)
+IFERROR(INDIRECT("'"&amp;$D$20&amp;"'!Totaalverbruik_2028"),0)
+IFERROR(INDIRECT("'"&amp;$D$21&amp;"'!Totaalverbruik_2028"),0)
+IFERROR(INDIRECT("'"&amp;$D$22&amp;"'!Totaalverbruik_2028"),0)
+IFERROR(INDIRECT("'"&amp;$D$23&amp;"'!Totaalverbruik_2028"),0)
+IFERROR(INDIRECT("'"&amp;$D$24&amp;"'!Totaalverbruik_2028"),0)
+IFERROR(INDIRECT("'"&amp;$D$25&amp;"'!Totaalverbruik_2028"),0)
+IFERROR(INDIRECT("'"&amp;$D$26&amp;"'!Totaalverbruik_2028"),0)
+IFERROR(INDIRECT("'"&amp;$D$27&amp;"'!Totaalverbruik_2028"),0)
+IFERROR(INDIRECT("'"&amp;$D$28&amp;"'!Totaalverbruik_2028"),0)
+IFERROR(INDIRECT("'"&amp;$D$29&amp;"'!Totaalverbruik_2028"),0)
+IFERROR(INDIRECT("'"&amp;$D$30&amp;"'!Totaalverbruik_2028"),0)
+IFERROR(INDIRECT("'"&amp;$D$31&amp;"'!Totaalverbruik_2028"),0)
+IFERROR(INDIRECT("'"&amp;$D$32&amp;"'!Totaalverbruik_2028"),0)
+IFERROR(INDIRECT("'"&amp;$D$33&amp;"'!Totaalverbruik_2028"),0)
+IFERROR(INDIRECT("'"&amp;$D$34&amp;"'!Totaalverbruik_2028"),0)
+IFERROR(INDIRECT("'"&amp;$D$35&amp;"'!Totaalverbruik_2028"),0)
+IFERROR(INDIRECT("'"&amp;$D$36&amp;"'!Totaalverbruik_2028"),0)
+IFERROR(INDIRECT("'"&amp;$D$37&amp;"'!Totaalverbruik_2028"),0)
+IFERROR(INDIRECT("'"&amp;$D$38&amp;"'!Totaalverbruik_2028"),0)
+IFERROR(INDIRECT("'"&amp;$D$39&amp;"'!Totaalverbruik_2028"),0)
+IFERROR(INDIRECT("'"&amp;$D$40&amp;"'!Totaalverbruik_2028"),0)
+IFERROR(INDIRECT("'"&amp;$D$41&amp;"'!Totaalverbruik_2028"),0)
+IFERROR(INDIRECT("'"&amp;$D$42&amp;"'!Totaalverbruik_2028"),0)
+IFERROR(INDIRECT("'"&amp;$D$43&amp;"'!Totaalverbruik_2028"),0)
+IFERROR(INDIRECT("'"&amp;$D$44&amp;"'!Totaalverbruik_2028"),0)
+IFERROR(INDIRECT("'"&amp;$D$45&amp;"'!Totaalverbruik_2028"),0)
+IFERROR(INDIRECT("'"&amp;$D$46&amp;"'!Totaalverbruik_2028"),0)
+IFERROR(INDIRECT("'"&amp;$D$47&amp;"'!Totaalverbruik_2028"),0)
+IFERROR(INDIRECT("'"&amp;$D$48&amp;"'!Totaalverbruik_2028"),0)
+IFERROR(INDIRECT("'"&amp;$D$49&amp;"'!Totaalverbruik_2028"),0)
+IFERROR(INDIRECT("'"&amp;$D$50&amp;"'!Totaalverbruik_2028"),0)
+IFERROR(INDIRECT("'"&amp;$D$51&amp;"'!Totaalverbruik_2028"),0)
+IFERROR(INDIRECT("'"&amp;$D$52&amp;"'!Totaalverbruik_2028"),0)
+IFERROR(INDIRECT("'"&amp;$D$53&amp;"'!Totaalverbruik_2028"),0)
+IFERROR(INDIRECT("'"&amp;$D$54&amp;"'!Totaalverbruik_2028"),0)
+Nieuwbouw!O51</f>
        <v>1754815.136698781</v>
      </c>
      <c r="S43" s="321">
        <f ca="1">+IFERROR(INDIRECT("'"&amp;$D$5&amp;"'!Totaalverbruik_2029"),0)
+IFERROR(INDIRECT("'"&amp;$D$6&amp;"'!Totaalverbruik_2029"),0)
+IFERROR(INDIRECT("'"&amp;$D$7&amp;"'!Totaalverbruik_2029"),0)
+IFERROR(INDIRECT("'"&amp;$D$8&amp;"'!Totaalverbruik_2029"),0)
+IFERROR(INDIRECT("'"&amp;$D$9&amp;"'!Totaalverbruik_2029"),0)
+IFERROR(INDIRECT("'"&amp;$D$10&amp;"'!Totaalverbruik_2029"),0)
+IFERROR(INDIRECT("'"&amp;$D$11&amp;"'!Totaalverbruik_2029"),0)
+IFERROR(INDIRECT("'"&amp;$D$12&amp;"'!Totaalverbruik_2029"),0)
+IFERROR(INDIRECT("'"&amp;$D$13&amp;"'!Totaalverbruik_2029"),0)
+IFERROR(INDIRECT("'"&amp;$D$14&amp;"'!Totaalverbruik_2029"),0)
+IFERROR(INDIRECT("'"&amp;$D$15&amp;"'!Totaalverbruik_2029"),0)
+IFERROR(INDIRECT("'"&amp;$D$16&amp;"'!Totaalverbruik_2029"),0)
+IFERROR(INDIRECT("'"&amp;$D$17&amp;"'!Totaalverbruik_2029"),0)
+IFERROR(INDIRECT("'"&amp;$D$18&amp;"'!Totaalverbruik_2029"),0)
+IFERROR(INDIRECT("'"&amp;$D$19&amp;"'!Totaalverbruik_2029"),0)
+IFERROR(INDIRECT("'"&amp;$D$20&amp;"'!Totaalverbruik_2029"),0)
+IFERROR(INDIRECT("'"&amp;$D$21&amp;"'!Totaalverbruik_2029"),0)
+IFERROR(INDIRECT("'"&amp;$D$22&amp;"'!Totaalverbruik_2029"),0)
+IFERROR(INDIRECT("'"&amp;$D$23&amp;"'!Totaalverbruik_2029"),0)
+IFERROR(INDIRECT("'"&amp;$D$24&amp;"'!Totaalverbruik_2029"),0)
+IFERROR(INDIRECT("'"&amp;$D$25&amp;"'!Totaalverbruik_2029"),0)
+IFERROR(INDIRECT("'"&amp;$D$26&amp;"'!Totaalverbruik_2029"),0)
+IFERROR(INDIRECT("'"&amp;$D$27&amp;"'!Totaalverbruik_2029"),0)
+IFERROR(INDIRECT("'"&amp;$D$28&amp;"'!Totaalverbruik_2029"),0)
+IFERROR(INDIRECT("'"&amp;$D$29&amp;"'!Totaalverbruik_2029"),0)
+IFERROR(INDIRECT("'"&amp;$D$30&amp;"'!Totaalverbruik_2029"),0)
+IFERROR(INDIRECT("'"&amp;$D$31&amp;"'!Totaalverbruik_2029"),0)
+IFERROR(INDIRECT("'"&amp;$D$32&amp;"'!Totaalverbruik_2029"),0)
+IFERROR(INDIRECT("'"&amp;$D$33&amp;"'!Totaalverbruik_2029"),0)
+IFERROR(INDIRECT("'"&amp;$D$34&amp;"'!Totaalverbruik_2029"),0)
+IFERROR(INDIRECT("'"&amp;$D$35&amp;"'!Totaalverbruik_2029"),0)
+IFERROR(INDIRECT("'"&amp;$D$36&amp;"'!Totaalverbruik_2029"),0)
+IFERROR(INDIRECT("'"&amp;$D$37&amp;"'!Totaalverbruik_2029"),0)
+IFERROR(INDIRECT("'"&amp;$D$38&amp;"'!Totaalverbruik_2029"),0)
+IFERROR(INDIRECT("'"&amp;$D$39&amp;"'!Totaalverbruik_2029"),0)
+IFERROR(INDIRECT("'"&amp;$D$40&amp;"'!Totaalverbruik_2029"),0)
+IFERROR(INDIRECT("'"&amp;$D$41&amp;"'!Totaalverbruik_2029"),0)
+IFERROR(INDIRECT("'"&amp;$D$42&amp;"'!Totaalverbruik_2029"),0)
+IFERROR(INDIRECT("'"&amp;$D$43&amp;"'!Totaalverbruik_2029"),0)
+IFERROR(INDIRECT("'"&amp;$D$44&amp;"'!Totaalverbruik_2029"),0)
+IFERROR(INDIRECT("'"&amp;$D$45&amp;"'!Totaalverbruik_2029"),0)
+IFERROR(INDIRECT("'"&amp;$D$46&amp;"'!Totaalverbruik_2029"),0)
+IFERROR(INDIRECT("'"&amp;$D$47&amp;"'!Totaalverbruik_2029"),0)
+IFERROR(INDIRECT("'"&amp;$D$48&amp;"'!Totaalverbruik_2029"),0)
+IFERROR(INDIRECT("'"&amp;$D$49&amp;"'!Totaalverbruik_2029"),0)
+IFERROR(INDIRECT("'"&amp;$D$50&amp;"'!Totaalverbruik_2029"),0)
+IFERROR(INDIRECT("'"&amp;$D$51&amp;"'!Totaalverbruik_2029"),0)
+IFERROR(INDIRECT("'"&amp;$D$52&amp;"'!Totaalverbruik_2029"),0)
+IFERROR(INDIRECT("'"&amp;$D$53&amp;"'!Totaalverbruik_2029"),0)
+IFERROR(INDIRECT("'"&amp;$D$54&amp;"'!Totaalverbruik_2029"),0)
+Nieuwbouw!P51</f>
        <v>1729283.5810145666</v>
      </c>
      <c r="T43" s="321">
        <f ca="1">+IFERROR(INDIRECT("'"&amp;$D$5&amp;"'!Totaalverbruik_2030"),0)
+IFERROR(INDIRECT("'"&amp;$D$6&amp;"'!Totaalverbruik_2030"),0)
+IFERROR(INDIRECT("'"&amp;$D$7&amp;"'!Totaalverbruik_2030"),0)
+IFERROR(INDIRECT("'"&amp;$D$8&amp;"'!Totaalverbruik_2030"),0)
+IFERROR(INDIRECT("'"&amp;$D$9&amp;"'!Totaalverbruik_2030"),0)
+IFERROR(INDIRECT("'"&amp;$D$10&amp;"'!Totaalverbruik_2030"),0)
+IFERROR(INDIRECT("'"&amp;$D$11&amp;"'!Totaalverbruik_2030"),0)
+IFERROR(INDIRECT("'"&amp;$D$12&amp;"'!Totaalverbruik_2030"),0)
+IFERROR(INDIRECT("'"&amp;$D$13&amp;"'!Totaalverbruik_2030"),0)
+IFERROR(INDIRECT("'"&amp;$D$14&amp;"'!Totaalverbruik_2030"),0)
+IFERROR(INDIRECT("'"&amp;$D$15&amp;"'!Totaalverbruik_2030"),0)
+IFERROR(INDIRECT("'"&amp;$D$16&amp;"'!Totaalverbruik_2030"),0)
+IFERROR(INDIRECT("'"&amp;$D$17&amp;"'!Totaalverbruik_2030"),0)
+IFERROR(INDIRECT("'"&amp;$D$18&amp;"'!Totaalverbruik_2030"),0)
+IFERROR(INDIRECT("'"&amp;$D$19&amp;"'!Totaalverbruik_2030"),0)
+IFERROR(INDIRECT("'"&amp;$D$20&amp;"'!Totaalverbruik_2030"),0)
+IFERROR(INDIRECT("'"&amp;$D$21&amp;"'!Totaalverbruik_2030"),0)
+IFERROR(INDIRECT("'"&amp;$D$22&amp;"'!Totaalverbruik_2030"),0)
+IFERROR(INDIRECT("'"&amp;$D$23&amp;"'!Totaalverbruik_2030"),0)
+IFERROR(INDIRECT("'"&amp;$D$24&amp;"'!Totaalverbruik_2030"),0)
+IFERROR(INDIRECT("'"&amp;$D$25&amp;"'!Totaalverbruik_2030"),0)
+IFERROR(INDIRECT("'"&amp;$D$26&amp;"'!Totaalverbruik_2030"),0)
+IFERROR(INDIRECT("'"&amp;$D$27&amp;"'!Totaalverbruik_2030"),0)
+IFERROR(INDIRECT("'"&amp;$D$28&amp;"'!Totaalverbruik_2030"),0)
+IFERROR(INDIRECT("'"&amp;$D$29&amp;"'!Totaalverbruik_2030"),0)
+IFERROR(INDIRECT("'"&amp;$D$30&amp;"'!Totaalverbruik_2030"),0)
+IFERROR(INDIRECT("'"&amp;$D$31&amp;"'!Totaalverbruik_2030"),0)
+IFERROR(INDIRECT("'"&amp;$D$32&amp;"'!Totaalverbruik_2030"),0)
+IFERROR(INDIRECT("'"&amp;$D$33&amp;"'!Totaalverbruik_2030"),0)
+IFERROR(INDIRECT("'"&amp;$D$34&amp;"'!Totaalverbruik_2030"),0)
+IFERROR(INDIRECT("'"&amp;$D$35&amp;"'!Totaalverbruik_2030"),0)
+IFERROR(INDIRECT("'"&amp;$D$36&amp;"'!Totaalverbruik_2030"),0)
+IFERROR(INDIRECT("'"&amp;$D$37&amp;"'!Totaalverbruik_2030"),0)
+IFERROR(INDIRECT("'"&amp;$D$38&amp;"'!Totaalverbruik_2030"),0)
+IFERROR(INDIRECT("'"&amp;$D$39&amp;"'!Totaalverbruik_2030"),0)
+IFERROR(INDIRECT("'"&amp;$D$40&amp;"'!Totaalverbruik_2030"),0)
+IFERROR(INDIRECT("'"&amp;$D$41&amp;"'!Totaalverbruik_2030"),0)
+IFERROR(INDIRECT("'"&amp;$D$42&amp;"'!Totaalverbruik_2030"),0)
+IFERROR(INDIRECT("'"&amp;$D$43&amp;"'!Totaalverbruik_2030"),0)
+IFERROR(INDIRECT("'"&amp;$D$44&amp;"'!Totaalverbruik_2030"),0)
+IFERROR(INDIRECT("'"&amp;$D$45&amp;"'!Totaalverbruik_2030"),0)
+IFERROR(INDIRECT("'"&amp;$D$46&amp;"'!Totaalverbruik_2030"),0)
+IFERROR(INDIRECT("'"&amp;$D$47&amp;"'!Totaalverbruik_2030"),0)
+IFERROR(INDIRECT("'"&amp;$D$48&amp;"'!Totaalverbruik_2030"),0)
+IFERROR(INDIRECT("'"&amp;$D$49&amp;"'!Totaalverbruik_2030"),0)
+IFERROR(INDIRECT("'"&amp;$D$50&amp;"'!Totaalverbruik_2030"),0)
+IFERROR(INDIRECT("'"&amp;$D$51&amp;"'!Totaalverbruik_2030"),0)
+IFERROR(INDIRECT("'"&amp;$D$52&amp;"'!Totaalverbruik_2030"),0)
+IFERROR(INDIRECT("'"&amp;$D$53&amp;"'!Totaalverbruik_2030"),0)
+IFERROR(INDIRECT("'"&amp;$D$54&amp;"'!Totaalverbruik_2030"),0)
+Nieuwbouw!Q51</f>
        <v>1703752.0253303524</v>
      </c>
      <c r="U43" s="321">
        <f ca="1">+IFERROR(INDIRECT("'"&amp;$D$5&amp;"'!Totaalverbruik_2031"),0)
+IFERROR(INDIRECT("'"&amp;$D$6&amp;"'!Totaalverbruik_2031"),0)
+IFERROR(INDIRECT("'"&amp;$D$7&amp;"'!Totaalverbruik_2031"),0)
+IFERROR(INDIRECT("'"&amp;$D$8&amp;"'!Totaalverbruik_2031"),0)
+IFERROR(INDIRECT("'"&amp;$D$9&amp;"'!Totaalverbruik_2031"),0)
+IFERROR(INDIRECT("'"&amp;$D$10&amp;"'!Totaalverbruik_2031"),0)
+IFERROR(INDIRECT("'"&amp;$D$11&amp;"'!Totaalverbruik_2031"),0)
+IFERROR(INDIRECT("'"&amp;$D$12&amp;"'!Totaalverbruik_2031"),0)
+IFERROR(INDIRECT("'"&amp;$D$13&amp;"'!Totaalverbruik_2031"),0)
+IFERROR(INDIRECT("'"&amp;$D$14&amp;"'!Totaalverbruik_2031"),0)
+IFERROR(INDIRECT("'"&amp;$D$15&amp;"'!Totaalverbruik_2031"),0)
+IFERROR(INDIRECT("'"&amp;$D$16&amp;"'!Totaalverbruik_2031"),0)
+IFERROR(INDIRECT("'"&amp;$D$17&amp;"'!Totaalverbruik_2031"),0)
+IFERROR(INDIRECT("'"&amp;$D$18&amp;"'!Totaalverbruik_2031"),0)
+IFERROR(INDIRECT("'"&amp;$D$19&amp;"'!Totaalverbruik_2031"),0)
+IFERROR(INDIRECT("'"&amp;$D$20&amp;"'!Totaalverbruik_2031"),0)
+IFERROR(INDIRECT("'"&amp;$D$21&amp;"'!Totaalverbruik_2031"),0)
+IFERROR(INDIRECT("'"&amp;$D$22&amp;"'!Totaalverbruik_2031"),0)
+IFERROR(INDIRECT("'"&amp;$D$23&amp;"'!Totaalverbruik_2031"),0)
+IFERROR(INDIRECT("'"&amp;$D$24&amp;"'!Totaalverbruik_2031"),0)
+IFERROR(INDIRECT("'"&amp;$D$25&amp;"'!Totaalverbruik_2031"),0)
+IFERROR(INDIRECT("'"&amp;$D$26&amp;"'!Totaalverbruik_2031"),0)
+IFERROR(INDIRECT("'"&amp;$D$27&amp;"'!Totaalverbruik_2031"),0)
+IFERROR(INDIRECT("'"&amp;$D$28&amp;"'!Totaalverbruik_2031"),0)
+IFERROR(INDIRECT("'"&amp;$D$29&amp;"'!Totaalverbruik_2031"),0)
+IFERROR(INDIRECT("'"&amp;$D$30&amp;"'!Totaalverbruik_2031"),0)
+IFERROR(INDIRECT("'"&amp;$D$31&amp;"'!Totaalverbruik_2031"),0)
+IFERROR(INDIRECT("'"&amp;$D$32&amp;"'!Totaalverbruik_2031"),0)
+IFERROR(INDIRECT("'"&amp;$D$33&amp;"'!Totaalverbruik_2031"),0)
+IFERROR(INDIRECT("'"&amp;$D$34&amp;"'!Totaalverbruik_2031"),0)
+IFERROR(INDIRECT("'"&amp;$D$35&amp;"'!Totaalverbruik_2031"),0)
+IFERROR(INDIRECT("'"&amp;$D$36&amp;"'!Totaalverbruik_2031"),0)
+IFERROR(INDIRECT("'"&amp;$D$37&amp;"'!Totaalverbruik_2031"),0)
+IFERROR(INDIRECT("'"&amp;$D$38&amp;"'!Totaalverbruik_2031"),0)
+IFERROR(INDIRECT("'"&amp;$D$39&amp;"'!Totaalverbruik_2031"),0)
+IFERROR(INDIRECT("'"&amp;$D$40&amp;"'!Totaalverbruik_2031"),0)
+IFERROR(INDIRECT("'"&amp;$D$41&amp;"'!Totaalverbruik_2031"),0)
+IFERROR(INDIRECT("'"&amp;$D$42&amp;"'!Totaalverbruik_2031"),0)
+IFERROR(INDIRECT("'"&amp;$D$43&amp;"'!Totaalverbruik_2031"),0)
+IFERROR(INDIRECT("'"&amp;$D$44&amp;"'!Totaalverbruik_2031"),0)
+IFERROR(INDIRECT("'"&amp;$D$45&amp;"'!Totaalverbruik_2031"),0)
+IFERROR(INDIRECT("'"&amp;$D$46&amp;"'!Totaalverbruik_2031"),0)
+IFERROR(INDIRECT("'"&amp;$D$47&amp;"'!Totaalverbruik_2031"),0)
+IFERROR(INDIRECT("'"&amp;$D$48&amp;"'!Totaalverbruik_2031"),0)
+IFERROR(INDIRECT("'"&amp;$D$49&amp;"'!Totaalverbruik_2031"),0)
+IFERROR(INDIRECT("'"&amp;$D$50&amp;"'!Totaalverbruik_2031"),0)
+IFERROR(INDIRECT("'"&amp;$D$51&amp;"'!Totaalverbruik_2031"),0)
+IFERROR(INDIRECT("'"&amp;$D$52&amp;"'!Totaalverbruik_2031"),0)
+IFERROR(INDIRECT("'"&amp;$D$53&amp;"'!Totaalverbruik_2031"),0)
+IFERROR(INDIRECT("'"&amp;$D$54&amp;"'!Totaalverbruik_2031"),0)
+Nieuwbouw!R51</f>
        <v>1678220.4696461381</v>
      </c>
      <c r="V43" s="321">
        <f ca="1">+IFERROR(INDIRECT("'"&amp;$D$5&amp;"'!Totaalverbruik_2032"),0)
+IFERROR(INDIRECT("'"&amp;$D$6&amp;"'!Totaalverbruik_2032"),0)
+IFERROR(INDIRECT("'"&amp;$D$7&amp;"'!Totaalverbruik_2032"),0)
+IFERROR(INDIRECT("'"&amp;$D$8&amp;"'!Totaalverbruik_2032"),0)
+IFERROR(INDIRECT("'"&amp;$D$9&amp;"'!Totaalverbruik_2032"),0)
+IFERROR(INDIRECT("'"&amp;$D$10&amp;"'!Totaalverbruik_2032"),0)
+IFERROR(INDIRECT("'"&amp;$D$11&amp;"'!Totaalverbruik_2032"),0)
+IFERROR(INDIRECT("'"&amp;$D$12&amp;"'!Totaalverbruik_2032"),0)
+IFERROR(INDIRECT("'"&amp;$D$13&amp;"'!Totaalverbruik_2032"),0)
+IFERROR(INDIRECT("'"&amp;$D$14&amp;"'!Totaalverbruik_2032"),0)
+IFERROR(INDIRECT("'"&amp;$D$15&amp;"'!Totaalverbruik_2032"),0)
+IFERROR(INDIRECT("'"&amp;$D$16&amp;"'!Totaalverbruik_2032"),0)
+IFERROR(INDIRECT("'"&amp;$D$17&amp;"'!Totaalverbruik_2032"),0)
+IFERROR(INDIRECT("'"&amp;$D$18&amp;"'!Totaalverbruik_2032"),0)
+IFERROR(INDIRECT("'"&amp;$D$19&amp;"'!Totaalverbruik_2032"),0)
+IFERROR(INDIRECT("'"&amp;$D$20&amp;"'!Totaalverbruik_2032"),0)
+IFERROR(INDIRECT("'"&amp;$D$21&amp;"'!Totaalverbruik_2032"),0)
+IFERROR(INDIRECT("'"&amp;$D$22&amp;"'!Totaalverbruik_2032"),0)
+IFERROR(INDIRECT("'"&amp;$D$23&amp;"'!Totaalverbruik_2032"),0)
+IFERROR(INDIRECT("'"&amp;$D$24&amp;"'!Totaalverbruik_2032"),0)
+IFERROR(INDIRECT("'"&amp;$D$25&amp;"'!Totaalverbruik_2032"),0)
+IFERROR(INDIRECT("'"&amp;$D$26&amp;"'!Totaalverbruik_2032"),0)
+IFERROR(INDIRECT("'"&amp;$D$27&amp;"'!Totaalverbruik_2032"),0)
+IFERROR(INDIRECT("'"&amp;$D$28&amp;"'!Totaalverbruik_2032"),0)
+IFERROR(INDIRECT("'"&amp;$D$29&amp;"'!Totaalverbruik_2032"),0)
+IFERROR(INDIRECT("'"&amp;$D$30&amp;"'!Totaalverbruik_2032"),0)
+IFERROR(INDIRECT("'"&amp;$D$31&amp;"'!Totaalverbruik_2032"),0)
+IFERROR(INDIRECT("'"&amp;$D$32&amp;"'!Totaalverbruik_2032"),0)
+IFERROR(INDIRECT("'"&amp;$D$33&amp;"'!Totaalverbruik_2032"),0)
+IFERROR(INDIRECT("'"&amp;$D$34&amp;"'!Totaalverbruik_2032"),0)
+IFERROR(INDIRECT("'"&amp;$D$35&amp;"'!Totaalverbruik_2032"),0)
+IFERROR(INDIRECT("'"&amp;$D$36&amp;"'!Totaalverbruik_2032"),0)
+IFERROR(INDIRECT("'"&amp;$D$37&amp;"'!Totaalverbruik_2032"),0)
+IFERROR(INDIRECT("'"&amp;$D$38&amp;"'!Totaalverbruik_2032"),0)
+IFERROR(INDIRECT("'"&amp;$D$39&amp;"'!Totaalverbruik_2032"),0)
+IFERROR(INDIRECT("'"&amp;$D$40&amp;"'!Totaalverbruik_2032"),0)
+IFERROR(INDIRECT("'"&amp;$D$41&amp;"'!Totaalverbruik_2032"),0)
+IFERROR(INDIRECT("'"&amp;$D$42&amp;"'!Totaalverbruik_2032"),0)
+IFERROR(INDIRECT("'"&amp;$D$43&amp;"'!Totaalverbruik_2032"),0)
+IFERROR(INDIRECT("'"&amp;$D$44&amp;"'!Totaalverbruik_2032"),0)
+IFERROR(INDIRECT("'"&amp;$D$45&amp;"'!Totaalverbruik_2032"),0)
+IFERROR(INDIRECT("'"&amp;$D$46&amp;"'!Totaalverbruik_2032"),0)
+IFERROR(INDIRECT("'"&amp;$D$47&amp;"'!Totaalverbruik_2032"),0)
+IFERROR(INDIRECT("'"&amp;$D$48&amp;"'!Totaalverbruik_2032"),0)
+IFERROR(INDIRECT("'"&amp;$D$49&amp;"'!Totaalverbruik_2032"),0)
+IFERROR(INDIRECT("'"&amp;$D$50&amp;"'!Totaalverbruik_2032"),0)
+IFERROR(INDIRECT("'"&amp;$D$51&amp;"'!Totaalverbruik_2032"),0)
+IFERROR(INDIRECT("'"&amp;$D$52&amp;"'!Totaalverbruik_2032"),0)
+IFERROR(INDIRECT("'"&amp;$D$53&amp;"'!Totaalverbruik_2032"),0)
+IFERROR(INDIRECT("'"&amp;$D$54&amp;"'!Totaalverbruik_2032"),0)
+Nieuwbouw!S51</f>
        <v>1520585.6383937572</v>
      </c>
      <c r="W43" s="321">
        <f ca="1">+IFERROR(INDIRECT("'"&amp;$D$5&amp;"'!Totaalverbruik_2033"),0)
+IFERROR(INDIRECT("'"&amp;$D$6&amp;"'!Totaalverbruik_2033"),0)
+IFERROR(INDIRECT("'"&amp;$D$7&amp;"'!Totaalverbruik_2033"),0)
+IFERROR(INDIRECT("'"&amp;$D$8&amp;"'!Totaalverbruik_2033"),0)
+IFERROR(INDIRECT("'"&amp;$D$9&amp;"'!Totaalverbruik_2033"),0)
+IFERROR(INDIRECT("'"&amp;$D$10&amp;"'!Totaalverbruik_2033"),0)
+IFERROR(INDIRECT("'"&amp;$D$11&amp;"'!Totaalverbruik_2033"),0)
+IFERROR(INDIRECT("'"&amp;$D$12&amp;"'!Totaalverbruik_2033"),0)
+IFERROR(INDIRECT("'"&amp;$D$13&amp;"'!Totaalverbruik_2033"),0)
+IFERROR(INDIRECT("'"&amp;$D$14&amp;"'!Totaalverbruik_2033"),0)
+IFERROR(INDIRECT("'"&amp;$D$15&amp;"'!Totaalverbruik_2033"),0)
+IFERROR(INDIRECT("'"&amp;$D$16&amp;"'!Totaalverbruik_2033"),0)
+IFERROR(INDIRECT("'"&amp;$D$17&amp;"'!Totaalverbruik_2033"),0)
+IFERROR(INDIRECT("'"&amp;$D$18&amp;"'!Totaalverbruik_2033"),0)
+IFERROR(INDIRECT("'"&amp;$D$19&amp;"'!Totaalverbruik_2033"),0)
+IFERROR(INDIRECT("'"&amp;$D$20&amp;"'!Totaalverbruik_2033"),0)
+IFERROR(INDIRECT("'"&amp;$D$21&amp;"'!Totaalverbruik_2033"),0)
+IFERROR(INDIRECT("'"&amp;$D$22&amp;"'!Totaalverbruik_2033"),0)
+IFERROR(INDIRECT("'"&amp;$D$23&amp;"'!Totaalverbruik_2033"),0)
+IFERROR(INDIRECT("'"&amp;$D$24&amp;"'!Totaalverbruik_2033"),0)
+IFERROR(INDIRECT("'"&amp;$D$25&amp;"'!Totaalverbruik_2033"),0)
+IFERROR(INDIRECT("'"&amp;$D$26&amp;"'!Totaalverbruik_2033"),0)
+IFERROR(INDIRECT("'"&amp;$D$27&amp;"'!Totaalverbruik_2033"),0)
+IFERROR(INDIRECT("'"&amp;$D$28&amp;"'!Totaalverbruik_2033"),0)
+IFERROR(INDIRECT("'"&amp;$D$29&amp;"'!Totaalverbruik_2033"),0)
+IFERROR(INDIRECT("'"&amp;$D$30&amp;"'!Totaalverbruik_2033"),0)
+IFERROR(INDIRECT("'"&amp;$D$31&amp;"'!Totaalverbruik_2033"),0)
+IFERROR(INDIRECT("'"&amp;$D$32&amp;"'!Totaalverbruik_2033"),0)
+IFERROR(INDIRECT("'"&amp;$D$33&amp;"'!Totaalverbruik_2033"),0)
+IFERROR(INDIRECT("'"&amp;$D$34&amp;"'!Totaalverbruik_2033"),0)
+IFERROR(INDIRECT("'"&amp;$D$35&amp;"'!Totaalverbruik_2033"),0)
+IFERROR(INDIRECT("'"&amp;$D$36&amp;"'!Totaalverbruik_2033"),0)
+IFERROR(INDIRECT("'"&amp;$D$37&amp;"'!Totaalverbruik_2033"),0)
+IFERROR(INDIRECT("'"&amp;$D$38&amp;"'!Totaalverbruik_2033"),0)
+IFERROR(INDIRECT("'"&amp;$D$39&amp;"'!Totaalverbruik_2033"),0)
+IFERROR(INDIRECT("'"&amp;$D$40&amp;"'!Totaalverbruik_2033"),0)
+IFERROR(INDIRECT("'"&amp;$D$41&amp;"'!Totaalverbruik_2033"),0)
+IFERROR(INDIRECT("'"&amp;$D$42&amp;"'!Totaalverbruik_2033"),0)
+IFERROR(INDIRECT("'"&amp;$D$43&amp;"'!Totaalverbruik_2033"),0)
+IFERROR(INDIRECT("'"&amp;$D$44&amp;"'!Totaalverbruik_2033"),0)
+IFERROR(INDIRECT("'"&amp;$D$45&amp;"'!Totaalverbruik_2033"),0)
+IFERROR(INDIRECT("'"&amp;$D$46&amp;"'!Totaalverbruik_2033"),0)
+IFERROR(INDIRECT("'"&amp;$D$47&amp;"'!Totaalverbruik_2033"),0)
+IFERROR(INDIRECT("'"&amp;$D$48&amp;"'!Totaalverbruik_2033"),0)
+IFERROR(INDIRECT("'"&amp;$D$49&amp;"'!Totaalverbruik_2033"),0)
+IFERROR(INDIRECT("'"&amp;$D$50&amp;"'!Totaalverbruik_2033"),0)
+IFERROR(INDIRECT("'"&amp;$D$51&amp;"'!Totaalverbruik_2033"),0)
+IFERROR(INDIRECT("'"&amp;$D$52&amp;"'!Totaalverbruik_2033"),0)
+IFERROR(INDIRECT("'"&amp;$D$53&amp;"'!Totaalverbruik_2033"),0)
+IFERROR(INDIRECT("'"&amp;$D$54&amp;"'!Totaalverbruik_2033"),0)
+Nieuwbouw!T51</f>
        <v>1520585.6383937572</v>
      </c>
      <c r="X43" s="321">
        <f ca="1">+IFERROR(INDIRECT("'"&amp;$D$5&amp;"'!Totaalverbruik_2034"),0)
+IFERROR(INDIRECT("'"&amp;$D$6&amp;"'!Totaalverbruik_2034"),0)
+IFERROR(INDIRECT("'"&amp;$D$7&amp;"'!Totaalverbruik_2034"),0)
+IFERROR(INDIRECT("'"&amp;$D$8&amp;"'!Totaalverbruik_2034"),0)
+IFERROR(INDIRECT("'"&amp;$D$9&amp;"'!Totaalverbruik_2034"),0)
+IFERROR(INDIRECT("'"&amp;$D$10&amp;"'!Totaalverbruik_2034"),0)
+IFERROR(INDIRECT("'"&amp;$D$11&amp;"'!Totaalverbruik_2034"),0)
+IFERROR(INDIRECT("'"&amp;$D$12&amp;"'!Totaalverbruik_2034"),0)
+IFERROR(INDIRECT("'"&amp;$D$13&amp;"'!Totaalverbruik_2034"),0)
+IFERROR(INDIRECT("'"&amp;$D$14&amp;"'!Totaalverbruik_2034"),0)
+IFERROR(INDIRECT("'"&amp;$D$15&amp;"'!Totaalverbruik_2034"),0)
+IFERROR(INDIRECT("'"&amp;$D$16&amp;"'!Totaalverbruik_2034"),0)
+IFERROR(INDIRECT("'"&amp;$D$17&amp;"'!Totaalverbruik_2034"),0)
+IFERROR(INDIRECT("'"&amp;$D$18&amp;"'!Totaalverbruik_2034"),0)
+IFERROR(INDIRECT("'"&amp;$D$19&amp;"'!Totaalverbruik_2034"),0)
+IFERROR(INDIRECT("'"&amp;$D$20&amp;"'!Totaalverbruik_2034"),0)
+IFERROR(INDIRECT("'"&amp;$D$21&amp;"'!Totaalverbruik_2034"),0)
+IFERROR(INDIRECT("'"&amp;$D$22&amp;"'!Totaalverbruik_2034"),0)
+IFERROR(INDIRECT("'"&amp;$D$23&amp;"'!Totaalverbruik_2034"),0)
+IFERROR(INDIRECT("'"&amp;$D$24&amp;"'!Totaalverbruik_2034"),0)
+IFERROR(INDIRECT("'"&amp;$D$25&amp;"'!Totaalverbruik_2034"),0)
+IFERROR(INDIRECT("'"&amp;$D$26&amp;"'!Totaalverbruik_2034"),0)
+IFERROR(INDIRECT("'"&amp;$D$27&amp;"'!Totaalverbruik_2034"),0)
+IFERROR(INDIRECT("'"&amp;$D$28&amp;"'!Totaalverbruik_2034"),0)
+IFERROR(INDIRECT("'"&amp;$D$29&amp;"'!Totaalverbruik_2034"),0)
+IFERROR(INDIRECT("'"&amp;$D$30&amp;"'!Totaalverbruik_2034"),0)
+IFERROR(INDIRECT("'"&amp;$D$31&amp;"'!Totaalverbruik_2034"),0)
+IFERROR(INDIRECT("'"&amp;$D$32&amp;"'!Totaalverbruik_2034"),0)
+IFERROR(INDIRECT("'"&amp;$D$33&amp;"'!Totaalverbruik_2034"),0)
+IFERROR(INDIRECT("'"&amp;$D$34&amp;"'!Totaalverbruik_2034"),0)
+IFERROR(INDIRECT("'"&amp;$D$35&amp;"'!Totaalverbruik_2034"),0)
+IFERROR(INDIRECT("'"&amp;$D$36&amp;"'!Totaalverbruik_2034"),0)
+IFERROR(INDIRECT("'"&amp;$D$37&amp;"'!Totaalverbruik_2034"),0)
+IFERROR(INDIRECT("'"&amp;$D$38&amp;"'!Totaalverbruik_2034"),0)
+IFERROR(INDIRECT("'"&amp;$D$39&amp;"'!Totaalverbruik_2034"),0)
+IFERROR(INDIRECT("'"&amp;$D$40&amp;"'!Totaalverbruik_2034"),0)
+IFERROR(INDIRECT("'"&amp;$D$41&amp;"'!Totaalverbruik_2034"),0)
+IFERROR(INDIRECT("'"&amp;$D$42&amp;"'!Totaalverbruik_2034"),0)
+IFERROR(INDIRECT("'"&amp;$D$43&amp;"'!Totaalverbruik_2034"),0)
+IFERROR(INDIRECT("'"&amp;$D$44&amp;"'!Totaalverbruik_2034"),0)
+IFERROR(INDIRECT("'"&amp;$D$45&amp;"'!Totaalverbruik_2034"),0)
+IFERROR(INDIRECT("'"&amp;$D$46&amp;"'!Totaalverbruik_2034"),0)
+IFERROR(INDIRECT("'"&amp;$D$47&amp;"'!Totaalverbruik_2034"),0)
+IFERROR(INDIRECT("'"&amp;$D$48&amp;"'!Totaalverbruik_2034"),0)
+IFERROR(INDIRECT("'"&amp;$D$49&amp;"'!Totaalverbruik_2034"),0)
+IFERROR(INDIRECT("'"&amp;$D$50&amp;"'!Totaalverbruik_2034"),0)
+IFERROR(INDIRECT("'"&amp;$D$51&amp;"'!Totaalverbruik_2034"),0)
+IFERROR(INDIRECT("'"&amp;$D$52&amp;"'!Totaalverbruik_2034"),0)
+IFERROR(INDIRECT("'"&amp;$D$53&amp;"'!Totaalverbruik_2034"),0)
+IFERROR(INDIRECT("'"&amp;$D$54&amp;"'!Totaalverbruik_2034"),0)
+Nieuwbouw!U51</f>
        <v>1520585.6383937572</v>
      </c>
      <c r="Y43" s="321">
        <f ca="1">+IFERROR(INDIRECT("'"&amp;$D$5&amp;"'!Totaalverbruik_2035"),0)
+IFERROR(INDIRECT("'"&amp;$D$6&amp;"'!Totaalverbruik_2035"),0)
+IFERROR(INDIRECT("'"&amp;$D$7&amp;"'!Totaalverbruik_2035"),0)
+IFERROR(INDIRECT("'"&amp;$D$8&amp;"'!Totaalverbruik_2035"),0)
+IFERROR(INDIRECT("'"&amp;$D$9&amp;"'!Totaalverbruik_2035"),0)
+IFERROR(INDIRECT("'"&amp;$D$10&amp;"'!Totaalverbruik_2035"),0)
+IFERROR(INDIRECT("'"&amp;$D$11&amp;"'!Totaalverbruik_2035"),0)
+IFERROR(INDIRECT("'"&amp;$D$12&amp;"'!Totaalverbruik_2035"),0)
+IFERROR(INDIRECT("'"&amp;$D$13&amp;"'!Totaalverbruik_2035"),0)
+IFERROR(INDIRECT("'"&amp;$D$14&amp;"'!Totaalverbruik_2035"),0)
+IFERROR(INDIRECT("'"&amp;$D$15&amp;"'!Totaalverbruik_2035"),0)
+IFERROR(INDIRECT("'"&amp;$D$16&amp;"'!Totaalverbruik_2035"),0)
+IFERROR(INDIRECT("'"&amp;$D$17&amp;"'!Totaalverbruik_2035"),0)
+IFERROR(INDIRECT("'"&amp;$D$18&amp;"'!Totaalverbruik_2035"),0)
+IFERROR(INDIRECT("'"&amp;$D$19&amp;"'!Totaalverbruik_2035"),0)
+IFERROR(INDIRECT("'"&amp;$D$20&amp;"'!Totaalverbruik_2035"),0)
+IFERROR(INDIRECT("'"&amp;$D$21&amp;"'!Totaalverbruik_2035"),0)
+IFERROR(INDIRECT("'"&amp;$D$22&amp;"'!Totaalverbruik_2035"),0)
+IFERROR(INDIRECT("'"&amp;$D$23&amp;"'!Totaalverbruik_2035"),0)
+IFERROR(INDIRECT("'"&amp;$D$24&amp;"'!Totaalverbruik_2035"),0)
+IFERROR(INDIRECT("'"&amp;$D$25&amp;"'!Totaalverbruik_2035"),0)
+IFERROR(INDIRECT("'"&amp;$D$26&amp;"'!Totaalverbruik_2035"),0)
+IFERROR(INDIRECT("'"&amp;$D$27&amp;"'!Totaalverbruik_2035"),0)
+IFERROR(INDIRECT("'"&amp;$D$28&amp;"'!Totaalverbruik_2035"),0)
+IFERROR(INDIRECT("'"&amp;$D$29&amp;"'!Totaalverbruik_2035"),0)
+IFERROR(INDIRECT("'"&amp;$D$30&amp;"'!Totaalverbruik_2035"),0)
+IFERROR(INDIRECT("'"&amp;$D$31&amp;"'!Totaalverbruik_2035"),0)
+IFERROR(INDIRECT("'"&amp;$D$32&amp;"'!Totaalverbruik_2035"),0)
+IFERROR(INDIRECT("'"&amp;$D$33&amp;"'!Totaalverbruik_2035"),0)
+IFERROR(INDIRECT("'"&amp;$D$34&amp;"'!Totaalverbruik_2035"),0)
+IFERROR(INDIRECT("'"&amp;$D$35&amp;"'!Totaalverbruik_2035"),0)
+IFERROR(INDIRECT("'"&amp;$D$36&amp;"'!Totaalverbruik_2035"),0)
+IFERROR(INDIRECT("'"&amp;$D$37&amp;"'!Totaalverbruik_2035"),0)
+IFERROR(INDIRECT("'"&amp;$D$38&amp;"'!Totaalverbruik_2035"),0)
+IFERROR(INDIRECT("'"&amp;$D$39&amp;"'!Totaalverbruik_2035"),0)
+IFERROR(INDIRECT("'"&amp;$D$40&amp;"'!Totaalverbruik_2035"),0)
+IFERROR(INDIRECT("'"&amp;$D$41&amp;"'!Totaalverbruik_2035"),0)
+IFERROR(INDIRECT("'"&amp;$D$42&amp;"'!Totaalverbruik_2035"),0)
+IFERROR(INDIRECT("'"&amp;$D$43&amp;"'!Totaalverbruik_2035"),0)
+IFERROR(INDIRECT("'"&amp;$D$44&amp;"'!Totaalverbruik_2035"),0)
+IFERROR(INDIRECT("'"&amp;$D$45&amp;"'!Totaalverbruik_2035"),0)
+IFERROR(INDIRECT("'"&amp;$D$46&amp;"'!Totaalverbruik_2035"),0)
+IFERROR(INDIRECT("'"&amp;$D$47&amp;"'!Totaalverbruik_2035"),0)
+IFERROR(INDIRECT("'"&amp;$D$48&amp;"'!Totaalverbruik_2035"),0)
+IFERROR(INDIRECT("'"&amp;$D$49&amp;"'!Totaalverbruik_2035"),0)
+IFERROR(INDIRECT("'"&amp;$D$50&amp;"'!Totaalverbruik_2035"),0)
+IFERROR(INDIRECT("'"&amp;$D$51&amp;"'!Totaalverbruik_2035"),0)
+IFERROR(INDIRECT("'"&amp;$D$52&amp;"'!Totaalverbruik_2035"),0)
+IFERROR(INDIRECT("'"&amp;$D$53&amp;"'!Totaalverbruik_2035"),0)
+IFERROR(INDIRECT("'"&amp;$D$54&amp;"'!Totaalverbruik_2035"),0)
+Nieuwbouw!V51</f>
        <v>1520585.6383937572</v>
      </c>
      <c r="Z43" s="321">
        <f ca="1">+IFERROR(INDIRECT("'"&amp;$D$5&amp;"'!Totaalverbruik_2036"),0)
+IFERROR(INDIRECT("'"&amp;$D$6&amp;"'!Totaalverbruik_2036"),0)
+IFERROR(INDIRECT("'"&amp;$D$7&amp;"'!Totaalverbruik_2036"),0)
+IFERROR(INDIRECT("'"&amp;$D$8&amp;"'!Totaalverbruik_2036"),0)
+IFERROR(INDIRECT("'"&amp;$D$9&amp;"'!Totaalverbruik_2036"),0)
+IFERROR(INDIRECT("'"&amp;$D$10&amp;"'!Totaalverbruik_2036"),0)
+IFERROR(INDIRECT("'"&amp;$D$11&amp;"'!Totaalverbruik_2036"),0)
+IFERROR(INDIRECT("'"&amp;$D$12&amp;"'!Totaalverbruik_2036"),0)
+IFERROR(INDIRECT("'"&amp;$D$13&amp;"'!Totaalverbruik_2036"),0)
+IFERROR(INDIRECT("'"&amp;$D$14&amp;"'!Totaalverbruik_2036"),0)
+IFERROR(INDIRECT("'"&amp;$D$15&amp;"'!Totaalverbruik_2036"),0)
+IFERROR(INDIRECT("'"&amp;$D$16&amp;"'!Totaalverbruik_2036"),0)
+IFERROR(INDIRECT("'"&amp;$D$17&amp;"'!Totaalverbruik_2036"),0)
+IFERROR(INDIRECT("'"&amp;$D$18&amp;"'!Totaalverbruik_2036"),0)
+IFERROR(INDIRECT("'"&amp;$D$19&amp;"'!Totaalverbruik_2036"),0)
+IFERROR(INDIRECT("'"&amp;$D$20&amp;"'!Totaalverbruik_2036"),0)
+IFERROR(INDIRECT("'"&amp;$D$21&amp;"'!Totaalverbruik_2036"),0)
+IFERROR(INDIRECT("'"&amp;$D$22&amp;"'!Totaalverbruik_2036"),0)
+IFERROR(INDIRECT("'"&amp;$D$23&amp;"'!Totaalverbruik_2036"),0)
+IFERROR(INDIRECT("'"&amp;$D$24&amp;"'!Totaalverbruik_2036"),0)
+IFERROR(INDIRECT("'"&amp;$D$25&amp;"'!Totaalverbruik_2036"),0)
+IFERROR(INDIRECT("'"&amp;$D$26&amp;"'!Totaalverbruik_2036"),0)
+IFERROR(INDIRECT("'"&amp;$D$27&amp;"'!Totaalverbruik_2036"),0)
+IFERROR(INDIRECT("'"&amp;$D$28&amp;"'!Totaalverbruik_2036"),0)
+IFERROR(INDIRECT("'"&amp;$D$29&amp;"'!Totaalverbruik_2036"),0)
+IFERROR(INDIRECT("'"&amp;$D$30&amp;"'!Totaalverbruik_2036"),0)
+IFERROR(INDIRECT("'"&amp;$D$31&amp;"'!Totaalverbruik_2036"),0)
+IFERROR(INDIRECT("'"&amp;$D$32&amp;"'!Totaalverbruik_2036"),0)
+IFERROR(INDIRECT("'"&amp;$D$33&amp;"'!Totaalverbruik_2036"),0)
+IFERROR(INDIRECT("'"&amp;$D$34&amp;"'!Totaalverbruik_2036"),0)
+IFERROR(INDIRECT("'"&amp;$D$35&amp;"'!Totaalverbruik_2036"),0)
+IFERROR(INDIRECT("'"&amp;$D$36&amp;"'!Totaalverbruik_2036"),0)
+IFERROR(INDIRECT("'"&amp;$D$37&amp;"'!Totaalverbruik_2036"),0)
+IFERROR(INDIRECT("'"&amp;$D$38&amp;"'!Totaalverbruik_2036"),0)
+IFERROR(INDIRECT("'"&amp;$D$39&amp;"'!Totaalverbruik_2036"),0)
+IFERROR(INDIRECT("'"&amp;$D$40&amp;"'!Totaalverbruik_2036"),0)
+IFERROR(INDIRECT("'"&amp;$D$41&amp;"'!Totaalverbruik_2036"),0)
+IFERROR(INDIRECT("'"&amp;$D$42&amp;"'!Totaalverbruik_2036"),0)
+IFERROR(INDIRECT("'"&amp;$D$43&amp;"'!Totaalverbruik_2036"),0)
+IFERROR(INDIRECT("'"&amp;$D$44&amp;"'!Totaalverbruik_2036"),0)
+IFERROR(INDIRECT("'"&amp;$D$45&amp;"'!Totaalverbruik_2036"),0)
+IFERROR(INDIRECT("'"&amp;$D$46&amp;"'!Totaalverbruik_2036"),0)
+IFERROR(INDIRECT("'"&amp;$D$47&amp;"'!Totaalverbruik_2036"),0)
+IFERROR(INDIRECT("'"&amp;$D$48&amp;"'!Totaalverbruik_2036"),0)
+IFERROR(INDIRECT("'"&amp;$D$49&amp;"'!Totaalverbruik_2036"),0)
+IFERROR(INDIRECT("'"&amp;$D$50&amp;"'!Totaalverbruik_2036"),0)
+IFERROR(INDIRECT("'"&amp;$D$51&amp;"'!Totaalverbruik_2036"),0)
+IFERROR(INDIRECT("'"&amp;$D$52&amp;"'!Totaalverbruik_2036"),0)
+IFERROR(INDIRECT("'"&amp;$D$53&amp;"'!Totaalverbruik_2036"),0)
+IFERROR(INDIRECT("'"&amp;$D$54&amp;"'!Totaalverbruik_2036"),0)
+Nieuwbouw!W51</f>
        <v>1443990.9713411145</v>
      </c>
      <c r="AA43" s="321">
        <f ca="1">+IFERROR(INDIRECT("'"&amp;$D$5&amp;"'!Totaalverbruik_2037"),0)
+IFERROR(INDIRECT("'"&amp;$D$6&amp;"'!Totaalverbruik_2037"),0)
+IFERROR(INDIRECT("'"&amp;$D$7&amp;"'!Totaalverbruik_2037"),0)
+IFERROR(INDIRECT("'"&amp;$D$8&amp;"'!Totaalverbruik_2037"),0)
+IFERROR(INDIRECT("'"&amp;$D$9&amp;"'!Totaalverbruik_2037"),0)
+IFERROR(INDIRECT("'"&amp;$D$10&amp;"'!Totaalverbruik_2037"),0)
+IFERROR(INDIRECT("'"&amp;$D$11&amp;"'!Totaalverbruik_2037"),0)
+IFERROR(INDIRECT("'"&amp;$D$12&amp;"'!Totaalverbruik_2037"),0)
+IFERROR(INDIRECT("'"&amp;$D$13&amp;"'!Totaalverbruik_2037"),0)
+IFERROR(INDIRECT("'"&amp;$D$14&amp;"'!Totaalverbruik_2037"),0)
+IFERROR(INDIRECT("'"&amp;$D$15&amp;"'!Totaalverbruik_2037"),0)
+IFERROR(INDIRECT("'"&amp;$D$16&amp;"'!Totaalverbruik_2037"),0)
+IFERROR(INDIRECT("'"&amp;$D$17&amp;"'!Totaalverbruik_2037"),0)
+IFERROR(INDIRECT("'"&amp;$D$18&amp;"'!Totaalverbruik_2037"),0)
+IFERROR(INDIRECT("'"&amp;$D$19&amp;"'!Totaalverbruik_2037"),0)
+IFERROR(INDIRECT("'"&amp;$D$20&amp;"'!Totaalverbruik_2037"),0)
+IFERROR(INDIRECT("'"&amp;$D$21&amp;"'!Totaalverbruik_2037"),0)
+IFERROR(INDIRECT("'"&amp;$D$22&amp;"'!Totaalverbruik_2037"),0)
+IFERROR(INDIRECT("'"&amp;$D$23&amp;"'!Totaalverbruik_2037"),0)
+IFERROR(INDIRECT("'"&amp;$D$24&amp;"'!Totaalverbruik_2037"),0)
+IFERROR(INDIRECT("'"&amp;$D$25&amp;"'!Totaalverbruik_2037"),0)
+IFERROR(INDIRECT("'"&amp;$D$26&amp;"'!Totaalverbruik_2037"),0)
+IFERROR(INDIRECT("'"&amp;$D$27&amp;"'!Totaalverbruik_2037"),0)
+IFERROR(INDIRECT("'"&amp;$D$28&amp;"'!Totaalverbruik_2037"),0)
+IFERROR(INDIRECT("'"&amp;$D$29&amp;"'!Totaalverbruik_2037"),0)
+IFERROR(INDIRECT("'"&amp;$D$30&amp;"'!Totaalverbruik_2037"),0)
+IFERROR(INDIRECT("'"&amp;$D$31&amp;"'!Totaalverbruik_2037"),0)
+IFERROR(INDIRECT("'"&amp;$D$32&amp;"'!Totaalverbruik_2037"),0)
+IFERROR(INDIRECT("'"&amp;$D$33&amp;"'!Totaalverbruik_2037"),0)
+IFERROR(INDIRECT("'"&amp;$D$34&amp;"'!Totaalverbruik_2037"),0)
+IFERROR(INDIRECT("'"&amp;$D$35&amp;"'!Totaalverbruik_2037"),0)
+IFERROR(INDIRECT("'"&amp;$D$36&amp;"'!Totaalverbruik_2037"),0)
+IFERROR(INDIRECT("'"&amp;$D$37&amp;"'!Totaalverbruik_2037"),0)
+IFERROR(INDIRECT("'"&amp;$D$38&amp;"'!Totaalverbruik_2037"),0)
+IFERROR(INDIRECT("'"&amp;$D$39&amp;"'!Totaalverbruik_2037"),0)
+IFERROR(INDIRECT("'"&amp;$D$40&amp;"'!Totaalverbruik_2037"),0)
+IFERROR(INDIRECT("'"&amp;$D$41&amp;"'!Totaalverbruik_2037"),0)
+IFERROR(INDIRECT("'"&amp;$D$42&amp;"'!Totaalverbruik_2037"),0)
+IFERROR(INDIRECT("'"&amp;$D$43&amp;"'!Totaalverbruik_2037"),0)
+IFERROR(INDIRECT("'"&amp;$D$44&amp;"'!Totaalverbruik_2037"),0)
+IFERROR(INDIRECT("'"&amp;$D$45&amp;"'!Totaalverbruik_2037"),0)
+IFERROR(INDIRECT("'"&amp;$D$46&amp;"'!Totaalverbruik_2037"),0)
+IFERROR(INDIRECT("'"&amp;$D$47&amp;"'!Totaalverbruik_2037"),0)
+IFERROR(INDIRECT("'"&amp;$D$48&amp;"'!Totaalverbruik_2037"),0)
+IFERROR(INDIRECT("'"&amp;$D$49&amp;"'!Totaalverbruik_2037"),0)
+IFERROR(INDIRECT("'"&amp;$D$50&amp;"'!Totaalverbruik_2037"),0)
+IFERROR(INDIRECT("'"&amp;$D$51&amp;"'!Totaalverbruik_2037"),0)
+IFERROR(INDIRECT("'"&amp;$D$52&amp;"'!Totaalverbruik_2037"),0)
+IFERROR(INDIRECT("'"&amp;$D$53&amp;"'!Totaalverbruik_2037"),0)
+IFERROR(INDIRECT("'"&amp;$D$54&amp;"'!Totaalverbruik_2037"),0)
+Nieuwbouw!X51</f>
        <v>1443990.9713411145</v>
      </c>
      <c r="AB43" s="321">
        <f ca="1">+IFERROR(INDIRECT("'"&amp;$D$5&amp;"'!Totaalverbruik_2038"),0)
+IFERROR(INDIRECT("'"&amp;$D$6&amp;"'!Totaalverbruik_2038"),0)
+IFERROR(INDIRECT("'"&amp;$D$7&amp;"'!Totaalverbruik_2038"),0)
+IFERROR(INDIRECT("'"&amp;$D$8&amp;"'!Totaalverbruik_2038"),0)
+IFERROR(INDIRECT("'"&amp;$D$9&amp;"'!Totaalverbruik_2038"),0)
+IFERROR(INDIRECT("'"&amp;$D$10&amp;"'!Totaalverbruik_2038"),0)
+IFERROR(INDIRECT("'"&amp;$D$11&amp;"'!Totaalverbruik_2038"),0)
+IFERROR(INDIRECT("'"&amp;$D$12&amp;"'!Totaalverbruik_2038"),0)
+IFERROR(INDIRECT("'"&amp;$D$13&amp;"'!Totaalverbruik_2038"),0)
+IFERROR(INDIRECT("'"&amp;$D$14&amp;"'!Totaalverbruik_2038"),0)
+IFERROR(INDIRECT("'"&amp;$D$15&amp;"'!Totaalverbruik_2038"),0)
+IFERROR(INDIRECT("'"&amp;$D$16&amp;"'!Totaalverbruik_2038"),0)
+IFERROR(INDIRECT("'"&amp;$D$17&amp;"'!Totaalverbruik_2038"),0)
+IFERROR(INDIRECT("'"&amp;$D$18&amp;"'!Totaalverbruik_2038"),0)
+IFERROR(INDIRECT("'"&amp;$D$19&amp;"'!Totaalverbruik_2038"),0)
+IFERROR(INDIRECT("'"&amp;$D$20&amp;"'!Totaalverbruik_2038"),0)
+IFERROR(INDIRECT("'"&amp;$D$21&amp;"'!Totaalverbruik_2038"),0)
+IFERROR(INDIRECT("'"&amp;$D$22&amp;"'!Totaalverbruik_2038"),0)
+IFERROR(INDIRECT("'"&amp;$D$23&amp;"'!Totaalverbruik_2038"),0)
+IFERROR(INDIRECT("'"&amp;$D$24&amp;"'!Totaalverbruik_2038"),0)
+IFERROR(INDIRECT("'"&amp;$D$25&amp;"'!Totaalverbruik_2038"),0)
+IFERROR(INDIRECT("'"&amp;$D$26&amp;"'!Totaalverbruik_2038"),0)
+IFERROR(INDIRECT("'"&amp;$D$27&amp;"'!Totaalverbruik_2038"),0)
+IFERROR(INDIRECT("'"&amp;$D$28&amp;"'!Totaalverbruik_2038"),0)
+IFERROR(INDIRECT("'"&amp;$D$29&amp;"'!Totaalverbruik_2038"),0)
+IFERROR(INDIRECT("'"&amp;$D$30&amp;"'!Totaalverbruik_2038"),0)
+IFERROR(INDIRECT("'"&amp;$D$31&amp;"'!Totaalverbruik_2038"),0)
+IFERROR(INDIRECT("'"&amp;$D$32&amp;"'!Totaalverbruik_2038"),0)
+IFERROR(INDIRECT("'"&amp;$D$33&amp;"'!Totaalverbruik_2038"),0)
+IFERROR(INDIRECT("'"&amp;$D$34&amp;"'!Totaalverbruik_2038"),0)
+IFERROR(INDIRECT("'"&amp;$D$35&amp;"'!Totaalverbruik_2038"),0)
+IFERROR(INDIRECT("'"&amp;$D$36&amp;"'!Totaalverbruik_2038"),0)
+IFERROR(INDIRECT("'"&amp;$D$37&amp;"'!Totaalverbruik_2038"),0)
+IFERROR(INDIRECT("'"&amp;$D$38&amp;"'!Totaalverbruik_2038"),0)
+IFERROR(INDIRECT("'"&amp;$D$39&amp;"'!Totaalverbruik_2038"),0)
+IFERROR(INDIRECT("'"&amp;$D$40&amp;"'!Totaalverbruik_2038"),0)
+IFERROR(INDIRECT("'"&amp;$D$41&amp;"'!Totaalverbruik_2038"),0)
+IFERROR(INDIRECT("'"&amp;$D$42&amp;"'!Totaalverbruik_2038"),0)
+IFERROR(INDIRECT("'"&amp;$D$43&amp;"'!Totaalverbruik_2038"),0)
+IFERROR(INDIRECT("'"&amp;$D$44&amp;"'!Totaalverbruik_2038"),0)
+IFERROR(INDIRECT("'"&amp;$D$45&amp;"'!Totaalverbruik_2038"),0)
+IFERROR(INDIRECT("'"&amp;$D$46&amp;"'!Totaalverbruik_2038"),0)
+IFERROR(INDIRECT("'"&amp;$D$47&amp;"'!Totaalverbruik_2038"),0)
+IFERROR(INDIRECT("'"&amp;$D$48&amp;"'!Totaalverbruik_2038"),0)
+IFERROR(INDIRECT("'"&amp;$D$49&amp;"'!Totaalverbruik_2038"),0)
+IFERROR(INDIRECT("'"&amp;$D$50&amp;"'!Totaalverbruik_2038"),0)
+IFERROR(INDIRECT("'"&amp;$D$51&amp;"'!Totaalverbruik_2038"),0)
+IFERROR(INDIRECT("'"&amp;$D$52&amp;"'!Totaalverbruik_2038"),0)
+IFERROR(INDIRECT("'"&amp;$D$53&amp;"'!Totaalverbruik_2038"),0)
+IFERROR(INDIRECT("'"&amp;$D$54&amp;"'!Totaalverbruik_2038"),0)
+Nieuwbouw!Y51</f>
        <v>1443990.9713411145</v>
      </c>
      <c r="AC43" s="321">
        <f ca="1">+IFERROR(INDIRECT("'"&amp;$D$5&amp;"'!Totaalverbruik_2039"),0)
+IFERROR(INDIRECT("'"&amp;$D$6&amp;"'!Totaalverbruik_2039"),0)
+IFERROR(INDIRECT("'"&amp;$D$7&amp;"'!Totaalverbruik_2039"),0)
+IFERROR(INDIRECT("'"&amp;$D$8&amp;"'!Totaalverbruik_2039"),0)
+IFERROR(INDIRECT("'"&amp;$D$9&amp;"'!Totaalverbruik_2039"),0)
+IFERROR(INDIRECT("'"&amp;$D$10&amp;"'!Totaalverbruik_2039"),0)
+IFERROR(INDIRECT("'"&amp;$D$11&amp;"'!Totaalverbruik_2039"),0)
+IFERROR(INDIRECT("'"&amp;$D$12&amp;"'!Totaalverbruik_2039"),0)
+IFERROR(INDIRECT("'"&amp;$D$13&amp;"'!Totaalverbruik_2039"),0)
+IFERROR(INDIRECT("'"&amp;$D$14&amp;"'!Totaalverbruik_2039"),0)
+IFERROR(INDIRECT("'"&amp;$D$15&amp;"'!Totaalverbruik_2039"),0)
+IFERROR(INDIRECT("'"&amp;$D$16&amp;"'!Totaalverbruik_2039"),0)
+IFERROR(INDIRECT("'"&amp;$D$17&amp;"'!Totaalverbruik_2039"),0)
+IFERROR(INDIRECT("'"&amp;$D$18&amp;"'!Totaalverbruik_2039"),0)
+IFERROR(INDIRECT("'"&amp;$D$19&amp;"'!Totaalverbruik_2039"),0)
+IFERROR(INDIRECT("'"&amp;$D$20&amp;"'!Totaalverbruik_2039"),0)
+IFERROR(INDIRECT("'"&amp;$D$21&amp;"'!Totaalverbruik_2039"),0)
+IFERROR(INDIRECT("'"&amp;$D$22&amp;"'!Totaalverbruik_2039"),0)
+IFERROR(INDIRECT("'"&amp;$D$23&amp;"'!Totaalverbruik_2039"),0)
+IFERROR(INDIRECT("'"&amp;$D$24&amp;"'!Totaalverbruik_2039"),0)
+IFERROR(INDIRECT("'"&amp;$D$25&amp;"'!Totaalverbruik_2039"),0)
+IFERROR(INDIRECT("'"&amp;$D$26&amp;"'!Totaalverbruik_2039"),0)
+IFERROR(INDIRECT("'"&amp;$D$27&amp;"'!Totaalverbruik_2039"),0)
+IFERROR(INDIRECT("'"&amp;$D$28&amp;"'!Totaalverbruik_2039"),0)
+IFERROR(INDIRECT("'"&amp;$D$29&amp;"'!Totaalverbruik_2039"),0)
+IFERROR(INDIRECT("'"&amp;$D$30&amp;"'!Totaalverbruik_2039"),0)
+IFERROR(INDIRECT("'"&amp;$D$31&amp;"'!Totaalverbruik_2039"),0)
+IFERROR(INDIRECT("'"&amp;$D$32&amp;"'!Totaalverbruik_2039"),0)
+IFERROR(INDIRECT("'"&amp;$D$33&amp;"'!Totaalverbruik_2039"),0)
+IFERROR(INDIRECT("'"&amp;$D$34&amp;"'!Totaalverbruik_2039"),0)
+IFERROR(INDIRECT("'"&amp;$D$35&amp;"'!Totaalverbruik_2039"),0)
+IFERROR(INDIRECT("'"&amp;$D$36&amp;"'!Totaalverbruik_2039"),0)
+IFERROR(INDIRECT("'"&amp;$D$37&amp;"'!Totaalverbruik_2039"),0)
+IFERROR(INDIRECT("'"&amp;$D$38&amp;"'!Totaalverbruik_2039"),0)
+IFERROR(INDIRECT("'"&amp;$D$39&amp;"'!Totaalverbruik_2039"),0)
+IFERROR(INDIRECT("'"&amp;$D$40&amp;"'!Totaalverbruik_2039"),0)
+IFERROR(INDIRECT("'"&amp;$D$41&amp;"'!Totaalverbruik_2039"),0)
+IFERROR(INDIRECT("'"&amp;$D$42&amp;"'!Totaalverbruik_2039"),0)
+IFERROR(INDIRECT("'"&amp;$D$43&amp;"'!Totaalverbruik_2039"),0)
+IFERROR(INDIRECT("'"&amp;$D$44&amp;"'!Totaalverbruik_2039"),0)
+IFERROR(INDIRECT("'"&amp;$D$45&amp;"'!Totaalverbruik_2039"),0)
+IFERROR(INDIRECT("'"&amp;$D$46&amp;"'!Totaalverbruik_2039"),0)
+IFERROR(INDIRECT("'"&amp;$D$47&amp;"'!Totaalverbruik_2039"),0)
+IFERROR(INDIRECT("'"&amp;$D$48&amp;"'!Totaalverbruik_2039"),0)
+IFERROR(INDIRECT("'"&amp;$D$49&amp;"'!Totaalverbruik_2039"),0)
+IFERROR(INDIRECT("'"&amp;$D$50&amp;"'!Totaalverbruik_2039"),0)
+IFERROR(INDIRECT("'"&amp;$D$51&amp;"'!Totaalverbruik_2039"),0)
+IFERROR(INDIRECT("'"&amp;$D$52&amp;"'!Totaalverbruik_2039"),0)
+IFERROR(INDIRECT("'"&amp;$D$53&amp;"'!Totaalverbruik_2039"),0)
+IFERROR(INDIRECT("'"&amp;$D$54&amp;"'!Totaalverbruik_2039"),0)
+Nieuwbouw!Z51</f>
        <v>1443990.9713411145</v>
      </c>
      <c r="AD43" s="321">
        <f ca="1">+IFERROR(INDIRECT("'"&amp;$D$5&amp;"'!Totaalverbruik_2040"),0)
+IFERROR(INDIRECT("'"&amp;$D$6&amp;"'!Totaalverbruik_2040"),0)
+IFERROR(INDIRECT("'"&amp;$D$7&amp;"'!Totaalverbruik_2040"),0)
+IFERROR(INDIRECT("'"&amp;$D$8&amp;"'!Totaalverbruik_2040"),0)
+IFERROR(INDIRECT("'"&amp;$D$9&amp;"'!Totaalverbruik_2040"),0)
+IFERROR(INDIRECT("'"&amp;$D$10&amp;"'!Totaalverbruik_2040"),0)
+IFERROR(INDIRECT("'"&amp;$D$11&amp;"'!Totaalverbruik_2040"),0)
+IFERROR(INDIRECT("'"&amp;$D$12&amp;"'!Totaalverbruik_2040"),0)
+IFERROR(INDIRECT("'"&amp;$D$13&amp;"'!Totaalverbruik_2040"),0)
+IFERROR(INDIRECT("'"&amp;$D$14&amp;"'!Totaalverbruik_2040"),0)
+IFERROR(INDIRECT("'"&amp;$D$15&amp;"'!Totaalverbruik_2040"),0)
+IFERROR(INDIRECT("'"&amp;$D$16&amp;"'!Totaalverbruik_2040"),0)
+IFERROR(INDIRECT("'"&amp;$D$17&amp;"'!Totaalverbruik_2040"),0)
+IFERROR(INDIRECT("'"&amp;$D$18&amp;"'!Totaalverbruik_2040"),0)
+IFERROR(INDIRECT("'"&amp;$D$19&amp;"'!Totaalverbruik_2040"),0)
+IFERROR(INDIRECT("'"&amp;$D$20&amp;"'!Totaalverbruik_2040"),0)
+IFERROR(INDIRECT("'"&amp;$D$21&amp;"'!Totaalverbruik_2040"),0)
+IFERROR(INDIRECT("'"&amp;$D$22&amp;"'!Totaalverbruik_2040"),0)
+IFERROR(INDIRECT("'"&amp;$D$23&amp;"'!Totaalverbruik_2040"),0)
+IFERROR(INDIRECT("'"&amp;$D$24&amp;"'!Totaalverbruik_2040"),0)
+IFERROR(INDIRECT("'"&amp;$D$25&amp;"'!Totaalverbruik_2040"),0)
+IFERROR(INDIRECT("'"&amp;$D$26&amp;"'!Totaalverbruik_2040"),0)
+IFERROR(INDIRECT("'"&amp;$D$27&amp;"'!Totaalverbruik_2040"),0)
+IFERROR(INDIRECT("'"&amp;$D$28&amp;"'!Totaalverbruik_2040"),0)
+IFERROR(INDIRECT("'"&amp;$D$29&amp;"'!Totaalverbruik_2040"),0)
+IFERROR(INDIRECT("'"&amp;$D$30&amp;"'!Totaalverbruik_2040"),0)
+IFERROR(INDIRECT("'"&amp;$D$31&amp;"'!Totaalverbruik_2040"),0)
+IFERROR(INDIRECT("'"&amp;$D$32&amp;"'!Totaalverbruik_2040"),0)
+IFERROR(INDIRECT("'"&amp;$D$33&amp;"'!Totaalverbruik_2040"),0)
+IFERROR(INDIRECT("'"&amp;$D$34&amp;"'!Totaalverbruik_2040"),0)
+IFERROR(INDIRECT("'"&amp;$D$35&amp;"'!Totaalverbruik_2040"),0)
+IFERROR(INDIRECT("'"&amp;$D$36&amp;"'!Totaalverbruik_2040"),0)
+IFERROR(INDIRECT("'"&amp;$D$37&amp;"'!Totaalverbruik_2040"),0)
+IFERROR(INDIRECT("'"&amp;$D$38&amp;"'!Totaalverbruik_2040"),0)
+IFERROR(INDIRECT("'"&amp;$D$39&amp;"'!Totaalverbruik_2040"),0)
+IFERROR(INDIRECT("'"&amp;$D$40&amp;"'!Totaalverbruik_2040"),0)
+IFERROR(INDIRECT("'"&amp;$D$41&amp;"'!Totaalverbruik_2040"),0)
+IFERROR(INDIRECT("'"&amp;$D$42&amp;"'!Totaalverbruik_2040"),0)
+IFERROR(INDIRECT("'"&amp;$D$43&amp;"'!Totaalverbruik_2040"),0)
+IFERROR(INDIRECT("'"&amp;$D$44&amp;"'!Totaalverbruik_2040"),0)
+IFERROR(INDIRECT("'"&amp;$D$45&amp;"'!Totaalverbruik_2040"),0)
+IFERROR(INDIRECT("'"&amp;$D$46&amp;"'!Totaalverbruik_2040"),0)
+IFERROR(INDIRECT("'"&amp;$D$47&amp;"'!Totaalverbruik_2040"),0)
+IFERROR(INDIRECT("'"&amp;$D$48&amp;"'!Totaalverbruik_2040"),0)
+IFERROR(INDIRECT("'"&amp;$D$49&amp;"'!Totaalverbruik_2040"),0)
+IFERROR(INDIRECT("'"&amp;$D$50&amp;"'!Totaalverbruik_2040"),0)
+IFERROR(INDIRECT("'"&amp;$D$51&amp;"'!Totaalverbruik_2040"),0)
+IFERROR(INDIRECT("'"&amp;$D$52&amp;"'!Totaalverbruik_2040"),0)
+IFERROR(INDIRECT("'"&amp;$D$53&amp;"'!Totaalverbruik_2040"),0)
+IFERROR(INDIRECT("'"&amp;$D$54&amp;"'!Totaalverbruik_2040"),0)
+Nieuwbouw!AA51</f>
        <v>1193723.0049411142</v>
      </c>
      <c r="AE43" s="321">
        <f ca="1">+IFERROR(INDIRECT("'"&amp;$D$5&amp;"'!Totaalverbruik_2041"),0)
+IFERROR(INDIRECT("'"&amp;$D$6&amp;"'!Totaalverbruik_2041"),0)
+IFERROR(INDIRECT("'"&amp;$D$7&amp;"'!Totaalverbruik_2041"),0)
+IFERROR(INDIRECT("'"&amp;$D$8&amp;"'!Totaalverbruik_2041"),0)
+IFERROR(INDIRECT("'"&amp;$D$9&amp;"'!Totaalverbruik_2041"),0)
+IFERROR(INDIRECT("'"&amp;$D$10&amp;"'!Totaalverbruik_2041"),0)
+IFERROR(INDIRECT("'"&amp;$D$11&amp;"'!Totaalverbruik_2041"),0)
+IFERROR(INDIRECT("'"&amp;$D$12&amp;"'!Totaalverbruik_2041"),0)
+IFERROR(INDIRECT("'"&amp;$D$13&amp;"'!Totaalverbruik_2041"),0)
+IFERROR(INDIRECT("'"&amp;$D$14&amp;"'!Totaalverbruik_2041"),0)
+IFERROR(INDIRECT("'"&amp;$D$15&amp;"'!Totaalverbruik_2041"),0)
+IFERROR(INDIRECT("'"&amp;$D$16&amp;"'!Totaalverbruik_2041"),0)
+IFERROR(INDIRECT("'"&amp;$D$17&amp;"'!Totaalverbruik_2041"),0)
+IFERROR(INDIRECT("'"&amp;$D$18&amp;"'!Totaalverbruik_2041"),0)
+IFERROR(INDIRECT("'"&amp;$D$19&amp;"'!Totaalverbruik_2041"),0)
+IFERROR(INDIRECT("'"&amp;$D$20&amp;"'!Totaalverbruik_2041"),0)
+IFERROR(INDIRECT("'"&amp;$D$21&amp;"'!Totaalverbruik_2041"),0)
+IFERROR(INDIRECT("'"&amp;$D$22&amp;"'!Totaalverbruik_2041"),0)
+IFERROR(INDIRECT("'"&amp;$D$23&amp;"'!Totaalverbruik_2041"),0)
+IFERROR(INDIRECT("'"&amp;$D$24&amp;"'!Totaalverbruik_2041"),0)
+IFERROR(INDIRECT("'"&amp;$D$25&amp;"'!Totaalverbruik_2041"),0)
+IFERROR(INDIRECT("'"&amp;$D$26&amp;"'!Totaalverbruik_2041"),0)
+IFERROR(INDIRECT("'"&amp;$D$27&amp;"'!Totaalverbruik_2041"),0)
+IFERROR(INDIRECT("'"&amp;$D$28&amp;"'!Totaalverbruik_2041"),0)
+IFERROR(INDIRECT("'"&amp;$D$29&amp;"'!Totaalverbruik_2041"),0)
+IFERROR(INDIRECT("'"&amp;$D$30&amp;"'!Totaalverbruik_2041"),0)
+IFERROR(INDIRECT("'"&amp;$D$31&amp;"'!Totaalverbruik_2041"),0)
+IFERROR(INDIRECT("'"&amp;$D$32&amp;"'!Totaalverbruik_2041"),0)
+IFERROR(INDIRECT("'"&amp;$D$33&amp;"'!Totaalverbruik_2041"),0)
+IFERROR(INDIRECT("'"&amp;$D$34&amp;"'!Totaalverbruik_2041"),0)
+IFERROR(INDIRECT("'"&amp;$D$35&amp;"'!Totaalverbruik_2041"),0)
+IFERROR(INDIRECT("'"&amp;$D$36&amp;"'!Totaalverbruik_2041"),0)
+IFERROR(INDIRECT("'"&amp;$D$37&amp;"'!Totaalverbruik_2041"),0)
+IFERROR(INDIRECT("'"&amp;$D$38&amp;"'!Totaalverbruik_2041"),0)
+IFERROR(INDIRECT("'"&amp;$D$39&amp;"'!Totaalverbruik_2041"),0)
+IFERROR(INDIRECT("'"&amp;$D$40&amp;"'!Totaalverbruik_2041"),0)
+IFERROR(INDIRECT("'"&amp;$D$41&amp;"'!Totaalverbruik_2041"),0)
+IFERROR(INDIRECT("'"&amp;$D$42&amp;"'!Totaalverbruik_2041"),0)
+IFERROR(INDIRECT("'"&amp;$D$43&amp;"'!Totaalverbruik_2041"),0)
+IFERROR(INDIRECT("'"&amp;$D$44&amp;"'!Totaalverbruik_2041"),0)
+IFERROR(INDIRECT("'"&amp;$D$45&amp;"'!Totaalverbruik_2041"),0)
+IFERROR(INDIRECT("'"&amp;$D$46&amp;"'!Totaalverbruik_2041"),0)
+IFERROR(INDIRECT("'"&amp;$D$47&amp;"'!Totaalverbruik_2041"),0)
+IFERROR(INDIRECT("'"&amp;$D$48&amp;"'!Totaalverbruik_2041"),0)
+IFERROR(INDIRECT("'"&amp;$D$49&amp;"'!Totaalverbruik_2041"),0)
+IFERROR(INDIRECT("'"&amp;$D$50&amp;"'!Totaalverbruik_2041"),0)
+IFERROR(INDIRECT("'"&amp;$D$51&amp;"'!Totaalverbruik_2041"),0)
+IFERROR(INDIRECT("'"&amp;$D$52&amp;"'!Totaalverbruik_2041"),0)
+IFERROR(INDIRECT("'"&amp;$D$53&amp;"'!Totaalverbruik_2041"),0)
+IFERROR(INDIRECT("'"&amp;$D$54&amp;"'!Totaalverbruik_2041"),0)
+Nieuwbouw!AB51</f>
        <v>1193723.0049411142</v>
      </c>
      <c r="AF43" s="321">
        <f ca="1">+IFERROR(INDIRECT("'"&amp;$D$5&amp;"'!Totaalverbruik_2042"),0)
+IFERROR(INDIRECT("'"&amp;$D$6&amp;"'!Totaalverbruik_2042"),0)
+IFERROR(INDIRECT("'"&amp;$D$7&amp;"'!Totaalverbruik_2042"),0)
+IFERROR(INDIRECT("'"&amp;$D$8&amp;"'!Totaalverbruik_2042"),0)
+IFERROR(INDIRECT("'"&amp;$D$9&amp;"'!Totaalverbruik_2042"),0)
+IFERROR(INDIRECT("'"&amp;$D$10&amp;"'!Totaalverbruik_2042"),0)
+IFERROR(INDIRECT("'"&amp;$D$11&amp;"'!Totaalverbruik_2042"),0)
+IFERROR(INDIRECT("'"&amp;$D$12&amp;"'!Totaalverbruik_2042"),0)
+IFERROR(INDIRECT("'"&amp;$D$13&amp;"'!Totaalverbruik_2042"),0)
+IFERROR(INDIRECT("'"&amp;$D$14&amp;"'!Totaalverbruik_2042"),0)
+IFERROR(INDIRECT("'"&amp;$D$15&amp;"'!Totaalverbruik_2042"),0)
+IFERROR(INDIRECT("'"&amp;$D$16&amp;"'!Totaalverbruik_2042"),0)
+IFERROR(INDIRECT("'"&amp;$D$17&amp;"'!Totaalverbruik_2042"),0)
+IFERROR(INDIRECT("'"&amp;$D$18&amp;"'!Totaalverbruik_2042"),0)
+IFERROR(INDIRECT("'"&amp;$D$19&amp;"'!Totaalverbruik_2042"),0)
+IFERROR(INDIRECT("'"&amp;$D$20&amp;"'!Totaalverbruik_2042"),0)
+IFERROR(INDIRECT("'"&amp;$D$21&amp;"'!Totaalverbruik_2042"),0)
+IFERROR(INDIRECT("'"&amp;$D$22&amp;"'!Totaalverbruik_2042"),0)
+IFERROR(INDIRECT("'"&amp;$D$23&amp;"'!Totaalverbruik_2042"),0)
+IFERROR(INDIRECT("'"&amp;$D$24&amp;"'!Totaalverbruik_2042"),0)
+IFERROR(INDIRECT("'"&amp;$D$25&amp;"'!Totaalverbruik_2042"),0)
+IFERROR(INDIRECT("'"&amp;$D$26&amp;"'!Totaalverbruik_2042"),0)
+IFERROR(INDIRECT("'"&amp;$D$27&amp;"'!Totaalverbruik_2042"),0)
+IFERROR(INDIRECT("'"&amp;$D$28&amp;"'!Totaalverbruik_2042"),0)
+IFERROR(INDIRECT("'"&amp;$D$29&amp;"'!Totaalverbruik_2042"),0)
+IFERROR(INDIRECT("'"&amp;$D$30&amp;"'!Totaalverbruik_2042"),0)
+IFERROR(INDIRECT("'"&amp;$D$31&amp;"'!Totaalverbruik_2042"),0)
+IFERROR(INDIRECT("'"&amp;$D$32&amp;"'!Totaalverbruik_2042"),0)
+IFERROR(INDIRECT("'"&amp;$D$33&amp;"'!Totaalverbruik_2042"),0)
+IFERROR(INDIRECT("'"&amp;$D$34&amp;"'!Totaalverbruik_2042"),0)
+IFERROR(INDIRECT("'"&amp;$D$35&amp;"'!Totaalverbruik_2042"),0)
+IFERROR(INDIRECT("'"&amp;$D$36&amp;"'!Totaalverbruik_2042"),0)
+IFERROR(INDIRECT("'"&amp;$D$37&amp;"'!Totaalverbruik_2042"),0)
+IFERROR(INDIRECT("'"&amp;$D$38&amp;"'!Totaalverbruik_2042"),0)
+IFERROR(INDIRECT("'"&amp;$D$39&amp;"'!Totaalverbruik_2042"),0)
+IFERROR(INDIRECT("'"&amp;$D$40&amp;"'!Totaalverbruik_2042"),0)
+IFERROR(INDIRECT("'"&amp;$D$41&amp;"'!Totaalverbruik_2042"),0)
+IFERROR(INDIRECT("'"&amp;$D$42&amp;"'!Totaalverbruik_2042"),0)
+IFERROR(INDIRECT("'"&amp;$D$43&amp;"'!Totaalverbruik_2042"),0)
+IFERROR(INDIRECT("'"&amp;$D$44&amp;"'!Totaalverbruik_2042"),0)
+IFERROR(INDIRECT("'"&amp;$D$45&amp;"'!Totaalverbruik_2042"),0)
+IFERROR(INDIRECT("'"&amp;$D$46&amp;"'!Totaalverbruik_2042"),0)
+IFERROR(INDIRECT("'"&amp;$D$47&amp;"'!Totaalverbruik_2042"),0)
+IFERROR(INDIRECT("'"&amp;$D$48&amp;"'!Totaalverbruik_2042"),0)
+IFERROR(INDIRECT("'"&amp;$D$49&amp;"'!Totaalverbruik_2042"),0)
+IFERROR(INDIRECT("'"&amp;$D$50&amp;"'!Totaalverbruik_2042"),0)
+IFERROR(INDIRECT("'"&amp;$D$51&amp;"'!Totaalverbruik_2042"),0)
+IFERROR(INDIRECT("'"&amp;$D$52&amp;"'!Totaalverbruik_2042"),0)
+IFERROR(INDIRECT("'"&amp;$D$53&amp;"'!Totaalverbruik_2042"),0)
+IFERROR(INDIRECT("'"&amp;$D$54&amp;"'!Totaalverbruik_2042"),0)
+Nieuwbouw!AC51</f>
        <v>1193723.0049411142</v>
      </c>
      <c r="AG43" s="321">
        <f ca="1">+IFERROR(INDIRECT("'"&amp;$D$5&amp;"'!Totaalverbruik_2043"),0)
+IFERROR(INDIRECT("'"&amp;$D$6&amp;"'!Totaalverbruik_2043"),0)
+IFERROR(INDIRECT("'"&amp;$D$7&amp;"'!Totaalverbruik_2043"),0)
+IFERROR(INDIRECT("'"&amp;$D$8&amp;"'!Totaalverbruik_2043"),0)
+IFERROR(INDIRECT("'"&amp;$D$9&amp;"'!Totaalverbruik_2043"),0)
+IFERROR(INDIRECT("'"&amp;$D$10&amp;"'!Totaalverbruik_2043"),0)
+IFERROR(INDIRECT("'"&amp;$D$11&amp;"'!Totaalverbruik_2043"),0)
+IFERROR(INDIRECT("'"&amp;$D$12&amp;"'!Totaalverbruik_2043"),0)
+IFERROR(INDIRECT("'"&amp;$D$13&amp;"'!Totaalverbruik_2043"),0)
+IFERROR(INDIRECT("'"&amp;$D$14&amp;"'!Totaalverbruik_2043"),0)
+IFERROR(INDIRECT("'"&amp;$D$15&amp;"'!Totaalverbruik_2043"),0)
+IFERROR(INDIRECT("'"&amp;$D$16&amp;"'!Totaalverbruik_2043"),0)
+IFERROR(INDIRECT("'"&amp;$D$17&amp;"'!Totaalverbruik_2043"),0)
+IFERROR(INDIRECT("'"&amp;$D$18&amp;"'!Totaalverbruik_2043"),0)
+IFERROR(INDIRECT("'"&amp;$D$19&amp;"'!Totaalverbruik_2043"),0)
+IFERROR(INDIRECT("'"&amp;$D$20&amp;"'!Totaalverbruik_2043"),0)
+IFERROR(INDIRECT("'"&amp;$D$21&amp;"'!Totaalverbruik_2043"),0)
+IFERROR(INDIRECT("'"&amp;$D$22&amp;"'!Totaalverbruik_2043"),0)
+IFERROR(INDIRECT("'"&amp;$D$23&amp;"'!Totaalverbruik_2043"),0)
+IFERROR(INDIRECT("'"&amp;$D$24&amp;"'!Totaalverbruik_2043"),0)
+IFERROR(INDIRECT("'"&amp;$D$25&amp;"'!Totaalverbruik_2043"),0)
+IFERROR(INDIRECT("'"&amp;$D$26&amp;"'!Totaalverbruik_2043"),0)
+IFERROR(INDIRECT("'"&amp;$D$27&amp;"'!Totaalverbruik_2043"),0)
+IFERROR(INDIRECT("'"&amp;$D$28&amp;"'!Totaalverbruik_2043"),0)
+IFERROR(INDIRECT("'"&amp;$D$29&amp;"'!Totaalverbruik_2043"),0)
+IFERROR(INDIRECT("'"&amp;$D$30&amp;"'!Totaalverbruik_2043"),0)
+IFERROR(INDIRECT("'"&amp;$D$31&amp;"'!Totaalverbruik_2043"),0)
+IFERROR(INDIRECT("'"&amp;$D$32&amp;"'!Totaalverbruik_2043"),0)
+IFERROR(INDIRECT("'"&amp;$D$33&amp;"'!Totaalverbruik_2043"),0)
+IFERROR(INDIRECT("'"&amp;$D$34&amp;"'!Totaalverbruik_2043"),0)
+IFERROR(INDIRECT("'"&amp;$D$35&amp;"'!Totaalverbruik_2043"),0)
+IFERROR(INDIRECT("'"&amp;$D$36&amp;"'!Totaalverbruik_2043"),0)
+IFERROR(INDIRECT("'"&amp;$D$37&amp;"'!Totaalverbruik_2043"),0)
+IFERROR(INDIRECT("'"&amp;$D$38&amp;"'!Totaalverbruik_2043"),0)
+IFERROR(INDIRECT("'"&amp;$D$39&amp;"'!Totaalverbruik_2043"),0)
+IFERROR(INDIRECT("'"&amp;$D$40&amp;"'!Totaalverbruik_2043"),0)
+IFERROR(INDIRECT("'"&amp;$D$41&amp;"'!Totaalverbruik_2043"),0)
+IFERROR(INDIRECT("'"&amp;$D$42&amp;"'!Totaalverbruik_2043"),0)
+IFERROR(INDIRECT("'"&amp;$D$43&amp;"'!Totaalverbruik_2043"),0)
+IFERROR(INDIRECT("'"&amp;$D$44&amp;"'!Totaalverbruik_2043"),0)
+IFERROR(INDIRECT("'"&amp;$D$45&amp;"'!Totaalverbruik_2043"),0)
+IFERROR(INDIRECT("'"&amp;$D$46&amp;"'!Totaalverbruik_2043"),0)
+IFERROR(INDIRECT("'"&amp;$D$47&amp;"'!Totaalverbruik_2043"),0)
+IFERROR(INDIRECT("'"&amp;$D$48&amp;"'!Totaalverbruik_2043"),0)
+IFERROR(INDIRECT("'"&amp;$D$49&amp;"'!Totaalverbruik_2043"),0)
+IFERROR(INDIRECT("'"&amp;$D$50&amp;"'!Totaalverbruik_2043"),0)
+IFERROR(INDIRECT("'"&amp;$D$51&amp;"'!Totaalverbruik_2043"),0)
+IFERROR(INDIRECT("'"&amp;$D$52&amp;"'!Totaalverbruik_2043"),0)
+IFERROR(INDIRECT("'"&amp;$D$53&amp;"'!Totaalverbruik_2043"),0)
+IFERROR(INDIRECT("'"&amp;$D$54&amp;"'!Totaalverbruik_2043"),0)
+Nieuwbouw!AD51</f>
        <v>1193723.0049411142</v>
      </c>
      <c r="AH43" s="321">
        <f ca="1">+IFERROR(INDIRECT("'"&amp;$D$5&amp;"'!Totaalverbruik_2044"),0)
+IFERROR(INDIRECT("'"&amp;$D$6&amp;"'!Totaalverbruik_2044"),0)
+IFERROR(INDIRECT("'"&amp;$D$7&amp;"'!Totaalverbruik_2044"),0)
+IFERROR(INDIRECT("'"&amp;$D$8&amp;"'!Totaalverbruik_2044"),0)
+IFERROR(INDIRECT("'"&amp;$D$9&amp;"'!Totaalverbruik_2044"),0)
+IFERROR(INDIRECT("'"&amp;$D$10&amp;"'!Totaalverbruik_2044"),0)
+IFERROR(INDIRECT("'"&amp;$D$11&amp;"'!Totaalverbruik_2044"),0)
+IFERROR(INDIRECT("'"&amp;$D$12&amp;"'!Totaalverbruik_2044"),0)
+IFERROR(INDIRECT("'"&amp;$D$13&amp;"'!Totaalverbruik_2044"),0)
+IFERROR(INDIRECT("'"&amp;$D$14&amp;"'!Totaalverbruik_2044"),0)
+IFERROR(INDIRECT("'"&amp;$D$15&amp;"'!Totaalverbruik_2044"),0)
+IFERROR(INDIRECT("'"&amp;$D$16&amp;"'!Totaalverbruik_2044"),0)
+IFERROR(INDIRECT("'"&amp;$D$17&amp;"'!Totaalverbruik_2044"),0)
+IFERROR(INDIRECT("'"&amp;$D$18&amp;"'!Totaalverbruik_2044"),0)
+IFERROR(INDIRECT("'"&amp;$D$19&amp;"'!Totaalverbruik_2044"),0)
+IFERROR(INDIRECT("'"&amp;$D$20&amp;"'!Totaalverbruik_2044"),0)
+IFERROR(INDIRECT("'"&amp;$D$21&amp;"'!Totaalverbruik_2044"),0)
+IFERROR(INDIRECT("'"&amp;$D$22&amp;"'!Totaalverbruik_2044"),0)
+IFERROR(INDIRECT("'"&amp;$D$23&amp;"'!Totaalverbruik_2044"),0)
+IFERROR(INDIRECT("'"&amp;$D$24&amp;"'!Totaalverbruik_2044"),0)
+IFERROR(INDIRECT("'"&amp;$D$25&amp;"'!Totaalverbruik_2044"),0)
+IFERROR(INDIRECT("'"&amp;$D$26&amp;"'!Totaalverbruik_2044"),0)
+IFERROR(INDIRECT("'"&amp;$D$27&amp;"'!Totaalverbruik_2044"),0)
+IFERROR(INDIRECT("'"&amp;$D$28&amp;"'!Totaalverbruik_2044"),0)
+IFERROR(INDIRECT("'"&amp;$D$29&amp;"'!Totaalverbruik_2044"),0)
+IFERROR(INDIRECT("'"&amp;$D$30&amp;"'!Totaalverbruik_2044"),0)
+IFERROR(INDIRECT("'"&amp;$D$31&amp;"'!Totaalverbruik_2044"),0)
+IFERROR(INDIRECT("'"&amp;$D$32&amp;"'!Totaalverbruik_2044"),0)
+IFERROR(INDIRECT("'"&amp;$D$33&amp;"'!Totaalverbruik_2044"),0)
+IFERROR(INDIRECT("'"&amp;$D$34&amp;"'!Totaalverbruik_2044"),0)
+IFERROR(INDIRECT("'"&amp;$D$35&amp;"'!Totaalverbruik_2044"),0)
+IFERROR(INDIRECT("'"&amp;$D$36&amp;"'!Totaalverbruik_2044"),0)
+IFERROR(INDIRECT("'"&amp;$D$37&amp;"'!Totaalverbruik_2044"),0)
+IFERROR(INDIRECT("'"&amp;$D$38&amp;"'!Totaalverbruik_2044"),0)
+IFERROR(INDIRECT("'"&amp;$D$39&amp;"'!Totaalverbruik_2044"),0)
+IFERROR(INDIRECT("'"&amp;$D$40&amp;"'!Totaalverbruik_2044"),0)
+IFERROR(INDIRECT("'"&amp;$D$41&amp;"'!Totaalverbruik_2044"),0)
+IFERROR(INDIRECT("'"&amp;$D$42&amp;"'!Totaalverbruik_2044"),0)
+IFERROR(INDIRECT("'"&amp;$D$43&amp;"'!Totaalverbruik_2044"),0)
+IFERROR(INDIRECT("'"&amp;$D$44&amp;"'!Totaalverbruik_2044"),0)
+IFERROR(INDIRECT("'"&amp;$D$45&amp;"'!Totaalverbruik_2044"),0)
+IFERROR(INDIRECT("'"&amp;$D$46&amp;"'!Totaalverbruik_2044"),0)
+IFERROR(INDIRECT("'"&amp;$D$47&amp;"'!Totaalverbruik_2044"),0)
+IFERROR(INDIRECT("'"&amp;$D$48&amp;"'!Totaalverbruik_2044"),0)
+IFERROR(INDIRECT("'"&amp;$D$49&amp;"'!Totaalverbruik_2044"),0)
+IFERROR(INDIRECT("'"&amp;$D$50&amp;"'!Totaalverbruik_2044"),0)
+IFERROR(INDIRECT("'"&amp;$D$51&amp;"'!Totaalverbruik_2044"),0)
+IFERROR(INDIRECT("'"&amp;$D$52&amp;"'!Totaalverbruik_2044"),0)
+IFERROR(INDIRECT("'"&amp;$D$53&amp;"'!Totaalverbruik_2044"),0)
+IFERROR(INDIRECT("'"&amp;$D$54&amp;"'!Totaalverbruik_2044"),0)
+Nieuwbouw!AE51</f>
        <v>1193723.0049411142</v>
      </c>
      <c r="AI43" s="321">
        <f ca="1">+IFERROR(INDIRECT("'"&amp;$D$5&amp;"'!Totaalverbruik_2045"),0)
+IFERROR(INDIRECT("'"&amp;$D$6&amp;"'!Totaalverbruik_2045"),0)
+IFERROR(INDIRECT("'"&amp;$D$7&amp;"'!Totaalverbruik_2045"),0)
+IFERROR(INDIRECT("'"&amp;$D$8&amp;"'!Totaalverbruik_2045"),0)
+IFERROR(INDIRECT("'"&amp;$D$9&amp;"'!Totaalverbruik_2045"),0)
+IFERROR(INDIRECT("'"&amp;$D$10&amp;"'!Totaalverbruik_2045"),0)
+IFERROR(INDIRECT("'"&amp;$D$11&amp;"'!Totaalverbruik_2045"),0)
+IFERROR(INDIRECT("'"&amp;$D$12&amp;"'!Totaalverbruik_2045"),0)
+IFERROR(INDIRECT("'"&amp;$D$13&amp;"'!Totaalverbruik_2045"),0)
+IFERROR(INDIRECT("'"&amp;$D$14&amp;"'!Totaalverbruik_2045"),0)
+IFERROR(INDIRECT("'"&amp;$D$15&amp;"'!Totaalverbruik_2045"),0)
+IFERROR(INDIRECT("'"&amp;$D$16&amp;"'!Totaalverbruik_2045"),0)
+IFERROR(INDIRECT("'"&amp;$D$17&amp;"'!Totaalverbruik_2045"),0)
+IFERROR(INDIRECT("'"&amp;$D$18&amp;"'!Totaalverbruik_2045"),0)
+IFERROR(INDIRECT("'"&amp;$D$19&amp;"'!Totaalverbruik_2045"),0)
+IFERROR(INDIRECT("'"&amp;$D$20&amp;"'!Totaalverbruik_2045"),0)
+IFERROR(INDIRECT("'"&amp;$D$21&amp;"'!Totaalverbruik_2045"),0)
+IFERROR(INDIRECT("'"&amp;$D$22&amp;"'!Totaalverbruik_2045"),0)
+IFERROR(INDIRECT("'"&amp;$D$23&amp;"'!Totaalverbruik_2045"),0)
+IFERROR(INDIRECT("'"&amp;$D$24&amp;"'!Totaalverbruik_2045"),0)
+IFERROR(INDIRECT("'"&amp;$D$25&amp;"'!Totaalverbruik_2045"),0)
+IFERROR(INDIRECT("'"&amp;$D$26&amp;"'!Totaalverbruik_2045"),0)
+IFERROR(INDIRECT("'"&amp;$D$27&amp;"'!Totaalverbruik_2045"),0)
+IFERROR(INDIRECT("'"&amp;$D$28&amp;"'!Totaalverbruik_2045"),0)
+IFERROR(INDIRECT("'"&amp;$D$29&amp;"'!Totaalverbruik_2045"),0)
+IFERROR(INDIRECT("'"&amp;$D$30&amp;"'!Totaalverbruik_2045"),0)
+IFERROR(INDIRECT("'"&amp;$D$31&amp;"'!Totaalverbruik_2045"),0)
+IFERROR(INDIRECT("'"&amp;$D$32&amp;"'!Totaalverbruik_2045"),0)
+IFERROR(INDIRECT("'"&amp;$D$33&amp;"'!Totaalverbruik_2045"),0)
+IFERROR(INDIRECT("'"&amp;$D$34&amp;"'!Totaalverbruik_2045"),0)
+IFERROR(INDIRECT("'"&amp;$D$35&amp;"'!Totaalverbruik_2045"),0)
+IFERROR(INDIRECT("'"&amp;$D$36&amp;"'!Totaalverbruik_2045"),0)
+IFERROR(INDIRECT("'"&amp;$D$37&amp;"'!Totaalverbruik_2045"),0)
+IFERROR(INDIRECT("'"&amp;$D$38&amp;"'!Totaalverbruik_2045"),0)
+IFERROR(INDIRECT("'"&amp;$D$39&amp;"'!Totaalverbruik_2045"),0)
+IFERROR(INDIRECT("'"&amp;$D$40&amp;"'!Totaalverbruik_2045"),0)
+IFERROR(INDIRECT("'"&amp;$D$41&amp;"'!Totaalverbruik_2045"),0)
+IFERROR(INDIRECT("'"&amp;$D$42&amp;"'!Totaalverbruik_2045"),0)
+IFERROR(INDIRECT("'"&amp;$D$43&amp;"'!Totaalverbruik_2045"),0)
+IFERROR(INDIRECT("'"&amp;$D$44&amp;"'!Totaalverbruik_2045"),0)
+IFERROR(INDIRECT("'"&amp;$D$45&amp;"'!Totaalverbruik_2045"),0)
+IFERROR(INDIRECT("'"&amp;$D$46&amp;"'!Totaalverbruik_2045"),0)
+IFERROR(INDIRECT("'"&amp;$D$47&amp;"'!Totaalverbruik_2045"),0)
+IFERROR(INDIRECT("'"&amp;$D$48&amp;"'!Totaalverbruik_2045"),0)
+IFERROR(INDIRECT("'"&amp;$D$49&amp;"'!Totaalverbruik_2045"),0)
+IFERROR(INDIRECT("'"&amp;$D$50&amp;"'!Totaalverbruik_2045"),0)
+IFERROR(INDIRECT("'"&amp;$D$51&amp;"'!Totaalverbruik_2045"),0)
+IFERROR(INDIRECT("'"&amp;$D$52&amp;"'!Totaalverbruik_2045"),0)
+IFERROR(INDIRECT("'"&amp;$D$53&amp;"'!Totaalverbruik_2045"),0)
+IFERROR(INDIRECT("'"&amp;$D$54&amp;"'!Totaalverbruik_2045"),0)
+Nieuwbouw!AF51</f>
        <v>1193723.0049411142</v>
      </c>
      <c r="AJ43" s="321">
        <f ca="1">+IFERROR(INDIRECT("'"&amp;$D$5&amp;"'!Totaalverbruik_2046"),0)
+IFERROR(INDIRECT("'"&amp;$D$6&amp;"'!Totaalverbruik_2046"),0)
+IFERROR(INDIRECT("'"&amp;$D$7&amp;"'!Totaalverbruik_2046"),0)
+IFERROR(INDIRECT("'"&amp;$D$8&amp;"'!Totaalverbruik_2046"),0)
+IFERROR(INDIRECT("'"&amp;$D$9&amp;"'!Totaalverbruik_2046"),0)
+IFERROR(INDIRECT("'"&amp;$D$10&amp;"'!Totaalverbruik_2046"),0)
+IFERROR(INDIRECT("'"&amp;$D$11&amp;"'!Totaalverbruik_2046"),0)
+IFERROR(INDIRECT("'"&amp;$D$12&amp;"'!Totaalverbruik_2046"),0)
+IFERROR(INDIRECT("'"&amp;$D$13&amp;"'!Totaalverbruik_2046"),0)
+IFERROR(INDIRECT("'"&amp;$D$14&amp;"'!Totaalverbruik_2046"),0)
+IFERROR(INDIRECT("'"&amp;$D$15&amp;"'!Totaalverbruik_2046"),0)
+IFERROR(INDIRECT("'"&amp;$D$16&amp;"'!Totaalverbruik_2046"),0)
+IFERROR(INDIRECT("'"&amp;$D$17&amp;"'!Totaalverbruik_2046"),0)
+IFERROR(INDIRECT("'"&amp;$D$18&amp;"'!Totaalverbruik_2046"),0)
+IFERROR(INDIRECT("'"&amp;$D$19&amp;"'!Totaalverbruik_2046"),0)
+IFERROR(INDIRECT("'"&amp;$D$20&amp;"'!Totaalverbruik_2046"),0)
+IFERROR(INDIRECT("'"&amp;$D$21&amp;"'!Totaalverbruik_2046"),0)
+IFERROR(INDIRECT("'"&amp;$D$22&amp;"'!Totaalverbruik_2046"),0)
+IFERROR(INDIRECT("'"&amp;$D$23&amp;"'!Totaalverbruik_2046"),0)
+IFERROR(INDIRECT("'"&amp;$D$24&amp;"'!Totaalverbruik_2046"),0)
+IFERROR(INDIRECT("'"&amp;$D$25&amp;"'!Totaalverbruik_2046"),0)
+IFERROR(INDIRECT("'"&amp;$D$26&amp;"'!Totaalverbruik_2046"),0)
+IFERROR(INDIRECT("'"&amp;$D$27&amp;"'!Totaalverbruik_2046"),0)
+IFERROR(INDIRECT("'"&amp;$D$28&amp;"'!Totaalverbruik_2046"),0)
+IFERROR(INDIRECT("'"&amp;$D$29&amp;"'!Totaalverbruik_2046"),0)
+IFERROR(INDIRECT("'"&amp;$D$30&amp;"'!Totaalverbruik_2046"),0)
+IFERROR(INDIRECT("'"&amp;$D$31&amp;"'!Totaalverbruik_2046"),0)
+IFERROR(INDIRECT("'"&amp;$D$32&amp;"'!Totaalverbruik_2046"),0)
+IFERROR(INDIRECT("'"&amp;$D$33&amp;"'!Totaalverbruik_2046"),0)
+IFERROR(INDIRECT("'"&amp;$D$34&amp;"'!Totaalverbruik_2046"),0)
+IFERROR(INDIRECT("'"&amp;$D$35&amp;"'!Totaalverbruik_2046"),0)
+IFERROR(INDIRECT("'"&amp;$D$36&amp;"'!Totaalverbruik_2046"),0)
+IFERROR(INDIRECT("'"&amp;$D$37&amp;"'!Totaalverbruik_2046"),0)
+IFERROR(INDIRECT("'"&amp;$D$38&amp;"'!Totaalverbruik_2046"),0)
+IFERROR(INDIRECT("'"&amp;$D$39&amp;"'!Totaalverbruik_2046"),0)
+IFERROR(INDIRECT("'"&amp;$D$40&amp;"'!Totaalverbruik_2046"),0)
+IFERROR(INDIRECT("'"&amp;$D$41&amp;"'!Totaalverbruik_2046"),0)
+IFERROR(INDIRECT("'"&amp;$D$42&amp;"'!Totaalverbruik_2046"),0)
+IFERROR(INDIRECT("'"&amp;$D$43&amp;"'!Totaalverbruik_2046"),0)
+IFERROR(INDIRECT("'"&amp;$D$44&amp;"'!Totaalverbruik_2046"),0)
+IFERROR(INDIRECT("'"&amp;$D$45&amp;"'!Totaalverbruik_2046"),0)
+IFERROR(INDIRECT("'"&amp;$D$46&amp;"'!Totaalverbruik_2046"),0)
+IFERROR(INDIRECT("'"&amp;$D$47&amp;"'!Totaalverbruik_2046"),0)
+IFERROR(INDIRECT("'"&amp;$D$48&amp;"'!Totaalverbruik_2046"),0)
+IFERROR(INDIRECT("'"&amp;$D$49&amp;"'!Totaalverbruik_2046"),0)
+IFERROR(INDIRECT("'"&amp;$D$50&amp;"'!Totaalverbruik_2046"),0)
+IFERROR(INDIRECT("'"&amp;$D$51&amp;"'!Totaalverbruik_2046"),0)
+IFERROR(INDIRECT("'"&amp;$D$52&amp;"'!Totaalverbruik_2046"),0)
+IFERROR(INDIRECT("'"&amp;$D$53&amp;"'!Totaalverbruik_2046"),0)
+IFERROR(INDIRECT("'"&amp;$D$54&amp;"'!Totaalverbruik_2046"),0)
+Nieuwbouw!AG51</f>
        <v>1193723.0049411142</v>
      </c>
      <c r="AK43" s="321">
        <f ca="1">+IFERROR(INDIRECT("'"&amp;$D$5&amp;"'!Totaalverbruik_2047"),0)
+IFERROR(INDIRECT("'"&amp;$D$6&amp;"'!Totaalverbruik_2047"),0)
+IFERROR(INDIRECT("'"&amp;$D$7&amp;"'!Totaalverbruik_2047"),0)
+IFERROR(INDIRECT("'"&amp;$D$8&amp;"'!Totaalverbruik_2047"),0)
+IFERROR(INDIRECT("'"&amp;$D$9&amp;"'!Totaalverbruik_2047"),0)
+IFERROR(INDIRECT("'"&amp;$D$10&amp;"'!Totaalverbruik_2047"),0)
+IFERROR(INDIRECT("'"&amp;$D$11&amp;"'!Totaalverbruik_2047"),0)
+IFERROR(INDIRECT("'"&amp;$D$12&amp;"'!Totaalverbruik_2047"),0)
+IFERROR(INDIRECT("'"&amp;$D$13&amp;"'!Totaalverbruik_2047"),0)
+IFERROR(INDIRECT("'"&amp;$D$14&amp;"'!Totaalverbruik_2047"),0)
+IFERROR(INDIRECT("'"&amp;$D$15&amp;"'!Totaalverbruik_2047"),0)
+IFERROR(INDIRECT("'"&amp;$D$16&amp;"'!Totaalverbruik_2047"),0)
+IFERROR(INDIRECT("'"&amp;$D$17&amp;"'!Totaalverbruik_2047"),0)
+IFERROR(INDIRECT("'"&amp;$D$18&amp;"'!Totaalverbruik_2047"),0)
+IFERROR(INDIRECT("'"&amp;$D$19&amp;"'!Totaalverbruik_2047"),0)
+IFERROR(INDIRECT("'"&amp;$D$20&amp;"'!Totaalverbruik_2047"),0)
+IFERROR(INDIRECT("'"&amp;$D$21&amp;"'!Totaalverbruik_2047"),0)
+IFERROR(INDIRECT("'"&amp;$D$22&amp;"'!Totaalverbruik_2047"),0)
+IFERROR(INDIRECT("'"&amp;$D$23&amp;"'!Totaalverbruik_2047"),0)
+IFERROR(INDIRECT("'"&amp;$D$24&amp;"'!Totaalverbruik_2047"),0)
+IFERROR(INDIRECT("'"&amp;$D$25&amp;"'!Totaalverbruik_2047"),0)
+IFERROR(INDIRECT("'"&amp;$D$26&amp;"'!Totaalverbruik_2047"),0)
+IFERROR(INDIRECT("'"&amp;$D$27&amp;"'!Totaalverbruik_2047"),0)
+IFERROR(INDIRECT("'"&amp;$D$28&amp;"'!Totaalverbruik_2047"),0)
+IFERROR(INDIRECT("'"&amp;$D$29&amp;"'!Totaalverbruik_2047"),0)
+IFERROR(INDIRECT("'"&amp;$D$30&amp;"'!Totaalverbruik_2047"),0)
+IFERROR(INDIRECT("'"&amp;$D$31&amp;"'!Totaalverbruik_2047"),0)
+IFERROR(INDIRECT("'"&amp;$D$32&amp;"'!Totaalverbruik_2047"),0)
+IFERROR(INDIRECT("'"&amp;$D$33&amp;"'!Totaalverbruik_2047"),0)
+IFERROR(INDIRECT("'"&amp;$D$34&amp;"'!Totaalverbruik_2047"),0)
+IFERROR(INDIRECT("'"&amp;$D$35&amp;"'!Totaalverbruik_2047"),0)
+IFERROR(INDIRECT("'"&amp;$D$36&amp;"'!Totaalverbruik_2047"),0)
+IFERROR(INDIRECT("'"&amp;$D$37&amp;"'!Totaalverbruik_2047"),0)
+IFERROR(INDIRECT("'"&amp;$D$38&amp;"'!Totaalverbruik_2047"),0)
+IFERROR(INDIRECT("'"&amp;$D$39&amp;"'!Totaalverbruik_2047"),0)
+IFERROR(INDIRECT("'"&amp;$D$40&amp;"'!Totaalverbruik_2047"),0)
+IFERROR(INDIRECT("'"&amp;$D$41&amp;"'!Totaalverbruik_2047"),0)
+IFERROR(INDIRECT("'"&amp;$D$42&amp;"'!Totaalverbruik_2047"),0)
+IFERROR(INDIRECT("'"&amp;$D$43&amp;"'!Totaalverbruik_2047"),0)
+IFERROR(INDIRECT("'"&amp;$D$44&amp;"'!Totaalverbruik_2047"),0)
+IFERROR(INDIRECT("'"&amp;$D$45&amp;"'!Totaalverbruik_2047"),0)
+IFERROR(INDIRECT("'"&amp;$D$46&amp;"'!Totaalverbruik_2047"),0)
+IFERROR(INDIRECT("'"&amp;$D$47&amp;"'!Totaalverbruik_2047"),0)
+IFERROR(INDIRECT("'"&amp;$D$48&amp;"'!Totaalverbruik_2047"),0)
+IFERROR(INDIRECT("'"&amp;$D$49&amp;"'!Totaalverbruik_2047"),0)
+IFERROR(INDIRECT("'"&amp;$D$50&amp;"'!Totaalverbruik_2047"),0)
+IFERROR(INDIRECT("'"&amp;$D$51&amp;"'!Totaalverbruik_2047"),0)
+IFERROR(INDIRECT("'"&amp;$D$52&amp;"'!Totaalverbruik_2047"),0)
+IFERROR(INDIRECT("'"&amp;$D$53&amp;"'!Totaalverbruik_2047"),0)
+IFERROR(INDIRECT("'"&amp;$D$54&amp;"'!Totaalverbruik_2047"),0)
+Nieuwbouw!AH51</f>
        <v>1193723.0049411142</v>
      </c>
      <c r="AL43" s="321">
        <f ca="1">+IFERROR(INDIRECT("'"&amp;$D$5&amp;"'!Totaalverbruik_2048"),0)
+IFERROR(INDIRECT("'"&amp;$D$6&amp;"'!Totaalverbruik_2048"),0)
+IFERROR(INDIRECT("'"&amp;$D$7&amp;"'!Totaalverbruik_2048"),0)
+IFERROR(INDIRECT("'"&amp;$D$8&amp;"'!Totaalverbruik_2048"),0)
+IFERROR(INDIRECT("'"&amp;$D$9&amp;"'!Totaalverbruik_2048"),0)
+IFERROR(INDIRECT("'"&amp;$D$10&amp;"'!Totaalverbruik_2048"),0)
+IFERROR(INDIRECT("'"&amp;$D$11&amp;"'!Totaalverbruik_2048"),0)
+IFERROR(INDIRECT("'"&amp;$D$12&amp;"'!Totaalverbruik_2048"),0)
+IFERROR(INDIRECT("'"&amp;$D$13&amp;"'!Totaalverbruik_2048"),0)
+IFERROR(INDIRECT("'"&amp;$D$14&amp;"'!Totaalverbruik_2048"),0)
+IFERROR(INDIRECT("'"&amp;$D$15&amp;"'!Totaalverbruik_2048"),0)
+IFERROR(INDIRECT("'"&amp;$D$16&amp;"'!Totaalverbruik_2048"),0)
+IFERROR(INDIRECT("'"&amp;$D$17&amp;"'!Totaalverbruik_2048"),0)
+IFERROR(INDIRECT("'"&amp;$D$18&amp;"'!Totaalverbruik_2048"),0)
+IFERROR(INDIRECT("'"&amp;$D$19&amp;"'!Totaalverbruik_2048"),0)
+IFERROR(INDIRECT("'"&amp;$D$20&amp;"'!Totaalverbruik_2048"),0)
+IFERROR(INDIRECT("'"&amp;$D$21&amp;"'!Totaalverbruik_2048"),0)
+IFERROR(INDIRECT("'"&amp;$D$22&amp;"'!Totaalverbruik_2048"),0)
+IFERROR(INDIRECT("'"&amp;$D$23&amp;"'!Totaalverbruik_2048"),0)
+IFERROR(INDIRECT("'"&amp;$D$24&amp;"'!Totaalverbruik_2048"),0)
+IFERROR(INDIRECT("'"&amp;$D$25&amp;"'!Totaalverbruik_2048"),0)
+IFERROR(INDIRECT("'"&amp;$D$26&amp;"'!Totaalverbruik_2048"),0)
+IFERROR(INDIRECT("'"&amp;$D$27&amp;"'!Totaalverbruik_2048"),0)
+IFERROR(INDIRECT("'"&amp;$D$28&amp;"'!Totaalverbruik_2048"),0)
+IFERROR(INDIRECT("'"&amp;$D$29&amp;"'!Totaalverbruik_2048"),0)
+IFERROR(INDIRECT("'"&amp;$D$30&amp;"'!Totaalverbruik_2048"),0)
+IFERROR(INDIRECT("'"&amp;$D$31&amp;"'!Totaalverbruik_2048"),0)
+IFERROR(INDIRECT("'"&amp;$D$32&amp;"'!Totaalverbruik_2048"),0)
+IFERROR(INDIRECT("'"&amp;$D$33&amp;"'!Totaalverbruik_2048"),0)
+IFERROR(INDIRECT("'"&amp;$D$34&amp;"'!Totaalverbruik_2048"),0)
+IFERROR(INDIRECT("'"&amp;$D$35&amp;"'!Totaalverbruik_2048"),0)
+IFERROR(INDIRECT("'"&amp;$D$36&amp;"'!Totaalverbruik_2048"),0)
+IFERROR(INDIRECT("'"&amp;$D$37&amp;"'!Totaalverbruik_2048"),0)
+IFERROR(INDIRECT("'"&amp;$D$38&amp;"'!Totaalverbruik_2048"),0)
+IFERROR(INDIRECT("'"&amp;$D$39&amp;"'!Totaalverbruik_2048"),0)
+IFERROR(INDIRECT("'"&amp;$D$40&amp;"'!Totaalverbruik_2048"),0)
+IFERROR(INDIRECT("'"&amp;$D$41&amp;"'!Totaalverbruik_2048"),0)
+IFERROR(INDIRECT("'"&amp;$D$42&amp;"'!Totaalverbruik_2048"),0)
+IFERROR(INDIRECT("'"&amp;$D$43&amp;"'!Totaalverbruik_2048"),0)
+IFERROR(INDIRECT("'"&amp;$D$44&amp;"'!Totaalverbruik_2048"),0)
+IFERROR(INDIRECT("'"&amp;$D$45&amp;"'!Totaalverbruik_2048"),0)
+IFERROR(INDIRECT("'"&amp;$D$46&amp;"'!Totaalverbruik_2048"),0)
+IFERROR(INDIRECT("'"&amp;$D$47&amp;"'!Totaalverbruik_2048"),0)
+IFERROR(INDIRECT("'"&amp;$D$48&amp;"'!Totaalverbruik_2048"),0)
+IFERROR(INDIRECT("'"&amp;$D$49&amp;"'!Totaalverbruik_2048"),0)
+IFERROR(INDIRECT("'"&amp;$D$50&amp;"'!Totaalverbruik_2048"),0)
+IFERROR(INDIRECT("'"&amp;$D$51&amp;"'!Totaalverbruik_2048"),0)
+IFERROR(INDIRECT("'"&amp;$D$52&amp;"'!Totaalverbruik_2048"),0)
+IFERROR(INDIRECT("'"&amp;$D$53&amp;"'!Totaalverbruik_2048"),0)
+IFERROR(INDIRECT("'"&amp;$D$54&amp;"'!Totaalverbruik_2048"),0)
+Nieuwbouw!AI51</f>
        <v>1193723.0049411142</v>
      </c>
      <c r="AM43" s="321">
        <f ca="1">+IFERROR(INDIRECT("'"&amp;$D$5&amp;"'!Totaalverbruik_2049"),0)
+IFERROR(INDIRECT("'"&amp;$D$6&amp;"'!Totaalverbruik_2049"),0)
+IFERROR(INDIRECT("'"&amp;$D$7&amp;"'!Totaalverbruik_2049"),0)
+IFERROR(INDIRECT("'"&amp;$D$8&amp;"'!Totaalverbruik_2049"),0)
+IFERROR(INDIRECT("'"&amp;$D$9&amp;"'!Totaalverbruik_2049"),0)
+IFERROR(INDIRECT("'"&amp;$D$10&amp;"'!Totaalverbruik_2049"),0)
+IFERROR(INDIRECT("'"&amp;$D$11&amp;"'!Totaalverbruik_2049"),0)
+IFERROR(INDIRECT("'"&amp;$D$12&amp;"'!Totaalverbruik_2049"),0)
+IFERROR(INDIRECT("'"&amp;$D$13&amp;"'!Totaalverbruik_2049"),0)
+IFERROR(INDIRECT("'"&amp;$D$14&amp;"'!Totaalverbruik_2049"),0)
+IFERROR(INDIRECT("'"&amp;$D$15&amp;"'!Totaalverbruik_2049"),0)
+IFERROR(INDIRECT("'"&amp;$D$16&amp;"'!Totaalverbruik_2049"),0)
+IFERROR(INDIRECT("'"&amp;$D$17&amp;"'!Totaalverbruik_2049"),0)
+IFERROR(INDIRECT("'"&amp;$D$18&amp;"'!Totaalverbruik_2049"),0)
+IFERROR(INDIRECT("'"&amp;$D$19&amp;"'!Totaalverbruik_2049"),0)
+IFERROR(INDIRECT("'"&amp;$D$20&amp;"'!Totaalverbruik_2049"),0)
+IFERROR(INDIRECT("'"&amp;$D$21&amp;"'!Totaalverbruik_2049"),0)
+IFERROR(INDIRECT("'"&amp;$D$22&amp;"'!Totaalverbruik_2049"),0)
+IFERROR(INDIRECT("'"&amp;$D$23&amp;"'!Totaalverbruik_2049"),0)
+IFERROR(INDIRECT("'"&amp;$D$24&amp;"'!Totaalverbruik_2049"),0)
+IFERROR(INDIRECT("'"&amp;$D$25&amp;"'!Totaalverbruik_2049"),0)
+IFERROR(INDIRECT("'"&amp;$D$26&amp;"'!Totaalverbruik_2049"),0)
+IFERROR(INDIRECT("'"&amp;$D$27&amp;"'!Totaalverbruik_2049"),0)
+IFERROR(INDIRECT("'"&amp;$D$28&amp;"'!Totaalverbruik_2049"),0)
+IFERROR(INDIRECT("'"&amp;$D$29&amp;"'!Totaalverbruik_2049"),0)
+IFERROR(INDIRECT("'"&amp;$D$30&amp;"'!Totaalverbruik_2049"),0)
+IFERROR(INDIRECT("'"&amp;$D$31&amp;"'!Totaalverbruik_2049"),0)
+IFERROR(INDIRECT("'"&amp;$D$32&amp;"'!Totaalverbruik_2049"),0)
+IFERROR(INDIRECT("'"&amp;$D$33&amp;"'!Totaalverbruik_2049"),0)
+IFERROR(INDIRECT("'"&amp;$D$34&amp;"'!Totaalverbruik_2049"),0)
+IFERROR(INDIRECT("'"&amp;$D$35&amp;"'!Totaalverbruik_2049"),0)
+IFERROR(INDIRECT("'"&amp;$D$36&amp;"'!Totaalverbruik_2049"),0)
+IFERROR(INDIRECT("'"&amp;$D$37&amp;"'!Totaalverbruik_2049"),0)
+IFERROR(INDIRECT("'"&amp;$D$38&amp;"'!Totaalverbruik_2049"),0)
+IFERROR(INDIRECT("'"&amp;$D$39&amp;"'!Totaalverbruik_2049"),0)
+IFERROR(INDIRECT("'"&amp;$D$40&amp;"'!Totaalverbruik_2049"),0)
+IFERROR(INDIRECT("'"&amp;$D$41&amp;"'!Totaalverbruik_2049"),0)
+IFERROR(INDIRECT("'"&amp;$D$42&amp;"'!Totaalverbruik_2049"),0)
+IFERROR(INDIRECT("'"&amp;$D$43&amp;"'!Totaalverbruik_2049"),0)
+IFERROR(INDIRECT("'"&amp;$D$44&amp;"'!Totaalverbruik_2049"),0)
+IFERROR(INDIRECT("'"&amp;$D$45&amp;"'!Totaalverbruik_2049"),0)
+IFERROR(INDIRECT("'"&amp;$D$46&amp;"'!Totaalverbruik_2049"),0)
+IFERROR(INDIRECT("'"&amp;$D$47&amp;"'!Totaalverbruik_2049"),0)
+IFERROR(INDIRECT("'"&amp;$D$48&amp;"'!Totaalverbruik_2049"),0)
+IFERROR(INDIRECT("'"&amp;$D$49&amp;"'!Totaalverbruik_2049"),0)
+IFERROR(INDIRECT("'"&amp;$D$50&amp;"'!Totaalverbruik_2049"),0)
+IFERROR(INDIRECT("'"&amp;$D$51&amp;"'!Totaalverbruik_2049"),0)
+IFERROR(INDIRECT("'"&amp;$D$52&amp;"'!Totaalverbruik_2049"),0)
+IFERROR(INDIRECT("'"&amp;$D$53&amp;"'!Totaalverbruik_2049"),0)
+IFERROR(INDIRECT("'"&amp;$D$54&amp;"'!Totaalverbruik_2049"),0)
+Nieuwbouw!AJ51</f>
        <v>1193723.0049411142</v>
      </c>
      <c r="AN43" s="321">
        <f ca="1">+IFERROR(INDIRECT("'"&amp;$D$5&amp;"'!Totaalverbruik_2050"),0)
+IFERROR(INDIRECT("'"&amp;$D$6&amp;"'!Totaalverbruik_2050"),0)
+IFERROR(INDIRECT("'"&amp;$D$7&amp;"'!Totaalverbruik_2050"),0)
+IFERROR(INDIRECT("'"&amp;$D$8&amp;"'!Totaalverbruik_2050"),0)
+IFERROR(INDIRECT("'"&amp;$D$9&amp;"'!Totaalverbruik_2050"),0)
+IFERROR(INDIRECT("'"&amp;$D$10&amp;"'!Totaalverbruik_2050"),0)
+IFERROR(INDIRECT("'"&amp;$D$11&amp;"'!Totaalverbruik_2050"),0)
+IFERROR(INDIRECT("'"&amp;$D$12&amp;"'!Totaalverbruik_2050"),0)
+IFERROR(INDIRECT("'"&amp;$D$13&amp;"'!Totaalverbruik_2050"),0)
+IFERROR(INDIRECT("'"&amp;$D$14&amp;"'!Totaalverbruik_2050"),0)
+IFERROR(INDIRECT("'"&amp;$D$15&amp;"'!Totaalverbruik_2050"),0)
+IFERROR(INDIRECT("'"&amp;$D$16&amp;"'!Totaalverbruik_2050"),0)
+IFERROR(INDIRECT("'"&amp;$D$17&amp;"'!Totaalverbruik_2050"),0)
+IFERROR(INDIRECT("'"&amp;$D$18&amp;"'!Totaalverbruik_2050"),0)
+IFERROR(INDIRECT("'"&amp;$D$19&amp;"'!Totaalverbruik_2050"),0)
+IFERROR(INDIRECT("'"&amp;$D$20&amp;"'!Totaalverbruik_2050"),0)
+IFERROR(INDIRECT("'"&amp;$D$21&amp;"'!Totaalverbruik_2050"),0)
+IFERROR(INDIRECT("'"&amp;$D$22&amp;"'!Totaalverbruik_2050"),0)
+IFERROR(INDIRECT("'"&amp;$D$23&amp;"'!Totaalverbruik_2050"),0)
+IFERROR(INDIRECT("'"&amp;$D$24&amp;"'!Totaalverbruik_2050"),0)
+IFERROR(INDIRECT("'"&amp;$D$25&amp;"'!Totaalverbruik_2050"),0)
+IFERROR(INDIRECT("'"&amp;$D$26&amp;"'!Totaalverbruik_2050"),0)
+IFERROR(INDIRECT("'"&amp;$D$27&amp;"'!Totaalverbruik_2050"),0)
+IFERROR(INDIRECT("'"&amp;$D$28&amp;"'!Totaalverbruik_2050"),0)
+IFERROR(INDIRECT("'"&amp;$D$29&amp;"'!Totaalverbruik_2050"),0)
+IFERROR(INDIRECT("'"&amp;$D$30&amp;"'!Totaalverbruik_2050"),0)
+IFERROR(INDIRECT("'"&amp;$D$31&amp;"'!Totaalverbruik_2050"),0)
+IFERROR(INDIRECT("'"&amp;$D$32&amp;"'!Totaalverbruik_2050"),0)
+IFERROR(INDIRECT("'"&amp;$D$33&amp;"'!Totaalverbruik_2050"),0)
+IFERROR(INDIRECT("'"&amp;$D$34&amp;"'!Totaalverbruik_2050"),0)
+IFERROR(INDIRECT("'"&amp;$D$35&amp;"'!Totaalverbruik_2050"),0)
+IFERROR(INDIRECT("'"&amp;$D$36&amp;"'!Totaalverbruik_2050"),0)
+IFERROR(INDIRECT("'"&amp;$D$37&amp;"'!Totaalverbruik_2050"),0)
+IFERROR(INDIRECT("'"&amp;$D$38&amp;"'!Totaalverbruik_2050"),0)
+IFERROR(INDIRECT("'"&amp;$D$39&amp;"'!Totaalverbruik_2050"),0)
+IFERROR(INDIRECT("'"&amp;$D$40&amp;"'!Totaalverbruik_2050"),0)
+IFERROR(INDIRECT("'"&amp;$D$41&amp;"'!Totaalverbruik_2050"),0)
+IFERROR(INDIRECT("'"&amp;$D$42&amp;"'!Totaalverbruik_2050"),0)
+IFERROR(INDIRECT("'"&amp;$D$43&amp;"'!Totaalverbruik_2050"),0)
+IFERROR(INDIRECT("'"&amp;$D$44&amp;"'!Totaalverbruik_2050"),0)
+IFERROR(INDIRECT("'"&amp;$D$45&amp;"'!Totaalverbruik_2050"),0)
+IFERROR(INDIRECT("'"&amp;$D$46&amp;"'!Totaalverbruik_2050"),0)
+IFERROR(INDIRECT("'"&amp;$D$47&amp;"'!Totaalverbruik_2050"),0)
+IFERROR(INDIRECT("'"&amp;$D$48&amp;"'!Totaalverbruik_2050"),0)
+IFERROR(INDIRECT("'"&amp;$D$49&amp;"'!Totaalverbruik_2050"),0)
+IFERROR(INDIRECT("'"&amp;$D$50&amp;"'!Totaalverbruik_2050"),0)
+IFERROR(INDIRECT("'"&amp;$D$51&amp;"'!Totaalverbruik_2050"),0)
+IFERROR(INDIRECT("'"&amp;$D$52&amp;"'!Totaalverbruik_2050"),0)
+IFERROR(INDIRECT("'"&amp;$D$53&amp;"'!Totaalverbruik_2050"),0)
+IFERROR(INDIRECT("'"&amp;$D$54&amp;"'!Totaalverbruik_2050"),0)
+Nieuwbouw!AK51</f>
        <v>1193723.0049411142</v>
      </c>
      <c r="AO43" s="8"/>
    </row>
    <row r="44" spans="2:41" ht="18.75">
      <c r="B44" s="8"/>
      <c r="C44" s="279" t="s">
        <v>81</v>
      </c>
      <c r="D44" s="115"/>
      <c r="E44" s="8"/>
      <c r="F44" s="8"/>
      <c r="G44" s="324" t="s">
        <v>648</v>
      </c>
      <c r="H44" s="322">
        <f t="shared" ref="H44:AN44" ca="1" si="8">IF(H$23=0,0,H43/H$23)</f>
        <v>152.25626655711494</v>
      </c>
      <c r="I44" s="322">
        <f t="shared" ca="1" si="8"/>
        <v>152.25985155245408</v>
      </c>
      <c r="J44" s="322">
        <f t="shared" ca="1" si="8"/>
        <v>152.25985155245408</v>
      </c>
      <c r="K44" s="322">
        <f t="shared" ca="1" si="8"/>
        <v>152.25985155245408</v>
      </c>
      <c r="L44" s="322">
        <f t="shared" ca="1" si="8"/>
        <v>152.25985155245408</v>
      </c>
      <c r="M44" s="322">
        <f t="shared" ca="1" si="8"/>
        <v>93.994871254607133</v>
      </c>
      <c r="N44" s="322">
        <f t="shared" ca="1" si="8"/>
        <v>87.01883528768181</v>
      </c>
      <c r="O44" s="322">
        <f t="shared" ca="1" si="8"/>
        <v>82.199411721464486</v>
      </c>
      <c r="P44" s="322">
        <f t="shared" ca="1" si="8"/>
        <v>79.4303832042783</v>
      </c>
      <c r="Q44" s="322">
        <f t="shared" ca="1" si="8"/>
        <v>81.991878122898513</v>
      </c>
      <c r="R44" s="322">
        <f t="shared" ca="1" si="8"/>
        <v>80.818044757132583</v>
      </c>
      <c r="S44" s="322">
        <f t="shared" ca="1" si="8"/>
        <v>79.64218847070471</v>
      </c>
      <c r="T44" s="322">
        <f t="shared" ca="1" si="8"/>
        <v>78.466332184276837</v>
      </c>
      <c r="U44" s="322">
        <f t="shared" ca="1" si="8"/>
        <v>77.290475897848964</v>
      </c>
      <c r="V44" s="322">
        <f t="shared" ca="1" si="8"/>
        <v>70.030729733624526</v>
      </c>
      <c r="W44" s="322">
        <f t="shared" ca="1" si="8"/>
        <v>70.030729733624526</v>
      </c>
      <c r="X44" s="322">
        <f t="shared" ca="1" si="8"/>
        <v>70.030729733624526</v>
      </c>
      <c r="Y44" s="322">
        <f t="shared" ca="1" si="8"/>
        <v>70.030729733624526</v>
      </c>
      <c r="Z44" s="322">
        <f t="shared" ca="1" si="8"/>
        <v>66.503154375838875</v>
      </c>
      <c r="AA44" s="322">
        <f t="shared" ca="1" si="8"/>
        <v>66.503154375838875</v>
      </c>
      <c r="AB44" s="322">
        <f t="shared" ca="1" si="8"/>
        <v>66.503154375838875</v>
      </c>
      <c r="AC44" s="322">
        <f t="shared" ca="1" si="8"/>
        <v>66.503154375838875</v>
      </c>
      <c r="AD44" s="322">
        <f t="shared" ca="1" si="8"/>
        <v>54.975923107086743</v>
      </c>
      <c r="AE44" s="322">
        <f t="shared" ca="1" si="8"/>
        <v>54.975923107086743</v>
      </c>
      <c r="AF44" s="322">
        <f t="shared" ca="1" si="8"/>
        <v>54.975923107086743</v>
      </c>
      <c r="AG44" s="322">
        <f t="shared" ca="1" si="8"/>
        <v>54.975923107086743</v>
      </c>
      <c r="AH44" s="322">
        <f t="shared" ca="1" si="8"/>
        <v>54.975923107086743</v>
      </c>
      <c r="AI44" s="322">
        <f t="shared" ca="1" si="8"/>
        <v>54.975923107086743</v>
      </c>
      <c r="AJ44" s="322">
        <f t="shared" ca="1" si="8"/>
        <v>54.975923107086743</v>
      </c>
      <c r="AK44" s="322">
        <f t="shared" ca="1" si="8"/>
        <v>54.975923107086743</v>
      </c>
      <c r="AL44" s="322">
        <f t="shared" ca="1" si="8"/>
        <v>54.975923107086743</v>
      </c>
      <c r="AM44" s="322">
        <f t="shared" ca="1" si="8"/>
        <v>54.975923107086743</v>
      </c>
      <c r="AN44" s="322">
        <f t="shared" ca="1" si="8"/>
        <v>54.975923107086743</v>
      </c>
      <c r="AO44" s="8"/>
    </row>
    <row r="45" spans="2:41" ht="18.75">
      <c r="B45" s="8"/>
      <c r="C45" s="279" t="s">
        <v>82</v>
      </c>
      <c r="D45" s="115"/>
      <c r="E45" s="8"/>
      <c r="F45" s="303"/>
      <c r="G45" s="306" t="s">
        <v>387</v>
      </c>
      <c r="H45" s="320">
        <f ca="1">+IFERROR(INDIRECT("'"&amp;$D$5&amp;"'!kostentotaal_2018"),0)
+IFERROR(INDIRECT("'"&amp;$D$6&amp;"'!kostentotaal_2018"),0)
+IFERROR(INDIRECT("'"&amp;$D$7&amp;"'!kostentotaal_2018"),0)
+IFERROR(INDIRECT("'"&amp;$D$8&amp;"'!kostentotaal_2018"),0)
+IFERROR(INDIRECT("'"&amp;$D$9&amp;"'!kostentotaal_2018"),0)
+IFERROR(INDIRECT("'"&amp;$D$10&amp;"'!kostentotaal_2018"),0)
+IFERROR(INDIRECT("'"&amp;$D$11&amp;"'!kostentotaal_2018"),0)
+IFERROR(INDIRECT("'"&amp;$D$12&amp;"'!kostentotaal_2018"),0)
+IFERROR(INDIRECT("'"&amp;$D$13&amp;"'!kostentotaal_2018"),0)
+IFERROR(INDIRECT("'"&amp;$D$14&amp;"'!kostentotaal_2018"),0)
+IFERROR(INDIRECT("'"&amp;$D$15&amp;"'!kostentotaal_2018"),0)
+IFERROR(INDIRECT("'"&amp;$D$16&amp;"'!kostentotaal_2018"),0)
+IFERROR(INDIRECT("'"&amp;$D$17&amp;"'!kostentotaal_2018"),0)
+IFERROR(INDIRECT("'"&amp;$D$18&amp;"'!kostentotaal_2018"),0)
+IFERROR(INDIRECT("'"&amp;$D$19&amp;"'!kostentotaal_2018"),0)
+IFERROR(INDIRECT("'"&amp;$D$20&amp;"'!kostentotaal_2018"),0)
+IFERROR(INDIRECT("'"&amp;$D$21&amp;"'!kostentotaal_2018"),0)
+IFERROR(INDIRECT("'"&amp;$D$22&amp;"'!kostentotaal_2018"),0)
+IFERROR(INDIRECT("'"&amp;$D$23&amp;"'!kostentotaal_2018"),0)
+IFERROR(INDIRECT("'"&amp;$D$24&amp;"'!kostentotaal_2018"),0)
+IFERROR(INDIRECT("'"&amp;$D$25&amp;"'!kostentotaal_2018"),0)
+IFERROR(INDIRECT("'"&amp;$D$26&amp;"'!kostentotaal_2018"),0)
+IFERROR(INDIRECT("'"&amp;$D$27&amp;"'!kostentotaal_2018"),0)
+IFERROR(INDIRECT("'"&amp;$D$28&amp;"'!kostentotaal_2018"),0)
+IFERROR(INDIRECT("'"&amp;$D$29&amp;"'!kostentotaal_2018"),0)
+IFERROR(INDIRECT("'"&amp;$D$30&amp;"'!kostentotaal_2018"),0)
+IFERROR(INDIRECT("'"&amp;$D$31&amp;"'!kostentotaal_2018"),0)
+IFERROR(INDIRECT("'"&amp;$D$32&amp;"'!kostentotaal_2018"),0)
+IFERROR(INDIRECT("'"&amp;$D$33&amp;"'!kostentotaal_2018"),0)
+IFERROR(INDIRECT("'"&amp;$D$34&amp;"'!kostentotaal_2018"),0)
+IFERROR(INDIRECT("'"&amp;$D$35&amp;"'!kostentotaal_2018"),0)
+IFERROR(INDIRECT("'"&amp;$D$36&amp;"'!kostentotaal_2018"),0)
+IFERROR(INDIRECT("'"&amp;$D$37&amp;"'!kostentotaal_2018"),0)
+IFERROR(INDIRECT("'"&amp;$D$38&amp;"'!kostentotaal_2018"),0)
+IFERROR(INDIRECT("'"&amp;$D$39&amp;"'!kostentotaal_2018"),0)
+IFERROR(INDIRECT("'"&amp;$D$40&amp;"'!kostentotaal_2018"),0)
+IFERROR(INDIRECT("'"&amp;$D$41&amp;"'!kostentotaal_2018"),0)
+IFERROR(INDIRECT("'"&amp;$D$42&amp;"'!kostentotaal_2018"),0)
+IFERROR(INDIRECT("'"&amp;$D$43&amp;"'!kostentotaal_2018"),0)
+IFERROR(INDIRECT("'"&amp;$D$44&amp;"'!kostentotaal_2018"),0)
+IFERROR(INDIRECT("'"&amp;$D$45&amp;"'!kostentotaal_2018"),0)
+IFERROR(INDIRECT("'"&amp;$D$46&amp;"'!kostentotaal_2018"),0)
+IFERROR(INDIRECT("'"&amp;$D$47&amp;"'!kostentotaal_2018"),0)
+IFERROR(INDIRECT("'"&amp;$D$48&amp;"'!kostentotaal_2018"),0)
+IFERROR(INDIRECT("'"&amp;$D$49&amp;"'!kostentotaal_2018"),0)
+IFERROR(INDIRECT("'"&amp;$D$50&amp;"'!kostentotaal_2018"),0)
+IFERROR(INDIRECT("'"&amp;$D$51&amp;"'!kostentotaal_2018"),0)
+IFERROR(INDIRECT("'"&amp;$D$52&amp;"'!kostentotaal_2018"),0)
+IFERROR(INDIRECT("'"&amp;$D$53&amp;"'!kostentotaal_2018"),0)
+IFERROR(INDIRECT("'"&amp;$D$54&amp;"'!kostentotaal_2018"),0)
+Nieuwbouw!E56</f>
        <v>561598.91399999999</v>
      </c>
      <c r="I45" s="320">
        <f ca="1">+IFERROR(INDIRECT("'"&amp;$D$5&amp;"'!kostentotaal_2019"),0)
+IFERROR(INDIRECT("'"&amp;$D$6&amp;"'!kostentotaal_2019"),0)
+IFERROR(INDIRECT("'"&amp;$D$7&amp;"'!kostentotaal_2019"),0)
+IFERROR(INDIRECT("'"&amp;$D$8&amp;"'!kostentotaal_2019"),0)
+IFERROR(INDIRECT("'"&amp;$D$9&amp;"'!kostentotaal_2019"),0)
+IFERROR(INDIRECT("'"&amp;$D$10&amp;"'!kostentotaal_2019"),0)
+IFERROR(INDIRECT("'"&amp;$D$11&amp;"'!kostentotaal_2019"),0)
+IFERROR(INDIRECT("'"&amp;$D$12&amp;"'!kostentotaal_2019"),0)
+IFERROR(INDIRECT("'"&amp;$D$13&amp;"'!kostentotaal_2019"),0)
+IFERROR(INDIRECT("'"&amp;$D$14&amp;"'!kostentotaal_2019"),0)
+IFERROR(INDIRECT("'"&amp;$D$15&amp;"'!kostentotaal_2019"),0)
+IFERROR(INDIRECT("'"&amp;$D$16&amp;"'!kostentotaal_2019"),0)
+IFERROR(INDIRECT("'"&amp;$D$17&amp;"'!kostentotaal_2019"),0)
+IFERROR(INDIRECT("'"&amp;$D$18&amp;"'!kostentotaal_2019"),0)
+IFERROR(INDIRECT("'"&amp;$D$19&amp;"'!kostentotaal_2019"),0)
+IFERROR(INDIRECT("'"&amp;$D$20&amp;"'!kostentotaal_2019"),0)
+IFERROR(INDIRECT("'"&amp;$D$21&amp;"'!kostentotaal_2019"),0)
+IFERROR(INDIRECT("'"&amp;$D$22&amp;"'!kostentotaal_2019"),0)
+IFERROR(INDIRECT("'"&amp;$D$23&amp;"'!kostentotaal_2019"),0)
+IFERROR(INDIRECT("'"&amp;$D$24&amp;"'!kostentotaal_2019"),0)
+IFERROR(INDIRECT("'"&amp;$D$25&amp;"'!kostentotaal_2019"),0)
+IFERROR(INDIRECT("'"&amp;$D$26&amp;"'!kostentotaal_2019"),0)
+IFERROR(INDIRECT("'"&amp;$D$27&amp;"'!kostentotaal_2019"),0)
+IFERROR(INDIRECT("'"&amp;$D$28&amp;"'!kostentotaal_2019"),0)
+IFERROR(INDIRECT("'"&amp;$D$29&amp;"'!kostentotaal_2019"),0)
+IFERROR(INDIRECT("'"&amp;$D$30&amp;"'!kostentotaal_2019"),0)
+IFERROR(INDIRECT("'"&amp;$D$31&amp;"'!kostentotaal_2019"),0)
+IFERROR(INDIRECT("'"&amp;$D$32&amp;"'!kostentotaal_2019"),0)
+IFERROR(INDIRECT("'"&amp;$D$33&amp;"'!kostentotaal_2019"),0)
+IFERROR(INDIRECT("'"&amp;$D$34&amp;"'!kostentotaal_2019"),0)
+IFERROR(INDIRECT("'"&amp;$D$35&amp;"'!kostentotaal_2019"),0)
+IFERROR(INDIRECT("'"&amp;$D$36&amp;"'!kostentotaal_2019"),0)
+IFERROR(INDIRECT("'"&amp;$D$37&amp;"'!kostentotaal_2019"),0)
+IFERROR(INDIRECT("'"&amp;$D$38&amp;"'!kostentotaal_2019"),0)
+IFERROR(INDIRECT("'"&amp;$D$39&amp;"'!kostentotaal_2019"),0)
+IFERROR(INDIRECT("'"&amp;$D$40&amp;"'!kostentotaal_2019"),0)
+IFERROR(INDIRECT("'"&amp;$D$41&amp;"'!kostentotaal_2019"),0)
+IFERROR(INDIRECT("'"&amp;$D$42&amp;"'!kostentotaal_2019"),0)
+IFERROR(INDIRECT("'"&amp;$D$43&amp;"'!kostentotaal_2019"),0)
+IFERROR(INDIRECT("'"&amp;$D$44&amp;"'!kostentotaal_2019"),0)
+IFERROR(INDIRECT("'"&amp;$D$45&amp;"'!kostentotaal_2019"),0)
+IFERROR(INDIRECT("'"&amp;$D$46&amp;"'!kostentotaal_2019"),0)
+IFERROR(INDIRECT("'"&amp;$D$47&amp;"'!kostentotaal_2019"),0)
+IFERROR(INDIRECT("'"&amp;$D$48&amp;"'!kostentotaal_2019"),0)
+IFERROR(INDIRECT("'"&amp;$D$49&amp;"'!kostentotaal_2019"),0)
+IFERROR(INDIRECT("'"&amp;$D$50&amp;"'!kostentotaal_2019"),0)
+IFERROR(INDIRECT("'"&amp;$D$51&amp;"'!kostentotaal_2019"),0)
+IFERROR(INDIRECT("'"&amp;$D$52&amp;"'!kostentotaal_2019"),0)
+IFERROR(INDIRECT("'"&amp;$D$53&amp;"'!kostentotaal_2019"),0)
+IFERROR(INDIRECT("'"&amp;$D$54&amp;"'!kostentotaal_2019"),0)
+Nieuwbouw!F56</f>
        <v>561612.80200000003</v>
      </c>
      <c r="J45" s="320">
        <f ca="1">+IFERROR(INDIRECT("'"&amp;$D$5&amp;"'!kostentotaal_2020"),0)
+IFERROR(INDIRECT("'"&amp;$D$6&amp;"'!kostentotaal_2020"),0)
+IFERROR(INDIRECT("'"&amp;$D$7&amp;"'!kostentotaal_2020"),0)
+IFERROR(INDIRECT("'"&amp;$D$8&amp;"'!kostentotaal_2020"),0)
+IFERROR(INDIRECT("'"&amp;$D$9&amp;"'!kostentotaal_2020"),0)
+IFERROR(INDIRECT("'"&amp;$D$10&amp;"'!kostentotaal_2020"),0)
+IFERROR(INDIRECT("'"&amp;$D$11&amp;"'!kostentotaal_2020"),0)
+IFERROR(INDIRECT("'"&amp;$D$12&amp;"'!kostentotaal_2020"),0)
+IFERROR(INDIRECT("'"&amp;$D$13&amp;"'!kostentotaal_2020"),0)
+IFERROR(INDIRECT("'"&amp;$D$14&amp;"'!kostentotaal_2020"),0)
+IFERROR(INDIRECT("'"&amp;$D$15&amp;"'!kostentotaal_2020"),0)
+IFERROR(INDIRECT("'"&amp;$D$16&amp;"'!kostentotaal_2020"),0)
+IFERROR(INDIRECT("'"&amp;$D$17&amp;"'!kostentotaal_2020"),0)
+IFERROR(INDIRECT("'"&amp;$D$18&amp;"'!kostentotaal_2020"),0)
+IFERROR(INDIRECT("'"&amp;$D$19&amp;"'!kostentotaal_2020"),0)
+IFERROR(INDIRECT("'"&amp;$D$20&amp;"'!kostentotaal_2020"),0)
+IFERROR(INDIRECT("'"&amp;$D$21&amp;"'!kostentotaal_2020"),0)
+IFERROR(INDIRECT("'"&amp;$D$22&amp;"'!kostentotaal_2020"),0)
+IFERROR(INDIRECT("'"&amp;$D$23&amp;"'!kostentotaal_2020"),0)
+IFERROR(INDIRECT("'"&amp;$D$24&amp;"'!kostentotaal_2020"),0)
+IFERROR(INDIRECT("'"&amp;$D$25&amp;"'!kostentotaal_2020"),0)
+IFERROR(INDIRECT("'"&amp;$D$26&amp;"'!kostentotaal_2020"),0)
+IFERROR(INDIRECT("'"&amp;$D$27&amp;"'!kostentotaal_2020"),0)
+IFERROR(INDIRECT("'"&amp;$D$28&amp;"'!kostentotaal_2020"),0)
+IFERROR(INDIRECT("'"&amp;$D$29&amp;"'!kostentotaal_2020"),0)
+IFERROR(INDIRECT("'"&amp;$D$30&amp;"'!kostentotaal_2020"),0)
+IFERROR(INDIRECT("'"&amp;$D$31&amp;"'!kostentotaal_2020"),0)
+IFERROR(INDIRECT("'"&amp;$D$32&amp;"'!kostentotaal_2020"),0)
+IFERROR(INDIRECT("'"&amp;$D$33&amp;"'!kostentotaal_2020"),0)
+IFERROR(INDIRECT("'"&amp;$D$34&amp;"'!kostentotaal_2020"),0)
+IFERROR(INDIRECT("'"&amp;$D$35&amp;"'!kostentotaal_2020"),0)
+IFERROR(INDIRECT("'"&amp;$D$36&amp;"'!kostentotaal_2020"),0)
+IFERROR(INDIRECT("'"&amp;$D$37&amp;"'!kostentotaal_2020"),0)
+IFERROR(INDIRECT("'"&amp;$D$38&amp;"'!kostentotaal_2020"),0)
+IFERROR(INDIRECT("'"&amp;$D$39&amp;"'!kostentotaal_2020"),0)
+IFERROR(INDIRECT("'"&amp;$D$40&amp;"'!kostentotaal_2020"),0)
+IFERROR(INDIRECT("'"&amp;$D$41&amp;"'!kostentotaal_2020"),0)
+IFERROR(INDIRECT("'"&amp;$D$42&amp;"'!kostentotaal_2020"),0)
+IFERROR(INDIRECT("'"&amp;$D$43&amp;"'!kostentotaal_2020"),0)
+IFERROR(INDIRECT("'"&amp;$D$44&amp;"'!kostentotaal_2020"),0)
+IFERROR(INDIRECT("'"&amp;$D$45&amp;"'!kostentotaal_2020"),0)
+IFERROR(INDIRECT("'"&amp;$D$46&amp;"'!kostentotaal_2020"),0)
+IFERROR(INDIRECT("'"&amp;$D$47&amp;"'!kostentotaal_2020"),0)
+IFERROR(INDIRECT("'"&amp;$D$48&amp;"'!kostentotaal_2020"),0)
+IFERROR(INDIRECT("'"&amp;$D$49&amp;"'!kostentotaal_2020"),0)
+IFERROR(INDIRECT("'"&amp;$D$50&amp;"'!kostentotaal_2020"),0)
+IFERROR(INDIRECT("'"&amp;$D$51&amp;"'!kostentotaal_2020"),0)
+IFERROR(INDIRECT("'"&amp;$D$52&amp;"'!kostentotaal_2020"),0)
+IFERROR(INDIRECT("'"&amp;$D$53&amp;"'!kostentotaal_2020"),0)
+IFERROR(INDIRECT("'"&amp;$D$54&amp;"'!kostentotaal_2020"),0)
+Nieuwbouw!G56</f>
        <v>561612.80200000003</v>
      </c>
      <c r="K45" s="320">
        <f ca="1">+IFERROR(INDIRECT("'"&amp;$D$5&amp;"'!kostentotaal_2021"),0)
+IFERROR(INDIRECT("'"&amp;$D$6&amp;"'!kostentotaal_2021"),0)
+IFERROR(INDIRECT("'"&amp;$D$7&amp;"'!kostentotaal_2021"),0)
+IFERROR(INDIRECT("'"&amp;$D$8&amp;"'!kostentotaal_2021"),0)
+IFERROR(INDIRECT("'"&amp;$D$9&amp;"'!kostentotaal_2021"),0)
+IFERROR(INDIRECT("'"&amp;$D$10&amp;"'!kostentotaal_2021"),0)
+IFERROR(INDIRECT("'"&amp;$D$11&amp;"'!kostentotaal_2021"),0)
+IFERROR(INDIRECT("'"&amp;$D$12&amp;"'!kostentotaal_2021"),0)
+IFERROR(INDIRECT("'"&amp;$D$13&amp;"'!kostentotaal_2021"),0)
+IFERROR(INDIRECT("'"&amp;$D$14&amp;"'!kostentotaal_2021"),0)
+IFERROR(INDIRECT("'"&amp;$D$15&amp;"'!kostentotaal_2021"),0)
+IFERROR(INDIRECT("'"&amp;$D$16&amp;"'!kostentotaal_2021"),0)
+IFERROR(INDIRECT("'"&amp;$D$17&amp;"'!kostentotaal_2021"),0)
+IFERROR(INDIRECT("'"&amp;$D$18&amp;"'!kostentotaal_2021"),0)
+IFERROR(INDIRECT("'"&amp;$D$19&amp;"'!kostentotaal_2021"),0)
+IFERROR(INDIRECT("'"&amp;$D$20&amp;"'!kostentotaal_2021"),0)
+IFERROR(INDIRECT("'"&amp;$D$21&amp;"'!kostentotaal_2021"),0)
+IFERROR(INDIRECT("'"&amp;$D$22&amp;"'!kostentotaal_2021"),0)
+IFERROR(INDIRECT("'"&amp;$D$23&amp;"'!kostentotaal_2021"),0)
+IFERROR(INDIRECT("'"&amp;$D$24&amp;"'!kostentotaal_2021"),0)
+IFERROR(INDIRECT("'"&amp;$D$25&amp;"'!kostentotaal_2021"),0)
+IFERROR(INDIRECT("'"&amp;$D$26&amp;"'!kostentotaal_2021"),0)
+IFERROR(INDIRECT("'"&amp;$D$27&amp;"'!kostentotaal_2021"),0)
+IFERROR(INDIRECT("'"&amp;$D$28&amp;"'!kostentotaal_2021"),0)
+IFERROR(INDIRECT("'"&amp;$D$29&amp;"'!kostentotaal_2021"),0)
+IFERROR(INDIRECT("'"&amp;$D$30&amp;"'!kostentotaal_2021"),0)
+IFERROR(INDIRECT("'"&amp;$D$31&amp;"'!kostentotaal_2021"),0)
+IFERROR(INDIRECT("'"&amp;$D$32&amp;"'!kostentotaal_2021"),0)
+IFERROR(INDIRECT("'"&amp;$D$33&amp;"'!kostentotaal_2021"),0)
+IFERROR(INDIRECT("'"&amp;$D$34&amp;"'!kostentotaal_2021"),0)
+IFERROR(INDIRECT("'"&amp;$D$35&amp;"'!kostentotaal_2021"),0)
+IFERROR(INDIRECT("'"&amp;$D$36&amp;"'!kostentotaal_2021"),0)
+IFERROR(INDIRECT("'"&amp;$D$37&amp;"'!kostentotaal_2021"),0)
+IFERROR(INDIRECT("'"&amp;$D$38&amp;"'!kostentotaal_2021"),0)
+IFERROR(INDIRECT("'"&amp;$D$39&amp;"'!kostentotaal_2021"),0)
+IFERROR(INDIRECT("'"&amp;$D$40&amp;"'!kostentotaal_2021"),0)
+IFERROR(INDIRECT("'"&amp;$D$41&amp;"'!kostentotaal_2021"),0)
+IFERROR(INDIRECT("'"&amp;$D$42&amp;"'!kostentotaal_2021"),0)
+IFERROR(INDIRECT("'"&amp;$D$43&amp;"'!kostentotaal_2021"),0)
+IFERROR(INDIRECT("'"&amp;$D$44&amp;"'!kostentotaal_2021"),0)
+IFERROR(INDIRECT("'"&amp;$D$45&amp;"'!kostentotaal_2021"),0)
+IFERROR(INDIRECT("'"&amp;$D$46&amp;"'!kostentotaal_2021"),0)
+IFERROR(INDIRECT("'"&amp;$D$47&amp;"'!kostentotaal_2021"),0)
+IFERROR(INDIRECT("'"&amp;$D$48&amp;"'!kostentotaal_2021"),0)
+IFERROR(INDIRECT("'"&amp;$D$49&amp;"'!kostentotaal_2021"),0)
+IFERROR(INDIRECT("'"&amp;$D$50&amp;"'!kostentotaal_2021"),0)
+IFERROR(INDIRECT("'"&amp;$D$51&amp;"'!kostentotaal_2021"),0)
+IFERROR(INDIRECT("'"&amp;$D$52&amp;"'!kostentotaal_2021"),0)
+IFERROR(INDIRECT("'"&amp;$D$53&amp;"'!kostentotaal_2021"),0)
+IFERROR(INDIRECT("'"&amp;$D$54&amp;"'!kostentotaal_2021"),0)
+Nieuwbouw!H56</f>
        <v>561612.80200000003</v>
      </c>
      <c r="L45" s="320">
        <f ca="1">+IFERROR(INDIRECT("'"&amp;$D$5&amp;"'!kostentotaal_2022"),0)
+IFERROR(INDIRECT("'"&amp;$D$6&amp;"'!kostentotaal_2022"),0)
+IFERROR(INDIRECT("'"&amp;$D$7&amp;"'!kostentotaal_2022"),0)
+IFERROR(INDIRECT("'"&amp;$D$8&amp;"'!kostentotaal_2022"),0)
+IFERROR(INDIRECT("'"&amp;$D$9&amp;"'!kostentotaal_2022"),0)
+IFERROR(INDIRECT("'"&amp;$D$10&amp;"'!kostentotaal_2022"),0)
+IFERROR(INDIRECT("'"&amp;$D$11&amp;"'!kostentotaal_2022"),0)
+IFERROR(INDIRECT("'"&amp;$D$12&amp;"'!kostentotaal_2022"),0)
+IFERROR(INDIRECT("'"&amp;$D$13&amp;"'!kostentotaal_2022"),0)
+IFERROR(INDIRECT("'"&amp;$D$14&amp;"'!kostentotaal_2022"),0)
+IFERROR(INDIRECT("'"&amp;$D$15&amp;"'!kostentotaal_2022"),0)
+IFERROR(INDIRECT("'"&amp;$D$16&amp;"'!kostentotaal_2022"),0)
+IFERROR(INDIRECT("'"&amp;$D$17&amp;"'!kostentotaal_2022"),0)
+IFERROR(INDIRECT("'"&amp;$D$18&amp;"'!kostentotaal_2022"),0)
+IFERROR(INDIRECT("'"&amp;$D$19&amp;"'!kostentotaal_2022"),0)
+IFERROR(INDIRECT("'"&amp;$D$20&amp;"'!kostentotaal_2022"),0)
+IFERROR(INDIRECT("'"&amp;$D$21&amp;"'!kostentotaal_2022"),0)
+IFERROR(INDIRECT("'"&amp;$D$22&amp;"'!kostentotaal_2022"),0)
+IFERROR(INDIRECT("'"&amp;$D$23&amp;"'!kostentotaal_2022"),0)
+IFERROR(INDIRECT("'"&amp;$D$24&amp;"'!kostentotaal_2022"),0)
+IFERROR(INDIRECT("'"&amp;$D$25&amp;"'!kostentotaal_2022"),0)
+IFERROR(INDIRECT("'"&amp;$D$26&amp;"'!kostentotaal_2022"),0)
+IFERROR(INDIRECT("'"&amp;$D$27&amp;"'!kostentotaal_2022"),0)
+IFERROR(INDIRECT("'"&amp;$D$28&amp;"'!kostentotaal_2022"),0)
+IFERROR(INDIRECT("'"&amp;$D$29&amp;"'!kostentotaal_2022"),0)
+IFERROR(INDIRECT("'"&amp;$D$30&amp;"'!kostentotaal_2022"),0)
+IFERROR(INDIRECT("'"&amp;$D$31&amp;"'!kostentotaal_2022"),0)
+IFERROR(INDIRECT("'"&amp;$D$32&amp;"'!kostentotaal_2022"),0)
+IFERROR(INDIRECT("'"&amp;$D$33&amp;"'!kostentotaal_2022"),0)
+IFERROR(INDIRECT("'"&amp;$D$34&amp;"'!kostentotaal_2022"),0)
+IFERROR(INDIRECT("'"&amp;$D$35&amp;"'!kostentotaal_2022"),0)
+IFERROR(INDIRECT("'"&amp;$D$36&amp;"'!kostentotaal_2022"),0)
+IFERROR(INDIRECT("'"&amp;$D$37&amp;"'!kostentotaal_2022"),0)
+IFERROR(INDIRECT("'"&amp;$D$38&amp;"'!kostentotaal_2022"),0)
+IFERROR(INDIRECT("'"&amp;$D$39&amp;"'!kostentotaal_2022"),0)
+IFERROR(INDIRECT("'"&amp;$D$40&amp;"'!kostentotaal_2022"),0)
+IFERROR(INDIRECT("'"&amp;$D$41&amp;"'!kostentotaal_2022"),0)
+IFERROR(INDIRECT("'"&amp;$D$42&amp;"'!kostentotaal_2022"),0)
+IFERROR(INDIRECT("'"&amp;$D$43&amp;"'!kostentotaal_2022"),0)
+IFERROR(INDIRECT("'"&amp;$D$44&amp;"'!kostentotaal_2022"),0)
+IFERROR(INDIRECT("'"&amp;$D$45&amp;"'!kostentotaal_2022"),0)
+IFERROR(INDIRECT("'"&amp;$D$46&amp;"'!kostentotaal_2022"),0)
+IFERROR(INDIRECT("'"&amp;$D$47&amp;"'!kostentotaal_2022"),0)
+IFERROR(INDIRECT("'"&amp;$D$48&amp;"'!kostentotaal_2022"),0)
+IFERROR(INDIRECT("'"&amp;$D$49&amp;"'!kostentotaal_2022"),0)
+IFERROR(INDIRECT("'"&amp;$D$50&amp;"'!kostentotaal_2022"),0)
+IFERROR(INDIRECT("'"&amp;$D$51&amp;"'!kostentotaal_2022"),0)
+IFERROR(INDIRECT("'"&amp;$D$52&amp;"'!kostentotaal_2022"),0)
+IFERROR(INDIRECT("'"&amp;$D$53&amp;"'!kostentotaal_2022"),0)
+IFERROR(INDIRECT("'"&amp;$D$54&amp;"'!kostentotaal_2022"),0)
+Nieuwbouw!I56</f>
        <v>561612.80200000003</v>
      </c>
      <c r="M45" s="320">
        <f ca="1">+IFERROR(INDIRECT("'"&amp;$D$5&amp;"'!kostentotaal_2023"),0)
+IFERROR(INDIRECT("'"&amp;$D$6&amp;"'!kostentotaal_2023"),0)
+IFERROR(INDIRECT("'"&amp;$D$7&amp;"'!kostentotaal_2023"),0)
+IFERROR(INDIRECT("'"&amp;$D$8&amp;"'!kostentotaal_2023"),0)
+IFERROR(INDIRECT("'"&amp;$D$9&amp;"'!kostentotaal_2023"),0)
+IFERROR(INDIRECT("'"&amp;$D$10&amp;"'!kostentotaal_2023"),0)
+IFERROR(INDIRECT("'"&amp;$D$11&amp;"'!kostentotaal_2023"),0)
+IFERROR(INDIRECT("'"&amp;$D$12&amp;"'!kostentotaal_2023"),0)
+IFERROR(INDIRECT("'"&amp;$D$13&amp;"'!kostentotaal_2023"),0)
+IFERROR(INDIRECT("'"&amp;$D$14&amp;"'!kostentotaal_2023"),0)
+IFERROR(INDIRECT("'"&amp;$D$15&amp;"'!kostentotaal_2023"),0)
+IFERROR(INDIRECT("'"&amp;$D$16&amp;"'!kostentotaal_2023"),0)
+IFERROR(INDIRECT("'"&amp;$D$17&amp;"'!kostentotaal_2023"),0)
+IFERROR(INDIRECT("'"&amp;$D$18&amp;"'!kostentotaal_2023"),0)
+IFERROR(INDIRECT("'"&amp;$D$19&amp;"'!kostentotaal_2023"),0)
+IFERROR(INDIRECT("'"&amp;$D$20&amp;"'!kostentotaal_2023"),0)
+IFERROR(INDIRECT("'"&amp;$D$21&amp;"'!kostentotaal_2023"),0)
+IFERROR(INDIRECT("'"&amp;$D$22&amp;"'!kostentotaal_2023"),0)
+IFERROR(INDIRECT("'"&amp;$D$23&amp;"'!kostentotaal_2023"),0)
+IFERROR(INDIRECT("'"&amp;$D$24&amp;"'!kostentotaal_2023"),0)
+IFERROR(INDIRECT("'"&amp;$D$25&amp;"'!kostentotaal_2023"),0)
+IFERROR(INDIRECT("'"&amp;$D$26&amp;"'!kostentotaal_2023"),0)
+IFERROR(INDIRECT("'"&amp;$D$27&amp;"'!kostentotaal_2023"),0)
+IFERROR(INDIRECT("'"&amp;$D$28&amp;"'!kostentotaal_2023"),0)
+IFERROR(INDIRECT("'"&amp;$D$29&amp;"'!kostentotaal_2023"),0)
+IFERROR(INDIRECT("'"&amp;$D$30&amp;"'!kostentotaal_2023"),0)
+IFERROR(INDIRECT("'"&amp;$D$31&amp;"'!kostentotaal_2023"),0)
+IFERROR(INDIRECT("'"&amp;$D$32&amp;"'!kostentotaal_2023"),0)
+IFERROR(INDIRECT("'"&amp;$D$33&amp;"'!kostentotaal_2023"),0)
+IFERROR(INDIRECT("'"&amp;$D$34&amp;"'!kostentotaal_2023"),0)
+IFERROR(INDIRECT("'"&amp;$D$35&amp;"'!kostentotaal_2023"),0)
+IFERROR(INDIRECT("'"&amp;$D$36&amp;"'!kostentotaal_2023"),0)
+IFERROR(INDIRECT("'"&amp;$D$37&amp;"'!kostentotaal_2023"),0)
+IFERROR(INDIRECT("'"&amp;$D$38&amp;"'!kostentotaal_2023"),0)
+IFERROR(INDIRECT("'"&amp;$D$39&amp;"'!kostentotaal_2023"),0)
+IFERROR(INDIRECT("'"&amp;$D$40&amp;"'!kostentotaal_2023"),0)
+IFERROR(INDIRECT("'"&amp;$D$41&amp;"'!kostentotaal_2023"),0)
+IFERROR(INDIRECT("'"&amp;$D$42&amp;"'!kostentotaal_2023"),0)
+IFERROR(INDIRECT("'"&amp;$D$43&amp;"'!kostentotaal_2023"),0)
+IFERROR(INDIRECT("'"&amp;$D$44&amp;"'!kostentotaal_2023"),0)
+IFERROR(INDIRECT("'"&amp;$D$45&amp;"'!kostentotaal_2023"),0)
+IFERROR(INDIRECT("'"&amp;$D$46&amp;"'!kostentotaal_2023"),0)
+IFERROR(INDIRECT("'"&amp;$D$47&amp;"'!kostentotaal_2023"),0)
+IFERROR(INDIRECT("'"&amp;$D$48&amp;"'!kostentotaal_2023"),0)
+IFERROR(INDIRECT("'"&amp;$D$49&amp;"'!kostentotaal_2023"),0)
+IFERROR(INDIRECT("'"&amp;$D$50&amp;"'!kostentotaal_2023"),0)
+IFERROR(INDIRECT("'"&amp;$D$51&amp;"'!kostentotaal_2023"),0)
+IFERROR(INDIRECT("'"&amp;$D$52&amp;"'!kostentotaal_2023"),0)
+IFERROR(INDIRECT("'"&amp;$D$53&amp;"'!kostentotaal_2023"),0)
+IFERROR(INDIRECT("'"&amp;$D$54&amp;"'!kostentotaal_2023"),0)
+Nieuwbouw!J56</f>
        <v>309851.15732279862</v>
      </c>
      <c r="N45" s="320">
        <f ca="1">+IFERROR(INDIRECT("'"&amp;$D$5&amp;"'!kostentotaal_2024"),0)
+IFERROR(INDIRECT("'"&amp;$D$6&amp;"'!kostentotaal_2024"),0)
+IFERROR(INDIRECT("'"&amp;$D$7&amp;"'!kostentotaal_2024"),0)
+IFERROR(INDIRECT("'"&amp;$D$8&amp;"'!kostentotaal_2024"),0)
+IFERROR(INDIRECT("'"&amp;$D$9&amp;"'!kostentotaal_2024"),0)
+IFERROR(INDIRECT("'"&amp;$D$10&amp;"'!kostentotaal_2024"),0)
+IFERROR(INDIRECT("'"&amp;$D$11&amp;"'!kostentotaal_2024"),0)
+IFERROR(INDIRECT("'"&amp;$D$12&amp;"'!kostentotaal_2024"),0)
+IFERROR(INDIRECT("'"&amp;$D$13&amp;"'!kostentotaal_2024"),0)
+IFERROR(INDIRECT("'"&amp;$D$14&amp;"'!kostentotaal_2024"),0)
+IFERROR(INDIRECT("'"&amp;$D$15&amp;"'!kostentotaal_2024"),0)
+IFERROR(INDIRECT("'"&amp;$D$16&amp;"'!kostentotaal_2024"),0)
+IFERROR(INDIRECT("'"&amp;$D$17&amp;"'!kostentotaal_2024"),0)
+IFERROR(INDIRECT("'"&amp;$D$18&amp;"'!kostentotaal_2024"),0)
+IFERROR(INDIRECT("'"&amp;$D$19&amp;"'!kostentotaal_2024"),0)
+IFERROR(INDIRECT("'"&amp;$D$20&amp;"'!kostentotaal_2024"),0)
+IFERROR(INDIRECT("'"&amp;$D$21&amp;"'!kostentotaal_2024"),0)
+IFERROR(INDIRECT("'"&amp;$D$22&amp;"'!kostentotaal_2024"),0)
+IFERROR(INDIRECT("'"&amp;$D$23&amp;"'!kostentotaal_2024"),0)
+IFERROR(INDIRECT("'"&amp;$D$24&amp;"'!kostentotaal_2024"),0)
+IFERROR(INDIRECT("'"&amp;$D$25&amp;"'!kostentotaal_2024"),0)
+IFERROR(INDIRECT("'"&amp;$D$26&amp;"'!kostentotaal_2024"),0)
+IFERROR(INDIRECT("'"&amp;$D$27&amp;"'!kostentotaal_2024"),0)
+IFERROR(INDIRECT("'"&amp;$D$28&amp;"'!kostentotaal_2024"),0)
+IFERROR(INDIRECT("'"&amp;$D$29&amp;"'!kostentotaal_2024"),0)
+IFERROR(INDIRECT("'"&amp;$D$30&amp;"'!kostentotaal_2024"),0)
+IFERROR(INDIRECT("'"&amp;$D$31&amp;"'!kostentotaal_2024"),0)
+IFERROR(INDIRECT("'"&amp;$D$32&amp;"'!kostentotaal_2024"),0)
+IFERROR(INDIRECT("'"&amp;$D$33&amp;"'!kostentotaal_2024"),0)
+IFERROR(INDIRECT("'"&amp;$D$34&amp;"'!kostentotaal_2024"),0)
+IFERROR(INDIRECT("'"&amp;$D$35&amp;"'!kostentotaal_2024"),0)
+IFERROR(INDIRECT("'"&amp;$D$36&amp;"'!kostentotaal_2024"),0)
+IFERROR(INDIRECT("'"&amp;$D$37&amp;"'!kostentotaal_2024"),0)
+IFERROR(INDIRECT("'"&amp;$D$38&amp;"'!kostentotaal_2024"),0)
+IFERROR(INDIRECT("'"&amp;$D$39&amp;"'!kostentotaal_2024"),0)
+IFERROR(INDIRECT("'"&amp;$D$40&amp;"'!kostentotaal_2024"),0)
+IFERROR(INDIRECT("'"&amp;$D$41&amp;"'!kostentotaal_2024"),0)
+IFERROR(INDIRECT("'"&amp;$D$42&amp;"'!kostentotaal_2024"),0)
+IFERROR(INDIRECT("'"&amp;$D$43&amp;"'!kostentotaal_2024"),0)
+IFERROR(INDIRECT("'"&amp;$D$44&amp;"'!kostentotaal_2024"),0)
+IFERROR(INDIRECT("'"&amp;$D$45&amp;"'!kostentotaal_2024"),0)
+IFERROR(INDIRECT("'"&amp;$D$46&amp;"'!kostentotaal_2024"),0)
+IFERROR(INDIRECT("'"&amp;$D$47&amp;"'!kostentotaal_2024"),0)
+IFERROR(INDIRECT("'"&amp;$D$48&amp;"'!kostentotaal_2024"),0)
+IFERROR(INDIRECT("'"&amp;$D$49&amp;"'!kostentotaal_2024"),0)
+IFERROR(INDIRECT("'"&amp;$D$50&amp;"'!kostentotaal_2024"),0)
+IFERROR(INDIRECT("'"&amp;$D$51&amp;"'!kostentotaal_2024"),0)
+IFERROR(INDIRECT("'"&amp;$D$52&amp;"'!kostentotaal_2024"),0)
+IFERROR(INDIRECT("'"&amp;$D$53&amp;"'!kostentotaal_2024"),0)
+IFERROR(INDIRECT("'"&amp;$D$54&amp;"'!kostentotaal_2024"),0)
+Nieuwbouw!K56</f>
        <v>285705.16176809091</v>
      </c>
      <c r="O45" s="320">
        <f ca="1">+IFERROR(INDIRECT("'"&amp;$D$5&amp;"'!kostentotaal_2025"),0)
+IFERROR(INDIRECT("'"&amp;$D$6&amp;"'!kostentotaal_2025"),0)
+IFERROR(INDIRECT("'"&amp;$D$7&amp;"'!kostentotaal_2025"),0)
+IFERROR(INDIRECT("'"&amp;$D$8&amp;"'!kostentotaal_2025"),0)
+IFERROR(INDIRECT("'"&amp;$D$9&amp;"'!kostentotaal_2025"),0)
+IFERROR(INDIRECT("'"&amp;$D$10&amp;"'!kostentotaal_2025"),0)
+IFERROR(INDIRECT("'"&amp;$D$11&amp;"'!kostentotaal_2025"),0)
+IFERROR(INDIRECT("'"&amp;$D$12&amp;"'!kostentotaal_2025"),0)
+IFERROR(INDIRECT("'"&amp;$D$13&amp;"'!kostentotaal_2025"),0)
+IFERROR(INDIRECT("'"&amp;$D$14&amp;"'!kostentotaal_2025"),0)
+IFERROR(INDIRECT("'"&amp;$D$15&amp;"'!kostentotaal_2025"),0)
+IFERROR(INDIRECT("'"&amp;$D$16&amp;"'!kostentotaal_2025"),0)
+IFERROR(INDIRECT("'"&amp;$D$17&amp;"'!kostentotaal_2025"),0)
+IFERROR(INDIRECT("'"&amp;$D$18&amp;"'!kostentotaal_2025"),0)
+IFERROR(INDIRECT("'"&amp;$D$19&amp;"'!kostentotaal_2025"),0)
+IFERROR(INDIRECT("'"&amp;$D$20&amp;"'!kostentotaal_2025"),0)
+IFERROR(INDIRECT("'"&amp;$D$21&amp;"'!kostentotaal_2025"),0)
+IFERROR(INDIRECT("'"&amp;$D$22&amp;"'!kostentotaal_2025"),0)
+IFERROR(INDIRECT("'"&amp;$D$23&amp;"'!kostentotaal_2025"),0)
+IFERROR(INDIRECT("'"&amp;$D$24&amp;"'!kostentotaal_2025"),0)
+IFERROR(INDIRECT("'"&amp;$D$25&amp;"'!kostentotaal_2025"),0)
+IFERROR(INDIRECT("'"&amp;$D$26&amp;"'!kostentotaal_2025"),0)
+IFERROR(INDIRECT("'"&amp;$D$27&amp;"'!kostentotaal_2025"),0)
+IFERROR(INDIRECT("'"&amp;$D$28&amp;"'!kostentotaal_2025"),0)
+IFERROR(INDIRECT("'"&amp;$D$29&amp;"'!kostentotaal_2025"),0)
+IFERROR(INDIRECT("'"&amp;$D$30&amp;"'!kostentotaal_2025"),0)
+IFERROR(INDIRECT("'"&amp;$D$31&amp;"'!kostentotaal_2025"),0)
+IFERROR(INDIRECT("'"&amp;$D$32&amp;"'!kostentotaal_2025"),0)
+IFERROR(INDIRECT("'"&amp;$D$33&amp;"'!kostentotaal_2025"),0)
+IFERROR(INDIRECT("'"&amp;$D$34&amp;"'!kostentotaal_2025"),0)
+IFERROR(INDIRECT("'"&amp;$D$35&amp;"'!kostentotaal_2025"),0)
+IFERROR(INDIRECT("'"&amp;$D$36&amp;"'!kostentotaal_2025"),0)
+IFERROR(INDIRECT("'"&amp;$D$37&amp;"'!kostentotaal_2025"),0)
+IFERROR(INDIRECT("'"&amp;$D$38&amp;"'!kostentotaal_2025"),0)
+IFERROR(INDIRECT("'"&amp;$D$39&amp;"'!kostentotaal_2025"),0)
+IFERROR(INDIRECT("'"&amp;$D$40&amp;"'!kostentotaal_2025"),0)
+IFERROR(INDIRECT("'"&amp;$D$41&amp;"'!kostentotaal_2025"),0)
+IFERROR(INDIRECT("'"&amp;$D$42&amp;"'!kostentotaal_2025"),0)
+IFERROR(INDIRECT("'"&amp;$D$43&amp;"'!kostentotaal_2025"),0)
+IFERROR(INDIRECT("'"&amp;$D$44&amp;"'!kostentotaal_2025"),0)
+IFERROR(INDIRECT("'"&amp;$D$45&amp;"'!kostentotaal_2025"),0)
+IFERROR(INDIRECT("'"&amp;$D$46&amp;"'!kostentotaal_2025"),0)
+IFERROR(INDIRECT("'"&amp;$D$47&amp;"'!kostentotaal_2025"),0)
+IFERROR(INDIRECT("'"&amp;$D$48&amp;"'!kostentotaal_2025"),0)
+IFERROR(INDIRECT("'"&amp;$D$49&amp;"'!kostentotaal_2025"),0)
+IFERROR(INDIRECT("'"&amp;$D$50&amp;"'!kostentotaal_2025"),0)
+IFERROR(INDIRECT("'"&amp;$D$51&amp;"'!kostentotaal_2025"),0)
+IFERROR(INDIRECT("'"&amp;$D$52&amp;"'!kostentotaal_2025"),0)
+IFERROR(INDIRECT("'"&amp;$D$53&amp;"'!kostentotaal_2025"),0)
+IFERROR(INDIRECT("'"&amp;$D$54&amp;"'!kostentotaal_2025"),0)
+Nieuwbouw!L56</f>
        <v>243817.18326731055</v>
      </c>
      <c r="P45" s="320">
        <f ca="1">+IFERROR(INDIRECT("'"&amp;$D$5&amp;"'!kostentotaal_2026"),0)
+IFERROR(INDIRECT("'"&amp;$D$6&amp;"'!kostentotaal_2026"),0)
+IFERROR(INDIRECT("'"&amp;$D$7&amp;"'!kostentotaal_2026"),0)
+IFERROR(INDIRECT("'"&amp;$D$8&amp;"'!kostentotaal_2026"),0)
+IFERROR(INDIRECT("'"&amp;$D$9&amp;"'!kostentotaal_2026"),0)
+IFERROR(INDIRECT("'"&amp;$D$10&amp;"'!kostentotaal_2026"),0)
+IFERROR(INDIRECT("'"&amp;$D$11&amp;"'!kostentotaal_2026"),0)
+IFERROR(INDIRECT("'"&amp;$D$12&amp;"'!kostentotaal_2026"),0)
+IFERROR(INDIRECT("'"&amp;$D$13&amp;"'!kostentotaal_2026"),0)
+IFERROR(INDIRECT("'"&amp;$D$14&amp;"'!kostentotaal_2026"),0)
+IFERROR(INDIRECT("'"&amp;$D$15&amp;"'!kostentotaal_2026"),0)
+IFERROR(INDIRECT("'"&amp;$D$16&amp;"'!kostentotaal_2026"),0)
+IFERROR(INDIRECT("'"&amp;$D$17&amp;"'!kostentotaal_2026"),0)
+IFERROR(INDIRECT("'"&amp;$D$18&amp;"'!kostentotaal_2026"),0)
+IFERROR(INDIRECT("'"&amp;$D$19&amp;"'!kostentotaal_2026"),0)
+IFERROR(INDIRECT("'"&amp;$D$20&amp;"'!kostentotaal_2026"),0)
+IFERROR(INDIRECT("'"&amp;$D$21&amp;"'!kostentotaal_2026"),0)
+IFERROR(INDIRECT("'"&amp;$D$22&amp;"'!kostentotaal_2026"),0)
+IFERROR(INDIRECT("'"&amp;$D$23&amp;"'!kostentotaal_2026"),0)
+IFERROR(INDIRECT("'"&amp;$D$24&amp;"'!kostentotaal_2026"),0)
+IFERROR(INDIRECT("'"&amp;$D$25&amp;"'!kostentotaal_2026"),0)
+IFERROR(INDIRECT("'"&amp;$D$26&amp;"'!kostentotaal_2026"),0)
+IFERROR(INDIRECT("'"&amp;$D$27&amp;"'!kostentotaal_2026"),0)
+IFERROR(INDIRECT("'"&amp;$D$28&amp;"'!kostentotaal_2026"),0)
+IFERROR(INDIRECT("'"&amp;$D$29&amp;"'!kostentotaal_2026"),0)
+IFERROR(INDIRECT("'"&amp;$D$30&amp;"'!kostentotaal_2026"),0)
+IFERROR(INDIRECT("'"&amp;$D$31&amp;"'!kostentotaal_2026"),0)
+IFERROR(INDIRECT("'"&amp;$D$32&amp;"'!kostentotaal_2026"),0)
+IFERROR(INDIRECT("'"&amp;$D$33&amp;"'!kostentotaal_2026"),0)
+IFERROR(INDIRECT("'"&amp;$D$34&amp;"'!kostentotaal_2026"),0)
+IFERROR(INDIRECT("'"&amp;$D$35&amp;"'!kostentotaal_2026"),0)
+IFERROR(INDIRECT("'"&amp;$D$36&amp;"'!kostentotaal_2026"),0)
+IFERROR(INDIRECT("'"&amp;$D$37&amp;"'!kostentotaal_2026"),0)
+IFERROR(INDIRECT("'"&amp;$D$38&amp;"'!kostentotaal_2026"),0)
+IFERROR(INDIRECT("'"&amp;$D$39&amp;"'!kostentotaal_2026"),0)
+IFERROR(INDIRECT("'"&amp;$D$40&amp;"'!kostentotaal_2026"),0)
+IFERROR(INDIRECT("'"&amp;$D$41&amp;"'!kostentotaal_2026"),0)
+IFERROR(INDIRECT("'"&amp;$D$42&amp;"'!kostentotaal_2026"),0)
+IFERROR(INDIRECT("'"&amp;$D$43&amp;"'!kostentotaal_2026"),0)
+IFERROR(INDIRECT("'"&amp;$D$44&amp;"'!kostentotaal_2026"),0)
+IFERROR(INDIRECT("'"&amp;$D$45&amp;"'!kostentotaal_2026"),0)
+IFERROR(INDIRECT("'"&amp;$D$46&amp;"'!kostentotaal_2026"),0)
+IFERROR(INDIRECT("'"&amp;$D$47&amp;"'!kostentotaal_2026"),0)
+IFERROR(INDIRECT("'"&amp;$D$48&amp;"'!kostentotaal_2026"),0)
+IFERROR(INDIRECT("'"&amp;$D$49&amp;"'!kostentotaal_2026"),0)
+IFERROR(INDIRECT("'"&amp;$D$50&amp;"'!kostentotaal_2026"),0)
+IFERROR(INDIRECT("'"&amp;$D$51&amp;"'!kostentotaal_2026"),0)
+IFERROR(INDIRECT("'"&amp;$D$52&amp;"'!kostentotaal_2026"),0)
+IFERROR(INDIRECT("'"&amp;$D$53&amp;"'!kostentotaal_2026"),0)
+IFERROR(INDIRECT("'"&amp;$D$54&amp;"'!kostentotaal_2026"),0)
+Nieuwbouw!M56</f>
        <v>237735.74135653017</v>
      </c>
      <c r="Q45" s="320">
        <f ca="1">+IFERROR(INDIRECT("'"&amp;$D$5&amp;"'!kostentotaal_2027"),0)
+IFERROR(INDIRECT("'"&amp;$D$6&amp;"'!kostentotaal_2027"),0)
+IFERROR(INDIRECT("'"&amp;$D$7&amp;"'!kostentotaal_2027"),0)
+IFERROR(INDIRECT("'"&amp;$D$8&amp;"'!kostentotaal_2027"),0)
+IFERROR(INDIRECT("'"&amp;$D$9&amp;"'!kostentotaal_2027"),0)
+IFERROR(INDIRECT("'"&amp;$D$10&amp;"'!kostentotaal_2027"),0)
+IFERROR(INDIRECT("'"&amp;$D$11&amp;"'!kostentotaal_2027"),0)
+IFERROR(INDIRECT("'"&amp;$D$12&amp;"'!kostentotaal_2027"),0)
+IFERROR(INDIRECT("'"&amp;$D$13&amp;"'!kostentotaal_2027"),0)
+IFERROR(INDIRECT("'"&amp;$D$14&amp;"'!kostentotaal_2027"),0)
+IFERROR(INDIRECT("'"&amp;$D$15&amp;"'!kostentotaal_2027"),0)
+IFERROR(INDIRECT("'"&amp;$D$16&amp;"'!kostentotaal_2027"),0)
+IFERROR(INDIRECT("'"&amp;$D$17&amp;"'!kostentotaal_2027"),0)
+IFERROR(INDIRECT("'"&amp;$D$18&amp;"'!kostentotaal_2027"),0)
+IFERROR(INDIRECT("'"&amp;$D$19&amp;"'!kostentotaal_2027"),0)
+IFERROR(INDIRECT("'"&amp;$D$20&amp;"'!kostentotaal_2027"),0)
+IFERROR(INDIRECT("'"&amp;$D$21&amp;"'!kostentotaal_2027"),0)
+IFERROR(INDIRECT("'"&amp;$D$22&amp;"'!kostentotaal_2027"),0)
+IFERROR(INDIRECT("'"&amp;$D$23&amp;"'!kostentotaal_2027"),0)
+IFERROR(INDIRECT("'"&amp;$D$24&amp;"'!kostentotaal_2027"),0)
+IFERROR(INDIRECT("'"&amp;$D$25&amp;"'!kostentotaal_2027"),0)
+IFERROR(INDIRECT("'"&amp;$D$26&amp;"'!kostentotaal_2027"),0)
+IFERROR(INDIRECT("'"&amp;$D$27&amp;"'!kostentotaal_2027"),0)
+IFERROR(INDIRECT("'"&amp;$D$28&amp;"'!kostentotaal_2027"),0)
+IFERROR(INDIRECT("'"&amp;$D$29&amp;"'!kostentotaal_2027"),0)
+IFERROR(INDIRECT("'"&amp;$D$30&amp;"'!kostentotaal_2027"),0)
+IFERROR(INDIRECT("'"&amp;$D$31&amp;"'!kostentotaal_2027"),0)
+IFERROR(INDIRECT("'"&amp;$D$32&amp;"'!kostentotaal_2027"),0)
+IFERROR(INDIRECT("'"&amp;$D$33&amp;"'!kostentotaal_2027"),0)
+IFERROR(INDIRECT("'"&amp;$D$34&amp;"'!kostentotaal_2027"),0)
+IFERROR(INDIRECT("'"&amp;$D$35&amp;"'!kostentotaal_2027"),0)
+IFERROR(INDIRECT("'"&amp;$D$36&amp;"'!kostentotaal_2027"),0)
+IFERROR(INDIRECT("'"&amp;$D$37&amp;"'!kostentotaal_2027"),0)
+IFERROR(INDIRECT("'"&amp;$D$38&amp;"'!kostentotaal_2027"),0)
+IFERROR(INDIRECT("'"&amp;$D$39&amp;"'!kostentotaal_2027"),0)
+IFERROR(INDIRECT("'"&amp;$D$40&amp;"'!kostentotaal_2027"),0)
+IFERROR(INDIRECT("'"&amp;$D$41&amp;"'!kostentotaal_2027"),0)
+IFERROR(INDIRECT("'"&amp;$D$42&amp;"'!kostentotaal_2027"),0)
+IFERROR(INDIRECT("'"&amp;$D$43&amp;"'!kostentotaal_2027"),0)
+IFERROR(INDIRECT("'"&amp;$D$44&amp;"'!kostentotaal_2027"),0)
+IFERROR(INDIRECT("'"&amp;$D$45&amp;"'!kostentotaal_2027"),0)
+IFERROR(INDIRECT("'"&amp;$D$46&amp;"'!kostentotaal_2027"),0)
+IFERROR(INDIRECT("'"&amp;$D$47&amp;"'!kostentotaal_2027"),0)
+IFERROR(INDIRECT("'"&amp;$D$48&amp;"'!kostentotaal_2027"),0)
+IFERROR(INDIRECT("'"&amp;$D$49&amp;"'!kostentotaal_2027"),0)
+IFERROR(INDIRECT("'"&amp;$D$50&amp;"'!kostentotaal_2027"),0)
+IFERROR(INDIRECT("'"&amp;$D$51&amp;"'!kostentotaal_2027"),0)
+IFERROR(INDIRECT("'"&amp;$D$52&amp;"'!kostentotaal_2027"),0)
+IFERROR(INDIRECT("'"&amp;$D$53&amp;"'!kostentotaal_2027"),0)
+IFERROR(INDIRECT("'"&amp;$D$54&amp;"'!kostentotaal_2027"),0)
+Nieuwbouw!N56</f>
        <v>241184.57805966481</v>
      </c>
      <c r="R45" s="320">
        <f ca="1">+IFERROR(INDIRECT("'"&amp;$D$5&amp;"'!kostentotaal_2028"),0)
+IFERROR(INDIRECT("'"&amp;$D$6&amp;"'!kostentotaal_2028"),0)
+IFERROR(INDIRECT("'"&amp;$D$7&amp;"'!kostentotaal_2028"),0)
+IFERROR(INDIRECT("'"&amp;$D$8&amp;"'!kostentotaal_2028"),0)
+IFERROR(INDIRECT("'"&amp;$D$9&amp;"'!kostentotaal_2028"),0)
+IFERROR(INDIRECT("'"&amp;$D$10&amp;"'!kostentotaal_2028"),0)
+IFERROR(INDIRECT("'"&amp;$D$11&amp;"'!kostentotaal_2028"),0)
+IFERROR(INDIRECT("'"&amp;$D$12&amp;"'!kostentotaal_2028"),0)
+IFERROR(INDIRECT("'"&amp;$D$13&amp;"'!kostentotaal_2028"),0)
+IFERROR(INDIRECT("'"&amp;$D$14&amp;"'!kostentotaal_2028"),0)
+IFERROR(INDIRECT("'"&amp;$D$15&amp;"'!kostentotaal_2028"),0)
+IFERROR(INDIRECT("'"&amp;$D$16&amp;"'!kostentotaal_2028"),0)
+IFERROR(INDIRECT("'"&amp;$D$17&amp;"'!kostentotaal_2028"),0)
+IFERROR(INDIRECT("'"&amp;$D$18&amp;"'!kostentotaal_2028"),0)
+IFERROR(INDIRECT("'"&amp;$D$19&amp;"'!kostentotaal_2028"),0)
+IFERROR(INDIRECT("'"&amp;$D$20&amp;"'!kostentotaal_2028"),0)
+IFERROR(INDIRECT("'"&amp;$D$21&amp;"'!kostentotaal_2028"),0)
+IFERROR(INDIRECT("'"&amp;$D$22&amp;"'!kostentotaal_2028"),0)
+IFERROR(INDIRECT("'"&amp;$D$23&amp;"'!kostentotaal_2028"),0)
+IFERROR(INDIRECT("'"&amp;$D$24&amp;"'!kostentotaal_2028"),0)
+IFERROR(INDIRECT("'"&amp;$D$25&amp;"'!kostentotaal_2028"),0)
+IFERROR(INDIRECT("'"&amp;$D$26&amp;"'!kostentotaal_2028"),0)
+IFERROR(INDIRECT("'"&amp;$D$27&amp;"'!kostentotaal_2028"),0)
+IFERROR(INDIRECT("'"&amp;$D$28&amp;"'!kostentotaal_2028"),0)
+IFERROR(INDIRECT("'"&amp;$D$29&amp;"'!kostentotaal_2028"),0)
+IFERROR(INDIRECT("'"&amp;$D$30&amp;"'!kostentotaal_2028"),0)
+IFERROR(INDIRECT("'"&amp;$D$31&amp;"'!kostentotaal_2028"),0)
+IFERROR(INDIRECT("'"&amp;$D$32&amp;"'!kostentotaal_2028"),0)
+IFERROR(INDIRECT("'"&amp;$D$33&amp;"'!kostentotaal_2028"),0)
+IFERROR(INDIRECT("'"&amp;$D$34&amp;"'!kostentotaal_2028"),0)
+IFERROR(INDIRECT("'"&amp;$D$35&amp;"'!kostentotaal_2028"),0)
+IFERROR(INDIRECT("'"&amp;$D$36&amp;"'!kostentotaal_2028"),0)
+IFERROR(INDIRECT("'"&amp;$D$37&amp;"'!kostentotaal_2028"),0)
+IFERROR(INDIRECT("'"&amp;$D$38&amp;"'!kostentotaal_2028"),0)
+IFERROR(INDIRECT("'"&amp;$D$39&amp;"'!kostentotaal_2028"),0)
+IFERROR(INDIRECT("'"&amp;$D$40&amp;"'!kostentotaal_2028"),0)
+IFERROR(INDIRECT("'"&amp;$D$41&amp;"'!kostentotaal_2028"),0)
+IFERROR(INDIRECT("'"&amp;$D$42&amp;"'!kostentotaal_2028"),0)
+IFERROR(INDIRECT("'"&amp;$D$43&amp;"'!kostentotaal_2028"),0)
+IFERROR(INDIRECT("'"&amp;$D$44&amp;"'!kostentotaal_2028"),0)
+IFERROR(INDIRECT("'"&amp;$D$45&amp;"'!kostentotaal_2028"),0)
+IFERROR(INDIRECT("'"&amp;$D$46&amp;"'!kostentotaal_2028"),0)
+IFERROR(INDIRECT("'"&amp;$D$47&amp;"'!kostentotaal_2028"),0)
+IFERROR(INDIRECT("'"&amp;$D$48&amp;"'!kostentotaal_2028"),0)
+IFERROR(INDIRECT("'"&amp;$D$49&amp;"'!kostentotaal_2028"),0)
+IFERROR(INDIRECT("'"&amp;$D$50&amp;"'!kostentotaal_2028"),0)
+IFERROR(INDIRECT("'"&amp;$D$51&amp;"'!kostentotaal_2028"),0)
+IFERROR(INDIRECT("'"&amp;$D$52&amp;"'!kostentotaal_2028"),0)
+IFERROR(INDIRECT("'"&amp;$D$53&amp;"'!kostentotaal_2028"),0)
+IFERROR(INDIRECT("'"&amp;$D$54&amp;"'!kostentotaal_2028"),0)
+Nieuwbouw!O56</f>
        <v>238611.64043701033</v>
      </c>
      <c r="S45" s="320">
        <f ca="1">+IFERROR(INDIRECT("'"&amp;$D$5&amp;"'!kostentotaal_2029"),0)
+IFERROR(INDIRECT("'"&amp;$D$6&amp;"'!kostentotaal_2029"),0)
+IFERROR(INDIRECT("'"&amp;$D$7&amp;"'!kostentotaal_2029"),0)
+IFERROR(INDIRECT("'"&amp;$D$8&amp;"'!kostentotaal_2029"),0)
+IFERROR(INDIRECT("'"&amp;$D$9&amp;"'!kostentotaal_2029"),0)
+IFERROR(INDIRECT("'"&amp;$D$10&amp;"'!kostentotaal_2029"),0)
+IFERROR(INDIRECT("'"&amp;$D$11&amp;"'!kostentotaal_2029"),0)
+IFERROR(INDIRECT("'"&amp;$D$12&amp;"'!kostentotaal_2029"),0)
+IFERROR(INDIRECT("'"&amp;$D$13&amp;"'!kostentotaal_2029"),0)
+IFERROR(INDIRECT("'"&amp;$D$14&amp;"'!kostentotaal_2029"),0)
+IFERROR(INDIRECT("'"&amp;$D$15&amp;"'!kostentotaal_2029"),0)
+IFERROR(INDIRECT("'"&amp;$D$16&amp;"'!kostentotaal_2029"),0)
+IFERROR(INDIRECT("'"&amp;$D$17&amp;"'!kostentotaal_2029"),0)
+IFERROR(INDIRECT("'"&amp;$D$18&amp;"'!kostentotaal_2029"),0)
+IFERROR(INDIRECT("'"&amp;$D$19&amp;"'!kostentotaal_2029"),0)
+IFERROR(INDIRECT("'"&amp;$D$20&amp;"'!kostentotaal_2029"),0)
+IFERROR(INDIRECT("'"&amp;$D$21&amp;"'!kostentotaal_2029"),0)
+IFERROR(INDIRECT("'"&amp;$D$22&amp;"'!kostentotaal_2029"),0)
+IFERROR(INDIRECT("'"&amp;$D$23&amp;"'!kostentotaal_2029"),0)
+IFERROR(INDIRECT("'"&amp;$D$24&amp;"'!kostentotaal_2029"),0)
+IFERROR(INDIRECT("'"&amp;$D$25&amp;"'!kostentotaal_2029"),0)
+IFERROR(INDIRECT("'"&amp;$D$26&amp;"'!kostentotaal_2029"),0)
+IFERROR(INDIRECT("'"&amp;$D$27&amp;"'!kostentotaal_2029"),0)
+IFERROR(INDIRECT("'"&amp;$D$28&amp;"'!kostentotaal_2029"),0)
+IFERROR(INDIRECT("'"&amp;$D$29&amp;"'!kostentotaal_2029"),0)
+IFERROR(INDIRECT("'"&amp;$D$30&amp;"'!kostentotaal_2029"),0)
+IFERROR(INDIRECT("'"&amp;$D$31&amp;"'!kostentotaal_2029"),0)
+IFERROR(INDIRECT("'"&amp;$D$32&amp;"'!kostentotaal_2029"),0)
+IFERROR(INDIRECT("'"&amp;$D$33&amp;"'!kostentotaal_2029"),0)
+IFERROR(INDIRECT("'"&amp;$D$34&amp;"'!kostentotaal_2029"),0)
+IFERROR(INDIRECT("'"&amp;$D$35&amp;"'!kostentotaal_2029"),0)
+IFERROR(INDIRECT("'"&amp;$D$36&amp;"'!kostentotaal_2029"),0)
+IFERROR(INDIRECT("'"&amp;$D$37&amp;"'!kostentotaal_2029"),0)
+IFERROR(INDIRECT("'"&amp;$D$38&amp;"'!kostentotaal_2029"),0)
+IFERROR(INDIRECT("'"&amp;$D$39&amp;"'!kostentotaal_2029"),0)
+IFERROR(INDIRECT("'"&amp;$D$40&amp;"'!kostentotaal_2029"),0)
+IFERROR(INDIRECT("'"&amp;$D$41&amp;"'!kostentotaal_2029"),0)
+IFERROR(INDIRECT("'"&amp;$D$42&amp;"'!kostentotaal_2029"),0)
+IFERROR(INDIRECT("'"&amp;$D$43&amp;"'!kostentotaal_2029"),0)
+IFERROR(INDIRECT("'"&amp;$D$44&amp;"'!kostentotaal_2029"),0)
+IFERROR(INDIRECT("'"&amp;$D$45&amp;"'!kostentotaal_2029"),0)
+IFERROR(INDIRECT("'"&amp;$D$46&amp;"'!kostentotaal_2029"),0)
+IFERROR(INDIRECT("'"&amp;$D$47&amp;"'!kostentotaal_2029"),0)
+IFERROR(INDIRECT("'"&amp;$D$48&amp;"'!kostentotaal_2029"),0)
+IFERROR(INDIRECT("'"&amp;$D$49&amp;"'!kostentotaal_2029"),0)
+IFERROR(INDIRECT("'"&amp;$D$50&amp;"'!kostentotaal_2029"),0)
+IFERROR(INDIRECT("'"&amp;$D$51&amp;"'!kostentotaal_2029"),0)
+IFERROR(INDIRECT("'"&amp;$D$52&amp;"'!kostentotaal_2029"),0)
+IFERROR(INDIRECT("'"&amp;$D$53&amp;"'!kostentotaal_2029"),0)
+IFERROR(INDIRECT("'"&amp;$D$54&amp;"'!kostentotaal_2029"),0)
+Nieuwbouw!P56</f>
        <v>236030.86601435591</v>
      </c>
      <c r="T45" s="320">
        <f ca="1">+IFERROR(INDIRECT("'"&amp;$D$5&amp;"'!kostentotaal_2030"),0)
+IFERROR(INDIRECT("'"&amp;$D$6&amp;"'!kostentotaal_2030"),0)
+IFERROR(INDIRECT("'"&amp;$D$7&amp;"'!kostentotaal_2030"),0)
+IFERROR(INDIRECT("'"&amp;$D$8&amp;"'!kostentotaal_2030"),0)
+IFERROR(INDIRECT("'"&amp;$D$9&amp;"'!kostentotaal_2030"),0)
+IFERROR(INDIRECT("'"&amp;$D$10&amp;"'!kostentotaal_2030"),0)
+IFERROR(INDIRECT("'"&amp;$D$11&amp;"'!kostentotaal_2030"),0)
+IFERROR(INDIRECT("'"&amp;$D$12&amp;"'!kostentotaal_2030"),0)
+IFERROR(INDIRECT("'"&amp;$D$13&amp;"'!kostentotaal_2030"),0)
+IFERROR(INDIRECT("'"&amp;$D$14&amp;"'!kostentotaal_2030"),0)
+IFERROR(INDIRECT("'"&amp;$D$15&amp;"'!kostentotaal_2030"),0)
+IFERROR(INDIRECT("'"&amp;$D$16&amp;"'!kostentotaal_2030"),0)
+IFERROR(INDIRECT("'"&amp;$D$17&amp;"'!kostentotaal_2030"),0)
+IFERROR(INDIRECT("'"&amp;$D$18&amp;"'!kostentotaal_2030"),0)
+IFERROR(INDIRECT("'"&amp;$D$19&amp;"'!kostentotaal_2030"),0)
+IFERROR(INDIRECT("'"&amp;$D$20&amp;"'!kostentotaal_2030"),0)
+IFERROR(INDIRECT("'"&amp;$D$21&amp;"'!kostentotaal_2030"),0)
+IFERROR(INDIRECT("'"&amp;$D$22&amp;"'!kostentotaal_2030"),0)
+IFERROR(INDIRECT("'"&amp;$D$23&amp;"'!kostentotaal_2030"),0)
+IFERROR(INDIRECT("'"&amp;$D$24&amp;"'!kostentotaal_2030"),0)
+IFERROR(INDIRECT("'"&amp;$D$25&amp;"'!kostentotaal_2030"),0)
+IFERROR(INDIRECT("'"&amp;$D$26&amp;"'!kostentotaal_2030"),0)
+IFERROR(INDIRECT("'"&amp;$D$27&amp;"'!kostentotaal_2030"),0)
+IFERROR(INDIRECT("'"&amp;$D$28&amp;"'!kostentotaal_2030"),0)
+IFERROR(INDIRECT("'"&amp;$D$29&amp;"'!kostentotaal_2030"),0)
+IFERROR(INDIRECT("'"&amp;$D$30&amp;"'!kostentotaal_2030"),0)
+IFERROR(INDIRECT("'"&amp;$D$31&amp;"'!kostentotaal_2030"),0)
+IFERROR(INDIRECT("'"&amp;$D$32&amp;"'!kostentotaal_2030"),0)
+IFERROR(INDIRECT("'"&amp;$D$33&amp;"'!kostentotaal_2030"),0)
+IFERROR(INDIRECT("'"&amp;$D$34&amp;"'!kostentotaal_2030"),0)
+IFERROR(INDIRECT("'"&amp;$D$35&amp;"'!kostentotaal_2030"),0)
+IFERROR(INDIRECT("'"&amp;$D$36&amp;"'!kostentotaal_2030"),0)
+IFERROR(INDIRECT("'"&amp;$D$37&amp;"'!kostentotaal_2030"),0)
+IFERROR(INDIRECT("'"&amp;$D$38&amp;"'!kostentotaal_2030"),0)
+IFERROR(INDIRECT("'"&amp;$D$39&amp;"'!kostentotaal_2030"),0)
+IFERROR(INDIRECT("'"&amp;$D$40&amp;"'!kostentotaal_2030"),0)
+IFERROR(INDIRECT("'"&amp;$D$41&amp;"'!kostentotaal_2030"),0)
+IFERROR(INDIRECT("'"&amp;$D$42&amp;"'!kostentotaal_2030"),0)
+IFERROR(INDIRECT("'"&amp;$D$43&amp;"'!kostentotaal_2030"),0)
+IFERROR(INDIRECT("'"&amp;$D$44&amp;"'!kostentotaal_2030"),0)
+IFERROR(INDIRECT("'"&amp;$D$45&amp;"'!kostentotaal_2030"),0)
+IFERROR(INDIRECT("'"&amp;$D$46&amp;"'!kostentotaal_2030"),0)
+IFERROR(INDIRECT("'"&amp;$D$47&amp;"'!kostentotaal_2030"),0)
+IFERROR(INDIRECT("'"&amp;$D$48&amp;"'!kostentotaal_2030"),0)
+IFERROR(INDIRECT("'"&amp;$D$49&amp;"'!kostentotaal_2030"),0)
+IFERROR(INDIRECT("'"&amp;$D$50&amp;"'!kostentotaal_2030"),0)
+IFERROR(INDIRECT("'"&amp;$D$51&amp;"'!kostentotaal_2030"),0)
+IFERROR(INDIRECT("'"&amp;$D$52&amp;"'!kostentotaal_2030"),0)
+IFERROR(INDIRECT("'"&amp;$D$53&amp;"'!kostentotaal_2030"),0)
+IFERROR(INDIRECT("'"&amp;$D$54&amp;"'!kostentotaal_2030"),0)
+Nieuwbouw!Q56</f>
        <v>233450.09159170149</v>
      </c>
      <c r="U45" s="320">
        <f ca="1">+IFERROR(INDIRECT("'"&amp;$D$5&amp;"'!kostentotaal_2031"),0)
+IFERROR(INDIRECT("'"&amp;$D$6&amp;"'!kostentotaal_2031"),0)
+IFERROR(INDIRECT("'"&amp;$D$7&amp;"'!kostentotaal_2031"),0)
+IFERROR(INDIRECT("'"&amp;$D$8&amp;"'!kostentotaal_2031"),0)
+IFERROR(INDIRECT("'"&amp;$D$9&amp;"'!kostentotaal_2031"),0)
+IFERROR(INDIRECT("'"&amp;$D$10&amp;"'!kostentotaal_2031"),0)
+IFERROR(INDIRECT("'"&amp;$D$11&amp;"'!kostentotaal_2031"),0)
+IFERROR(INDIRECT("'"&amp;$D$12&amp;"'!kostentotaal_2031"),0)
+IFERROR(INDIRECT("'"&amp;$D$13&amp;"'!kostentotaal_2031"),0)
+IFERROR(INDIRECT("'"&amp;$D$14&amp;"'!kostentotaal_2031"),0)
+IFERROR(INDIRECT("'"&amp;$D$15&amp;"'!kostentotaal_2031"),0)
+IFERROR(INDIRECT("'"&amp;$D$16&amp;"'!kostentotaal_2031"),0)
+IFERROR(INDIRECT("'"&amp;$D$17&amp;"'!kostentotaal_2031"),0)
+IFERROR(INDIRECT("'"&amp;$D$18&amp;"'!kostentotaal_2031"),0)
+IFERROR(INDIRECT("'"&amp;$D$19&amp;"'!kostentotaal_2031"),0)
+IFERROR(INDIRECT("'"&amp;$D$20&amp;"'!kostentotaal_2031"),0)
+IFERROR(INDIRECT("'"&amp;$D$21&amp;"'!kostentotaal_2031"),0)
+IFERROR(INDIRECT("'"&amp;$D$22&amp;"'!kostentotaal_2031"),0)
+IFERROR(INDIRECT("'"&amp;$D$23&amp;"'!kostentotaal_2031"),0)
+IFERROR(INDIRECT("'"&amp;$D$24&amp;"'!kostentotaal_2031"),0)
+IFERROR(INDIRECT("'"&amp;$D$25&amp;"'!kostentotaal_2031"),0)
+IFERROR(INDIRECT("'"&amp;$D$26&amp;"'!kostentotaal_2031"),0)
+IFERROR(INDIRECT("'"&amp;$D$27&amp;"'!kostentotaal_2031"),0)
+IFERROR(INDIRECT("'"&amp;$D$28&amp;"'!kostentotaal_2031"),0)
+IFERROR(INDIRECT("'"&amp;$D$29&amp;"'!kostentotaal_2031"),0)
+IFERROR(INDIRECT("'"&amp;$D$30&amp;"'!kostentotaal_2031"),0)
+IFERROR(INDIRECT("'"&amp;$D$31&amp;"'!kostentotaal_2031"),0)
+IFERROR(INDIRECT("'"&amp;$D$32&amp;"'!kostentotaal_2031"),0)
+IFERROR(INDIRECT("'"&amp;$D$33&amp;"'!kostentotaal_2031"),0)
+IFERROR(INDIRECT("'"&amp;$D$34&amp;"'!kostentotaal_2031"),0)
+IFERROR(INDIRECT("'"&amp;$D$35&amp;"'!kostentotaal_2031"),0)
+IFERROR(INDIRECT("'"&amp;$D$36&amp;"'!kostentotaal_2031"),0)
+IFERROR(INDIRECT("'"&amp;$D$37&amp;"'!kostentotaal_2031"),0)
+IFERROR(INDIRECT("'"&amp;$D$38&amp;"'!kostentotaal_2031"),0)
+IFERROR(INDIRECT("'"&amp;$D$39&amp;"'!kostentotaal_2031"),0)
+IFERROR(INDIRECT("'"&amp;$D$40&amp;"'!kostentotaal_2031"),0)
+IFERROR(INDIRECT("'"&amp;$D$41&amp;"'!kostentotaal_2031"),0)
+IFERROR(INDIRECT("'"&amp;$D$42&amp;"'!kostentotaal_2031"),0)
+IFERROR(INDIRECT("'"&amp;$D$43&amp;"'!kostentotaal_2031"),0)
+IFERROR(INDIRECT("'"&amp;$D$44&amp;"'!kostentotaal_2031"),0)
+IFERROR(INDIRECT("'"&amp;$D$45&amp;"'!kostentotaal_2031"),0)
+IFERROR(INDIRECT("'"&amp;$D$46&amp;"'!kostentotaal_2031"),0)
+IFERROR(INDIRECT("'"&amp;$D$47&amp;"'!kostentotaal_2031"),0)
+IFERROR(INDIRECT("'"&amp;$D$48&amp;"'!kostentotaal_2031"),0)
+IFERROR(INDIRECT("'"&amp;$D$49&amp;"'!kostentotaal_2031"),0)
+IFERROR(INDIRECT("'"&amp;$D$50&amp;"'!kostentotaal_2031"),0)
+IFERROR(INDIRECT("'"&amp;$D$51&amp;"'!kostentotaal_2031"),0)
+IFERROR(INDIRECT("'"&amp;$D$52&amp;"'!kostentotaal_2031"),0)
+IFERROR(INDIRECT("'"&amp;$D$53&amp;"'!kostentotaal_2031"),0)
+IFERROR(INDIRECT("'"&amp;$D$54&amp;"'!kostentotaal_2031"),0)
+Nieuwbouw!R56</f>
        <v>230869.31716904708</v>
      </c>
      <c r="V45" s="320">
        <f ca="1">+IFERROR(INDIRECT("'"&amp;$D$5&amp;"'!kostentotaal_2032"),0)
+IFERROR(INDIRECT("'"&amp;$D$6&amp;"'!kostentotaal_2032"),0)
+IFERROR(INDIRECT("'"&amp;$D$7&amp;"'!kostentotaal_2032"),0)
+IFERROR(INDIRECT("'"&amp;$D$8&amp;"'!kostentotaal_2032"),0)
+IFERROR(INDIRECT("'"&amp;$D$9&amp;"'!kostentotaal_2032"),0)
+IFERROR(INDIRECT("'"&amp;$D$10&amp;"'!kostentotaal_2032"),0)
+IFERROR(INDIRECT("'"&amp;$D$11&amp;"'!kostentotaal_2032"),0)
+IFERROR(INDIRECT("'"&amp;$D$12&amp;"'!kostentotaal_2032"),0)
+IFERROR(INDIRECT("'"&amp;$D$13&amp;"'!kostentotaal_2032"),0)
+IFERROR(INDIRECT("'"&amp;$D$14&amp;"'!kostentotaal_2032"),0)
+IFERROR(INDIRECT("'"&amp;$D$15&amp;"'!kostentotaal_2032"),0)
+IFERROR(INDIRECT("'"&amp;$D$16&amp;"'!kostentotaal_2032"),0)
+IFERROR(INDIRECT("'"&amp;$D$17&amp;"'!kostentotaal_2032"),0)
+IFERROR(INDIRECT("'"&amp;$D$18&amp;"'!kostentotaal_2032"),0)
+IFERROR(INDIRECT("'"&amp;$D$19&amp;"'!kostentotaal_2032"),0)
+IFERROR(INDIRECT("'"&amp;$D$20&amp;"'!kostentotaal_2032"),0)
+IFERROR(INDIRECT("'"&amp;$D$21&amp;"'!kostentotaal_2032"),0)
+IFERROR(INDIRECT("'"&amp;$D$22&amp;"'!kostentotaal_2032"),0)
+IFERROR(INDIRECT("'"&amp;$D$23&amp;"'!kostentotaal_2032"),0)
+IFERROR(INDIRECT("'"&amp;$D$24&amp;"'!kostentotaal_2032"),0)
+IFERROR(INDIRECT("'"&amp;$D$25&amp;"'!kostentotaal_2032"),0)
+IFERROR(INDIRECT("'"&amp;$D$26&amp;"'!kostentotaal_2032"),0)
+IFERROR(INDIRECT("'"&amp;$D$27&amp;"'!kostentotaal_2032"),0)
+IFERROR(INDIRECT("'"&amp;$D$28&amp;"'!kostentotaal_2032"),0)
+IFERROR(INDIRECT("'"&amp;$D$29&amp;"'!kostentotaal_2032"),0)
+IFERROR(INDIRECT("'"&amp;$D$30&amp;"'!kostentotaal_2032"),0)
+IFERROR(INDIRECT("'"&amp;$D$31&amp;"'!kostentotaal_2032"),0)
+IFERROR(INDIRECT("'"&amp;$D$32&amp;"'!kostentotaal_2032"),0)
+IFERROR(INDIRECT("'"&amp;$D$33&amp;"'!kostentotaal_2032"),0)
+IFERROR(INDIRECT("'"&amp;$D$34&amp;"'!kostentotaal_2032"),0)
+IFERROR(INDIRECT("'"&amp;$D$35&amp;"'!kostentotaal_2032"),0)
+IFERROR(INDIRECT("'"&amp;$D$36&amp;"'!kostentotaal_2032"),0)
+IFERROR(INDIRECT("'"&amp;$D$37&amp;"'!kostentotaal_2032"),0)
+IFERROR(INDIRECT("'"&amp;$D$38&amp;"'!kostentotaal_2032"),0)
+IFERROR(INDIRECT("'"&amp;$D$39&amp;"'!kostentotaal_2032"),0)
+IFERROR(INDIRECT("'"&amp;$D$40&amp;"'!kostentotaal_2032"),0)
+IFERROR(INDIRECT("'"&amp;$D$41&amp;"'!kostentotaal_2032"),0)
+IFERROR(INDIRECT("'"&amp;$D$42&amp;"'!kostentotaal_2032"),0)
+IFERROR(INDIRECT("'"&amp;$D$43&amp;"'!kostentotaal_2032"),0)
+IFERROR(INDIRECT("'"&amp;$D$44&amp;"'!kostentotaal_2032"),0)
+IFERROR(INDIRECT("'"&amp;$D$45&amp;"'!kostentotaal_2032"),0)
+IFERROR(INDIRECT("'"&amp;$D$46&amp;"'!kostentotaal_2032"),0)
+IFERROR(INDIRECT("'"&amp;$D$47&amp;"'!kostentotaal_2032"),0)
+IFERROR(INDIRECT("'"&amp;$D$48&amp;"'!kostentotaal_2032"),0)
+IFERROR(INDIRECT("'"&amp;$D$49&amp;"'!kostentotaal_2032"),0)
+IFERROR(INDIRECT("'"&amp;$D$50&amp;"'!kostentotaal_2032"),0)
+IFERROR(INDIRECT("'"&amp;$D$51&amp;"'!kostentotaal_2032"),0)
+IFERROR(INDIRECT("'"&amp;$D$52&amp;"'!kostentotaal_2032"),0)
+IFERROR(INDIRECT("'"&amp;$D$53&amp;"'!kostentotaal_2032"),0)
+IFERROR(INDIRECT("'"&amp;$D$54&amp;"'!kostentotaal_2032"),0)
+Nieuwbouw!S56</f>
        <v>184468.6986361423</v>
      </c>
      <c r="W45" s="320">
        <f ca="1">+IFERROR(INDIRECT("'"&amp;$D$5&amp;"'!kostentotaal_2033"),0)
+IFERROR(INDIRECT("'"&amp;$D$6&amp;"'!kostentotaal_2033"),0)
+IFERROR(INDIRECT("'"&amp;$D$7&amp;"'!kostentotaal_2033"),0)
+IFERROR(INDIRECT("'"&amp;$D$8&amp;"'!kostentotaal_2033"),0)
+IFERROR(INDIRECT("'"&amp;$D$9&amp;"'!kostentotaal_2033"),0)
+IFERROR(INDIRECT("'"&amp;$D$10&amp;"'!kostentotaal_2033"),0)
+IFERROR(INDIRECT("'"&amp;$D$11&amp;"'!kostentotaal_2033"),0)
+IFERROR(INDIRECT("'"&amp;$D$12&amp;"'!kostentotaal_2033"),0)
+IFERROR(INDIRECT("'"&amp;$D$13&amp;"'!kostentotaal_2033"),0)
+IFERROR(INDIRECT("'"&amp;$D$14&amp;"'!kostentotaal_2033"),0)
+IFERROR(INDIRECT("'"&amp;$D$15&amp;"'!kostentotaal_2033"),0)
+IFERROR(INDIRECT("'"&amp;$D$16&amp;"'!kostentotaal_2033"),0)
+IFERROR(INDIRECT("'"&amp;$D$17&amp;"'!kostentotaal_2033"),0)
+IFERROR(INDIRECT("'"&amp;$D$18&amp;"'!kostentotaal_2033"),0)
+IFERROR(INDIRECT("'"&amp;$D$19&amp;"'!kostentotaal_2033"),0)
+IFERROR(INDIRECT("'"&amp;$D$20&amp;"'!kostentotaal_2033"),0)
+IFERROR(INDIRECT("'"&amp;$D$21&amp;"'!kostentotaal_2033"),0)
+IFERROR(INDIRECT("'"&amp;$D$22&amp;"'!kostentotaal_2033"),0)
+IFERROR(INDIRECT("'"&amp;$D$23&amp;"'!kostentotaal_2033"),0)
+IFERROR(INDIRECT("'"&amp;$D$24&amp;"'!kostentotaal_2033"),0)
+IFERROR(INDIRECT("'"&amp;$D$25&amp;"'!kostentotaal_2033"),0)
+IFERROR(INDIRECT("'"&amp;$D$26&amp;"'!kostentotaal_2033"),0)
+IFERROR(INDIRECT("'"&amp;$D$27&amp;"'!kostentotaal_2033"),0)
+IFERROR(INDIRECT("'"&amp;$D$28&amp;"'!kostentotaal_2033"),0)
+IFERROR(INDIRECT("'"&amp;$D$29&amp;"'!kostentotaal_2033"),0)
+IFERROR(INDIRECT("'"&amp;$D$30&amp;"'!kostentotaal_2033"),0)
+IFERROR(INDIRECT("'"&amp;$D$31&amp;"'!kostentotaal_2033"),0)
+IFERROR(INDIRECT("'"&amp;$D$32&amp;"'!kostentotaal_2033"),0)
+IFERROR(INDIRECT("'"&amp;$D$33&amp;"'!kostentotaal_2033"),0)
+IFERROR(INDIRECT("'"&amp;$D$34&amp;"'!kostentotaal_2033"),0)
+IFERROR(INDIRECT("'"&amp;$D$35&amp;"'!kostentotaal_2033"),0)
+IFERROR(INDIRECT("'"&amp;$D$36&amp;"'!kostentotaal_2033"),0)
+IFERROR(INDIRECT("'"&amp;$D$37&amp;"'!kostentotaal_2033"),0)
+IFERROR(INDIRECT("'"&amp;$D$38&amp;"'!kostentotaal_2033"),0)
+IFERROR(INDIRECT("'"&amp;$D$39&amp;"'!kostentotaal_2033"),0)
+IFERROR(INDIRECT("'"&amp;$D$40&amp;"'!kostentotaal_2033"),0)
+IFERROR(INDIRECT("'"&amp;$D$41&amp;"'!kostentotaal_2033"),0)
+IFERROR(INDIRECT("'"&amp;$D$42&amp;"'!kostentotaal_2033"),0)
+IFERROR(INDIRECT("'"&amp;$D$43&amp;"'!kostentotaal_2033"),0)
+IFERROR(INDIRECT("'"&amp;$D$44&amp;"'!kostentotaal_2033"),0)
+IFERROR(INDIRECT("'"&amp;$D$45&amp;"'!kostentotaal_2033"),0)
+IFERROR(INDIRECT("'"&amp;$D$46&amp;"'!kostentotaal_2033"),0)
+IFERROR(INDIRECT("'"&amp;$D$47&amp;"'!kostentotaal_2033"),0)
+IFERROR(INDIRECT("'"&amp;$D$48&amp;"'!kostentotaal_2033"),0)
+IFERROR(INDIRECT("'"&amp;$D$49&amp;"'!kostentotaal_2033"),0)
+IFERROR(INDIRECT("'"&amp;$D$50&amp;"'!kostentotaal_2033"),0)
+IFERROR(INDIRECT("'"&amp;$D$51&amp;"'!kostentotaal_2033"),0)
+IFERROR(INDIRECT("'"&amp;$D$52&amp;"'!kostentotaal_2033"),0)
+IFERROR(INDIRECT("'"&amp;$D$53&amp;"'!kostentotaal_2033"),0)
+IFERROR(INDIRECT("'"&amp;$D$54&amp;"'!kostentotaal_2033"),0)
+Nieuwbouw!T56</f>
        <v>184468.6986361423</v>
      </c>
      <c r="X45" s="320">
        <f ca="1">+IFERROR(INDIRECT("'"&amp;$D$5&amp;"'!kostentotaal_2034"),0)
+IFERROR(INDIRECT("'"&amp;$D$6&amp;"'!kostentotaal_2034"),0)
+IFERROR(INDIRECT("'"&amp;$D$7&amp;"'!kostentotaal_2034"),0)
+IFERROR(INDIRECT("'"&amp;$D$8&amp;"'!kostentotaal_2034"),0)
+IFERROR(INDIRECT("'"&amp;$D$9&amp;"'!kostentotaal_2034"),0)
+IFERROR(INDIRECT("'"&amp;$D$10&amp;"'!kostentotaal_2034"),0)
+IFERROR(INDIRECT("'"&amp;$D$11&amp;"'!kostentotaal_2034"),0)
+IFERROR(INDIRECT("'"&amp;$D$12&amp;"'!kostentotaal_2034"),0)
+IFERROR(INDIRECT("'"&amp;$D$13&amp;"'!kostentotaal_2034"),0)
+IFERROR(INDIRECT("'"&amp;$D$14&amp;"'!kostentotaal_2034"),0)
+IFERROR(INDIRECT("'"&amp;$D$15&amp;"'!kostentotaal_2034"),0)
+IFERROR(INDIRECT("'"&amp;$D$16&amp;"'!kostentotaal_2034"),0)
+IFERROR(INDIRECT("'"&amp;$D$17&amp;"'!kostentotaal_2034"),0)
+IFERROR(INDIRECT("'"&amp;$D$18&amp;"'!kostentotaal_2034"),0)
+IFERROR(INDIRECT("'"&amp;$D$19&amp;"'!kostentotaal_2034"),0)
+IFERROR(INDIRECT("'"&amp;$D$20&amp;"'!kostentotaal_2034"),0)
+IFERROR(INDIRECT("'"&amp;$D$21&amp;"'!kostentotaal_2034"),0)
+IFERROR(INDIRECT("'"&amp;$D$22&amp;"'!kostentotaal_2034"),0)
+IFERROR(INDIRECT("'"&amp;$D$23&amp;"'!kostentotaal_2034"),0)
+IFERROR(INDIRECT("'"&amp;$D$24&amp;"'!kostentotaal_2034"),0)
+IFERROR(INDIRECT("'"&amp;$D$25&amp;"'!kostentotaal_2034"),0)
+IFERROR(INDIRECT("'"&amp;$D$26&amp;"'!kostentotaal_2034"),0)
+IFERROR(INDIRECT("'"&amp;$D$27&amp;"'!kostentotaal_2034"),0)
+IFERROR(INDIRECT("'"&amp;$D$28&amp;"'!kostentotaal_2034"),0)
+IFERROR(INDIRECT("'"&amp;$D$29&amp;"'!kostentotaal_2034"),0)
+IFERROR(INDIRECT("'"&amp;$D$30&amp;"'!kostentotaal_2034"),0)
+IFERROR(INDIRECT("'"&amp;$D$31&amp;"'!kostentotaal_2034"),0)
+IFERROR(INDIRECT("'"&amp;$D$32&amp;"'!kostentotaal_2034"),0)
+IFERROR(INDIRECT("'"&amp;$D$33&amp;"'!kostentotaal_2034"),0)
+IFERROR(INDIRECT("'"&amp;$D$34&amp;"'!kostentotaal_2034"),0)
+IFERROR(INDIRECT("'"&amp;$D$35&amp;"'!kostentotaal_2034"),0)
+IFERROR(INDIRECT("'"&amp;$D$36&amp;"'!kostentotaal_2034"),0)
+IFERROR(INDIRECT("'"&amp;$D$37&amp;"'!kostentotaal_2034"),0)
+IFERROR(INDIRECT("'"&amp;$D$38&amp;"'!kostentotaal_2034"),0)
+IFERROR(INDIRECT("'"&amp;$D$39&amp;"'!kostentotaal_2034"),0)
+IFERROR(INDIRECT("'"&amp;$D$40&amp;"'!kostentotaal_2034"),0)
+IFERROR(INDIRECT("'"&amp;$D$41&amp;"'!kostentotaal_2034"),0)
+IFERROR(INDIRECT("'"&amp;$D$42&amp;"'!kostentotaal_2034"),0)
+IFERROR(INDIRECT("'"&amp;$D$43&amp;"'!kostentotaal_2034"),0)
+IFERROR(INDIRECT("'"&amp;$D$44&amp;"'!kostentotaal_2034"),0)
+IFERROR(INDIRECT("'"&amp;$D$45&amp;"'!kostentotaal_2034"),0)
+IFERROR(INDIRECT("'"&amp;$D$46&amp;"'!kostentotaal_2034"),0)
+IFERROR(INDIRECT("'"&amp;$D$47&amp;"'!kostentotaal_2034"),0)
+IFERROR(INDIRECT("'"&amp;$D$48&amp;"'!kostentotaal_2034"),0)
+IFERROR(INDIRECT("'"&amp;$D$49&amp;"'!kostentotaal_2034"),0)
+IFERROR(INDIRECT("'"&amp;$D$50&amp;"'!kostentotaal_2034"),0)
+IFERROR(INDIRECT("'"&amp;$D$51&amp;"'!kostentotaal_2034"),0)
+IFERROR(INDIRECT("'"&amp;$D$52&amp;"'!kostentotaal_2034"),0)
+IFERROR(INDIRECT("'"&amp;$D$53&amp;"'!kostentotaal_2034"),0)
+IFERROR(INDIRECT("'"&amp;$D$54&amp;"'!kostentotaal_2034"),0)
+Nieuwbouw!U56</f>
        <v>184468.6986361423</v>
      </c>
      <c r="Y45" s="320">
        <f ca="1">+IFERROR(INDIRECT("'"&amp;$D$5&amp;"'!kostentotaal_2035"),0)
+IFERROR(INDIRECT("'"&amp;$D$6&amp;"'!kostentotaal_2035"),0)
+IFERROR(INDIRECT("'"&amp;$D$7&amp;"'!kostentotaal_2035"),0)
+IFERROR(INDIRECT("'"&amp;$D$8&amp;"'!kostentotaal_2035"),0)
+IFERROR(INDIRECT("'"&amp;$D$9&amp;"'!kostentotaal_2035"),0)
+IFERROR(INDIRECT("'"&amp;$D$10&amp;"'!kostentotaal_2035"),0)
+IFERROR(INDIRECT("'"&amp;$D$11&amp;"'!kostentotaal_2035"),0)
+IFERROR(INDIRECT("'"&amp;$D$12&amp;"'!kostentotaal_2035"),0)
+IFERROR(INDIRECT("'"&amp;$D$13&amp;"'!kostentotaal_2035"),0)
+IFERROR(INDIRECT("'"&amp;$D$14&amp;"'!kostentotaal_2035"),0)
+IFERROR(INDIRECT("'"&amp;$D$15&amp;"'!kostentotaal_2035"),0)
+IFERROR(INDIRECT("'"&amp;$D$16&amp;"'!kostentotaal_2035"),0)
+IFERROR(INDIRECT("'"&amp;$D$17&amp;"'!kostentotaal_2035"),0)
+IFERROR(INDIRECT("'"&amp;$D$18&amp;"'!kostentotaal_2035"),0)
+IFERROR(INDIRECT("'"&amp;$D$19&amp;"'!kostentotaal_2035"),0)
+IFERROR(INDIRECT("'"&amp;$D$20&amp;"'!kostentotaal_2035"),0)
+IFERROR(INDIRECT("'"&amp;$D$21&amp;"'!kostentotaal_2035"),0)
+IFERROR(INDIRECT("'"&amp;$D$22&amp;"'!kostentotaal_2035"),0)
+IFERROR(INDIRECT("'"&amp;$D$23&amp;"'!kostentotaal_2035"),0)
+IFERROR(INDIRECT("'"&amp;$D$24&amp;"'!kostentotaal_2035"),0)
+IFERROR(INDIRECT("'"&amp;$D$25&amp;"'!kostentotaal_2035"),0)
+IFERROR(INDIRECT("'"&amp;$D$26&amp;"'!kostentotaal_2035"),0)
+IFERROR(INDIRECT("'"&amp;$D$27&amp;"'!kostentotaal_2035"),0)
+IFERROR(INDIRECT("'"&amp;$D$28&amp;"'!kostentotaal_2035"),0)
+IFERROR(INDIRECT("'"&amp;$D$29&amp;"'!kostentotaal_2035"),0)
+IFERROR(INDIRECT("'"&amp;$D$30&amp;"'!kostentotaal_2035"),0)
+IFERROR(INDIRECT("'"&amp;$D$31&amp;"'!kostentotaal_2035"),0)
+IFERROR(INDIRECT("'"&amp;$D$32&amp;"'!kostentotaal_2035"),0)
+IFERROR(INDIRECT("'"&amp;$D$33&amp;"'!kostentotaal_2035"),0)
+IFERROR(INDIRECT("'"&amp;$D$34&amp;"'!kostentotaal_2035"),0)
+IFERROR(INDIRECT("'"&amp;$D$35&amp;"'!kostentotaal_2035"),0)
+IFERROR(INDIRECT("'"&amp;$D$36&amp;"'!kostentotaal_2035"),0)
+IFERROR(INDIRECT("'"&amp;$D$37&amp;"'!kostentotaal_2035"),0)
+IFERROR(INDIRECT("'"&amp;$D$38&amp;"'!kostentotaal_2035"),0)
+IFERROR(INDIRECT("'"&amp;$D$39&amp;"'!kostentotaal_2035"),0)
+IFERROR(INDIRECT("'"&amp;$D$40&amp;"'!kostentotaal_2035"),0)
+IFERROR(INDIRECT("'"&amp;$D$41&amp;"'!kostentotaal_2035"),0)
+IFERROR(INDIRECT("'"&amp;$D$42&amp;"'!kostentotaal_2035"),0)
+IFERROR(INDIRECT("'"&amp;$D$43&amp;"'!kostentotaal_2035"),0)
+IFERROR(INDIRECT("'"&amp;$D$44&amp;"'!kostentotaal_2035"),0)
+IFERROR(INDIRECT("'"&amp;$D$45&amp;"'!kostentotaal_2035"),0)
+IFERROR(INDIRECT("'"&amp;$D$46&amp;"'!kostentotaal_2035"),0)
+IFERROR(INDIRECT("'"&amp;$D$47&amp;"'!kostentotaal_2035"),0)
+IFERROR(INDIRECT("'"&amp;$D$48&amp;"'!kostentotaal_2035"),0)
+IFERROR(INDIRECT("'"&amp;$D$49&amp;"'!kostentotaal_2035"),0)
+IFERROR(INDIRECT("'"&amp;$D$50&amp;"'!kostentotaal_2035"),0)
+IFERROR(INDIRECT("'"&amp;$D$51&amp;"'!kostentotaal_2035"),0)
+IFERROR(INDIRECT("'"&amp;$D$52&amp;"'!kostentotaal_2035"),0)
+IFERROR(INDIRECT("'"&amp;$D$53&amp;"'!kostentotaal_2035"),0)
+IFERROR(INDIRECT("'"&amp;$D$54&amp;"'!kostentotaal_2035"),0)
+Nieuwbouw!V56</f>
        <v>184468.6986361423</v>
      </c>
      <c r="Z45" s="320">
        <f ca="1">+IFERROR(INDIRECT("'"&amp;$D$5&amp;"'!kostentotaal_2036"),0)
+IFERROR(INDIRECT("'"&amp;$D$6&amp;"'!kostentotaal_2036"),0)
+IFERROR(INDIRECT("'"&amp;$D$7&amp;"'!kostentotaal_2036"),0)
+IFERROR(INDIRECT("'"&amp;$D$8&amp;"'!kostentotaal_2036"),0)
+IFERROR(INDIRECT("'"&amp;$D$9&amp;"'!kostentotaal_2036"),0)
+IFERROR(INDIRECT("'"&amp;$D$10&amp;"'!kostentotaal_2036"),0)
+IFERROR(INDIRECT("'"&amp;$D$11&amp;"'!kostentotaal_2036"),0)
+IFERROR(INDIRECT("'"&amp;$D$12&amp;"'!kostentotaal_2036"),0)
+IFERROR(INDIRECT("'"&amp;$D$13&amp;"'!kostentotaal_2036"),0)
+IFERROR(INDIRECT("'"&amp;$D$14&amp;"'!kostentotaal_2036"),0)
+IFERROR(INDIRECT("'"&amp;$D$15&amp;"'!kostentotaal_2036"),0)
+IFERROR(INDIRECT("'"&amp;$D$16&amp;"'!kostentotaal_2036"),0)
+IFERROR(INDIRECT("'"&amp;$D$17&amp;"'!kostentotaal_2036"),0)
+IFERROR(INDIRECT("'"&amp;$D$18&amp;"'!kostentotaal_2036"),0)
+IFERROR(INDIRECT("'"&amp;$D$19&amp;"'!kostentotaal_2036"),0)
+IFERROR(INDIRECT("'"&amp;$D$20&amp;"'!kostentotaal_2036"),0)
+IFERROR(INDIRECT("'"&amp;$D$21&amp;"'!kostentotaal_2036"),0)
+IFERROR(INDIRECT("'"&amp;$D$22&amp;"'!kostentotaal_2036"),0)
+IFERROR(INDIRECT("'"&amp;$D$23&amp;"'!kostentotaal_2036"),0)
+IFERROR(INDIRECT("'"&amp;$D$24&amp;"'!kostentotaal_2036"),0)
+IFERROR(INDIRECT("'"&amp;$D$25&amp;"'!kostentotaal_2036"),0)
+IFERROR(INDIRECT("'"&amp;$D$26&amp;"'!kostentotaal_2036"),0)
+IFERROR(INDIRECT("'"&amp;$D$27&amp;"'!kostentotaal_2036"),0)
+IFERROR(INDIRECT("'"&amp;$D$28&amp;"'!kostentotaal_2036"),0)
+IFERROR(INDIRECT("'"&amp;$D$29&amp;"'!kostentotaal_2036"),0)
+IFERROR(INDIRECT("'"&amp;$D$30&amp;"'!kostentotaal_2036"),0)
+IFERROR(INDIRECT("'"&amp;$D$31&amp;"'!kostentotaal_2036"),0)
+IFERROR(INDIRECT("'"&amp;$D$32&amp;"'!kostentotaal_2036"),0)
+IFERROR(INDIRECT("'"&amp;$D$33&amp;"'!kostentotaal_2036"),0)
+IFERROR(INDIRECT("'"&amp;$D$34&amp;"'!kostentotaal_2036"),0)
+IFERROR(INDIRECT("'"&amp;$D$35&amp;"'!kostentotaal_2036"),0)
+IFERROR(INDIRECT("'"&amp;$D$36&amp;"'!kostentotaal_2036"),0)
+IFERROR(INDIRECT("'"&amp;$D$37&amp;"'!kostentotaal_2036"),0)
+IFERROR(INDIRECT("'"&amp;$D$38&amp;"'!kostentotaal_2036"),0)
+IFERROR(INDIRECT("'"&amp;$D$39&amp;"'!kostentotaal_2036"),0)
+IFERROR(INDIRECT("'"&amp;$D$40&amp;"'!kostentotaal_2036"),0)
+IFERROR(INDIRECT("'"&amp;$D$41&amp;"'!kostentotaal_2036"),0)
+IFERROR(INDIRECT("'"&amp;$D$42&amp;"'!kostentotaal_2036"),0)
+IFERROR(INDIRECT("'"&amp;$D$43&amp;"'!kostentotaal_2036"),0)
+IFERROR(INDIRECT("'"&amp;$D$44&amp;"'!kostentotaal_2036"),0)
+IFERROR(INDIRECT("'"&amp;$D$45&amp;"'!kostentotaal_2036"),0)
+IFERROR(INDIRECT("'"&amp;$D$46&amp;"'!kostentotaal_2036"),0)
+IFERROR(INDIRECT("'"&amp;$D$47&amp;"'!kostentotaal_2036"),0)
+IFERROR(INDIRECT("'"&amp;$D$48&amp;"'!kostentotaal_2036"),0)
+IFERROR(INDIRECT("'"&amp;$D$49&amp;"'!kostentotaal_2036"),0)
+IFERROR(INDIRECT("'"&amp;$D$50&amp;"'!kostentotaal_2036"),0)
+IFERROR(INDIRECT("'"&amp;$D$51&amp;"'!kostentotaal_2036"),0)
+IFERROR(INDIRECT("'"&amp;$D$52&amp;"'!kostentotaal_2036"),0)
+IFERROR(INDIRECT("'"&amp;$D$53&amp;"'!kostentotaal_2036"),0)
+IFERROR(INDIRECT("'"&amp;$D$54&amp;"'!kostentotaal_2036"),0)
+Nieuwbouw!W56</f>
        <v>176726.37536817903</v>
      </c>
      <c r="AA45" s="320">
        <f ca="1">+IFERROR(INDIRECT("'"&amp;$D$5&amp;"'!kostentotaal_2037"),0)
+IFERROR(INDIRECT("'"&amp;$D$6&amp;"'!kostentotaal_2037"),0)
+IFERROR(INDIRECT("'"&amp;$D$7&amp;"'!kostentotaal_2037"),0)
+IFERROR(INDIRECT("'"&amp;$D$8&amp;"'!kostentotaal_2037"),0)
+IFERROR(INDIRECT("'"&amp;$D$9&amp;"'!kostentotaal_2037"),0)
+IFERROR(INDIRECT("'"&amp;$D$10&amp;"'!kostentotaal_2037"),0)
+IFERROR(INDIRECT("'"&amp;$D$11&amp;"'!kostentotaal_2037"),0)
+IFERROR(INDIRECT("'"&amp;$D$12&amp;"'!kostentotaal_2037"),0)
+IFERROR(INDIRECT("'"&amp;$D$13&amp;"'!kostentotaal_2037"),0)
+IFERROR(INDIRECT("'"&amp;$D$14&amp;"'!kostentotaal_2037"),0)
+IFERROR(INDIRECT("'"&amp;$D$15&amp;"'!kostentotaal_2037"),0)
+IFERROR(INDIRECT("'"&amp;$D$16&amp;"'!kostentotaal_2037"),0)
+IFERROR(INDIRECT("'"&amp;$D$17&amp;"'!kostentotaal_2037"),0)
+IFERROR(INDIRECT("'"&amp;$D$18&amp;"'!kostentotaal_2037"),0)
+IFERROR(INDIRECT("'"&amp;$D$19&amp;"'!kostentotaal_2037"),0)
+IFERROR(INDIRECT("'"&amp;$D$20&amp;"'!kostentotaal_2037"),0)
+IFERROR(INDIRECT("'"&amp;$D$21&amp;"'!kostentotaal_2037"),0)
+IFERROR(INDIRECT("'"&amp;$D$22&amp;"'!kostentotaal_2037"),0)
+IFERROR(INDIRECT("'"&amp;$D$23&amp;"'!kostentotaal_2037"),0)
+IFERROR(INDIRECT("'"&amp;$D$24&amp;"'!kostentotaal_2037"),0)
+IFERROR(INDIRECT("'"&amp;$D$25&amp;"'!kostentotaal_2037"),0)
+IFERROR(INDIRECT("'"&amp;$D$26&amp;"'!kostentotaal_2037"),0)
+IFERROR(INDIRECT("'"&amp;$D$27&amp;"'!kostentotaal_2037"),0)
+IFERROR(INDIRECT("'"&amp;$D$28&amp;"'!kostentotaal_2037"),0)
+IFERROR(INDIRECT("'"&amp;$D$29&amp;"'!kostentotaal_2037"),0)
+IFERROR(INDIRECT("'"&amp;$D$30&amp;"'!kostentotaal_2037"),0)
+IFERROR(INDIRECT("'"&amp;$D$31&amp;"'!kostentotaal_2037"),0)
+IFERROR(INDIRECT("'"&amp;$D$32&amp;"'!kostentotaal_2037"),0)
+IFERROR(INDIRECT("'"&amp;$D$33&amp;"'!kostentotaal_2037"),0)
+IFERROR(INDIRECT("'"&amp;$D$34&amp;"'!kostentotaal_2037"),0)
+IFERROR(INDIRECT("'"&amp;$D$35&amp;"'!kostentotaal_2037"),0)
+IFERROR(INDIRECT("'"&amp;$D$36&amp;"'!kostentotaal_2037"),0)
+IFERROR(INDIRECT("'"&amp;$D$37&amp;"'!kostentotaal_2037"),0)
+IFERROR(INDIRECT("'"&amp;$D$38&amp;"'!kostentotaal_2037"),0)
+IFERROR(INDIRECT("'"&amp;$D$39&amp;"'!kostentotaal_2037"),0)
+IFERROR(INDIRECT("'"&amp;$D$40&amp;"'!kostentotaal_2037"),0)
+IFERROR(INDIRECT("'"&amp;$D$41&amp;"'!kostentotaal_2037"),0)
+IFERROR(INDIRECT("'"&amp;$D$42&amp;"'!kostentotaal_2037"),0)
+IFERROR(INDIRECT("'"&amp;$D$43&amp;"'!kostentotaal_2037"),0)
+IFERROR(INDIRECT("'"&amp;$D$44&amp;"'!kostentotaal_2037"),0)
+IFERROR(INDIRECT("'"&amp;$D$45&amp;"'!kostentotaal_2037"),0)
+IFERROR(INDIRECT("'"&amp;$D$46&amp;"'!kostentotaal_2037"),0)
+IFERROR(INDIRECT("'"&amp;$D$47&amp;"'!kostentotaal_2037"),0)
+IFERROR(INDIRECT("'"&amp;$D$48&amp;"'!kostentotaal_2037"),0)
+IFERROR(INDIRECT("'"&amp;$D$49&amp;"'!kostentotaal_2037"),0)
+IFERROR(INDIRECT("'"&amp;$D$50&amp;"'!kostentotaal_2037"),0)
+IFERROR(INDIRECT("'"&amp;$D$51&amp;"'!kostentotaal_2037"),0)
+IFERROR(INDIRECT("'"&amp;$D$52&amp;"'!kostentotaal_2037"),0)
+IFERROR(INDIRECT("'"&amp;$D$53&amp;"'!kostentotaal_2037"),0)
+IFERROR(INDIRECT("'"&amp;$D$54&amp;"'!kostentotaal_2037"),0)
+Nieuwbouw!X56</f>
        <v>176726.37536817903</v>
      </c>
      <c r="AB45" s="320">
        <f ca="1">+IFERROR(INDIRECT("'"&amp;$D$5&amp;"'!kostentotaal_2038"),0)
+IFERROR(INDIRECT("'"&amp;$D$6&amp;"'!kostentotaal_2038"),0)
+IFERROR(INDIRECT("'"&amp;$D$7&amp;"'!kostentotaal_2038"),0)
+IFERROR(INDIRECT("'"&amp;$D$8&amp;"'!kostentotaal_2038"),0)
+IFERROR(INDIRECT("'"&amp;$D$9&amp;"'!kostentotaal_2038"),0)
+IFERROR(INDIRECT("'"&amp;$D$10&amp;"'!kostentotaal_2038"),0)
+IFERROR(INDIRECT("'"&amp;$D$11&amp;"'!kostentotaal_2038"),0)
+IFERROR(INDIRECT("'"&amp;$D$12&amp;"'!kostentotaal_2038"),0)
+IFERROR(INDIRECT("'"&amp;$D$13&amp;"'!kostentotaal_2038"),0)
+IFERROR(INDIRECT("'"&amp;$D$14&amp;"'!kostentotaal_2038"),0)
+IFERROR(INDIRECT("'"&amp;$D$15&amp;"'!kostentotaal_2038"),0)
+IFERROR(INDIRECT("'"&amp;$D$16&amp;"'!kostentotaal_2038"),0)
+IFERROR(INDIRECT("'"&amp;$D$17&amp;"'!kostentotaal_2038"),0)
+IFERROR(INDIRECT("'"&amp;$D$18&amp;"'!kostentotaal_2038"),0)
+IFERROR(INDIRECT("'"&amp;$D$19&amp;"'!kostentotaal_2038"),0)
+IFERROR(INDIRECT("'"&amp;$D$20&amp;"'!kostentotaal_2038"),0)
+IFERROR(INDIRECT("'"&amp;$D$21&amp;"'!kostentotaal_2038"),0)
+IFERROR(INDIRECT("'"&amp;$D$22&amp;"'!kostentotaal_2038"),0)
+IFERROR(INDIRECT("'"&amp;$D$23&amp;"'!kostentotaal_2038"),0)
+IFERROR(INDIRECT("'"&amp;$D$24&amp;"'!kostentotaal_2038"),0)
+IFERROR(INDIRECT("'"&amp;$D$25&amp;"'!kostentotaal_2038"),0)
+IFERROR(INDIRECT("'"&amp;$D$26&amp;"'!kostentotaal_2038"),0)
+IFERROR(INDIRECT("'"&amp;$D$27&amp;"'!kostentotaal_2038"),0)
+IFERROR(INDIRECT("'"&amp;$D$28&amp;"'!kostentotaal_2038"),0)
+IFERROR(INDIRECT("'"&amp;$D$29&amp;"'!kostentotaal_2038"),0)
+IFERROR(INDIRECT("'"&amp;$D$30&amp;"'!kostentotaal_2038"),0)
+IFERROR(INDIRECT("'"&amp;$D$31&amp;"'!kostentotaal_2038"),0)
+IFERROR(INDIRECT("'"&amp;$D$32&amp;"'!kostentotaal_2038"),0)
+IFERROR(INDIRECT("'"&amp;$D$33&amp;"'!kostentotaal_2038"),0)
+IFERROR(INDIRECT("'"&amp;$D$34&amp;"'!kostentotaal_2038"),0)
+IFERROR(INDIRECT("'"&amp;$D$35&amp;"'!kostentotaal_2038"),0)
+IFERROR(INDIRECT("'"&amp;$D$36&amp;"'!kostentotaal_2038"),0)
+IFERROR(INDIRECT("'"&amp;$D$37&amp;"'!kostentotaal_2038"),0)
+IFERROR(INDIRECT("'"&amp;$D$38&amp;"'!kostentotaal_2038"),0)
+IFERROR(INDIRECT("'"&amp;$D$39&amp;"'!kostentotaal_2038"),0)
+IFERROR(INDIRECT("'"&amp;$D$40&amp;"'!kostentotaal_2038"),0)
+IFERROR(INDIRECT("'"&amp;$D$41&amp;"'!kostentotaal_2038"),0)
+IFERROR(INDIRECT("'"&amp;$D$42&amp;"'!kostentotaal_2038"),0)
+IFERROR(INDIRECT("'"&amp;$D$43&amp;"'!kostentotaal_2038"),0)
+IFERROR(INDIRECT("'"&amp;$D$44&amp;"'!kostentotaal_2038"),0)
+IFERROR(INDIRECT("'"&amp;$D$45&amp;"'!kostentotaal_2038"),0)
+IFERROR(INDIRECT("'"&amp;$D$46&amp;"'!kostentotaal_2038"),0)
+IFERROR(INDIRECT("'"&amp;$D$47&amp;"'!kostentotaal_2038"),0)
+IFERROR(INDIRECT("'"&amp;$D$48&amp;"'!kostentotaal_2038"),0)
+IFERROR(INDIRECT("'"&amp;$D$49&amp;"'!kostentotaal_2038"),0)
+IFERROR(INDIRECT("'"&amp;$D$50&amp;"'!kostentotaal_2038"),0)
+IFERROR(INDIRECT("'"&amp;$D$51&amp;"'!kostentotaal_2038"),0)
+IFERROR(INDIRECT("'"&amp;$D$52&amp;"'!kostentotaal_2038"),0)
+IFERROR(INDIRECT("'"&amp;$D$53&amp;"'!kostentotaal_2038"),0)
+IFERROR(INDIRECT("'"&amp;$D$54&amp;"'!kostentotaal_2038"),0)
+Nieuwbouw!Y56</f>
        <v>176726.37536817903</v>
      </c>
      <c r="AC45" s="320">
        <f ca="1">+IFERROR(INDIRECT("'"&amp;$D$5&amp;"'!kostentotaal_2039"),0)
+IFERROR(INDIRECT("'"&amp;$D$6&amp;"'!kostentotaal_2039"),0)
+IFERROR(INDIRECT("'"&amp;$D$7&amp;"'!kostentotaal_2039"),0)
+IFERROR(INDIRECT("'"&amp;$D$8&amp;"'!kostentotaal_2039"),0)
+IFERROR(INDIRECT("'"&amp;$D$9&amp;"'!kostentotaal_2039"),0)
+IFERROR(INDIRECT("'"&amp;$D$10&amp;"'!kostentotaal_2039"),0)
+IFERROR(INDIRECT("'"&amp;$D$11&amp;"'!kostentotaal_2039"),0)
+IFERROR(INDIRECT("'"&amp;$D$12&amp;"'!kostentotaal_2039"),0)
+IFERROR(INDIRECT("'"&amp;$D$13&amp;"'!kostentotaal_2039"),0)
+IFERROR(INDIRECT("'"&amp;$D$14&amp;"'!kostentotaal_2039"),0)
+IFERROR(INDIRECT("'"&amp;$D$15&amp;"'!kostentotaal_2039"),0)
+IFERROR(INDIRECT("'"&amp;$D$16&amp;"'!kostentotaal_2039"),0)
+IFERROR(INDIRECT("'"&amp;$D$17&amp;"'!kostentotaal_2039"),0)
+IFERROR(INDIRECT("'"&amp;$D$18&amp;"'!kostentotaal_2039"),0)
+IFERROR(INDIRECT("'"&amp;$D$19&amp;"'!kostentotaal_2039"),0)
+IFERROR(INDIRECT("'"&amp;$D$20&amp;"'!kostentotaal_2039"),0)
+IFERROR(INDIRECT("'"&amp;$D$21&amp;"'!kostentotaal_2039"),0)
+IFERROR(INDIRECT("'"&amp;$D$22&amp;"'!kostentotaal_2039"),0)
+IFERROR(INDIRECT("'"&amp;$D$23&amp;"'!kostentotaal_2039"),0)
+IFERROR(INDIRECT("'"&amp;$D$24&amp;"'!kostentotaal_2039"),0)
+IFERROR(INDIRECT("'"&amp;$D$25&amp;"'!kostentotaal_2039"),0)
+IFERROR(INDIRECT("'"&amp;$D$26&amp;"'!kostentotaal_2039"),0)
+IFERROR(INDIRECT("'"&amp;$D$27&amp;"'!kostentotaal_2039"),0)
+IFERROR(INDIRECT("'"&amp;$D$28&amp;"'!kostentotaal_2039"),0)
+IFERROR(INDIRECT("'"&amp;$D$29&amp;"'!kostentotaal_2039"),0)
+IFERROR(INDIRECT("'"&amp;$D$30&amp;"'!kostentotaal_2039"),0)
+IFERROR(INDIRECT("'"&amp;$D$31&amp;"'!kostentotaal_2039"),0)
+IFERROR(INDIRECT("'"&amp;$D$32&amp;"'!kostentotaal_2039"),0)
+IFERROR(INDIRECT("'"&amp;$D$33&amp;"'!kostentotaal_2039"),0)
+IFERROR(INDIRECT("'"&amp;$D$34&amp;"'!kostentotaal_2039"),0)
+IFERROR(INDIRECT("'"&amp;$D$35&amp;"'!kostentotaal_2039"),0)
+IFERROR(INDIRECT("'"&amp;$D$36&amp;"'!kostentotaal_2039"),0)
+IFERROR(INDIRECT("'"&amp;$D$37&amp;"'!kostentotaal_2039"),0)
+IFERROR(INDIRECT("'"&amp;$D$38&amp;"'!kostentotaal_2039"),0)
+IFERROR(INDIRECT("'"&amp;$D$39&amp;"'!kostentotaal_2039"),0)
+IFERROR(INDIRECT("'"&amp;$D$40&amp;"'!kostentotaal_2039"),0)
+IFERROR(INDIRECT("'"&amp;$D$41&amp;"'!kostentotaal_2039"),0)
+IFERROR(INDIRECT("'"&amp;$D$42&amp;"'!kostentotaal_2039"),0)
+IFERROR(INDIRECT("'"&amp;$D$43&amp;"'!kostentotaal_2039"),0)
+IFERROR(INDIRECT("'"&amp;$D$44&amp;"'!kostentotaal_2039"),0)
+IFERROR(INDIRECT("'"&amp;$D$45&amp;"'!kostentotaal_2039"),0)
+IFERROR(INDIRECT("'"&amp;$D$46&amp;"'!kostentotaal_2039"),0)
+IFERROR(INDIRECT("'"&amp;$D$47&amp;"'!kostentotaal_2039"),0)
+IFERROR(INDIRECT("'"&amp;$D$48&amp;"'!kostentotaal_2039"),0)
+IFERROR(INDIRECT("'"&amp;$D$49&amp;"'!kostentotaal_2039"),0)
+IFERROR(INDIRECT("'"&amp;$D$50&amp;"'!kostentotaal_2039"),0)
+IFERROR(INDIRECT("'"&amp;$D$51&amp;"'!kostentotaal_2039"),0)
+IFERROR(INDIRECT("'"&amp;$D$52&amp;"'!kostentotaal_2039"),0)
+IFERROR(INDIRECT("'"&amp;$D$53&amp;"'!kostentotaal_2039"),0)
+IFERROR(INDIRECT("'"&amp;$D$54&amp;"'!kostentotaal_2039"),0)
+Nieuwbouw!Z56</f>
        <v>176726.37536817903</v>
      </c>
      <c r="AD45" s="320">
        <f ca="1">+IFERROR(INDIRECT("'"&amp;$D$5&amp;"'!kostentotaal_2040"),0)
+IFERROR(INDIRECT("'"&amp;$D$6&amp;"'!kostentotaal_2040"),0)
+IFERROR(INDIRECT("'"&amp;$D$7&amp;"'!kostentotaal_2040"),0)
+IFERROR(INDIRECT("'"&amp;$D$8&amp;"'!kostentotaal_2040"),0)
+IFERROR(INDIRECT("'"&amp;$D$9&amp;"'!kostentotaal_2040"),0)
+IFERROR(INDIRECT("'"&amp;$D$10&amp;"'!kostentotaal_2040"),0)
+IFERROR(INDIRECT("'"&amp;$D$11&amp;"'!kostentotaal_2040"),0)
+IFERROR(INDIRECT("'"&amp;$D$12&amp;"'!kostentotaal_2040"),0)
+IFERROR(INDIRECT("'"&amp;$D$13&amp;"'!kostentotaal_2040"),0)
+IFERROR(INDIRECT("'"&amp;$D$14&amp;"'!kostentotaal_2040"),0)
+IFERROR(INDIRECT("'"&amp;$D$15&amp;"'!kostentotaal_2040"),0)
+IFERROR(INDIRECT("'"&amp;$D$16&amp;"'!kostentotaal_2040"),0)
+IFERROR(INDIRECT("'"&amp;$D$17&amp;"'!kostentotaal_2040"),0)
+IFERROR(INDIRECT("'"&amp;$D$18&amp;"'!kostentotaal_2040"),0)
+IFERROR(INDIRECT("'"&amp;$D$19&amp;"'!kostentotaal_2040"),0)
+IFERROR(INDIRECT("'"&amp;$D$20&amp;"'!kostentotaal_2040"),0)
+IFERROR(INDIRECT("'"&amp;$D$21&amp;"'!kostentotaal_2040"),0)
+IFERROR(INDIRECT("'"&amp;$D$22&amp;"'!kostentotaal_2040"),0)
+IFERROR(INDIRECT("'"&amp;$D$23&amp;"'!kostentotaal_2040"),0)
+IFERROR(INDIRECT("'"&amp;$D$24&amp;"'!kostentotaal_2040"),0)
+IFERROR(INDIRECT("'"&amp;$D$25&amp;"'!kostentotaal_2040"),0)
+IFERROR(INDIRECT("'"&amp;$D$26&amp;"'!kostentotaal_2040"),0)
+IFERROR(INDIRECT("'"&amp;$D$27&amp;"'!kostentotaal_2040"),0)
+IFERROR(INDIRECT("'"&amp;$D$28&amp;"'!kostentotaal_2040"),0)
+IFERROR(INDIRECT("'"&amp;$D$29&amp;"'!kostentotaal_2040"),0)
+IFERROR(INDIRECT("'"&amp;$D$30&amp;"'!kostentotaal_2040"),0)
+IFERROR(INDIRECT("'"&amp;$D$31&amp;"'!kostentotaal_2040"),0)
+IFERROR(INDIRECT("'"&amp;$D$32&amp;"'!kostentotaal_2040"),0)
+IFERROR(INDIRECT("'"&amp;$D$33&amp;"'!kostentotaal_2040"),0)
+IFERROR(INDIRECT("'"&amp;$D$34&amp;"'!kostentotaal_2040"),0)
+IFERROR(INDIRECT("'"&amp;$D$35&amp;"'!kostentotaal_2040"),0)
+IFERROR(INDIRECT("'"&amp;$D$36&amp;"'!kostentotaal_2040"),0)
+IFERROR(INDIRECT("'"&amp;$D$37&amp;"'!kostentotaal_2040"),0)
+IFERROR(INDIRECT("'"&amp;$D$38&amp;"'!kostentotaal_2040"),0)
+IFERROR(INDIRECT("'"&amp;$D$39&amp;"'!kostentotaal_2040"),0)
+IFERROR(INDIRECT("'"&amp;$D$40&amp;"'!kostentotaal_2040"),0)
+IFERROR(INDIRECT("'"&amp;$D$41&amp;"'!kostentotaal_2040"),0)
+IFERROR(INDIRECT("'"&amp;$D$42&amp;"'!kostentotaal_2040"),0)
+IFERROR(INDIRECT("'"&amp;$D$43&amp;"'!kostentotaal_2040"),0)
+IFERROR(INDIRECT("'"&amp;$D$44&amp;"'!kostentotaal_2040"),0)
+IFERROR(INDIRECT("'"&amp;$D$45&amp;"'!kostentotaal_2040"),0)
+IFERROR(INDIRECT("'"&amp;$D$46&amp;"'!kostentotaal_2040"),0)
+IFERROR(INDIRECT("'"&amp;$D$47&amp;"'!kostentotaal_2040"),0)
+IFERROR(INDIRECT("'"&amp;$D$48&amp;"'!kostentotaal_2040"),0)
+IFERROR(INDIRECT("'"&amp;$D$49&amp;"'!kostentotaal_2040"),0)
+IFERROR(INDIRECT("'"&amp;$D$50&amp;"'!kostentotaal_2040"),0)
+IFERROR(INDIRECT("'"&amp;$D$51&amp;"'!kostentotaal_2040"),0)
+IFERROR(INDIRECT("'"&amp;$D$52&amp;"'!kostentotaal_2040"),0)
+IFERROR(INDIRECT("'"&amp;$D$53&amp;"'!kostentotaal_2040"),0)
+IFERROR(INDIRECT("'"&amp;$D$54&amp;"'!kostentotaal_2040"),0)
+Nieuwbouw!AA56</f>
        <v>135950.38598257903</v>
      </c>
      <c r="AE45" s="320">
        <f ca="1">+IFERROR(INDIRECT("'"&amp;$D$5&amp;"'!kostentotaal_2041"),0)
+IFERROR(INDIRECT("'"&amp;$D$6&amp;"'!kostentotaal_2041"),0)
+IFERROR(INDIRECT("'"&amp;$D$7&amp;"'!kostentotaal_2041"),0)
+IFERROR(INDIRECT("'"&amp;$D$8&amp;"'!kostentotaal_2041"),0)
+IFERROR(INDIRECT("'"&amp;$D$9&amp;"'!kostentotaal_2041"),0)
+IFERROR(INDIRECT("'"&amp;$D$10&amp;"'!kostentotaal_2041"),0)
+IFERROR(INDIRECT("'"&amp;$D$11&amp;"'!kostentotaal_2041"),0)
+IFERROR(INDIRECT("'"&amp;$D$12&amp;"'!kostentotaal_2041"),0)
+IFERROR(INDIRECT("'"&amp;$D$13&amp;"'!kostentotaal_2041"),0)
+IFERROR(INDIRECT("'"&amp;$D$14&amp;"'!kostentotaal_2041"),0)
+IFERROR(INDIRECT("'"&amp;$D$15&amp;"'!kostentotaal_2041"),0)
+IFERROR(INDIRECT("'"&amp;$D$16&amp;"'!kostentotaal_2041"),0)
+IFERROR(INDIRECT("'"&amp;$D$17&amp;"'!kostentotaal_2041"),0)
+IFERROR(INDIRECT("'"&amp;$D$18&amp;"'!kostentotaal_2041"),0)
+IFERROR(INDIRECT("'"&amp;$D$19&amp;"'!kostentotaal_2041"),0)
+IFERROR(INDIRECT("'"&amp;$D$20&amp;"'!kostentotaal_2041"),0)
+IFERROR(INDIRECT("'"&amp;$D$21&amp;"'!kostentotaal_2041"),0)
+IFERROR(INDIRECT("'"&amp;$D$22&amp;"'!kostentotaal_2041"),0)
+IFERROR(INDIRECT("'"&amp;$D$23&amp;"'!kostentotaal_2041"),0)
+IFERROR(INDIRECT("'"&amp;$D$24&amp;"'!kostentotaal_2041"),0)
+IFERROR(INDIRECT("'"&amp;$D$25&amp;"'!kostentotaal_2041"),0)
+IFERROR(INDIRECT("'"&amp;$D$26&amp;"'!kostentotaal_2041"),0)
+IFERROR(INDIRECT("'"&amp;$D$27&amp;"'!kostentotaal_2041"),0)
+IFERROR(INDIRECT("'"&amp;$D$28&amp;"'!kostentotaal_2041"),0)
+IFERROR(INDIRECT("'"&amp;$D$29&amp;"'!kostentotaal_2041"),0)
+IFERROR(INDIRECT("'"&amp;$D$30&amp;"'!kostentotaal_2041"),0)
+IFERROR(INDIRECT("'"&amp;$D$31&amp;"'!kostentotaal_2041"),0)
+IFERROR(INDIRECT("'"&amp;$D$32&amp;"'!kostentotaal_2041"),0)
+IFERROR(INDIRECT("'"&amp;$D$33&amp;"'!kostentotaal_2041"),0)
+IFERROR(INDIRECT("'"&amp;$D$34&amp;"'!kostentotaal_2041"),0)
+IFERROR(INDIRECT("'"&amp;$D$35&amp;"'!kostentotaal_2041"),0)
+IFERROR(INDIRECT("'"&amp;$D$36&amp;"'!kostentotaal_2041"),0)
+IFERROR(INDIRECT("'"&amp;$D$37&amp;"'!kostentotaal_2041"),0)
+IFERROR(INDIRECT("'"&amp;$D$38&amp;"'!kostentotaal_2041"),0)
+IFERROR(INDIRECT("'"&amp;$D$39&amp;"'!kostentotaal_2041"),0)
+IFERROR(INDIRECT("'"&amp;$D$40&amp;"'!kostentotaal_2041"),0)
+IFERROR(INDIRECT("'"&amp;$D$41&amp;"'!kostentotaal_2041"),0)
+IFERROR(INDIRECT("'"&amp;$D$42&amp;"'!kostentotaal_2041"),0)
+IFERROR(INDIRECT("'"&amp;$D$43&amp;"'!kostentotaal_2041"),0)
+IFERROR(INDIRECT("'"&amp;$D$44&amp;"'!kostentotaal_2041"),0)
+IFERROR(INDIRECT("'"&amp;$D$45&amp;"'!kostentotaal_2041"),0)
+IFERROR(INDIRECT("'"&amp;$D$46&amp;"'!kostentotaal_2041"),0)
+IFERROR(INDIRECT("'"&amp;$D$47&amp;"'!kostentotaal_2041"),0)
+IFERROR(INDIRECT("'"&amp;$D$48&amp;"'!kostentotaal_2041"),0)
+IFERROR(INDIRECT("'"&amp;$D$49&amp;"'!kostentotaal_2041"),0)
+IFERROR(INDIRECT("'"&amp;$D$50&amp;"'!kostentotaal_2041"),0)
+IFERROR(INDIRECT("'"&amp;$D$51&amp;"'!kostentotaal_2041"),0)
+IFERROR(INDIRECT("'"&amp;$D$52&amp;"'!kostentotaal_2041"),0)
+IFERROR(INDIRECT("'"&amp;$D$53&amp;"'!kostentotaal_2041"),0)
+IFERROR(INDIRECT("'"&amp;$D$54&amp;"'!kostentotaal_2041"),0)
+Nieuwbouw!AB56</f>
        <v>135950.38598257903</v>
      </c>
      <c r="AF45" s="320">
        <f ca="1">+IFERROR(INDIRECT("'"&amp;$D$5&amp;"'!kostentotaal_2042"),0)
+IFERROR(INDIRECT("'"&amp;$D$6&amp;"'!kostentotaal_2042"),0)
+IFERROR(INDIRECT("'"&amp;$D$7&amp;"'!kostentotaal_2042"),0)
+IFERROR(INDIRECT("'"&amp;$D$8&amp;"'!kostentotaal_2042"),0)
+IFERROR(INDIRECT("'"&amp;$D$9&amp;"'!kostentotaal_2042"),0)
+IFERROR(INDIRECT("'"&amp;$D$10&amp;"'!kostentotaal_2042"),0)
+IFERROR(INDIRECT("'"&amp;$D$11&amp;"'!kostentotaal_2042"),0)
+IFERROR(INDIRECT("'"&amp;$D$12&amp;"'!kostentotaal_2042"),0)
+IFERROR(INDIRECT("'"&amp;$D$13&amp;"'!kostentotaal_2042"),0)
+IFERROR(INDIRECT("'"&amp;$D$14&amp;"'!kostentotaal_2042"),0)
+IFERROR(INDIRECT("'"&amp;$D$15&amp;"'!kostentotaal_2042"),0)
+IFERROR(INDIRECT("'"&amp;$D$16&amp;"'!kostentotaal_2042"),0)
+IFERROR(INDIRECT("'"&amp;$D$17&amp;"'!kostentotaal_2042"),0)
+IFERROR(INDIRECT("'"&amp;$D$18&amp;"'!kostentotaal_2042"),0)
+IFERROR(INDIRECT("'"&amp;$D$19&amp;"'!kostentotaal_2042"),0)
+IFERROR(INDIRECT("'"&amp;$D$20&amp;"'!kostentotaal_2042"),0)
+IFERROR(INDIRECT("'"&amp;$D$21&amp;"'!kostentotaal_2042"),0)
+IFERROR(INDIRECT("'"&amp;$D$22&amp;"'!kostentotaal_2042"),0)
+IFERROR(INDIRECT("'"&amp;$D$23&amp;"'!kostentotaal_2042"),0)
+IFERROR(INDIRECT("'"&amp;$D$24&amp;"'!kostentotaal_2042"),0)
+IFERROR(INDIRECT("'"&amp;$D$25&amp;"'!kostentotaal_2042"),0)
+IFERROR(INDIRECT("'"&amp;$D$26&amp;"'!kostentotaal_2042"),0)
+IFERROR(INDIRECT("'"&amp;$D$27&amp;"'!kostentotaal_2042"),0)
+IFERROR(INDIRECT("'"&amp;$D$28&amp;"'!kostentotaal_2042"),0)
+IFERROR(INDIRECT("'"&amp;$D$29&amp;"'!kostentotaal_2042"),0)
+IFERROR(INDIRECT("'"&amp;$D$30&amp;"'!kostentotaal_2042"),0)
+IFERROR(INDIRECT("'"&amp;$D$31&amp;"'!kostentotaal_2042"),0)
+IFERROR(INDIRECT("'"&amp;$D$32&amp;"'!kostentotaal_2042"),0)
+IFERROR(INDIRECT("'"&amp;$D$33&amp;"'!kostentotaal_2042"),0)
+IFERROR(INDIRECT("'"&amp;$D$34&amp;"'!kostentotaal_2042"),0)
+IFERROR(INDIRECT("'"&amp;$D$35&amp;"'!kostentotaal_2042"),0)
+IFERROR(INDIRECT("'"&amp;$D$36&amp;"'!kostentotaal_2042"),0)
+IFERROR(INDIRECT("'"&amp;$D$37&amp;"'!kostentotaal_2042"),0)
+IFERROR(INDIRECT("'"&amp;$D$38&amp;"'!kostentotaal_2042"),0)
+IFERROR(INDIRECT("'"&amp;$D$39&amp;"'!kostentotaal_2042"),0)
+IFERROR(INDIRECT("'"&amp;$D$40&amp;"'!kostentotaal_2042"),0)
+IFERROR(INDIRECT("'"&amp;$D$41&amp;"'!kostentotaal_2042"),0)
+IFERROR(INDIRECT("'"&amp;$D$42&amp;"'!kostentotaal_2042"),0)
+IFERROR(INDIRECT("'"&amp;$D$43&amp;"'!kostentotaal_2042"),0)
+IFERROR(INDIRECT("'"&amp;$D$44&amp;"'!kostentotaal_2042"),0)
+IFERROR(INDIRECT("'"&amp;$D$45&amp;"'!kostentotaal_2042"),0)
+IFERROR(INDIRECT("'"&amp;$D$46&amp;"'!kostentotaal_2042"),0)
+IFERROR(INDIRECT("'"&amp;$D$47&amp;"'!kostentotaal_2042"),0)
+IFERROR(INDIRECT("'"&amp;$D$48&amp;"'!kostentotaal_2042"),0)
+IFERROR(INDIRECT("'"&amp;$D$49&amp;"'!kostentotaal_2042"),0)
+IFERROR(INDIRECT("'"&amp;$D$50&amp;"'!kostentotaal_2042"),0)
+IFERROR(INDIRECT("'"&amp;$D$51&amp;"'!kostentotaal_2042"),0)
+IFERROR(INDIRECT("'"&amp;$D$52&amp;"'!kostentotaal_2042"),0)
+IFERROR(INDIRECT("'"&amp;$D$53&amp;"'!kostentotaal_2042"),0)
+IFERROR(INDIRECT("'"&amp;$D$54&amp;"'!kostentotaal_2042"),0)
+Nieuwbouw!AC56</f>
        <v>135950.38598257903</v>
      </c>
      <c r="AG45" s="320">
        <f ca="1">+IFERROR(INDIRECT("'"&amp;$D$5&amp;"'!kostentotaal_2043"),0)
+IFERROR(INDIRECT("'"&amp;$D$6&amp;"'!kostentotaal_2043"),0)
+IFERROR(INDIRECT("'"&amp;$D$7&amp;"'!kostentotaal_2043"),0)
+IFERROR(INDIRECT("'"&amp;$D$8&amp;"'!kostentotaal_2043"),0)
+IFERROR(INDIRECT("'"&amp;$D$9&amp;"'!kostentotaal_2043"),0)
+IFERROR(INDIRECT("'"&amp;$D$10&amp;"'!kostentotaal_2043"),0)
+IFERROR(INDIRECT("'"&amp;$D$11&amp;"'!kostentotaal_2043"),0)
+IFERROR(INDIRECT("'"&amp;$D$12&amp;"'!kostentotaal_2043"),0)
+IFERROR(INDIRECT("'"&amp;$D$13&amp;"'!kostentotaal_2043"),0)
+IFERROR(INDIRECT("'"&amp;$D$14&amp;"'!kostentotaal_2043"),0)
+IFERROR(INDIRECT("'"&amp;$D$15&amp;"'!kostentotaal_2043"),0)
+IFERROR(INDIRECT("'"&amp;$D$16&amp;"'!kostentotaal_2043"),0)
+IFERROR(INDIRECT("'"&amp;$D$17&amp;"'!kostentotaal_2043"),0)
+IFERROR(INDIRECT("'"&amp;$D$18&amp;"'!kostentotaal_2043"),0)
+IFERROR(INDIRECT("'"&amp;$D$19&amp;"'!kostentotaal_2043"),0)
+IFERROR(INDIRECT("'"&amp;$D$20&amp;"'!kostentotaal_2043"),0)
+IFERROR(INDIRECT("'"&amp;$D$21&amp;"'!kostentotaal_2043"),0)
+IFERROR(INDIRECT("'"&amp;$D$22&amp;"'!kostentotaal_2043"),0)
+IFERROR(INDIRECT("'"&amp;$D$23&amp;"'!kostentotaal_2043"),0)
+IFERROR(INDIRECT("'"&amp;$D$24&amp;"'!kostentotaal_2043"),0)
+IFERROR(INDIRECT("'"&amp;$D$25&amp;"'!kostentotaal_2043"),0)
+IFERROR(INDIRECT("'"&amp;$D$26&amp;"'!kostentotaal_2043"),0)
+IFERROR(INDIRECT("'"&amp;$D$27&amp;"'!kostentotaal_2043"),0)
+IFERROR(INDIRECT("'"&amp;$D$28&amp;"'!kostentotaal_2043"),0)
+IFERROR(INDIRECT("'"&amp;$D$29&amp;"'!kostentotaal_2043"),0)
+IFERROR(INDIRECT("'"&amp;$D$30&amp;"'!kostentotaal_2043"),0)
+IFERROR(INDIRECT("'"&amp;$D$31&amp;"'!kostentotaal_2043"),0)
+IFERROR(INDIRECT("'"&amp;$D$32&amp;"'!kostentotaal_2043"),0)
+IFERROR(INDIRECT("'"&amp;$D$33&amp;"'!kostentotaal_2043"),0)
+IFERROR(INDIRECT("'"&amp;$D$34&amp;"'!kostentotaal_2043"),0)
+IFERROR(INDIRECT("'"&amp;$D$35&amp;"'!kostentotaal_2043"),0)
+IFERROR(INDIRECT("'"&amp;$D$36&amp;"'!kostentotaal_2043"),0)
+IFERROR(INDIRECT("'"&amp;$D$37&amp;"'!kostentotaal_2043"),0)
+IFERROR(INDIRECT("'"&amp;$D$38&amp;"'!kostentotaal_2043"),0)
+IFERROR(INDIRECT("'"&amp;$D$39&amp;"'!kostentotaal_2043"),0)
+IFERROR(INDIRECT("'"&amp;$D$40&amp;"'!kostentotaal_2043"),0)
+IFERROR(INDIRECT("'"&amp;$D$41&amp;"'!kostentotaal_2043"),0)
+IFERROR(INDIRECT("'"&amp;$D$42&amp;"'!kostentotaal_2043"),0)
+IFERROR(INDIRECT("'"&amp;$D$43&amp;"'!kostentotaal_2043"),0)
+IFERROR(INDIRECT("'"&amp;$D$44&amp;"'!kostentotaal_2043"),0)
+IFERROR(INDIRECT("'"&amp;$D$45&amp;"'!kostentotaal_2043"),0)
+IFERROR(INDIRECT("'"&amp;$D$46&amp;"'!kostentotaal_2043"),0)
+IFERROR(INDIRECT("'"&amp;$D$47&amp;"'!kostentotaal_2043"),0)
+IFERROR(INDIRECT("'"&amp;$D$48&amp;"'!kostentotaal_2043"),0)
+IFERROR(INDIRECT("'"&amp;$D$49&amp;"'!kostentotaal_2043"),0)
+IFERROR(INDIRECT("'"&amp;$D$50&amp;"'!kostentotaal_2043"),0)
+IFERROR(INDIRECT("'"&amp;$D$51&amp;"'!kostentotaal_2043"),0)
+IFERROR(INDIRECT("'"&amp;$D$52&amp;"'!kostentotaal_2043"),0)
+IFERROR(INDIRECT("'"&amp;$D$53&amp;"'!kostentotaal_2043"),0)
+IFERROR(INDIRECT("'"&amp;$D$54&amp;"'!kostentotaal_2043"),0)
+Nieuwbouw!AD56</f>
        <v>135950.38598257903</v>
      </c>
      <c r="AH45" s="320">
        <f ca="1">+IFERROR(INDIRECT("'"&amp;$D$5&amp;"'!kostentotaal_2044"),0)
+IFERROR(INDIRECT("'"&amp;$D$6&amp;"'!kostentotaal_2044"),0)
+IFERROR(INDIRECT("'"&amp;$D$7&amp;"'!kostentotaal_2044"),0)
+IFERROR(INDIRECT("'"&amp;$D$8&amp;"'!kostentotaal_2044"),0)
+IFERROR(INDIRECT("'"&amp;$D$9&amp;"'!kostentotaal_2044"),0)
+IFERROR(INDIRECT("'"&amp;$D$10&amp;"'!kostentotaal_2044"),0)
+IFERROR(INDIRECT("'"&amp;$D$11&amp;"'!kostentotaal_2044"),0)
+IFERROR(INDIRECT("'"&amp;$D$12&amp;"'!kostentotaal_2044"),0)
+IFERROR(INDIRECT("'"&amp;$D$13&amp;"'!kostentotaal_2044"),0)
+IFERROR(INDIRECT("'"&amp;$D$14&amp;"'!kostentotaal_2044"),0)
+IFERROR(INDIRECT("'"&amp;$D$15&amp;"'!kostentotaal_2044"),0)
+IFERROR(INDIRECT("'"&amp;$D$16&amp;"'!kostentotaal_2044"),0)
+IFERROR(INDIRECT("'"&amp;$D$17&amp;"'!kostentotaal_2044"),0)
+IFERROR(INDIRECT("'"&amp;$D$18&amp;"'!kostentotaal_2044"),0)
+IFERROR(INDIRECT("'"&amp;$D$19&amp;"'!kostentotaal_2044"),0)
+IFERROR(INDIRECT("'"&amp;$D$20&amp;"'!kostentotaal_2044"),0)
+IFERROR(INDIRECT("'"&amp;$D$21&amp;"'!kostentotaal_2044"),0)
+IFERROR(INDIRECT("'"&amp;$D$22&amp;"'!kostentotaal_2044"),0)
+IFERROR(INDIRECT("'"&amp;$D$23&amp;"'!kostentotaal_2044"),0)
+IFERROR(INDIRECT("'"&amp;$D$24&amp;"'!kostentotaal_2044"),0)
+IFERROR(INDIRECT("'"&amp;$D$25&amp;"'!kostentotaal_2044"),0)
+IFERROR(INDIRECT("'"&amp;$D$26&amp;"'!kostentotaal_2044"),0)
+IFERROR(INDIRECT("'"&amp;$D$27&amp;"'!kostentotaal_2044"),0)
+IFERROR(INDIRECT("'"&amp;$D$28&amp;"'!kostentotaal_2044"),0)
+IFERROR(INDIRECT("'"&amp;$D$29&amp;"'!kostentotaal_2044"),0)
+IFERROR(INDIRECT("'"&amp;$D$30&amp;"'!kostentotaal_2044"),0)
+IFERROR(INDIRECT("'"&amp;$D$31&amp;"'!kostentotaal_2044"),0)
+IFERROR(INDIRECT("'"&amp;$D$32&amp;"'!kostentotaal_2044"),0)
+IFERROR(INDIRECT("'"&amp;$D$33&amp;"'!kostentotaal_2044"),0)
+IFERROR(INDIRECT("'"&amp;$D$34&amp;"'!kostentotaal_2044"),0)
+IFERROR(INDIRECT("'"&amp;$D$35&amp;"'!kostentotaal_2044"),0)
+IFERROR(INDIRECT("'"&amp;$D$36&amp;"'!kostentotaal_2044"),0)
+IFERROR(INDIRECT("'"&amp;$D$37&amp;"'!kostentotaal_2044"),0)
+IFERROR(INDIRECT("'"&amp;$D$38&amp;"'!kostentotaal_2044"),0)
+IFERROR(INDIRECT("'"&amp;$D$39&amp;"'!kostentotaal_2044"),0)
+IFERROR(INDIRECT("'"&amp;$D$40&amp;"'!kostentotaal_2044"),0)
+IFERROR(INDIRECT("'"&amp;$D$41&amp;"'!kostentotaal_2044"),0)
+IFERROR(INDIRECT("'"&amp;$D$42&amp;"'!kostentotaal_2044"),0)
+IFERROR(INDIRECT("'"&amp;$D$43&amp;"'!kostentotaal_2044"),0)
+IFERROR(INDIRECT("'"&amp;$D$44&amp;"'!kostentotaal_2044"),0)
+IFERROR(INDIRECT("'"&amp;$D$45&amp;"'!kostentotaal_2044"),0)
+IFERROR(INDIRECT("'"&amp;$D$46&amp;"'!kostentotaal_2044"),0)
+IFERROR(INDIRECT("'"&amp;$D$47&amp;"'!kostentotaal_2044"),0)
+IFERROR(INDIRECT("'"&amp;$D$48&amp;"'!kostentotaal_2044"),0)
+IFERROR(INDIRECT("'"&amp;$D$49&amp;"'!kostentotaal_2044"),0)
+IFERROR(INDIRECT("'"&amp;$D$50&amp;"'!kostentotaal_2044"),0)
+IFERROR(INDIRECT("'"&amp;$D$51&amp;"'!kostentotaal_2044"),0)
+IFERROR(INDIRECT("'"&amp;$D$52&amp;"'!kostentotaal_2044"),0)
+IFERROR(INDIRECT("'"&amp;$D$53&amp;"'!kostentotaal_2044"),0)
+IFERROR(INDIRECT("'"&amp;$D$54&amp;"'!kostentotaal_2044"),0)
+Nieuwbouw!AE56</f>
        <v>135950.38598257903</v>
      </c>
      <c r="AI45" s="320">
        <f ca="1">+IFERROR(INDIRECT("'"&amp;$D$5&amp;"'!kostentotaal_2045"),0)
+IFERROR(INDIRECT("'"&amp;$D$6&amp;"'!kostentotaal_2045"),0)
+IFERROR(INDIRECT("'"&amp;$D$7&amp;"'!kostentotaal_2045"),0)
+IFERROR(INDIRECT("'"&amp;$D$8&amp;"'!kostentotaal_2045"),0)
+IFERROR(INDIRECT("'"&amp;$D$9&amp;"'!kostentotaal_2045"),0)
+IFERROR(INDIRECT("'"&amp;$D$10&amp;"'!kostentotaal_2045"),0)
+IFERROR(INDIRECT("'"&amp;$D$11&amp;"'!kostentotaal_2045"),0)
+IFERROR(INDIRECT("'"&amp;$D$12&amp;"'!kostentotaal_2045"),0)
+IFERROR(INDIRECT("'"&amp;$D$13&amp;"'!kostentotaal_2045"),0)
+IFERROR(INDIRECT("'"&amp;$D$14&amp;"'!kostentotaal_2045"),0)
+IFERROR(INDIRECT("'"&amp;$D$15&amp;"'!kostentotaal_2045"),0)
+IFERROR(INDIRECT("'"&amp;$D$16&amp;"'!kostentotaal_2045"),0)
+IFERROR(INDIRECT("'"&amp;$D$17&amp;"'!kostentotaal_2045"),0)
+IFERROR(INDIRECT("'"&amp;$D$18&amp;"'!kostentotaal_2045"),0)
+IFERROR(INDIRECT("'"&amp;$D$19&amp;"'!kostentotaal_2045"),0)
+IFERROR(INDIRECT("'"&amp;$D$20&amp;"'!kostentotaal_2045"),0)
+IFERROR(INDIRECT("'"&amp;$D$21&amp;"'!kostentotaal_2045"),0)
+IFERROR(INDIRECT("'"&amp;$D$22&amp;"'!kostentotaal_2045"),0)
+IFERROR(INDIRECT("'"&amp;$D$23&amp;"'!kostentotaal_2045"),0)
+IFERROR(INDIRECT("'"&amp;$D$24&amp;"'!kostentotaal_2045"),0)
+IFERROR(INDIRECT("'"&amp;$D$25&amp;"'!kostentotaal_2045"),0)
+IFERROR(INDIRECT("'"&amp;$D$26&amp;"'!kostentotaal_2045"),0)
+IFERROR(INDIRECT("'"&amp;$D$27&amp;"'!kostentotaal_2045"),0)
+IFERROR(INDIRECT("'"&amp;$D$28&amp;"'!kostentotaal_2045"),0)
+IFERROR(INDIRECT("'"&amp;$D$29&amp;"'!kostentotaal_2045"),0)
+IFERROR(INDIRECT("'"&amp;$D$30&amp;"'!kostentotaal_2045"),0)
+IFERROR(INDIRECT("'"&amp;$D$31&amp;"'!kostentotaal_2045"),0)
+IFERROR(INDIRECT("'"&amp;$D$32&amp;"'!kostentotaal_2045"),0)
+IFERROR(INDIRECT("'"&amp;$D$33&amp;"'!kostentotaal_2045"),0)
+IFERROR(INDIRECT("'"&amp;$D$34&amp;"'!kostentotaal_2045"),0)
+IFERROR(INDIRECT("'"&amp;$D$35&amp;"'!kostentotaal_2045"),0)
+IFERROR(INDIRECT("'"&amp;$D$36&amp;"'!kostentotaal_2045"),0)
+IFERROR(INDIRECT("'"&amp;$D$37&amp;"'!kostentotaal_2045"),0)
+IFERROR(INDIRECT("'"&amp;$D$38&amp;"'!kostentotaal_2045"),0)
+IFERROR(INDIRECT("'"&amp;$D$39&amp;"'!kostentotaal_2045"),0)
+IFERROR(INDIRECT("'"&amp;$D$40&amp;"'!kostentotaal_2045"),0)
+IFERROR(INDIRECT("'"&amp;$D$41&amp;"'!kostentotaal_2045"),0)
+IFERROR(INDIRECT("'"&amp;$D$42&amp;"'!kostentotaal_2045"),0)
+IFERROR(INDIRECT("'"&amp;$D$43&amp;"'!kostentotaal_2045"),0)
+IFERROR(INDIRECT("'"&amp;$D$44&amp;"'!kostentotaal_2045"),0)
+IFERROR(INDIRECT("'"&amp;$D$45&amp;"'!kostentotaal_2045"),0)
+IFERROR(INDIRECT("'"&amp;$D$46&amp;"'!kostentotaal_2045"),0)
+IFERROR(INDIRECT("'"&amp;$D$47&amp;"'!kostentotaal_2045"),0)
+IFERROR(INDIRECT("'"&amp;$D$48&amp;"'!kostentotaal_2045"),0)
+IFERROR(INDIRECT("'"&amp;$D$49&amp;"'!kostentotaal_2045"),0)
+IFERROR(INDIRECT("'"&amp;$D$50&amp;"'!kostentotaal_2045"),0)
+IFERROR(INDIRECT("'"&amp;$D$51&amp;"'!kostentotaal_2045"),0)
+IFERROR(INDIRECT("'"&amp;$D$52&amp;"'!kostentotaal_2045"),0)
+IFERROR(INDIRECT("'"&amp;$D$53&amp;"'!kostentotaal_2045"),0)
+IFERROR(INDIRECT("'"&amp;$D$54&amp;"'!kostentotaal_2045"),0)
+Nieuwbouw!AF56</f>
        <v>135950.38598257903</v>
      </c>
      <c r="AJ45" s="320">
        <f ca="1">+IFERROR(INDIRECT("'"&amp;$D$5&amp;"'!kostentotaal_2046"),0)
+IFERROR(INDIRECT("'"&amp;$D$6&amp;"'!kostentotaal_2046"),0)
+IFERROR(INDIRECT("'"&amp;$D$7&amp;"'!kostentotaal_2046"),0)
+IFERROR(INDIRECT("'"&amp;$D$8&amp;"'!kostentotaal_2046"),0)
+IFERROR(INDIRECT("'"&amp;$D$9&amp;"'!kostentotaal_2046"),0)
+IFERROR(INDIRECT("'"&amp;$D$10&amp;"'!kostentotaal_2046"),0)
+IFERROR(INDIRECT("'"&amp;$D$11&amp;"'!kostentotaal_2046"),0)
+IFERROR(INDIRECT("'"&amp;$D$12&amp;"'!kostentotaal_2046"),0)
+IFERROR(INDIRECT("'"&amp;$D$13&amp;"'!kostentotaal_2046"),0)
+IFERROR(INDIRECT("'"&amp;$D$14&amp;"'!kostentotaal_2046"),0)
+IFERROR(INDIRECT("'"&amp;$D$15&amp;"'!kostentotaal_2046"),0)
+IFERROR(INDIRECT("'"&amp;$D$16&amp;"'!kostentotaal_2046"),0)
+IFERROR(INDIRECT("'"&amp;$D$17&amp;"'!kostentotaal_2046"),0)
+IFERROR(INDIRECT("'"&amp;$D$18&amp;"'!kostentotaal_2046"),0)
+IFERROR(INDIRECT("'"&amp;$D$19&amp;"'!kostentotaal_2046"),0)
+IFERROR(INDIRECT("'"&amp;$D$20&amp;"'!kostentotaal_2046"),0)
+IFERROR(INDIRECT("'"&amp;$D$21&amp;"'!kostentotaal_2046"),0)
+IFERROR(INDIRECT("'"&amp;$D$22&amp;"'!kostentotaal_2046"),0)
+IFERROR(INDIRECT("'"&amp;$D$23&amp;"'!kostentotaal_2046"),0)
+IFERROR(INDIRECT("'"&amp;$D$24&amp;"'!kostentotaal_2046"),0)
+IFERROR(INDIRECT("'"&amp;$D$25&amp;"'!kostentotaal_2046"),0)
+IFERROR(INDIRECT("'"&amp;$D$26&amp;"'!kostentotaal_2046"),0)
+IFERROR(INDIRECT("'"&amp;$D$27&amp;"'!kostentotaal_2046"),0)
+IFERROR(INDIRECT("'"&amp;$D$28&amp;"'!kostentotaal_2046"),0)
+IFERROR(INDIRECT("'"&amp;$D$29&amp;"'!kostentotaal_2046"),0)
+IFERROR(INDIRECT("'"&amp;$D$30&amp;"'!kostentotaal_2046"),0)
+IFERROR(INDIRECT("'"&amp;$D$31&amp;"'!kostentotaal_2046"),0)
+IFERROR(INDIRECT("'"&amp;$D$32&amp;"'!kostentotaal_2046"),0)
+IFERROR(INDIRECT("'"&amp;$D$33&amp;"'!kostentotaal_2046"),0)
+IFERROR(INDIRECT("'"&amp;$D$34&amp;"'!kostentotaal_2046"),0)
+IFERROR(INDIRECT("'"&amp;$D$35&amp;"'!kostentotaal_2046"),0)
+IFERROR(INDIRECT("'"&amp;$D$36&amp;"'!kostentotaal_2046"),0)
+IFERROR(INDIRECT("'"&amp;$D$37&amp;"'!kostentotaal_2046"),0)
+IFERROR(INDIRECT("'"&amp;$D$38&amp;"'!kostentotaal_2046"),0)
+IFERROR(INDIRECT("'"&amp;$D$39&amp;"'!kostentotaal_2046"),0)
+IFERROR(INDIRECT("'"&amp;$D$40&amp;"'!kostentotaal_2046"),0)
+IFERROR(INDIRECT("'"&amp;$D$41&amp;"'!kostentotaal_2046"),0)
+IFERROR(INDIRECT("'"&amp;$D$42&amp;"'!kostentotaal_2046"),0)
+IFERROR(INDIRECT("'"&amp;$D$43&amp;"'!kostentotaal_2046"),0)
+IFERROR(INDIRECT("'"&amp;$D$44&amp;"'!kostentotaal_2046"),0)
+IFERROR(INDIRECT("'"&amp;$D$45&amp;"'!kostentotaal_2046"),0)
+IFERROR(INDIRECT("'"&amp;$D$46&amp;"'!kostentotaal_2046"),0)
+IFERROR(INDIRECT("'"&amp;$D$47&amp;"'!kostentotaal_2046"),0)
+IFERROR(INDIRECT("'"&amp;$D$48&amp;"'!kostentotaal_2046"),0)
+IFERROR(INDIRECT("'"&amp;$D$49&amp;"'!kostentotaal_2046"),0)
+IFERROR(INDIRECT("'"&amp;$D$50&amp;"'!kostentotaal_2046"),0)
+IFERROR(INDIRECT("'"&amp;$D$51&amp;"'!kostentotaal_2046"),0)
+IFERROR(INDIRECT("'"&amp;$D$52&amp;"'!kostentotaal_2046"),0)
+IFERROR(INDIRECT("'"&amp;$D$53&amp;"'!kostentotaal_2046"),0)
+IFERROR(INDIRECT("'"&amp;$D$54&amp;"'!kostentotaal_2046"),0)
+Nieuwbouw!AG56</f>
        <v>135950.38598257903</v>
      </c>
      <c r="AK45" s="320">
        <f ca="1">+IFERROR(INDIRECT("'"&amp;$D$5&amp;"'!kostentotaal_2047"),0)
+IFERROR(INDIRECT("'"&amp;$D$6&amp;"'!kostentotaal_2047"),0)
+IFERROR(INDIRECT("'"&amp;$D$7&amp;"'!kostentotaal_2047"),0)
+IFERROR(INDIRECT("'"&amp;$D$8&amp;"'!kostentotaal_2047"),0)
+IFERROR(INDIRECT("'"&amp;$D$9&amp;"'!kostentotaal_2047"),0)
+IFERROR(INDIRECT("'"&amp;$D$10&amp;"'!kostentotaal_2047"),0)
+IFERROR(INDIRECT("'"&amp;$D$11&amp;"'!kostentotaal_2047"),0)
+IFERROR(INDIRECT("'"&amp;$D$12&amp;"'!kostentotaal_2047"),0)
+IFERROR(INDIRECT("'"&amp;$D$13&amp;"'!kostentotaal_2047"),0)
+IFERROR(INDIRECT("'"&amp;$D$14&amp;"'!kostentotaal_2047"),0)
+IFERROR(INDIRECT("'"&amp;$D$15&amp;"'!kostentotaal_2047"),0)
+IFERROR(INDIRECT("'"&amp;$D$16&amp;"'!kostentotaal_2047"),0)
+IFERROR(INDIRECT("'"&amp;$D$17&amp;"'!kostentotaal_2047"),0)
+IFERROR(INDIRECT("'"&amp;$D$18&amp;"'!kostentotaal_2047"),0)
+IFERROR(INDIRECT("'"&amp;$D$19&amp;"'!kostentotaal_2047"),0)
+IFERROR(INDIRECT("'"&amp;$D$20&amp;"'!kostentotaal_2047"),0)
+IFERROR(INDIRECT("'"&amp;$D$21&amp;"'!kostentotaal_2047"),0)
+IFERROR(INDIRECT("'"&amp;$D$22&amp;"'!kostentotaal_2047"),0)
+IFERROR(INDIRECT("'"&amp;$D$23&amp;"'!kostentotaal_2047"),0)
+IFERROR(INDIRECT("'"&amp;$D$24&amp;"'!kostentotaal_2047"),0)
+IFERROR(INDIRECT("'"&amp;$D$25&amp;"'!kostentotaal_2047"),0)
+IFERROR(INDIRECT("'"&amp;$D$26&amp;"'!kostentotaal_2047"),0)
+IFERROR(INDIRECT("'"&amp;$D$27&amp;"'!kostentotaal_2047"),0)
+IFERROR(INDIRECT("'"&amp;$D$28&amp;"'!kostentotaal_2047"),0)
+IFERROR(INDIRECT("'"&amp;$D$29&amp;"'!kostentotaal_2047"),0)
+IFERROR(INDIRECT("'"&amp;$D$30&amp;"'!kostentotaal_2047"),0)
+IFERROR(INDIRECT("'"&amp;$D$31&amp;"'!kostentotaal_2047"),0)
+IFERROR(INDIRECT("'"&amp;$D$32&amp;"'!kostentotaal_2047"),0)
+IFERROR(INDIRECT("'"&amp;$D$33&amp;"'!kostentotaal_2047"),0)
+IFERROR(INDIRECT("'"&amp;$D$34&amp;"'!kostentotaal_2047"),0)
+IFERROR(INDIRECT("'"&amp;$D$35&amp;"'!kostentotaal_2047"),0)
+IFERROR(INDIRECT("'"&amp;$D$36&amp;"'!kostentotaal_2047"),0)
+IFERROR(INDIRECT("'"&amp;$D$37&amp;"'!kostentotaal_2047"),0)
+IFERROR(INDIRECT("'"&amp;$D$38&amp;"'!kostentotaal_2047"),0)
+IFERROR(INDIRECT("'"&amp;$D$39&amp;"'!kostentotaal_2047"),0)
+IFERROR(INDIRECT("'"&amp;$D$40&amp;"'!kostentotaal_2047"),0)
+IFERROR(INDIRECT("'"&amp;$D$41&amp;"'!kostentotaal_2047"),0)
+IFERROR(INDIRECT("'"&amp;$D$42&amp;"'!kostentotaal_2047"),0)
+IFERROR(INDIRECT("'"&amp;$D$43&amp;"'!kostentotaal_2047"),0)
+IFERROR(INDIRECT("'"&amp;$D$44&amp;"'!kostentotaal_2047"),0)
+IFERROR(INDIRECT("'"&amp;$D$45&amp;"'!kostentotaal_2047"),0)
+IFERROR(INDIRECT("'"&amp;$D$46&amp;"'!kostentotaal_2047"),0)
+IFERROR(INDIRECT("'"&amp;$D$47&amp;"'!kostentotaal_2047"),0)
+IFERROR(INDIRECT("'"&amp;$D$48&amp;"'!kostentotaal_2047"),0)
+IFERROR(INDIRECT("'"&amp;$D$49&amp;"'!kostentotaal_2047"),0)
+IFERROR(INDIRECT("'"&amp;$D$50&amp;"'!kostentotaal_2047"),0)
+IFERROR(INDIRECT("'"&amp;$D$51&amp;"'!kostentotaal_2047"),0)
+IFERROR(INDIRECT("'"&amp;$D$52&amp;"'!kostentotaal_2047"),0)
+IFERROR(INDIRECT("'"&amp;$D$53&amp;"'!kostentotaal_2047"),0)
+IFERROR(INDIRECT("'"&amp;$D$54&amp;"'!kostentotaal_2047"),0)
+Nieuwbouw!AH56</f>
        <v>135950.38598257903</v>
      </c>
      <c r="AL45" s="320">
        <f ca="1">+IFERROR(INDIRECT("'"&amp;$D$5&amp;"'!kostentotaal_2048"),0)
+IFERROR(INDIRECT("'"&amp;$D$6&amp;"'!kostentotaal_2048"),0)
+IFERROR(INDIRECT("'"&amp;$D$7&amp;"'!kostentotaal_2048"),0)
+IFERROR(INDIRECT("'"&amp;$D$8&amp;"'!kostentotaal_2048"),0)
+IFERROR(INDIRECT("'"&amp;$D$9&amp;"'!kostentotaal_2048"),0)
+IFERROR(INDIRECT("'"&amp;$D$10&amp;"'!kostentotaal_2048"),0)
+IFERROR(INDIRECT("'"&amp;$D$11&amp;"'!kostentotaal_2048"),0)
+IFERROR(INDIRECT("'"&amp;$D$12&amp;"'!kostentotaal_2048"),0)
+IFERROR(INDIRECT("'"&amp;$D$13&amp;"'!kostentotaal_2048"),0)
+IFERROR(INDIRECT("'"&amp;$D$14&amp;"'!kostentotaal_2048"),0)
+IFERROR(INDIRECT("'"&amp;$D$15&amp;"'!kostentotaal_2048"),0)
+IFERROR(INDIRECT("'"&amp;$D$16&amp;"'!kostentotaal_2048"),0)
+IFERROR(INDIRECT("'"&amp;$D$17&amp;"'!kostentotaal_2048"),0)
+IFERROR(INDIRECT("'"&amp;$D$18&amp;"'!kostentotaal_2048"),0)
+IFERROR(INDIRECT("'"&amp;$D$19&amp;"'!kostentotaal_2048"),0)
+IFERROR(INDIRECT("'"&amp;$D$20&amp;"'!kostentotaal_2048"),0)
+IFERROR(INDIRECT("'"&amp;$D$21&amp;"'!kostentotaal_2048"),0)
+IFERROR(INDIRECT("'"&amp;$D$22&amp;"'!kostentotaal_2048"),0)
+IFERROR(INDIRECT("'"&amp;$D$23&amp;"'!kostentotaal_2048"),0)
+IFERROR(INDIRECT("'"&amp;$D$24&amp;"'!kostentotaal_2048"),0)
+IFERROR(INDIRECT("'"&amp;$D$25&amp;"'!kostentotaal_2048"),0)
+IFERROR(INDIRECT("'"&amp;$D$26&amp;"'!kostentotaal_2048"),0)
+IFERROR(INDIRECT("'"&amp;$D$27&amp;"'!kostentotaal_2048"),0)
+IFERROR(INDIRECT("'"&amp;$D$28&amp;"'!kostentotaal_2048"),0)
+IFERROR(INDIRECT("'"&amp;$D$29&amp;"'!kostentotaal_2048"),0)
+IFERROR(INDIRECT("'"&amp;$D$30&amp;"'!kostentotaal_2048"),0)
+IFERROR(INDIRECT("'"&amp;$D$31&amp;"'!kostentotaal_2048"),0)
+IFERROR(INDIRECT("'"&amp;$D$32&amp;"'!kostentotaal_2048"),0)
+IFERROR(INDIRECT("'"&amp;$D$33&amp;"'!kostentotaal_2048"),0)
+IFERROR(INDIRECT("'"&amp;$D$34&amp;"'!kostentotaal_2048"),0)
+IFERROR(INDIRECT("'"&amp;$D$35&amp;"'!kostentotaal_2048"),0)
+IFERROR(INDIRECT("'"&amp;$D$36&amp;"'!kostentotaal_2048"),0)
+IFERROR(INDIRECT("'"&amp;$D$37&amp;"'!kostentotaal_2048"),0)
+IFERROR(INDIRECT("'"&amp;$D$38&amp;"'!kostentotaal_2048"),0)
+IFERROR(INDIRECT("'"&amp;$D$39&amp;"'!kostentotaal_2048"),0)
+IFERROR(INDIRECT("'"&amp;$D$40&amp;"'!kostentotaal_2048"),0)
+IFERROR(INDIRECT("'"&amp;$D$41&amp;"'!kostentotaal_2048"),0)
+IFERROR(INDIRECT("'"&amp;$D$42&amp;"'!kostentotaal_2048"),0)
+IFERROR(INDIRECT("'"&amp;$D$43&amp;"'!kostentotaal_2048"),0)
+IFERROR(INDIRECT("'"&amp;$D$44&amp;"'!kostentotaal_2048"),0)
+IFERROR(INDIRECT("'"&amp;$D$45&amp;"'!kostentotaal_2048"),0)
+IFERROR(INDIRECT("'"&amp;$D$46&amp;"'!kostentotaal_2048"),0)
+IFERROR(INDIRECT("'"&amp;$D$47&amp;"'!kostentotaal_2048"),0)
+IFERROR(INDIRECT("'"&amp;$D$48&amp;"'!kostentotaal_2048"),0)
+IFERROR(INDIRECT("'"&amp;$D$49&amp;"'!kostentotaal_2048"),0)
+IFERROR(INDIRECT("'"&amp;$D$50&amp;"'!kostentotaal_2048"),0)
+IFERROR(INDIRECT("'"&amp;$D$51&amp;"'!kostentotaal_2048"),0)
+IFERROR(INDIRECT("'"&amp;$D$52&amp;"'!kostentotaal_2048"),0)
+IFERROR(INDIRECT("'"&amp;$D$53&amp;"'!kostentotaal_2048"),0)
+IFERROR(INDIRECT("'"&amp;$D$54&amp;"'!kostentotaal_2048"),0)
+Nieuwbouw!AI56</f>
        <v>135950.38598257903</v>
      </c>
      <c r="AM45" s="320">
        <f ca="1">+IFERROR(INDIRECT("'"&amp;$D$5&amp;"'!kostentotaal_2049"),0)
+IFERROR(INDIRECT("'"&amp;$D$6&amp;"'!kostentotaal_2049"),0)
+IFERROR(INDIRECT("'"&amp;$D$7&amp;"'!kostentotaal_2049"),0)
+IFERROR(INDIRECT("'"&amp;$D$8&amp;"'!kostentotaal_2049"),0)
+IFERROR(INDIRECT("'"&amp;$D$9&amp;"'!kostentotaal_2049"),0)
+IFERROR(INDIRECT("'"&amp;$D$10&amp;"'!kostentotaal_2049"),0)
+IFERROR(INDIRECT("'"&amp;$D$11&amp;"'!kostentotaal_2049"),0)
+IFERROR(INDIRECT("'"&amp;$D$12&amp;"'!kostentotaal_2049"),0)
+IFERROR(INDIRECT("'"&amp;$D$13&amp;"'!kostentotaal_2049"),0)
+IFERROR(INDIRECT("'"&amp;$D$14&amp;"'!kostentotaal_2049"),0)
+IFERROR(INDIRECT("'"&amp;$D$15&amp;"'!kostentotaal_2049"),0)
+IFERROR(INDIRECT("'"&amp;$D$16&amp;"'!kostentotaal_2049"),0)
+IFERROR(INDIRECT("'"&amp;$D$17&amp;"'!kostentotaal_2049"),0)
+IFERROR(INDIRECT("'"&amp;$D$18&amp;"'!kostentotaal_2049"),0)
+IFERROR(INDIRECT("'"&amp;$D$19&amp;"'!kostentotaal_2049"),0)
+IFERROR(INDIRECT("'"&amp;$D$20&amp;"'!kostentotaal_2049"),0)
+IFERROR(INDIRECT("'"&amp;$D$21&amp;"'!kostentotaal_2049"),0)
+IFERROR(INDIRECT("'"&amp;$D$22&amp;"'!kostentotaal_2049"),0)
+IFERROR(INDIRECT("'"&amp;$D$23&amp;"'!kostentotaal_2049"),0)
+IFERROR(INDIRECT("'"&amp;$D$24&amp;"'!kostentotaal_2049"),0)
+IFERROR(INDIRECT("'"&amp;$D$25&amp;"'!kostentotaal_2049"),0)
+IFERROR(INDIRECT("'"&amp;$D$26&amp;"'!kostentotaal_2049"),0)
+IFERROR(INDIRECT("'"&amp;$D$27&amp;"'!kostentotaal_2049"),0)
+IFERROR(INDIRECT("'"&amp;$D$28&amp;"'!kostentotaal_2049"),0)
+IFERROR(INDIRECT("'"&amp;$D$29&amp;"'!kostentotaal_2049"),0)
+IFERROR(INDIRECT("'"&amp;$D$30&amp;"'!kostentotaal_2049"),0)
+IFERROR(INDIRECT("'"&amp;$D$31&amp;"'!kostentotaal_2049"),0)
+IFERROR(INDIRECT("'"&amp;$D$32&amp;"'!kostentotaal_2049"),0)
+IFERROR(INDIRECT("'"&amp;$D$33&amp;"'!kostentotaal_2049"),0)
+IFERROR(INDIRECT("'"&amp;$D$34&amp;"'!kostentotaal_2049"),0)
+IFERROR(INDIRECT("'"&amp;$D$35&amp;"'!kostentotaal_2049"),0)
+IFERROR(INDIRECT("'"&amp;$D$36&amp;"'!kostentotaal_2049"),0)
+IFERROR(INDIRECT("'"&amp;$D$37&amp;"'!kostentotaal_2049"),0)
+IFERROR(INDIRECT("'"&amp;$D$38&amp;"'!kostentotaal_2049"),0)
+IFERROR(INDIRECT("'"&amp;$D$39&amp;"'!kostentotaal_2049"),0)
+IFERROR(INDIRECT("'"&amp;$D$40&amp;"'!kostentotaal_2049"),0)
+IFERROR(INDIRECT("'"&amp;$D$41&amp;"'!kostentotaal_2049"),0)
+IFERROR(INDIRECT("'"&amp;$D$42&amp;"'!kostentotaal_2049"),0)
+IFERROR(INDIRECT("'"&amp;$D$43&amp;"'!kostentotaal_2049"),0)
+IFERROR(INDIRECT("'"&amp;$D$44&amp;"'!kostentotaal_2049"),0)
+IFERROR(INDIRECT("'"&amp;$D$45&amp;"'!kostentotaal_2049"),0)
+IFERROR(INDIRECT("'"&amp;$D$46&amp;"'!kostentotaal_2049"),0)
+IFERROR(INDIRECT("'"&amp;$D$47&amp;"'!kostentotaal_2049"),0)
+IFERROR(INDIRECT("'"&amp;$D$48&amp;"'!kostentotaal_2049"),0)
+IFERROR(INDIRECT("'"&amp;$D$49&amp;"'!kostentotaal_2049"),0)
+IFERROR(INDIRECT("'"&amp;$D$50&amp;"'!kostentotaal_2049"),0)
+IFERROR(INDIRECT("'"&amp;$D$51&amp;"'!kostentotaal_2049"),0)
+IFERROR(INDIRECT("'"&amp;$D$52&amp;"'!kostentotaal_2049"),0)
+IFERROR(INDIRECT("'"&amp;$D$53&amp;"'!kostentotaal_2049"),0)
+IFERROR(INDIRECT("'"&amp;$D$54&amp;"'!kostentotaal_2049"),0)
+Nieuwbouw!AJ56</f>
        <v>135950.38598257903</v>
      </c>
      <c r="AN45" s="320">
        <f ca="1">+IFERROR(INDIRECT("'"&amp;$D$5&amp;"'!kostentotaal_2050"),0)
+IFERROR(INDIRECT("'"&amp;$D$6&amp;"'!kostentotaal_2050"),0)
+IFERROR(INDIRECT("'"&amp;$D$7&amp;"'!kostentotaal_2050"),0)
+IFERROR(INDIRECT("'"&amp;$D$8&amp;"'!kostentotaal_2050"),0)
+IFERROR(INDIRECT("'"&amp;$D$9&amp;"'!kostentotaal_2050"),0)
+IFERROR(INDIRECT("'"&amp;$D$10&amp;"'!kostentotaal_2050"),0)
+IFERROR(INDIRECT("'"&amp;$D$11&amp;"'!kostentotaal_2050"),0)
+IFERROR(INDIRECT("'"&amp;$D$12&amp;"'!kostentotaal_2050"),0)
+IFERROR(INDIRECT("'"&amp;$D$13&amp;"'!kostentotaal_2050"),0)
+IFERROR(INDIRECT("'"&amp;$D$14&amp;"'!kostentotaal_2050"),0)
+IFERROR(INDIRECT("'"&amp;$D$15&amp;"'!kostentotaal_2050"),0)
+IFERROR(INDIRECT("'"&amp;$D$16&amp;"'!kostentotaal_2050"),0)
+IFERROR(INDIRECT("'"&amp;$D$17&amp;"'!kostentotaal_2050"),0)
+IFERROR(INDIRECT("'"&amp;$D$18&amp;"'!kostentotaal_2050"),0)
+IFERROR(INDIRECT("'"&amp;$D$19&amp;"'!kostentotaal_2050"),0)
+IFERROR(INDIRECT("'"&amp;$D$20&amp;"'!kostentotaal_2050"),0)
+IFERROR(INDIRECT("'"&amp;$D$21&amp;"'!kostentotaal_2050"),0)
+IFERROR(INDIRECT("'"&amp;$D$22&amp;"'!kostentotaal_2050"),0)
+IFERROR(INDIRECT("'"&amp;$D$23&amp;"'!kostentotaal_2050"),0)
+IFERROR(INDIRECT("'"&amp;$D$24&amp;"'!kostentotaal_2050"),0)
+IFERROR(INDIRECT("'"&amp;$D$25&amp;"'!kostentotaal_2050"),0)
+IFERROR(INDIRECT("'"&amp;$D$26&amp;"'!kostentotaal_2050"),0)
+IFERROR(INDIRECT("'"&amp;$D$27&amp;"'!kostentotaal_2050"),0)
+IFERROR(INDIRECT("'"&amp;$D$28&amp;"'!kostentotaal_2050"),0)
+IFERROR(INDIRECT("'"&amp;$D$29&amp;"'!kostentotaal_2050"),0)
+IFERROR(INDIRECT("'"&amp;$D$30&amp;"'!kostentotaal_2050"),0)
+IFERROR(INDIRECT("'"&amp;$D$31&amp;"'!kostentotaal_2050"),0)
+IFERROR(INDIRECT("'"&amp;$D$32&amp;"'!kostentotaal_2050"),0)
+IFERROR(INDIRECT("'"&amp;$D$33&amp;"'!kostentotaal_2050"),0)
+IFERROR(INDIRECT("'"&amp;$D$34&amp;"'!kostentotaal_2050"),0)
+IFERROR(INDIRECT("'"&amp;$D$35&amp;"'!kostentotaal_2050"),0)
+IFERROR(INDIRECT("'"&amp;$D$36&amp;"'!kostentotaal_2050"),0)
+IFERROR(INDIRECT("'"&amp;$D$37&amp;"'!kostentotaal_2050"),0)
+IFERROR(INDIRECT("'"&amp;$D$38&amp;"'!kostentotaal_2050"),0)
+IFERROR(INDIRECT("'"&amp;$D$39&amp;"'!kostentotaal_2050"),0)
+IFERROR(INDIRECT("'"&amp;$D$40&amp;"'!kostentotaal_2050"),0)
+IFERROR(INDIRECT("'"&amp;$D$41&amp;"'!kostentotaal_2050"),0)
+IFERROR(INDIRECT("'"&amp;$D$42&amp;"'!kostentotaal_2050"),0)
+IFERROR(INDIRECT("'"&amp;$D$43&amp;"'!kostentotaal_2050"),0)
+IFERROR(INDIRECT("'"&amp;$D$44&amp;"'!kostentotaal_2050"),0)
+IFERROR(INDIRECT("'"&amp;$D$45&amp;"'!kostentotaal_2050"),0)
+IFERROR(INDIRECT("'"&amp;$D$46&amp;"'!kostentotaal_2050"),0)
+IFERROR(INDIRECT("'"&amp;$D$47&amp;"'!kostentotaal_2050"),0)
+IFERROR(INDIRECT("'"&amp;$D$48&amp;"'!kostentotaal_2050"),0)
+IFERROR(INDIRECT("'"&amp;$D$49&amp;"'!kostentotaal_2050"),0)
+IFERROR(INDIRECT("'"&amp;$D$50&amp;"'!kostentotaal_2050"),0)
+IFERROR(INDIRECT("'"&amp;$D$51&amp;"'!kostentotaal_2050"),0)
+IFERROR(INDIRECT("'"&amp;$D$52&amp;"'!kostentotaal_2050"),0)
+IFERROR(INDIRECT("'"&amp;$D$53&amp;"'!kostentotaal_2050"),0)
+IFERROR(INDIRECT("'"&amp;$D$54&amp;"'!kostentotaal_2050"),0)
+Nieuwbouw!AK56</f>
        <v>135950.38598257903</v>
      </c>
      <c r="AO45" s="8"/>
    </row>
    <row r="46" spans="2:41" ht="18.75">
      <c r="B46" s="8"/>
      <c r="C46" s="279" t="s">
        <v>83</v>
      </c>
      <c r="D46" s="115"/>
      <c r="E46" s="8"/>
      <c r="F46" s="8"/>
      <c r="G46" s="296" t="s">
        <v>388</v>
      </c>
      <c r="H46" s="321">
        <f ca="1">+IFERROR(INDIRECT("'"&amp;$D$5&amp;"'!invest_2018"),0)
+IFERROR(INDIRECT("'"&amp;$D$6&amp;"'!invest_2018"),0)
+IFERROR(INDIRECT("'"&amp;$D$7&amp;"'!invest_2018"),0)
+IFERROR(INDIRECT("'"&amp;$D$8&amp;"'!invest_2018"),0)
+IFERROR(INDIRECT("'"&amp;$D$9&amp;"'!invest_2018"),0)
+IFERROR(INDIRECT("'"&amp;$D$10&amp;"'!invest_2018"),0)
+IFERROR(INDIRECT("'"&amp;$D$11&amp;"'!invest_2018"),0)
+IFERROR(INDIRECT("'"&amp;$D$12&amp;"'!invest_2018"),0)
+IFERROR(INDIRECT("'"&amp;$D$13&amp;"'!invest_2018"),0)
+IFERROR(INDIRECT("'"&amp;$D$14&amp;"'!invest_2018"),0)
+IFERROR(INDIRECT("'"&amp;$D$15&amp;"'!invest_2018"),0)
+IFERROR(INDIRECT("'"&amp;$D$16&amp;"'!invest_2018"),0)
+IFERROR(INDIRECT("'"&amp;$D$17&amp;"'!invest_2018"),0)
+IFERROR(INDIRECT("'"&amp;$D$18&amp;"'!invest_2018"),0)
+IFERROR(INDIRECT("'"&amp;$D$19&amp;"'!invest_2018"),0)
+IFERROR(INDIRECT("'"&amp;$D$20&amp;"'!invest_2018"),0)
+IFERROR(INDIRECT("'"&amp;$D$21&amp;"'!invest_2018"),0)
+IFERROR(INDIRECT("'"&amp;$D$22&amp;"'!invest_2018"),0)
+IFERROR(INDIRECT("'"&amp;$D$23&amp;"'!invest_2018"),0)
+IFERROR(INDIRECT("'"&amp;$D$24&amp;"'!invest_2018"),0)
+IFERROR(INDIRECT("'"&amp;$D$25&amp;"'!invest_2018"),0)
+IFERROR(INDIRECT("'"&amp;$D$26&amp;"'!invest_2018"),0)
+IFERROR(INDIRECT("'"&amp;$D$27&amp;"'!invest_2018"),0)
+IFERROR(INDIRECT("'"&amp;$D$28&amp;"'!invest_2018"),0)
+IFERROR(INDIRECT("'"&amp;$D$29&amp;"'!invest_2018"),0)
+IFERROR(INDIRECT("'"&amp;$D$30&amp;"'!invest_2018"),0)
+IFERROR(INDIRECT("'"&amp;$D$31&amp;"'!invest_2018"),0)
+IFERROR(INDIRECT("'"&amp;$D$32&amp;"'!invest_2018"),0)
+IFERROR(INDIRECT("'"&amp;$D$33&amp;"'!invest_2018"),0)
+IFERROR(INDIRECT("'"&amp;$D$34&amp;"'!invest_2018"),0)
+IFERROR(INDIRECT("'"&amp;$D$35&amp;"'!invest_2018"),0)
+IFERROR(INDIRECT("'"&amp;$D$36&amp;"'!invest_2018"),0)
+IFERROR(INDIRECT("'"&amp;$D$37&amp;"'!invest_2018"),0)
+IFERROR(INDIRECT("'"&amp;$D$38&amp;"'!invest_2018"),0)
+IFERROR(INDIRECT("'"&amp;$D$39&amp;"'!invest_2018"),0)
+IFERROR(INDIRECT("'"&amp;$D$40&amp;"'!invest_2018"),0)
+IFERROR(INDIRECT("'"&amp;$D$41&amp;"'!invest_2018"),0)
+IFERROR(INDIRECT("'"&amp;$D$42&amp;"'!invest_2018"),0)
+IFERROR(INDIRECT("'"&amp;$D$43&amp;"'!invest_2018"),0)
+IFERROR(INDIRECT("'"&amp;$D$44&amp;"'!invest_2018"),0)
+IFERROR(INDIRECT("'"&amp;$D$45&amp;"'!invest_2018"),0)
+IFERROR(INDIRECT("'"&amp;$D$46&amp;"'!invest_2018"),0)
+IFERROR(INDIRECT("'"&amp;$D$47&amp;"'!invest_2018"),0)
+IFERROR(INDIRECT("'"&amp;$D$48&amp;"'!invest_2018"),0)
+IFERROR(INDIRECT("'"&amp;$D$49&amp;"'!invest_2018"),0)
+IFERROR(INDIRECT("'"&amp;$D$50&amp;"'!invest_2018"),0)
+IFERROR(INDIRECT("'"&amp;$D$51&amp;"'!invest_2018"),0)
+IFERROR(INDIRECT("'"&amp;$D$52&amp;"'!invest_2018"),0)
+IFERROR(INDIRECT("'"&amp;$D$53&amp;"'!invest_2018"),0)
+IFERROR(INDIRECT("'"&amp;$D$54&amp;"'!invest_2018"),0)</f>
        <v>0</v>
      </c>
      <c r="I46" s="321">
        <f ca="1">+IFERROR(INDIRECT("'"&amp;$D$5&amp;"'!invest_2019"),0)
+IFERROR(INDIRECT("'"&amp;$D$6&amp;"'!invest_2019"),0)
+IFERROR(INDIRECT("'"&amp;$D$7&amp;"'!invest_2019"),0)
+IFERROR(INDIRECT("'"&amp;$D$8&amp;"'!invest_2019"),0)
+IFERROR(INDIRECT("'"&amp;$D$9&amp;"'!invest_2019"),0)
+IFERROR(INDIRECT("'"&amp;$D$10&amp;"'!invest_2019"),0)
+IFERROR(INDIRECT("'"&amp;$D$11&amp;"'!invest_2019"),0)
+IFERROR(INDIRECT("'"&amp;$D$12&amp;"'!invest_2019"),0)
+IFERROR(INDIRECT("'"&amp;$D$13&amp;"'!invest_2019"),0)
+IFERROR(INDIRECT("'"&amp;$D$14&amp;"'!invest_2019"),0)
+IFERROR(INDIRECT("'"&amp;$D$15&amp;"'!invest_2019"),0)
+IFERROR(INDIRECT("'"&amp;$D$16&amp;"'!invest_2019"),0)
+IFERROR(INDIRECT("'"&amp;$D$17&amp;"'!invest_2019"),0)
+IFERROR(INDIRECT("'"&amp;$D$18&amp;"'!invest_2019"),0)
+IFERROR(INDIRECT("'"&amp;$D$19&amp;"'!invest_2019"),0)
+IFERROR(INDIRECT("'"&amp;$D$20&amp;"'!invest_2019"),0)
+IFERROR(INDIRECT("'"&amp;$D$21&amp;"'!invest_2019"),0)
+IFERROR(INDIRECT("'"&amp;$D$22&amp;"'!invest_2019"),0)
+IFERROR(INDIRECT("'"&amp;$D$23&amp;"'!invest_2019"),0)
+IFERROR(INDIRECT("'"&amp;$D$24&amp;"'!invest_2019"),0)
+IFERROR(INDIRECT("'"&amp;$D$25&amp;"'!invest_2019"),0)
+IFERROR(INDIRECT("'"&amp;$D$26&amp;"'!invest_2019"),0)
+IFERROR(INDIRECT("'"&amp;$D$27&amp;"'!invest_2019"),0)
+IFERROR(INDIRECT("'"&amp;$D$28&amp;"'!invest_2019"),0)
+IFERROR(INDIRECT("'"&amp;$D$29&amp;"'!invest_2019"),0)
+IFERROR(INDIRECT("'"&amp;$D$30&amp;"'!invest_2019"),0)
+IFERROR(INDIRECT("'"&amp;$D$31&amp;"'!invest_2019"),0)
+IFERROR(INDIRECT("'"&amp;$D$32&amp;"'!invest_2019"),0)
+IFERROR(INDIRECT("'"&amp;$D$33&amp;"'!invest_2019"),0)
+IFERROR(INDIRECT("'"&amp;$D$34&amp;"'!invest_2019"),0)
+IFERROR(INDIRECT("'"&amp;$D$35&amp;"'!invest_2019"),0)
+IFERROR(INDIRECT("'"&amp;$D$36&amp;"'!invest_2019"),0)
+IFERROR(INDIRECT("'"&amp;$D$37&amp;"'!invest_2019"),0)
+IFERROR(INDIRECT("'"&amp;$D$38&amp;"'!invest_2019"),0)
+IFERROR(INDIRECT("'"&amp;$D$39&amp;"'!invest_2019"),0)
+IFERROR(INDIRECT("'"&amp;$D$40&amp;"'!invest_2019"),0)
+IFERROR(INDIRECT("'"&amp;$D$41&amp;"'!invest_2019"),0)
+IFERROR(INDIRECT("'"&amp;$D$42&amp;"'!invest_2019"),0)
+IFERROR(INDIRECT("'"&amp;$D$43&amp;"'!invest_2019"),0)
+IFERROR(INDIRECT("'"&amp;$D$44&amp;"'!invest_2019"),0)
+IFERROR(INDIRECT("'"&amp;$D$45&amp;"'!invest_2019"),0)
+IFERROR(INDIRECT("'"&amp;$D$46&amp;"'!invest_2019"),0)
+IFERROR(INDIRECT("'"&amp;$D$47&amp;"'!invest_2019"),0)
+IFERROR(INDIRECT("'"&amp;$D$48&amp;"'!invest_2019"),0)
+IFERROR(INDIRECT("'"&amp;$D$49&amp;"'!invest_2019"),0)
+IFERROR(INDIRECT("'"&amp;$D$50&amp;"'!invest_2019"),0)
+IFERROR(INDIRECT("'"&amp;$D$51&amp;"'!invest_2019"),0)
+IFERROR(INDIRECT("'"&amp;$D$52&amp;"'!invest_2019"),0)
+IFERROR(INDIRECT("'"&amp;$D$53&amp;"'!invest_2019"),0)
+IFERROR(INDIRECT("'"&amp;$D$54&amp;"'!invest_2019"),0)</f>
        <v>0</v>
      </c>
      <c r="J46" s="321">
        <f ca="1">+IFERROR(INDIRECT("'"&amp;$D$5&amp;"'!invest_2020"),0)
+IFERROR(INDIRECT("'"&amp;$D$6&amp;"'!invest_2020"),0)
+IFERROR(INDIRECT("'"&amp;$D$7&amp;"'!invest_2020"),0)
+IFERROR(INDIRECT("'"&amp;$D$8&amp;"'!invest_2020"),0)
+IFERROR(INDIRECT("'"&amp;$D$9&amp;"'!invest_2020"),0)
+IFERROR(INDIRECT("'"&amp;$D$10&amp;"'!invest_2020"),0)
+IFERROR(INDIRECT("'"&amp;$D$11&amp;"'!invest_2020"),0)
+IFERROR(INDIRECT("'"&amp;$D$12&amp;"'!invest_2020"),0)
+IFERROR(INDIRECT("'"&amp;$D$13&amp;"'!invest_2020"),0)
+IFERROR(INDIRECT("'"&amp;$D$14&amp;"'!invest_2020"),0)
+IFERROR(INDIRECT("'"&amp;$D$15&amp;"'!invest_2020"),0)
+IFERROR(INDIRECT("'"&amp;$D$16&amp;"'!invest_2020"),0)
+IFERROR(INDIRECT("'"&amp;$D$17&amp;"'!invest_2020"),0)
+IFERROR(INDIRECT("'"&amp;$D$18&amp;"'!invest_2020"),0)
+IFERROR(INDIRECT("'"&amp;$D$19&amp;"'!invest_2020"),0)
+IFERROR(INDIRECT("'"&amp;$D$20&amp;"'!invest_2020"),0)
+IFERROR(INDIRECT("'"&amp;$D$21&amp;"'!invest_2020"),0)
+IFERROR(INDIRECT("'"&amp;$D$22&amp;"'!invest_2020"),0)
+IFERROR(INDIRECT("'"&amp;$D$23&amp;"'!invest_2020"),0)
+IFERROR(INDIRECT("'"&amp;$D$24&amp;"'!invest_2020"),0)
+IFERROR(INDIRECT("'"&amp;$D$25&amp;"'!invest_2020"),0)
+IFERROR(INDIRECT("'"&amp;$D$26&amp;"'!invest_2020"),0)
+IFERROR(INDIRECT("'"&amp;$D$27&amp;"'!invest_2020"),0)
+IFERROR(INDIRECT("'"&amp;$D$28&amp;"'!invest_2020"),0)
+IFERROR(INDIRECT("'"&amp;$D$29&amp;"'!invest_2020"),0)
+IFERROR(INDIRECT("'"&amp;$D$30&amp;"'!invest_2020"),0)
+IFERROR(INDIRECT("'"&amp;$D$31&amp;"'!invest_2020"),0)
+IFERROR(INDIRECT("'"&amp;$D$32&amp;"'!invest_2020"),0)
+IFERROR(INDIRECT("'"&amp;$D$33&amp;"'!invest_2020"),0)
+IFERROR(INDIRECT("'"&amp;$D$34&amp;"'!invest_2020"),0)
+IFERROR(INDIRECT("'"&amp;$D$35&amp;"'!invest_2020"),0)
+IFERROR(INDIRECT("'"&amp;$D$36&amp;"'!invest_2020"),0)
+IFERROR(INDIRECT("'"&amp;$D$37&amp;"'!invest_2020"),0)
+IFERROR(INDIRECT("'"&amp;$D$38&amp;"'!invest_2020"),0)
+IFERROR(INDIRECT("'"&amp;$D$39&amp;"'!invest_2020"),0)
+IFERROR(INDIRECT("'"&amp;$D$40&amp;"'!invest_2020"),0)
+IFERROR(INDIRECT("'"&amp;$D$41&amp;"'!invest_2020"),0)
+IFERROR(INDIRECT("'"&amp;$D$42&amp;"'!invest_2020"),0)
+IFERROR(INDIRECT("'"&amp;$D$43&amp;"'!invest_2020"),0)
+IFERROR(INDIRECT("'"&amp;$D$44&amp;"'!invest_2020"),0)
+IFERROR(INDIRECT("'"&amp;$D$45&amp;"'!invest_2020"),0)
+IFERROR(INDIRECT("'"&amp;$D$46&amp;"'!invest_2020"),0)
+IFERROR(INDIRECT("'"&amp;$D$47&amp;"'!invest_2020"),0)
+IFERROR(INDIRECT("'"&amp;$D$48&amp;"'!invest_2020"),0)
+IFERROR(INDIRECT("'"&amp;$D$49&amp;"'!invest_2020"),0)
+IFERROR(INDIRECT("'"&amp;$D$50&amp;"'!invest_2020"),0)
+IFERROR(INDIRECT("'"&amp;$D$51&amp;"'!invest_2020"),0)
+IFERROR(INDIRECT("'"&amp;$D$52&amp;"'!invest_2020"),0)
+IFERROR(INDIRECT("'"&amp;$D$53&amp;"'!invest_2020"),0)
+IFERROR(INDIRECT("'"&amp;$D$54&amp;"'!invest_2020"),0)</f>
        <v>0</v>
      </c>
      <c r="K46" s="321">
        <f ca="1">+IFERROR(INDIRECT("'"&amp;$D$5&amp;"'!invest_2021"),0)
+IFERROR(INDIRECT("'"&amp;$D$6&amp;"'!invest_2021"),0)
+IFERROR(INDIRECT("'"&amp;$D$7&amp;"'!invest_2021"),0)
+IFERROR(INDIRECT("'"&amp;$D$8&amp;"'!invest_2021"),0)
+IFERROR(INDIRECT("'"&amp;$D$9&amp;"'!invest_2021"),0)
+IFERROR(INDIRECT("'"&amp;$D$10&amp;"'!invest_2021"),0)
+IFERROR(INDIRECT("'"&amp;$D$11&amp;"'!invest_2021"),0)
+IFERROR(INDIRECT("'"&amp;$D$12&amp;"'!invest_2021"),0)
+IFERROR(INDIRECT("'"&amp;$D$13&amp;"'!invest_2021"),0)
+IFERROR(INDIRECT("'"&amp;$D$14&amp;"'!invest_2021"),0)
+IFERROR(INDIRECT("'"&amp;$D$15&amp;"'!invest_2021"),0)
+IFERROR(INDIRECT("'"&amp;$D$16&amp;"'!invest_2021"),0)
+IFERROR(INDIRECT("'"&amp;$D$17&amp;"'!invest_2021"),0)
+IFERROR(INDIRECT("'"&amp;$D$18&amp;"'!invest_2021"),0)
+IFERROR(INDIRECT("'"&amp;$D$19&amp;"'!invest_2021"),0)
+IFERROR(INDIRECT("'"&amp;$D$20&amp;"'!invest_2021"),0)
+IFERROR(INDIRECT("'"&amp;$D$21&amp;"'!invest_2021"),0)
+IFERROR(INDIRECT("'"&amp;$D$22&amp;"'!invest_2021"),0)
+IFERROR(INDIRECT("'"&amp;$D$23&amp;"'!invest_2021"),0)
+IFERROR(INDIRECT("'"&amp;$D$24&amp;"'!invest_2021"),0)
+IFERROR(INDIRECT("'"&amp;$D$25&amp;"'!invest_2021"),0)
+IFERROR(INDIRECT("'"&amp;$D$26&amp;"'!invest_2021"),0)
+IFERROR(INDIRECT("'"&amp;$D$27&amp;"'!invest_2021"),0)
+IFERROR(INDIRECT("'"&amp;$D$28&amp;"'!invest_2021"),0)
+IFERROR(INDIRECT("'"&amp;$D$29&amp;"'!invest_2021"),0)
+IFERROR(INDIRECT("'"&amp;$D$30&amp;"'!invest_2021"),0)
+IFERROR(INDIRECT("'"&amp;$D$31&amp;"'!invest_2021"),0)
+IFERROR(INDIRECT("'"&amp;$D$32&amp;"'!invest_2021"),0)
+IFERROR(INDIRECT("'"&amp;$D$33&amp;"'!invest_2021"),0)
+IFERROR(INDIRECT("'"&amp;$D$34&amp;"'!invest_2021"),0)
+IFERROR(INDIRECT("'"&amp;$D$35&amp;"'!invest_2021"),0)
+IFERROR(INDIRECT("'"&amp;$D$36&amp;"'!invest_2021"),0)
+IFERROR(INDIRECT("'"&amp;$D$37&amp;"'!invest_2021"),0)
+IFERROR(INDIRECT("'"&amp;$D$38&amp;"'!invest_2021"),0)
+IFERROR(INDIRECT("'"&amp;$D$39&amp;"'!invest_2021"),0)
+IFERROR(INDIRECT("'"&amp;$D$40&amp;"'!invest_2021"),0)
+IFERROR(INDIRECT("'"&amp;$D$41&amp;"'!invest_2021"),0)
+IFERROR(INDIRECT("'"&amp;$D$42&amp;"'!invest_2021"),0)
+IFERROR(INDIRECT("'"&amp;$D$43&amp;"'!invest_2021"),0)
+IFERROR(INDIRECT("'"&amp;$D$44&amp;"'!invest_2021"),0)
+IFERROR(INDIRECT("'"&amp;$D$45&amp;"'!invest_2021"),0)
+IFERROR(INDIRECT("'"&amp;$D$46&amp;"'!invest_2021"),0)
+IFERROR(INDIRECT("'"&amp;$D$47&amp;"'!invest_2021"),0)
+IFERROR(INDIRECT("'"&amp;$D$48&amp;"'!invest_2021"),0)
+IFERROR(INDIRECT("'"&amp;$D$49&amp;"'!invest_2021"),0)
+IFERROR(INDIRECT("'"&amp;$D$50&amp;"'!invest_2021"),0)
+IFERROR(INDIRECT("'"&amp;$D$51&amp;"'!invest_2021"),0)
+IFERROR(INDIRECT("'"&amp;$D$52&amp;"'!invest_2021"),0)
+IFERROR(INDIRECT("'"&amp;$D$53&amp;"'!invest_2021"),0)
+IFERROR(INDIRECT("'"&amp;$D$54&amp;"'!invest_2021"),0)</f>
        <v>0</v>
      </c>
      <c r="L46" s="321">
        <f ca="1">+IFERROR(INDIRECT("'"&amp;$D$5&amp;"'!invest_2022"),0)
+IFERROR(INDIRECT("'"&amp;$D$6&amp;"'!invest_2022"),0)
+IFERROR(INDIRECT("'"&amp;$D$7&amp;"'!invest_2022"),0)
+IFERROR(INDIRECT("'"&amp;$D$8&amp;"'!invest_2022"),0)
+IFERROR(INDIRECT("'"&amp;$D$9&amp;"'!invest_2022"),0)
+IFERROR(INDIRECT("'"&amp;$D$10&amp;"'!invest_2022"),0)
+IFERROR(INDIRECT("'"&amp;$D$11&amp;"'!invest_2022"),0)
+IFERROR(INDIRECT("'"&amp;$D$12&amp;"'!invest_2022"),0)
+IFERROR(INDIRECT("'"&amp;$D$13&amp;"'!invest_2022"),0)
+IFERROR(INDIRECT("'"&amp;$D$14&amp;"'!invest_2022"),0)
+IFERROR(INDIRECT("'"&amp;$D$15&amp;"'!invest_2022"),0)
+IFERROR(INDIRECT("'"&amp;$D$16&amp;"'!invest_2022"),0)
+IFERROR(INDIRECT("'"&amp;$D$17&amp;"'!invest_2022"),0)
+IFERROR(INDIRECT("'"&amp;$D$18&amp;"'!invest_2022"),0)
+IFERROR(INDIRECT("'"&amp;$D$19&amp;"'!invest_2022"),0)
+IFERROR(INDIRECT("'"&amp;$D$20&amp;"'!invest_2022"),0)
+IFERROR(INDIRECT("'"&amp;$D$21&amp;"'!invest_2022"),0)
+IFERROR(INDIRECT("'"&amp;$D$22&amp;"'!invest_2022"),0)
+IFERROR(INDIRECT("'"&amp;$D$23&amp;"'!invest_2022"),0)
+IFERROR(INDIRECT("'"&amp;$D$24&amp;"'!invest_2022"),0)
+IFERROR(INDIRECT("'"&amp;$D$25&amp;"'!invest_2022"),0)
+IFERROR(INDIRECT("'"&amp;$D$26&amp;"'!invest_2022"),0)
+IFERROR(INDIRECT("'"&amp;$D$27&amp;"'!invest_2022"),0)
+IFERROR(INDIRECT("'"&amp;$D$28&amp;"'!invest_2022"),0)
+IFERROR(INDIRECT("'"&amp;$D$29&amp;"'!invest_2022"),0)
+IFERROR(INDIRECT("'"&amp;$D$30&amp;"'!invest_2022"),0)
+IFERROR(INDIRECT("'"&amp;$D$31&amp;"'!invest_2022"),0)
+IFERROR(INDIRECT("'"&amp;$D$32&amp;"'!invest_2022"),0)
+IFERROR(INDIRECT("'"&amp;$D$33&amp;"'!invest_2022"),0)
+IFERROR(INDIRECT("'"&amp;$D$34&amp;"'!invest_2022"),0)
+IFERROR(INDIRECT("'"&amp;$D$35&amp;"'!invest_2022"),0)
+IFERROR(INDIRECT("'"&amp;$D$36&amp;"'!invest_2022"),0)
+IFERROR(INDIRECT("'"&amp;$D$37&amp;"'!invest_2022"),0)
+IFERROR(INDIRECT("'"&amp;$D$38&amp;"'!invest_2022"),0)
+IFERROR(INDIRECT("'"&amp;$D$39&amp;"'!invest_2022"),0)
+IFERROR(INDIRECT("'"&amp;$D$40&amp;"'!invest_2022"),0)
+IFERROR(INDIRECT("'"&amp;$D$41&amp;"'!invest_2022"),0)
+IFERROR(INDIRECT("'"&amp;$D$42&amp;"'!invest_2022"),0)
+IFERROR(INDIRECT("'"&amp;$D$43&amp;"'!invest_2022"),0)
+IFERROR(INDIRECT("'"&amp;$D$44&amp;"'!invest_2022"),0)
+IFERROR(INDIRECT("'"&amp;$D$45&amp;"'!invest_2022"),0)
+IFERROR(INDIRECT("'"&amp;$D$46&amp;"'!invest_2022"),0)
+IFERROR(INDIRECT("'"&amp;$D$47&amp;"'!invest_2022"),0)
+IFERROR(INDIRECT("'"&amp;$D$48&amp;"'!invest_2022"),0)
+IFERROR(INDIRECT("'"&amp;$D$49&amp;"'!invest_2022"),0)
+IFERROR(INDIRECT("'"&amp;$D$50&amp;"'!invest_2022"),0)
+IFERROR(INDIRECT("'"&amp;$D$51&amp;"'!invest_2022"),0)
+IFERROR(INDIRECT("'"&amp;$D$52&amp;"'!invest_2022"),0)
+IFERROR(INDIRECT("'"&amp;$D$53&amp;"'!invest_2022"),0)
+IFERROR(INDIRECT("'"&amp;$D$54&amp;"'!invest_2022"),0)</f>
        <v>0</v>
      </c>
      <c r="M46" s="321">
        <f ca="1">+IFERROR(INDIRECT("'"&amp;$D$5&amp;"'!invest_2023"),0)
+IFERROR(INDIRECT("'"&amp;$D$6&amp;"'!invest_2023"),0)
+IFERROR(INDIRECT("'"&amp;$D$7&amp;"'!invest_2023"),0)
+IFERROR(INDIRECT("'"&amp;$D$8&amp;"'!invest_2023"),0)
+IFERROR(INDIRECT("'"&amp;$D$9&amp;"'!invest_2023"),0)
+IFERROR(INDIRECT("'"&amp;$D$10&amp;"'!invest_2023"),0)
+IFERROR(INDIRECT("'"&amp;$D$11&amp;"'!invest_2023"),0)
+IFERROR(INDIRECT("'"&amp;$D$12&amp;"'!invest_2023"),0)
+IFERROR(INDIRECT("'"&amp;$D$13&amp;"'!invest_2023"),0)
+IFERROR(INDIRECT("'"&amp;$D$14&amp;"'!invest_2023"),0)
+IFERROR(INDIRECT("'"&amp;$D$15&amp;"'!invest_2023"),0)
+IFERROR(INDIRECT("'"&amp;$D$16&amp;"'!invest_2023"),0)
+IFERROR(INDIRECT("'"&amp;$D$17&amp;"'!invest_2023"),0)
+IFERROR(INDIRECT("'"&amp;$D$18&amp;"'!invest_2023"),0)
+IFERROR(INDIRECT("'"&amp;$D$19&amp;"'!invest_2023"),0)
+IFERROR(INDIRECT("'"&amp;$D$20&amp;"'!invest_2023"),0)
+IFERROR(INDIRECT("'"&amp;$D$21&amp;"'!invest_2023"),0)
+IFERROR(INDIRECT("'"&amp;$D$22&amp;"'!invest_2023"),0)
+IFERROR(INDIRECT("'"&amp;$D$23&amp;"'!invest_2023"),0)
+IFERROR(INDIRECT("'"&amp;$D$24&amp;"'!invest_2023"),0)
+IFERROR(INDIRECT("'"&amp;$D$25&amp;"'!invest_2023"),0)
+IFERROR(INDIRECT("'"&amp;$D$26&amp;"'!invest_2023"),0)
+IFERROR(INDIRECT("'"&amp;$D$27&amp;"'!invest_2023"),0)
+IFERROR(INDIRECT("'"&amp;$D$28&amp;"'!invest_2023"),0)
+IFERROR(INDIRECT("'"&amp;$D$29&amp;"'!invest_2023"),0)
+IFERROR(INDIRECT("'"&amp;$D$30&amp;"'!invest_2023"),0)
+IFERROR(INDIRECT("'"&amp;$D$31&amp;"'!invest_2023"),0)
+IFERROR(INDIRECT("'"&amp;$D$32&amp;"'!invest_2023"),0)
+IFERROR(INDIRECT("'"&amp;$D$33&amp;"'!invest_2023"),0)
+IFERROR(INDIRECT("'"&amp;$D$34&amp;"'!invest_2023"),0)
+IFERROR(INDIRECT("'"&amp;$D$35&amp;"'!invest_2023"),0)
+IFERROR(INDIRECT("'"&amp;$D$36&amp;"'!invest_2023"),0)
+IFERROR(INDIRECT("'"&amp;$D$37&amp;"'!invest_2023"),0)
+IFERROR(INDIRECT("'"&amp;$D$38&amp;"'!invest_2023"),0)
+IFERROR(INDIRECT("'"&amp;$D$39&amp;"'!invest_2023"),0)
+IFERROR(INDIRECT("'"&amp;$D$40&amp;"'!invest_2023"),0)
+IFERROR(INDIRECT("'"&amp;$D$41&amp;"'!invest_2023"),0)
+IFERROR(INDIRECT("'"&amp;$D$42&amp;"'!invest_2023"),0)
+IFERROR(INDIRECT("'"&amp;$D$43&amp;"'!invest_2023"),0)
+IFERROR(INDIRECT("'"&amp;$D$44&amp;"'!invest_2023"),0)
+IFERROR(INDIRECT("'"&amp;$D$45&amp;"'!invest_2023"),0)
+IFERROR(INDIRECT("'"&amp;$D$46&amp;"'!invest_2023"),0)
+IFERROR(INDIRECT("'"&amp;$D$47&amp;"'!invest_2023"),0)
+IFERROR(INDIRECT("'"&amp;$D$48&amp;"'!invest_2023"),0)
+IFERROR(INDIRECT("'"&amp;$D$49&amp;"'!invest_2023"),0)
+IFERROR(INDIRECT("'"&amp;$D$50&amp;"'!invest_2023"),0)
+IFERROR(INDIRECT("'"&amp;$D$51&amp;"'!invest_2023"),0)
+IFERROR(INDIRECT("'"&amp;$D$52&amp;"'!invest_2023"),0)
+IFERROR(INDIRECT("'"&amp;$D$53&amp;"'!invest_2023"),0)
+IFERROR(INDIRECT("'"&amp;$D$54&amp;"'!invest_2023"),0)</f>
        <v>1300192.1816</v>
      </c>
      <c r="N46" s="321">
        <f ca="1">+IFERROR(INDIRECT("'"&amp;$D$5&amp;"'!invest_2024"),0)
+IFERROR(INDIRECT("'"&amp;$D$6&amp;"'!invest_2024"),0)
+IFERROR(INDIRECT("'"&amp;$D$7&amp;"'!invest_2024"),0)
+IFERROR(INDIRECT("'"&amp;$D$8&amp;"'!invest_2024"),0)
+IFERROR(INDIRECT("'"&amp;$D$9&amp;"'!invest_2024"),0)
+IFERROR(INDIRECT("'"&amp;$D$10&amp;"'!invest_2024"),0)
+IFERROR(INDIRECT("'"&amp;$D$11&amp;"'!invest_2024"),0)
+IFERROR(INDIRECT("'"&amp;$D$12&amp;"'!invest_2024"),0)
+IFERROR(INDIRECT("'"&amp;$D$13&amp;"'!invest_2024"),0)
+IFERROR(INDIRECT("'"&amp;$D$14&amp;"'!invest_2024"),0)
+IFERROR(INDIRECT("'"&amp;$D$15&amp;"'!invest_2024"),0)
+IFERROR(INDIRECT("'"&amp;$D$16&amp;"'!invest_2024"),0)
+IFERROR(INDIRECT("'"&amp;$D$17&amp;"'!invest_2024"),0)
+IFERROR(INDIRECT("'"&amp;$D$18&amp;"'!invest_2024"),0)
+IFERROR(INDIRECT("'"&amp;$D$19&amp;"'!invest_2024"),0)
+IFERROR(INDIRECT("'"&amp;$D$20&amp;"'!invest_2024"),0)
+IFERROR(INDIRECT("'"&amp;$D$21&amp;"'!invest_2024"),0)
+IFERROR(INDIRECT("'"&amp;$D$22&amp;"'!invest_2024"),0)
+IFERROR(INDIRECT("'"&amp;$D$23&amp;"'!invest_2024"),0)
+IFERROR(INDIRECT("'"&amp;$D$24&amp;"'!invest_2024"),0)
+IFERROR(INDIRECT("'"&amp;$D$25&amp;"'!invest_2024"),0)
+IFERROR(INDIRECT("'"&amp;$D$26&amp;"'!invest_2024"),0)
+IFERROR(INDIRECT("'"&amp;$D$27&amp;"'!invest_2024"),0)
+IFERROR(INDIRECT("'"&amp;$D$28&amp;"'!invest_2024"),0)
+IFERROR(INDIRECT("'"&amp;$D$29&amp;"'!invest_2024"),0)
+IFERROR(INDIRECT("'"&amp;$D$30&amp;"'!invest_2024"),0)
+IFERROR(INDIRECT("'"&amp;$D$31&amp;"'!invest_2024"),0)
+IFERROR(INDIRECT("'"&amp;$D$32&amp;"'!invest_2024"),0)
+IFERROR(INDIRECT("'"&amp;$D$33&amp;"'!invest_2024"),0)
+IFERROR(INDIRECT("'"&amp;$D$34&amp;"'!invest_2024"),0)
+IFERROR(INDIRECT("'"&amp;$D$35&amp;"'!invest_2024"),0)
+IFERROR(INDIRECT("'"&amp;$D$36&amp;"'!invest_2024"),0)
+IFERROR(INDIRECT("'"&amp;$D$37&amp;"'!invest_2024"),0)
+IFERROR(INDIRECT("'"&amp;$D$38&amp;"'!invest_2024"),0)
+IFERROR(INDIRECT("'"&amp;$D$39&amp;"'!invest_2024"),0)
+IFERROR(INDIRECT("'"&amp;$D$40&amp;"'!invest_2024"),0)
+IFERROR(INDIRECT("'"&amp;$D$41&amp;"'!invest_2024"),0)
+IFERROR(INDIRECT("'"&amp;$D$42&amp;"'!invest_2024"),0)
+IFERROR(INDIRECT("'"&amp;$D$43&amp;"'!invest_2024"),0)
+IFERROR(INDIRECT("'"&amp;$D$44&amp;"'!invest_2024"),0)
+IFERROR(INDIRECT("'"&amp;$D$45&amp;"'!invest_2024"),0)
+IFERROR(INDIRECT("'"&amp;$D$46&amp;"'!invest_2024"),0)
+IFERROR(INDIRECT("'"&amp;$D$47&amp;"'!invest_2024"),0)
+IFERROR(INDIRECT("'"&amp;$D$48&amp;"'!invest_2024"),0)
+IFERROR(INDIRECT("'"&amp;$D$49&amp;"'!invest_2024"),0)
+IFERROR(INDIRECT("'"&amp;$D$50&amp;"'!invest_2024"),0)
+IFERROR(INDIRECT("'"&amp;$D$51&amp;"'!invest_2024"),0)
+IFERROR(INDIRECT("'"&amp;$D$52&amp;"'!invest_2024"),0)
+IFERROR(INDIRECT("'"&amp;$D$53&amp;"'!invest_2024"),0)
+IFERROR(INDIRECT("'"&amp;$D$54&amp;"'!invest_2024"),0)</f>
        <v>166449.67359999998</v>
      </c>
      <c r="O46" s="321">
        <f ca="1">+IFERROR(INDIRECT("'"&amp;$D$5&amp;"'!invest_2025"),0)
+IFERROR(INDIRECT("'"&amp;$D$6&amp;"'!invest_2025"),0)
+IFERROR(INDIRECT("'"&amp;$D$7&amp;"'!invest_2025"),0)
+IFERROR(INDIRECT("'"&amp;$D$8&amp;"'!invest_2025"),0)
+IFERROR(INDIRECT("'"&amp;$D$9&amp;"'!invest_2025"),0)
+IFERROR(INDIRECT("'"&amp;$D$10&amp;"'!invest_2025"),0)
+IFERROR(INDIRECT("'"&amp;$D$11&amp;"'!invest_2025"),0)
+IFERROR(INDIRECT("'"&amp;$D$12&amp;"'!invest_2025"),0)
+IFERROR(INDIRECT("'"&amp;$D$13&amp;"'!invest_2025"),0)
+IFERROR(INDIRECT("'"&amp;$D$14&amp;"'!invest_2025"),0)
+IFERROR(INDIRECT("'"&amp;$D$15&amp;"'!invest_2025"),0)
+IFERROR(INDIRECT("'"&amp;$D$16&amp;"'!invest_2025"),0)
+IFERROR(INDIRECT("'"&amp;$D$17&amp;"'!invest_2025"),0)
+IFERROR(INDIRECT("'"&amp;$D$18&amp;"'!invest_2025"),0)
+IFERROR(INDIRECT("'"&amp;$D$19&amp;"'!invest_2025"),0)
+IFERROR(INDIRECT("'"&amp;$D$20&amp;"'!invest_2025"),0)
+IFERROR(INDIRECT("'"&amp;$D$21&amp;"'!invest_2025"),0)
+IFERROR(INDIRECT("'"&amp;$D$22&amp;"'!invest_2025"),0)
+IFERROR(INDIRECT("'"&amp;$D$23&amp;"'!invest_2025"),0)
+IFERROR(INDIRECT("'"&amp;$D$24&amp;"'!invest_2025"),0)
+IFERROR(INDIRECT("'"&amp;$D$25&amp;"'!invest_2025"),0)
+IFERROR(INDIRECT("'"&amp;$D$26&amp;"'!invest_2025"),0)
+IFERROR(INDIRECT("'"&amp;$D$27&amp;"'!invest_2025"),0)
+IFERROR(INDIRECT("'"&amp;$D$28&amp;"'!invest_2025"),0)
+IFERROR(INDIRECT("'"&amp;$D$29&amp;"'!invest_2025"),0)
+IFERROR(INDIRECT("'"&amp;$D$30&amp;"'!invest_2025"),0)
+IFERROR(INDIRECT("'"&amp;$D$31&amp;"'!invest_2025"),0)
+IFERROR(INDIRECT("'"&amp;$D$32&amp;"'!invest_2025"),0)
+IFERROR(INDIRECT("'"&amp;$D$33&amp;"'!invest_2025"),0)
+IFERROR(INDIRECT("'"&amp;$D$34&amp;"'!invest_2025"),0)
+IFERROR(INDIRECT("'"&amp;$D$35&amp;"'!invest_2025"),0)
+IFERROR(INDIRECT("'"&amp;$D$36&amp;"'!invest_2025"),0)
+IFERROR(INDIRECT("'"&amp;$D$37&amp;"'!invest_2025"),0)
+IFERROR(INDIRECT("'"&amp;$D$38&amp;"'!invest_2025"),0)
+IFERROR(INDIRECT("'"&amp;$D$39&amp;"'!invest_2025"),0)
+IFERROR(INDIRECT("'"&amp;$D$40&amp;"'!invest_2025"),0)
+IFERROR(INDIRECT("'"&amp;$D$41&amp;"'!invest_2025"),0)
+IFERROR(INDIRECT("'"&amp;$D$42&amp;"'!invest_2025"),0)
+IFERROR(INDIRECT("'"&amp;$D$43&amp;"'!invest_2025"),0)
+IFERROR(INDIRECT("'"&amp;$D$44&amp;"'!invest_2025"),0)
+IFERROR(INDIRECT("'"&amp;$D$45&amp;"'!invest_2025"),0)
+IFERROR(INDIRECT("'"&amp;$D$46&amp;"'!invest_2025"),0)
+IFERROR(INDIRECT("'"&amp;$D$47&amp;"'!invest_2025"),0)
+IFERROR(INDIRECT("'"&amp;$D$48&amp;"'!invest_2025"),0)
+IFERROR(INDIRECT("'"&amp;$D$49&amp;"'!invest_2025"),0)
+IFERROR(INDIRECT("'"&amp;$D$50&amp;"'!invest_2025"),0)
+IFERROR(INDIRECT("'"&amp;$D$51&amp;"'!invest_2025"),0)
+IFERROR(INDIRECT("'"&amp;$D$52&amp;"'!invest_2025"),0)
+IFERROR(INDIRECT("'"&amp;$D$53&amp;"'!invest_2025"),0)
+IFERROR(INDIRECT("'"&amp;$D$54&amp;"'!invest_2025"),0)</f>
        <v>441061.83880000003</v>
      </c>
      <c r="P46" s="321">
        <f ca="1">+IFERROR(INDIRECT("'"&amp;$D$5&amp;"'!invest_2026"),0)
+IFERROR(INDIRECT("'"&amp;$D$6&amp;"'!invest_2026"),0)
+IFERROR(INDIRECT("'"&amp;$D$7&amp;"'!invest_2026"),0)
+IFERROR(INDIRECT("'"&amp;$D$8&amp;"'!invest_2026"),0)
+IFERROR(INDIRECT("'"&amp;$D$9&amp;"'!invest_2026"),0)
+IFERROR(INDIRECT("'"&amp;$D$10&amp;"'!invest_2026"),0)
+IFERROR(INDIRECT("'"&amp;$D$11&amp;"'!invest_2026"),0)
+IFERROR(INDIRECT("'"&amp;$D$12&amp;"'!invest_2026"),0)
+IFERROR(INDIRECT("'"&amp;$D$13&amp;"'!invest_2026"),0)
+IFERROR(INDIRECT("'"&amp;$D$14&amp;"'!invest_2026"),0)
+IFERROR(INDIRECT("'"&amp;$D$15&amp;"'!invest_2026"),0)
+IFERROR(INDIRECT("'"&amp;$D$16&amp;"'!invest_2026"),0)
+IFERROR(INDIRECT("'"&amp;$D$17&amp;"'!invest_2026"),0)
+IFERROR(INDIRECT("'"&amp;$D$18&amp;"'!invest_2026"),0)
+IFERROR(INDIRECT("'"&amp;$D$19&amp;"'!invest_2026"),0)
+IFERROR(INDIRECT("'"&amp;$D$20&amp;"'!invest_2026"),0)
+IFERROR(INDIRECT("'"&amp;$D$21&amp;"'!invest_2026"),0)
+IFERROR(INDIRECT("'"&amp;$D$22&amp;"'!invest_2026"),0)
+IFERROR(INDIRECT("'"&amp;$D$23&amp;"'!invest_2026"),0)
+IFERROR(INDIRECT("'"&amp;$D$24&amp;"'!invest_2026"),0)
+IFERROR(INDIRECT("'"&amp;$D$25&amp;"'!invest_2026"),0)
+IFERROR(INDIRECT("'"&amp;$D$26&amp;"'!invest_2026"),0)
+IFERROR(INDIRECT("'"&amp;$D$27&amp;"'!invest_2026"),0)
+IFERROR(INDIRECT("'"&amp;$D$28&amp;"'!invest_2026"),0)
+IFERROR(INDIRECT("'"&amp;$D$29&amp;"'!invest_2026"),0)
+IFERROR(INDIRECT("'"&amp;$D$30&amp;"'!invest_2026"),0)
+IFERROR(INDIRECT("'"&amp;$D$31&amp;"'!invest_2026"),0)
+IFERROR(INDIRECT("'"&amp;$D$32&amp;"'!invest_2026"),0)
+IFERROR(INDIRECT("'"&amp;$D$33&amp;"'!invest_2026"),0)
+IFERROR(INDIRECT("'"&amp;$D$34&amp;"'!invest_2026"),0)
+IFERROR(INDIRECT("'"&amp;$D$35&amp;"'!invest_2026"),0)
+IFERROR(INDIRECT("'"&amp;$D$36&amp;"'!invest_2026"),0)
+IFERROR(INDIRECT("'"&amp;$D$37&amp;"'!invest_2026"),0)
+IFERROR(INDIRECT("'"&amp;$D$38&amp;"'!invest_2026"),0)
+IFERROR(INDIRECT("'"&amp;$D$39&amp;"'!invest_2026"),0)
+IFERROR(INDIRECT("'"&amp;$D$40&amp;"'!invest_2026"),0)
+IFERROR(INDIRECT("'"&amp;$D$41&amp;"'!invest_2026"),0)
+IFERROR(INDIRECT("'"&amp;$D$42&amp;"'!invest_2026"),0)
+IFERROR(INDIRECT("'"&amp;$D$43&amp;"'!invest_2026"),0)
+IFERROR(INDIRECT("'"&amp;$D$44&amp;"'!invest_2026"),0)
+IFERROR(INDIRECT("'"&amp;$D$45&amp;"'!invest_2026"),0)
+IFERROR(INDIRECT("'"&amp;$D$46&amp;"'!invest_2026"),0)
+IFERROR(INDIRECT("'"&amp;$D$47&amp;"'!invest_2026"),0)
+IFERROR(INDIRECT("'"&amp;$D$48&amp;"'!invest_2026"),0)
+IFERROR(INDIRECT("'"&amp;$D$49&amp;"'!invest_2026"),0)
+IFERROR(INDIRECT("'"&amp;$D$50&amp;"'!invest_2026"),0)
+IFERROR(INDIRECT("'"&amp;$D$51&amp;"'!invest_2026"),0)
+IFERROR(INDIRECT("'"&amp;$D$52&amp;"'!invest_2026"),0)
+IFERROR(INDIRECT("'"&amp;$D$53&amp;"'!invest_2026"),0)
+IFERROR(INDIRECT("'"&amp;$D$54&amp;"'!invest_2026"),0)</f>
        <v>45683.020799999998</v>
      </c>
      <c r="Q46" s="321">
        <f ca="1">+IFERROR(INDIRECT("'"&amp;$D$5&amp;"'!invest_2027"),0)
+IFERROR(INDIRECT("'"&amp;$D$6&amp;"'!invest_2027"),0)
+IFERROR(INDIRECT("'"&amp;$D$7&amp;"'!invest_2027"),0)
+IFERROR(INDIRECT("'"&amp;$D$8&amp;"'!invest_2027"),0)
+IFERROR(INDIRECT("'"&amp;$D$9&amp;"'!invest_2027"),0)
+IFERROR(INDIRECT("'"&amp;$D$10&amp;"'!invest_2027"),0)
+IFERROR(INDIRECT("'"&amp;$D$11&amp;"'!invest_2027"),0)
+IFERROR(INDIRECT("'"&amp;$D$12&amp;"'!invest_2027"),0)
+IFERROR(INDIRECT("'"&amp;$D$13&amp;"'!invest_2027"),0)
+IFERROR(INDIRECT("'"&amp;$D$14&amp;"'!invest_2027"),0)
+IFERROR(INDIRECT("'"&amp;$D$15&amp;"'!invest_2027"),0)
+IFERROR(INDIRECT("'"&amp;$D$16&amp;"'!invest_2027"),0)
+IFERROR(INDIRECT("'"&amp;$D$17&amp;"'!invest_2027"),0)
+IFERROR(INDIRECT("'"&amp;$D$18&amp;"'!invest_2027"),0)
+IFERROR(INDIRECT("'"&amp;$D$19&amp;"'!invest_2027"),0)
+IFERROR(INDIRECT("'"&amp;$D$20&amp;"'!invest_2027"),0)
+IFERROR(INDIRECT("'"&amp;$D$21&amp;"'!invest_2027"),0)
+IFERROR(INDIRECT("'"&amp;$D$22&amp;"'!invest_2027"),0)
+IFERROR(INDIRECT("'"&amp;$D$23&amp;"'!invest_2027"),0)
+IFERROR(INDIRECT("'"&amp;$D$24&amp;"'!invest_2027"),0)
+IFERROR(INDIRECT("'"&amp;$D$25&amp;"'!invest_2027"),0)
+IFERROR(INDIRECT("'"&amp;$D$26&amp;"'!invest_2027"),0)
+IFERROR(INDIRECT("'"&amp;$D$27&amp;"'!invest_2027"),0)
+IFERROR(INDIRECT("'"&amp;$D$28&amp;"'!invest_2027"),0)
+IFERROR(INDIRECT("'"&amp;$D$29&amp;"'!invest_2027"),0)
+IFERROR(INDIRECT("'"&amp;$D$30&amp;"'!invest_2027"),0)
+IFERROR(INDIRECT("'"&amp;$D$31&amp;"'!invest_2027"),0)
+IFERROR(INDIRECT("'"&amp;$D$32&amp;"'!invest_2027"),0)
+IFERROR(INDIRECT("'"&amp;$D$33&amp;"'!invest_2027"),0)
+IFERROR(INDIRECT("'"&amp;$D$34&amp;"'!invest_2027"),0)
+IFERROR(INDIRECT("'"&amp;$D$35&amp;"'!invest_2027"),0)
+IFERROR(INDIRECT("'"&amp;$D$36&amp;"'!invest_2027"),0)
+IFERROR(INDIRECT("'"&amp;$D$37&amp;"'!invest_2027"),0)
+IFERROR(INDIRECT("'"&amp;$D$38&amp;"'!invest_2027"),0)
+IFERROR(INDIRECT("'"&amp;$D$39&amp;"'!invest_2027"),0)
+IFERROR(INDIRECT("'"&amp;$D$40&amp;"'!invest_2027"),0)
+IFERROR(INDIRECT("'"&amp;$D$41&amp;"'!invest_2027"),0)
+IFERROR(INDIRECT("'"&amp;$D$42&amp;"'!invest_2027"),0)
+IFERROR(INDIRECT("'"&amp;$D$43&amp;"'!invest_2027"),0)
+IFERROR(INDIRECT("'"&amp;$D$44&amp;"'!invest_2027"),0)
+IFERROR(INDIRECT("'"&amp;$D$45&amp;"'!invest_2027"),0)
+IFERROR(INDIRECT("'"&amp;$D$46&amp;"'!invest_2027"),0)
+IFERROR(INDIRECT("'"&amp;$D$47&amp;"'!invest_2027"),0)
+IFERROR(INDIRECT("'"&amp;$D$48&amp;"'!invest_2027"),0)
+IFERROR(INDIRECT("'"&amp;$D$49&amp;"'!invest_2027"),0)
+IFERROR(INDIRECT("'"&amp;$D$50&amp;"'!invest_2027"),0)
+IFERROR(INDIRECT("'"&amp;$D$51&amp;"'!invest_2027"),0)
+IFERROR(INDIRECT("'"&amp;$D$52&amp;"'!invest_2027"),0)
+IFERROR(INDIRECT("'"&amp;$D$53&amp;"'!invest_2027"),0)
+IFERROR(INDIRECT("'"&amp;$D$54&amp;"'!invest_2027"),0)</f>
        <v>42637.516799999998</v>
      </c>
      <c r="R46" s="321">
        <f ca="1">+IFERROR(INDIRECT("'"&amp;$D$5&amp;"'!invest_2028"),0)
+IFERROR(INDIRECT("'"&amp;$D$6&amp;"'!invest_2028"),0)
+IFERROR(INDIRECT("'"&amp;$D$7&amp;"'!invest_2028"),0)
+IFERROR(INDIRECT("'"&amp;$D$8&amp;"'!invest_2028"),0)
+IFERROR(INDIRECT("'"&amp;$D$9&amp;"'!invest_2028"),0)
+IFERROR(INDIRECT("'"&amp;$D$10&amp;"'!invest_2028"),0)
+IFERROR(INDIRECT("'"&amp;$D$11&amp;"'!invest_2028"),0)
+IFERROR(INDIRECT("'"&amp;$D$12&amp;"'!invest_2028"),0)
+IFERROR(INDIRECT("'"&amp;$D$13&amp;"'!invest_2028"),0)
+IFERROR(INDIRECT("'"&amp;$D$14&amp;"'!invest_2028"),0)
+IFERROR(INDIRECT("'"&amp;$D$15&amp;"'!invest_2028"),0)
+IFERROR(INDIRECT("'"&amp;$D$16&amp;"'!invest_2028"),0)
+IFERROR(INDIRECT("'"&amp;$D$17&amp;"'!invest_2028"),0)
+IFERROR(INDIRECT("'"&amp;$D$18&amp;"'!invest_2028"),0)
+IFERROR(INDIRECT("'"&amp;$D$19&amp;"'!invest_2028"),0)
+IFERROR(INDIRECT("'"&amp;$D$20&amp;"'!invest_2028"),0)
+IFERROR(INDIRECT("'"&amp;$D$21&amp;"'!invest_2028"),0)
+IFERROR(INDIRECT("'"&amp;$D$22&amp;"'!invest_2028"),0)
+IFERROR(INDIRECT("'"&amp;$D$23&amp;"'!invest_2028"),0)
+IFERROR(INDIRECT("'"&amp;$D$24&amp;"'!invest_2028"),0)
+IFERROR(INDIRECT("'"&amp;$D$25&amp;"'!invest_2028"),0)
+IFERROR(INDIRECT("'"&amp;$D$26&amp;"'!invest_2028"),0)
+IFERROR(INDIRECT("'"&amp;$D$27&amp;"'!invest_2028"),0)
+IFERROR(INDIRECT("'"&amp;$D$28&amp;"'!invest_2028"),0)
+IFERROR(INDIRECT("'"&amp;$D$29&amp;"'!invest_2028"),0)
+IFERROR(INDIRECT("'"&amp;$D$30&amp;"'!invest_2028"),0)
+IFERROR(INDIRECT("'"&amp;$D$31&amp;"'!invest_2028"),0)
+IFERROR(INDIRECT("'"&amp;$D$32&amp;"'!invest_2028"),0)
+IFERROR(INDIRECT("'"&amp;$D$33&amp;"'!invest_2028"),0)
+IFERROR(INDIRECT("'"&amp;$D$34&amp;"'!invest_2028"),0)
+IFERROR(INDIRECT("'"&amp;$D$35&amp;"'!invest_2028"),0)
+IFERROR(INDIRECT("'"&amp;$D$36&amp;"'!invest_2028"),0)
+IFERROR(INDIRECT("'"&amp;$D$37&amp;"'!invest_2028"),0)
+IFERROR(INDIRECT("'"&amp;$D$38&amp;"'!invest_2028"),0)
+IFERROR(INDIRECT("'"&amp;$D$39&amp;"'!invest_2028"),0)
+IFERROR(INDIRECT("'"&amp;$D$40&amp;"'!invest_2028"),0)
+IFERROR(INDIRECT("'"&amp;$D$41&amp;"'!invest_2028"),0)
+IFERROR(INDIRECT("'"&amp;$D$42&amp;"'!invest_2028"),0)
+IFERROR(INDIRECT("'"&amp;$D$43&amp;"'!invest_2028"),0)
+IFERROR(INDIRECT("'"&amp;$D$44&amp;"'!invest_2028"),0)
+IFERROR(INDIRECT("'"&amp;$D$45&amp;"'!invest_2028"),0)
+IFERROR(INDIRECT("'"&amp;$D$46&amp;"'!invest_2028"),0)
+IFERROR(INDIRECT("'"&amp;$D$47&amp;"'!invest_2028"),0)
+IFERROR(INDIRECT("'"&amp;$D$48&amp;"'!invest_2028"),0)
+IFERROR(INDIRECT("'"&amp;$D$49&amp;"'!invest_2028"),0)
+IFERROR(INDIRECT("'"&amp;$D$50&amp;"'!invest_2028"),0)
+IFERROR(INDIRECT("'"&amp;$D$51&amp;"'!invest_2028"),0)
+IFERROR(INDIRECT("'"&amp;$D$52&amp;"'!invest_2028"),0)
+IFERROR(INDIRECT("'"&amp;$D$53&amp;"'!invest_2028"),0)
+IFERROR(INDIRECT("'"&amp;$D$54&amp;"'!invest_2028"),0)</f>
        <v>13219.516799999999</v>
      </c>
      <c r="S46" s="321">
        <f ca="1">+IFERROR(INDIRECT("'"&amp;$D$5&amp;"'!invest_2029"),0)
+IFERROR(INDIRECT("'"&amp;$D$6&amp;"'!invest_2029"),0)
+IFERROR(INDIRECT("'"&amp;$D$7&amp;"'!invest_2029"),0)
+IFERROR(INDIRECT("'"&amp;$D$8&amp;"'!invest_2029"),0)
+IFERROR(INDIRECT("'"&amp;$D$9&amp;"'!invest_2029"),0)
+IFERROR(INDIRECT("'"&amp;$D$10&amp;"'!invest_2029"),0)
+IFERROR(INDIRECT("'"&amp;$D$11&amp;"'!invest_2029"),0)
+IFERROR(INDIRECT("'"&amp;$D$12&amp;"'!invest_2029"),0)
+IFERROR(INDIRECT("'"&amp;$D$13&amp;"'!invest_2029"),0)
+IFERROR(INDIRECT("'"&amp;$D$14&amp;"'!invest_2029"),0)
+IFERROR(INDIRECT("'"&amp;$D$15&amp;"'!invest_2029"),0)
+IFERROR(INDIRECT("'"&amp;$D$16&amp;"'!invest_2029"),0)
+IFERROR(INDIRECT("'"&amp;$D$17&amp;"'!invest_2029"),0)
+IFERROR(INDIRECT("'"&amp;$D$18&amp;"'!invest_2029"),0)
+IFERROR(INDIRECT("'"&amp;$D$19&amp;"'!invest_2029"),0)
+IFERROR(INDIRECT("'"&amp;$D$20&amp;"'!invest_2029"),0)
+IFERROR(INDIRECT("'"&amp;$D$21&amp;"'!invest_2029"),0)
+IFERROR(INDIRECT("'"&amp;$D$22&amp;"'!invest_2029"),0)
+IFERROR(INDIRECT("'"&amp;$D$23&amp;"'!invest_2029"),0)
+IFERROR(INDIRECT("'"&amp;$D$24&amp;"'!invest_2029"),0)
+IFERROR(INDIRECT("'"&amp;$D$25&amp;"'!invest_2029"),0)
+IFERROR(INDIRECT("'"&amp;$D$26&amp;"'!invest_2029"),0)
+IFERROR(INDIRECT("'"&amp;$D$27&amp;"'!invest_2029"),0)
+IFERROR(INDIRECT("'"&amp;$D$28&amp;"'!invest_2029"),0)
+IFERROR(INDIRECT("'"&amp;$D$29&amp;"'!invest_2029"),0)
+IFERROR(INDIRECT("'"&amp;$D$30&amp;"'!invest_2029"),0)
+IFERROR(INDIRECT("'"&amp;$D$31&amp;"'!invest_2029"),0)
+IFERROR(INDIRECT("'"&amp;$D$32&amp;"'!invest_2029"),0)
+IFERROR(INDIRECT("'"&amp;$D$33&amp;"'!invest_2029"),0)
+IFERROR(INDIRECT("'"&amp;$D$34&amp;"'!invest_2029"),0)
+IFERROR(INDIRECT("'"&amp;$D$35&amp;"'!invest_2029"),0)
+IFERROR(INDIRECT("'"&amp;$D$36&amp;"'!invest_2029"),0)
+IFERROR(INDIRECT("'"&amp;$D$37&amp;"'!invest_2029"),0)
+IFERROR(INDIRECT("'"&amp;$D$38&amp;"'!invest_2029"),0)
+IFERROR(INDIRECT("'"&amp;$D$39&amp;"'!invest_2029"),0)
+IFERROR(INDIRECT("'"&amp;$D$40&amp;"'!invest_2029"),0)
+IFERROR(INDIRECT("'"&amp;$D$41&amp;"'!invest_2029"),0)
+IFERROR(INDIRECT("'"&amp;$D$42&amp;"'!invest_2029"),0)
+IFERROR(INDIRECT("'"&amp;$D$43&amp;"'!invest_2029"),0)
+IFERROR(INDIRECT("'"&amp;$D$44&amp;"'!invest_2029"),0)
+IFERROR(INDIRECT("'"&amp;$D$45&amp;"'!invest_2029"),0)
+IFERROR(INDIRECT("'"&amp;$D$46&amp;"'!invest_2029"),0)
+IFERROR(INDIRECT("'"&amp;$D$47&amp;"'!invest_2029"),0)
+IFERROR(INDIRECT("'"&amp;$D$48&amp;"'!invest_2029"),0)
+IFERROR(INDIRECT("'"&amp;$D$49&amp;"'!invest_2029"),0)
+IFERROR(INDIRECT("'"&amp;$D$50&amp;"'!invest_2029"),0)
+IFERROR(INDIRECT("'"&amp;$D$51&amp;"'!invest_2029"),0)
+IFERROR(INDIRECT("'"&amp;$D$52&amp;"'!invest_2029"),0)
+IFERROR(INDIRECT("'"&amp;$D$53&amp;"'!invest_2029"),0)
+IFERROR(INDIRECT("'"&amp;$D$54&amp;"'!invest_2029"),0)</f>
        <v>13219.516799999999</v>
      </c>
      <c r="T46" s="321">
        <f ca="1">+IFERROR(INDIRECT("'"&amp;$D$5&amp;"'!invest_2030"),0)
+IFERROR(INDIRECT("'"&amp;$D$6&amp;"'!invest_2030"),0)
+IFERROR(INDIRECT("'"&amp;$D$7&amp;"'!invest_2030"),0)
+IFERROR(INDIRECT("'"&amp;$D$8&amp;"'!invest_2030"),0)
+IFERROR(INDIRECT("'"&amp;$D$9&amp;"'!invest_2030"),0)
+IFERROR(INDIRECT("'"&amp;$D$10&amp;"'!invest_2030"),0)
+IFERROR(INDIRECT("'"&amp;$D$11&amp;"'!invest_2030"),0)
+IFERROR(INDIRECT("'"&amp;$D$12&amp;"'!invest_2030"),0)
+IFERROR(INDIRECT("'"&amp;$D$13&amp;"'!invest_2030"),0)
+IFERROR(INDIRECT("'"&amp;$D$14&amp;"'!invest_2030"),0)
+IFERROR(INDIRECT("'"&amp;$D$15&amp;"'!invest_2030"),0)
+IFERROR(INDIRECT("'"&amp;$D$16&amp;"'!invest_2030"),0)
+IFERROR(INDIRECT("'"&amp;$D$17&amp;"'!invest_2030"),0)
+IFERROR(INDIRECT("'"&amp;$D$18&amp;"'!invest_2030"),0)
+IFERROR(INDIRECT("'"&amp;$D$19&amp;"'!invest_2030"),0)
+IFERROR(INDIRECT("'"&amp;$D$20&amp;"'!invest_2030"),0)
+IFERROR(INDIRECT("'"&amp;$D$21&amp;"'!invest_2030"),0)
+IFERROR(INDIRECT("'"&amp;$D$22&amp;"'!invest_2030"),0)
+IFERROR(INDIRECT("'"&amp;$D$23&amp;"'!invest_2030"),0)
+IFERROR(INDIRECT("'"&amp;$D$24&amp;"'!invest_2030"),0)
+IFERROR(INDIRECT("'"&amp;$D$25&amp;"'!invest_2030"),0)
+IFERROR(INDIRECT("'"&amp;$D$26&amp;"'!invest_2030"),0)
+IFERROR(INDIRECT("'"&amp;$D$27&amp;"'!invest_2030"),0)
+IFERROR(INDIRECT("'"&amp;$D$28&amp;"'!invest_2030"),0)
+IFERROR(INDIRECT("'"&amp;$D$29&amp;"'!invest_2030"),0)
+IFERROR(INDIRECT("'"&amp;$D$30&amp;"'!invest_2030"),0)
+IFERROR(INDIRECT("'"&amp;$D$31&amp;"'!invest_2030"),0)
+IFERROR(INDIRECT("'"&amp;$D$32&amp;"'!invest_2030"),0)
+IFERROR(INDIRECT("'"&amp;$D$33&amp;"'!invest_2030"),0)
+IFERROR(INDIRECT("'"&amp;$D$34&amp;"'!invest_2030"),0)
+IFERROR(INDIRECT("'"&amp;$D$35&amp;"'!invest_2030"),0)
+IFERROR(INDIRECT("'"&amp;$D$36&amp;"'!invest_2030"),0)
+IFERROR(INDIRECT("'"&amp;$D$37&amp;"'!invest_2030"),0)
+IFERROR(INDIRECT("'"&amp;$D$38&amp;"'!invest_2030"),0)
+IFERROR(INDIRECT("'"&amp;$D$39&amp;"'!invest_2030"),0)
+IFERROR(INDIRECT("'"&amp;$D$40&amp;"'!invest_2030"),0)
+IFERROR(INDIRECT("'"&amp;$D$41&amp;"'!invest_2030"),0)
+IFERROR(INDIRECT("'"&amp;$D$42&amp;"'!invest_2030"),0)
+IFERROR(INDIRECT("'"&amp;$D$43&amp;"'!invest_2030"),0)
+IFERROR(INDIRECT("'"&amp;$D$44&amp;"'!invest_2030"),0)
+IFERROR(INDIRECT("'"&amp;$D$45&amp;"'!invest_2030"),0)
+IFERROR(INDIRECT("'"&amp;$D$46&amp;"'!invest_2030"),0)
+IFERROR(INDIRECT("'"&amp;$D$47&amp;"'!invest_2030"),0)
+IFERROR(INDIRECT("'"&amp;$D$48&amp;"'!invest_2030"),0)
+IFERROR(INDIRECT("'"&amp;$D$49&amp;"'!invest_2030"),0)
+IFERROR(INDIRECT("'"&amp;$D$50&amp;"'!invest_2030"),0)
+IFERROR(INDIRECT("'"&amp;$D$51&amp;"'!invest_2030"),0)
+IFERROR(INDIRECT("'"&amp;$D$52&amp;"'!invest_2030"),0)
+IFERROR(INDIRECT("'"&amp;$D$53&amp;"'!invest_2030"),0)
+IFERROR(INDIRECT("'"&amp;$D$54&amp;"'!invest_2030"),0)</f>
        <v>13219.516799999999</v>
      </c>
      <c r="U46" s="321">
        <f ca="1">+IFERROR(INDIRECT("'"&amp;$D$5&amp;"'!invest_2031"),0)
+IFERROR(INDIRECT("'"&amp;$D$6&amp;"'!invest_2031"),0)
+IFERROR(INDIRECT("'"&amp;$D$7&amp;"'!invest_2031"),0)
+IFERROR(INDIRECT("'"&amp;$D$8&amp;"'!invest_2031"),0)
+IFERROR(INDIRECT("'"&amp;$D$9&amp;"'!invest_2031"),0)
+IFERROR(INDIRECT("'"&amp;$D$10&amp;"'!invest_2031"),0)
+IFERROR(INDIRECT("'"&amp;$D$11&amp;"'!invest_2031"),0)
+IFERROR(INDIRECT("'"&amp;$D$12&amp;"'!invest_2031"),0)
+IFERROR(INDIRECT("'"&amp;$D$13&amp;"'!invest_2031"),0)
+IFERROR(INDIRECT("'"&amp;$D$14&amp;"'!invest_2031"),0)
+IFERROR(INDIRECT("'"&amp;$D$15&amp;"'!invest_2031"),0)
+IFERROR(INDIRECT("'"&amp;$D$16&amp;"'!invest_2031"),0)
+IFERROR(INDIRECT("'"&amp;$D$17&amp;"'!invest_2031"),0)
+IFERROR(INDIRECT("'"&amp;$D$18&amp;"'!invest_2031"),0)
+IFERROR(INDIRECT("'"&amp;$D$19&amp;"'!invest_2031"),0)
+IFERROR(INDIRECT("'"&amp;$D$20&amp;"'!invest_2031"),0)
+IFERROR(INDIRECT("'"&amp;$D$21&amp;"'!invest_2031"),0)
+IFERROR(INDIRECT("'"&amp;$D$22&amp;"'!invest_2031"),0)
+IFERROR(INDIRECT("'"&amp;$D$23&amp;"'!invest_2031"),0)
+IFERROR(INDIRECT("'"&amp;$D$24&amp;"'!invest_2031"),0)
+IFERROR(INDIRECT("'"&amp;$D$25&amp;"'!invest_2031"),0)
+IFERROR(INDIRECT("'"&amp;$D$26&amp;"'!invest_2031"),0)
+IFERROR(INDIRECT("'"&amp;$D$27&amp;"'!invest_2031"),0)
+IFERROR(INDIRECT("'"&amp;$D$28&amp;"'!invest_2031"),0)
+IFERROR(INDIRECT("'"&amp;$D$29&amp;"'!invest_2031"),0)
+IFERROR(INDIRECT("'"&amp;$D$30&amp;"'!invest_2031"),0)
+IFERROR(INDIRECT("'"&amp;$D$31&amp;"'!invest_2031"),0)
+IFERROR(INDIRECT("'"&amp;$D$32&amp;"'!invest_2031"),0)
+IFERROR(INDIRECT("'"&amp;$D$33&amp;"'!invest_2031"),0)
+IFERROR(INDIRECT("'"&amp;$D$34&amp;"'!invest_2031"),0)
+IFERROR(INDIRECT("'"&amp;$D$35&amp;"'!invest_2031"),0)
+IFERROR(INDIRECT("'"&amp;$D$36&amp;"'!invest_2031"),0)
+IFERROR(INDIRECT("'"&amp;$D$37&amp;"'!invest_2031"),0)
+IFERROR(INDIRECT("'"&amp;$D$38&amp;"'!invest_2031"),0)
+IFERROR(INDIRECT("'"&amp;$D$39&amp;"'!invest_2031"),0)
+IFERROR(INDIRECT("'"&amp;$D$40&amp;"'!invest_2031"),0)
+IFERROR(INDIRECT("'"&amp;$D$41&amp;"'!invest_2031"),0)
+IFERROR(INDIRECT("'"&amp;$D$42&amp;"'!invest_2031"),0)
+IFERROR(INDIRECT("'"&amp;$D$43&amp;"'!invest_2031"),0)
+IFERROR(INDIRECT("'"&amp;$D$44&amp;"'!invest_2031"),0)
+IFERROR(INDIRECT("'"&amp;$D$45&amp;"'!invest_2031"),0)
+IFERROR(INDIRECT("'"&amp;$D$46&amp;"'!invest_2031"),0)
+IFERROR(INDIRECT("'"&amp;$D$47&amp;"'!invest_2031"),0)
+IFERROR(INDIRECT("'"&amp;$D$48&amp;"'!invest_2031"),0)
+IFERROR(INDIRECT("'"&amp;$D$49&amp;"'!invest_2031"),0)
+IFERROR(INDIRECT("'"&amp;$D$50&amp;"'!invest_2031"),0)
+IFERROR(INDIRECT("'"&amp;$D$51&amp;"'!invest_2031"),0)
+IFERROR(INDIRECT("'"&amp;$D$52&amp;"'!invest_2031"),0)
+IFERROR(INDIRECT("'"&amp;$D$53&amp;"'!invest_2031"),0)
+IFERROR(INDIRECT("'"&amp;$D$54&amp;"'!invest_2031"),0)</f>
        <v>13219.516799999999</v>
      </c>
      <c r="V46" s="321">
        <f ca="1">+IFERROR(INDIRECT("'"&amp;$D$5&amp;"'!invest_2032"),0)
+IFERROR(INDIRECT("'"&amp;$D$6&amp;"'!invest_2032"),0)
+IFERROR(INDIRECT("'"&amp;$D$7&amp;"'!invest_2032"),0)
+IFERROR(INDIRECT("'"&amp;$D$8&amp;"'!invest_2032"),0)
+IFERROR(INDIRECT("'"&amp;$D$9&amp;"'!invest_2032"),0)
+IFERROR(INDIRECT("'"&amp;$D$10&amp;"'!invest_2032"),0)
+IFERROR(INDIRECT("'"&amp;$D$11&amp;"'!invest_2032"),0)
+IFERROR(INDIRECT("'"&amp;$D$12&amp;"'!invest_2032"),0)
+IFERROR(INDIRECT("'"&amp;$D$13&amp;"'!invest_2032"),0)
+IFERROR(INDIRECT("'"&amp;$D$14&amp;"'!invest_2032"),0)
+IFERROR(INDIRECT("'"&amp;$D$15&amp;"'!invest_2032"),0)
+IFERROR(INDIRECT("'"&amp;$D$16&amp;"'!invest_2032"),0)
+IFERROR(INDIRECT("'"&amp;$D$17&amp;"'!invest_2032"),0)
+IFERROR(INDIRECT("'"&amp;$D$18&amp;"'!invest_2032"),0)
+IFERROR(INDIRECT("'"&amp;$D$19&amp;"'!invest_2032"),0)
+IFERROR(INDIRECT("'"&amp;$D$20&amp;"'!invest_2032"),0)
+IFERROR(INDIRECT("'"&amp;$D$21&amp;"'!invest_2032"),0)
+IFERROR(INDIRECT("'"&amp;$D$22&amp;"'!invest_2032"),0)
+IFERROR(INDIRECT("'"&amp;$D$23&amp;"'!invest_2032"),0)
+IFERROR(INDIRECT("'"&amp;$D$24&amp;"'!invest_2032"),0)
+IFERROR(INDIRECT("'"&amp;$D$25&amp;"'!invest_2032"),0)
+IFERROR(INDIRECT("'"&amp;$D$26&amp;"'!invest_2032"),0)
+IFERROR(INDIRECT("'"&amp;$D$27&amp;"'!invest_2032"),0)
+IFERROR(INDIRECT("'"&amp;$D$28&amp;"'!invest_2032"),0)
+IFERROR(INDIRECT("'"&amp;$D$29&amp;"'!invest_2032"),0)
+IFERROR(INDIRECT("'"&amp;$D$30&amp;"'!invest_2032"),0)
+IFERROR(INDIRECT("'"&amp;$D$31&amp;"'!invest_2032"),0)
+IFERROR(INDIRECT("'"&amp;$D$32&amp;"'!invest_2032"),0)
+IFERROR(INDIRECT("'"&amp;$D$33&amp;"'!invest_2032"),0)
+IFERROR(INDIRECT("'"&amp;$D$34&amp;"'!invest_2032"),0)
+IFERROR(INDIRECT("'"&amp;$D$35&amp;"'!invest_2032"),0)
+IFERROR(INDIRECT("'"&amp;$D$36&amp;"'!invest_2032"),0)
+IFERROR(INDIRECT("'"&amp;$D$37&amp;"'!invest_2032"),0)
+IFERROR(INDIRECT("'"&amp;$D$38&amp;"'!invest_2032"),0)
+IFERROR(INDIRECT("'"&amp;$D$39&amp;"'!invest_2032"),0)
+IFERROR(INDIRECT("'"&amp;$D$40&amp;"'!invest_2032"),0)
+IFERROR(INDIRECT("'"&amp;$D$41&amp;"'!invest_2032"),0)
+IFERROR(INDIRECT("'"&amp;$D$42&amp;"'!invest_2032"),0)
+IFERROR(INDIRECT("'"&amp;$D$43&amp;"'!invest_2032"),0)
+IFERROR(INDIRECT("'"&amp;$D$44&amp;"'!invest_2032"),0)
+IFERROR(INDIRECT("'"&amp;$D$45&amp;"'!invest_2032"),0)
+IFERROR(INDIRECT("'"&amp;$D$46&amp;"'!invest_2032"),0)
+IFERROR(INDIRECT("'"&amp;$D$47&amp;"'!invest_2032"),0)
+IFERROR(INDIRECT("'"&amp;$D$48&amp;"'!invest_2032"),0)
+IFERROR(INDIRECT("'"&amp;$D$49&amp;"'!invest_2032"),0)
+IFERROR(INDIRECT("'"&amp;$D$50&amp;"'!invest_2032"),0)
+IFERROR(INDIRECT("'"&amp;$D$51&amp;"'!invest_2032"),0)
+IFERROR(INDIRECT("'"&amp;$D$52&amp;"'!invest_2032"),0)
+IFERROR(INDIRECT("'"&amp;$D$53&amp;"'!invest_2032"),0)
+IFERROR(INDIRECT("'"&amp;$D$54&amp;"'!invest_2032"),0)</f>
        <v>0</v>
      </c>
      <c r="W46" s="321">
        <f ca="1">+IFERROR(INDIRECT("'"&amp;$D$5&amp;"'!invest_2033"),0)
+IFERROR(INDIRECT("'"&amp;$D$6&amp;"'!invest_2033"),0)
+IFERROR(INDIRECT("'"&amp;$D$7&amp;"'!invest_2033"),0)
+IFERROR(INDIRECT("'"&amp;$D$8&amp;"'!invest_2033"),0)
+IFERROR(INDIRECT("'"&amp;$D$9&amp;"'!invest_2033"),0)
+IFERROR(INDIRECT("'"&amp;$D$10&amp;"'!invest_2033"),0)
+IFERROR(INDIRECT("'"&amp;$D$11&amp;"'!invest_2033"),0)
+IFERROR(INDIRECT("'"&amp;$D$12&amp;"'!invest_2033"),0)
+IFERROR(INDIRECT("'"&amp;$D$13&amp;"'!invest_2033"),0)
+IFERROR(INDIRECT("'"&amp;$D$14&amp;"'!invest_2033"),0)
+IFERROR(INDIRECT("'"&amp;$D$15&amp;"'!invest_2033"),0)
+IFERROR(INDIRECT("'"&amp;$D$16&amp;"'!invest_2033"),0)
+IFERROR(INDIRECT("'"&amp;$D$17&amp;"'!invest_2033"),0)
+IFERROR(INDIRECT("'"&amp;$D$18&amp;"'!invest_2033"),0)
+IFERROR(INDIRECT("'"&amp;$D$19&amp;"'!invest_2033"),0)
+IFERROR(INDIRECT("'"&amp;$D$20&amp;"'!invest_2033"),0)
+IFERROR(INDIRECT("'"&amp;$D$21&amp;"'!invest_2033"),0)
+IFERROR(INDIRECT("'"&amp;$D$22&amp;"'!invest_2033"),0)
+IFERROR(INDIRECT("'"&amp;$D$23&amp;"'!invest_2033"),0)
+IFERROR(INDIRECT("'"&amp;$D$24&amp;"'!invest_2033"),0)
+IFERROR(INDIRECT("'"&amp;$D$25&amp;"'!invest_2033"),0)
+IFERROR(INDIRECT("'"&amp;$D$26&amp;"'!invest_2033"),0)
+IFERROR(INDIRECT("'"&amp;$D$27&amp;"'!invest_2033"),0)
+IFERROR(INDIRECT("'"&amp;$D$28&amp;"'!invest_2033"),0)
+IFERROR(INDIRECT("'"&amp;$D$29&amp;"'!invest_2033"),0)
+IFERROR(INDIRECT("'"&amp;$D$30&amp;"'!invest_2033"),0)
+IFERROR(INDIRECT("'"&amp;$D$31&amp;"'!invest_2033"),0)
+IFERROR(INDIRECT("'"&amp;$D$32&amp;"'!invest_2033"),0)
+IFERROR(INDIRECT("'"&amp;$D$33&amp;"'!invest_2033"),0)
+IFERROR(INDIRECT("'"&amp;$D$34&amp;"'!invest_2033"),0)
+IFERROR(INDIRECT("'"&amp;$D$35&amp;"'!invest_2033"),0)
+IFERROR(INDIRECT("'"&amp;$D$36&amp;"'!invest_2033"),0)
+IFERROR(INDIRECT("'"&amp;$D$37&amp;"'!invest_2033"),0)
+IFERROR(INDIRECT("'"&amp;$D$38&amp;"'!invest_2033"),0)
+IFERROR(INDIRECT("'"&amp;$D$39&amp;"'!invest_2033"),0)
+IFERROR(INDIRECT("'"&amp;$D$40&amp;"'!invest_2033"),0)
+IFERROR(INDIRECT("'"&amp;$D$41&amp;"'!invest_2033"),0)
+IFERROR(INDIRECT("'"&amp;$D$42&amp;"'!invest_2033"),0)
+IFERROR(INDIRECT("'"&amp;$D$43&amp;"'!invest_2033"),0)
+IFERROR(INDIRECT("'"&amp;$D$44&amp;"'!invest_2033"),0)
+IFERROR(INDIRECT("'"&amp;$D$45&amp;"'!invest_2033"),0)
+IFERROR(INDIRECT("'"&amp;$D$46&amp;"'!invest_2033"),0)
+IFERROR(INDIRECT("'"&amp;$D$47&amp;"'!invest_2033"),0)
+IFERROR(INDIRECT("'"&amp;$D$48&amp;"'!invest_2033"),0)
+IFERROR(INDIRECT("'"&amp;$D$49&amp;"'!invest_2033"),0)
+IFERROR(INDIRECT("'"&amp;$D$50&amp;"'!invest_2033"),0)
+IFERROR(INDIRECT("'"&amp;$D$51&amp;"'!invest_2033"),0)
+IFERROR(INDIRECT("'"&amp;$D$52&amp;"'!invest_2033"),0)
+IFERROR(INDIRECT("'"&amp;$D$53&amp;"'!invest_2033"),0)
+IFERROR(INDIRECT("'"&amp;$D$54&amp;"'!invest_2033"),0)</f>
        <v>0</v>
      </c>
      <c r="X46" s="321">
        <f ca="1">+IFERROR(INDIRECT("'"&amp;$D$5&amp;"'!invest_2034"),0)
+IFERROR(INDIRECT("'"&amp;$D$6&amp;"'!invest_2034"),0)
+IFERROR(INDIRECT("'"&amp;$D$7&amp;"'!invest_2034"),0)
+IFERROR(INDIRECT("'"&amp;$D$8&amp;"'!invest_2034"),0)
+IFERROR(INDIRECT("'"&amp;$D$9&amp;"'!invest_2034"),0)
+IFERROR(INDIRECT("'"&amp;$D$10&amp;"'!invest_2034"),0)
+IFERROR(INDIRECT("'"&amp;$D$11&amp;"'!invest_2034"),0)
+IFERROR(INDIRECT("'"&amp;$D$12&amp;"'!invest_2034"),0)
+IFERROR(INDIRECT("'"&amp;$D$13&amp;"'!invest_2034"),0)
+IFERROR(INDIRECT("'"&amp;$D$14&amp;"'!invest_2034"),0)
+IFERROR(INDIRECT("'"&amp;$D$15&amp;"'!invest_2034"),0)
+IFERROR(INDIRECT("'"&amp;$D$16&amp;"'!invest_2034"),0)
+IFERROR(INDIRECT("'"&amp;$D$17&amp;"'!invest_2034"),0)
+IFERROR(INDIRECT("'"&amp;$D$18&amp;"'!invest_2034"),0)
+IFERROR(INDIRECT("'"&amp;$D$19&amp;"'!invest_2034"),0)
+IFERROR(INDIRECT("'"&amp;$D$20&amp;"'!invest_2034"),0)
+IFERROR(INDIRECT("'"&amp;$D$21&amp;"'!invest_2034"),0)
+IFERROR(INDIRECT("'"&amp;$D$22&amp;"'!invest_2034"),0)
+IFERROR(INDIRECT("'"&amp;$D$23&amp;"'!invest_2034"),0)
+IFERROR(INDIRECT("'"&amp;$D$24&amp;"'!invest_2034"),0)
+IFERROR(INDIRECT("'"&amp;$D$25&amp;"'!invest_2034"),0)
+IFERROR(INDIRECT("'"&amp;$D$26&amp;"'!invest_2034"),0)
+IFERROR(INDIRECT("'"&amp;$D$27&amp;"'!invest_2034"),0)
+IFERROR(INDIRECT("'"&amp;$D$28&amp;"'!invest_2034"),0)
+IFERROR(INDIRECT("'"&amp;$D$29&amp;"'!invest_2034"),0)
+IFERROR(INDIRECT("'"&amp;$D$30&amp;"'!invest_2034"),0)
+IFERROR(INDIRECT("'"&amp;$D$31&amp;"'!invest_2034"),0)
+IFERROR(INDIRECT("'"&amp;$D$32&amp;"'!invest_2034"),0)
+IFERROR(INDIRECT("'"&amp;$D$33&amp;"'!invest_2034"),0)
+IFERROR(INDIRECT("'"&amp;$D$34&amp;"'!invest_2034"),0)
+IFERROR(INDIRECT("'"&amp;$D$35&amp;"'!invest_2034"),0)
+IFERROR(INDIRECT("'"&amp;$D$36&amp;"'!invest_2034"),0)
+IFERROR(INDIRECT("'"&amp;$D$37&amp;"'!invest_2034"),0)
+IFERROR(INDIRECT("'"&amp;$D$38&amp;"'!invest_2034"),0)
+IFERROR(INDIRECT("'"&amp;$D$39&amp;"'!invest_2034"),0)
+IFERROR(INDIRECT("'"&amp;$D$40&amp;"'!invest_2034"),0)
+IFERROR(INDIRECT("'"&amp;$D$41&amp;"'!invest_2034"),0)
+IFERROR(INDIRECT("'"&amp;$D$42&amp;"'!invest_2034"),0)
+IFERROR(INDIRECT("'"&amp;$D$43&amp;"'!invest_2034"),0)
+IFERROR(INDIRECT("'"&amp;$D$44&amp;"'!invest_2034"),0)
+IFERROR(INDIRECT("'"&amp;$D$45&amp;"'!invest_2034"),0)
+IFERROR(INDIRECT("'"&amp;$D$46&amp;"'!invest_2034"),0)
+IFERROR(INDIRECT("'"&amp;$D$47&amp;"'!invest_2034"),0)
+IFERROR(INDIRECT("'"&amp;$D$48&amp;"'!invest_2034"),0)
+IFERROR(INDIRECT("'"&amp;$D$49&amp;"'!invest_2034"),0)
+IFERROR(INDIRECT("'"&amp;$D$50&amp;"'!invest_2034"),0)
+IFERROR(INDIRECT("'"&amp;$D$51&amp;"'!invest_2034"),0)
+IFERROR(INDIRECT("'"&amp;$D$52&amp;"'!invest_2034"),0)
+IFERROR(INDIRECT("'"&amp;$D$53&amp;"'!invest_2034"),0)
+IFERROR(INDIRECT("'"&amp;$D$54&amp;"'!invest_2034"),0)</f>
        <v>0</v>
      </c>
      <c r="Y46" s="321">
        <f ca="1">+IFERROR(INDIRECT("'"&amp;$D$5&amp;"'!invest_2035"),0)
+IFERROR(INDIRECT("'"&amp;$D$6&amp;"'!invest_2035"),0)
+IFERROR(INDIRECT("'"&amp;$D$7&amp;"'!invest_2035"),0)
+IFERROR(INDIRECT("'"&amp;$D$8&amp;"'!invest_2035"),0)
+IFERROR(INDIRECT("'"&amp;$D$9&amp;"'!invest_2035"),0)
+IFERROR(INDIRECT("'"&amp;$D$10&amp;"'!invest_2035"),0)
+IFERROR(INDIRECT("'"&amp;$D$11&amp;"'!invest_2035"),0)
+IFERROR(INDIRECT("'"&amp;$D$12&amp;"'!invest_2035"),0)
+IFERROR(INDIRECT("'"&amp;$D$13&amp;"'!invest_2035"),0)
+IFERROR(INDIRECT("'"&amp;$D$14&amp;"'!invest_2035"),0)
+IFERROR(INDIRECT("'"&amp;$D$15&amp;"'!invest_2035"),0)
+IFERROR(INDIRECT("'"&amp;$D$16&amp;"'!invest_2035"),0)
+IFERROR(INDIRECT("'"&amp;$D$17&amp;"'!invest_2035"),0)
+IFERROR(INDIRECT("'"&amp;$D$18&amp;"'!invest_2035"),0)
+IFERROR(INDIRECT("'"&amp;$D$19&amp;"'!invest_2035"),0)
+IFERROR(INDIRECT("'"&amp;$D$20&amp;"'!invest_2035"),0)
+IFERROR(INDIRECT("'"&amp;$D$21&amp;"'!invest_2035"),0)
+IFERROR(INDIRECT("'"&amp;$D$22&amp;"'!invest_2035"),0)
+IFERROR(INDIRECT("'"&amp;$D$23&amp;"'!invest_2035"),0)
+IFERROR(INDIRECT("'"&amp;$D$24&amp;"'!invest_2035"),0)
+IFERROR(INDIRECT("'"&amp;$D$25&amp;"'!invest_2035"),0)
+IFERROR(INDIRECT("'"&amp;$D$26&amp;"'!invest_2035"),0)
+IFERROR(INDIRECT("'"&amp;$D$27&amp;"'!invest_2035"),0)
+IFERROR(INDIRECT("'"&amp;$D$28&amp;"'!invest_2035"),0)
+IFERROR(INDIRECT("'"&amp;$D$29&amp;"'!invest_2035"),0)
+IFERROR(INDIRECT("'"&amp;$D$30&amp;"'!invest_2035"),0)
+IFERROR(INDIRECT("'"&amp;$D$31&amp;"'!invest_2035"),0)
+IFERROR(INDIRECT("'"&amp;$D$32&amp;"'!invest_2035"),0)
+IFERROR(INDIRECT("'"&amp;$D$33&amp;"'!invest_2035"),0)
+IFERROR(INDIRECT("'"&amp;$D$34&amp;"'!invest_2035"),0)
+IFERROR(INDIRECT("'"&amp;$D$35&amp;"'!invest_2035"),0)
+IFERROR(INDIRECT("'"&amp;$D$36&amp;"'!invest_2035"),0)
+IFERROR(INDIRECT("'"&amp;$D$37&amp;"'!invest_2035"),0)
+IFERROR(INDIRECT("'"&amp;$D$38&amp;"'!invest_2035"),0)
+IFERROR(INDIRECT("'"&amp;$D$39&amp;"'!invest_2035"),0)
+IFERROR(INDIRECT("'"&amp;$D$40&amp;"'!invest_2035"),0)
+IFERROR(INDIRECT("'"&amp;$D$41&amp;"'!invest_2035"),0)
+IFERROR(INDIRECT("'"&amp;$D$42&amp;"'!invest_2035"),0)
+IFERROR(INDIRECT("'"&amp;$D$43&amp;"'!invest_2035"),0)
+IFERROR(INDIRECT("'"&amp;$D$44&amp;"'!invest_2035"),0)
+IFERROR(INDIRECT("'"&amp;$D$45&amp;"'!invest_2035"),0)
+IFERROR(INDIRECT("'"&amp;$D$46&amp;"'!invest_2035"),0)
+IFERROR(INDIRECT("'"&amp;$D$47&amp;"'!invest_2035"),0)
+IFERROR(INDIRECT("'"&amp;$D$48&amp;"'!invest_2035"),0)
+IFERROR(INDIRECT("'"&amp;$D$49&amp;"'!invest_2035"),0)
+IFERROR(INDIRECT("'"&amp;$D$50&amp;"'!invest_2035"),0)
+IFERROR(INDIRECT("'"&amp;$D$51&amp;"'!invest_2035"),0)
+IFERROR(INDIRECT("'"&amp;$D$52&amp;"'!invest_2035"),0)
+IFERROR(INDIRECT("'"&amp;$D$53&amp;"'!invest_2035"),0)
+IFERROR(INDIRECT("'"&amp;$D$54&amp;"'!invest_2035"),0)</f>
        <v>0</v>
      </c>
      <c r="Z46" s="321">
        <f ca="1">+IFERROR(INDIRECT("'"&amp;$D$5&amp;"'!invest_2036"),0)
+IFERROR(INDIRECT("'"&amp;$D$6&amp;"'!invest_2036"),0)
+IFERROR(INDIRECT("'"&amp;$D$7&amp;"'!invest_2036"),0)
+IFERROR(INDIRECT("'"&amp;$D$8&amp;"'!invest_2036"),0)
+IFERROR(INDIRECT("'"&amp;$D$9&amp;"'!invest_2036"),0)
+IFERROR(INDIRECT("'"&amp;$D$10&amp;"'!invest_2036"),0)
+IFERROR(INDIRECT("'"&amp;$D$11&amp;"'!invest_2036"),0)
+IFERROR(INDIRECT("'"&amp;$D$12&amp;"'!invest_2036"),0)
+IFERROR(INDIRECT("'"&amp;$D$13&amp;"'!invest_2036"),0)
+IFERROR(INDIRECT("'"&amp;$D$14&amp;"'!invest_2036"),0)
+IFERROR(INDIRECT("'"&amp;$D$15&amp;"'!invest_2036"),0)
+IFERROR(INDIRECT("'"&amp;$D$16&amp;"'!invest_2036"),0)
+IFERROR(INDIRECT("'"&amp;$D$17&amp;"'!invest_2036"),0)
+IFERROR(INDIRECT("'"&amp;$D$18&amp;"'!invest_2036"),0)
+IFERROR(INDIRECT("'"&amp;$D$19&amp;"'!invest_2036"),0)
+IFERROR(INDIRECT("'"&amp;$D$20&amp;"'!invest_2036"),0)
+IFERROR(INDIRECT("'"&amp;$D$21&amp;"'!invest_2036"),0)
+IFERROR(INDIRECT("'"&amp;$D$22&amp;"'!invest_2036"),0)
+IFERROR(INDIRECT("'"&amp;$D$23&amp;"'!invest_2036"),0)
+IFERROR(INDIRECT("'"&amp;$D$24&amp;"'!invest_2036"),0)
+IFERROR(INDIRECT("'"&amp;$D$25&amp;"'!invest_2036"),0)
+IFERROR(INDIRECT("'"&amp;$D$26&amp;"'!invest_2036"),0)
+IFERROR(INDIRECT("'"&amp;$D$27&amp;"'!invest_2036"),0)
+IFERROR(INDIRECT("'"&amp;$D$28&amp;"'!invest_2036"),0)
+IFERROR(INDIRECT("'"&amp;$D$29&amp;"'!invest_2036"),0)
+IFERROR(INDIRECT("'"&amp;$D$30&amp;"'!invest_2036"),0)
+IFERROR(INDIRECT("'"&amp;$D$31&amp;"'!invest_2036"),0)
+IFERROR(INDIRECT("'"&amp;$D$32&amp;"'!invest_2036"),0)
+IFERROR(INDIRECT("'"&amp;$D$33&amp;"'!invest_2036"),0)
+IFERROR(INDIRECT("'"&amp;$D$34&amp;"'!invest_2036"),0)
+IFERROR(INDIRECT("'"&amp;$D$35&amp;"'!invest_2036"),0)
+IFERROR(INDIRECT("'"&amp;$D$36&amp;"'!invest_2036"),0)
+IFERROR(INDIRECT("'"&amp;$D$37&amp;"'!invest_2036"),0)
+IFERROR(INDIRECT("'"&amp;$D$38&amp;"'!invest_2036"),0)
+IFERROR(INDIRECT("'"&amp;$D$39&amp;"'!invest_2036"),0)
+IFERROR(INDIRECT("'"&amp;$D$40&amp;"'!invest_2036"),0)
+IFERROR(INDIRECT("'"&amp;$D$41&amp;"'!invest_2036"),0)
+IFERROR(INDIRECT("'"&amp;$D$42&amp;"'!invest_2036"),0)
+IFERROR(INDIRECT("'"&amp;$D$43&amp;"'!invest_2036"),0)
+IFERROR(INDIRECT("'"&amp;$D$44&amp;"'!invest_2036"),0)
+IFERROR(INDIRECT("'"&amp;$D$45&amp;"'!invest_2036"),0)
+IFERROR(INDIRECT("'"&amp;$D$46&amp;"'!invest_2036"),0)
+IFERROR(INDIRECT("'"&amp;$D$47&amp;"'!invest_2036"),0)
+IFERROR(INDIRECT("'"&amp;$D$48&amp;"'!invest_2036"),0)
+IFERROR(INDIRECT("'"&amp;$D$49&amp;"'!invest_2036"),0)
+IFERROR(INDIRECT("'"&amp;$D$50&amp;"'!invest_2036"),0)
+IFERROR(INDIRECT("'"&amp;$D$51&amp;"'!invest_2036"),0)
+IFERROR(INDIRECT("'"&amp;$D$52&amp;"'!invest_2036"),0)
+IFERROR(INDIRECT("'"&amp;$D$53&amp;"'!invest_2036"),0)
+IFERROR(INDIRECT("'"&amp;$D$54&amp;"'!invest_2036"),0)</f>
        <v>39658.550399999993</v>
      </c>
      <c r="AA46" s="321">
        <f ca="1">+IFERROR(INDIRECT("'"&amp;$D$5&amp;"'!invest_2037"),0)
+IFERROR(INDIRECT("'"&amp;$D$6&amp;"'!invest_2037"),0)
+IFERROR(INDIRECT("'"&amp;$D$7&amp;"'!invest_2037"),0)
+IFERROR(INDIRECT("'"&amp;$D$8&amp;"'!invest_2037"),0)
+IFERROR(INDIRECT("'"&amp;$D$9&amp;"'!invest_2037"),0)
+IFERROR(INDIRECT("'"&amp;$D$10&amp;"'!invest_2037"),0)
+IFERROR(INDIRECT("'"&amp;$D$11&amp;"'!invest_2037"),0)
+IFERROR(INDIRECT("'"&amp;$D$12&amp;"'!invest_2037"),0)
+IFERROR(INDIRECT("'"&amp;$D$13&amp;"'!invest_2037"),0)
+IFERROR(INDIRECT("'"&amp;$D$14&amp;"'!invest_2037"),0)
+IFERROR(INDIRECT("'"&amp;$D$15&amp;"'!invest_2037"),0)
+IFERROR(INDIRECT("'"&amp;$D$16&amp;"'!invest_2037"),0)
+IFERROR(INDIRECT("'"&amp;$D$17&amp;"'!invest_2037"),0)
+IFERROR(INDIRECT("'"&amp;$D$18&amp;"'!invest_2037"),0)
+IFERROR(INDIRECT("'"&amp;$D$19&amp;"'!invest_2037"),0)
+IFERROR(INDIRECT("'"&amp;$D$20&amp;"'!invest_2037"),0)
+IFERROR(INDIRECT("'"&amp;$D$21&amp;"'!invest_2037"),0)
+IFERROR(INDIRECT("'"&amp;$D$22&amp;"'!invest_2037"),0)
+IFERROR(INDIRECT("'"&amp;$D$23&amp;"'!invest_2037"),0)
+IFERROR(INDIRECT("'"&amp;$D$24&amp;"'!invest_2037"),0)
+IFERROR(INDIRECT("'"&amp;$D$25&amp;"'!invest_2037"),0)
+IFERROR(INDIRECT("'"&amp;$D$26&amp;"'!invest_2037"),0)
+IFERROR(INDIRECT("'"&amp;$D$27&amp;"'!invest_2037"),0)
+IFERROR(INDIRECT("'"&amp;$D$28&amp;"'!invest_2037"),0)
+IFERROR(INDIRECT("'"&amp;$D$29&amp;"'!invest_2037"),0)
+IFERROR(INDIRECT("'"&amp;$D$30&amp;"'!invest_2037"),0)
+IFERROR(INDIRECT("'"&amp;$D$31&amp;"'!invest_2037"),0)
+IFERROR(INDIRECT("'"&amp;$D$32&amp;"'!invest_2037"),0)
+IFERROR(INDIRECT("'"&amp;$D$33&amp;"'!invest_2037"),0)
+IFERROR(INDIRECT("'"&amp;$D$34&amp;"'!invest_2037"),0)
+IFERROR(INDIRECT("'"&amp;$D$35&amp;"'!invest_2037"),0)
+IFERROR(INDIRECT("'"&amp;$D$36&amp;"'!invest_2037"),0)
+IFERROR(INDIRECT("'"&amp;$D$37&amp;"'!invest_2037"),0)
+IFERROR(INDIRECT("'"&amp;$D$38&amp;"'!invest_2037"),0)
+IFERROR(INDIRECT("'"&amp;$D$39&amp;"'!invest_2037"),0)
+IFERROR(INDIRECT("'"&amp;$D$40&amp;"'!invest_2037"),0)
+IFERROR(INDIRECT("'"&amp;$D$41&amp;"'!invest_2037"),0)
+IFERROR(INDIRECT("'"&amp;$D$42&amp;"'!invest_2037"),0)
+IFERROR(INDIRECT("'"&amp;$D$43&amp;"'!invest_2037"),0)
+IFERROR(INDIRECT("'"&amp;$D$44&amp;"'!invest_2037"),0)
+IFERROR(INDIRECT("'"&amp;$D$45&amp;"'!invest_2037"),0)
+IFERROR(INDIRECT("'"&amp;$D$46&amp;"'!invest_2037"),0)
+IFERROR(INDIRECT("'"&amp;$D$47&amp;"'!invest_2037"),0)
+IFERROR(INDIRECT("'"&amp;$D$48&amp;"'!invest_2037"),0)
+IFERROR(INDIRECT("'"&amp;$D$49&amp;"'!invest_2037"),0)
+IFERROR(INDIRECT("'"&amp;$D$50&amp;"'!invest_2037"),0)
+IFERROR(INDIRECT("'"&amp;$D$51&amp;"'!invest_2037"),0)
+IFERROR(INDIRECT("'"&amp;$D$52&amp;"'!invest_2037"),0)
+IFERROR(INDIRECT("'"&amp;$D$53&amp;"'!invest_2037"),0)
+IFERROR(INDIRECT("'"&amp;$D$54&amp;"'!invest_2037"),0)</f>
        <v>0</v>
      </c>
      <c r="AB46" s="321">
        <f ca="1">+IFERROR(INDIRECT("'"&amp;$D$5&amp;"'!invest_2038"),0)
+IFERROR(INDIRECT("'"&amp;$D$6&amp;"'!invest_2038"),0)
+IFERROR(INDIRECT("'"&amp;$D$7&amp;"'!invest_2038"),0)
+IFERROR(INDIRECT("'"&amp;$D$8&amp;"'!invest_2038"),0)
+IFERROR(INDIRECT("'"&amp;$D$9&amp;"'!invest_2038"),0)
+IFERROR(INDIRECT("'"&amp;$D$10&amp;"'!invest_2038"),0)
+IFERROR(INDIRECT("'"&amp;$D$11&amp;"'!invest_2038"),0)
+IFERROR(INDIRECT("'"&amp;$D$12&amp;"'!invest_2038"),0)
+IFERROR(INDIRECT("'"&amp;$D$13&amp;"'!invest_2038"),0)
+IFERROR(INDIRECT("'"&amp;$D$14&amp;"'!invest_2038"),0)
+IFERROR(INDIRECT("'"&amp;$D$15&amp;"'!invest_2038"),0)
+IFERROR(INDIRECT("'"&amp;$D$16&amp;"'!invest_2038"),0)
+IFERROR(INDIRECT("'"&amp;$D$17&amp;"'!invest_2038"),0)
+IFERROR(INDIRECT("'"&amp;$D$18&amp;"'!invest_2038"),0)
+IFERROR(INDIRECT("'"&amp;$D$19&amp;"'!invest_2038"),0)
+IFERROR(INDIRECT("'"&amp;$D$20&amp;"'!invest_2038"),0)
+IFERROR(INDIRECT("'"&amp;$D$21&amp;"'!invest_2038"),0)
+IFERROR(INDIRECT("'"&amp;$D$22&amp;"'!invest_2038"),0)
+IFERROR(INDIRECT("'"&amp;$D$23&amp;"'!invest_2038"),0)
+IFERROR(INDIRECT("'"&amp;$D$24&amp;"'!invest_2038"),0)
+IFERROR(INDIRECT("'"&amp;$D$25&amp;"'!invest_2038"),0)
+IFERROR(INDIRECT("'"&amp;$D$26&amp;"'!invest_2038"),0)
+IFERROR(INDIRECT("'"&amp;$D$27&amp;"'!invest_2038"),0)
+IFERROR(INDIRECT("'"&amp;$D$28&amp;"'!invest_2038"),0)
+IFERROR(INDIRECT("'"&amp;$D$29&amp;"'!invest_2038"),0)
+IFERROR(INDIRECT("'"&amp;$D$30&amp;"'!invest_2038"),0)
+IFERROR(INDIRECT("'"&amp;$D$31&amp;"'!invest_2038"),0)
+IFERROR(INDIRECT("'"&amp;$D$32&amp;"'!invest_2038"),0)
+IFERROR(INDIRECT("'"&amp;$D$33&amp;"'!invest_2038"),0)
+IFERROR(INDIRECT("'"&amp;$D$34&amp;"'!invest_2038"),0)
+IFERROR(INDIRECT("'"&amp;$D$35&amp;"'!invest_2038"),0)
+IFERROR(INDIRECT("'"&amp;$D$36&amp;"'!invest_2038"),0)
+IFERROR(INDIRECT("'"&amp;$D$37&amp;"'!invest_2038"),0)
+IFERROR(INDIRECT("'"&amp;$D$38&amp;"'!invest_2038"),0)
+IFERROR(INDIRECT("'"&amp;$D$39&amp;"'!invest_2038"),0)
+IFERROR(INDIRECT("'"&amp;$D$40&amp;"'!invest_2038"),0)
+IFERROR(INDIRECT("'"&amp;$D$41&amp;"'!invest_2038"),0)
+IFERROR(INDIRECT("'"&amp;$D$42&amp;"'!invest_2038"),0)
+IFERROR(INDIRECT("'"&amp;$D$43&amp;"'!invest_2038"),0)
+IFERROR(INDIRECT("'"&amp;$D$44&amp;"'!invest_2038"),0)
+IFERROR(INDIRECT("'"&amp;$D$45&amp;"'!invest_2038"),0)
+IFERROR(INDIRECT("'"&amp;$D$46&amp;"'!invest_2038"),0)
+IFERROR(INDIRECT("'"&amp;$D$47&amp;"'!invest_2038"),0)
+IFERROR(INDIRECT("'"&amp;$D$48&amp;"'!invest_2038"),0)
+IFERROR(INDIRECT("'"&amp;$D$49&amp;"'!invest_2038"),0)
+IFERROR(INDIRECT("'"&amp;$D$50&amp;"'!invest_2038"),0)
+IFERROR(INDIRECT("'"&amp;$D$51&amp;"'!invest_2038"),0)
+IFERROR(INDIRECT("'"&amp;$D$52&amp;"'!invest_2038"),0)
+IFERROR(INDIRECT("'"&amp;$D$53&amp;"'!invest_2038"),0)
+IFERROR(INDIRECT("'"&amp;$D$54&amp;"'!invest_2038"),0)</f>
        <v>0</v>
      </c>
      <c r="AC46" s="321">
        <f ca="1">+IFERROR(INDIRECT("'"&amp;$D$5&amp;"'!invest_2039"),0)
+IFERROR(INDIRECT("'"&amp;$D$6&amp;"'!invest_2039"),0)
+IFERROR(INDIRECT("'"&amp;$D$7&amp;"'!invest_2039"),0)
+IFERROR(INDIRECT("'"&amp;$D$8&amp;"'!invest_2039"),0)
+IFERROR(INDIRECT("'"&amp;$D$9&amp;"'!invest_2039"),0)
+IFERROR(INDIRECT("'"&amp;$D$10&amp;"'!invest_2039"),0)
+IFERROR(INDIRECT("'"&amp;$D$11&amp;"'!invest_2039"),0)
+IFERROR(INDIRECT("'"&amp;$D$12&amp;"'!invest_2039"),0)
+IFERROR(INDIRECT("'"&amp;$D$13&amp;"'!invest_2039"),0)
+IFERROR(INDIRECT("'"&amp;$D$14&amp;"'!invest_2039"),0)
+IFERROR(INDIRECT("'"&amp;$D$15&amp;"'!invest_2039"),0)
+IFERROR(INDIRECT("'"&amp;$D$16&amp;"'!invest_2039"),0)
+IFERROR(INDIRECT("'"&amp;$D$17&amp;"'!invest_2039"),0)
+IFERROR(INDIRECT("'"&amp;$D$18&amp;"'!invest_2039"),0)
+IFERROR(INDIRECT("'"&amp;$D$19&amp;"'!invest_2039"),0)
+IFERROR(INDIRECT("'"&amp;$D$20&amp;"'!invest_2039"),0)
+IFERROR(INDIRECT("'"&amp;$D$21&amp;"'!invest_2039"),0)
+IFERROR(INDIRECT("'"&amp;$D$22&amp;"'!invest_2039"),0)
+IFERROR(INDIRECT("'"&amp;$D$23&amp;"'!invest_2039"),0)
+IFERROR(INDIRECT("'"&amp;$D$24&amp;"'!invest_2039"),0)
+IFERROR(INDIRECT("'"&amp;$D$25&amp;"'!invest_2039"),0)
+IFERROR(INDIRECT("'"&amp;$D$26&amp;"'!invest_2039"),0)
+IFERROR(INDIRECT("'"&amp;$D$27&amp;"'!invest_2039"),0)
+IFERROR(INDIRECT("'"&amp;$D$28&amp;"'!invest_2039"),0)
+IFERROR(INDIRECT("'"&amp;$D$29&amp;"'!invest_2039"),0)
+IFERROR(INDIRECT("'"&amp;$D$30&amp;"'!invest_2039"),0)
+IFERROR(INDIRECT("'"&amp;$D$31&amp;"'!invest_2039"),0)
+IFERROR(INDIRECT("'"&amp;$D$32&amp;"'!invest_2039"),0)
+IFERROR(INDIRECT("'"&amp;$D$33&amp;"'!invest_2039"),0)
+IFERROR(INDIRECT("'"&amp;$D$34&amp;"'!invest_2039"),0)
+IFERROR(INDIRECT("'"&amp;$D$35&amp;"'!invest_2039"),0)
+IFERROR(INDIRECT("'"&amp;$D$36&amp;"'!invest_2039"),0)
+IFERROR(INDIRECT("'"&amp;$D$37&amp;"'!invest_2039"),0)
+IFERROR(INDIRECT("'"&amp;$D$38&amp;"'!invest_2039"),0)
+IFERROR(INDIRECT("'"&amp;$D$39&amp;"'!invest_2039"),0)
+IFERROR(INDIRECT("'"&amp;$D$40&amp;"'!invest_2039"),0)
+IFERROR(INDIRECT("'"&amp;$D$41&amp;"'!invest_2039"),0)
+IFERROR(INDIRECT("'"&amp;$D$42&amp;"'!invest_2039"),0)
+IFERROR(INDIRECT("'"&amp;$D$43&amp;"'!invest_2039"),0)
+IFERROR(INDIRECT("'"&amp;$D$44&amp;"'!invest_2039"),0)
+IFERROR(INDIRECT("'"&amp;$D$45&amp;"'!invest_2039"),0)
+IFERROR(INDIRECT("'"&amp;$D$46&amp;"'!invest_2039"),0)
+IFERROR(INDIRECT("'"&amp;$D$47&amp;"'!invest_2039"),0)
+IFERROR(INDIRECT("'"&amp;$D$48&amp;"'!invest_2039"),0)
+IFERROR(INDIRECT("'"&amp;$D$49&amp;"'!invest_2039"),0)
+IFERROR(INDIRECT("'"&amp;$D$50&amp;"'!invest_2039"),0)
+IFERROR(INDIRECT("'"&amp;$D$51&amp;"'!invest_2039"),0)
+IFERROR(INDIRECT("'"&amp;$D$52&amp;"'!invest_2039"),0)
+IFERROR(INDIRECT("'"&amp;$D$53&amp;"'!invest_2039"),0)
+IFERROR(INDIRECT("'"&amp;$D$54&amp;"'!invest_2039"),0)</f>
        <v>0</v>
      </c>
      <c r="AD46" s="321">
        <f ca="1">+IFERROR(INDIRECT("'"&amp;$D$5&amp;"'!invest_2040"),0)
+IFERROR(INDIRECT("'"&amp;$D$6&amp;"'!invest_2040"),0)
+IFERROR(INDIRECT("'"&amp;$D$7&amp;"'!invest_2040"),0)
+IFERROR(INDIRECT("'"&amp;$D$8&amp;"'!invest_2040"),0)
+IFERROR(INDIRECT("'"&amp;$D$9&amp;"'!invest_2040"),0)
+IFERROR(INDIRECT("'"&amp;$D$10&amp;"'!invest_2040"),0)
+IFERROR(INDIRECT("'"&amp;$D$11&amp;"'!invest_2040"),0)
+IFERROR(INDIRECT("'"&amp;$D$12&amp;"'!invest_2040"),0)
+IFERROR(INDIRECT("'"&amp;$D$13&amp;"'!invest_2040"),0)
+IFERROR(INDIRECT("'"&amp;$D$14&amp;"'!invest_2040"),0)
+IFERROR(INDIRECT("'"&amp;$D$15&amp;"'!invest_2040"),0)
+IFERROR(INDIRECT("'"&amp;$D$16&amp;"'!invest_2040"),0)
+IFERROR(INDIRECT("'"&amp;$D$17&amp;"'!invest_2040"),0)
+IFERROR(INDIRECT("'"&amp;$D$18&amp;"'!invest_2040"),0)
+IFERROR(INDIRECT("'"&amp;$D$19&amp;"'!invest_2040"),0)
+IFERROR(INDIRECT("'"&amp;$D$20&amp;"'!invest_2040"),0)
+IFERROR(INDIRECT("'"&amp;$D$21&amp;"'!invest_2040"),0)
+IFERROR(INDIRECT("'"&amp;$D$22&amp;"'!invest_2040"),0)
+IFERROR(INDIRECT("'"&amp;$D$23&amp;"'!invest_2040"),0)
+IFERROR(INDIRECT("'"&amp;$D$24&amp;"'!invest_2040"),0)
+IFERROR(INDIRECT("'"&amp;$D$25&amp;"'!invest_2040"),0)
+IFERROR(INDIRECT("'"&amp;$D$26&amp;"'!invest_2040"),0)
+IFERROR(INDIRECT("'"&amp;$D$27&amp;"'!invest_2040"),0)
+IFERROR(INDIRECT("'"&amp;$D$28&amp;"'!invest_2040"),0)
+IFERROR(INDIRECT("'"&amp;$D$29&amp;"'!invest_2040"),0)
+IFERROR(INDIRECT("'"&amp;$D$30&amp;"'!invest_2040"),0)
+IFERROR(INDIRECT("'"&amp;$D$31&amp;"'!invest_2040"),0)
+IFERROR(INDIRECT("'"&amp;$D$32&amp;"'!invest_2040"),0)
+IFERROR(INDIRECT("'"&amp;$D$33&amp;"'!invest_2040"),0)
+IFERROR(INDIRECT("'"&amp;$D$34&amp;"'!invest_2040"),0)
+IFERROR(INDIRECT("'"&amp;$D$35&amp;"'!invest_2040"),0)
+IFERROR(INDIRECT("'"&amp;$D$36&amp;"'!invest_2040"),0)
+IFERROR(INDIRECT("'"&amp;$D$37&amp;"'!invest_2040"),0)
+IFERROR(INDIRECT("'"&amp;$D$38&amp;"'!invest_2040"),0)
+IFERROR(INDIRECT("'"&amp;$D$39&amp;"'!invest_2040"),0)
+IFERROR(INDIRECT("'"&amp;$D$40&amp;"'!invest_2040"),0)
+IFERROR(INDIRECT("'"&amp;$D$41&amp;"'!invest_2040"),0)
+IFERROR(INDIRECT("'"&amp;$D$42&amp;"'!invest_2040"),0)
+IFERROR(INDIRECT("'"&amp;$D$43&amp;"'!invest_2040"),0)
+IFERROR(INDIRECT("'"&amp;$D$44&amp;"'!invest_2040"),0)
+IFERROR(INDIRECT("'"&amp;$D$45&amp;"'!invest_2040"),0)
+IFERROR(INDIRECT("'"&amp;$D$46&amp;"'!invest_2040"),0)
+IFERROR(INDIRECT("'"&amp;$D$47&amp;"'!invest_2040"),0)
+IFERROR(INDIRECT("'"&amp;$D$48&amp;"'!invest_2040"),0)
+IFERROR(INDIRECT("'"&amp;$D$49&amp;"'!invest_2040"),0)
+IFERROR(INDIRECT("'"&amp;$D$50&amp;"'!invest_2040"),0)
+IFERROR(INDIRECT("'"&amp;$D$51&amp;"'!invest_2040"),0)
+IFERROR(INDIRECT("'"&amp;$D$52&amp;"'!invest_2040"),0)
+IFERROR(INDIRECT("'"&amp;$D$53&amp;"'!invest_2040"),0)
+IFERROR(INDIRECT("'"&amp;$D$54&amp;"'!invest_2040"),0)</f>
        <v>0</v>
      </c>
      <c r="AE46" s="321">
        <f ca="1">+IFERROR(INDIRECT("'"&amp;$D$5&amp;"'!invest_2041"),0)
+IFERROR(INDIRECT("'"&amp;$D$6&amp;"'!invest_2041"),0)
+IFERROR(INDIRECT("'"&amp;$D$7&amp;"'!invest_2041"),0)
+IFERROR(INDIRECT("'"&amp;$D$8&amp;"'!invest_2041"),0)
+IFERROR(INDIRECT("'"&amp;$D$9&amp;"'!invest_2041"),0)
+IFERROR(INDIRECT("'"&amp;$D$10&amp;"'!invest_2041"),0)
+IFERROR(INDIRECT("'"&amp;$D$11&amp;"'!invest_2041"),0)
+IFERROR(INDIRECT("'"&amp;$D$12&amp;"'!invest_2041"),0)
+IFERROR(INDIRECT("'"&amp;$D$13&amp;"'!invest_2041"),0)
+IFERROR(INDIRECT("'"&amp;$D$14&amp;"'!invest_2041"),0)
+IFERROR(INDIRECT("'"&amp;$D$15&amp;"'!invest_2041"),0)
+IFERROR(INDIRECT("'"&amp;$D$16&amp;"'!invest_2041"),0)
+IFERROR(INDIRECT("'"&amp;$D$17&amp;"'!invest_2041"),0)
+IFERROR(INDIRECT("'"&amp;$D$18&amp;"'!invest_2041"),0)
+IFERROR(INDIRECT("'"&amp;$D$19&amp;"'!invest_2041"),0)
+IFERROR(INDIRECT("'"&amp;$D$20&amp;"'!invest_2041"),0)
+IFERROR(INDIRECT("'"&amp;$D$21&amp;"'!invest_2041"),0)
+IFERROR(INDIRECT("'"&amp;$D$22&amp;"'!invest_2041"),0)
+IFERROR(INDIRECT("'"&amp;$D$23&amp;"'!invest_2041"),0)
+IFERROR(INDIRECT("'"&amp;$D$24&amp;"'!invest_2041"),0)
+IFERROR(INDIRECT("'"&amp;$D$25&amp;"'!invest_2041"),0)
+IFERROR(INDIRECT("'"&amp;$D$26&amp;"'!invest_2041"),0)
+IFERROR(INDIRECT("'"&amp;$D$27&amp;"'!invest_2041"),0)
+IFERROR(INDIRECT("'"&amp;$D$28&amp;"'!invest_2041"),0)
+IFERROR(INDIRECT("'"&amp;$D$29&amp;"'!invest_2041"),0)
+IFERROR(INDIRECT("'"&amp;$D$30&amp;"'!invest_2041"),0)
+IFERROR(INDIRECT("'"&amp;$D$31&amp;"'!invest_2041"),0)
+IFERROR(INDIRECT("'"&amp;$D$32&amp;"'!invest_2041"),0)
+IFERROR(INDIRECT("'"&amp;$D$33&amp;"'!invest_2041"),0)
+IFERROR(INDIRECT("'"&amp;$D$34&amp;"'!invest_2041"),0)
+IFERROR(INDIRECT("'"&amp;$D$35&amp;"'!invest_2041"),0)
+IFERROR(INDIRECT("'"&amp;$D$36&amp;"'!invest_2041"),0)
+IFERROR(INDIRECT("'"&amp;$D$37&amp;"'!invest_2041"),0)
+IFERROR(INDIRECT("'"&amp;$D$38&amp;"'!invest_2041"),0)
+IFERROR(INDIRECT("'"&amp;$D$39&amp;"'!invest_2041"),0)
+IFERROR(INDIRECT("'"&amp;$D$40&amp;"'!invest_2041"),0)
+IFERROR(INDIRECT("'"&amp;$D$41&amp;"'!invest_2041"),0)
+IFERROR(INDIRECT("'"&amp;$D$42&amp;"'!invest_2041"),0)
+IFERROR(INDIRECT("'"&amp;$D$43&amp;"'!invest_2041"),0)
+IFERROR(INDIRECT("'"&amp;$D$44&amp;"'!invest_2041"),0)
+IFERROR(INDIRECT("'"&amp;$D$45&amp;"'!invest_2041"),0)
+IFERROR(INDIRECT("'"&amp;$D$46&amp;"'!invest_2041"),0)
+IFERROR(INDIRECT("'"&amp;$D$47&amp;"'!invest_2041"),0)
+IFERROR(INDIRECT("'"&amp;$D$48&amp;"'!invest_2041"),0)
+IFERROR(INDIRECT("'"&amp;$D$49&amp;"'!invest_2041"),0)
+IFERROR(INDIRECT("'"&amp;$D$50&amp;"'!invest_2041"),0)
+IFERROR(INDIRECT("'"&amp;$D$51&amp;"'!invest_2041"),0)
+IFERROR(INDIRECT("'"&amp;$D$52&amp;"'!invest_2041"),0)
+IFERROR(INDIRECT("'"&amp;$D$53&amp;"'!invest_2041"),0)
+IFERROR(INDIRECT("'"&amp;$D$54&amp;"'!invest_2041"),0)</f>
        <v>0</v>
      </c>
      <c r="AF46" s="321">
        <f ca="1">+IFERROR(INDIRECT("'"&amp;$D$5&amp;"'!invest_2042"),0)
+IFERROR(INDIRECT("'"&amp;$D$6&amp;"'!invest_2042"),0)
+IFERROR(INDIRECT("'"&amp;$D$7&amp;"'!invest_2042"),0)
+IFERROR(INDIRECT("'"&amp;$D$8&amp;"'!invest_2042"),0)
+IFERROR(INDIRECT("'"&amp;$D$9&amp;"'!invest_2042"),0)
+IFERROR(INDIRECT("'"&amp;$D$10&amp;"'!invest_2042"),0)
+IFERROR(INDIRECT("'"&amp;$D$11&amp;"'!invest_2042"),0)
+IFERROR(INDIRECT("'"&amp;$D$12&amp;"'!invest_2042"),0)
+IFERROR(INDIRECT("'"&amp;$D$13&amp;"'!invest_2042"),0)
+IFERROR(INDIRECT("'"&amp;$D$14&amp;"'!invest_2042"),0)
+IFERROR(INDIRECT("'"&amp;$D$15&amp;"'!invest_2042"),0)
+IFERROR(INDIRECT("'"&amp;$D$16&amp;"'!invest_2042"),0)
+IFERROR(INDIRECT("'"&amp;$D$17&amp;"'!invest_2042"),0)
+IFERROR(INDIRECT("'"&amp;$D$18&amp;"'!invest_2042"),0)
+IFERROR(INDIRECT("'"&amp;$D$19&amp;"'!invest_2042"),0)
+IFERROR(INDIRECT("'"&amp;$D$20&amp;"'!invest_2042"),0)
+IFERROR(INDIRECT("'"&amp;$D$21&amp;"'!invest_2042"),0)
+IFERROR(INDIRECT("'"&amp;$D$22&amp;"'!invest_2042"),0)
+IFERROR(INDIRECT("'"&amp;$D$23&amp;"'!invest_2042"),0)
+IFERROR(INDIRECT("'"&amp;$D$24&amp;"'!invest_2042"),0)
+IFERROR(INDIRECT("'"&amp;$D$25&amp;"'!invest_2042"),0)
+IFERROR(INDIRECT("'"&amp;$D$26&amp;"'!invest_2042"),0)
+IFERROR(INDIRECT("'"&amp;$D$27&amp;"'!invest_2042"),0)
+IFERROR(INDIRECT("'"&amp;$D$28&amp;"'!invest_2042"),0)
+IFERROR(INDIRECT("'"&amp;$D$29&amp;"'!invest_2042"),0)
+IFERROR(INDIRECT("'"&amp;$D$30&amp;"'!invest_2042"),0)
+IFERROR(INDIRECT("'"&amp;$D$31&amp;"'!invest_2042"),0)
+IFERROR(INDIRECT("'"&amp;$D$32&amp;"'!invest_2042"),0)
+IFERROR(INDIRECT("'"&amp;$D$33&amp;"'!invest_2042"),0)
+IFERROR(INDIRECT("'"&amp;$D$34&amp;"'!invest_2042"),0)
+IFERROR(INDIRECT("'"&amp;$D$35&amp;"'!invest_2042"),0)
+IFERROR(INDIRECT("'"&amp;$D$36&amp;"'!invest_2042"),0)
+IFERROR(INDIRECT("'"&amp;$D$37&amp;"'!invest_2042"),0)
+IFERROR(INDIRECT("'"&amp;$D$38&amp;"'!invest_2042"),0)
+IFERROR(INDIRECT("'"&amp;$D$39&amp;"'!invest_2042"),0)
+IFERROR(INDIRECT("'"&amp;$D$40&amp;"'!invest_2042"),0)
+IFERROR(INDIRECT("'"&amp;$D$41&amp;"'!invest_2042"),0)
+IFERROR(INDIRECT("'"&amp;$D$42&amp;"'!invest_2042"),0)
+IFERROR(INDIRECT("'"&amp;$D$43&amp;"'!invest_2042"),0)
+IFERROR(INDIRECT("'"&amp;$D$44&amp;"'!invest_2042"),0)
+IFERROR(INDIRECT("'"&amp;$D$45&amp;"'!invest_2042"),0)
+IFERROR(INDIRECT("'"&amp;$D$46&amp;"'!invest_2042"),0)
+IFERROR(INDIRECT("'"&amp;$D$47&amp;"'!invest_2042"),0)
+IFERROR(INDIRECT("'"&amp;$D$48&amp;"'!invest_2042"),0)
+IFERROR(INDIRECT("'"&amp;$D$49&amp;"'!invest_2042"),0)
+IFERROR(INDIRECT("'"&amp;$D$50&amp;"'!invest_2042"),0)
+IFERROR(INDIRECT("'"&amp;$D$51&amp;"'!invest_2042"),0)
+IFERROR(INDIRECT("'"&amp;$D$52&amp;"'!invest_2042"),0)
+IFERROR(INDIRECT("'"&amp;$D$53&amp;"'!invest_2042"),0)
+IFERROR(INDIRECT("'"&amp;$D$54&amp;"'!invest_2042"),0)</f>
        <v>0</v>
      </c>
      <c r="AG46" s="321">
        <f ca="1">+IFERROR(INDIRECT("'"&amp;$D$5&amp;"'!invest_2043"),0)
+IFERROR(INDIRECT("'"&amp;$D$6&amp;"'!invest_2043"),0)
+IFERROR(INDIRECT("'"&amp;$D$7&amp;"'!invest_2043"),0)
+IFERROR(INDIRECT("'"&amp;$D$8&amp;"'!invest_2043"),0)
+IFERROR(INDIRECT("'"&amp;$D$9&amp;"'!invest_2043"),0)
+IFERROR(INDIRECT("'"&amp;$D$10&amp;"'!invest_2043"),0)
+IFERROR(INDIRECT("'"&amp;$D$11&amp;"'!invest_2043"),0)
+IFERROR(INDIRECT("'"&amp;$D$12&amp;"'!invest_2043"),0)
+IFERROR(INDIRECT("'"&amp;$D$13&amp;"'!invest_2043"),0)
+IFERROR(INDIRECT("'"&amp;$D$14&amp;"'!invest_2043"),0)
+IFERROR(INDIRECT("'"&amp;$D$15&amp;"'!invest_2043"),0)
+IFERROR(INDIRECT("'"&amp;$D$16&amp;"'!invest_2043"),0)
+IFERROR(INDIRECT("'"&amp;$D$17&amp;"'!invest_2043"),0)
+IFERROR(INDIRECT("'"&amp;$D$18&amp;"'!invest_2043"),0)
+IFERROR(INDIRECT("'"&amp;$D$19&amp;"'!invest_2043"),0)
+IFERROR(INDIRECT("'"&amp;$D$20&amp;"'!invest_2043"),0)
+IFERROR(INDIRECT("'"&amp;$D$21&amp;"'!invest_2043"),0)
+IFERROR(INDIRECT("'"&amp;$D$22&amp;"'!invest_2043"),0)
+IFERROR(INDIRECT("'"&amp;$D$23&amp;"'!invest_2043"),0)
+IFERROR(INDIRECT("'"&amp;$D$24&amp;"'!invest_2043"),0)
+IFERROR(INDIRECT("'"&amp;$D$25&amp;"'!invest_2043"),0)
+IFERROR(INDIRECT("'"&amp;$D$26&amp;"'!invest_2043"),0)
+IFERROR(INDIRECT("'"&amp;$D$27&amp;"'!invest_2043"),0)
+IFERROR(INDIRECT("'"&amp;$D$28&amp;"'!invest_2043"),0)
+IFERROR(INDIRECT("'"&amp;$D$29&amp;"'!invest_2043"),0)
+IFERROR(INDIRECT("'"&amp;$D$30&amp;"'!invest_2043"),0)
+IFERROR(INDIRECT("'"&amp;$D$31&amp;"'!invest_2043"),0)
+IFERROR(INDIRECT("'"&amp;$D$32&amp;"'!invest_2043"),0)
+IFERROR(INDIRECT("'"&amp;$D$33&amp;"'!invest_2043"),0)
+IFERROR(INDIRECT("'"&amp;$D$34&amp;"'!invest_2043"),0)
+IFERROR(INDIRECT("'"&amp;$D$35&amp;"'!invest_2043"),0)
+IFERROR(INDIRECT("'"&amp;$D$36&amp;"'!invest_2043"),0)
+IFERROR(INDIRECT("'"&amp;$D$37&amp;"'!invest_2043"),0)
+IFERROR(INDIRECT("'"&amp;$D$38&amp;"'!invest_2043"),0)
+IFERROR(INDIRECT("'"&amp;$D$39&amp;"'!invest_2043"),0)
+IFERROR(INDIRECT("'"&amp;$D$40&amp;"'!invest_2043"),0)
+IFERROR(INDIRECT("'"&amp;$D$41&amp;"'!invest_2043"),0)
+IFERROR(INDIRECT("'"&amp;$D$42&amp;"'!invest_2043"),0)
+IFERROR(INDIRECT("'"&amp;$D$43&amp;"'!invest_2043"),0)
+IFERROR(INDIRECT("'"&amp;$D$44&amp;"'!invest_2043"),0)
+IFERROR(INDIRECT("'"&amp;$D$45&amp;"'!invest_2043"),0)
+IFERROR(INDIRECT("'"&amp;$D$46&amp;"'!invest_2043"),0)
+IFERROR(INDIRECT("'"&amp;$D$47&amp;"'!invest_2043"),0)
+IFERROR(INDIRECT("'"&amp;$D$48&amp;"'!invest_2043"),0)
+IFERROR(INDIRECT("'"&amp;$D$49&amp;"'!invest_2043"),0)
+IFERROR(INDIRECT("'"&amp;$D$50&amp;"'!invest_2043"),0)
+IFERROR(INDIRECT("'"&amp;$D$51&amp;"'!invest_2043"),0)
+IFERROR(INDIRECT("'"&amp;$D$52&amp;"'!invest_2043"),0)
+IFERROR(INDIRECT("'"&amp;$D$53&amp;"'!invest_2043"),0)
+IFERROR(INDIRECT("'"&amp;$D$54&amp;"'!invest_2043"),0)</f>
        <v>0</v>
      </c>
      <c r="AH46" s="321">
        <f ca="1">+IFERROR(INDIRECT("'"&amp;$D$5&amp;"'!invest_2044"),0)
+IFERROR(INDIRECT("'"&amp;$D$6&amp;"'!invest_2044"),0)
+IFERROR(INDIRECT("'"&amp;$D$7&amp;"'!invest_2044"),0)
+IFERROR(INDIRECT("'"&amp;$D$8&amp;"'!invest_2044"),0)
+IFERROR(INDIRECT("'"&amp;$D$9&amp;"'!invest_2044"),0)
+IFERROR(INDIRECT("'"&amp;$D$10&amp;"'!invest_2044"),0)
+IFERROR(INDIRECT("'"&amp;$D$11&amp;"'!invest_2044"),0)
+IFERROR(INDIRECT("'"&amp;$D$12&amp;"'!invest_2044"),0)
+IFERROR(INDIRECT("'"&amp;$D$13&amp;"'!invest_2044"),0)
+IFERROR(INDIRECT("'"&amp;$D$14&amp;"'!invest_2044"),0)
+IFERROR(INDIRECT("'"&amp;$D$15&amp;"'!invest_2044"),0)
+IFERROR(INDIRECT("'"&amp;$D$16&amp;"'!invest_2044"),0)
+IFERROR(INDIRECT("'"&amp;$D$17&amp;"'!invest_2044"),0)
+IFERROR(INDIRECT("'"&amp;$D$18&amp;"'!invest_2044"),0)
+IFERROR(INDIRECT("'"&amp;$D$19&amp;"'!invest_2044"),0)
+IFERROR(INDIRECT("'"&amp;$D$20&amp;"'!invest_2044"),0)
+IFERROR(INDIRECT("'"&amp;$D$21&amp;"'!invest_2044"),0)
+IFERROR(INDIRECT("'"&amp;$D$22&amp;"'!invest_2044"),0)
+IFERROR(INDIRECT("'"&amp;$D$23&amp;"'!invest_2044"),0)
+IFERROR(INDIRECT("'"&amp;$D$24&amp;"'!invest_2044"),0)
+IFERROR(INDIRECT("'"&amp;$D$25&amp;"'!invest_2044"),0)
+IFERROR(INDIRECT("'"&amp;$D$26&amp;"'!invest_2044"),0)
+IFERROR(INDIRECT("'"&amp;$D$27&amp;"'!invest_2044"),0)
+IFERROR(INDIRECT("'"&amp;$D$28&amp;"'!invest_2044"),0)
+IFERROR(INDIRECT("'"&amp;$D$29&amp;"'!invest_2044"),0)
+IFERROR(INDIRECT("'"&amp;$D$30&amp;"'!invest_2044"),0)
+IFERROR(INDIRECT("'"&amp;$D$31&amp;"'!invest_2044"),0)
+IFERROR(INDIRECT("'"&amp;$D$32&amp;"'!invest_2044"),0)
+IFERROR(INDIRECT("'"&amp;$D$33&amp;"'!invest_2044"),0)
+IFERROR(INDIRECT("'"&amp;$D$34&amp;"'!invest_2044"),0)
+IFERROR(INDIRECT("'"&amp;$D$35&amp;"'!invest_2044"),0)
+IFERROR(INDIRECT("'"&amp;$D$36&amp;"'!invest_2044"),0)
+IFERROR(INDIRECT("'"&amp;$D$37&amp;"'!invest_2044"),0)
+IFERROR(INDIRECT("'"&amp;$D$38&amp;"'!invest_2044"),0)
+IFERROR(INDIRECT("'"&amp;$D$39&amp;"'!invest_2044"),0)
+IFERROR(INDIRECT("'"&amp;$D$40&amp;"'!invest_2044"),0)
+IFERROR(INDIRECT("'"&amp;$D$41&amp;"'!invest_2044"),0)
+IFERROR(INDIRECT("'"&amp;$D$42&amp;"'!invest_2044"),0)
+IFERROR(INDIRECT("'"&amp;$D$43&amp;"'!invest_2044"),0)
+IFERROR(INDIRECT("'"&amp;$D$44&amp;"'!invest_2044"),0)
+IFERROR(INDIRECT("'"&amp;$D$45&amp;"'!invest_2044"),0)
+IFERROR(INDIRECT("'"&amp;$D$46&amp;"'!invest_2044"),0)
+IFERROR(INDIRECT("'"&amp;$D$47&amp;"'!invest_2044"),0)
+IFERROR(INDIRECT("'"&amp;$D$48&amp;"'!invest_2044"),0)
+IFERROR(INDIRECT("'"&amp;$D$49&amp;"'!invest_2044"),0)
+IFERROR(INDIRECT("'"&amp;$D$50&amp;"'!invest_2044"),0)
+IFERROR(INDIRECT("'"&amp;$D$51&amp;"'!invest_2044"),0)
+IFERROR(INDIRECT("'"&amp;$D$52&amp;"'!invest_2044"),0)
+IFERROR(INDIRECT("'"&amp;$D$53&amp;"'!invest_2044"),0)
+IFERROR(INDIRECT("'"&amp;$D$54&amp;"'!invest_2044"),0)</f>
        <v>0</v>
      </c>
      <c r="AI46" s="321">
        <f ca="1">+IFERROR(INDIRECT("'"&amp;$D$5&amp;"'!invest_2045"),0)
+IFERROR(INDIRECT("'"&amp;$D$6&amp;"'!invest_2045"),0)
+IFERROR(INDIRECT("'"&amp;$D$7&amp;"'!invest_2045"),0)
+IFERROR(INDIRECT("'"&amp;$D$8&amp;"'!invest_2045"),0)
+IFERROR(INDIRECT("'"&amp;$D$9&amp;"'!invest_2045"),0)
+IFERROR(INDIRECT("'"&amp;$D$10&amp;"'!invest_2045"),0)
+IFERROR(INDIRECT("'"&amp;$D$11&amp;"'!invest_2045"),0)
+IFERROR(INDIRECT("'"&amp;$D$12&amp;"'!invest_2045"),0)
+IFERROR(INDIRECT("'"&amp;$D$13&amp;"'!invest_2045"),0)
+IFERROR(INDIRECT("'"&amp;$D$14&amp;"'!invest_2045"),0)
+IFERROR(INDIRECT("'"&amp;$D$15&amp;"'!invest_2045"),0)
+IFERROR(INDIRECT("'"&amp;$D$16&amp;"'!invest_2045"),0)
+IFERROR(INDIRECT("'"&amp;$D$17&amp;"'!invest_2045"),0)
+IFERROR(INDIRECT("'"&amp;$D$18&amp;"'!invest_2045"),0)
+IFERROR(INDIRECT("'"&amp;$D$19&amp;"'!invest_2045"),0)
+IFERROR(INDIRECT("'"&amp;$D$20&amp;"'!invest_2045"),0)
+IFERROR(INDIRECT("'"&amp;$D$21&amp;"'!invest_2045"),0)
+IFERROR(INDIRECT("'"&amp;$D$22&amp;"'!invest_2045"),0)
+IFERROR(INDIRECT("'"&amp;$D$23&amp;"'!invest_2045"),0)
+IFERROR(INDIRECT("'"&amp;$D$24&amp;"'!invest_2045"),0)
+IFERROR(INDIRECT("'"&amp;$D$25&amp;"'!invest_2045"),0)
+IFERROR(INDIRECT("'"&amp;$D$26&amp;"'!invest_2045"),0)
+IFERROR(INDIRECT("'"&amp;$D$27&amp;"'!invest_2045"),0)
+IFERROR(INDIRECT("'"&amp;$D$28&amp;"'!invest_2045"),0)
+IFERROR(INDIRECT("'"&amp;$D$29&amp;"'!invest_2045"),0)
+IFERROR(INDIRECT("'"&amp;$D$30&amp;"'!invest_2045"),0)
+IFERROR(INDIRECT("'"&amp;$D$31&amp;"'!invest_2045"),0)
+IFERROR(INDIRECT("'"&amp;$D$32&amp;"'!invest_2045"),0)
+IFERROR(INDIRECT("'"&amp;$D$33&amp;"'!invest_2045"),0)
+IFERROR(INDIRECT("'"&amp;$D$34&amp;"'!invest_2045"),0)
+IFERROR(INDIRECT("'"&amp;$D$35&amp;"'!invest_2045"),0)
+IFERROR(INDIRECT("'"&amp;$D$36&amp;"'!invest_2045"),0)
+IFERROR(INDIRECT("'"&amp;$D$37&amp;"'!invest_2045"),0)
+IFERROR(INDIRECT("'"&amp;$D$38&amp;"'!invest_2045"),0)
+IFERROR(INDIRECT("'"&amp;$D$39&amp;"'!invest_2045"),0)
+IFERROR(INDIRECT("'"&amp;$D$40&amp;"'!invest_2045"),0)
+IFERROR(INDIRECT("'"&amp;$D$41&amp;"'!invest_2045"),0)
+IFERROR(INDIRECT("'"&amp;$D$42&amp;"'!invest_2045"),0)
+IFERROR(INDIRECT("'"&amp;$D$43&amp;"'!invest_2045"),0)
+IFERROR(INDIRECT("'"&amp;$D$44&amp;"'!invest_2045"),0)
+IFERROR(INDIRECT("'"&amp;$D$45&amp;"'!invest_2045"),0)
+IFERROR(INDIRECT("'"&amp;$D$46&amp;"'!invest_2045"),0)
+IFERROR(INDIRECT("'"&amp;$D$47&amp;"'!invest_2045"),0)
+IFERROR(INDIRECT("'"&amp;$D$48&amp;"'!invest_2045"),0)
+IFERROR(INDIRECT("'"&amp;$D$49&amp;"'!invest_2045"),0)
+IFERROR(INDIRECT("'"&amp;$D$50&amp;"'!invest_2045"),0)
+IFERROR(INDIRECT("'"&amp;$D$51&amp;"'!invest_2045"),0)
+IFERROR(INDIRECT("'"&amp;$D$52&amp;"'!invest_2045"),0)
+IFERROR(INDIRECT("'"&amp;$D$53&amp;"'!invest_2045"),0)
+IFERROR(INDIRECT("'"&amp;$D$54&amp;"'!invest_2045"),0)</f>
        <v>0</v>
      </c>
      <c r="AJ46" s="321">
        <f ca="1">+IFERROR(INDIRECT("'"&amp;$D$5&amp;"'!invest_2046"),0)
+IFERROR(INDIRECT("'"&amp;$D$6&amp;"'!invest_2046"),0)
+IFERROR(INDIRECT("'"&amp;$D$7&amp;"'!invest_2046"),0)
+IFERROR(INDIRECT("'"&amp;$D$8&amp;"'!invest_2046"),0)
+IFERROR(INDIRECT("'"&amp;$D$9&amp;"'!invest_2046"),0)
+IFERROR(INDIRECT("'"&amp;$D$10&amp;"'!invest_2046"),0)
+IFERROR(INDIRECT("'"&amp;$D$11&amp;"'!invest_2046"),0)
+IFERROR(INDIRECT("'"&amp;$D$12&amp;"'!invest_2046"),0)
+IFERROR(INDIRECT("'"&amp;$D$13&amp;"'!invest_2046"),0)
+IFERROR(INDIRECT("'"&amp;$D$14&amp;"'!invest_2046"),0)
+IFERROR(INDIRECT("'"&amp;$D$15&amp;"'!invest_2046"),0)
+IFERROR(INDIRECT("'"&amp;$D$16&amp;"'!invest_2046"),0)
+IFERROR(INDIRECT("'"&amp;$D$17&amp;"'!invest_2046"),0)
+IFERROR(INDIRECT("'"&amp;$D$18&amp;"'!invest_2046"),0)
+IFERROR(INDIRECT("'"&amp;$D$19&amp;"'!invest_2046"),0)
+IFERROR(INDIRECT("'"&amp;$D$20&amp;"'!invest_2046"),0)
+IFERROR(INDIRECT("'"&amp;$D$21&amp;"'!invest_2046"),0)
+IFERROR(INDIRECT("'"&amp;$D$22&amp;"'!invest_2046"),0)
+IFERROR(INDIRECT("'"&amp;$D$23&amp;"'!invest_2046"),0)
+IFERROR(INDIRECT("'"&amp;$D$24&amp;"'!invest_2046"),0)
+IFERROR(INDIRECT("'"&amp;$D$25&amp;"'!invest_2046"),0)
+IFERROR(INDIRECT("'"&amp;$D$26&amp;"'!invest_2046"),0)
+IFERROR(INDIRECT("'"&amp;$D$27&amp;"'!invest_2046"),0)
+IFERROR(INDIRECT("'"&amp;$D$28&amp;"'!invest_2046"),0)
+IFERROR(INDIRECT("'"&amp;$D$29&amp;"'!invest_2046"),0)
+IFERROR(INDIRECT("'"&amp;$D$30&amp;"'!invest_2046"),0)
+IFERROR(INDIRECT("'"&amp;$D$31&amp;"'!invest_2046"),0)
+IFERROR(INDIRECT("'"&amp;$D$32&amp;"'!invest_2046"),0)
+IFERROR(INDIRECT("'"&amp;$D$33&amp;"'!invest_2046"),0)
+IFERROR(INDIRECT("'"&amp;$D$34&amp;"'!invest_2046"),0)
+IFERROR(INDIRECT("'"&amp;$D$35&amp;"'!invest_2046"),0)
+IFERROR(INDIRECT("'"&amp;$D$36&amp;"'!invest_2046"),0)
+IFERROR(INDIRECT("'"&amp;$D$37&amp;"'!invest_2046"),0)
+IFERROR(INDIRECT("'"&amp;$D$38&amp;"'!invest_2046"),0)
+IFERROR(INDIRECT("'"&amp;$D$39&amp;"'!invest_2046"),0)
+IFERROR(INDIRECT("'"&amp;$D$40&amp;"'!invest_2046"),0)
+IFERROR(INDIRECT("'"&amp;$D$41&amp;"'!invest_2046"),0)
+IFERROR(INDIRECT("'"&amp;$D$42&amp;"'!invest_2046"),0)
+IFERROR(INDIRECT("'"&amp;$D$43&amp;"'!invest_2046"),0)
+IFERROR(INDIRECT("'"&amp;$D$44&amp;"'!invest_2046"),0)
+IFERROR(INDIRECT("'"&amp;$D$45&amp;"'!invest_2046"),0)
+IFERROR(INDIRECT("'"&amp;$D$46&amp;"'!invest_2046"),0)
+IFERROR(INDIRECT("'"&amp;$D$47&amp;"'!invest_2046"),0)
+IFERROR(INDIRECT("'"&amp;$D$48&amp;"'!invest_2046"),0)
+IFERROR(INDIRECT("'"&amp;$D$49&amp;"'!invest_2046"),0)
+IFERROR(INDIRECT("'"&amp;$D$50&amp;"'!invest_2046"),0)
+IFERROR(INDIRECT("'"&amp;$D$51&amp;"'!invest_2046"),0)
+IFERROR(INDIRECT("'"&amp;$D$52&amp;"'!invest_2046"),0)
+IFERROR(INDIRECT("'"&amp;$D$53&amp;"'!invest_2046"),0)
+IFERROR(INDIRECT("'"&amp;$D$54&amp;"'!invest_2046"),0)</f>
        <v>0</v>
      </c>
      <c r="AK46" s="321">
        <f ca="1">+IFERROR(INDIRECT("'"&amp;$D$5&amp;"'!invest_2047"),0)
+IFERROR(INDIRECT("'"&amp;$D$6&amp;"'!invest_2047"),0)
+IFERROR(INDIRECT("'"&amp;$D$7&amp;"'!invest_2047"),0)
+IFERROR(INDIRECT("'"&amp;$D$8&amp;"'!invest_2047"),0)
+IFERROR(INDIRECT("'"&amp;$D$9&amp;"'!invest_2047"),0)
+IFERROR(INDIRECT("'"&amp;$D$10&amp;"'!invest_2047"),0)
+IFERROR(INDIRECT("'"&amp;$D$11&amp;"'!invest_2047"),0)
+IFERROR(INDIRECT("'"&amp;$D$12&amp;"'!invest_2047"),0)
+IFERROR(INDIRECT("'"&amp;$D$13&amp;"'!invest_2047"),0)
+IFERROR(INDIRECT("'"&amp;$D$14&amp;"'!invest_2047"),0)
+IFERROR(INDIRECT("'"&amp;$D$15&amp;"'!invest_2047"),0)
+IFERROR(INDIRECT("'"&amp;$D$16&amp;"'!invest_2047"),0)
+IFERROR(INDIRECT("'"&amp;$D$17&amp;"'!invest_2047"),0)
+IFERROR(INDIRECT("'"&amp;$D$18&amp;"'!invest_2047"),0)
+IFERROR(INDIRECT("'"&amp;$D$19&amp;"'!invest_2047"),0)
+IFERROR(INDIRECT("'"&amp;$D$20&amp;"'!invest_2047"),0)
+IFERROR(INDIRECT("'"&amp;$D$21&amp;"'!invest_2047"),0)
+IFERROR(INDIRECT("'"&amp;$D$22&amp;"'!invest_2047"),0)
+IFERROR(INDIRECT("'"&amp;$D$23&amp;"'!invest_2047"),0)
+IFERROR(INDIRECT("'"&amp;$D$24&amp;"'!invest_2047"),0)
+IFERROR(INDIRECT("'"&amp;$D$25&amp;"'!invest_2047"),0)
+IFERROR(INDIRECT("'"&amp;$D$26&amp;"'!invest_2047"),0)
+IFERROR(INDIRECT("'"&amp;$D$27&amp;"'!invest_2047"),0)
+IFERROR(INDIRECT("'"&amp;$D$28&amp;"'!invest_2047"),0)
+IFERROR(INDIRECT("'"&amp;$D$29&amp;"'!invest_2047"),0)
+IFERROR(INDIRECT("'"&amp;$D$30&amp;"'!invest_2047"),0)
+IFERROR(INDIRECT("'"&amp;$D$31&amp;"'!invest_2047"),0)
+IFERROR(INDIRECT("'"&amp;$D$32&amp;"'!invest_2047"),0)
+IFERROR(INDIRECT("'"&amp;$D$33&amp;"'!invest_2047"),0)
+IFERROR(INDIRECT("'"&amp;$D$34&amp;"'!invest_2047"),0)
+IFERROR(INDIRECT("'"&amp;$D$35&amp;"'!invest_2047"),0)
+IFERROR(INDIRECT("'"&amp;$D$36&amp;"'!invest_2047"),0)
+IFERROR(INDIRECT("'"&amp;$D$37&amp;"'!invest_2047"),0)
+IFERROR(INDIRECT("'"&amp;$D$38&amp;"'!invest_2047"),0)
+IFERROR(INDIRECT("'"&amp;$D$39&amp;"'!invest_2047"),0)
+IFERROR(INDIRECT("'"&amp;$D$40&amp;"'!invest_2047"),0)
+IFERROR(INDIRECT("'"&amp;$D$41&amp;"'!invest_2047"),0)
+IFERROR(INDIRECT("'"&amp;$D$42&amp;"'!invest_2047"),0)
+IFERROR(INDIRECT("'"&amp;$D$43&amp;"'!invest_2047"),0)
+IFERROR(INDIRECT("'"&amp;$D$44&amp;"'!invest_2047"),0)
+IFERROR(INDIRECT("'"&amp;$D$45&amp;"'!invest_2047"),0)
+IFERROR(INDIRECT("'"&amp;$D$46&amp;"'!invest_2047"),0)
+IFERROR(INDIRECT("'"&amp;$D$47&amp;"'!invest_2047"),0)
+IFERROR(INDIRECT("'"&amp;$D$48&amp;"'!invest_2047"),0)
+IFERROR(INDIRECT("'"&amp;$D$49&amp;"'!invest_2047"),0)
+IFERROR(INDIRECT("'"&amp;$D$50&amp;"'!invest_2047"),0)
+IFERROR(INDIRECT("'"&amp;$D$51&amp;"'!invest_2047"),0)
+IFERROR(INDIRECT("'"&amp;$D$52&amp;"'!invest_2047"),0)
+IFERROR(INDIRECT("'"&amp;$D$53&amp;"'!invest_2047"),0)
+IFERROR(INDIRECT("'"&amp;$D$54&amp;"'!invest_2047"),0)</f>
        <v>0</v>
      </c>
      <c r="AL46" s="321">
        <f ca="1">+IFERROR(INDIRECT("'"&amp;$D$5&amp;"'!invest_2048"),0)
+IFERROR(INDIRECT("'"&amp;$D$6&amp;"'!invest_2048"),0)
+IFERROR(INDIRECT("'"&amp;$D$7&amp;"'!invest_2048"),0)
+IFERROR(INDIRECT("'"&amp;$D$8&amp;"'!invest_2048"),0)
+IFERROR(INDIRECT("'"&amp;$D$9&amp;"'!invest_2048"),0)
+IFERROR(INDIRECT("'"&amp;$D$10&amp;"'!invest_2048"),0)
+IFERROR(INDIRECT("'"&amp;$D$11&amp;"'!invest_2048"),0)
+IFERROR(INDIRECT("'"&amp;$D$12&amp;"'!invest_2048"),0)
+IFERROR(INDIRECT("'"&amp;$D$13&amp;"'!invest_2048"),0)
+IFERROR(INDIRECT("'"&amp;$D$14&amp;"'!invest_2048"),0)
+IFERROR(INDIRECT("'"&amp;$D$15&amp;"'!invest_2048"),0)
+IFERROR(INDIRECT("'"&amp;$D$16&amp;"'!invest_2048"),0)
+IFERROR(INDIRECT("'"&amp;$D$17&amp;"'!invest_2048"),0)
+IFERROR(INDIRECT("'"&amp;$D$18&amp;"'!invest_2048"),0)
+IFERROR(INDIRECT("'"&amp;$D$19&amp;"'!invest_2048"),0)
+IFERROR(INDIRECT("'"&amp;$D$20&amp;"'!invest_2048"),0)
+IFERROR(INDIRECT("'"&amp;$D$21&amp;"'!invest_2048"),0)
+IFERROR(INDIRECT("'"&amp;$D$22&amp;"'!invest_2048"),0)
+IFERROR(INDIRECT("'"&amp;$D$23&amp;"'!invest_2048"),0)
+IFERROR(INDIRECT("'"&amp;$D$24&amp;"'!invest_2048"),0)
+IFERROR(INDIRECT("'"&amp;$D$25&amp;"'!invest_2048"),0)
+IFERROR(INDIRECT("'"&amp;$D$26&amp;"'!invest_2048"),0)
+IFERROR(INDIRECT("'"&amp;$D$27&amp;"'!invest_2048"),0)
+IFERROR(INDIRECT("'"&amp;$D$28&amp;"'!invest_2048"),0)
+IFERROR(INDIRECT("'"&amp;$D$29&amp;"'!invest_2048"),0)
+IFERROR(INDIRECT("'"&amp;$D$30&amp;"'!invest_2048"),0)
+IFERROR(INDIRECT("'"&amp;$D$31&amp;"'!invest_2048"),0)
+IFERROR(INDIRECT("'"&amp;$D$32&amp;"'!invest_2048"),0)
+IFERROR(INDIRECT("'"&amp;$D$33&amp;"'!invest_2048"),0)
+IFERROR(INDIRECT("'"&amp;$D$34&amp;"'!invest_2048"),0)
+IFERROR(INDIRECT("'"&amp;$D$35&amp;"'!invest_2048"),0)
+IFERROR(INDIRECT("'"&amp;$D$36&amp;"'!invest_2048"),0)
+IFERROR(INDIRECT("'"&amp;$D$37&amp;"'!invest_2048"),0)
+IFERROR(INDIRECT("'"&amp;$D$38&amp;"'!invest_2048"),0)
+IFERROR(INDIRECT("'"&amp;$D$39&amp;"'!invest_2048"),0)
+IFERROR(INDIRECT("'"&amp;$D$40&amp;"'!invest_2048"),0)
+IFERROR(INDIRECT("'"&amp;$D$41&amp;"'!invest_2048"),0)
+IFERROR(INDIRECT("'"&amp;$D$42&amp;"'!invest_2048"),0)
+IFERROR(INDIRECT("'"&amp;$D$43&amp;"'!invest_2048"),0)
+IFERROR(INDIRECT("'"&amp;$D$44&amp;"'!invest_2048"),0)
+IFERROR(INDIRECT("'"&amp;$D$45&amp;"'!invest_2048"),0)
+IFERROR(INDIRECT("'"&amp;$D$46&amp;"'!invest_2048"),0)
+IFERROR(INDIRECT("'"&amp;$D$47&amp;"'!invest_2048"),0)
+IFERROR(INDIRECT("'"&amp;$D$48&amp;"'!invest_2048"),0)
+IFERROR(INDIRECT("'"&amp;$D$49&amp;"'!invest_2048"),0)
+IFERROR(INDIRECT("'"&amp;$D$50&amp;"'!invest_2048"),0)
+IFERROR(INDIRECT("'"&amp;$D$51&amp;"'!invest_2048"),0)
+IFERROR(INDIRECT("'"&amp;$D$52&amp;"'!invest_2048"),0)
+IFERROR(INDIRECT("'"&amp;$D$53&amp;"'!invest_2048"),0)
+IFERROR(INDIRECT("'"&amp;$D$54&amp;"'!invest_2048"),0)</f>
        <v>0</v>
      </c>
      <c r="AM46" s="321">
        <f ca="1">+IFERROR(INDIRECT("'"&amp;$D$5&amp;"'!invest_2049"),0)
+IFERROR(INDIRECT("'"&amp;$D$6&amp;"'!invest_2049"),0)
+IFERROR(INDIRECT("'"&amp;$D$7&amp;"'!invest_2049"),0)
+IFERROR(INDIRECT("'"&amp;$D$8&amp;"'!invest_2049"),0)
+IFERROR(INDIRECT("'"&amp;$D$9&amp;"'!invest_2049"),0)
+IFERROR(INDIRECT("'"&amp;$D$10&amp;"'!invest_2049"),0)
+IFERROR(INDIRECT("'"&amp;$D$11&amp;"'!invest_2049"),0)
+IFERROR(INDIRECT("'"&amp;$D$12&amp;"'!invest_2049"),0)
+IFERROR(INDIRECT("'"&amp;$D$13&amp;"'!invest_2049"),0)
+IFERROR(INDIRECT("'"&amp;$D$14&amp;"'!invest_2049"),0)
+IFERROR(INDIRECT("'"&amp;$D$15&amp;"'!invest_2049"),0)
+IFERROR(INDIRECT("'"&amp;$D$16&amp;"'!invest_2049"),0)
+IFERROR(INDIRECT("'"&amp;$D$17&amp;"'!invest_2049"),0)
+IFERROR(INDIRECT("'"&amp;$D$18&amp;"'!invest_2049"),0)
+IFERROR(INDIRECT("'"&amp;$D$19&amp;"'!invest_2049"),0)
+IFERROR(INDIRECT("'"&amp;$D$20&amp;"'!invest_2049"),0)
+IFERROR(INDIRECT("'"&amp;$D$21&amp;"'!invest_2049"),0)
+IFERROR(INDIRECT("'"&amp;$D$22&amp;"'!invest_2049"),0)
+IFERROR(INDIRECT("'"&amp;$D$23&amp;"'!invest_2049"),0)
+IFERROR(INDIRECT("'"&amp;$D$24&amp;"'!invest_2049"),0)
+IFERROR(INDIRECT("'"&amp;$D$25&amp;"'!invest_2049"),0)
+IFERROR(INDIRECT("'"&amp;$D$26&amp;"'!invest_2049"),0)
+IFERROR(INDIRECT("'"&amp;$D$27&amp;"'!invest_2049"),0)
+IFERROR(INDIRECT("'"&amp;$D$28&amp;"'!invest_2049"),0)
+IFERROR(INDIRECT("'"&amp;$D$29&amp;"'!invest_2049"),0)
+IFERROR(INDIRECT("'"&amp;$D$30&amp;"'!invest_2049"),0)
+IFERROR(INDIRECT("'"&amp;$D$31&amp;"'!invest_2049"),0)
+IFERROR(INDIRECT("'"&amp;$D$32&amp;"'!invest_2049"),0)
+IFERROR(INDIRECT("'"&amp;$D$33&amp;"'!invest_2049"),0)
+IFERROR(INDIRECT("'"&amp;$D$34&amp;"'!invest_2049"),0)
+IFERROR(INDIRECT("'"&amp;$D$35&amp;"'!invest_2049"),0)
+IFERROR(INDIRECT("'"&amp;$D$36&amp;"'!invest_2049"),0)
+IFERROR(INDIRECT("'"&amp;$D$37&amp;"'!invest_2049"),0)
+IFERROR(INDIRECT("'"&amp;$D$38&amp;"'!invest_2049"),0)
+IFERROR(INDIRECT("'"&amp;$D$39&amp;"'!invest_2049"),0)
+IFERROR(INDIRECT("'"&amp;$D$40&amp;"'!invest_2049"),0)
+IFERROR(INDIRECT("'"&amp;$D$41&amp;"'!invest_2049"),0)
+IFERROR(INDIRECT("'"&amp;$D$42&amp;"'!invest_2049"),0)
+IFERROR(INDIRECT("'"&amp;$D$43&amp;"'!invest_2049"),0)
+IFERROR(INDIRECT("'"&amp;$D$44&amp;"'!invest_2049"),0)
+IFERROR(INDIRECT("'"&amp;$D$45&amp;"'!invest_2049"),0)
+IFERROR(INDIRECT("'"&amp;$D$46&amp;"'!invest_2049"),0)
+IFERROR(INDIRECT("'"&amp;$D$47&amp;"'!invest_2049"),0)
+IFERROR(INDIRECT("'"&amp;$D$48&amp;"'!invest_2049"),0)
+IFERROR(INDIRECT("'"&amp;$D$49&amp;"'!invest_2049"),0)
+IFERROR(INDIRECT("'"&amp;$D$50&amp;"'!invest_2049"),0)
+IFERROR(INDIRECT("'"&amp;$D$51&amp;"'!invest_2049"),0)
+IFERROR(INDIRECT("'"&amp;$D$52&amp;"'!invest_2049"),0)
+IFERROR(INDIRECT("'"&amp;$D$53&amp;"'!invest_2049"),0)
+IFERROR(INDIRECT("'"&amp;$D$54&amp;"'!invest_2049"),0)</f>
        <v>0</v>
      </c>
      <c r="AN46" s="321">
        <f ca="1">+IFERROR(INDIRECT("'"&amp;$D$5&amp;"'!invest_2050"),0)
+IFERROR(INDIRECT("'"&amp;$D$6&amp;"'!invest_2050"),0)
+IFERROR(INDIRECT("'"&amp;$D$7&amp;"'!invest_2050"),0)
+IFERROR(INDIRECT("'"&amp;$D$8&amp;"'!invest_2050"),0)
+IFERROR(INDIRECT("'"&amp;$D$9&amp;"'!invest_2050"),0)
+IFERROR(INDIRECT("'"&amp;$D$10&amp;"'!invest_2050"),0)
+IFERROR(INDIRECT("'"&amp;$D$11&amp;"'!invest_2050"),0)
+IFERROR(INDIRECT("'"&amp;$D$12&amp;"'!invest_2050"),0)
+IFERROR(INDIRECT("'"&amp;$D$13&amp;"'!invest_2050"),0)
+IFERROR(INDIRECT("'"&amp;$D$14&amp;"'!invest_2050"),0)
+IFERROR(INDIRECT("'"&amp;$D$15&amp;"'!invest_2050"),0)
+IFERROR(INDIRECT("'"&amp;$D$16&amp;"'!invest_2050"),0)
+IFERROR(INDIRECT("'"&amp;$D$17&amp;"'!invest_2050"),0)
+IFERROR(INDIRECT("'"&amp;$D$18&amp;"'!invest_2050"),0)
+IFERROR(INDIRECT("'"&amp;$D$19&amp;"'!invest_2050"),0)
+IFERROR(INDIRECT("'"&amp;$D$20&amp;"'!invest_2050"),0)
+IFERROR(INDIRECT("'"&amp;$D$21&amp;"'!invest_2050"),0)
+IFERROR(INDIRECT("'"&amp;$D$22&amp;"'!invest_2050"),0)
+IFERROR(INDIRECT("'"&amp;$D$23&amp;"'!invest_2050"),0)
+IFERROR(INDIRECT("'"&amp;$D$24&amp;"'!invest_2050"),0)
+IFERROR(INDIRECT("'"&amp;$D$25&amp;"'!invest_2050"),0)
+IFERROR(INDIRECT("'"&amp;$D$26&amp;"'!invest_2050"),0)
+IFERROR(INDIRECT("'"&amp;$D$27&amp;"'!invest_2050"),0)
+IFERROR(INDIRECT("'"&amp;$D$28&amp;"'!invest_2050"),0)
+IFERROR(INDIRECT("'"&amp;$D$29&amp;"'!invest_2050"),0)
+IFERROR(INDIRECT("'"&amp;$D$30&amp;"'!invest_2050"),0)
+IFERROR(INDIRECT("'"&amp;$D$31&amp;"'!invest_2050"),0)
+IFERROR(INDIRECT("'"&amp;$D$32&amp;"'!invest_2050"),0)
+IFERROR(INDIRECT("'"&amp;$D$33&amp;"'!invest_2050"),0)
+IFERROR(INDIRECT("'"&amp;$D$34&amp;"'!invest_2050"),0)
+IFERROR(INDIRECT("'"&amp;$D$35&amp;"'!invest_2050"),0)
+IFERROR(INDIRECT("'"&amp;$D$36&amp;"'!invest_2050"),0)
+IFERROR(INDIRECT("'"&amp;$D$37&amp;"'!invest_2050"),0)
+IFERROR(INDIRECT("'"&amp;$D$38&amp;"'!invest_2050"),0)
+IFERROR(INDIRECT("'"&amp;$D$39&amp;"'!invest_2050"),0)
+IFERROR(INDIRECT("'"&amp;$D$40&amp;"'!invest_2050"),0)
+IFERROR(INDIRECT("'"&amp;$D$41&amp;"'!invest_2050"),0)
+IFERROR(INDIRECT("'"&amp;$D$42&amp;"'!invest_2050"),0)
+IFERROR(INDIRECT("'"&amp;$D$43&amp;"'!invest_2050"),0)
+IFERROR(INDIRECT("'"&amp;$D$44&amp;"'!invest_2050"),0)
+IFERROR(INDIRECT("'"&amp;$D$45&amp;"'!invest_2050"),0)
+IFERROR(INDIRECT("'"&amp;$D$46&amp;"'!invest_2050"),0)
+IFERROR(INDIRECT("'"&amp;$D$47&amp;"'!invest_2050"),0)
+IFERROR(INDIRECT("'"&amp;$D$48&amp;"'!invest_2050"),0)
+IFERROR(INDIRECT("'"&amp;$D$49&amp;"'!invest_2050"),0)
+IFERROR(INDIRECT("'"&amp;$D$50&amp;"'!invest_2050"),0)
+IFERROR(INDIRECT("'"&amp;$D$51&amp;"'!invest_2050"),0)
+IFERROR(INDIRECT("'"&amp;$D$52&amp;"'!invest_2050"),0)
+IFERROR(INDIRECT("'"&amp;$D$53&amp;"'!invest_2050"),0)
+IFERROR(INDIRECT("'"&amp;$D$54&amp;"'!invest_2050"),0)</f>
        <v>0</v>
      </c>
      <c r="AO46" s="8"/>
    </row>
    <row r="47" spans="2:41" ht="18.600000000000001" customHeight="1">
      <c r="B47" s="8"/>
      <c r="C47" s="279" t="s">
        <v>84</v>
      </c>
      <c r="D47" s="115"/>
      <c r="E47" s="8"/>
      <c r="F47" s="8"/>
      <c r="G47" s="301" t="s">
        <v>687</v>
      </c>
      <c r="H47" s="321">
        <f ca="1">+IFERROR(INDIRECT("'"&amp;$D$5&amp;"'!investcum_2018"),0)
+IFERROR(INDIRECT("'"&amp;$D$6&amp;"'!investcum_2018"),0)
+IFERROR(INDIRECT("'"&amp;$D$7&amp;"'!investcum_2018"),0)
+IFERROR(INDIRECT("'"&amp;$D$8&amp;"'!investcum_2018"),0)
+IFERROR(INDIRECT("'"&amp;$D$9&amp;"'!investcum_2018"),0)
+IFERROR(INDIRECT("'"&amp;$D$10&amp;"'!investcum_2018"),0)
+IFERROR(INDIRECT("'"&amp;$D$11&amp;"'!investcum_2018"),0)
+IFERROR(INDIRECT("'"&amp;$D$12&amp;"'!investcum_2018"),0)
+IFERROR(INDIRECT("'"&amp;$D$13&amp;"'!investcum_2018"),0)
+IFERROR(INDIRECT("'"&amp;$D$14&amp;"'!investcum_2018"),0)
+IFERROR(INDIRECT("'"&amp;$D$15&amp;"'!investcum_2018"),0)
+IFERROR(INDIRECT("'"&amp;$D$16&amp;"'!investcum_2018"),0)
+IFERROR(INDIRECT("'"&amp;$D$17&amp;"'!investcum_2018"),0)
+IFERROR(INDIRECT("'"&amp;$D$18&amp;"'!investcum_2018"),0)
+IFERROR(INDIRECT("'"&amp;$D$19&amp;"'!investcum_2018"),0)
+IFERROR(INDIRECT("'"&amp;$D$20&amp;"'!investcum_2018"),0)
+IFERROR(INDIRECT("'"&amp;$D$21&amp;"'!investcum_2018"),0)
+IFERROR(INDIRECT("'"&amp;$D$22&amp;"'!investcum_2018"),0)
+IFERROR(INDIRECT("'"&amp;$D$23&amp;"'!investcum_2018"),0)
+IFERROR(INDIRECT("'"&amp;$D$24&amp;"'!investcum_2018"),0)
+IFERROR(INDIRECT("'"&amp;$D$25&amp;"'!investcum_2018"),0)
+IFERROR(INDIRECT("'"&amp;$D$26&amp;"'!investcum_2018"),0)
+IFERROR(INDIRECT("'"&amp;$D$27&amp;"'!investcum_2018"),0)
+IFERROR(INDIRECT("'"&amp;$D$28&amp;"'!investcum_2018"),0)
+IFERROR(INDIRECT("'"&amp;$D$29&amp;"'!investcum_2018"),0)
+IFERROR(INDIRECT("'"&amp;$D$30&amp;"'!investcum_2018"),0)
+IFERROR(INDIRECT("'"&amp;$D$31&amp;"'!investcum_2018"),0)
+IFERROR(INDIRECT("'"&amp;$D$32&amp;"'!investcum_2018"),0)
+IFERROR(INDIRECT("'"&amp;$D$33&amp;"'!investcum_2018"),0)
+IFERROR(INDIRECT("'"&amp;$D$34&amp;"'!investcum_2018"),0)
+IFERROR(INDIRECT("'"&amp;$D$35&amp;"'!investcum_2018"),0)
+IFERROR(INDIRECT("'"&amp;$D$36&amp;"'!investcum_2018"),0)
+IFERROR(INDIRECT("'"&amp;$D$37&amp;"'!investcum_2018"),0)
+IFERROR(INDIRECT("'"&amp;$D$38&amp;"'!investcum_2018"),0)
+IFERROR(INDIRECT("'"&amp;$D$39&amp;"'!investcum_2018"),0)
+IFERROR(INDIRECT("'"&amp;$D$40&amp;"'!investcum_2018"),0)
+IFERROR(INDIRECT("'"&amp;$D$41&amp;"'!investcum_2018"),0)
+IFERROR(INDIRECT("'"&amp;$D$42&amp;"'!investcum_2018"),0)
+IFERROR(INDIRECT("'"&amp;$D$43&amp;"'!investcum_2018"),0)
+IFERROR(INDIRECT("'"&amp;$D$44&amp;"'!investcum_2018"),0)
+IFERROR(INDIRECT("'"&amp;$D$45&amp;"'!investcum_2018"),0)
+IFERROR(INDIRECT("'"&amp;$D$46&amp;"'!investcum_2018"),0)
+IFERROR(INDIRECT("'"&amp;$D$47&amp;"'!investcum_2018"),0)
+IFERROR(INDIRECT("'"&amp;$D$48&amp;"'!investcum_2018"),0)
+IFERROR(INDIRECT("'"&amp;$D$49&amp;"'!investcum_2018"),0)
+IFERROR(INDIRECT("'"&amp;$D$50&amp;"'!investcum_2018"),0)
+IFERROR(INDIRECT("'"&amp;$D$51&amp;"'!investcum_2018"),0)
+IFERROR(INDIRECT("'"&amp;$D$52&amp;"'!investcum_2018"),0)
+IFERROR(INDIRECT("'"&amp;$D$53&amp;"'!investcum_2018"),0)
+IFERROR(INDIRECT("'"&amp;$D$54&amp;"'!investcum_2018"),0)</f>
        <v>0</v>
      </c>
      <c r="I47" s="321">
        <f ca="1">+IFERROR(INDIRECT("'"&amp;$D$5&amp;"'!investcum_2019"),0)
+IFERROR(INDIRECT("'"&amp;$D$6&amp;"'!investcum_2019"),0)
+IFERROR(INDIRECT("'"&amp;$D$7&amp;"'!investcum_2019"),0)
+IFERROR(INDIRECT("'"&amp;$D$8&amp;"'!investcum_2019"),0)
+IFERROR(INDIRECT("'"&amp;$D$9&amp;"'!investcum_2019"),0)
+IFERROR(INDIRECT("'"&amp;$D$10&amp;"'!investcum_2019"),0)
+IFERROR(INDIRECT("'"&amp;$D$11&amp;"'!investcum_2019"),0)
+IFERROR(INDIRECT("'"&amp;$D$12&amp;"'!investcum_2019"),0)
+IFERROR(INDIRECT("'"&amp;$D$13&amp;"'!investcum_2019"),0)
+IFERROR(INDIRECT("'"&amp;$D$14&amp;"'!investcum_2019"),0)
+IFERROR(INDIRECT("'"&amp;$D$15&amp;"'!investcum_2019"),0)
+IFERROR(INDIRECT("'"&amp;$D$16&amp;"'!investcum_2019"),0)
+IFERROR(INDIRECT("'"&amp;$D$17&amp;"'!investcum_2019"),0)
+IFERROR(INDIRECT("'"&amp;$D$18&amp;"'!investcum_2019"),0)
+IFERROR(INDIRECT("'"&amp;$D$19&amp;"'!investcum_2019"),0)
+IFERROR(INDIRECT("'"&amp;$D$20&amp;"'!investcum_2019"),0)
+IFERROR(INDIRECT("'"&amp;$D$21&amp;"'!investcum_2019"),0)
+IFERROR(INDIRECT("'"&amp;$D$22&amp;"'!investcum_2019"),0)
+IFERROR(INDIRECT("'"&amp;$D$23&amp;"'!investcum_2019"),0)
+IFERROR(INDIRECT("'"&amp;$D$24&amp;"'!investcum_2019"),0)
+IFERROR(INDIRECT("'"&amp;$D$25&amp;"'!investcum_2019"),0)
+IFERROR(INDIRECT("'"&amp;$D$26&amp;"'!investcum_2019"),0)
+IFERROR(INDIRECT("'"&amp;$D$27&amp;"'!investcum_2019"),0)
+IFERROR(INDIRECT("'"&amp;$D$28&amp;"'!investcum_2019"),0)
+IFERROR(INDIRECT("'"&amp;$D$29&amp;"'!investcum_2019"),0)
+IFERROR(INDIRECT("'"&amp;$D$30&amp;"'!investcum_2019"),0)
+IFERROR(INDIRECT("'"&amp;$D$31&amp;"'!investcum_2019"),0)
+IFERROR(INDIRECT("'"&amp;$D$32&amp;"'!investcum_2019"),0)
+IFERROR(INDIRECT("'"&amp;$D$33&amp;"'!investcum_2019"),0)
+IFERROR(INDIRECT("'"&amp;$D$34&amp;"'!investcum_2019"),0)
+IFERROR(INDIRECT("'"&amp;$D$35&amp;"'!investcum_2019"),0)
+IFERROR(INDIRECT("'"&amp;$D$36&amp;"'!investcum_2019"),0)
+IFERROR(INDIRECT("'"&amp;$D$37&amp;"'!investcum_2019"),0)
+IFERROR(INDIRECT("'"&amp;$D$38&amp;"'!investcum_2019"),0)
+IFERROR(INDIRECT("'"&amp;$D$39&amp;"'!investcum_2019"),0)
+IFERROR(INDIRECT("'"&amp;$D$40&amp;"'!investcum_2019"),0)
+IFERROR(INDIRECT("'"&amp;$D$41&amp;"'!investcum_2019"),0)
+IFERROR(INDIRECT("'"&amp;$D$42&amp;"'!investcum_2019"),0)
+IFERROR(INDIRECT("'"&amp;$D$43&amp;"'!investcum_2019"),0)
+IFERROR(INDIRECT("'"&amp;$D$44&amp;"'!investcum_2019"),0)
+IFERROR(INDIRECT("'"&amp;$D$45&amp;"'!investcum_2019"),0)
+IFERROR(INDIRECT("'"&amp;$D$46&amp;"'!investcum_2019"),0)
+IFERROR(INDIRECT("'"&amp;$D$47&amp;"'!investcum_2019"),0)
+IFERROR(INDIRECT("'"&amp;$D$48&amp;"'!investcum_2019"),0)
+IFERROR(INDIRECT("'"&amp;$D$49&amp;"'!investcum_2019"),0)
+IFERROR(INDIRECT("'"&amp;$D$50&amp;"'!investcum_2019"),0)
+IFERROR(INDIRECT("'"&amp;$D$51&amp;"'!investcum_2019"),0)
+IFERROR(INDIRECT("'"&amp;$D$52&amp;"'!investcum_2019"),0)
+IFERROR(INDIRECT("'"&amp;$D$53&amp;"'!investcum_2019"),0)
+IFERROR(INDIRECT("'"&amp;$D$54&amp;"'!investcum_2019"),0)</f>
        <v>0</v>
      </c>
      <c r="J47" s="321">
        <f ca="1">+IFERROR(INDIRECT("'"&amp;$D$5&amp;"'!investcum_2020"),0)
+IFERROR(INDIRECT("'"&amp;$D$6&amp;"'!investcum_2020"),0)
+IFERROR(INDIRECT("'"&amp;$D$7&amp;"'!investcum_2020"),0)
+IFERROR(INDIRECT("'"&amp;$D$8&amp;"'!investcum_2020"),0)
+IFERROR(INDIRECT("'"&amp;$D$9&amp;"'!investcum_2020"),0)
+IFERROR(INDIRECT("'"&amp;$D$10&amp;"'!investcum_2020"),0)
+IFERROR(INDIRECT("'"&amp;$D$11&amp;"'!investcum_2020"),0)
+IFERROR(INDIRECT("'"&amp;$D$12&amp;"'!investcum_2020"),0)
+IFERROR(INDIRECT("'"&amp;$D$13&amp;"'!investcum_2020"),0)
+IFERROR(INDIRECT("'"&amp;$D$14&amp;"'!investcum_2020"),0)
+IFERROR(INDIRECT("'"&amp;$D$15&amp;"'!investcum_2020"),0)
+IFERROR(INDIRECT("'"&amp;$D$16&amp;"'!investcum_2020"),0)
+IFERROR(INDIRECT("'"&amp;$D$17&amp;"'!investcum_2020"),0)
+IFERROR(INDIRECT("'"&amp;$D$18&amp;"'!investcum_2020"),0)
+IFERROR(INDIRECT("'"&amp;$D$19&amp;"'!investcum_2020"),0)
+IFERROR(INDIRECT("'"&amp;$D$20&amp;"'!investcum_2020"),0)
+IFERROR(INDIRECT("'"&amp;$D$21&amp;"'!investcum_2020"),0)
+IFERROR(INDIRECT("'"&amp;$D$22&amp;"'!investcum_2020"),0)
+IFERROR(INDIRECT("'"&amp;$D$23&amp;"'!investcum_2020"),0)
+IFERROR(INDIRECT("'"&amp;$D$24&amp;"'!investcum_2020"),0)
+IFERROR(INDIRECT("'"&amp;$D$25&amp;"'!investcum_2020"),0)
+IFERROR(INDIRECT("'"&amp;$D$26&amp;"'!investcum_2020"),0)
+IFERROR(INDIRECT("'"&amp;$D$27&amp;"'!investcum_2020"),0)
+IFERROR(INDIRECT("'"&amp;$D$28&amp;"'!investcum_2020"),0)
+IFERROR(INDIRECT("'"&amp;$D$29&amp;"'!investcum_2020"),0)
+IFERROR(INDIRECT("'"&amp;$D$30&amp;"'!investcum_2020"),0)
+IFERROR(INDIRECT("'"&amp;$D$31&amp;"'!investcum_2020"),0)
+IFERROR(INDIRECT("'"&amp;$D$32&amp;"'!investcum_2020"),0)
+IFERROR(INDIRECT("'"&amp;$D$33&amp;"'!investcum_2020"),0)
+IFERROR(INDIRECT("'"&amp;$D$34&amp;"'!investcum_2020"),0)
+IFERROR(INDIRECT("'"&amp;$D$35&amp;"'!investcum_2020"),0)
+IFERROR(INDIRECT("'"&amp;$D$36&amp;"'!investcum_2020"),0)
+IFERROR(INDIRECT("'"&amp;$D$37&amp;"'!investcum_2020"),0)
+IFERROR(INDIRECT("'"&amp;$D$38&amp;"'!investcum_2020"),0)
+IFERROR(INDIRECT("'"&amp;$D$39&amp;"'!investcum_2020"),0)
+IFERROR(INDIRECT("'"&amp;$D$40&amp;"'!investcum_2020"),0)
+IFERROR(INDIRECT("'"&amp;$D$41&amp;"'!investcum_2020"),0)
+IFERROR(INDIRECT("'"&amp;$D$42&amp;"'!investcum_2020"),0)
+IFERROR(INDIRECT("'"&amp;$D$43&amp;"'!investcum_2020"),0)
+IFERROR(INDIRECT("'"&amp;$D$44&amp;"'!investcum_2020"),0)
+IFERROR(INDIRECT("'"&amp;$D$45&amp;"'!investcum_2020"),0)
+IFERROR(INDIRECT("'"&amp;$D$46&amp;"'!investcum_2020"),0)
+IFERROR(INDIRECT("'"&amp;$D$47&amp;"'!investcum_2020"),0)
+IFERROR(INDIRECT("'"&amp;$D$48&amp;"'!investcum_2020"),0)
+IFERROR(INDIRECT("'"&amp;$D$49&amp;"'!investcum_2020"),0)
+IFERROR(INDIRECT("'"&amp;$D$50&amp;"'!investcum_2020"),0)
+IFERROR(INDIRECT("'"&amp;$D$51&amp;"'!investcum_2020"),0)
+IFERROR(INDIRECT("'"&amp;$D$52&amp;"'!investcum_2020"),0)
+IFERROR(INDIRECT("'"&amp;$D$53&amp;"'!investcum_2020"),0)
+IFERROR(INDIRECT("'"&amp;$D$54&amp;"'!investcum_2020"),0)</f>
        <v>0</v>
      </c>
      <c r="K47" s="321">
        <f ca="1">+IFERROR(INDIRECT("'"&amp;$D$5&amp;"'!investcum_2021"),0)
+IFERROR(INDIRECT("'"&amp;$D$6&amp;"'!investcum_2021"),0)
+IFERROR(INDIRECT("'"&amp;$D$7&amp;"'!investcum_2021"),0)
+IFERROR(INDIRECT("'"&amp;$D$8&amp;"'!investcum_2021"),0)
+IFERROR(INDIRECT("'"&amp;$D$9&amp;"'!investcum_2021"),0)
+IFERROR(INDIRECT("'"&amp;$D$10&amp;"'!investcum_2021"),0)
+IFERROR(INDIRECT("'"&amp;$D$11&amp;"'!investcum_2021"),0)
+IFERROR(INDIRECT("'"&amp;$D$12&amp;"'!investcum_2021"),0)
+IFERROR(INDIRECT("'"&amp;$D$13&amp;"'!investcum_2021"),0)
+IFERROR(INDIRECT("'"&amp;$D$14&amp;"'!investcum_2021"),0)
+IFERROR(INDIRECT("'"&amp;$D$15&amp;"'!investcum_2021"),0)
+IFERROR(INDIRECT("'"&amp;$D$16&amp;"'!investcum_2021"),0)
+IFERROR(INDIRECT("'"&amp;$D$17&amp;"'!investcum_2021"),0)
+IFERROR(INDIRECT("'"&amp;$D$18&amp;"'!investcum_2021"),0)
+IFERROR(INDIRECT("'"&amp;$D$19&amp;"'!investcum_2021"),0)
+IFERROR(INDIRECT("'"&amp;$D$20&amp;"'!investcum_2021"),0)
+IFERROR(INDIRECT("'"&amp;$D$21&amp;"'!investcum_2021"),0)
+IFERROR(INDIRECT("'"&amp;$D$22&amp;"'!investcum_2021"),0)
+IFERROR(INDIRECT("'"&amp;$D$23&amp;"'!investcum_2021"),0)
+IFERROR(INDIRECT("'"&amp;$D$24&amp;"'!investcum_2021"),0)
+IFERROR(INDIRECT("'"&amp;$D$25&amp;"'!investcum_2021"),0)
+IFERROR(INDIRECT("'"&amp;$D$26&amp;"'!investcum_2021"),0)
+IFERROR(INDIRECT("'"&amp;$D$27&amp;"'!investcum_2021"),0)
+IFERROR(INDIRECT("'"&amp;$D$28&amp;"'!investcum_2021"),0)
+IFERROR(INDIRECT("'"&amp;$D$29&amp;"'!investcum_2021"),0)
+IFERROR(INDIRECT("'"&amp;$D$30&amp;"'!investcum_2021"),0)
+IFERROR(INDIRECT("'"&amp;$D$31&amp;"'!investcum_2021"),0)
+IFERROR(INDIRECT("'"&amp;$D$32&amp;"'!investcum_2021"),0)
+IFERROR(INDIRECT("'"&amp;$D$33&amp;"'!investcum_2021"),0)
+IFERROR(INDIRECT("'"&amp;$D$34&amp;"'!investcum_2021"),0)
+IFERROR(INDIRECT("'"&amp;$D$35&amp;"'!investcum_2021"),0)
+IFERROR(INDIRECT("'"&amp;$D$36&amp;"'!investcum_2021"),0)
+IFERROR(INDIRECT("'"&amp;$D$37&amp;"'!investcum_2021"),0)
+IFERROR(INDIRECT("'"&amp;$D$38&amp;"'!investcum_2021"),0)
+IFERROR(INDIRECT("'"&amp;$D$39&amp;"'!investcum_2021"),0)
+IFERROR(INDIRECT("'"&amp;$D$40&amp;"'!investcum_2021"),0)
+IFERROR(INDIRECT("'"&amp;$D$41&amp;"'!investcum_2021"),0)
+IFERROR(INDIRECT("'"&amp;$D$42&amp;"'!investcum_2021"),0)
+IFERROR(INDIRECT("'"&amp;$D$43&amp;"'!investcum_2021"),0)
+IFERROR(INDIRECT("'"&amp;$D$44&amp;"'!investcum_2021"),0)
+IFERROR(INDIRECT("'"&amp;$D$45&amp;"'!investcum_2021"),0)
+IFERROR(INDIRECT("'"&amp;$D$46&amp;"'!investcum_2021"),0)
+IFERROR(INDIRECT("'"&amp;$D$47&amp;"'!investcum_2021"),0)
+IFERROR(INDIRECT("'"&amp;$D$48&amp;"'!investcum_2021"),0)
+IFERROR(INDIRECT("'"&amp;$D$49&amp;"'!investcum_2021"),0)
+IFERROR(INDIRECT("'"&amp;$D$50&amp;"'!investcum_2021"),0)
+IFERROR(INDIRECT("'"&amp;$D$51&amp;"'!investcum_2021"),0)
+IFERROR(INDIRECT("'"&amp;$D$52&amp;"'!investcum_2021"),0)
+IFERROR(INDIRECT("'"&amp;$D$53&amp;"'!investcum_2021"),0)
+IFERROR(INDIRECT("'"&amp;$D$54&amp;"'!investcum_2021"),0)</f>
        <v>0</v>
      </c>
      <c r="L47" s="321">
        <f ca="1">+IFERROR(INDIRECT("'"&amp;$D$5&amp;"'!investcum_2022"),0)
+IFERROR(INDIRECT("'"&amp;$D$6&amp;"'!investcum_2022"),0)
+IFERROR(INDIRECT("'"&amp;$D$7&amp;"'!investcum_2022"),0)
+IFERROR(INDIRECT("'"&amp;$D$8&amp;"'!investcum_2022"),0)
+IFERROR(INDIRECT("'"&amp;$D$9&amp;"'!investcum_2022"),0)
+IFERROR(INDIRECT("'"&amp;$D$10&amp;"'!investcum_2022"),0)
+IFERROR(INDIRECT("'"&amp;$D$11&amp;"'!investcum_2022"),0)
+IFERROR(INDIRECT("'"&amp;$D$12&amp;"'!investcum_2022"),0)
+IFERROR(INDIRECT("'"&amp;$D$13&amp;"'!investcum_2022"),0)
+IFERROR(INDIRECT("'"&amp;$D$14&amp;"'!investcum_2022"),0)
+IFERROR(INDIRECT("'"&amp;$D$15&amp;"'!investcum_2022"),0)
+IFERROR(INDIRECT("'"&amp;$D$16&amp;"'!investcum_2022"),0)
+IFERROR(INDIRECT("'"&amp;$D$17&amp;"'!investcum_2022"),0)
+IFERROR(INDIRECT("'"&amp;$D$18&amp;"'!investcum_2022"),0)
+IFERROR(INDIRECT("'"&amp;$D$19&amp;"'!investcum_2022"),0)
+IFERROR(INDIRECT("'"&amp;$D$20&amp;"'!investcum_2022"),0)
+IFERROR(INDIRECT("'"&amp;$D$21&amp;"'!investcum_2022"),0)
+IFERROR(INDIRECT("'"&amp;$D$22&amp;"'!investcum_2022"),0)
+IFERROR(INDIRECT("'"&amp;$D$23&amp;"'!investcum_2022"),0)
+IFERROR(INDIRECT("'"&amp;$D$24&amp;"'!investcum_2022"),0)
+IFERROR(INDIRECT("'"&amp;$D$25&amp;"'!investcum_2022"),0)
+IFERROR(INDIRECT("'"&amp;$D$26&amp;"'!investcum_2022"),0)
+IFERROR(INDIRECT("'"&amp;$D$27&amp;"'!investcum_2022"),0)
+IFERROR(INDIRECT("'"&amp;$D$28&amp;"'!investcum_2022"),0)
+IFERROR(INDIRECT("'"&amp;$D$29&amp;"'!investcum_2022"),0)
+IFERROR(INDIRECT("'"&amp;$D$30&amp;"'!investcum_2022"),0)
+IFERROR(INDIRECT("'"&amp;$D$31&amp;"'!investcum_2022"),0)
+IFERROR(INDIRECT("'"&amp;$D$32&amp;"'!investcum_2022"),0)
+IFERROR(INDIRECT("'"&amp;$D$33&amp;"'!investcum_2022"),0)
+IFERROR(INDIRECT("'"&amp;$D$34&amp;"'!investcum_2022"),0)
+IFERROR(INDIRECT("'"&amp;$D$35&amp;"'!investcum_2022"),0)
+IFERROR(INDIRECT("'"&amp;$D$36&amp;"'!investcum_2022"),0)
+IFERROR(INDIRECT("'"&amp;$D$37&amp;"'!investcum_2022"),0)
+IFERROR(INDIRECT("'"&amp;$D$38&amp;"'!investcum_2022"),0)
+IFERROR(INDIRECT("'"&amp;$D$39&amp;"'!investcum_2022"),0)
+IFERROR(INDIRECT("'"&amp;$D$40&amp;"'!investcum_2022"),0)
+IFERROR(INDIRECT("'"&amp;$D$41&amp;"'!investcum_2022"),0)
+IFERROR(INDIRECT("'"&amp;$D$42&amp;"'!investcum_2022"),0)
+IFERROR(INDIRECT("'"&amp;$D$43&amp;"'!investcum_2022"),0)
+IFERROR(INDIRECT("'"&amp;$D$44&amp;"'!investcum_2022"),0)
+IFERROR(INDIRECT("'"&amp;$D$45&amp;"'!investcum_2022"),0)
+IFERROR(INDIRECT("'"&amp;$D$46&amp;"'!investcum_2022"),0)
+IFERROR(INDIRECT("'"&amp;$D$47&amp;"'!investcum_2022"),0)
+IFERROR(INDIRECT("'"&amp;$D$48&amp;"'!investcum_2022"),0)
+IFERROR(INDIRECT("'"&amp;$D$49&amp;"'!investcum_2022"),0)
+IFERROR(INDIRECT("'"&amp;$D$50&amp;"'!investcum_2022"),0)
+IFERROR(INDIRECT("'"&amp;$D$51&amp;"'!investcum_2022"),0)
+IFERROR(INDIRECT("'"&amp;$D$52&amp;"'!investcum_2022"),0)
+IFERROR(INDIRECT("'"&amp;$D$53&amp;"'!investcum_2022"),0)
+IFERROR(INDIRECT("'"&amp;$D$54&amp;"'!investcum_2022"),0)</f>
        <v>0</v>
      </c>
      <c r="M47" s="321">
        <f ca="1">+IFERROR(INDIRECT("'"&amp;$D$5&amp;"'!investcum_2023"),0)
+IFERROR(INDIRECT("'"&amp;$D$6&amp;"'!investcum_2023"),0)
+IFERROR(INDIRECT("'"&amp;$D$7&amp;"'!investcum_2023"),0)
+IFERROR(INDIRECT("'"&amp;$D$8&amp;"'!investcum_2023"),0)
+IFERROR(INDIRECT("'"&amp;$D$9&amp;"'!investcum_2023"),0)
+IFERROR(INDIRECT("'"&amp;$D$10&amp;"'!investcum_2023"),0)
+IFERROR(INDIRECT("'"&amp;$D$11&amp;"'!investcum_2023"),0)
+IFERROR(INDIRECT("'"&amp;$D$12&amp;"'!investcum_2023"),0)
+IFERROR(INDIRECT("'"&amp;$D$13&amp;"'!investcum_2023"),0)
+IFERROR(INDIRECT("'"&amp;$D$14&amp;"'!investcum_2023"),0)
+IFERROR(INDIRECT("'"&amp;$D$15&amp;"'!investcum_2023"),0)
+IFERROR(INDIRECT("'"&amp;$D$16&amp;"'!investcum_2023"),0)
+IFERROR(INDIRECT("'"&amp;$D$17&amp;"'!investcum_2023"),0)
+IFERROR(INDIRECT("'"&amp;$D$18&amp;"'!investcum_2023"),0)
+IFERROR(INDIRECT("'"&amp;$D$19&amp;"'!investcum_2023"),0)
+IFERROR(INDIRECT("'"&amp;$D$20&amp;"'!investcum_2023"),0)
+IFERROR(INDIRECT("'"&amp;$D$21&amp;"'!investcum_2023"),0)
+IFERROR(INDIRECT("'"&amp;$D$22&amp;"'!investcum_2023"),0)
+IFERROR(INDIRECT("'"&amp;$D$23&amp;"'!investcum_2023"),0)
+IFERROR(INDIRECT("'"&amp;$D$24&amp;"'!investcum_2023"),0)
+IFERROR(INDIRECT("'"&amp;$D$25&amp;"'!investcum_2023"),0)
+IFERROR(INDIRECT("'"&amp;$D$26&amp;"'!investcum_2023"),0)
+IFERROR(INDIRECT("'"&amp;$D$27&amp;"'!investcum_2023"),0)
+IFERROR(INDIRECT("'"&amp;$D$28&amp;"'!investcum_2023"),0)
+IFERROR(INDIRECT("'"&amp;$D$29&amp;"'!investcum_2023"),0)
+IFERROR(INDIRECT("'"&amp;$D$30&amp;"'!investcum_2023"),0)
+IFERROR(INDIRECT("'"&amp;$D$31&amp;"'!investcum_2023"),0)
+IFERROR(INDIRECT("'"&amp;$D$32&amp;"'!investcum_2023"),0)
+IFERROR(INDIRECT("'"&amp;$D$33&amp;"'!investcum_2023"),0)
+IFERROR(INDIRECT("'"&amp;$D$34&amp;"'!investcum_2023"),0)
+IFERROR(INDIRECT("'"&amp;$D$35&amp;"'!investcum_2023"),0)
+IFERROR(INDIRECT("'"&amp;$D$36&amp;"'!investcum_2023"),0)
+IFERROR(INDIRECT("'"&amp;$D$37&amp;"'!investcum_2023"),0)
+IFERROR(INDIRECT("'"&amp;$D$38&amp;"'!investcum_2023"),0)
+IFERROR(INDIRECT("'"&amp;$D$39&amp;"'!investcum_2023"),0)
+IFERROR(INDIRECT("'"&amp;$D$40&amp;"'!investcum_2023"),0)
+IFERROR(INDIRECT("'"&amp;$D$41&amp;"'!investcum_2023"),0)
+IFERROR(INDIRECT("'"&amp;$D$42&amp;"'!investcum_2023"),0)
+IFERROR(INDIRECT("'"&amp;$D$43&amp;"'!investcum_2023"),0)
+IFERROR(INDIRECT("'"&amp;$D$44&amp;"'!investcum_2023"),0)
+IFERROR(INDIRECT("'"&amp;$D$45&amp;"'!investcum_2023"),0)
+IFERROR(INDIRECT("'"&amp;$D$46&amp;"'!investcum_2023"),0)
+IFERROR(INDIRECT("'"&amp;$D$47&amp;"'!investcum_2023"),0)
+IFERROR(INDIRECT("'"&amp;$D$48&amp;"'!investcum_2023"),0)
+IFERROR(INDIRECT("'"&amp;$D$49&amp;"'!investcum_2023"),0)
+IFERROR(INDIRECT("'"&amp;$D$50&amp;"'!investcum_2023"),0)
+IFERROR(INDIRECT("'"&amp;$D$51&amp;"'!investcum_2023"),0)
+IFERROR(INDIRECT("'"&amp;$D$52&amp;"'!investcum_2023"),0)
+IFERROR(INDIRECT("'"&amp;$D$53&amp;"'!investcum_2023"),0)
+IFERROR(INDIRECT("'"&amp;$D$54&amp;"'!investcum_2023"),0)</f>
        <v>1300192.1816</v>
      </c>
      <c r="N47" s="321">
        <f ca="1">+IFERROR(INDIRECT("'"&amp;$D$5&amp;"'!investcum_2024"),0)
+IFERROR(INDIRECT("'"&amp;$D$6&amp;"'!investcum_2024"),0)
+IFERROR(INDIRECT("'"&amp;$D$7&amp;"'!investcum_2024"),0)
+IFERROR(INDIRECT("'"&amp;$D$8&amp;"'!investcum_2024"),0)
+IFERROR(INDIRECT("'"&amp;$D$9&amp;"'!investcum_2024"),0)
+IFERROR(INDIRECT("'"&amp;$D$10&amp;"'!investcum_2024"),0)
+IFERROR(INDIRECT("'"&amp;$D$11&amp;"'!investcum_2024"),0)
+IFERROR(INDIRECT("'"&amp;$D$12&amp;"'!investcum_2024"),0)
+IFERROR(INDIRECT("'"&amp;$D$13&amp;"'!investcum_2024"),0)
+IFERROR(INDIRECT("'"&amp;$D$14&amp;"'!investcum_2024"),0)
+IFERROR(INDIRECT("'"&amp;$D$15&amp;"'!investcum_2024"),0)
+IFERROR(INDIRECT("'"&amp;$D$16&amp;"'!investcum_2024"),0)
+IFERROR(INDIRECT("'"&amp;$D$17&amp;"'!investcum_2024"),0)
+IFERROR(INDIRECT("'"&amp;$D$18&amp;"'!investcum_2024"),0)
+IFERROR(INDIRECT("'"&amp;$D$19&amp;"'!investcum_2024"),0)
+IFERROR(INDIRECT("'"&amp;$D$20&amp;"'!investcum_2024"),0)
+IFERROR(INDIRECT("'"&amp;$D$21&amp;"'!investcum_2024"),0)
+IFERROR(INDIRECT("'"&amp;$D$22&amp;"'!investcum_2024"),0)
+IFERROR(INDIRECT("'"&amp;$D$23&amp;"'!investcum_2024"),0)
+IFERROR(INDIRECT("'"&amp;$D$24&amp;"'!investcum_2024"),0)
+IFERROR(INDIRECT("'"&amp;$D$25&amp;"'!investcum_2024"),0)
+IFERROR(INDIRECT("'"&amp;$D$26&amp;"'!investcum_2024"),0)
+IFERROR(INDIRECT("'"&amp;$D$27&amp;"'!investcum_2024"),0)
+IFERROR(INDIRECT("'"&amp;$D$28&amp;"'!investcum_2024"),0)
+IFERROR(INDIRECT("'"&amp;$D$29&amp;"'!investcum_2024"),0)
+IFERROR(INDIRECT("'"&amp;$D$30&amp;"'!investcum_2024"),0)
+IFERROR(INDIRECT("'"&amp;$D$31&amp;"'!investcum_2024"),0)
+IFERROR(INDIRECT("'"&amp;$D$32&amp;"'!investcum_2024"),0)
+IFERROR(INDIRECT("'"&amp;$D$33&amp;"'!investcum_2024"),0)
+IFERROR(INDIRECT("'"&amp;$D$34&amp;"'!investcum_2024"),0)
+IFERROR(INDIRECT("'"&amp;$D$35&amp;"'!investcum_2024"),0)
+IFERROR(INDIRECT("'"&amp;$D$36&amp;"'!investcum_2024"),0)
+IFERROR(INDIRECT("'"&amp;$D$37&amp;"'!investcum_2024"),0)
+IFERROR(INDIRECT("'"&amp;$D$38&amp;"'!investcum_2024"),0)
+IFERROR(INDIRECT("'"&amp;$D$39&amp;"'!investcum_2024"),0)
+IFERROR(INDIRECT("'"&amp;$D$40&amp;"'!investcum_2024"),0)
+IFERROR(INDIRECT("'"&amp;$D$41&amp;"'!investcum_2024"),0)
+IFERROR(INDIRECT("'"&amp;$D$42&amp;"'!investcum_2024"),0)
+IFERROR(INDIRECT("'"&amp;$D$43&amp;"'!investcum_2024"),0)
+IFERROR(INDIRECT("'"&amp;$D$44&amp;"'!investcum_2024"),0)
+IFERROR(INDIRECT("'"&amp;$D$45&amp;"'!investcum_2024"),0)
+IFERROR(INDIRECT("'"&amp;$D$46&amp;"'!investcum_2024"),0)
+IFERROR(INDIRECT("'"&amp;$D$47&amp;"'!investcum_2024"),0)
+IFERROR(INDIRECT("'"&amp;$D$48&amp;"'!investcum_2024"),0)
+IFERROR(INDIRECT("'"&amp;$D$49&amp;"'!investcum_2024"),0)
+IFERROR(INDIRECT("'"&amp;$D$50&amp;"'!investcum_2024"),0)
+IFERROR(INDIRECT("'"&amp;$D$51&amp;"'!investcum_2024"),0)
+IFERROR(INDIRECT("'"&amp;$D$52&amp;"'!investcum_2024"),0)
+IFERROR(INDIRECT("'"&amp;$D$53&amp;"'!investcum_2024"),0)
+IFERROR(INDIRECT("'"&amp;$D$54&amp;"'!investcum_2024"),0)</f>
        <v>1466641.8552000001</v>
      </c>
      <c r="O47" s="321">
        <f ca="1">+IFERROR(INDIRECT("'"&amp;$D$5&amp;"'!investcum_2025"),0)
+IFERROR(INDIRECT("'"&amp;$D$6&amp;"'!investcum_2025"),0)
+IFERROR(INDIRECT("'"&amp;$D$7&amp;"'!investcum_2025"),0)
+IFERROR(INDIRECT("'"&amp;$D$8&amp;"'!investcum_2025"),0)
+IFERROR(INDIRECT("'"&amp;$D$9&amp;"'!investcum_2025"),0)
+IFERROR(INDIRECT("'"&amp;$D$10&amp;"'!investcum_2025"),0)
+IFERROR(INDIRECT("'"&amp;$D$11&amp;"'!investcum_2025"),0)
+IFERROR(INDIRECT("'"&amp;$D$12&amp;"'!investcum_2025"),0)
+IFERROR(INDIRECT("'"&amp;$D$13&amp;"'!investcum_2025"),0)
+IFERROR(INDIRECT("'"&amp;$D$14&amp;"'!investcum_2025"),0)
+IFERROR(INDIRECT("'"&amp;$D$15&amp;"'!investcum_2025"),0)
+IFERROR(INDIRECT("'"&amp;$D$16&amp;"'!investcum_2025"),0)
+IFERROR(INDIRECT("'"&amp;$D$17&amp;"'!investcum_2025"),0)
+IFERROR(INDIRECT("'"&amp;$D$18&amp;"'!investcum_2025"),0)
+IFERROR(INDIRECT("'"&amp;$D$19&amp;"'!investcum_2025"),0)
+IFERROR(INDIRECT("'"&amp;$D$20&amp;"'!investcum_2025"),0)
+IFERROR(INDIRECT("'"&amp;$D$21&amp;"'!investcum_2025"),0)
+IFERROR(INDIRECT("'"&amp;$D$22&amp;"'!investcum_2025"),0)
+IFERROR(INDIRECT("'"&amp;$D$23&amp;"'!investcum_2025"),0)
+IFERROR(INDIRECT("'"&amp;$D$24&amp;"'!investcum_2025"),0)
+IFERROR(INDIRECT("'"&amp;$D$25&amp;"'!investcum_2025"),0)
+IFERROR(INDIRECT("'"&amp;$D$26&amp;"'!investcum_2025"),0)
+IFERROR(INDIRECT("'"&amp;$D$27&amp;"'!investcum_2025"),0)
+IFERROR(INDIRECT("'"&amp;$D$28&amp;"'!investcum_2025"),0)
+IFERROR(INDIRECT("'"&amp;$D$29&amp;"'!investcum_2025"),0)
+IFERROR(INDIRECT("'"&amp;$D$30&amp;"'!investcum_2025"),0)
+IFERROR(INDIRECT("'"&amp;$D$31&amp;"'!investcum_2025"),0)
+IFERROR(INDIRECT("'"&amp;$D$32&amp;"'!investcum_2025"),0)
+IFERROR(INDIRECT("'"&amp;$D$33&amp;"'!investcum_2025"),0)
+IFERROR(INDIRECT("'"&amp;$D$34&amp;"'!investcum_2025"),0)
+IFERROR(INDIRECT("'"&amp;$D$35&amp;"'!investcum_2025"),0)
+IFERROR(INDIRECT("'"&amp;$D$36&amp;"'!investcum_2025"),0)
+IFERROR(INDIRECT("'"&amp;$D$37&amp;"'!investcum_2025"),0)
+IFERROR(INDIRECT("'"&amp;$D$38&amp;"'!investcum_2025"),0)
+IFERROR(INDIRECT("'"&amp;$D$39&amp;"'!investcum_2025"),0)
+IFERROR(INDIRECT("'"&amp;$D$40&amp;"'!investcum_2025"),0)
+IFERROR(INDIRECT("'"&amp;$D$41&amp;"'!investcum_2025"),0)
+IFERROR(INDIRECT("'"&amp;$D$42&amp;"'!investcum_2025"),0)
+IFERROR(INDIRECT("'"&amp;$D$43&amp;"'!investcum_2025"),0)
+IFERROR(INDIRECT("'"&amp;$D$44&amp;"'!investcum_2025"),0)
+IFERROR(INDIRECT("'"&amp;$D$45&amp;"'!investcum_2025"),0)
+IFERROR(INDIRECT("'"&amp;$D$46&amp;"'!investcum_2025"),0)
+IFERROR(INDIRECT("'"&amp;$D$47&amp;"'!investcum_2025"),0)
+IFERROR(INDIRECT("'"&amp;$D$48&amp;"'!investcum_2025"),0)
+IFERROR(INDIRECT("'"&amp;$D$49&amp;"'!investcum_2025"),0)
+IFERROR(INDIRECT("'"&amp;$D$50&amp;"'!investcum_2025"),0)
+IFERROR(INDIRECT("'"&amp;$D$51&amp;"'!investcum_2025"),0)
+IFERROR(INDIRECT("'"&amp;$D$52&amp;"'!investcum_2025"),0)
+IFERROR(INDIRECT("'"&amp;$D$53&amp;"'!investcum_2025"),0)
+IFERROR(INDIRECT("'"&amp;$D$54&amp;"'!investcum_2025"),0)</f>
        <v>1907703.6940000001</v>
      </c>
      <c r="P47" s="321">
        <f ca="1">+IFERROR(INDIRECT("'"&amp;$D$5&amp;"'!investcum_2026"),0)
+IFERROR(INDIRECT("'"&amp;$D$6&amp;"'!investcum_2026"),0)
+IFERROR(INDIRECT("'"&amp;$D$7&amp;"'!investcum_2026"),0)
+IFERROR(INDIRECT("'"&amp;$D$8&amp;"'!investcum_2026"),0)
+IFERROR(INDIRECT("'"&amp;$D$9&amp;"'!investcum_2026"),0)
+IFERROR(INDIRECT("'"&amp;$D$10&amp;"'!investcum_2026"),0)
+IFERROR(INDIRECT("'"&amp;$D$11&amp;"'!investcum_2026"),0)
+IFERROR(INDIRECT("'"&amp;$D$12&amp;"'!investcum_2026"),0)
+IFERROR(INDIRECT("'"&amp;$D$13&amp;"'!investcum_2026"),0)
+IFERROR(INDIRECT("'"&amp;$D$14&amp;"'!investcum_2026"),0)
+IFERROR(INDIRECT("'"&amp;$D$15&amp;"'!investcum_2026"),0)
+IFERROR(INDIRECT("'"&amp;$D$16&amp;"'!investcum_2026"),0)
+IFERROR(INDIRECT("'"&amp;$D$17&amp;"'!investcum_2026"),0)
+IFERROR(INDIRECT("'"&amp;$D$18&amp;"'!investcum_2026"),0)
+IFERROR(INDIRECT("'"&amp;$D$19&amp;"'!investcum_2026"),0)
+IFERROR(INDIRECT("'"&amp;$D$20&amp;"'!investcum_2026"),0)
+IFERROR(INDIRECT("'"&amp;$D$21&amp;"'!investcum_2026"),0)
+IFERROR(INDIRECT("'"&amp;$D$22&amp;"'!investcum_2026"),0)
+IFERROR(INDIRECT("'"&amp;$D$23&amp;"'!investcum_2026"),0)
+IFERROR(INDIRECT("'"&amp;$D$24&amp;"'!investcum_2026"),0)
+IFERROR(INDIRECT("'"&amp;$D$25&amp;"'!investcum_2026"),0)
+IFERROR(INDIRECT("'"&amp;$D$26&amp;"'!investcum_2026"),0)
+IFERROR(INDIRECT("'"&amp;$D$27&amp;"'!investcum_2026"),0)
+IFERROR(INDIRECT("'"&amp;$D$28&amp;"'!investcum_2026"),0)
+IFERROR(INDIRECT("'"&amp;$D$29&amp;"'!investcum_2026"),0)
+IFERROR(INDIRECT("'"&amp;$D$30&amp;"'!investcum_2026"),0)
+IFERROR(INDIRECT("'"&amp;$D$31&amp;"'!investcum_2026"),0)
+IFERROR(INDIRECT("'"&amp;$D$32&amp;"'!investcum_2026"),0)
+IFERROR(INDIRECT("'"&amp;$D$33&amp;"'!investcum_2026"),0)
+IFERROR(INDIRECT("'"&amp;$D$34&amp;"'!investcum_2026"),0)
+IFERROR(INDIRECT("'"&amp;$D$35&amp;"'!investcum_2026"),0)
+IFERROR(INDIRECT("'"&amp;$D$36&amp;"'!investcum_2026"),0)
+IFERROR(INDIRECT("'"&amp;$D$37&amp;"'!investcum_2026"),0)
+IFERROR(INDIRECT("'"&amp;$D$38&amp;"'!investcum_2026"),0)
+IFERROR(INDIRECT("'"&amp;$D$39&amp;"'!investcum_2026"),0)
+IFERROR(INDIRECT("'"&amp;$D$40&amp;"'!investcum_2026"),0)
+IFERROR(INDIRECT("'"&amp;$D$41&amp;"'!investcum_2026"),0)
+IFERROR(INDIRECT("'"&amp;$D$42&amp;"'!investcum_2026"),0)
+IFERROR(INDIRECT("'"&amp;$D$43&amp;"'!investcum_2026"),0)
+IFERROR(INDIRECT("'"&amp;$D$44&amp;"'!investcum_2026"),0)
+IFERROR(INDIRECT("'"&amp;$D$45&amp;"'!investcum_2026"),0)
+IFERROR(INDIRECT("'"&amp;$D$46&amp;"'!investcum_2026"),0)
+IFERROR(INDIRECT("'"&amp;$D$47&amp;"'!investcum_2026"),0)
+IFERROR(INDIRECT("'"&amp;$D$48&amp;"'!investcum_2026"),0)
+IFERROR(INDIRECT("'"&amp;$D$49&amp;"'!investcum_2026"),0)
+IFERROR(INDIRECT("'"&amp;$D$50&amp;"'!investcum_2026"),0)
+IFERROR(INDIRECT("'"&amp;$D$51&amp;"'!investcum_2026"),0)
+IFERROR(INDIRECT("'"&amp;$D$52&amp;"'!investcum_2026"),0)
+IFERROR(INDIRECT("'"&amp;$D$53&amp;"'!investcum_2026"),0)
+IFERROR(INDIRECT("'"&amp;$D$54&amp;"'!investcum_2026"),0)</f>
        <v>1953386.7148</v>
      </c>
      <c r="Q47" s="321">
        <f ca="1">+IFERROR(INDIRECT("'"&amp;$D$5&amp;"'!investcum_2027"),0)
+IFERROR(INDIRECT("'"&amp;$D$6&amp;"'!investcum_2027"),0)
+IFERROR(INDIRECT("'"&amp;$D$7&amp;"'!investcum_2027"),0)
+IFERROR(INDIRECT("'"&amp;$D$8&amp;"'!investcum_2027"),0)
+IFERROR(INDIRECT("'"&amp;$D$9&amp;"'!investcum_2027"),0)
+IFERROR(INDIRECT("'"&amp;$D$10&amp;"'!investcum_2027"),0)
+IFERROR(INDIRECT("'"&amp;$D$11&amp;"'!investcum_2027"),0)
+IFERROR(INDIRECT("'"&amp;$D$12&amp;"'!investcum_2027"),0)
+IFERROR(INDIRECT("'"&amp;$D$13&amp;"'!investcum_2027"),0)
+IFERROR(INDIRECT("'"&amp;$D$14&amp;"'!investcum_2027"),0)
+IFERROR(INDIRECT("'"&amp;$D$15&amp;"'!investcum_2027"),0)
+IFERROR(INDIRECT("'"&amp;$D$16&amp;"'!investcum_2027"),0)
+IFERROR(INDIRECT("'"&amp;$D$17&amp;"'!investcum_2027"),0)
+IFERROR(INDIRECT("'"&amp;$D$18&amp;"'!investcum_2027"),0)
+IFERROR(INDIRECT("'"&amp;$D$19&amp;"'!investcum_2027"),0)
+IFERROR(INDIRECT("'"&amp;$D$20&amp;"'!investcum_2027"),0)
+IFERROR(INDIRECT("'"&amp;$D$21&amp;"'!investcum_2027"),0)
+IFERROR(INDIRECT("'"&amp;$D$22&amp;"'!investcum_2027"),0)
+IFERROR(INDIRECT("'"&amp;$D$23&amp;"'!investcum_2027"),0)
+IFERROR(INDIRECT("'"&amp;$D$24&amp;"'!investcum_2027"),0)
+IFERROR(INDIRECT("'"&amp;$D$25&amp;"'!investcum_2027"),0)
+IFERROR(INDIRECT("'"&amp;$D$26&amp;"'!investcum_2027"),0)
+IFERROR(INDIRECT("'"&amp;$D$27&amp;"'!investcum_2027"),0)
+IFERROR(INDIRECT("'"&amp;$D$28&amp;"'!investcum_2027"),0)
+IFERROR(INDIRECT("'"&amp;$D$29&amp;"'!investcum_2027"),0)
+IFERROR(INDIRECT("'"&amp;$D$30&amp;"'!investcum_2027"),0)
+IFERROR(INDIRECT("'"&amp;$D$31&amp;"'!investcum_2027"),0)
+IFERROR(INDIRECT("'"&amp;$D$32&amp;"'!investcum_2027"),0)
+IFERROR(INDIRECT("'"&amp;$D$33&amp;"'!investcum_2027"),0)
+IFERROR(INDIRECT("'"&amp;$D$34&amp;"'!investcum_2027"),0)
+IFERROR(INDIRECT("'"&amp;$D$35&amp;"'!investcum_2027"),0)
+IFERROR(INDIRECT("'"&amp;$D$36&amp;"'!investcum_2027"),0)
+IFERROR(INDIRECT("'"&amp;$D$37&amp;"'!investcum_2027"),0)
+IFERROR(INDIRECT("'"&amp;$D$38&amp;"'!investcum_2027"),0)
+IFERROR(INDIRECT("'"&amp;$D$39&amp;"'!investcum_2027"),0)
+IFERROR(INDIRECT("'"&amp;$D$40&amp;"'!investcum_2027"),0)
+IFERROR(INDIRECT("'"&amp;$D$41&amp;"'!investcum_2027"),0)
+IFERROR(INDIRECT("'"&amp;$D$42&amp;"'!investcum_2027"),0)
+IFERROR(INDIRECT("'"&amp;$D$43&amp;"'!investcum_2027"),0)
+IFERROR(INDIRECT("'"&amp;$D$44&amp;"'!investcum_2027"),0)
+IFERROR(INDIRECT("'"&amp;$D$45&amp;"'!investcum_2027"),0)
+IFERROR(INDIRECT("'"&amp;$D$46&amp;"'!investcum_2027"),0)
+IFERROR(INDIRECT("'"&amp;$D$47&amp;"'!investcum_2027"),0)
+IFERROR(INDIRECT("'"&amp;$D$48&amp;"'!investcum_2027"),0)
+IFERROR(INDIRECT("'"&amp;$D$49&amp;"'!investcum_2027"),0)
+IFERROR(INDIRECT("'"&amp;$D$50&amp;"'!investcum_2027"),0)
+IFERROR(INDIRECT("'"&amp;$D$51&amp;"'!investcum_2027"),0)
+IFERROR(INDIRECT("'"&amp;$D$52&amp;"'!investcum_2027"),0)
+IFERROR(INDIRECT("'"&amp;$D$53&amp;"'!investcum_2027"),0)
+IFERROR(INDIRECT("'"&amp;$D$54&amp;"'!investcum_2027"),0)</f>
        <v>1996024.2316000001</v>
      </c>
      <c r="R47" s="321">
        <f ca="1">+IFERROR(INDIRECT("'"&amp;$D$5&amp;"'!investcum_2028"),0)
+IFERROR(INDIRECT("'"&amp;$D$6&amp;"'!investcum_2028"),0)
+IFERROR(INDIRECT("'"&amp;$D$7&amp;"'!investcum_2028"),0)
+IFERROR(INDIRECT("'"&amp;$D$8&amp;"'!investcum_2028"),0)
+IFERROR(INDIRECT("'"&amp;$D$9&amp;"'!investcum_2028"),0)
+IFERROR(INDIRECT("'"&amp;$D$10&amp;"'!investcum_2028"),0)
+IFERROR(INDIRECT("'"&amp;$D$11&amp;"'!investcum_2028"),0)
+IFERROR(INDIRECT("'"&amp;$D$12&amp;"'!investcum_2028"),0)
+IFERROR(INDIRECT("'"&amp;$D$13&amp;"'!investcum_2028"),0)
+IFERROR(INDIRECT("'"&amp;$D$14&amp;"'!investcum_2028"),0)
+IFERROR(INDIRECT("'"&amp;$D$15&amp;"'!investcum_2028"),0)
+IFERROR(INDIRECT("'"&amp;$D$16&amp;"'!investcum_2028"),0)
+IFERROR(INDIRECT("'"&amp;$D$17&amp;"'!investcum_2028"),0)
+IFERROR(INDIRECT("'"&amp;$D$18&amp;"'!investcum_2028"),0)
+IFERROR(INDIRECT("'"&amp;$D$19&amp;"'!investcum_2028"),0)
+IFERROR(INDIRECT("'"&amp;$D$20&amp;"'!investcum_2028"),0)
+IFERROR(INDIRECT("'"&amp;$D$21&amp;"'!investcum_2028"),0)
+IFERROR(INDIRECT("'"&amp;$D$22&amp;"'!investcum_2028"),0)
+IFERROR(INDIRECT("'"&amp;$D$23&amp;"'!investcum_2028"),0)
+IFERROR(INDIRECT("'"&amp;$D$24&amp;"'!investcum_2028"),0)
+IFERROR(INDIRECT("'"&amp;$D$25&amp;"'!investcum_2028"),0)
+IFERROR(INDIRECT("'"&amp;$D$26&amp;"'!investcum_2028"),0)
+IFERROR(INDIRECT("'"&amp;$D$27&amp;"'!investcum_2028"),0)
+IFERROR(INDIRECT("'"&amp;$D$28&amp;"'!investcum_2028"),0)
+IFERROR(INDIRECT("'"&amp;$D$29&amp;"'!investcum_2028"),0)
+IFERROR(INDIRECT("'"&amp;$D$30&amp;"'!investcum_2028"),0)
+IFERROR(INDIRECT("'"&amp;$D$31&amp;"'!investcum_2028"),0)
+IFERROR(INDIRECT("'"&amp;$D$32&amp;"'!investcum_2028"),0)
+IFERROR(INDIRECT("'"&amp;$D$33&amp;"'!investcum_2028"),0)
+IFERROR(INDIRECT("'"&amp;$D$34&amp;"'!investcum_2028"),0)
+IFERROR(INDIRECT("'"&amp;$D$35&amp;"'!investcum_2028"),0)
+IFERROR(INDIRECT("'"&amp;$D$36&amp;"'!investcum_2028"),0)
+IFERROR(INDIRECT("'"&amp;$D$37&amp;"'!investcum_2028"),0)
+IFERROR(INDIRECT("'"&amp;$D$38&amp;"'!investcum_2028"),0)
+IFERROR(INDIRECT("'"&amp;$D$39&amp;"'!investcum_2028"),0)
+IFERROR(INDIRECT("'"&amp;$D$40&amp;"'!investcum_2028"),0)
+IFERROR(INDIRECT("'"&amp;$D$41&amp;"'!investcum_2028"),0)
+IFERROR(INDIRECT("'"&amp;$D$42&amp;"'!investcum_2028"),0)
+IFERROR(INDIRECT("'"&amp;$D$43&amp;"'!investcum_2028"),0)
+IFERROR(INDIRECT("'"&amp;$D$44&amp;"'!investcum_2028"),0)
+IFERROR(INDIRECT("'"&amp;$D$45&amp;"'!investcum_2028"),0)
+IFERROR(INDIRECT("'"&amp;$D$46&amp;"'!investcum_2028"),0)
+IFERROR(INDIRECT("'"&amp;$D$47&amp;"'!investcum_2028"),0)
+IFERROR(INDIRECT("'"&amp;$D$48&amp;"'!investcum_2028"),0)
+IFERROR(INDIRECT("'"&amp;$D$49&amp;"'!investcum_2028"),0)
+IFERROR(INDIRECT("'"&amp;$D$50&amp;"'!investcum_2028"),0)
+IFERROR(INDIRECT("'"&amp;$D$51&amp;"'!investcum_2028"),0)
+IFERROR(INDIRECT("'"&amp;$D$52&amp;"'!investcum_2028"),0)
+IFERROR(INDIRECT("'"&amp;$D$53&amp;"'!investcum_2028"),0)
+IFERROR(INDIRECT("'"&amp;$D$54&amp;"'!investcum_2028"),0)</f>
        <v>2009243.7483999999</v>
      </c>
      <c r="S47" s="321">
        <f ca="1">+IFERROR(INDIRECT("'"&amp;$D$5&amp;"'!investcum_2029"),0)
+IFERROR(INDIRECT("'"&amp;$D$6&amp;"'!investcum_2029"),0)
+IFERROR(INDIRECT("'"&amp;$D$7&amp;"'!investcum_2029"),0)
+IFERROR(INDIRECT("'"&amp;$D$8&amp;"'!investcum_2029"),0)
+IFERROR(INDIRECT("'"&amp;$D$9&amp;"'!investcum_2029"),0)
+IFERROR(INDIRECT("'"&amp;$D$10&amp;"'!investcum_2029"),0)
+IFERROR(INDIRECT("'"&amp;$D$11&amp;"'!investcum_2029"),0)
+IFERROR(INDIRECT("'"&amp;$D$12&amp;"'!investcum_2029"),0)
+IFERROR(INDIRECT("'"&amp;$D$13&amp;"'!investcum_2029"),0)
+IFERROR(INDIRECT("'"&amp;$D$14&amp;"'!investcum_2029"),0)
+IFERROR(INDIRECT("'"&amp;$D$15&amp;"'!investcum_2029"),0)
+IFERROR(INDIRECT("'"&amp;$D$16&amp;"'!investcum_2029"),0)
+IFERROR(INDIRECT("'"&amp;$D$17&amp;"'!investcum_2029"),0)
+IFERROR(INDIRECT("'"&amp;$D$18&amp;"'!investcum_2029"),0)
+IFERROR(INDIRECT("'"&amp;$D$19&amp;"'!investcum_2029"),0)
+IFERROR(INDIRECT("'"&amp;$D$20&amp;"'!investcum_2029"),0)
+IFERROR(INDIRECT("'"&amp;$D$21&amp;"'!investcum_2029"),0)
+IFERROR(INDIRECT("'"&amp;$D$22&amp;"'!investcum_2029"),0)
+IFERROR(INDIRECT("'"&amp;$D$23&amp;"'!investcum_2029"),0)
+IFERROR(INDIRECT("'"&amp;$D$24&amp;"'!investcum_2029"),0)
+IFERROR(INDIRECT("'"&amp;$D$25&amp;"'!investcum_2029"),0)
+IFERROR(INDIRECT("'"&amp;$D$26&amp;"'!investcum_2029"),0)
+IFERROR(INDIRECT("'"&amp;$D$27&amp;"'!investcum_2029"),0)
+IFERROR(INDIRECT("'"&amp;$D$28&amp;"'!investcum_2029"),0)
+IFERROR(INDIRECT("'"&amp;$D$29&amp;"'!investcum_2029"),0)
+IFERROR(INDIRECT("'"&amp;$D$30&amp;"'!investcum_2029"),0)
+IFERROR(INDIRECT("'"&amp;$D$31&amp;"'!investcum_2029"),0)
+IFERROR(INDIRECT("'"&amp;$D$32&amp;"'!investcum_2029"),0)
+IFERROR(INDIRECT("'"&amp;$D$33&amp;"'!investcum_2029"),0)
+IFERROR(INDIRECT("'"&amp;$D$34&amp;"'!investcum_2029"),0)
+IFERROR(INDIRECT("'"&amp;$D$35&amp;"'!investcum_2029"),0)
+IFERROR(INDIRECT("'"&amp;$D$36&amp;"'!investcum_2029"),0)
+IFERROR(INDIRECT("'"&amp;$D$37&amp;"'!investcum_2029"),0)
+IFERROR(INDIRECT("'"&amp;$D$38&amp;"'!investcum_2029"),0)
+IFERROR(INDIRECT("'"&amp;$D$39&amp;"'!investcum_2029"),0)
+IFERROR(INDIRECT("'"&amp;$D$40&amp;"'!investcum_2029"),0)
+IFERROR(INDIRECT("'"&amp;$D$41&amp;"'!investcum_2029"),0)
+IFERROR(INDIRECT("'"&amp;$D$42&amp;"'!investcum_2029"),0)
+IFERROR(INDIRECT("'"&amp;$D$43&amp;"'!investcum_2029"),0)
+IFERROR(INDIRECT("'"&amp;$D$44&amp;"'!investcum_2029"),0)
+IFERROR(INDIRECT("'"&amp;$D$45&amp;"'!investcum_2029"),0)
+IFERROR(INDIRECT("'"&amp;$D$46&amp;"'!investcum_2029"),0)
+IFERROR(INDIRECT("'"&amp;$D$47&amp;"'!investcum_2029"),0)
+IFERROR(INDIRECT("'"&amp;$D$48&amp;"'!investcum_2029"),0)
+IFERROR(INDIRECT("'"&amp;$D$49&amp;"'!investcum_2029"),0)
+IFERROR(INDIRECT("'"&amp;$D$50&amp;"'!investcum_2029"),0)
+IFERROR(INDIRECT("'"&amp;$D$51&amp;"'!investcum_2029"),0)
+IFERROR(INDIRECT("'"&amp;$D$52&amp;"'!investcum_2029"),0)
+IFERROR(INDIRECT("'"&amp;$D$53&amp;"'!investcum_2029"),0)
+IFERROR(INDIRECT("'"&amp;$D$54&amp;"'!investcum_2029"),0)</f>
        <v>2022463.2652</v>
      </c>
      <c r="T47" s="321">
        <f ca="1">+IFERROR(INDIRECT("'"&amp;$D$5&amp;"'!investcum_2030"),0)
+IFERROR(INDIRECT("'"&amp;$D$6&amp;"'!investcum_2030"),0)
+IFERROR(INDIRECT("'"&amp;$D$7&amp;"'!investcum_2030"),0)
+IFERROR(INDIRECT("'"&amp;$D$8&amp;"'!investcum_2030"),0)
+IFERROR(INDIRECT("'"&amp;$D$9&amp;"'!investcum_2030"),0)
+IFERROR(INDIRECT("'"&amp;$D$10&amp;"'!investcum_2030"),0)
+IFERROR(INDIRECT("'"&amp;$D$11&amp;"'!investcum_2030"),0)
+IFERROR(INDIRECT("'"&amp;$D$12&amp;"'!investcum_2030"),0)
+IFERROR(INDIRECT("'"&amp;$D$13&amp;"'!investcum_2030"),0)
+IFERROR(INDIRECT("'"&amp;$D$14&amp;"'!investcum_2030"),0)
+IFERROR(INDIRECT("'"&amp;$D$15&amp;"'!investcum_2030"),0)
+IFERROR(INDIRECT("'"&amp;$D$16&amp;"'!investcum_2030"),0)
+IFERROR(INDIRECT("'"&amp;$D$17&amp;"'!investcum_2030"),0)
+IFERROR(INDIRECT("'"&amp;$D$18&amp;"'!investcum_2030"),0)
+IFERROR(INDIRECT("'"&amp;$D$19&amp;"'!investcum_2030"),0)
+IFERROR(INDIRECT("'"&amp;$D$20&amp;"'!investcum_2030"),0)
+IFERROR(INDIRECT("'"&amp;$D$21&amp;"'!investcum_2030"),0)
+IFERROR(INDIRECT("'"&amp;$D$22&amp;"'!investcum_2030"),0)
+IFERROR(INDIRECT("'"&amp;$D$23&amp;"'!investcum_2030"),0)
+IFERROR(INDIRECT("'"&amp;$D$24&amp;"'!investcum_2030"),0)
+IFERROR(INDIRECT("'"&amp;$D$25&amp;"'!investcum_2030"),0)
+IFERROR(INDIRECT("'"&amp;$D$26&amp;"'!investcum_2030"),0)
+IFERROR(INDIRECT("'"&amp;$D$27&amp;"'!investcum_2030"),0)
+IFERROR(INDIRECT("'"&amp;$D$28&amp;"'!investcum_2030"),0)
+IFERROR(INDIRECT("'"&amp;$D$29&amp;"'!investcum_2030"),0)
+IFERROR(INDIRECT("'"&amp;$D$30&amp;"'!investcum_2030"),0)
+IFERROR(INDIRECT("'"&amp;$D$31&amp;"'!investcum_2030"),0)
+IFERROR(INDIRECT("'"&amp;$D$32&amp;"'!investcum_2030"),0)
+IFERROR(INDIRECT("'"&amp;$D$33&amp;"'!investcum_2030"),0)
+IFERROR(INDIRECT("'"&amp;$D$34&amp;"'!investcum_2030"),0)
+IFERROR(INDIRECT("'"&amp;$D$35&amp;"'!investcum_2030"),0)
+IFERROR(INDIRECT("'"&amp;$D$36&amp;"'!investcum_2030"),0)
+IFERROR(INDIRECT("'"&amp;$D$37&amp;"'!investcum_2030"),0)
+IFERROR(INDIRECT("'"&amp;$D$38&amp;"'!investcum_2030"),0)
+IFERROR(INDIRECT("'"&amp;$D$39&amp;"'!investcum_2030"),0)
+IFERROR(INDIRECT("'"&amp;$D$40&amp;"'!investcum_2030"),0)
+IFERROR(INDIRECT("'"&amp;$D$41&amp;"'!investcum_2030"),0)
+IFERROR(INDIRECT("'"&amp;$D$42&amp;"'!investcum_2030"),0)
+IFERROR(INDIRECT("'"&amp;$D$43&amp;"'!investcum_2030"),0)
+IFERROR(INDIRECT("'"&amp;$D$44&amp;"'!investcum_2030"),0)
+IFERROR(INDIRECT("'"&amp;$D$45&amp;"'!investcum_2030"),0)
+IFERROR(INDIRECT("'"&amp;$D$46&amp;"'!investcum_2030"),0)
+IFERROR(INDIRECT("'"&amp;$D$47&amp;"'!investcum_2030"),0)
+IFERROR(INDIRECT("'"&amp;$D$48&amp;"'!investcum_2030"),0)
+IFERROR(INDIRECT("'"&amp;$D$49&amp;"'!investcum_2030"),0)
+IFERROR(INDIRECT("'"&amp;$D$50&amp;"'!investcum_2030"),0)
+IFERROR(INDIRECT("'"&amp;$D$51&amp;"'!investcum_2030"),0)
+IFERROR(INDIRECT("'"&amp;$D$52&amp;"'!investcum_2030"),0)
+IFERROR(INDIRECT("'"&amp;$D$53&amp;"'!investcum_2030"),0)
+IFERROR(INDIRECT("'"&amp;$D$54&amp;"'!investcum_2030"),0)</f>
        <v>2035682.7819999999</v>
      </c>
      <c r="U47" s="321">
        <f ca="1">+IFERROR(INDIRECT("'"&amp;$D$5&amp;"'!investcum_2031"),0)
+IFERROR(INDIRECT("'"&amp;$D$6&amp;"'!investcum_2031"),0)
+IFERROR(INDIRECT("'"&amp;$D$7&amp;"'!investcum_2031"),0)
+IFERROR(INDIRECT("'"&amp;$D$8&amp;"'!investcum_2031"),0)
+IFERROR(INDIRECT("'"&amp;$D$9&amp;"'!investcum_2031"),0)
+IFERROR(INDIRECT("'"&amp;$D$10&amp;"'!investcum_2031"),0)
+IFERROR(INDIRECT("'"&amp;$D$11&amp;"'!investcum_2031"),0)
+IFERROR(INDIRECT("'"&amp;$D$12&amp;"'!investcum_2031"),0)
+IFERROR(INDIRECT("'"&amp;$D$13&amp;"'!investcum_2031"),0)
+IFERROR(INDIRECT("'"&amp;$D$14&amp;"'!investcum_2031"),0)
+IFERROR(INDIRECT("'"&amp;$D$15&amp;"'!investcum_2031"),0)
+IFERROR(INDIRECT("'"&amp;$D$16&amp;"'!investcum_2031"),0)
+IFERROR(INDIRECT("'"&amp;$D$17&amp;"'!investcum_2031"),0)
+IFERROR(INDIRECT("'"&amp;$D$18&amp;"'!investcum_2031"),0)
+IFERROR(INDIRECT("'"&amp;$D$19&amp;"'!investcum_2031"),0)
+IFERROR(INDIRECT("'"&amp;$D$20&amp;"'!investcum_2031"),0)
+IFERROR(INDIRECT("'"&amp;$D$21&amp;"'!investcum_2031"),0)
+IFERROR(INDIRECT("'"&amp;$D$22&amp;"'!investcum_2031"),0)
+IFERROR(INDIRECT("'"&amp;$D$23&amp;"'!investcum_2031"),0)
+IFERROR(INDIRECT("'"&amp;$D$24&amp;"'!investcum_2031"),0)
+IFERROR(INDIRECT("'"&amp;$D$25&amp;"'!investcum_2031"),0)
+IFERROR(INDIRECT("'"&amp;$D$26&amp;"'!investcum_2031"),0)
+IFERROR(INDIRECT("'"&amp;$D$27&amp;"'!investcum_2031"),0)
+IFERROR(INDIRECT("'"&amp;$D$28&amp;"'!investcum_2031"),0)
+IFERROR(INDIRECT("'"&amp;$D$29&amp;"'!investcum_2031"),0)
+IFERROR(INDIRECT("'"&amp;$D$30&amp;"'!investcum_2031"),0)
+IFERROR(INDIRECT("'"&amp;$D$31&amp;"'!investcum_2031"),0)
+IFERROR(INDIRECT("'"&amp;$D$32&amp;"'!investcum_2031"),0)
+IFERROR(INDIRECT("'"&amp;$D$33&amp;"'!investcum_2031"),0)
+IFERROR(INDIRECT("'"&amp;$D$34&amp;"'!investcum_2031"),0)
+IFERROR(INDIRECT("'"&amp;$D$35&amp;"'!investcum_2031"),0)
+IFERROR(INDIRECT("'"&amp;$D$36&amp;"'!investcum_2031"),0)
+IFERROR(INDIRECT("'"&amp;$D$37&amp;"'!investcum_2031"),0)
+IFERROR(INDIRECT("'"&amp;$D$38&amp;"'!investcum_2031"),0)
+IFERROR(INDIRECT("'"&amp;$D$39&amp;"'!investcum_2031"),0)
+IFERROR(INDIRECT("'"&amp;$D$40&amp;"'!investcum_2031"),0)
+IFERROR(INDIRECT("'"&amp;$D$41&amp;"'!investcum_2031"),0)
+IFERROR(INDIRECT("'"&amp;$D$42&amp;"'!investcum_2031"),0)
+IFERROR(INDIRECT("'"&amp;$D$43&amp;"'!investcum_2031"),0)
+IFERROR(INDIRECT("'"&amp;$D$44&amp;"'!investcum_2031"),0)
+IFERROR(INDIRECT("'"&amp;$D$45&amp;"'!investcum_2031"),0)
+IFERROR(INDIRECT("'"&amp;$D$46&amp;"'!investcum_2031"),0)
+IFERROR(INDIRECT("'"&amp;$D$47&amp;"'!investcum_2031"),0)
+IFERROR(INDIRECT("'"&amp;$D$48&amp;"'!investcum_2031"),0)
+IFERROR(INDIRECT("'"&amp;$D$49&amp;"'!investcum_2031"),0)
+IFERROR(INDIRECT("'"&amp;$D$50&amp;"'!investcum_2031"),0)
+IFERROR(INDIRECT("'"&amp;$D$51&amp;"'!investcum_2031"),0)
+IFERROR(INDIRECT("'"&amp;$D$52&amp;"'!investcum_2031"),0)
+IFERROR(INDIRECT("'"&amp;$D$53&amp;"'!investcum_2031"),0)
+IFERROR(INDIRECT("'"&amp;$D$54&amp;"'!investcum_2031"),0)</f>
        <v>2048902.2988</v>
      </c>
      <c r="V47" s="321">
        <f ca="1">+IFERROR(INDIRECT("'"&amp;$D$5&amp;"'!investcum_2032"),0)
+IFERROR(INDIRECT("'"&amp;$D$6&amp;"'!investcum_2032"),0)
+IFERROR(INDIRECT("'"&amp;$D$7&amp;"'!investcum_2032"),0)
+IFERROR(INDIRECT("'"&amp;$D$8&amp;"'!investcum_2032"),0)
+IFERROR(INDIRECT("'"&amp;$D$9&amp;"'!investcum_2032"),0)
+IFERROR(INDIRECT("'"&amp;$D$10&amp;"'!investcum_2032"),0)
+IFERROR(INDIRECT("'"&amp;$D$11&amp;"'!investcum_2032"),0)
+IFERROR(INDIRECT("'"&amp;$D$12&amp;"'!investcum_2032"),0)
+IFERROR(INDIRECT("'"&amp;$D$13&amp;"'!investcum_2032"),0)
+IFERROR(INDIRECT("'"&amp;$D$14&amp;"'!investcum_2032"),0)
+IFERROR(INDIRECT("'"&amp;$D$15&amp;"'!investcum_2032"),0)
+IFERROR(INDIRECT("'"&amp;$D$16&amp;"'!investcum_2032"),0)
+IFERROR(INDIRECT("'"&amp;$D$17&amp;"'!investcum_2032"),0)
+IFERROR(INDIRECT("'"&amp;$D$18&amp;"'!investcum_2032"),0)
+IFERROR(INDIRECT("'"&amp;$D$19&amp;"'!investcum_2032"),0)
+IFERROR(INDIRECT("'"&amp;$D$20&amp;"'!investcum_2032"),0)
+IFERROR(INDIRECT("'"&amp;$D$21&amp;"'!investcum_2032"),0)
+IFERROR(INDIRECT("'"&amp;$D$22&amp;"'!investcum_2032"),0)
+IFERROR(INDIRECT("'"&amp;$D$23&amp;"'!investcum_2032"),0)
+IFERROR(INDIRECT("'"&amp;$D$24&amp;"'!investcum_2032"),0)
+IFERROR(INDIRECT("'"&amp;$D$25&amp;"'!investcum_2032"),0)
+IFERROR(INDIRECT("'"&amp;$D$26&amp;"'!investcum_2032"),0)
+IFERROR(INDIRECT("'"&amp;$D$27&amp;"'!investcum_2032"),0)
+IFERROR(INDIRECT("'"&amp;$D$28&amp;"'!investcum_2032"),0)
+IFERROR(INDIRECT("'"&amp;$D$29&amp;"'!investcum_2032"),0)
+IFERROR(INDIRECT("'"&amp;$D$30&amp;"'!investcum_2032"),0)
+IFERROR(INDIRECT("'"&amp;$D$31&amp;"'!investcum_2032"),0)
+IFERROR(INDIRECT("'"&amp;$D$32&amp;"'!investcum_2032"),0)
+IFERROR(INDIRECT("'"&amp;$D$33&amp;"'!investcum_2032"),0)
+IFERROR(INDIRECT("'"&amp;$D$34&amp;"'!investcum_2032"),0)
+IFERROR(INDIRECT("'"&amp;$D$35&amp;"'!investcum_2032"),0)
+IFERROR(INDIRECT("'"&amp;$D$36&amp;"'!investcum_2032"),0)
+IFERROR(INDIRECT("'"&amp;$D$37&amp;"'!investcum_2032"),0)
+IFERROR(INDIRECT("'"&amp;$D$38&amp;"'!investcum_2032"),0)
+IFERROR(INDIRECT("'"&amp;$D$39&amp;"'!investcum_2032"),0)
+IFERROR(INDIRECT("'"&amp;$D$40&amp;"'!investcum_2032"),0)
+IFERROR(INDIRECT("'"&amp;$D$41&amp;"'!investcum_2032"),0)
+IFERROR(INDIRECT("'"&amp;$D$42&amp;"'!investcum_2032"),0)
+IFERROR(INDIRECT("'"&amp;$D$43&amp;"'!investcum_2032"),0)
+IFERROR(INDIRECT("'"&amp;$D$44&amp;"'!investcum_2032"),0)
+IFERROR(INDIRECT("'"&amp;$D$45&amp;"'!investcum_2032"),0)
+IFERROR(INDIRECT("'"&amp;$D$46&amp;"'!investcum_2032"),0)
+IFERROR(INDIRECT("'"&amp;$D$47&amp;"'!investcum_2032"),0)
+IFERROR(INDIRECT("'"&amp;$D$48&amp;"'!investcum_2032"),0)
+IFERROR(INDIRECT("'"&amp;$D$49&amp;"'!investcum_2032"),0)
+IFERROR(INDIRECT("'"&amp;$D$50&amp;"'!investcum_2032"),0)
+IFERROR(INDIRECT("'"&amp;$D$51&amp;"'!investcum_2032"),0)
+IFERROR(INDIRECT("'"&amp;$D$52&amp;"'!investcum_2032"),0)
+IFERROR(INDIRECT("'"&amp;$D$53&amp;"'!investcum_2032"),0)
+IFERROR(INDIRECT("'"&amp;$D$54&amp;"'!investcum_2032"),0)</f>
        <v>2048902.2988</v>
      </c>
      <c r="W47" s="321">
        <f ca="1">+IFERROR(INDIRECT("'"&amp;$D$5&amp;"'!investcum_2033"),0)
+IFERROR(INDIRECT("'"&amp;$D$6&amp;"'!investcum_2033"),0)
+IFERROR(INDIRECT("'"&amp;$D$7&amp;"'!investcum_2033"),0)
+IFERROR(INDIRECT("'"&amp;$D$8&amp;"'!investcum_2033"),0)
+IFERROR(INDIRECT("'"&amp;$D$9&amp;"'!investcum_2033"),0)
+IFERROR(INDIRECT("'"&amp;$D$10&amp;"'!investcum_2033"),0)
+IFERROR(INDIRECT("'"&amp;$D$11&amp;"'!investcum_2033"),0)
+IFERROR(INDIRECT("'"&amp;$D$12&amp;"'!investcum_2033"),0)
+IFERROR(INDIRECT("'"&amp;$D$13&amp;"'!investcum_2033"),0)
+IFERROR(INDIRECT("'"&amp;$D$14&amp;"'!investcum_2033"),0)
+IFERROR(INDIRECT("'"&amp;$D$15&amp;"'!investcum_2033"),0)
+IFERROR(INDIRECT("'"&amp;$D$16&amp;"'!investcum_2033"),0)
+IFERROR(INDIRECT("'"&amp;$D$17&amp;"'!investcum_2033"),0)
+IFERROR(INDIRECT("'"&amp;$D$18&amp;"'!investcum_2033"),0)
+IFERROR(INDIRECT("'"&amp;$D$19&amp;"'!investcum_2033"),0)
+IFERROR(INDIRECT("'"&amp;$D$20&amp;"'!investcum_2033"),0)
+IFERROR(INDIRECT("'"&amp;$D$21&amp;"'!investcum_2033"),0)
+IFERROR(INDIRECT("'"&amp;$D$22&amp;"'!investcum_2033"),0)
+IFERROR(INDIRECT("'"&amp;$D$23&amp;"'!investcum_2033"),0)
+IFERROR(INDIRECT("'"&amp;$D$24&amp;"'!investcum_2033"),0)
+IFERROR(INDIRECT("'"&amp;$D$25&amp;"'!investcum_2033"),0)
+IFERROR(INDIRECT("'"&amp;$D$26&amp;"'!investcum_2033"),0)
+IFERROR(INDIRECT("'"&amp;$D$27&amp;"'!investcum_2033"),0)
+IFERROR(INDIRECT("'"&amp;$D$28&amp;"'!investcum_2033"),0)
+IFERROR(INDIRECT("'"&amp;$D$29&amp;"'!investcum_2033"),0)
+IFERROR(INDIRECT("'"&amp;$D$30&amp;"'!investcum_2033"),0)
+IFERROR(INDIRECT("'"&amp;$D$31&amp;"'!investcum_2033"),0)
+IFERROR(INDIRECT("'"&amp;$D$32&amp;"'!investcum_2033"),0)
+IFERROR(INDIRECT("'"&amp;$D$33&amp;"'!investcum_2033"),0)
+IFERROR(INDIRECT("'"&amp;$D$34&amp;"'!investcum_2033"),0)
+IFERROR(INDIRECT("'"&amp;$D$35&amp;"'!investcum_2033"),0)
+IFERROR(INDIRECT("'"&amp;$D$36&amp;"'!investcum_2033"),0)
+IFERROR(INDIRECT("'"&amp;$D$37&amp;"'!investcum_2033"),0)
+IFERROR(INDIRECT("'"&amp;$D$38&amp;"'!investcum_2033"),0)
+IFERROR(INDIRECT("'"&amp;$D$39&amp;"'!investcum_2033"),0)
+IFERROR(INDIRECT("'"&amp;$D$40&amp;"'!investcum_2033"),0)
+IFERROR(INDIRECT("'"&amp;$D$41&amp;"'!investcum_2033"),0)
+IFERROR(INDIRECT("'"&amp;$D$42&amp;"'!investcum_2033"),0)
+IFERROR(INDIRECT("'"&amp;$D$43&amp;"'!investcum_2033"),0)
+IFERROR(INDIRECT("'"&amp;$D$44&amp;"'!investcum_2033"),0)
+IFERROR(INDIRECT("'"&amp;$D$45&amp;"'!investcum_2033"),0)
+IFERROR(INDIRECT("'"&amp;$D$46&amp;"'!investcum_2033"),0)
+IFERROR(INDIRECT("'"&amp;$D$47&amp;"'!investcum_2033"),0)
+IFERROR(INDIRECT("'"&amp;$D$48&amp;"'!investcum_2033"),0)
+IFERROR(INDIRECT("'"&amp;$D$49&amp;"'!investcum_2033"),0)
+IFERROR(INDIRECT("'"&amp;$D$50&amp;"'!investcum_2033"),0)
+IFERROR(INDIRECT("'"&amp;$D$51&amp;"'!investcum_2033"),0)
+IFERROR(INDIRECT("'"&amp;$D$52&amp;"'!investcum_2033"),0)
+IFERROR(INDIRECT("'"&amp;$D$53&amp;"'!investcum_2033"),0)
+IFERROR(INDIRECT("'"&amp;$D$54&amp;"'!investcum_2033"),0)</f>
        <v>2048902.2988</v>
      </c>
      <c r="X47" s="321">
        <f ca="1">+IFERROR(INDIRECT("'"&amp;$D$5&amp;"'!investcum_2034"),0)
+IFERROR(INDIRECT("'"&amp;$D$6&amp;"'!investcum_2034"),0)
+IFERROR(INDIRECT("'"&amp;$D$7&amp;"'!investcum_2034"),0)
+IFERROR(INDIRECT("'"&amp;$D$8&amp;"'!investcum_2034"),0)
+IFERROR(INDIRECT("'"&amp;$D$9&amp;"'!investcum_2034"),0)
+IFERROR(INDIRECT("'"&amp;$D$10&amp;"'!investcum_2034"),0)
+IFERROR(INDIRECT("'"&amp;$D$11&amp;"'!investcum_2034"),0)
+IFERROR(INDIRECT("'"&amp;$D$12&amp;"'!investcum_2034"),0)
+IFERROR(INDIRECT("'"&amp;$D$13&amp;"'!investcum_2034"),0)
+IFERROR(INDIRECT("'"&amp;$D$14&amp;"'!investcum_2034"),0)
+IFERROR(INDIRECT("'"&amp;$D$15&amp;"'!investcum_2034"),0)
+IFERROR(INDIRECT("'"&amp;$D$16&amp;"'!investcum_2034"),0)
+IFERROR(INDIRECT("'"&amp;$D$17&amp;"'!investcum_2034"),0)
+IFERROR(INDIRECT("'"&amp;$D$18&amp;"'!investcum_2034"),0)
+IFERROR(INDIRECT("'"&amp;$D$19&amp;"'!investcum_2034"),0)
+IFERROR(INDIRECT("'"&amp;$D$20&amp;"'!investcum_2034"),0)
+IFERROR(INDIRECT("'"&amp;$D$21&amp;"'!investcum_2034"),0)
+IFERROR(INDIRECT("'"&amp;$D$22&amp;"'!investcum_2034"),0)
+IFERROR(INDIRECT("'"&amp;$D$23&amp;"'!investcum_2034"),0)
+IFERROR(INDIRECT("'"&amp;$D$24&amp;"'!investcum_2034"),0)
+IFERROR(INDIRECT("'"&amp;$D$25&amp;"'!investcum_2034"),0)
+IFERROR(INDIRECT("'"&amp;$D$26&amp;"'!investcum_2034"),0)
+IFERROR(INDIRECT("'"&amp;$D$27&amp;"'!investcum_2034"),0)
+IFERROR(INDIRECT("'"&amp;$D$28&amp;"'!investcum_2034"),0)
+IFERROR(INDIRECT("'"&amp;$D$29&amp;"'!investcum_2034"),0)
+IFERROR(INDIRECT("'"&amp;$D$30&amp;"'!investcum_2034"),0)
+IFERROR(INDIRECT("'"&amp;$D$31&amp;"'!investcum_2034"),0)
+IFERROR(INDIRECT("'"&amp;$D$32&amp;"'!investcum_2034"),0)
+IFERROR(INDIRECT("'"&amp;$D$33&amp;"'!investcum_2034"),0)
+IFERROR(INDIRECT("'"&amp;$D$34&amp;"'!investcum_2034"),0)
+IFERROR(INDIRECT("'"&amp;$D$35&amp;"'!investcum_2034"),0)
+IFERROR(INDIRECT("'"&amp;$D$36&amp;"'!investcum_2034"),0)
+IFERROR(INDIRECT("'"&amp;$D$37&amp;"'!investcum_2034"),0)
+IFERROR(INDIRECT("'"&amp;$D$38&amp;"'!investcum_2034"),0)
+IFERROR(INDIRECT("'"&amp;$D$39&amp;"'!investcum_2034"),0)
+IFERROR(INDIRECT("'"&amp;$D$40&amp;"'!investcum_2034"),0)
+IFERROR(INDIRECT("'"&amp;$D$41&amp;"'!investcum_2034"),0)
+IFERROR(INDIRECT("'"&amp;$D$42&amp;"'!investcum_2034"),0)
+IFERROR(INDIRECT("'"&amp;$D$43&amp;"'!investcum_2034"),0)
+IFERROR(INDIRECT("'"&amp;$D$44&amp;"'!investcum_2034"),0)
+IFERROR(INDIRECT("'"&amp;$D$45&amp;"'!investcum_2034"),0)
+IFERROR(INDIRECT("'"&amp;$D$46&amp;"'!investcum_2034"),0)
+IFERROR(INDIRECT("'"&amp;$D$47&amp;"'!investcum_2034"),0)
+IFERROR(INDIRECT("'"&amp;$D$48&amp;"'!investcum_2034"),0)
+IFERROR(INDIRECT("'"&amp;$D$49&amp;"'!investcum_2034"),0)
+IFERROR(INDIRECT("'"&amp;$D$50&amp;"'!investcum_2034"),0)
+IFERROR(INDIRECT("'"&amp;$D$51&amp;"'!investcum_2034"),0)
+IFERROR(INDIRECT("'"&amp;$D$52&amp;"'!investcum_2034"),0)
+IFERROR(INDIRECT("'"&amp;$D$53&amp;"'!investcum_2034"),0)
+IFERROR(INDIRECT("'"&amp;$D$54&amp;"'!investcum_2034"),0)</f>
        <v>2048902.2988</v>
      </c>
      <c r="Y47" s="321">
        <f ca="1">+IFERROR(INDIRECT("'"&amp;$D$5&amp;"'!investcum_2035"),0)
+IFERROR(INDIRECT("'"&amp;$D$6&amp;"'!investcum_2035"),0)
+IFERROR(INDIRECT("'"&amp;$D$7&amp;"'!investcum_2035"),0)
+IFERROR(INDIRECT("'"&amp;$D$8&amp;"'!investcum_2035"),0)
+IFERROR(INDIRECT("'"&amp;$D$9&amp;"'!investcum_2035"),0)
+IFERROR(INDIRECT("'"&amp;$D$10&amp;"'!investcum_2035"),0)
+IFERROR(INDIRECT("'"&amp;$D$11&amp;"'!investcum_2035"),0)
+IFERROR(INDIRECT("'"&amp;$D$12&amp;"'!investcum_2035"),0)
+IFERROR(INDIRECT("'"&amp;$D$13&amp;"'!investcum_2035"),0)
+IFERROR(INDIRECT("'"&amp;$D$14&amp;"'!investcum_2035"),0)
+IFERROR(INDIRECT("'"&amp;$D$15&amp;"'!investcum_2035"),0)
+IFERROR(INDIRECT("'"&amp;$D$16&amp;"'!investcum_2035"),0)
+IFERROR(INDIRECT("'"&amp;$D$17&amp;"'!investcum_2035"),0)
+IFERROR(INDIRECT("'"&amp;$D$18&amp;"'!investcum_2035"),0)
+IFERROR(INDIRECT("'"&amp;$D$19&amp;"'!investcum_2035"),0)
+IFERROR(INDIRECT("'"&amp;$D$20&amp;"'!investcum_2035"),0)
+IFERROR(INDIRECT("'"&amp;$D$21&amp;"'!investcum_2035"),0)
+IFERROR(INDIRECT("'"&amp;$D$22&amp;"'!investcum_2035"),0)
+IFERROR(INDIRECT("'"&amp;$D$23&amp;"'!investcum_2035"),0)
+IFERROR(INDIRECT("'"&amp;$D$24&amp;"'!investcum_2035"),0)
+IFERROR(INDIRECT("'"&amp;$D$25&amp;"'!investcum_2035"),0)
+IFERROR(INDIRECT("'"&amp;$D$26&amp;"'!investcum_2035"),0)
+IFERROR(INDIRECT("'"&amp;$D$27&amp;"'!investcum_2035"),0)
+IFERROR(INDIRECT("'"&amp;$D$28&amp;"'!investcum_2035"),0)
+IFERROR(INDIRECT("'"&amp;$D$29&amp;"'!investcum_2035"),0)
+IFERROR(INDIRECT("'"&amp;$D$30&amp;"'!investcum_2035"),0)
+IFERROR(INDIRECT("'"&amp;$D$31&amp;"'!investcum_2035"),0)
+IFERROR(INDIRECT("'"&amp;$D$32&amp;"'!investcum_2035"),0)
+IFERROR(INDIRECT("'"&amp;$D$33&amp;"'!investcum_2035"),0)
+IFERROR(INDIRECT("'"&amp;$D$34&amp;"'!investcum_2035"),0)
+IFERROR(INDIRECT("'"&amp;$D$35&amp;"'!investcum_2035"),0)
+IFERROR(INDIRECT("'"&amp;$D$36&amp;"'!investcum_2035"),0)
+IFERROR(INDIRECT("'"&amp;$D$37&amp;"'!investcum_2035"),0)
+IFERROR(INDIRECT("'"&amp;$D$38&amp;"'!investcum_2035"),0)
+IFERROR(INDIRECT("'"&amp;$D$39&amp;"'!investcum_2035"),0)
+IFERROR(INDIRECT("'"&amp;$D$40&amp;"'!investcum_2035"),0)
+IFERROR(INDIRECT("'"&amp;$D$41&amp;"'!investcum_2035"),0)
+IFERROR(INDIRECT("'"&amp;$D$42&amp;"'!investcum_2035"),0)
+IFERROR(INDIRECT("'"&amp;$D$43&amp;"'!investcum_2035"),0)
+IFERROR(INDIRECT("'"&amp;$D$44&amp;"'!investcum_2035"),0)
+IFERROR(INDIRECT("'"&amp;$D$45&amp;"'!investcum_2035"),0)
+IFERROR(INDIRECT("'"&amp;$D$46&amp;"'!investcum_2035"),0)
+IFERROR(INDIRECT("'"&amp;$D$47&amp;"'!investcum_2035"),0)
+IFERROR(INDIRECT("'"&amp;$D$48&amp;"'!investcum_2035"),0)
+IFERROR(INDIRECT("'"&amp;$D$49&amp;"'!investcum_2035"),0)
+IFERROR(INDIRECT("'"&amp;$D$50&amp;"'!investcum_2035"),0)
+IFERROR(INDIRECT("'"&amp;$D$51&amp;"'!investcum_2035"),0)
+IFERROR(INDIRECT("'"&amp;$D$52&amp;"'!investcum_2035"),0)
+IFERROR(INDIRECT("'"&amp;$D$53&amp;"'!investcum_2035"),0)
+IFERROR(INDIRECT("'"&amp;$D$54&amp;"'!investcum_2035"),0)</f>
        <v>2048902.2988</v>
      </c>
      <c r="Z47" s="321">
        <f ca="1">+IFERROR(INDIRECT("'"&amp;$D$5&amp;"'!investcum_2036"),0)
+IFERROR(INDIRECT("'"&amp;$D$6&amp;"'!investcum_2036"),0)
+IFERROR(INDIRECT("'"&amp;$D$7&amp;"'!investcum_2036"),0)
+IFERROR(INDIRECT("'"&amp;$D$8&amp;"'!investcum_2036"),0)
+IFERROR(INDIRECT("'"&amp;$D$9&amp;"'!investcum_2036"),0)
+IFERROR(INDIRECT("'"&amp;$D$10&amp;"'!investcum_2036"),0)
+IFERROR(INDIRECT("'"&amp;$D$11&amp;"'!investcum_2036"),0)
+IFERROR(INDIRECT("'"&amp;$D$12&amp;"'!investcum_2036"),0)
+IFERROR(INDIRECT("'"&amp;$D$13&amp;"'!investcum_2036"),0)
+IFERROR(INDIRECT("'"&amp;$D$14&amp;"'!investcum_2036"),0)
+IFERROR(INDIRECT("'"&amp;$D$15&amp;"'!investcum_2036"),0)
+IFERROR(INDIRECT("'"&amp;$D$16&amp;"'!investcum_2036"),0)
+IFERROR(INDIRECT("'"&amp;$D$17&amp;"'!investcum_2036"),0)
+IFERROR(INDIRECT("'"&amp;$D$18&amp;"'!investcum_2036"),0)
+IFERROR(INDIRECT("'"&amp;$D$19&amp;"'!investcum_2036"),0)
+IFERROR(INDIRECT("'"&amp;$D$20&amp;"'!investcum_2036"),0)
+IFERROR(INDIRECT("'"&amp;$D$21&amp;"'!investcum_2036"),0)
+IFERROR(INDIRECT("'"&amp;$D$22&amp;"'!investcum_2036"),0)
+IFERROR(INDIRECT("'"&amp;$D$23&amp;"'!investcum_2036"),0)
+IFERROR(INDIRECT("'"&amp;$D$24&amp;"'!investcum_2036"),0)
+IFERROR(INDIRECT("'"&amp;$D$25&amp;"'!investcum_2036"),0)
+IFERROR(INDIRECT("'"&amp;$D$26&amp;"'!investcum_2036"),0)
+IFERROR(INDIRECT("'"&amp;$D$27&amp;"'!investcum_2036"),0)
+IFERROR(INDIRECT("'"&amp;$D$28&amp;"'!investcum_2036"),0)
+IFERROR(INDIRECT("'"&amp;$D$29&amp;"'!investcum_2036"),0)
+IFERROR(INDIRECT("'"&amp;$D$30&amp;"'!investcum_2036"),0)
+IFERROR(INDIRECT("'"&amp;$D$31&amp;"'!investcum_2036"),0)
+IFERROR(INDIRECT("'"&amp;$D$32&amp;"'!investcum_2036"),0)
+IFERROR(INDIRECT("'"&amp;$D$33&amp;"'!investcum_2036"),0)
+IFERROR(INDIRECT("'"&amp;$D$34&amp;"'!investcum_2036"),0)
+IFERROR(INDIRECT("'"&amp;$D$35&amp;"'!investcum_2036"),0)
+IFERROR(INDIRECT("'"&amp;$D$36&amp;"'!investcum_2036"),0)
+IFERROR(INDIRECT("'"&amp;$D$37&amp;"'!investcum_2036"),0)
+IFERROR(INDIRECT("'"&amp;$D$38&amp;"'!investcum_2036"),0)
+IFERROR(INDIRECT("'"&amp;$D$39&amp;"'!investcum_2036"),0)
+IFERROR(INDIRECT("'"&amp;$D$40&amp;"'!investcum_2036"),0)
+IFERROR(INDIRECT("'"&amp;$D$41&amp;"'!investcum_2036"),0)
+IFERROR(INDIRECT("'"&amp;$D$42&amp;"'!investcum_2036"),0)
+IFERROR(INDIRECT("'"&amp;$D$43&amp;"'!investcum_2036"),0)
+IFERROR(INDIRECT("'"&amp;$D$44&amp;"'!investcum_2036"),0)
+IFERROR(INDIRECT("'"&amp;$D$45&amp;"'!investcum_2036"),0)
+IFERROR(INDIRECT("'"&amp;$D$46&amp;"'!investcum_2036"),0)
+IFERROR(INDIRECT("'"&amp;$D$47&amp;"'!investcum_2036"),0)
+IFERROR(INDIRECT("'"&amp;$D$48&amp;"'!investcum_2036"),0)
+IFERROR(INDIRECT("'"&amp;$D$49&amp;"'!investcum_2036"),0)
+IFERROR(INDIRECT("'"&amp;$D$50&amp;"'!investcum_2036"),0)
+IFERROR(INDIRECT("'"&amp;$D$51&amp;"'!investcum_2036"),0)
+IFERROR(INDIRECT("'"&amp;$D$52&amp;"'!investcum_2036"),0)
+IFERROR(INDIRECT("'"&amp;$D$53&amp;"'!investcum_2036"),0)
+IFERROR(INDIRECT("'"&amp;$D$54&amp;"'!investcum_2036"),0)</f>
        <v>2088560.8492000001</v>
      </c>
      <c r="AA47" s="321">
        <f ca="1">+IFERROR(INDIRECT("'"&amp;$D$5&amp;"'!investcum_2037"),0)
+IFERROR(INDIRECT("'"&amp;$D$6&amp;"'!investcum_2037"),0)
+IFERROR(INDIRECT("'"&amp;$D$7&amp;"'!investcum_2037"),0)
+IFERROR(INDIRECT("'"&amp;$D$8&amp;"'!investcum_2037"),0)
+IFERROR(INDIRECT("'"&amp;$D$9&amp;"'!investcum_2037"),0)
+IFERROR(INDIRECT("'"&amp;$D$10&amp;"'!investcum_2037"),0)
+IFERROR(INDIRECT("'"&amp;$D$11&amp;"'!investcum_2037"),0)
+IFERROR(INDIRECT("'"&amp;$D$12&amp;"'!investcum_2037"),0)
+IFERROR(INDIRECT("'"&amp;$D$13&amp;"'!investcum_2037"),0)
+IFERROR(INDIRECT("'"&amp;$D$14&amp;"'!investcum_2037"),0)
+IFERROR(INDIRECT("'"&amp;$D$15&amp;"'!investcum_2037"),0)
+IFERROR(INDIRECT("'"&amp;$D$16&amp;"'!investcum_2037"),0)
+IFERROR(INDIRECT("'"&amp;$D$17&amp;"'!investcum_2037"),0)
+IFERROR(INDIRECT("'"&amp;$D$18&amp;"'!investcum_2037"),0)
+IFERROR(INDIRECT("'"&amp;$D$19&amp;"'!investcum_2037"),0)
+IFERROR(INDIRECT("'"&amp;$D$20&amp;"'!investcum_2037"),0)
+IFERROR(INDIRECT("'"&amp;$D$21&amp;"'!investcum_2037"),0)
+IFERROR(INDIRECT("'"&amp;$D$22&amp;"'!investcum_2037"),0)
+IFERROR(INDIRECT("'"&amp;$D$23&amp;"'!investcum_2037"),0)
+IFERROR(INDIRECT("'"&amp;$D$24&amp;"'!investcum_2037"),0)
+IFERROR(INDIRECT("'"&amp;$D$25&amp;"'!investcum_2037"),0)
+IFERROR(INDIRECT("'"&amp;$D$26&amp;"'!investcum_2037"),0)
+IFERROR(INDIRECT("'"&amp;$D$27&amp;"'!investcum_2037"),0)
+IFERROR(INDIRECT("'"&amp;$D$28&amp;"'!investcum_2037"),0)
+IFERROR(INDIRECT("'"&amp;$D$29&amp;"'!investcum_2037"),0)
+IFERROR(INDIRECT("'"&amp;$D$30&amp;"'!investcum_2037"),0)
+IFERROR(INDIRECT("'"&amp;$D$31&amp;"'!investcum_2037"),0)
+IFERROR(INDIRECT("'"&amp;$D$32&amp;"'!investcum_2037"),0)
+IFERROR(INDIRECT("'"&amp;$D$33&amp;"'!investcum_2037"),0)
+IFERROR(INDIRECT("'"&amp;$D$34&amp;"'!investcum_2037"),0)
+IFERROR(INDIRECT("'"&amp;$D$35&amp;"'!investcum_2037"),0)
+IFERROR(INDIRECT("'"&amp;$D$36&amp;"'!investcum_2037"),0)
+IFERROR(INDIRECT("'"&amp;$D$37&amp;"'!investcum_2037"),0)
+IFERROR(INDIRECT("'"&amp;$D$38&amp;"'!investcum_2037"),0)
+IFERROR(INDIRECT("'"&amp;$D$39&amp;"'!investcum_2037"),0)
+IFERROR(INDIRECT("'"&amp;$D$40&amp;"'!investcum_2037"),0)
+IFERROR(INDIRECT("'"&amp;$D$41&amp;"'!investcum_2037"),0)
+IFERROR(INDIRECT("'"&amp;$D$42&amp;"'!investcum_2037"),0)
+IFERROR(INDIRECT("'"&amp;$D$43&amp;"'!investcum_2037"),0)
+IFERROR(INDIRECT("'"&amp;$D$44&amp;"'!investcum_2037"),0)
+IFERROR(INDIRECT("'"&amp;$D$45&amp;"'!investcum_2037"),0)
+IFERROR(INDIRECT("'"&amp;$D$46&amp;"'!investcum_2037"),0)
+IFERROR(INDIRECT("'"&amp;$D$47&amp;"'!investcum_2037"),0)
+IFERROR(INDIRECT("'"&amp;$D$48&amp;"'!investcum_2037"),0)
+IFERROR(INDIRECT("'"&amp;$D$49&amp;"'!investcum_2037"),0)
+IFERROR(INDIRECT("'"&amp;$D$50&amp;"'!investcum_2037"),0)
+IFERROR(INDIRECT("'"&amp;$D$51&amp;"'!investcum_2037"),0)
+IFERROR(INDIRECT("'"&amp;$D$52&amp;"'!investcum_2037"),0)
+IFERROR(INDIRECT("'"&amp;$D$53&amp;"'!investcum_2037"),0)
+IFERROR(INDIRECT("'"&amp;$D$54&amp;"'!investcum_2037"),0)</f>
        <v>2088560.8492000001</v>
      </c>
      <c r="AB47" s="321">
        <f ca="1">+IFERROR(INDIRECT("'"&amp;$D$5&amp;"'!investcum_2038"),0)
+IFERROR(INDIRECT("'"&amp;$D$6&amp;"'!investcum_2038"),0)
+IFERROR(INDIRECT("'"&amp;$D$7&amp;"'!investcum_2038"),0)
+IFERROR(INDIRECT("'"&amp;$D$8&amp;"'!investcum_2038"),0)
+IFERROR(INDIRECT("'"&amp;$D$9&amp;"'!investcum_2038"),0)
+IFERROR(INDIRECT("'"&amp;$D$10&amp;"'!investcum_2038"),0)
+IFERROR(INDIRECT("'"&amp;$D$11&amp;"'!investcum_2038"),0)
+IFERROR(INDIRECT("'"&amp;$D$12&amp;"'!investcum_2038"),0)
+IFERROR(INDIRECT("'"&amp;$D$13&amp;"'!investcum_2038"),0)
+IFERROR(INDIRECT("'"&amp;$D$14&amp;"'!investcum_2038"),0)
+IFERROR(INDIRECT("'"&amp;$D$15&amp;"'!investcum_2038"),0)
+IFERROR(INDIRECT("'"&amp;$D$16&amp;"'!investcum_2038"),0)
+IFERROR(INDIRECT("'"&amp;$D$17&amp;"'!investcum_2038"),0)
+IFERROR(INDIRECT("'"&amp;$D$18&amp;"'!investcum_2038"),0)
+IFERROR(INDIRECT("'"&amp;$D$19&amp;"'!investcum_2038"),0)
+IFERROR(INDIRECT("'"&amp;$D$20&amp;"'!investcum_2038"),0)
+IFERROR(INDIRECT("'"&amp;$D$21&amp;"'!investcum_2038"),0)
+IFERROR(INDIRECT("'"&amp;$D$22&amp;"'!investcum_2038"),0)
+IFERROR(INDIRECT("'"&amp;$D$23&amp;"'!investcum_2038"),0)
+IFERROR(INDIRECT("'"&amp;$D$24&amp;"'!investcum_2038"),0)
+IFERROR(INDIRECT("'"&amp;$D$25&amp;"'!investcum_2038"),0)
+IFERROR(INDIRECT("'"&amp;$D$26&amp;"'!investcum_2038"),0)
+IFERROR(INDIRECT("'"&amp;$D$27&amp;"'!investcum_2038"),0)
+IFERROR(INDIRECT("'"&amp;$D$28&amp;"'!investcum_2038"),0)
+IFERROR(INDIRECT("'"&amp;$D$29&amp;"'!investcum_2038"),0)
+IFERROR(INDIRECT("'"&amp;$D$30&amp;"'!investcum_2038"),0)
+IFERROR(INDIRECT("'"&amp;$D$31&amp;"'!investcum_2038"),0)
+IFERROR(INDIRECT("'"&amp;$D$32&amp;"'!investcum_2038"),0)
+IFERROR(INDIRECT("'"&amp;$D$33&amp;"'!investcum_2038"),0)
+IFERROR(INDIRECT("'"&amp;$D$34&amp;"'!investcum_2038"),0)
+IFERROR(INDIRECT("'"&amp;$D$35&amp;"'!investcum_2038"),0)
+IFERROR(INDIRECT("'"&amp;$D$36&amp;"'!investcum_2038"),0)
+IFERROR(INDIRECT("'"&amp;$D$37&amp;"'!investcum_2038"),0)
+IFERROR(INDIRECT("'"&amp;$D$38&amp;"'!investcum_2038"),0)
+IFERROR(INDIRECT("'"&amp;$D$39&amp;"'!investcum_2038"),0)
+IFERROR(INDIRECT("'"&amp;$D$40&amp;"'!investcum_2038"),0)
+IFERROR(INDIRECT("'"&amp;$D$41&amp;"'!investcum_2038"),0)
+IFERROR(INDIRECT("'"&amp;$D$42&amp;"'!investcum_2038"),0)
+IFERROR(INDIRECT("'"&amp;$D$43&amp;"'!investcum_2038"),0)
+IFERROR(INDIRECT("'"&amp;$D$44&amp;"'!investcum_2038"),0)
+IFERROR(INDIRECT("'"&amp;$D$45&amp;"'!investcum_2038"),0)
+IFERROR(INDIRECT("'"&amp;$D$46&amp;"'!investcum_2038"),0)
+IFERROR(INDIRECT("'"&amp;$D$47&amp;"'!investcum_2038"),0)
+IFERROR(INDIRECT("'"&amp;$D$48&amp;"'!investcum_2038"),0)
+IFERROR(INDIRECT("'"&amp;$D$49&amp;"'!investcum_2038"),0)
+IFERROR(INDIRECT("'"&amp;$D$50&amp;"'!investcum_2038"),0)
+IFERROR(INDIRECT("'"&amp;$D$51&amp;"'!investcum_2038"),0)
+IFERROR(INDIRECT("'"&amp;$D$52&amp;"'!investcum_2038"),0)
+IFERROR(INDIRECT("'"&amp;$D$53&amp;"'!investcum_2038"),0)
+IFERROR(INDIRECT("'"&amp;$D$54&amp;"'!investcum_2038"),0)</f>
        <v>2088560.8492000001</v>
      </c>
      <c r="AC47" s="321">
        <f ca="1">+IFERROR(INDIRECT("'"&amp;$D$5&amp;"'!investcum_2039"),0)
+IFERROR(INDIRECT("'"&amp;$D$6&amp;"'!investcum_2039"),0)
+IFERROR(INDIRECT("'"&amp;$D$7&amp;"'!investcum_2039"),0)
+IFERROR(INDIRECT("'"&amp;$D$8&amp;"'!investcum_2039"),0)
+IFERROR(INDIRECT("'"&amp;$D$9&amp;"'!investcum_2039"),0)
+IFERROR(INDIRECT("'"&amp;$D$10&amp;"'!investcum_2039"),0)
+IFERROR(INDIRECT("'"&amp;$D$11&amp;"'!investcum_2039"),0)
+IFERROR(INDIRECT("'"&amp;$D$12&amp;"'!investcum_2039"),0)
+IFERROR(INDIRECT("'"&amp;$D$13&amp;"'!investcum_2039"),0)
+IFERROR(INDIRECT("'"&amp;$D$14&amp;"'!investcum_2039"),0)
+IFERROR(INDIRECT("'"&amp;$D$15&amp;"'!investcum_2039"),0)
+IFERROR(INDIRECT("'"&amp;$D$16&amp;"'!investcum_2039"),0)
+IFERROR(INDIRECT("'"&amp;$D$17&amp;"'!investcum_2039"),0)
+IFERROR(INDIRECT("'"&amp;$D$18&amp;"'!investcum_2039"),0)
+IFERROR(INDIRECT("'"&amp;$D$19&amp;"'!investcum_2039"),0)
+IFERROR(INDIRECT("'"&amp;$D$20&amp;"'!investcum_2039"),0)
+IFERROR(INDIRECT("'"&amp;$D$21&amp;"'!investcum_2039"),0)
+IFERROR(INDIRECT("'"&amp;$D$22&amp;"'!investcum_2039"),0)
+IFERROR(INDIRECT("'"&amp;$D$23&amp;"'!investcum_2039"),0)
+IFERROR(INDIRECT("'"&amp;$D$24&amp;"'!investcum_2039"),0)
+IFERROR(INDIRECT("'"&amp;$D$25&amp;"'!investcum_2039"),0)
+IFERROR(INDIRECT("'"&amp;$D$26&amp;"'!investcum_2039"),0)
+IFERROR(INDIRECT("'"&amp;$D$27&amp;"'!investcum_2039"),0)
+IFERROR(INDIRECT("'"&amp;$D$28&amp;"'!investcum_2039"),0)
+IFERROR(INDIRECT("'"&amp;$D$29&amp;"'!investcum_2039"),0)
+IFERROR(INDIRECT("'"&amp;$D$30&amp;"'!investcum_2039"),0)
+IFERROR(INDIRECT("'"&amp;$D$31&amp;"'!investcum_2039"),0)
+IFERROR(INDIRECT("'"&amp;$D$32&amp;"'!investcum_2039"),0)
+IFERROR(INDIRECT("'"&amp;$D$33&amp;"'!investcum_2039"),0)
+IFERROR(INDIRECT("'"&amp;$D$34&amp;"'!investcum_2039"),0)
+IFERROR(INDIRECT("'"&amp;$D$35&amp;"'!investcum_2039"),0)
+IFERROR(INDIRECT("'"&amp;$D$36&amp;"'!investcum_2039"),0)
+IFERROR(INDIRECT("'"&amp;$D$37&amp;"'!investcum_2039"),0)
+IFERROR(INDIRECT("'"&amp;$D$38&amp;"'!investcum_2039"),0)
+IFERROR(INDIRECT("'"&amp;$D$39&amp;"'!investcum_2039"),0)
+IFERROR(INDIRECT("'"&amp;$D$40&amp;"'!investcum_2039"),0)
+IFERROR(INDIRECT("'"&amp;$D$41&amp;"'!investcum_2039"),0)
+IFERROR(INDIRECT("'"&amp;$D$42&amp;"'!investcum_2039"),0)
+IFERROR(INDIRECT("'"&amp;$D$43&amp;"'!investcum_2039"),0)
+IFERROR(INDIRECT("'"&amp;$D$44&amp;"'!investcum_2039"),0)
+IFERROR(INDIRECT("'"&amp;$D$45&amp;"'!investcum_2039"),0)
+IFERROR(INDIRECT("'"&amp;$D$46&amp;"'!investcum_2039"),0)
+IFERROR(INDIRECT("'"&amp;$D$47&amp;"'!investcum_2039"),0)
+IFERROR(INDIRECT("'"&amp;$D$48&amp;"'!investcum_2039"),0)
+IFERROR(INDIRECT("'"&amp;$D$49&amp;"'!investcum_2039"),0)
+IFERROR(INDIRECT("'"&amp;$D$50&amp;"'!investcum_2039"),0)
+IFERROR(INDIRECT("'"&amp;$D$51&amp;"'!investcum_2039"),0)
+IFERROR(INDIRECT("'"&amp;$D$52&amp;"'!investcum_2039"),0)
+IFERROR(INDIRECT("'"&amp;$D$53&amp;"'!investcum_2039"),0)
+IFERROR(INDIRECT("'"&amp;$D$54&amp;"'!investcum_2039"),0)</f>
        <v>2088560.8492000001</v>
      </c>
      <c r="AD47" s="321">
        <f ca="1">+IFERROR(INDIRECT("'"&amp;$D$5&amp;"'!investcum_2040"),0)
+IFERROR(INDIRECT("'"&amp;$D$6&amp;"'!investcum_2040"),0)
+IFERROR(INDIRECT("'"&amp;$D$7&amp;"'!investcum_2040"),0)
+IFERROR(INDIRECT("'"&amp;$D$8&amp;"'!investcum_2040"),0)
+IFERROR(INDIRECT("'"&amp;$D$9&amp;"'!investcum_2040"),0)
+IFERROR(INDIRECT("'"&amp;$D$10&amp;"'!investcum_2040"),0)
+IFERROR(INDIRECT("'"&amp;$D$11&amp;"'!investcum_2040"),0)
+IFERROR(INDIRECT("'"&amp;$D$12&amp;"'!investcum_2040"),0)
+IFERROR(INDIRECT("'"&amp;$D$13&amp;"'!investcum_2040"),0)
+IFERROR(INDIRECT("'"&amp;$D$14&amp;"'!investcum_2040"),0)
+IFERROR(INDIRECT("'"&amp;$D$15&amp;"'!investcum_2040"),0)
+IFERROR(INDIRECT("'"&amp;$D$16&amp;"'!investcum_2040"),0)
+IFERROR(INDIRECT("'"&amp;$D$17&amp;"'!investcum_2040"),0)
+IFERROR(INDIRECT("'"&amp;$D$18&amp;"'!investcum_2040"),0)
+IFERROR(INDIRECT("'"&amp;$D$19&amp;"'!investcum_2040"),0)
+IFERROR(INDIRECT("'"&amp;$D$20&amp;"'!investcum_2040"),0)
+IFERROR(INDIRECT("'"&amp;$D$21&amp;"'!investcum_2040"),0)
+IFERROR(INDIRECT("'"&amp;$D$22&amp;"'!investcum_2040"),0)
+IFERROR(INDIRECT("'"&amp;$D$23&amp;"'!investcum_2040"),0)
+IFERROR(INDIRECT("'"&amp;$D$24&amp;"'!investcum_2040"),0)
+IFERROR(INDIRECT("'"&amp;$D$25&amp;"'!investcum_2040"),0)
+IFERROR(INDIRECT("'"&amp;$D$26&amp;"'!investcum_2040"),0)
+IFERROR(INDIRECT("'"&amp;$D$27&amp;"'!investcum_2040"),0)
+IFERROR(INDIRECT("'"&amp;$D$28&amp;"'!investcum_2040"),0)
+IFERROR(INDIRECT("'"&amp;$D$29&amp;"'!investcum_2040"),0)
+IFERROR(INDIRECT("'"&amp;$D$30&amp;"'!investcum_2040"),0)
+IFERROR(INDIRECT("'"&amp;$D$31&amp;"'!investcum_2040"),0)
+IFERROR(INDIRECT("'"&amp;$D$32&amp;"'!investcum_2040"),0)
+IFERROR(INDIRECT("'"&amp;$D$33&amp;"'!investcum_2040"),0)
+IFERROR(INDIRECT("'"&amp;$D$34&amp;"'!investcum_2040"),0)
+IFERROR(INDIRECT("'"&amp;$D$35&amp;"'!investcum_2040"),0)
+IFERROR(INDIRECT("'"&amp;$D$36&amp;"'!investcum_2040"),0)
+IFERROR(INDIRECT("'"&amp;$D$37&amp;"'!investcum_2040"),0)
+IFERROR(INDIRECT("'"&amp;$D$38&amp;"'!investcum_2040"),0)
+IFERROR(INDIRECT("'"&amp;$D$39&amp;"'!investcum_2040"),0)
+IFERROR(INDIRECT("'"&amp;$D$40&amp;"'!investcum_2040"),0)
+IFERROR(INDIRECT("'"&amp;$D$41&amp;"'!investcum_2040"),0)
+IFERROR(INDIRECT("'"&amp;$D$42&amp;"'!investcum_2040"),0)
+IFERROR(INDIRECT("'"&amp;$D$43&amp;"'!investcum_2040"),0)
+IFERROR(INDIRECT("'"&amp;$D$44&amp;"'!investcum_2040"),0)
+IFERROR(INDIRECT("'"&amp;$D$45&amp;"'!investcum_2040"),0)
+IFERROR(INDIRECT("'"&amp;$D$46&amp;"'!investcum_2040"),0)
+IFERROR(INDIRECT("'"&amp;$D$47&amp;"'!investcum_2040"),0)
+IFERROR(INDIRECT("'"&amp;$D$48&amp;"'!investcum_2040"),0)
+IFERROR(INDIRECT("'"&amp;$D$49&amp;"'!investcum_2040"),0)
+IFERROR(INDIRECT("'"&amp;$D$50&amp;"'!investcum_2040"),0)
+IFERROR(INDIRECT("'"&amp;$D$51&amp;"'!investcum_2040"),0)
+IFERROR(INDIRECT("'"&amp;$D$52&amp;"'!investcum_2040"),0)
+IFERROR(INDIRECT("'"&amp;$D$53&amp;"'!investcum_2040"),0)
+IFERROR(INDIRECT("'"&amp;$D$54&amp;"'!investcum_2040"),0)</f>
        <v>2088560.8492000001</v>
      </c>
      <c r="AE47" s="321">
        <f ca="1">+IFERROR(INDIRECT("'"&amp;$D$5&amp;"'!investcum_2041"),0)
+IFERROR(INDIRECT("'"&amp;$D$6&amp;"'!investcum_2041"),0)
+IFERROR(INDIRECT("'"&amp;$D$7&amp;"'!investcum_2041"),0)
+IFERROR(INDIRECT("'"&amp;$D$8&amp;"'!investcum_2041"),0)
+IFERROR(INDIRECT("'"&amp;$D$9&amp;"'!investcum_2041"),0)
+IFERROR(INDIRECT("'"&amp;$D$10&amp;"'!investcum_2041"),0)
+IFERROR(INDIRECT("'"&amp;$D$11&amp;"'!investcum_2041"),0)
+IFERROR(INDIRECT("'"&amp;$D$12&amp;"'!investcum_2041"),0)
+IFERROR(INDIRECT("'"&amp;$D$13&amp;"'!investcum_2041"),0)
+IFERROR(INDIRECT("'"&amp;$D$14&amp;"'!investcum_2041"),0)
+IFERROR(INDIRECT("'"&amp;$D$15&amp;"'!investcum_2041"),0)
+IFERROR(INDIRECT("'"&amp;$D$16&amp;"'!investcum_2041"),0)
+IFERROR(INDIRECT("'"&amp;$D$17&amp;"'!investcum_2041"),0)
+IFERROR(INDIRECT("'"&amp;$D$18&amp;"'!investcum_2041"),0)
+IFERROR(INDIRECT("'"&amp;$D$19&amp;"'!investcum_2041"),0)
+IFERROR(INDIRECT("'"&amp;$D$20&amp;"'!investcum_2041"),0)
+IFERROR(INDIRECT("'"&amp;$D$21&amp;"'!investcum_2041"),0)
+IFERROR(INDIRECT("'"&amp;$D$22&amp;"'!investcum_2041"),0)
+IFERROR(INDIRECT("'"&amp;$D$23&amp;"'!investcum_2041"),0)
+IFERROR(INDIRECT("'"&amp;$D$24&amp;"'!investcum_2041"),0)
+IFERROR(INDIRECT("'"&amp;$D$25&amp;"'!investcum_2041"),0)
+IFERROR(INDIRECT("'"&amp;$D$26&amp;"'!investcum_2041"),0)
+IFERROR(INDIRECT("'"&amp;$D$27&amp;"'!investcum_2041"),0)
+IFERROR(INDIRECT("'"&amp;$D$28&amp;"'!investcum_2041"),0)
+IFERROR(INDIRECT("'"&amp;$D$29&amp;"'!investcum_2041"),0)
+IFERROR(INDIRECT("'"&amp;$D$30&amp;"'!investcum_2041"),0)
+IFERROR(INDIRECT("'"&amp;$D$31&amp;"'!investcum_2041"),0)
+IFERROR(INDIRECT("'"&amp;$D$32&amp;"'!investcum_2041"),0)
+IFERROR(INDIRECT("'"&amp;$D$33&amp;"'!investcum_2041"),0)
+IFERROR(INDIRECT("'"&amp;$D$34&amp;"'!investcum_2041"),0)
+IFERROR(INDIRECT("'"&amp;$D$35&amp;"'!investcum_2041"),0)
+IFERROR(INDIRECT("'"&amp;$D$36&amp;"'!investcum_2041"),0)
+IFERROR(INDIRECT("'"&amp;$D$37&amp;"'!investcum_2041"),0)
+IFERROR(INDIRECT("'"&amp;$D$38&amp;"'!investcum_2041"),0)
+IFERROR(INDIRECT("'"&amp;$D$39&amp;"'!investcum_2041"),0)
+IFERROR(INDIRECT("'"&amp;$D$40&amp;"'!investcum_2041"),0)
+IFERROR(INDIRECT("'"&amp;$D$41&amp;"'!investcum_2041"),0)
+IFERROR(INDIRECT("'"&amp;$D$42&amp;"'!investcum_2041"),0)
+IFERROR(INDIRECT("'"&amp;$D$43&amp;"'!investcum_2041"),0)
+IFERROR(INDIRECT("'"&amp;$D$44&amp;"'!investcum_2041"),0)
+IFERROR(INDIRECT("'"&amp;$D$45&amp;"'!investcum_2041"),0)
+IFERROR(INDIRECT("'"&amp;$D$46&amp;"'!investcum_2041"),0)
+IFERROR(INDIRECT("'"&amp;$D$47&amp;"'!investcum_2041"),0)
+IFERROR(INDIRECT("'"&amp;$D$48&amp;"'!investcum_2041"),0)
+IFERROR(INDIRECT("'"&amp;$D$49&amp;"'!investcum_2041"),0)
+IFERROR(INDIRECT("'"&amp;$D$50&amp;"'!investcum_2041"),0)
+IFERROR(INDIRECT("'"&amp;$D$51&amp;"'!investcum_2041"),0)
+IFERROR(INDIRECT("'"&amp;$D$52&amp;"'!investcum_2041"),0)
+IFERROR(INDIRECT("'"&amp;$D$53&amp;"'!investcum_2041"),0)
+IFERROR(INDIRECT("'"&amp;$D$54&amp;"'!investcum_2041"),0)</f>
        <v>2088560.8492000001</v>
      </c>
      <c r="AF47" s="321">
        <f ca="1">+IFERROR(INDIRECT("'"&amp;$D$5&amp;"'!investcum_2042"),0)
+IFERROR(INDIRECT("'"&amp;$D$6&amp;"'!investcum_2042"),0)
+IFERROR(INDIRECT("'"&amp;$D$7&amp;"'!investcum_2042"),0)
+IFERROR(INDIRECT("'"&amp;$D$8&amp;"'!investcum_2042"),0)
+IFERROR(INDIRECT("'"&amp;$D$9&amp;"'!investcum_2042"),0)
+IFERROR(INDIRECT("'"&amp;$D$10&amp;"'!investcum_2042"),0)
+IFERROR(INDIRECT("'"&amp;$D$11&amp;"'!investcum_2042"),0)
+IFERROR(INDIRECT("'"&amp;$D$12&amp;"'!investcum_2042"),0)
+IFERROR(INDIRECT("'"&amp;$D$13&amp;"'!investcum_2042"),0)
+IFERROR(INDIRECT("'"&amp;$D$14&amp;"'!investcum_2042"),0)
+IFERROR(INDIRECT("'"&amp;$D$15&amp;"'!investcum_2042"),0)
+IFERROR(INDIRECT("'"&amp;$D$16&amp;"'!investcum_2042"),0)
+IFERROR(INDIRECT("'"&amp;$D$17&amp;"'!investcum_2042"),0)
+IFERROR(INDIRECT("'"&amp;$D$18&amp;"'!investcum_2042"),0)
+IFERROR(INDIRECT("'"&amp;$D$19&amp;"'!investcum_2042"),0)
+IFERROR(INDIRECT("'"&amp;$D$20&amp;"'!investcum_2042"),0)
+IFERROR(INDIRECT("'"&amp;$D$21&amp;"'!investcum_2042"),0)
+IFERROR(INDIRECT("'"&amp;$D$22&amp;"'!investcum_2042"),0)
+IFERROR(INDIRECT("'"&amp;$D$23&amp;"'!investcum_2042"),0)
+IFERROR(INDIRECT("'"&amp;$D$24&amp;"'!investcum_2042"),0)
+IFERROR(INDIRECT("'"&amp;$D$25&amp;"'!investcum_2042"),0)
+IFERROR(INDIRECT("'"&amp;$D$26&amp;"'!investcum_2042"),0)
+IFERROR(INDIRECT("'"&amp;$D$27&amp;"'!investcum_2042"),0)
+IFERROR(INDIRECT("'"&amp;$D$28&amp;"'!investcum_2042"),0)
+IFERROR(INDIRECT("'"&amp;$D$29&amp;"'!investcum_2042"),0)
+IFERROR(INDIRECT("'"&amp;$D$30&amp;"'!investcum_2042"),0)
+IFERROR(INDIRECT("'"&amp;$D$31&amp;"'!investcum_2042"),0)
+IFERROR(INDIRECT("'"&amp;$D$32&amp;"'!investcum_2042"),0)
+IFERROR(INDIRECT("'"&amp;$D$33&amp;"'!investcum_2042"),0)
+IFERROR(INDIRECT("'"&amp;$D$34&amp;"'!investcum_2042"),0)
+IFERROR(INDIRECT("'"&amp;$D$35&amp;"'!investcum_2042"),0)
+IFERROR(INDIRECT("'"&amp;$D$36&amp;"'!investcum_2042"),0)
+IFERROR(INDIRECT("'"&amp;$D$37&amp;"'!investcum_2042"),0)
+IFERROR(INDIRECT("'"&amp;$D$38&amp;"'!investcum_2042"),0)
+IFERROR(INDIRECT("'"&amp;$D$39&amp;"'!investcum_2042"),0)
+IFERROR(INDIRECT("'"&amp;$D$40&amp;"'!investcum_2042"),0)
+IFERROR(INDIRECT("'"&amp;$D$41&amp;"'!investcum_2042"),0)
+IFERROR(INDIRECT("'"&amp;$D$42&amp;"'!investcum_2042"),0)
+IFERROR(INDIRECT("'"&amp;$D$43&amp;"'!investcum_2042"),0)
+IFERROR(INDIRECT("'"&amp;$D$44&amp;"'!investcum_2042"),0)
+IFERROR(INDIRECT("'"&amp;$D$45&amp;"'!investcum_2042"),0)
+IFERROR(INDIRECT("'"&amp;$D$46&amp;"'!investcum_2042"),0)
+IFERROR(INDIRECT("'"&amp;$D$47&amp;"'!investcum_2042"),0)
+IFERROR(INDIRECT("'"&amp;$D$48&amp;"'!investcum_2042"),0)
+IFERROR(INDIRECT("'"&amp;$D$49&amp;"'!investcum_2042"),0)
+IFERROR(INDIRECT("'"&amp;$D$50&amp;"'!investcum_2042"),0)
+IFERROR(INDIRECT("'"&amp;$D$51&amp;"'!investcum_2042"),0)
+IFERROR(INDIRECT("'"&amp;$D$52&amp;"'!investcum_2042"),0)
+IFERROR(INDIRECT("'"&amp;$D$53&amp;"'!investcum_2042"),0)
+IFERROR(INDIRECT("'"&amp;$D$54&amp;"'!investcum_2042"),0)</f>
        <v>2088560.8492000001</v>
      </c>
      <c r="AG47" s="321">
        <f ca="1">+IFERROR(INDIRECT("'"&amp;$D$5&amp;"'!investcum_2043"),0)
+IFERROR(INDIRECT("'"&amp;$D$6&amp;"'!investcum_2043"),0)
+IFERROR(INDIRECT("'"&amp;$D$7&amp;"'!investcum_2043"),0)
+IFERROR(INDIRECT("'"&amp;$D$8&amp;"'!investcum_2043"),0)
+IFERROR(INDIRECT("'"&amp;$D$9&amp;"'!investcum_2043"),0)
+IFERROR(INDIRECT("'"&amp;$D$10&amp;"'!investcum_2043"),0)
+IFERROR(INDIRECT("'"&amp;$D$11&amp;"'!investcum_2043"),0)
+IFERROR(INDIRECT("'"&amp;$D$12&amp;"'!investcum_2043"),0)
+IFERROR(INDIRECT("'"&amp;$D$13&amp;"'!investcum_2043"),0)
+IFERROR(INDIRECT("'"&amp;$D$14&amp;"'!investcum_2043"),0)
+IFERROR(INDIRECT("'"&amp;$D$15&amp;"'!investcum_2043"),0)
+IFERROR(INDIRECT("'"&amp;$D$16&amp;"'!investcum_2043"),0)
+IFERROR(INDIRECT("'"&amp;$D$17&amp;"'!investcum_2043"),0)
+IFERROR(INDIRECT("'"&amp;$D$18&amp;"'!investcum_2043"),0)
+IFERROR(INDIRECT("'"&amp;$D$19&amp;"'!investcum_2043"),0)
+IFERROR(INDIRECT("'"&amp;$D$20&amp;"'!investcum_2043"),0)
+IFERROR(INDIRECT("'"&amp;$D$21&amp;"'!investcum_2043"),0)
+IFERROR(INDIRECT("'"&amp;$D$22&amp;"'!investcum_2043"),0)
+IFERROR(INDIRECT("'"&amp;$D$23&amp;"'!investcum_2043"),0)
+IFERROR(INDIRECT("'"&amp;$D$24&amp;"'!investcum_2043"),0)
+IFERROR(INDIRECT("'"&amp;$D$25&amp;"'!investcum_2043"),0)
+IFERROR(INDIRECT("'"&amp;$D$26&amp;"'!investcum_2043"),0)
+IFERROR(INDIRECT("'"&amp;$D$27&amp;"'!investcum_2043"),0)
+IFERROR(INDIRECT("'"&amp;$D$28&amp;"'!investcum_2043"),0)
+IFERROR(INDIRECT("'"&amp;$D$29&amp;"'!investcum_2043"),0)
+IFERROR(INDIRECT("'"&amp;$D$30&amp;"'!investcum_2043"),0)
+IFERROR(INDIRECT("'"&amp;$D$31&amp;"'!investcum_2043"),0)
+IFERROR(INDIRECT("'"&amp;$D$32&amp;"'!investcum_2043"),0)
+IFERROR(INDIRECT("'"&amp;$D$33&amp;"'!investcum_2043"),0)
+IFERROR(INDIRECT("'"&amp;$D$34&amp;"'!investcum_2043"),0)
+IFERROR(INDIRECT("'"&amp;$D$35&amp;"'!investcum_2043"),0)
+IFERROR(INDIRECT("'"&amp;$D$36&amp;"'!investcum_2043"),0)
+IFERROR(INDIRECT("'"&amp;$D$37&amp;"'!investcum_2043"),0)
+IFERROR(INDIRECT("'"&amp;$D$38&amp;"'!investcum_2043"),0)
+IFERROR(INDIRECT("'"&amp;$D$39&amp;"'!investcum_2043"),0)
+IFERROR(INDIRECT("'"&amp;$D$40&amp;"'!investcum_2043"),0)
+IFERROR(INDIRECT("'"&amp;$D$41&amp;"'!investcum_2043"),0)
+IFERROR(INDIRECT("'"&amp;$D$42&amp;"'!investcum_2043"),0)
+IFERROR(INDIRECT("'"&amp;$D$43&amp;"'!investcum_2043"),0)
+IFERROR(INDIRECT("'"&amp;$D$44&amp;"'!investcum_2043"),0)
+IFERROR(INDIRECT("'"&amp;$D$45&amp;"'!investcum_2043"),0)
+IFERROR(INDIRECT("'"&amp;$D$46&amp;"'!investcum_2043"),0)
+IFERROR(INDIRECT("'"&amp;$D$47&amp;"'!investcum_2043"),0)
+IFERROR(INDIRECT("'"&amp;$D$48&amp;"'!investcum_2043"),0)
+IFERROR(INDIRECT("'"&amp;$D$49&amp;"'!investcum_2043"),0)
+IFERROR(INDIRECT("'"&amp;$D$50&amp;"'!investcum_2043"),0)
+IFERROR(INDIRECT("'"&amp;$D$51&amp;"'!investcum_2043"),0)
+IFERROR(INDIRECT("'"&amp;$D$52&amp;"'!investcum_2043"),0)
+IFERROR(INDIRECT("'"&amp;$D$53&amp;"'!investcum_2043"),0)
+IFERROR(INDIRECT("'"&amp;$D$54&amp;"'!investcum_2043"),0)</f>
        <v>2088560.8492000001</v>
      </c>
      <c r="AH47" s="321">
        <f ca="1">+IFERROR(INDIRECT("'"&amp;$D$5&amp;"'!investcum_2044"),0)
+IFERROR(INDIRECT("'"&amp;$D$6&amp;"'!investcum_2044"),0)
+IFERROR(INDIRECT("'"&amp;$D$7&amp;"'!investcum_2044"),0)
+IFERROR(INDIRECT("'"&amp;$D$8&amp;"'!investcum_2044"),0)
+IFERROR(INDIRECT("'"&amp;$D$9&amp;"'!investcum_2044"),0)
+IFERROR(INDIRECT("'"&amp;$D$10&amp;"'!investcum_2044"),0)
+IFERROR(INDIRECT("'"&amp;$D$11&amp;"'!investcum_2044"),0)
+IFERROR(INDIRECT("'"&amp;$D$12&amp;"'!investcum_2044"),0)
+IFERROR(INDIRECT("'"&amp;$D$13&amp;"'!investcum_2044"),0)
+IFERROR(INDIRECT("'"&amp;$D$14&amp;"'!investcum_2044"),0)
+IFERROR(INDIRECT("'"&amp;$D$15&amp;"'!investcum_2044"),0)
+IFERROR(INDIRECT("'"&amp;$D$16&amp;"'!investcum_2044"),0)
+IFERROR(INDIRECT("'"&amp;$D$17&amp;"'!investcum_2044"),0)
+IFERROR(INDIRECT("'"&amp;$D$18&amp;"'!investcum_2044"),0)
+IFERROR(INDIRECT("'"&amp;$D$19&amp;"'!investcum_2044"),0)
+IFERROR(INDIRECT("'"&amp;$D$20&amp;"'!investcum_2044"),0)
+IFERROR(INDIRECT("'"&amp;$D$21&amp;"'!investcum_2044"),0)
+IFERROR(INDIRECT("'"&amp;$D$22&amp;"'!investcum_2044"),0)
+IFERROR(INDIRECT("'"&amp;$D$23&amp;"'!investcum_2044"),0)
+IFERROR(INDIRECT("'"&amp;$D$24&amp;"'!investcum_2044"),0)
+IFERROR(INDIRECT("'"&amp;$D$25&amp;"'!investcum_2044"),0)
+IFERROR(INDIRECT("'"&amp;$D$26&amp;"'!investcum_2044"),0)
+IFERROR(INDIRECT("'"&amp;$D$27&amp;"'!investcum_2044"),0)
+IFERROR(INDIRECT("'"&amp;$D$28&amp;"'!investcum_2044"),0)
+IFERROR(INDIRECT("'"&amp;$D$29&amp;"'!investcum_2044"),0)
+IFERROR(INDIRECT("'"&amp;$D$30&amp;"'!investcum_2044"),0)
+IFERROR(INDIRECT("'"&amp;$D$31&amp;"'!investcum_2044"),0)
+IFERROR(INDIRECT("'"&amp;$D$32&amp;"'!investcum_2044"),0)
+IFERROR(INDIRECT("'"&amp;$D$33&amp;"'!investcum_2044"),0)
+IFERROR(INDIRECT("'"&amp;$D$34&amp;"'!investcum_2044"),0)
+IFERROR(INDIRECT("'"&amp;$D$35&amp;"'!investcum_2044"),0)
+IFERROR(INDIRECT("'"&amp;$D$36&amp;"'!investcum_2044"),0)
+IFERROR(INDIRECT("'"&amp;$D$37&amp;"'!investcum_2044"),0)
+IFERROR(INDIRECT("'"&amp;$D$38&amp;"'!investcum_2044"),0)
+IFERROR(INDIRECT("'"&amp;$D$39&amp;"'!investcum_2044"),0)
+IFERROR(INDIRECT("'"&amp;$D$40&amp;"'!investcum_2044"),0)
+IFERROR(INDIRECT("'"&amp;$D$41&amp;"'!investcum_2044"),0)
+IFERROR(INDIRECT("'"&amp;$D$42&amp;"'!investcum_2044"),0)
+IFERROR(INDIRECT("'"&amp;$D$43&amp;"'!investcum_2044"),0)
+IFERROR(INDIRECT("'"&amp;$D$44&amp;"'!investcum_2044"),0)
+IFERROR(INDIRECT("'"&amp;$D$45&amp;"'!investcum_2044"),0)
+IFERROR(INDIRECT("'"&amp;$D$46&amp;"'!investcum_2044"),0)
+IFERROR(INDIRECT("'"&amp;$D$47&amp;"'!investcum_2044"),0)
+IFERROR(INDIRECT("'"&amp;$D$48&amp;"'!investcum_2044"),0)
+IFERROR(INDIRECT("'"&amp;$D$49&amp;"'!investcum_2044"),0)
+IFERROR(INDIRECT("'"&amp;$D$50&amp;"'!investcum_2044"),0)
+IFERROR(INDIRECT("'"&amp;$D$51&amp;"'!investcum_2044"),0)
+IFERROR(INDIRECT("'"&amp;$D$52&amp;"'!investcum_2044"),0)
+IFERROR(INDIRECT("'"&amp;$D$53&amp;"'!investcum_2044"),0)
+IFERROR(INDIRECT("'"&amp;$D$54&amp;"'!investcum_2044"),0)</f>
        <v>2088560.8492000001</v>
      </c>
      <c r="AI47" s="321">
        <f ca="1">+IFERROR(INDIRECT("'"&amp;$D$5&amp;"'!investcum_2045"),0)
+IFERROR(INDIRECT("'"&amp;$D$6&amp;"'!investcum_2045"),0)
+IFERROR(INDIRECT("'"&amp;$D$7&amp;"'!investcum_2045"),0)
+IFERROR(INDIRECT("'"&amp;$D$8&amp;"'!investcum_2045"),0)
+IFERROR(INDIRECT("'"&amp;$D$9&amp;"'!investcum_2045"),0)
+IFERROR(INDIRECT("'"&amp;$D$10&amp;"'!investcum_2045"),0)
+IFERROR(INDIRECT("'"&amp;$D$11&amp;"'!investcum_2045"),0)
+IFERROR(INDIRECT("'"&amp;$D$12&amp;"'!investcum_2045"),0)
+IFERROR(INDIRECT("'"&amp;$D$13&amp;"'!investcum_2045"),0)
+IFERROR(INDIRECT("'"&amp;$D$14&amp;"'!investcum_2045"),0)
+IFERROR(INDIRECT("'"&amp;$D$15&amp;"'!investcum_2045"),0)
+IFERROR(INDIRECT("'"&amp;$D$16&amp;"'!investcum_2045"),0)
+IFERROR(INDIRECT("'"&amp;$D$17&amp;"'!investcum_2045"),0)
+IFERROR(INDIRECT("'"&amp;$D$18&amp;"'!investcum_2045"),0)
+IFERROR(INDIRECT("'"&amp;$D$19&amp;"'!investcum_2045"),0)
+IFERROR(INDIRECT("'"&amp;$D$20&amp;"'!investcum_2045"),0)
+IFERROR(INDIRECT("'"&amp;$D$21&amp;"'!investcum_2045"),0)
+IFERROR(INDIRECT("'"&amp;$D$22&amp;"'!investcum_2045"),0)
+IFERROR(INDIRECT("'"&amp;$D$23&amp;"'!investcum_2045"),0)
+IFERROR(INDIRECT("'"&amp;$D$24&amp;"'!investcum_2045"),0)
+IFERROR(INDIRECT("'"&amp;$D$25&amp;"'!investcum_2045"),0)
+IFERROR(INDIRECT("'"&amp;$D$26&amp;"'!investcum_2045"),0)
+IFERROR(INDIRECT("'"&amp;$D$27&amp;"'!investcum_2045"),0)
+IFERROR(INDIRECT("'"&amp;$D$28&amp;"'!investcum_2045"),0)
+IFERROR(INDIRECT("'"&amp;$D$29&amp;"'!investcum_2045"),0)
+IFERROR(INDIRECT("'"&amp;$D$30&amp;"'!investcum_2045"),0)
+IFERROR(INDIRECT("'"&amp;$D$31&amp;"'!investcum_2045"),0)
+IFERROR(INDIRECT("'"&amp;$D$32&amp;"'!investcum_2045"),0)
+IFERROR(INDIRECT("'"&amp;$D$33&amp;"'!investcum_2045"),0)
+IFERROR(INDIRECT("'"&amp;$D$34&amp;"'!investcum_2045"),0)
+IFERROR(INDIRECT("'"&amp;$D$35&amp;"'!investcum_2045"),0)
+IFERROR(INDIRECT("'"&amp;$D$36&amp;"'!investcum_2045"),0)
+IFERROR(INDIRECT("'"&amp;$D$37&amp;"'!investcum_2045"),0)
+IFERROR(INDIRECT("'"&amp;$D$38&amp;"'!investcum_2045"),0)
+IFERROR(INDIRECT("'"&amp;$D$39&amp;"'!investcum_2045"),0)
+IFERROR(INDIRECT("'"&amp;$D$40&amp;"'!investcum_2045"),0)
+IFERROR(INDIRECT("'"&amp;$D$41&amp;"'!investcum_2045"),0)
+IFERROR(INDIRECT("'"&amp;$D$42&amp;"'!investcum_2045"),0)
+IFERROR(INDIRECT("'"&amp;$D$43&amp;"'!investcum_2045"),0)
+IFERROR(INDIRECT("'"&amp;$D$44&amp;"'!investcum_2045"),0)
+IFERROR(INDIRECT("'"&amp;$D$45&amp;"'!investcum_2045"),0)
+IFERROR(INDIRECT("'"&amp;$D$46&amp;"'!investcum_2045"),0)
+IFERROR(INDIRECT("'"&amp;$D$47&amp;"'!investcum_2045"),0)
+IFERROR(INDIRECT("'"&amp;$D$48&amp;"'!investcum_2045"),0)
+IFERROR(INDIRECT("'"&amp;$D$49&amp;"'!investcum_2045"),0)
+IFERROR(INDIRECT("'"&amp;$D$50&amp;"'!investcum_2045"),0)
+IFERROR(INDIRECT("'"&amp;$D$51&amp;"'!investcum_2045"),0)
+IFERROR(INDIRECT("'"&amp;$D$52&amp;"'!investcum_2045"),0)
+IFERROR(INDIRECT("'"&amp;$D$53&amp;"'!investcum_2045"),0)
+IFERROR(INDIRECT("'"&amp;$D$54&amp;"'!investcum_2045"),0)</f>
        <v>2088560.8492000001</v>
      </c>
      <c r="AJ47" s="321">
        <f ca="1">+IFERROR(INDIRECT("'"&amp;$D$5&amp;"'!investcum_2046"),0)
+IFERROR(INDIRECT("'"&amp;$D$6&amp;"'!investcum_2046"),0)
+IFERROR(INDIRECT("'"&amp;$D$7&amp;"'!investcum_2046"),0)
+IFERROR(INDIRECT("'"&amp;$D$8&amp;"'!investcum_2046"),0)
+IFERROR(INDIRECT("'"&amp;$D$9&amp;"'!investcum_2046"),0)
+IFERROR(INDIRECT("'"&amp;$D$10&amp;"'!investcum_2046"),0)
+IFERROR(INDIRECT("'"&amp;$D$11&amp;"'!investcum_2046"),0)
+IFERROR(INDIRECT("'"&amp;$D$12&amp;"'!investcum_2046"),0)
+IFERROR(INDIRECT("'"&amp;$D$13&amp;"'!investcum_2046"),0)
+IFERROR(INDIRECT("'"&amp;$D$14&amp;"'!investcum_2046"),0)
+IFERROR(INDIRECT("'"&amp;$D$15&amp;"'!investcum_2046"),0)
+IFERROR(INDIRECT("'"&amp;$D$16&amp;"'!investcum_2046"),0)
+IFERROR(INDIRECT("'"&amp;$D$17&amp;"'!investcum_2046"),0)
+IFERROR(INDIRECT("'"&amp;$D$18&amp;"'!investcum_2046"),0)
+IFERROR(INDIRECT("'"&amp;$D$19&amp;"'!investcum_2046"),0)
+IFERROR(INDIRECT("'"&amp;$D$20&amp;"'!investcum_2046"),0)
+IFERROR(INDIRECT("'"&amp;$D$21&amp;"'!investcum_2046"),0)
+IFERROR(INDIRECT("'"&amp;$D$22&amp;"'!investcum_2046"),0)
+IFERROR(INDIRECT("'"&amp;$D$23&amp;"'!investcum_2046"),0)
+IFERROR(INDIRECT("'"&amp;$D$24&amp;"'!investcum_2046"),0)
+IFERROR(INDIRECT("'"&amp;$D$25&amp;"'!investcum_2046"),0)
+IFERROR(INDIRECT("'"&amp;$D$26&amp;"'!investcum_2046"),0)
+IFERROR(INDIRECT("'"&amp;$D$27&amp;"'!investcum_2046"),0)
+IFERROR(INDIRECT("'"&amp;$D$28&amp;"'!investcum_2046"),0)
+IFERROR(INDIRECT("'"&amp;$D$29&amp;"'!investcum_2046"),0)
+IFERROR(INDIRECT("'"&amp;$D$30&amp;"'!investcum_2046"),0)
+IFERROR(INDIRECT("'"&amp;$D$31&amp;"'!investcum_2046"),0)
+IFERROR(INDIRECT("'"&amp;$D$32&amp;"'!investcum_2046"),0)
+IFERROR(INDIRECT("'"&amp;$D$33&amp;"'!investcum_2046"),0)
+IFERROR(INDIRECT("'"&amp;$D$34&amp;"'!investcum_2046"),0)
+IFERROR(INDIRECT("'"&amp;$D$35&amp;"'!investcum_2046"),0)
+IFERROR(INDIRECT("'"&amp;$D$36&amp;"'!investcum_2046"),0)
+IFERROR(INDIRECT("'"&amp;$D$37&amp;"'!investcum_2046"),0)
+IFERROR(INDIRECT("'"&amp;$D$38&amp;"'!investcum_2046"),0)
+IFERROR(INDIRECT("'"&amp;$D$39&amp;"'!investcum_2046"),0)
+IFERROR(INDIRECT("'"&amp;$D$40&amp;"'!investcum_2046"),0)
+IFERROR(INDIRECT("'"&amp;$D$41&amp;"'!investcum_2046"),0)
+IFERROR(INDIRECT("'"&amp;$D$42&amp;"'!investcum_2046"),0)
+IFERROR(INDIRECT("'"&amp;$D$43&amp;"'!investcum_2046"),0)
+IFERROR(INDIRECT("'"&amp;$D$44&amp;"'!investcum_2046"),0)
+IFERROR(INDIRECT("'"&amp;$D$45&amp;"'!investcum_2046"),0)
+IFERROR(INDIRECT("'"&amp;$D$46&amp;"'!investcum_2046"),0)
+IFERROR(INDIRECT("'"&amp;$D$47&amp;"'!investcum_2046"),0)
+IFERROR(INDIRECT("'"&amp;$D$48&amp;"'!investcum_2046"),0)
+IFERROR(INDIRECT("'"&amp;$D$49&amp;"'!investcum_2046"),0)
+IFERROR(INDIRECT("'"&amp;$D$50&amp;"'!investcum_2046"),0)
+IFERROR(INDIRECT("'"&amp;$D$51&amp;"'!investcum_2046"),0)
+IFERROR(INDIRECT("'"&amp;$D$52&amp;"'!investcum_2046"),0)
+IFERROR(INDIRECT("'"&amp;$D$53&amp;"'!investcum_2046"),0)
+IFERROR(INDIRECT("'"&amp;$D$54&amp;"'!investcum_2046"),0)</f>
        <v>2088560.8492000001</v>
      </c>
      <c r="AK47" s="321">
        <f ca="1">+IFERROR(INDIRECT("'"&amp;$D$5&amp;"'!investcum_2047"),0)
+IFERROR(INDIRECT("'"&amp;$D$6&amp;"'!investcum_2047"),0)
+IFERROR(INDIRECT("'"&amp;$D$7&amp;"'!investcum_2047"),0)
+IFERROR(INDIRECT("'"&amp;$D$8&amp;"'!investcum_2047"),0)
+IFERROR(INDIRECT("'"&amp;$D$9&amp;"'!investcum_2047"),0)
+IFERROR(INDIRECT("'"&amp;$D$10&amp;"'!investcum_2047"),0)
+IFERROR(INDIRECT("'"&amp;$D$11&amp;"'!investcum_2047"),0)
+IFERROR(INDIRECT("'"&amp;$D$12&amp;"'!investcum_2047"),0)
+IFERROR(INDIRECT("'"&amp;$D$13&amp;"'!investcum_2047"),0)
+IFERROR(INDIRECT("'"&amp;$D$14&amp;"'!investcum_2047"),0)
+IFERROR(INDIRECT("'"&amp;$D$15&amp;"'!investcum_2047"),0)
+IFERROR(INDIRECT("'"&amp;$D$16&amp;"'!investcum_2047"),0)
+IFERROR(INDIRECT("'"&amp;$D$17&amp;"'!investcum_2047"),0)
+IFERROR(INDIRECT("'"&amp;$D$18&amp;"'!investcum_2047"),0)
+IFERROR(INDIRECT("'"&amp;$D$19&amp;"'!investcum_2047"),0)
+IFERROR(INDIRECT("'"&amp;$D$20&amp;"'!investcum_2047"),0)
+IFERROR(INDIRECT("'"&amp;$D$21&amp;"'!investcum_2047"),0)
+IFERROR(INDIRECT("'"&amp;$D$22&amp;"'!investcum_2047"),0)
+IFERROR(INDIRECT("'"&amp;$D$23&amp;"'!investcum_2047"),0)
+IFERROR(INDIRECT("'"&amp;$D$24&amp;"'!investcum_2047"),0)
+IFERROR(INDIRECT("'"&amp;$D$25&amp;"'!investcum_2047"),0)
+IFERROR(INDIRECT("'"&amp;$D$26&amp;"'!investcum_2047"),0)
+IFERROR(INDIRECT("'"&amp;$D$27&amp;"'!investcum_2047"),0)
+IFERROR(INDIRECT("'"&amp;$D$28&amp;"'!investcum_2047"),0)
+IFERROR(INDIRECT("'"&amp;$D$29&amp;"'!investcum_2047"),0)
+IFERROR(INDIRECT("'"&amp;$D$30&amp;"'!investcum_2047"),0)
+IFERROR(INDIRECT("'"&amp;$D$31&amp;"'!investcum_2047"),0)
+IFERROR(INDIRECT("'"&amp;$D$32&amp;"'!investcum_2047"),0)
+IFERROR(INDIRECT("'"&amp;$D$33&amp;"'!investcum_2047"),0)
+IFERROR(INDIRECT("'"&amp;$D$34&amp;"'!investcum_2047"),0)
+IFERROR(INDIRECT("'"&amp;$D$35&amp;"'!investcum_2047"),0)
+IFERROR(INDIRECT("'"&amp;$D$36&amp;"'!investcum_2047"),0)
+IFERROR(INDIRECT("'"&amp;$D$37&amp;"'!investcum_2047"),0)
+IFERROR(INDIRECT("'"&amp;$D$38&amp;"'!investcum_2047"),0)
+IFERROR(INDIRECT("'"&amp;$D$39&amp;"'!investcum_2047"),0)
+IFERROR(INDIRECT("'"&amp;$D$40&amp;"'!investcum_2047"),0)
+IFERROR(INDIRECT("'"&amp;$D$41&amp;"'!investcum_2047"),0)
+IFERROR(INDIRECT("'"&amp;$D$42&amp;"'!investcum_2047"),0)
+IFERROR(INDIRECT("'"&amp;$D$43&amp;"'!investcum_2047"),0)
+IFERROR(INDIRECT("'"&amp;$D$44&amp;"'!investcum_2047"),0)
+IFERROR(INDIRECT("'"&amp;$D$45&amp;"'!investcum_2047"),0)
+IFERROR(INDIRECT("'"&amp;$D$46&amp;"'!investcum_2047"),0)
+IFERROR(INDIRECT("'"&amp;$D$47&amp;"'!investcum_2047"),0)
+IFERROR(INDIRECT("'"&amp;$D$48&amp;"'!investcum_2047"),0)
+IFERROR(INDIRECT("'"&amp;$D$49&amp;"'!investcum_2047"),0)
+IFERROR(INDIRECT("'"&amp;$D$50&amp;"'!investcum_2047"),0)
+IFERROR(INDIRECT("'"&amp;$D$51&amp;"'!investcum_2047"),0)
+IFERROR(INDIRECT("'"&amp;$D$52&amp;"'!investcum_2047"),0)
+IFERROR(INDIRECT("'"&amp;$D$53&amp;"'!investcum_2047"),0)
+IFERROR(INDIRECT("'"&amp;$D$54&amp;"'!investcum_2047"),0)</f>
        <v>2088560.8492000001</v>
      </c>
      <c r="AL47" s="321">
        <f ca="1">+IFERROR(INDIRECT("'"&amp;$D$5&amp;"'!investcum_2048"),0)
+IFERROR(INDIRECT("'"&amp;$D$6&amp;"'!investcum_2048"),0)
+IFERROR(INDIRECT("'"&amp;$D$7&amp;"'!investcum_2048"),0)
+IFERROR(INDIRECT("'"&amp;$D$8&amp;"'!investcum_2048"),0)
+IFERROR(INDIRECT("'"&amp;$D$9&amp;"'!investcum_2048"),0)
+IFERROR(INDIRECT("'"&amp;$D$10&amp;"'!investcum_2048"),0)
+IFERROR(INDIRECT("'"&amp;$D$11&amp;"'!investcum_2048"),0)
+IFERROR(INDIRECT("'"&amp;$D$12&amp;"'!investcum_2048"),0)
+IFERROR(INDIRECT("'"&amp;$D$13&amp;"'!investcum_2048"),0)
+IFERROR(INDIRECT("'"&amp;$D$14&amp;"'!investcum_2048"),0)
+IFERROR(INDIRECT("'"&amp;$D$15&amp;"'!investcum_2048"),0)
+IFERROR(INDIRECT("'"&amp;$D$16&amp;"'!investcum_2048"),0)
+IFERROR(INDIRECT("'"&amp;$D$17&amp;"'!investcum_2048"),0)
+IFERROR(INDIRECT("'"&amp;$D$18&amp;"'!investcum_2048"),0)
+IFERROR(INDIRECT("'"&amp;$D$19&amp;"'!investcum_2048"),0)
+IFERROR(INDIRECT("'"&amp;$D$20&amp;"'!investcum_2048"),0)
+IFERROR(INDIRECT("'"&amp;$D$21&amp;"'!investcum_2048"),0)
+IFERROR(INDIRECT("'"&amp;$D$22&amp;"'!investcum_2048"),0)
+IFERROR(INDIRECT("'"&amp;$D$23&amp;"'!investcum_2048"),0)
+IFERROR(INDIRECT("'"&amp;$D$24&amp;"'!investcum_2048"),0)
+IFERROR(INDIRECT("'"&amp;$D$25&amp;"'!investcum_2048"),0)
+IFERROR(INDIRECT("'"&amp;$D$26&amp;"'!investcum_2048"),0)
+IFERROR(INDIRECT("'"&amp;$D$27&amp;"'!investcum_2048"),0)
+IFERROR(INDIRECT("'"&amp;$D$28&amp;"'!investcum_2048"),0)
+IFERROR(INDIRECT("'"&amp;$D$29&amp;"'!investcum_2048"),0)
+IFERROR(INDIRECT("'"&amp;$D$30&amp;"'!investcum_2048"),0)
+IFERROR(INDIRECT("'"&amp;$D$31&amp;"'!investcum_2048"),0)
+IFERROR(INDIRECT("'"&amp;$D$32&amp;"'!investcum_2048"),0)
+IFERROR(INDIRECT("'"&amp;$D$33&amp;"'!investcum_2048"),0)
+IFERROR(INDIRECT("'"&amp;$D$34&amp;"'!investcum_2048"),0)
+IFERROR(INDIRECT("'"&amp;$D$35&amp;"'!investcum_2048"),0)
+IFERROR(INDIRECT("'"&amp;$D$36&amp;"'!investcum_2048"),0)
+IFERROR(INDIRECT("'"&amp;$D$37&amp;"'!investcum_2048"),0)
+IFERROR(INDIRECT("'"&amp;$D$38&amp;"'!investcum_2048"),0)
+IFERROR(INDIRECT("'"&amp;$D$39&amp;"'!investcum_2048"),0)
+IFERROR(INDIRECT("'"&amp;$D$40&amp;"'!investcum_2048"),0)
+IFERROR(INDIRECT("'"&amp;$D$41&amp;"'!investcum_2048"),0)
+IFERROR(INDIRECT("'"&amp;$D$42&amp;"'!investcum_2048"),0)
+IFERROR(INDIRECT("'"&amp;$D$43&amp;"'!investcum_2048"),0)
+IFERROR(INDIRECT("'"&amp;$D$44&amp;"'!investcum_2048"),0)
+IFERROR(INDIRECT("'"&amp;$D$45&amp;"'!investcum_2048"),0)
+IFERROR(INDIRECT("'"&amp;$D$46&amp;"'!investcum_2048"),0)
+IFERROR(INDIRECT("'"&amp;$D$47&amp;"'!investcum_2048"),0)
+IFERROR(INDIRECT("'"&amp;$D$48&amp;"'!investcum_2048"),0)
+IFERROR(INDIRECT("'"&amp;$D$49&amp;"'!investcum_2048"),0)
+IFERROR(INDIRECT("'"&amp;$D$50&amp;"'!investcum_2048"),0)
+IFERROR(INDIRECT("'"&amp;$D$51&amp;"'!investcum_2048"),0)
+IFERROR(INDIRECT("'"&amp;$D$52&amp;"'!investcum_2048"),0)
+IFERROR(INDIRECT("'"&amp;$D$53&amp;"'!investcum_2048"),0)
+IFERROR(INDIRECT("'"&amp;$D$54&amp;"'!investcum_2048"),0)</f>
        <v>2088560.8492000001</v>
      </c>
      <c r="AM47" s="321">
        <f ca="1">+IFERROR(INDIRECT("'"&amp;$D$5&amp;"'!investcum_2049"),0)
+IFERROR(INDIRECT("'"&amp;$D$6&amp;"'!investcum_2049"),0)
+IFERROR(INDIRECT("'"&amp;$D$7&amp;"'!investcum_2049"),0)
+IFERROR(INDIRECT("'"&amp;$D$8&amp;"'!investcum_2049"),0)
+IFERROR(INDIRECT("'"&amp;$D$9&amp;"'!investcum_2049"),0)
+IFERROR(INDIRECT("'"&amp;$D$10&amp;"'!investcum_2049"),0)
+IFERROR(INDIRECT("'"&amp;$D$11&amp;"'!investcum_2049"),0)
+IFERROR(INDIRECT("'"&amp;$D$12&amp;"'!investcum_2049"),0)
+IFERROR(INDIRECT("'"&amp;$D$13&amp;"'!investcum_2049"),0)
+IFERROR(INDIRECT("'"&amp;$D$14&amp;"'!investcum_2049"),0)
+IFERROR(INDIRECT("'"&amp;$D$15&amp;"'!investcum_2049"),0)
+IFERROR(INDIRECT("'"&amp;$D$16&amp;"'!investcum_2049"),0)
+IFERROR(INDIRECT("'"&amp;$D$17&amp;"'!investcum_2049"),0)
+IFERROR(INDIRECT("'"&amp;$D$18&amp;"'!investcum_2049"),0)
+IFERROR(INDIRECT("'"&amp;$D$19&amp;"'!investcum_2049"),0)
+IFERROR(INDIRECT("'"&amp;$D$20&amp;"'!investcum_2049"),0)
+IFERROR(INDIRECT("'"&amp;$D$21&amp;"'!investcum_2049"),0)
+IFERROR(INDIRECT("'"&amp;$D$22&amp;"'!investcum_2049"),0)
+IFERROR(INDIRECT("'"&amp;$D$23&amp;"'!investcum_2049"),0)
+IFERROR(INDIRECT("'"&amp;$D$24&amp;"'!investcum_2049"),0)
+IFERROR(INDIRECT("'"&amp;$D$25&amp;"'!investcum_2049"),0)
+IFERROR(INDIRECT("'"&amp;$D$26&amp;"'!investcum_2049"),0)
+IFERROR(INDIRECT("'"&amp;$D$27&amp;"'!investcum_2049"),0)
+IFERROR(INDIRECT("'"&amp;$D$28&amp;"'!investcum_2049"),0)
+IFERROR(INDIRECT("'"&amp;$D$29&amp;"'!investcum_2049"),0)
+IFERROR(INDIRECT("'"&amp;$D$30&amp;"'!investcum_2049"),0)
+IFERROR(INDIRECT("'"&amp;$D$31&amp;"'!investcum_2049"),0)
+IFERROR(INDIRECT("'"&amp;$D$32&amp;"'!investcum_2049"),0)
+IFERROR(INDIRECT("'"&amp;$D$33&amp;"'!investcum_2049"),0)
+IFERROR(INDIRECT("'"&amp;$D$34&amp;"'!investcum_2049"),0)
+IFERROR(INDIRECT("'"&amp;$D$35&amp;"'!investcum_2049"),0)
+IFERROR(INDIRECT("'"&amp;$D$36&amp;"'!investcum_2049"),0)
+IFERROR(INDIRECT("'"&amp;$D$37&amp;"'!investcum_2049"),0)
+IFERROR(INDIRECT("'"&amp;$D$38&amp;"'!investcum_2049"),0)
+IFERROR(INDIRECT("'"&amp;$D$39&amp;"'!investcum_2049"),0)
+IFERROR(INDIRECT("'"&amp;$D$40&amp;"'!investcum_2049"),0)
+IFERROR(INDIRECT("'"&amp;$D$41&amp;"'!investcum_2049"),0)
+IFERROR(INDIRECT("'"&amp;$D$42&amp;"'!investcum_2049"),0)
+IFERROR(INDIRECT("'"&amp;$D$43&amp;"'!investcum_2049"),0)
+IFERROR(INDIRECT("'"&amp;$D$44&amp;"'!investcum_2049"),0)
+IFERROR(INDIRECT("'"&amp;$D$45&amp;"'!investcum_2049"),0)
+IFERROR(INDIRECT("'"&amp;$D$46&amp;"'!investcum_2049"),0)
+IFERROR(INDIRECT("'"&amp;$D$47&amp;"'!investcum_2049"),0)
+IFERROR(INDIRECT("'"&amp;$D$48&amp;"'!investcum_2049"),0)
+IFERROR(INDIRECT("'"&amp;$D$49&amp;"'!investcum_2049"),0)
+IFERROR(INDIRECT("'"&amp;$D$50&amp;"'!investcum_2049"),0)
+IFERROR(INDIRECT("'"&amp;$D$51&amp;"'!investcum_2049"),0)
+IFERROR(INDIRECT("'"&amp;$D$52&amp;"'!investcum_2049"),0)
+IFERROR(INDIRECT("'"&amp;$D$53&amp;"'!investcum_2049"),0)
+IFERROR(INDIRECT("'"&amp;$D$54&amp;"'!investcum_2049"),0)</f>
        <v>2088560.8492000001</v>
      </c>
      <c r="AN47" s="321">
        <f ca="1">+IFERROR(INDIRECT("'"&amp;$D$5&amp;"'!investcum_2050"),0)
+IFERROR(INDIRECT("'"&amp;$D$6&amp;"'!investcum_2050"),0)
+IFERROR(INDIRECT("'"&amp;$D$7&amp;"'!investcum_2050"),0)
+IFERROR(INDIRECT("'"&amp;$D$8&amp;"'!investcum_2050"),0)
+IFERROR(INDIRECT("'"&amp;$D$9&amp;"'!investcum_2050"),0)
+IFERROR(INDIRECT("'"&amp;$D$10&amp;"'!investcum_2050"),0)
+IFERROR(INDIRECT("'"&amp;$D$11&amp;"'!investcum_2050"),0)
+IFERROR(INDIRECT("'"&amp;$D$12&amp;"'!investcum_2050"),0)
+IFERROR(INDIRECT("'"&amp;$D$13&amp;"'!investcum_2050"),0)
+IFERROR(INDIRECT("'"&amp;$D$14&amp;"'!investcum_2050"),0)
+IFERROR(INDIRECT("'"&amp;$D$15&amp;"'!investcum_2050"),0)
+IFERROR(INDIRECT("'"&amp;$D$16&amp;"'!investcum_2050"),0)
+IFERROR(INDIRECT("'"&amp;$D$17&amp;"'!investcum_2050"),0)
+IFERROR(INDIRECT("'"&amp;$D$18&amp;"'!investcum_2050"),0)
+IFERROR(INDIRECT("'"&amp;$D$19&amp;"'!investcum_2050"),0)
+IFERROR(INDIRECT("'"&amp;$D$20&amp;"'!investcum_2050"),0)
+IFERROR(INDIRECT("'"&amp;$D$21&amp;"'!investcum_2050"),0)
+IFERROR(INDIRECT("'"&amp;$D$22&amp;"'!investcum_2050"),0)
+IFERROR(INDIRECT("'"&amp;$D$23&amp;"'!investcum_2050"),0)
+IFERROR(INDIRECT("'"&amp;$D$24&amp;"'!investcum_2050"),0)
+IFERROR(INDIRECT("'"&amp;$D$25&amp;"'!investcum_2050"),0)
+IFERROR(INDIRECT("'"&amp;$D$26&amp;"'!investcum_2050"),0)
+IFERROR(INDIRECT("'"&amp;$D$27&amp;"'!investcum_2050"),0)
+IFERROR(INDIRECT("'"&amp;$D$28&amp;"'!investcum_2050"),0)
+IFERROR(INDIRECT("'"&amp;$D$29&amp;"'!investcum_2050"),0)
+IFERROR(INDIRECT("'"&amp;$D$30&amp;"'!investcum_2050"),0)
+IFERROR(INDIRECT("'"&amp;$D$31&amp;"'!investcum_2050"),0)
+IFERROR(INDIRECT("'"&amp;$D$32&amp;"'!investcum_2050"),0)
+IFERROR(INDIRECT("'"&amp;$D$33&amp;"'!investcum_2050"),0)
+IFERROR(INDIRECT("'"&amp;$D$34&amp;"'!investcum_2050"),0)
+IFERROR(INDIRECT("'"&amp;$D$35&amp;"'!investcum_2050"),0)
+IFERROR(INDIRECT("'"&amp;$D$36&amp;"'!investcum_2050"),0)
+IFERROR(INDIRECT("'"&amp;$D$37&amp;"'!investcum_2050"),0)
+IFERROR(INDIRECT("'"&amp;$D$38&amp;"'!investcum_2050"),0)
+IFERROR(INDIRECT("'"&amp;$D$39&amp;"'!investcum_2050"),0)
+IFERROR(INDIRECT("'"&amp;$D$40&amp;"'!investcum_2050"),0)
+IFERROR(INDIRECT("'"&amp;$D$41&amp;"'!investcum_2050"),0)
+IFERROR(INDIRECT("'"&amp;$D$42&amp;"'!investcum_2050"),0)
+IFERROR(INDIRECT("'"&amp;$D$43&amp;"'!investcum_2050"),0)
+IFERROR(INDIRECT("'"&amp;$D$44&amp;"'!investcum_2050"),0)
+IFERROR(INDIRECT("'"&amp;$D$45&amp;"'!investcum_2050"),0)
+IFERROR(INDIRECT("'"&amp;$D$46&amp;"'!investcum_2050"),0)
+IFERROR(INDIRECT("'"&amp;$D$47&amp;"'!investcum_2050"),0)
+IFERROR(INDIRECT("'"&amp;$D$48&amp;"'!investcum_2050"),0)
+IFERROR(INDIRECT("'"&amp;$D$49&amp;"'!investcum_2050"),0)
+IFERROR(INDIRECT("'"&amp;$D$50&amp;"'!investcum_2050"),0)
+IFERROR(INDIRECT("'"&amp;$D$51&amp;"'!investcum_2050"),0)
+IFERROR(INDIRECT("'"&amp;$D$52&amp;"'!investcum_2050"),0)
+IFERROR(INDIRECT("'"&amp;$D$53&amp;"'!investcum_2050"),0)
+IFERROR(INDIRECT("'"&amp;$D$54&amp;"'!investcum_2050"),0)</f>
        <v>2088560.8492000001</v>
      </c>
      <c r="AO47" s="8"/>
    </row>
    <row r="48" spans="2:41" ht="18.75">
      <c r="B48" s="8"/>
      <c r="C48" s="279" t="s">
        <v>85</v>
      </c>
      <c r="D48" s="115"/>
      <c r="E48" s="8"/>
      <c r="F48" s="8"/>
      <c r="G48" s="296" t="s">
        <v>390</v>
      </c>
      <c r="H48" s="321">
        <f ca="1">+IFERROR(INDIRECT("'"&amp;$D$5&amp;"'!bespar_2018"),0)
+IFERROR(INDIRECT("'"&amp;$D$6&amp;"'!bespar_2018"),0)
+IFERROR(INDIRECT("'"&amp;$D$7&amp;"'!bespar_2018"),0)
+IFERROR(INDIRECT("'"&amp;$D$8&amp;"'!bespar_2018"),0)
+IFERROR(INDIRECT("'"&amp;$D$9&amp;"'!bespar_2018"),0)
+IFERROR(INDIRECT("'"&amp;$D$10&amp;"'!bespar_2018"),0)
+IFERROR(INDIRECT("'"&amp;$D$11&amp;"'!bespar_2018"),0)
+IFERROR(INDIRECT("'"&amp;$D$12&amp;"'!bespar_2018"),0)
+IFERROR(INDIRECT("'"&amp;$D$13&amp;"'!bespar_2018"),0)
+IFERROR(INDIRECT("'"&amp;$D$14&amp;"'!bespar_2018"),0)
+IFERROR(INDIRECT("'"&amp;$D$15&amp;"'!bespar_2018"),0)
+IFERROR(INDIRECT("'"&amp;$D$16&amp;"'!bespar_2018"),0)
+IFERROR(INDIRECT("'"&amp;$D$17&amp;"'!bespar_2018"),0)
+IFERROR(INDIRECT("'"&amp;$D$18&amp;"'!bespar_2018"),0)
+IFERROR(INDIRECT("'"&amp;$D$19&amp;"'!bespar_2018"),0)
+IFERROR(INDIRECT("'"&amp;$D$20&amp;"'!bespar_2018"),0)
+IFERROR(INDIRECT("'"&amp;$D$21&amp;"'!bespar_2018"),0)
+IFERROR(INDIRECT("'"&amp;$D$22&amp;"'!bespar_2018"),0)
+IFERROR(INDIRECT("'"&amp;$D$23&amp;"'!bespar_2018"),0)
+IFERROR(INDIRECT("'"&amp;$D$24&amp;"'!bespar_2018"),0)
+IFERROR(INDIRECT("'"&amp;$D$25&amp;"'!bespar_2018"),0)
+IFERROR(INDIRECT("'"&amp;$D$26&amp;"'!bespar_2018"),0)
+IFERROR(INDIRECT("'"&amp;$D$27&amp;"'!bespar_2018"),0)
+IFERROR(INDIRECT("'"&amp;$D$28&amp;"'!bespar_2018"),0)
+IFERROR(INDIRECT("'"&amp;$D$29&amp;"'!bespar_2018"),0)
+IFERROR(INDIRECT("'"&amp;$D$30&amp;"'!bespar_2018"),0)
+IFERROR(INDIRECT("'"&amp;$D$31&amp;"'!bespar_2018"),0)
+IFERROR(INDIRECT("'"&amp;$D$32&amp;"'!bespar_2018"),0)
+IFERROR(INDIRECT("'"&amp;$D$33&amp;"'!bespar_2018"),0)
+IFERROR(INDIRECT("'"&amp;$D$34&amp;"'!bespar_2018"),0)
+IFERROR(INDIRECT("'"&amp;$D$35&amp;"'!bespar_2018"),0)
+IFERROR(INDIRECT("'"&amp;$D$36&amp;"'!bespar_2018"),0)
+IFERROR(INDIRECT("'"&amp;$D$37&amp;"'!bespar_2018"),0)
+IFERROR(INDIRECT("'"&amp;$D$38&amp;"'!bespar_2018"),0)
+IFERROR(INDIRECT("'"&amp;$D$39&amp;"'!bespar_2018"),0)
+IFERROR(INDIRECT("'"&amp;$D$40&amp;"'!bespar_2018"),0)
+IFERROR(INDIRECT("'"&amp;$D$41&amp;"'!bespar_2018"),0)
+IFERROR(INDIRECT("'"&amp;$D$42&amp;"'!bespar_2018"),0)
+IFERROR(INDIRECT("'"&amp;$D$43&amp;"'!bespar_2018"),0)
+IFERROR(INDIRECT("'"&amp;$D$44&amp;"'!bespar_2018"),0)
+IFERROR(INDIRECT("'"&amp;$D$45&amp;"'!bespar_2018"),0)
+IFERROR(INDIRECT("'"&amp;$D$46&amp;"'!bespar_2018"),0)
+IFERROR(INDIRECT("'"&amp;$D$47&amp;"'!bespar_2018"),0)
+IFERROR(INDIRECT("'"&amp;$D$48&amp;"'!bespar_2018"),0)
+IFERROR(INDIRECT("'"&amp;$D$49&amp;"'!bespar_2018"),0)
+IFERROR(INDIRECT("'"&amp;$D$50&amp;"'!bespar_2018"),0)
+IFERROR(INDIRECT("'"&amp;$D$51&amp;"'!bespar_2018"),0)
+IFERROR(INDIRECT("'"&amp;$D$52&amp;"'!bespar_2018"),0)
+IFERROR(INDIRECT("'"&amp;$D$53&amp;"'!bespar_2018"),0)
+IFERROR(INDIRECT("'"&amp;$D$54&amp;"'!bespar_2018"),0)</f>
        <v>0</v>
      </c>
      <c r="I48" s="321">
        <f ca="1">+IFERROR(INDIRECT("'"&amp;$D$5&amp;"'!bespar_2019"),0)
+IFERROR(INDIRECT("'"&amp;$D$6&amp;"'!bespar_2019"),0)
+IFERROR(INDIRECT("'"&amp;$D$7&amp;"'!bespar_2019"),0)
+IFERROR(INDIRECT("'"&amp;$D$8&amp;"'!bespar_2019"),0)
+IFERROR(INDIRECT("'"&amp;$D$9&amp;"'!bespar_2019"),0)
+IFERROR(INDIRECT("'"&amp;$D$10&amp;"'!bespar_2019"),0)
+IFERROR(INDIRECT("'"&amp;$D$11&amp;"'!bespar_2019"),0)
+IFERROR(INDIRECT("'"&amp;$D$12&amp;"'!bespar_2019"),0)
+IFERROR(INDIRECT("'"&amp;$D$13&amp;"'!bespar_2019"),0)
+IFERROR(INDIRECT("'"&amp;$D$14&amp;"'!bespar_2019"),0)
+IFERROR(INDIRECT("'"&amp;$D$15&amp;"'!bespar_2019"),0)
+IFERROR(INDIRECT("'"&amp;$D$16&amp;"'!bespar_2019"),0)
+IFERROR(INDIRECT("'"&amp;$D$17&amp;"'!bespar_2019"),0)
+IFERROR(INDIRECT("'"&amp;$D$18&amp;"'!bespar_2019"),0)
+IFERROR(INDIRECT("'"&amp;$D$19&amp;"'!bespar_2019"),0)
+IFERROR(INDIRECT("'"&amp;$D$20&amp;"'!bespar_2019"),0)
+IFERROR(INDIRECT("'"&amp;$D$21&amp;"'!bespar_2019"),0)
+IFERROR(INDIRECT("'"&amp;$D$22&amp;"'!bespar_2019"),0)
+IFERROR(INDIRECT("'"&amp;$D$23&amp;"'!bespar_2019"),0)
+IFERROR(INDIRECT("'"&amp;$D$24&amp;"'!bespar_2019"),0)
+IFERROR(INDIRECT("'"&amp;$D$25&amp;"'!bespar_2019"),0)
+IFERROR(INDIRECT("'"&amp;$D$26&amp;"'!bespar_2019"),0)
+IFERROR(INDIRECT("'"&amp;$D$27&amp;"'!bespar_2019"),0)
+IFERROR(INDIRECT("'"&amp;$D$28&amp;"'!bespar_2019"),0)
+IFERROR(INDIRECT("'"&amp;$D$29&amp;"'!bespar_2019"),0)
+IFERROR(INDIRECT("'"&amp;$D$30&amp;"'!bespar_2019"),0)
+IFERROR(INDIRECT("'"&amp;$D$31&amp;"'!bespar_2019"),0)
+IFERROR(INDIRECT("'"&amp;$D$32&amp;"'!bespar_2019"),0)
+IFERROR(INDIRECT("'"&amp;$D$33&amp;"'!bespar_2019"),0)
+IFERROR(INDIRECT("'"&amp;$D$34&amp;"'!bespar_2019"),0)
+IFERROR(INDIRECT("'"&amp;$D$35&amp;"'!bespar_2019"),0)
+IFERROR(INDIRECT("'"&amp;$D$36&amp;"'!bespar_2019"),0)
+IFERROR(INDIRECT("'"&amp;$D$37&amp;"'!bespar_2019"),0)
+IFERROR(INDIRECT("'"&amp;$D$38&amp;"'!bespar_2019"),0)
+IFERROR(INDIRECT("'"&amp;$D$39&amp;"'!bespar_2019"),0)
+IFERROR(INDIRECT("'"&amp;$D$40&amp;"'!bespar_2019"),0)
+IFERROR(INDIRECT("'"&amp;$D$41&amp;"'!bespar_2019"),0)
+IFERROR(INDIRECT("'"&amp;$D$42&amp;"'!bespar_2019"),0)
+IFERROR(INDIRECT("'"&amp;$D$43&amp;"'!bespar_2019"),0)
+IFERROR(INDIRECT("'"&amp;$D$44&amp;"'!bespar_2019"),0)
+IFERROR(INDIRECT("'"&amp;$D$45&amp;"'!bespar_2019"),0)
+IFERROR(INDIRECT("'"&amp;$D$46&amp;"'!bespar_2019"),0)
+IFERROR(INDIRECT("'"&amp;$D$47&amp;"'!bespar_2019"),0)
+IFERROR(INDIRECT("'"&amp;$D$48&amp;"'!bespar_2019"),0)
+IFERROR(INDIRECT("'"&amp;$D$49&amp;"'!bespar_2019"),0)
+IFERROR(INDIRECT("'"&amp;$D$50&amp;"'!bespar_2019"),0)
+IFERROR(INDIRECT("'"&amp;$D$51&amp;"'!bespar_2019"),0)
+IFERROR(INDIRECT("'"&amp;$D$52&amp;"'!bespar_2019"),0)
+IFERROR(INDIRECT("'"&amp;$D$53&amp;"'!bespar_2019"),0)
+IFERROR(INDIRECT("'"&amp;$D$54&amp;"'!bespar_2019"),0)</f>
        <v>0</v>
      </c>
      <c r="J48" s="321">
        <f ca="1">+IFERROR(INDIRECT("'"&amp;$D$5&amp;"'!bespar_2020"),0)
+IFERROR(INDIRECT("'"&amp;$D$6&amp;"'!bespar_2020"),0)
+IFERROR(INDIRECT("'"&amp;$D$7&amp;"'!bespar_2020"),0)
+IFERROR(INDIRECT("'"&amp;$D$8&amp;"'!bespar_2020"),0)
+IFERROR(INDIRECT("'"&amp;$D$9&amp;"'!bespar_2020"),0)
+IFERROR(INDIRECT("'"&amp;$D$10&amp;"'!bespar_2020"),0)
+IFERROR(INDIRECT("'"&amp;$D$11&amp;"'!bespar_2020"),0)
+IFERROR(INDIRECT("'"&amp;$D$12&amp;"'!bespar_2020"),0)
+IFERROR(INDIRECT("'"&amp;$D$13&amp;"'!bespar_2020"),0)
+IFERROR(INDIRECT("'"&amp;$D$14&amp;"'!bespar_2020"),0)
+IFERROR(INDIRECT("'"&amp;$D$15&amp;"'!bespar_2020"),0)
+IFERROR(INDIRECT("'"&amp;$D$16&amp;"'!bespar_2020"),0)
+IFERROR(INDIRECT("'"&amp;$D$17&amp;"'!bespar_2020"),0)
+IFERROR(INDIRECT("'"&amp;$D$18&amp;"'!bespar_2020"),0)
+IFERROR(INDIRECT("'"&amp;$D$19&amp;"'!bespar_2020"),0)
+IFERROR(INDIRECT("'"&amp;$D$20&amp;"'!bespar_2020"),0)
+IFERROR(INDIRECT("'"&amp;$D$21&amp;"'!bespar_2020"),0)
+IFERROR(INDIRECT("'"&amp;$D$22&amp;"'!bespar_2020"),0)
+IFERROR(INDIRECT("'"&amp;$D$23&amp;"'!bespar_2020"),0)
+IFERROR(INDIRECT("'"&amp;$D$24&amp;"'!bespar_2020"),0)
+IFERROR(INDIRECT("'"&amp;$D$25&amp;"'!bespar_2020"),0)
+IFERROR(INDIRECT("'"&amp;$D$26&amp;"'!bespar_2020"),0)
+IFERROR(INDIRECT("'"&amp;$D$27&amp;"'!bespar_2020"),0)
+IFERROR(INDIRECT("'"&amp;$D$28&amp;"'!bespar_2020"),0)
+IFERROR(INDIRECT("'"&amp;$D$29&amp;"'!bespar_2020"),0)
+IFERROR(INDIRECT("'"&amp;$D$30&amp;"'!bespar_2020"),0)
+IFERROR(INDIRECT("'"&amp;$D$31&amp;"'!bespar_2020"),0)
+IFERROR(INDIRECT("'"&amp;$D$32&amp;"'!bespar_2020"),0)
+IFERROR(INDIRECT("'"&amp;$D$33&amp;"'!bespar_2020"),0)
+IFERROR(INDIRECT("'"&amp;$D$34&amp;"'!bespar_2020"),0)
+IFERROR(INDIRECT("'"&amp;$D$35&amp;"'!bespar_2020"),0)
+IFERROR(INDIRECT("'"&amp;$D$36&amp;"'!bespar_2020"),0)
+IFERROR(INDIRECT("'"&amp;$D$37&amp;"'!bespar_2020"),0)
+IFERROR(INDIRECT("'"&amp;$D$38&amp;"'!bespar_2020"),0)
+IFERROR(INDIRECT("'"&amp;$D$39&amp;"'!bespar_2020"),0)
+IFERROR(INDIRECT("'"&amp;$D$40&amp;"'!bespar_2020"),0)
+IFERROR(INDIRECT("'"&amp;$D$41&amp;"'!bespar_2020"),0)
+IFERROR(INDIRECT("'"&amp;$D$42&amp;"'!bespar_2020"),0)
+IFERROR(INDIRECT("'"&amp;$D$43&amp;"'!bespar_2020"),0)
+IFERROR(INDIRECT("'"&amp;$D$44&amp;"'!bespar_2020"),0)
+IFERROR(INDIRECT("'"&amp;$D$45&amp;"'!bespar_2020"),0)
+IFERROR(INDIRECT("'"&amp;$D$46&amp;"'!bespar_2020"),0)
+IFERROR(INDIRECT("'"&amp;$D$47&amp;"'!bespar_2020"),0)
+IFERROR(INDIRECT("'"&amp;$D$48&amp;"'!bespar_2020"),0)
+IFERROR(INDIRECT("'"&amp;$D$49&amp;"'!bespar_2020"),0)
+IFERROR(INDIRECT("'"&amp;$D$50&amp;"'!bespar_2020"),0)
+IFERROR(INDIRECT("'"&amp;$D$51&amp;"'!bespar_2020"),0)
+IFERROR(INDIRECT("'"&amp;$D$52&amp;"'!bespar_2020"),0)
+IFERROR(INDIRECT("'"&amp;$D$53&amp;"'!bespar_2020"),0)
+IFERROR(INDIRECT("'"&amp;$D$54&amp;"'!bespar_2020"),0)</f>
        <v>0</v>
      </c>
      <c r="K48" s="321">
        <f ca="1">+IFERROR(INDIRECT("'"&amp;$D$5&amp;"'!bespar_2021"),0)
+IFERROR(INDIRECT("'"&amp;$D$6&amp;"'!bespar_2021"),0)
+IFERROR(INDIRECT("'"&amp;$D$7&amp;"'!bespar_2021"),0)
+IFERROR(INDIRECT("'"&amp;$D$8&amp;"'!bespar_2021"),0)
+IFERROR(INDIRECT("'"&amp;$D$9&amp;"'!bespar_2021"),0)
+IFERROR(INDIRECT("'"&amp;$D$10&amp;"'!bespar_2021"),0)
+IFERROR(INDIRECT("'"&amp;$D$11&amp;"'!bespar_2021"),0)
+IFERROR(INDIRECT("'"&amp;$D$12&amp;"'!bespar_2021"),0)
+IFERROR(INDIRECT("'"&amp;$D$13&amp;"'!bespar_2021"),0)
+IFERROR(INDIRECT("'"&amp;$D$14&amp;"'!bespar_2021"),0)
+IFERROR(INDIRECT("'"&amp;$D$15&amp;"'!bespar_2021"),0)
+IFERROR(INDIRECT("'"&amp;$D$16&amp;"'!bespar_2021"),0)
+IFERROR(INDIRECT("'"&amp;$D$17&amp;"'!bespar_2021"),0)
+IFERROR(INDIRECT("'"&amp;$D$18&amp;"'!bespar_2021"),0)
+IFERROR(INDIRECT("'"&amp;$D$19&amp;"'!bespar_2021"),0)
+IFERROR(INDIRECT("'"&amp;$D$20&amp;"'!bespar_2021"),0)
+IFERROR(INDIRECT("'"&amp;$D$21&amp;"'!bespar_2021"),0)
+IFERROR(INDIRECT("'"&amp;$D$22&amp;"'!bespar_2021"),0)
+IFERROR(INDIRECT("'"&amp;$D$23&amp;"'!bespar_2021"),0)
+IFERROR(INDIRECT("'"&amp;$D$24&amp;"'!bespar_2021"),0)
+IFERROR(INDIRECT("'"&amp;$D$25&amp;"'!bespar_2021"),0)
+IFERROR(INDIRECT("'"&amp;$D$26&amp;"'!bespar_2021"),0)
+IFERROR(INDIRECT("'"&amp;$D$27&amp;"'!bespar_2021"),0)
+IFERROR(INDIRECT("'"&amp;$D$28&amp;"'!bespar_2021"),0)
+IFERROR(INDIRECT("'"&amp;$D$29&amp;"'!bespar_2021"),0)
+IFERROR(INDIRECT("'"&amp;$D$30&amp;"'!bespar_2021"),0)
+IFERROR(INDIRECT("'"&amp;$D$31&amp;"'!bespar_2021"),0)
+IFERROR(INDIRECT("'"&amp;$D$32&amp;"'!bespar_2021"),0)
+IFERROR(INDIRECT("'"&amp;$D$33&amp;"'!bespar_2021"),0)
+IFERROR(INDIRECT("'"&amp;$D$34&amp;"'!bespar_2021"),0)
+IFERROR(INDIRECT("'"&amp;$D$35&amp;"'!bespar_2021"),0)
+IFERROR(INDIRECT("'"&amp;$D$36&amp;"'!bespar_2021"),0)
+IFERROR(INDIRECT("'"&amp;$D$37&amp;"'!bespar_2021"),0)
+IFERROR(INDIRECT("'"&amp;$D$38&amp;"'!bespar_2021"),0)
+IFERROR(INDIRECT("'"&amp;$D$39&amp;"'!bespar_2021"),0)
+IFERROR(INDIRECT("'"&amp;$D$40&amp;"'!bespar_2021"),0)
+IFERROR(INDIRECT("'"&amp;$D$41&amp;"'!bespar_2021"),0)
+IFERROR(INDIRECT("'"&amp;$D$42&amp;"'!bespar_2021"),0)
+IFERROR(INDIRECT("'"&amp;$D$43&amp;"'!bespar_2021"),0)
+IFERROR(INDIRECT("'"&amp;$D$44&amp;"'!bespar_2021"),0)
+IFERROR(INDIRECT("'"&amp;$D$45&amp;"'!bespar_2021"),0)
+IFERROR(INDIRECT("'"&amp;$D$46&amp;"'!bespar_2021"),0)
+IFERROR(INDIRECT("'"&amp;$D$47&amp;"'!bespar_2021"),0)
+IFERROR(INDIRECT("'"&amp;$D$48&amp;"'!bespar_2021"),0)
+IFERROR(INDIRECT("'"&amp;$D$49&amp;"'!bespar_2021"),0)
+IFERROR(INDIRECT("'"&amp;$D$50&amp;"'!bespar_2021"),0)
+IFERROR(INDIRECT("'"&amp;$D$51&amp;"'!bespar_2021"),0)
+IFERROR(INDIRECT("'"&amp;$D$52&amp;"'!bespar_2021"),0)
+IFERROR(INDIRECT("'"&amp;$D$53&amp;"'!bespar_2021"),0)
+IFERROR(INDIRECT("'"&amp;$D$54&amp;"'!bespar_2021"),0)</f>
        <v>0</v>
      </c>
      <c r="L48" s="321">
        <f ca="1">+IFERROR(INDIRECT("'"&amp;$D$5&amp;"'!bespar_2022"),0)
+IFERROR(INDIRECT("'"&amp;$D$6&amp;"'!bespar_2022"),0)
+IFERROR(INDIRECT("'"&amp;$D$7&amp;"'!bespar_2022"),0)
+IFERROR(INDIRECT("'"&amp;$D$8&amp;"'!bespar_2022"),0)
+IFERROR(INDIRECT("'"&amp;$D$9&amp;"'!bespar_2022"),0)
+IFERROR(INDIRECT("'"&amp;$D$10&amp;"'!bespar_2022"),0)
+IFERROR(INDIRECT("'"&amp;$D$11&amp;"'!bespar_2022"),0)
+IFERROR(INDIRECT("'"&amp;$D$12&amp;"'!bespar_2022"),0)
+IFERROR(INDIRECT("'"&amp;$D$13&amp;"'!bespar_2022"),0)
+IFERROR(INDIRECT("'"&amp;$D$14&amp;"'!bespar_2022"),0)
+IFERROR(INDIRECT("'"&amp;$D$15&amp;"'!bespar_2022"),0)
+IFERROR(INDIRECT("'"&amp;$D$16&amp;"'!bespar_2022"),0)
+IFERROR(INDIRECT("'"&amp;$D$17&amp;"'!bespar_2022"),0)
+IFERROR(INDIRECT("'"&amp;$D$18&amp;"'!bespar_2022"),0)
+IFERROR(INDIRECT("'"&amp;$D$19&amp;"'!bespar_2022"),0)
+IFERROR(INDIRECT("'"&amp;$D$20&amp;"'!bespar_2022"),0)
+IFERROR(INDIRECT("'"&amp;$D$21&amp;"'!bespar_2022"),0)
+IFERROR(INDIRECT("'"&amp;$D$22&amp;"'!bespar_2022"),0)
+IFERROR(INDIRECT("'"&amp;$D$23&amp;"'!bespar_2022"),0)
+IFERROR(INDIRECT("'"&amp;$D$24&amp;"'!bespar_2022"),0)
+IFERROR(INDIRECT("'"&amp;$D$25&amp;"'!bespar_2022"),0)
+IFERROR(INDIRECT("'"&amp;$D$26&amp;"'!bespar_2022"),0)
+IFERROR(INDIRECT("'"&amp;$D$27&amp;"'!bespar_2022"),0)
+IFERROR(INDIRECT("'"&amp;$D$28&amp;"'!bespar_2022"),0)
+IFERROR(INDIRECT("'"&amp;$D$29&amp;"'!bespar_2022"),0)
+IFERROR(INDIRECT("'"&amp;$D$30&amp;"'!bespar_2022"),0)
+IFERROR(INDIRECT("'"&amp;$D$31&amp;"'!bespar_2022"),0)
+IFERROR(INDIRECT("'"&amp;$D$32&amp;"'!bespar_2022"),0)
+IFERROR(INDIRECT("'"&amp;$D$33&amp;"'!bespar_2022"),0)
+IFERROR(INDIRECT("'"&amp;$D$34&amp;"'!bespar_2022"),0)
+IFERROR(INDIRECT("'"&amp;$D$35&amp;"'!bespar_2022"),0)
+IFERROR(INDIRECT("'"&amp;$D$36&amp;"'!bespar_2022"),0)
+IFERROR(INDIRECT("'"&amp;$D$37&amp;"'!bespar_2022"),0)
+IFERROR(INDIRECT("'"&amp;$D$38&amp;"'!bespar_2022"),0)
+IFERROR(INDIRECT("'"&amp;$D$39&amp;"'!bespar_2022"),0)
+IFERROR(INDIRECT("'"&amp;$D$40&amp;"'!bespar_2022"),0)
+IFERROR(INDIRECT("'"&amp;$D$41&amp;"'!bespar_2022"),0)
+IFERROR(INDIRECT("'"&amp;$D$42&amp;"'!bespar_2022"),0)
+IFERROR(INDIRECT("'"&amp;$D$43&amp;"'!bespar_2022"),0)
+IFERROR(INDIRECT("'"&amp;$D$44&amp;"'!bespar_2022"),0)
+IFERROR(INDIRECT("'"&amp;$D$45&amp;"'!bespar_2022"),0)
+IFERROR(INDIRECT("'"&amp;$D$46&amp;"'!bespar_2022"),0)
+IFERROR(INDIRECT("'"&amp;$D$47&amp;"'!bespar_2022"),0)
+IFERROR(INDIRECT("'"&amp;$D$48&amp;"'!bespar_2022"),0)
+IFERROR(INDIRECT("'"&amp;$D$49&amp;"'!bespar_2022"),0)
+IFERROR(INDIRECT("'"&amp;$D$50&amp;"'!bespar_2022"),0)
+IFERROR(INDIRECT("'"&amp;$D$51&amp;"'!bespar_2022"),0)
+IFERROR(INDIRECT("'"&amp;$D$52&amp;"'!bespar_2022"),0)
+IFERROR(INDIRECT("'"&amp;$D$53&amp;"'!bespar_2022"),0)
+IFERROR(INDIRECT("'"&amp;$D$54&amp;"'!bespar_2022"),0)</f>
        <v>0</v>
      </c>
      <c r="M48" s="321">
        <f ca="1">+IFERROR(INDIRECT("'"&amp;$D$5&amp;"'!bespar_2023"),0)
+IFERROR(INDIRECT("'"&amp;$D$6&amp;"'!bespar_2023"),0)
+IFERROR(INDIRECT("'"&amp;$D$7&amp;"'!bespar_2023"),0)
+IFERROR(INDIRECT("'"&amp;$D$8&amp;"'!bespar_2023"),0)
+IFERROR(INDIRECT("'"&amp;$D$9&amp;"'!bespar_2023"),0)
+IFERROR(INDIRECT("'"&amp;$D$10&amp;"'!bespar_2023"),0)
+IFERROR(INDIRECT("'"&amp;$D$11&amp;"'!bespar_2023"),0)
+IFERROR(INDIRECT("'"&amp;$D$12&amp;"'!bespar_2023"),0)
+IFERROR(INDIRECT("'"&amp;$D$13&amp;"'!bespar_2023"),0)
+IFERROR(INDIRECT("'"&amp;$D$14&amp;"'!bespar_2023"),0)
+IFERROR(INDIRECT("'"&amp;$D$15&amp;"'!bespar_2023"),0)
+IFERROR(INDIRECT("'"&amp;$D$16&amp;"'!bespar_2023"),0)
+IFERROR(INDIRECT("'"&amp;$D$17&amp;"'!bespar_2023"),0)
+IFERROR(INDIRECT("'"&amp;$D$18&amp;"'!bespar_2023"),0)
+IFERROR(INDIRECT("'"&amp;$D$19&amp;"'!bespar_2023"),0)
+IFERROR(INDIRECT("'"&amp;$D$20&amp;"'!bespar_2023"),0)
+IFERROR(INDIRECT("'"&amp;$D$21&amp;"'!bespar_2023"),0)
+IFERROR(INDIRECT("'"&amp;$D$22&amp;"'!bespar_2023"),0)
+IFERROR(INDIRECT("'"&amp;$D$23&amp;"'!bespar_2023"),0)
+IFERROR(INDIRECT("'"&amp;$D$24&amp;"'!bespar_2023"),0)
+IFERROR(INDIRECT("'"&amp;$D$25&amp;"'!bespar_2023"),0)
+IFERROR(INDIRECT("'"&amp;$D$26&amp;"'!bespar_2023"),0)
+IFERROR(INDIRECT("'"&amp;$D$27&amp;"'!bespar_2023"),0)
+IFERROR(INDIRECT("'"&amp;$D$28&amp;"'!bespar_2023"),0)
+IFERROR(INDIRECT("'"&amp;$D$29&amp;"'!bespar_2023"),0)
+IFERROR(INDIRECT("'"&amp;$D$30&amp;"'!bespar_2023"),0)
+IFERROR(INDIRECT("'"&amp;$D$31&amp;"'!bespar_2023"),0)
+IFERROR(INDIRECT("'"&amp;$D$32&amp;"'!bespar_2023"),0)
+IFERROR(INDIRECT("'"&amp;$D$33&amp;"'!bespar_2023"),0)
+IFERROR(INDIRECT("'"&amp;$D$34&amp;"'!bespar_2023"),0)
+IFERROR(INDIRECT("'"&amp;$D$35&amp;"'!bespar_2023"),0)
+IFERROR(INDIRECT("'"&amp;$D$36&amp;"'!bespar_2023"),0)
+IFERROR(INDIRECT("'"&amp;$D$37&amp;"'!bespar_2023"),0)
+IFERROR(INDIRECT("'"&amp;$D$38&amp;"'!bespar_2023"),0)
+IFERROR(INDIRECT("'"&amp;$D$39&amp;"'!bespar_2023"),0)
+IFERROR(INDIRECT("'"&amp;$D$40&amp;"'!bespar_2023"),0)
+IFERROR(INDIRECT("'"&amp;$D$41&amp;"'!bespar_2023"),0)
+IFERROR(INDIRECT("'"&amp;$D$42&amp;"'!bespar_2023"),0)
+IFERROR(INDIRECT("'"&amp;$D$43&amp;"'!bespar_2023"),0)
+IFERROR(INDIRECT("'"&amp;$D$44&amp;"'!bespar_2023"),0)
+IFERROR(INDIRECT("'"&amp;$D$45&amp;"'!bespar_2023"),0)
+IFERROR(INDIRECT("'"&amp;$D$46&amp;"'!bespar_2023"),0)
+IFERROR(INDIRECT("'"&amp;$D$47&amp;"'!bespar_2023"),0)
+IFERROR(INDIRECT("'"&amp;$D$48&amp;"'!bespar_2023"),0)
+IFERROR(INDIRECT("'"&amp;$D$49&amp;"'!bespar_2023"),0)
+IFERROR(INDIRECT("'"&amp;$D$50&amp;"'!bespar_2023"),0)
+IFERROR(INDIRECT("'"&amp;$D$51&amp;"'!bespar_2023"),0)
+IFERROR(INDIRECT("'"&amp;$D$52&amp;"'!bespar_2023"),0)
+IFERROR(INDIRECT("'"&amp;$D$53&amp;"'!bespar_2023"),0)
+IFERROR(INDIRECT("'"&amp;$D$54&amp;"'!bespar_2023"),0)</f>
        <v>251761.64467720132</v>
      </c>
      <c r="N48" s="321">
        <f ca="1">+IFERROR(INDIRECT("'"&amp;$D$5&amp;"'!bespar_2024"),0)
+IFERROR(INDIRECT("'"&amp;$D$6&amp;"'!bespar_2024"),0)
+IFERROR(INDIRECT("'"&amp;$D$7&amp;"'!bespar_2024"),0)
+IFERROR(INDIRECT("'"&amp;$D$8&amp;"'!bespar_2024"),0)
+IFERROR(INDIRECT("'"&amp;$D$9&amp;"'!bespar_2024"),0)
+IFERROR(INDIRECT("'"&amp;$D$10&amp;"'!bespar_2024"),0)
+IFERROR(INDIRECT("'"&amp;$D$11&amp;"'!bespar_2024"),0)
+IFERROR(INDIRECT("'"&amp;$D$12&amp;"'!bespar_2024"),0)
+IFERROR(INDIRECT("'"&amp;$D$13&amp;"'!bespar_2024"),0)
+IFERROR(INDIRECT("'"&amp;$D$14&amp;"'!bespar_2024"),0)
+IFERROR(INDIRECT("'"&amp;$D$15&amp;"'!bespar_2024"),0)
+IFERROR(INDIRECT("'"&amp;$D$16&amp;"'!bespar_2024"),0)
+IFERROR(INDIRECT("'"&amp;$D$17&amp;"'!bespar_2024"),0)
+IFERROR(INDIRECT("'"&amp;$D$18&amp;"'!bespar_2024"),0)
+IFERROR(INDIRECT("'"&amp;$D$19&amp;"'!bespar_2024"),0)
+IFERROR(INDIRECT("'"&amp;$D$20&amp;"'!bespar_2024"),0)
+IFERROR(INDIRECT("'"&amp;$D$21&amp;"'!bespar_2024"),0)
+IFERROR(INDIRECT("'"&amp;$D$22&amp;"'!bespar_2024"),0)
+IFERROR(INDIRECT("'"&amp;$D$23&amp;"'!bespar_2024"),0)
+IFERROR(INDIRECT("'"&amp;$D$24&amp;"'!bespar_2024"),0)
+IFERROR(INDIRECT("'"&amp;$D$25&amp;"'!bespar_2024"),0)
+IFERROR(INDIRECT("'"&amp;$D$26&amp;"'!bespar_2024"),0)
+IFERROR(INDIRECT("'"&amp;$D$27&amp;"'!bespar_2024"),0)
+IFERROR(INDIRECT("'"&amp;$D$28&amp;"'!bespar_2024"),0)
+IFERROR(INDIRECT("'"&amp;$D$29&amp;"'!bespar_2024"),0)
+IFERROR(INDIRECT("'"&amp;$D$30&amp;"'!bespar_2024"),0)
+IFERROR(INDIRECT("'"&amp;$D$31&amp;"'!bespar_2024"),0)
+IFERROR(INDIRECT("'"&amp;$D$32&amp;"'!bespar_2024"),0)
+IFERROR(INDIRECT("'"&amp;$D$33&amp;"'!bespar_2024"),0)
+IFERROR(INDIRECT("'"&amp;$D$34&amp;"'!bespar_2024"),0)
+IFERROR(INDIRECT("'"&amp;$D$35&amp;"'!bespar_2024"),0)
+IFERROR(INDIRECT("'"&amp;$D$36&amp;"'!bespar_2024"),0)
+IFERROR(INDIRECT("'"&amp;$D$37&amp;"'!bespar_2024"),0)
+IFERROR(INDIRECT("'"&amp;$D$38&amp;"'!bespar_2024"),0)
+IFERROR(INDIRECT("'"&amp;$D$39&amp;"'!bespar_2024"),0)
+IFERROR(INDIRECT("'"&amp;$D$40&amp;"'!bespar_2024"),0)
+IFERROR(INDIRECT("'"&amp;$D$41&amp;"'!bespar_2024"),0)
+IFERROR(INDIRECT("'"&amp;$D$42&amp;"'!bespar_2024"),0)
+IFERROR(INDIRECT("'"&amp;$D$43&amp;"'!bespar_2024"),0)
+IFERROR(INDIRECT("'"&amp;$D$44&amp;"'!bespar_2024"),0)
+IFERROR(INDIRECT("'"&amp;$D$45&amp;"'!bespar_2024"),0)
+IFERROR(INDIRECT("'"&amp;$D$46&amp;"'!bespar_2024"),0)
+IFERROR(INDIRECT("'"&amp;$D$47&amp;"'!bespar_2024"),0)
+IFERROR(INDIRECT("'"&amp;$D$48&amp;"'!bespar_2024"),0)
+IFERROR(INDIRECT("'"&amp;$D$49&amp;"'!bespar_2024"),0)
+IFERROR(INDIRECT("'"&amp;$D$50&amp;"'!bespar_2024"),0)
+IFERROR(INDIRECT("'"&amp;$D$51&amp;"'!bespar_2024"),0)
+IFERROR(INDIRECT("'"&amp;$D$52&amp;"'!bespar_2024"),0)
+IFERROR(INDIRECT("'"&amp;$D$53&amp;"'!bespar_2024"),0)
+IFERROR(INDIRECT("'"&amp;$D$54&amp;"'!bespar_2024"),0)</f>
        <v>24145.995554707755</v>
      </c>
      <c r="O48" s="321">
        <f ca="1">+IFERROR(INDIRECT("'"&amp;$D$5&amp;"'!bespar_2025"),0)
+IFERROR(INDIRECT("'"&amp;$D$6&amp;"'!bespar_2025"),0)
+IFERROR(INDIRECT("'"&amp;$D$7&amp;"'!bespar_2025"),0)
+IFERROR(INDIRECT("'"&amp;$D$8&amp;"'!bespar_2025"),0)
+IFERROR(INDIRECT("'"&amp;$D$9&amp;"'!bespar_2025"),0)
+IFERROR(INDIRECT("'"&amp;$D$10&amp;"'!bespar_2025"),0)
+IFERROR(INDIRECT("'"&amp;$D$11&amp;"'!bespar_2025"),0)
+IFERROR(INDIRECT("'"&amp;$D$12&amp;"'!bespar_2025"),0)
+IFERROR(INDIRECT("'"&amp;$D$13&amp;"'!bespar_2025"),0)
+IFERROR(INDIRECT("'"&amp;$D$14&amp;"'!bespar_2025"),0)
+IFERROR(INDIRECT("'"&amp;$D$15&amp;"'!bespar_2025"),0)
+IFERROR(INDIRECT("'"&amp;$D$16&amp;"'!bespar_2025"),0)
+IFERROR(INDIRECT("'"&amp;$D$17&amp;"'!bespar_2025"),0)
+IFERROR(INDIRECT("'"&amp;$D$18&amp;"'!bespar_2025"),0)
+IFERROR(INDIRECT("'"&amp;$D$19&amp;"'!bespar_2025"),0)
+IFERROR(INDIRECT("'"&amp;$D$20&amp;"'!bespar_2025"),0)
+IFERROR(INDIRECT("'"&amp;$D$21&amp;"'!bespar_2025"),0)
+IFERROR(INDIRECT("'"&amp;$D$22&amp;"'!bespar_2025"),0)
+IFERROR(INDIRECT("'"&amp;$D$23&amp;"'!bespar_2025"),0)
+IFERROR(INDIRECT("'"&amp;$D$24&amp;"'!bespar_2025"),0)
+IFERROR(INDIRECT("'"&amp;$D$25&amp;"'!bespar_2025"),0)
+IFERROR(INDIRECT("'"&amp;$D$26&amp;"'!bespar_2025"),0)
+IFERROR(INDIRECT("'"&amp;$D$27&amp;"'!bespar_2025"),0)
+IFERROR(INDIRECT("'"&amp;$D$28&amp;"'!bespar_2025"),0)
+IFERROR(INDIRECT("'"&amp;$D$29&amp;"'!bespar_2025"),0)
+IFERROR(INDIRECT("'"&amp;$D$30&amp;"'!bespar_2025"),0)
+IFERROR(INDIRECT("'"&amp;$D$31&amp;"'!bespar_2025"),0)
+IFERROR(INDIRECT("'"&amp;$D$32&amp;"'!bespar_2025"),0)
+IFERROR(INDIRECT("'"&amp;$D$33&amp;"'!bespar_2025"),0)
+IFERROR(INDIRECT("'"&amp;$D$34&amp;"'!bespar_2025"),0)
+IFERROR(INDIRECT("'"&amp;$D$35&amp;"'!bespar_2025"),0)
+IFERROR(INDIRECT("'"&amp;$D$36&amp;"'!bespar_2025"),0)
+IFERROR(INDIRECT("'"&amp;$D$37&amp;"'!bespar_2025"),0)
+IFERROR(INDIRECT("'"&amp;$D$38&amp;"'!bespar_2025"),0)
+IFERROR(INDIRECT("'"&amp;$D$39&amp;"'!bespar_2025"),0)
+IFERROR(INDIRECT("'"&amp;$D$40&amp;"'!bespar_2025"),0)
+IFERROR(INDIRECT("'"&amp;$D$41&amp;"'!bespar_2025"),0)
+IFERROR(INDIRECT("'"&amp;$D$42&amp;"'!bespar_2025"),0)
+IFERROR(INDIRECT("'"&amp;$D$43&amp;"'!bespar_2025"),0)
+IFERROR(INDIRECT("'"&amp;$D$44&amp;"'!bespar_2025"),0)
+IFERROR(INDIRECT("'"&amp;$D$45&amp;"'!bespar_2025"),0)
+IFERROR(INDIRECT("'"&amp;$D$46&amp;"'!bespar_2025"),0)
+IFERROR(INDIRECT("'"&amp;$D$47&amp;"'!bespar_2025"),0)
+IFERROR(INDIRECT("'"&amp;$D$48&amp;"'!bespar_2025"),0)
+IFERROR(INDIRECT("'"&amp;$D$49&amp;"'!bespar_2025"),0)
+IFERROR(INDIRECT("'"&amp;$D$50&amp;"'!bespar_2025"),0)
+IFERROR(INDIRECT("'"&amp;$D$51&amp;"'!bespar_2025"),0)
+IFERROR(INDIRECT("'"&amp;$D$52&amp;"'!bespar_2025"),0)
+IFERROR(INDIRECT("'"&amp;$D$53&amp;"'!bespar_2025"),0)
+IFERROR(INDIRECT("'"&amp;$D$54&amp;"'!bespar_2025"),0)</f>
        <v>41887.978500780358</v>
      </c>
      <c r="P48" s="321">
        <f ca="1">+IFERROR(INDIRECT("'"&amp;$D$5&amp;"'!bespar_2026"),0)
+IFERROR(INDIRECT("'"&amp;$D$6&amp;"'!bespar_2026"),0)
+IFERROR(INDIRECT("'"&amp;$D$7&amp;"'!bespar_2026"),0)
+IFERROR(INDIRECT("'"&amp;$D$8&amp;"'!bespar_2026"),0)
+IFERROR(INDIRECT("'"&amp;$D$9&amp;"'!bespar_2026"),0)
+IFERROR(INDIRECT("'"&amp;$D$10&amp;"'!bespar_2026"),0)
+IFERROR(INDIRECT("'"&amp;$D$11&amp;"'!bespar_2026"),0)
+IFERROR(INDIRECT("'"&amp;$D$12&amp;"'!bespar_2026"),0)
+IFERROR(INDIRECT("'"&amp;$D$13&amp;"'!bespar_2026"),0)
+IFERROR(INDIRECT("'"&amp;$D$14&amp;"'!bespar_2026"),0)
+IFERROR(INDIRECT("'"&amp;$D$15&amp;"'!bespar_2026"),0)
+IFERROR(INDIRECT("'"&amp;$D$16&amp;"'!bespar_2026"),0)
+IFERROR(INDIRECT("'"&amp;$D$17&amp;"'!bespar_2026"),0)
+IFERROR(INDIRECT("'"&amp;$D$18&amp;"'!bespar_2026"),0)
+IFERROR(INDIRECT("'"&amp;$D$19&amp;"'!bespar_2026"),0)
+IFERROR(INDIRECT("'"&amp;$D$20&amp;"'!bespar_2026"),0)
+IFERROR(INDIRECT("'"&amp;$D$21&amp;"'!bespar_2026"),0)
+IFERROR(INDIRECT("'"&amp;$D$22&amp;"'!bespar_2026"),0)
+IFERROR(INDIRECT("'"&amp;$D$23&amp;"'!bespar_2026"),0)
+IFERROR(INDIRECT("'"&amp;$D$24&amp;"'!bespar_2026"),0)
+IFERROR(INDIRECT("'"&amp;$D$25&amp;"'!bespar_2026"),0)
+IFERROR(INDIRECT("'"&amp;$D$26&amp;"'!bespar_2026"),0)
+IFERROR(INDIRECT("'"&amp;$D$27&amp;"'!bespar_2026"),0)
+IFERROR(INDIRECT("'"&amp;$D$28&amp;"'!bespar_2026"),0)
+IFERROR(INDIRECT("'"&amp;$D$29&amp;"'!bespar_2026"),0)
+IFERROR(INDIRECT("'"&amp;$D$30&amp;"'!bespar_2026"),0)
+IFERROR(INDIRECT("'"&amp;$D$31&amp;"'!bespar_2026"),0)
+IFERROR(INDIRECT("'"&amp;$D$32&amp;"'!bespar_2026"),0)
+IFERROR(INDIRECT("'"&amp;$D$33&amp;"'!bespar_2026"),0)
+IFERROR(INDIRECT("'"&amp;$D$34&amp;"'!bespar_2026"),0)
+IFERROR(INDIRECT("'"&amp;$D$35&amp;"'!bespar_2026"),0)
+IFERROR(INDIRECT("'"&amp;$D$36&amp;"'!bespar_2026"),0)
+IFERROR(INDIRECT("'"&amp;$D$37&amp;"'!bespar_2026"),0)
+IFERROR(INDIRECT("'"&amp;$D$38&amp;"'!bespar_2026"),0)
+IFERROR(INDIRECT("'"&amp;$D$39&amp;"'!bespar_2026"),0)
+IFERROR(INDIRECT("'"&amp;$D$40&amp;"'!bespar_2026"),0)
+IFERROR(INDIRECT("'"&amp;$D$41&amp;"'!bespar_2026"),0)
+IFERROR(INDIRECT("'"&amp;$D$42&amp;"'!bespar_2026"),0)
+IFERROR(INDIRECT("'"&amp;$D$43&amp;"'!bespar_2026"),0)
+IFERROR(INDIRECT("'"&amp;$D$44&amp;"'!bespar_2026"),0)
+IFERROR(INDIRECT("'"&amp;$D$45&amp;"'!bespar_2026"),0)
+IFERROR(INDIRECT("'"&amp;$D$46&amp;"'!bespar_2026"),0)
+IFERROR(INDIRECT("'"&amp;$D$47&amp;"'!bespar_2026"),0)
+IFERROR(INDIRECT("'"&amp;$D$48&amp;"'!bespar_2026"),0)
+IFERROR(INDIRECT("'"&amp;$D$49&amp;"'!bespar_2026"),0)
+IFERROR(INDIRECT("'"&amp;$D$50&amp;"'!bespar_2026"),0)
+IFERROR(INDIRECT("'"&amp;$D$51&amp;"'!bespar_2026"),0)
+IFERROR(INDIRECT("'"&amp;$D$52&amp;"'!bespar_2026"),0)
+IFERROR(INDIRECT("'"&amp;$D$53&amp;"'!bespar_2026"),0)
+IFERROR(INDIRECT("'"&amp;$D$54&amp;"'!bespar_2026"),0)</f>
        <v>6081.4419107803569</v>
      </c>
      <c r="Q48" s="321">
        <f ca="1">+IFERROR(INDIRECT("'"&amp;$D$5&amp;"'!bespar_2027"),0)
+IFERROR(INDIRECT("'"&amp;$D$6&amp;"'!bespar_2027"),0)
+IFERROR(INDIRECT("'"&amp;$D$7&amp;"'!bespar_2027"),0)
+IFERROR(INDIRECT("'"&amp;$D$8&amp;"'!bespar_2027"),0)
+IFERROR(INDIRECT("'"&amp;$D$9&amp;"'!bespar_2027"),0)
+IFERROR(INDIRECT("'"&amp;$D$10&amp;"'!bespar_2027"),0)
+IFERROR(INDIRECT("'"&amp;$D$11&amp;"'!bespar_2027"),0)
+IFERROR(INDIRECT("'"&amp;$D$12&amp;"'!bespar_2027"),0)
+IFERROR(INDIRECT("'"&amp;$D$13&amp;"'!bespar_2027"),0)
+IFERROR(INDIRECT("'"&amp;$D$14&amp;"'!bespar_2027"),0)
+IFERROR(INDIRECT("'"&amp;$D$15&amp;"'!bespar_2027"),0)
+IFERROR(INDIRECT("'"&amp;$D$16&amp;"'!bespar_2027"),0)
+IFERROR(INDIRECT("'"&amp;$D$17&amp;"'!bespar_2027"),0)
+IFERROR(INDIRECT("'"&amp;$D$18&amp;"'!bespar_2027"),0)
+IFERROR(INDIRECT("'"&amp;$D$19&amp;"'!bespar_2027"),0)
+IFERROR(INDIRECT("'"&amp;$D$20&amp;"'!bespar_2027"),0)
+IFERROR(INDIRECT("'"&amp;$D$21&amp;"'!bespar_2027"),0)
+IFERROR(INDIRECT("'"&amp;$D$22&amp;"'!bespar_2027"),0)
+IFERROR(INDIRECT("'"&amp;$D$23&amp;"'!bespar_2027"),0)
+IFERROR(INDIRECT("'"&amp;$D$24&amp;"'!bespar_2027"),0)
+IFERROR(INDIRECT("'"&amp;$D$25&amp;"'!bespar_2027"),0)
+IFERROR(INDIRECT("'"&amp;$D$26&amp;"'!bespar_2027"),0)
+IFERROR(INDIRECT("'"&amp;$D$27&amp;"'!bespar_2027"),0)
+IFERROR(INDIRECT("'"&amp;$D$28&amp;"'!bespar_2027"),0)
+IFERROR(INDIRECT("'"&amp;$D$29&amp;"'!bespar_2027"),0)
+IFERROR(INDIRECT("'"&amp;$D$30&amp;"'!bespar_2027"),0)
+IFERROR(INDIRECT("'"&amp;$D$31&amp;"'!bespar_2027"),0)
+IFERROR(INDIRECT("'"&amp;$D$32&amp;"'!bespar_2027"),0)
+IFERROR(INDIRECT("'"&amp;$D$33&amp;"'!bespar_2027"),0)
+IFERROR(INDIRECT("'"&amp;$D$34&amp;"'!bespar_2027"),0)
+IFERROR(INDIRECT("'"&amp;$D$35&amp;"'!bespar_2027"),0)
+IFERROR(INDIRECT("'"&amp;$D$36&amp;"'!bespar_2027"),0)
+IFERROR(INDIRECT("'"&amp;$D$37&amp;"'!bespar_2027"),0)
+IFERROR(INDIRECT("'"&amp;$D$38&amp;"'!bespar_2027"),0)
+IFERROR(INDIRECT("'"&amp;$D$39&amp;"'!bespar_2027"),0)
+IFERROR(INDIRECT("'"&amp;$D$40&amp;"'!bespar_2027"),0)
+IFERROR(INDIRECT("'"&amp;$D$41&amp;"'!bespar_2027"),0)
+IFERROR(INDIRECT("'"&amp;$D$42&amp;"'!bespar_2027"),0)
+IFERROR(INDIRECT("'"&amp;$D$43&amp;"'!bespar_2027"),0)
+IFERROR(INDIRECT("'"&amp;$D$44&amp;"'!bespar_2027"),0)
+IFERROR(INDIRECT("'"&amp;$D$45&amp;"'!bespar_2027"),0)
+IFERROR(INDIRECT("'"&amp;$D$46&amp;"'!bespar_2027"),0)
+IFERROR(INDIRECT("'"&amp;$D$47&amp;"'!bespar_2027"),0)
+IFERROR(INDIRECT("'"&amp;$D$48&amp;"'!bespar_2027"),0)
+IFERROR(INDIRECT("'"&amp;$D$49&amp;"'!bespar_2027"),0)
+IFERROR(INDIRECT("'"&amp;$D$50&amp;"'!bespar_2027"),0)
+IFERROR(INDIRECT("'"&amp;$D$51&amp;"'!bespar_2027"),0)
+IFERROR(INDIRECT("'"&amp;$D$52&amp;"'!bespar_2027"),0)
+IFERROR(INDIRECT("'"&amp;$D$53&amp;"'!bespar_2027"),0)
+IFERROR(INDIRECT("'"&amp;$D$54&amp;"'!bespar_2027"),0)</f>
        <v>5373.0595371026429</v>
      </c>
      <c r="R48" s="321">
        <f ca="1">+IFERROR(INDIRECT("'"&amp;$D$5&amp;"'!bespar_2028"),0)
+IFERROR(INDIRECT("'"&amp;$D$6&amp;"'!bespar_2028"),0)
+IFERROR(INDIRECT("'"&amp;$D$7&amp;"'!bespar_2028"),0)
+IFERROR(INDIRECT("'"&amp;$D$8&amp;"'!bespar_2028"),0)
+IFERROR(INDIRECT("'"&amp;$D$9&amp;"'!bespar_2028"),0)
+IFERROR(INDIRECT("'"&amp;$D$10&amp;"'!bespar_2028"),0)
+IFERROR(INDIRECT("'"&amp;$D$11&amp;"'!bespar_2028"),0)
+IFERROR(INDIRECT("'"&amp;$D$12&amp;"'!bespar_2028"),0)
+IFERROR(INDIRECT("'"&amp;$D$13&amp;"'!bespar_2028"),0)
+IFERROR(INDIRECT("'"&amp;$D$14&amp;"'!bespar_2028"),0)
+IFERROR(INDIRECT("'"&amp;$D$15&amp;"'!bespar_2028"),0)
+IFERROR(INDIRECT("'"&amp;$D$16&amp;"'!bespar_2028"),0)
+IFERROR(INDIRECT("'"&amp;$D$17&amp;"'!bespar_2028"),0)
+IFERROR(INDIRECT("'"&amp;$D$18&amp;"'!bespar_2028"),0)
+IFERROR(INDIRECT("'"&amp;$D$19&amp;"'!bespar_2028"),0)
+IFERROR(INDIRECT("'"&amp;$D$20&amp;"'!bespar_2028"),0)
+IFERROR(INDIRECT("'"&amp;$D$21&amp;"'!bespar_2028"),0)
+IFERROR(INDIRECT("'"&amp;$D$22&amp;"'!bespar_2028"),0)
+IFERROR(INDIRECT("'"&amp;$D$23&amp;"'!bespar_2028"),0)
+IFERROR(INDIRECT("'"&amp;$D$24&amp;"'!bespar_2028"),0)
+IFERROR(INDIRECT("'"&amp;$D$25&amp;"'!bespar_2028"),0)
+IFERROR(INDIRECT("'"&amp;$D$26&amp;"'!bespar_2028"),0)
+IFERROR(INDIRECT("'"&amp;$D$27&amp;"'!bespar_2028"),0)
+IFERROR(INDIRECT("'"&amp;$D$28&amp;"'!bespar_2028"),0)
+IFERROR(INDIRECT("'"&amp;$D$29&amp;"'!bespar_2028"),0)
+IFERROR(INDIRECT("'"&amp;$D$30&amp;"'!bespar_2028"),0)
+IFERROR(INDIRECT("'"&amp;$D$31&amp;"'!bespar_2028"),0)
+IFERROR(INDIRECT("'"&amp;$D$32&amp;"'!bespar_2028"),0)
+IFERROR(INDIRECT("'"&amp;$D$33&amp;"'!bespar_2028"),0)
+IFERROR(INDIRECT("'"&amp;$D$34&amp;"'!bespar_2028"),0)
+IFERROR(INDIRECT("'"&amp;$D$35&amp;"'!bespar_2028"),0)
+IFERROR(INDIRECT("'"&amp;$D$36&amp;"'!bespar_2028"),0)
+IFERROR(INDIRECT("'"&amp;$D$37&amp;"'!bespar_2028"),0)
+IFERROR(INDIRECT("'"&amp;$D$38&amp;"'!bespar_2028"),0)
+IFERROR(INDIRECT("'"&amp;$D$39&amp;"'!bespar_2028"),0)
+IFERROR(INDIRECT("'"&amp;$D$40&amp;"'!bespar_2028"),0)
+IFERROR(INDIRECT("'"&amp;$D$41&amp;"'!bespar_2028"),0)
+IFERROR(INDIRECT("'"&amp;$D$42&amp;"'!bespar_2028"),0)
+IFERROR(INDIRECT("'"&amp;$D$43&amp;"'!bespar_2028"),0)
+IFERROR(INDIRECT("'"&amp;$D$44&amp;"'!bespar_2028"),0)
+IFERROR(INDIRECT("'"&amp;$D$45&amp;"'!bespar_2028"),0)
+IFERROR(INDIRECT("'"&amp;$D$46&amp;"'!bespar_2028"),0)
+IFERROR(INDIRECT("'"&amp;$D$47&amp;"'!bespar_2028"),0)
+IFERROR(INDIRECT("'"&amp;$D$48&amp;"'!bespar_2028"),0)
+IFERROR(INDIRECT("'"&amp;$D$49&amp;"'!bespar_2028"),0)
+IFERROR(INDIRECT("'"&amp;$D$50&amp;"'!bespar_2028"),0)
+IFERROR(INDIRECT("'"&amp;$D$51&amp;"'!bespar_2028"),0)
+IFERROR(INDIRECT("'"&amp;$D$52&amp;"'!bespar_2028"),0)
+IFERROR(INDIRECT("'"&amp;$D$53&amp;"'!bespar_2028"),0)
+IFERROR(INDIRECT("'"&amp;$D$54&amp;"'!bespar_2028"),0)</f>
        <v>2580.7744226544287</v>
      </c>
      <c r="S48" s="321">
        <f ca="1">+IFERROR(INDIRECT("'"&amp;$D$5&amp;"'!bespar_2029"),0)
+IFERROR(INDIRECT("'"&amp;$D$6&amp;"'!bespar_2029"),0)
+IFERROR(INDIRECT("'"&amp;$D$7&amp;"'!bespar_2029"),0)
+IFERROR(INDIRECT("'"&amp;$D$8&amp;"'!bespar_2029"),0)
+IFERROR(INDIRECT("'"&amp;$D$9&amp;"'!bespar_2029"),0)
+IFERROR(INDIRECT("'"&amp;$D$10&amp;"'!bespar_2029"),0)
+IFERROR(INDIRECT("'"&amp;$D$11&amp;"'!bespar_2029"),0)
+IFERROR(INDIRECT("'"&amp;$D$12&amp;"'!bespar_2029"),0)
+IFERROR(INDIRECT("'"&amp;$D$13&amp;"'!bespar_2029"),0)
+IFERROR(INDIRECT("'"&amp;$D$14&amp;"'!bespar_2029"),0)
+IFERROR(INDIRECT("'"&amp;$D$15&amp;"'!bespar_2029"),0)
+IFERROR(INDIRECT("'"&amp;$D$16&amp;"'!bespar_2029"),0)
+IFERROR(INDIRECT("'"&amp;$D$17&amp;"'!bespar_2029"),0)
+IFERROR(INDIRECT("'"&amp;$D$18&amp;"'!bespar_2029"),0)
+IFERROR(INDIRECT("'"&amp;$D$19&amp;"'!bespar_2029"),0)
+IFERROR(INDIRECT("'"&amp;$D$20&amp;"'!bespar_2029"),0)
+IFERROR(INDIRECT("'"&amp;$D$21&amp;"'!bespar_2029"),0)
+IFERROR(INDIRECT("'"&amp;$D$22&amp;"'!bespar_2029"),0)
+IFERROR(INDIRECT("'"&amp;$D$23&amp;"'!bespar_2029"),0)
+IFERROR(INDIRECT("'"&amp;$D$24&amp;"'!bespar_2029"),0)
+IFERROR(INDIRECT("'"&amp;$D$25&amp;"'!bespar_2029"),0)
+IFERROR(INDIRECT("'"&amp;$D$26&amp;"'!bespar_2029"),0)
+IFERROR(INDIRECT("'"&amp;$D$27&amp;"'!bespar_2029"),0)
+IFERROR(INDIRECT("'"&amp;$D$28&amp;"'!bespar_2029"),0)
+IFERROR(INDIRECT("'"&amp;$D$29&amp;"'!bespar_2029"),0)
+IFERROR(INDIRECT("'"&amp;$D$30&amp;"'!bespar_2029"),0)
+IFERROR(INDIRECT("'"&amp;$D$31&amp;"'!bespar_2029"),0)
+IFERROR(INDIRECT("'"&amp;$D$32&amp;"'!bespar_2029"),0)
+IFERROR(INDIRECT("'"&amp;$D$33&amp;"'!bespar_2029"),0)
+IFERROR(INDIRECT("'"&amp;$D$34&amp;"'!bespar_2029"),0)
+IFERROR(INDIRECT("'"&amp;$D$35&amp;"'!bespar_2029"),0)
+IFERROR(INDIRECT("'"&amp;$D$36&amp;"'!bespar_2029"),0)
+IFERROR(INDIRECT("'"&amp;$D$37&amp;"'!bespar_2029"),0)
+IFERROR(INDIRECT("'"&amp;$D$38&amp;"'!bespar_2029"),0)
+IFERROR(INDIRECT("'"&amp;$D$39&amp;"'!bespar_2029"),0)
+IFERROR(INDIRECT("'"&amp;$D$40&amp;"'!bespar_2029"),0)
+IFERROR(INDIRECT("'"&amp;$D$41&amp;"'!bespar_2029"),0)
+IFERROR(INDIRECT("'"&amp;$D$42&amp;"'!bespar_2029"),0)
+IFERROR(INDIRECT("'"&amp;$D$43&amp;"'!bespar_2029"),0)
+IFERROR(INDIRECT("'"&amp;$D$44&amp;"'!bespar_2029"),0)
+IFERROR(INDIRECT("'"&amp;$D$45&amp;"'!bespar_2029"),0)
+IFERROR(INDIRECT("'"&amp;$D$46&amp;"'!bespar_2029"),0)
+IFERROR(INDIRECT("'"&amp;$D$47&amp;"'!bespar_2029"),0)
+IFERROR(INDIRECT("'"&amp;$D$48&amp;"'!bespar_2029"),0)
+IFERROR(INDIRECT("'"&amp;$D$49&amp;"'!bespar_2029"),0)
+IFERROR(INDIRECT("'"&amp;$D$50&amp;"'!bespar_2029"),0)
+IFERROR(INDIRECT("'"&amp;$D$51&amp;"'!bespar_2029"),0)
+IFERROR(INDIRECT("'"&amp;$D$52&amp;"'!bespar_2029"),0)
+IFERROR(INDIRECT("'"&amp;$D$53&amp;"'!bespar_2029"),0)
+IFERROR(INDIRECT("'"&amp;$D$54&amp;"'!bespar_2029"),0)</f>
        <v>2580.7744226544287</v>
      </c>
      <c r="T48" s="321">
        <f ca="1">+IFERROR(INDIRECT("'"&amp;$D$5&amp;"'!bespar_2030"),0)
+IFERROR(INDIRECT("'"&amp;$D$6&amp;"'!bespar_2030"),0)
+IFERROR(INDIRECT("'"&amp;$D$7&amp;"'!bespar_2030"),0)
+IFERROR(INDIRECT("'"&amp;$D$8&amp;"'!bespar_2030"),0)
+IFERROR(INDIRECT("'"&amp;$D$9&amp;"'!bespar_2030"),0)
+IFERROR(INDIRECT("'"&amp;$D$10&amp;"'!bespar_2030"),0)
+IFERROR(INDIRECT("'"&amp;$D$11&amp;"'!bespar_2030"),0)
+IFERROR(INDIRECT("'"&amp;$D$12&amp;"'!bespar_2030"),0)
+IFERROR(INDIRECT("'"&amp;$D$13&amp;"'!bespar_2030"),0)
+IFERROR(INDIRECT("'"&amp;$D$14&amp;"'!bespar_2030"),0)
+IFERROR(INDIRECT("'"&amp;$D$15&amp;"'!bespar_2030"),0)
+IFERROR(INDIRECT("'"&amp;$D$16&amp;"'!bespar_2030"),0)
+IFERROR(INDIRECT("'"&amp;$D$17&amp;"'!bespar_2030"),0)
+IFERROR(INDIRECT("'"&amp;$D$18&amp;"'!bespar_2030"),0)
+IFERROR(INDIRECT("'"&amp;$D$19&amp;"'!bespar_2030"),0)
+IFERROR(INDIRECT("'"&amp;$D$20&amp;"'!bespar_2030"),0)
+IFERROR(INDIRECT("'"&amp;$D$21&amp;"'!bespar_2030"),0)
+IFERROR(INDIRECT("'"&amp;$D$22&amp;"'!bespar_2030"),0)
+IFERROR(INDIRECT("'"&amp;$D$23&amp;"'!bespar_2030"),0)
+IFERROR(INDIRECT("'"&amp;$D$24&amp;"'!bespar_2030"),0)
+IFERROR(INDIRECT("'"&amp;$D$25&amp;"'!bespar_2030"),0)
+IFERROR(INDIRECT("'"&amp;$D$26&amp;"'!bespar_2030"),0)
+IFERROR(INDIRECT("'"&amp;$D$27&amp;"'!bespar_2030"),0)
+IFERROR(INDIRECT("'"&amp;$D$28&amp;"'!bespar_2030"),0)
+IFERROR(INDIRECT("'"&amp;$D$29&amp;"'!bespar_2030"),0)
+IFERROR(INDIRECT("'"&amp;$D$30&amp;"'!bespar_2030"),0)
+IFERROR(INDIRECT("'"&amp;$D$31&amp;"'!bespar_2030"),0)
+IFERROR(INDIRECT("'"&amp;$D$32&amp;"'!bespar_2030"),0)
+IFERROR(INDIRECT("'"&amp;$D$33&amp;"'!bespar_2030"),0)
+IFERROR(INDIRECT("'"&amp;$D$34&amp;"'!bespar_2030"),0)
+IFERROR(INDIRECT("'"&amp;$D$35&amp;"'!bespar_2030"),0)
+IFERROR(INDIRECT("'"&amp;$D$36&amp;"'!bespar_2030"),0)
+IFERROR(INDIRECT("'"&amp;$D$37&amp;"'!bespar_2030"),0)
+IFERROR(INDIRECT("'"&amp;$D$38&amp;"'!bespar_2030"),0)
+IFERROR(INDIRECT("'"&amp;$D$39&amp;"'!bespar_2030"),0)
+IFERROR(INDIRECT("'"&amp;$D$40&amp;"'!bespar_2030"),0)
+IFERROR(INDIRECT("'"&amp;$D$41&amp;"'!bespar_2030"),0)
+IFERROR(INDIRECT("'"&amp;$D$42&amp;"'!bespar_2030"),0)
+IFERROR(INDIRECT("'"&amp;$D$43&amp;"'!bespar_2030"),0)
+IFERROR(INDIRECT("'"&amp;$D$44&amp;"'!bespar_2030"),0)
+IFERROR(INDIRECT("'"&amp;$D$45&amp;"'!bespar_2030"),0)
+IFERROR(INDIRECT("'"&amp;$D$46&amp;"'!bespar_2030"),0)
+IFERROR(INDIRECT("'"&amp;$D$47&amp;"'!bespar_2030"),0)
+IFERROR(INDIRECT("'"&amp;$D$48&amp;"'!bespar_2030"),0)
+IFERROR(INDIRECT("'"&amp;$D$49&amp;"'!bespar_2030"),0)
+IFERROR(INDIRECT("'"&amp;$D$50&amp;"'!bespar_2030"),0)
+IFERROR(INDIRECT("'"&amp;$D$51&amp;"'!bespar_2030"),0)
+IFERROR(INDIRECT("'"&amp;$D$52&amp;"'!bespar_2030"),0)
+IFERROR(INDIRECT("'"&amp;$D$53&amp;"'!bespar_2030"),0)
+IFERROR(INDIRECT("'"&amp;$D$54&amp;"'!bespar_2030"),0)</f>
        <v>2580.7744226544287</v>
      </c>
      <c r="U48" s="321">
        <f ca="1">+IFERROR(INDIRECT("'"&amp;$D$5&amp;"'!bespar_2031"),0)
+IFERROR(INDIRECT("'"&amp;$D$6&amp;"'!bespar_2031"),0)
+IFERROR(INDIRECT("'"&amp;$D$7&amp;"'!bespar_2031"),0)
+IFERROR(INDIRECT("'"&amp;$D$8&amp;"'!bespar_2031"),0)
+IFERROR(INDIRECT("'"&amp;$D$9&amp;"'!bespar_2031"),0)
+IFERROR(INDIRECT("'"&amp;$D$10&amp;"'!bespar_2031"),0)
+IFERROR(INDIRECT("'"&amp;$D$11&amp;"'!bespar_2031"),0)
+IFERROR(INDIRECT("'"&amp;$D$12&amp;"'!bespar_2031"),0)
+IFERROR(INDIRECT("'"&amp;$D$13&amp;"'!bespar_2031"),0)
+IFERROR(INDIRECT("'"&amp;$D$14&amp;"'!bespar_2031"),0)
+IFERROR(INDIRECT("'"&amp;$D$15&amp;"'!bespar_2031"),0)
+IFERROR(INDIRECT("'"&amp;$D$16&amp;"'!bespar_2031"),0)
+IFERROR(INDIRECT("'"&amp;$D$17&amp;"'!bespar_2031"),0)
+IFERROR(INDIRECT("'"&amp;$D$18&amp;"'!bespar_2031"),0)
+IFERROR(INDIRECT("'"&amp;$D$19&amp;"'!bespar_2031"),0)
+IFERROR(INDIRECT("'"&amp;$D$20&amp;"'!bespar_2031"),0)
+IFERROR(INDIRECT("'"&amp;$D$21&amp;"'!bespar_2031"),0)
+IFERROR(INDIRECT("'"&amp;$D$22&amp;"'!bespar_2031"),0)
+IFERROR(INDIRECT("'"&amp;$D$23&amp;"'!bespar_2031"),0)
+IFERROR(INDIRECT("'"&amp;$D$24&amp;"'!bespar_2031"),0)
+IFERROR(INDIRECT("'"&amp;$D$25&amp;"'!bespar_2031"),0)
+IFERROR(INDIRECT("'"&amp;$D$26&amp;"'!bespar_2031"),0)
+IFERROR(INDIRECT("'"&amp;$D$27&amp;"'!bespar_2031"),0)
+IFERROR(INDIRECT("'"&amp;$D$28&amp;"'!bespar_2031"),0)
+IFERROR(INDIRECT("'"&amp;$D$29&amp;"'!bespar_2031"),0)
+IFERROR(INDIRECT("'"&amp;$D$30&amp;"'!bespar_2031"),0)
+IFERROR(INDIRECT("'"&amp;$D$31&amp;"'!bespar_2031"),0)
+IFERROR(INDIRECT("'"&amp;$D$32&amp;"'!bespar_2031"),0)
+IFERROR(INDIRECT("'"&amp;$D$33&amp;"'!bespar_2031"),0)
+IFERROR(INDIRECT("'"&amp;$D$34&amp;"'!bespar_2031"),0)
+IFERROR(INDIRECT("'"&amp;$D$35&amp;"'!bespar_2031"),0)
+IFERROR(INDIRECT("'"&amp;$D$36&amp;"'!bespar_2031"),0)
+IFERROR(INDIRECT("'"&amp;$D$37&amp;"'!bespar_2031"),0)
+IFERROR(INDIRECT("'"&amp;$D$38&amp;"'!bespar_2031"),0)
+IFERROR(INDIRECT("'"&amp;$D$39&amp;"'!bespar_2031"),0)
+IFERROR(INDIRECT("'"&amp;$D$40&amp;"'!bespar_2031"),0)
+IFERROR(INDIRECT("'"&amp;$D$41&amp;"'!bespar_2031"),0)
+IFERROR(INDIRECT("'"&amp;$D$42&amp;"'!bespar_2031"),0)
+IFERROR(INDIRECT("'"&amp;$D$43&amp;"'!bespar_2031"),0)
+IFERROR(INDIRECT("'"&amp;$D$44&amp;"'!bespar_2031"),0)
+IFERROR(INDIRECT("'"&amp;$D$45&amp;"'!bespar_2031"),0)
+IFERROR(INDIRECT("'"&amp;$D$46&amp;"'!bespar_2031"),0)
+IFERROR(INDIRECT("'"&amp;$D$47&amp;"'!bespar_2031"),0)
+IFERROR(INDIRECT("'"&amp;$D$48&amp;"'!bespar_2031"),0)
+IFERROR(INDIRECT("'"&amp;$D$49&amp;"'!bespar_2031"),0)
+IFERROR(INDIRECT("'"&amp;$D$50&amp;"'!bespar_2031"),0)
+IFERROR(INDIRECT("'"&amp;$D$51&amp;"'!bespar_2031"),0)
+IFERROR(INDIRECT("'"&amp;$D$52&amp;"'!bespar_2031"),0)
+IFERROR(INDIRECT("'"&amp;$D$53&amp;"'!bespar_2031"),0)
+IFERROR(INDIRECT("'"&amp;$D$54&amp;"'!bespar_2031"),0)</f>
        <v>2580.7744226544287</v>
      </c>
      <c r="V48" s="321">
        <f ca="1">+IFERROR(INDIRECT("'"&amp;$D$5&amp;"'!bespar_2032"),0)
+IFERROR(INDIRECT("'"&amp;$D$6&amp;"'!bespar_2032"),0)
+IFERROR(INDIRECT("'"&amp;$D$7&amp;"'!bespar_2032"),0)
+IFERROR(INDIRECT("'"&amp;$D$8&amp;"'!bespar_2032"),0)
+IFERROR(INDIRECT("'"&amp;$D$9&amp;"'!bespar_2032"),0)
+IFERROR(INDIRECT("'"&amp;$D$10&amp;"'!bespar_2032"),0)
+IFERROR(INDIRECT("'"&amp;$D$11&amp;"'!bespar_2032"),0)
+IFERROR(INDIRECT("'"&amp;$D$12&amp;"'!bespar_2032"),0)
+IFERROR(INDIRECT("'"&amp;$D$13&amp;"'!bespar_2032"),0)
+IFERROR(INDIRECT("'"&amp;$D$14&amp;"'!bespar_2032"),0)
+IFERROR(INDIRECT("'"&amp;$D$15&amp;"'!bespar_2032"),0)
+IFERROR(INDIRECT("'"&amp;$D$16&amp;"'!bespar_2032"),0)
+IFERROR(INDIRECT("'"&amp;$D$17&amp;"'!bespar_2032"),0)
+IFERROR(INDIRECT("'"&amp;$D$18&amp;"'!bespar_2032"),0)
+IFERROR(INDIRECT("'"&amp;$D$19&amp;"'!bespar_2032"),0)
+IFERROR(INDIRECT("'"&amp;$D$20&amp;"'!bespar_2032"),0)
+IFERROR(INDIRECT("'"&amp;$D$21&amp;"'!bespar_2032"),0)
+IFERROR(INDIRECT("'"&amp;$D$22&amp;"'!bespar_2032"),0)
+IFERROR(INDIRECT("'"&amp;$D$23&amp;"'!bespar_2032"),0)
+IFERROR(INDIRECT("'"&amp;$D$24&amp;"'!bespar_2032"),0)
+IFERROR(INDIRECT("'"&amp;$D$25&amp;"'!bespar_2032"),0)
+IFERROR(INDIRECT("'"&amp;$D$26&amp;"'!bespar_2032"),0)
+IFERROR(INDIRECT("'"&amp;$D$27&amp;"'!bespar_2032"),0)
+IFERROR(INDIRECT("'"&amp;$D$28&amp;"'!bespar_2032"),0)
+IFERROR(INDIRECT("'"&amp;$D$29&amp;"'!bespar_2032"),0)
+IFERROR(INDIRECT("'"&amp;$D$30&amp;"'!bespar_2032"),0)
+IFERROR(INDIRECT("'"&amp;$D$31&amp;"'!bespar_2032"),0)
+IFERROR(INDIRECT("'"&amp;$D$32&amp;"'!bespar_2032"),0)
+IFERROR(INDIRECT("'"&amp;$D$33&amp;"'!bespar_2032"),0)
+IFERROR(INDIRECT("'"&amp;$D$34&amp;"'!bespar_2032"),0)
+IFERROR(INDIRECT("'"&amp;$D$35&amp;"'!bespar_2032"),0)
+IFERROR(INDIRECT("'"&amp;$D$36&amp;"'!bespar_2032"),0)
+IFERROR(INDIRECT("'"&amp;$D$37&amp;"'!bespar_2032"),0)
+IFERROR(INDIRECT("'"&amp;$D$38&amp;"'!bespar_2032"),0)
+IFERROR(INDIRECT("'"&amp;$D$39&amp;"'!bespar_2032"),0)
+IFERROR(INDIRECT("'"&amp;$D$40&amp;"'!bespar_2032"),0)
+IFERROR(INDIRECT("'"&amp;$D$41&amp;"'!bespar_2032"),0)
+IFERROR(INDIRECT("'"&amp;$D$42&amp;"'!bespar_2032"),0)
+IFERROR(INDIRECT("'"&amp;$D$43&amp;"'!bespar_2032"),0)
+IFERROR(INDIRECT("'"&amp;$D$44&amp;"'!bespar_2032"),0)
+IFERROR(INDIRECT("'"&amp;$D$45&amp;"'!bespar_2032"),0)
+IFERROR(INDIRECT("'"&amp;$D$46&amp;"'!bespar_2032"),0)
+IFERROR(INDIRECT("'"&amp;$D$47&amp;"'!bespar_2032"),0)
+IFERROR(INDIRECT("'"&amp;$D$48&amp;"'!bespar_2032"),0)
+IFERROR(INDIRECT("'"&amp;$D$49&amp;"'!bespar_2032"),0)
+IFERROR(INDIRECT("'"&amp;$D$50&amp;"'!bespar_2032"),0)
+IFERROR(INDIRECT("'"&amp;$D$51&amp;"'!bespar_2032"),0)
+IFERROR(INDIRECT("'"&amp;$D$52&amp;"'!bespar_2032"),0)
+IFERROR(INDIRECT("'"&amp;$D$53&amp;"'!bespar_2032"),0)
+IFERROR(INDIRECT("'"&amp;$D$54&amp;"'!bespar_2032"),0)</f>
        <v>0</v>
      </c>
      <c r="W48" s="321">
        <f ca="1">+IFERROR(INDIRECT("'"&amp;$D$5&amp;"'!bespar_2033"),0)
+IFERROR(INDIRECT("'"&amp;$D$6&amp;"'!bespar_2033"),0)
+IFERROR(INDIRECT("'"&amp;$D$7&amp;"'!bespar_2033"),0)
+IFERROR(INDIRECT("'"&amp;$D$8&amp;"'!bespar_2033"),0)
+IFERROR(INDIRECT("'"&amp;$D$9&amp;"'!bespar_2033"),0)
+IFERROR(INDIRECT("'"&amp;$D$10&amp;"'!bespar_2033"),0)
+IFERROR(INDIRECT("'"&amp;$D$11&amp;"'!bespar_2033"),0)
+IFERROR(INDIRECT("'"&amp;$D$12&amp;"'!bespar_2033"),0)
+IFERROR(INDIRECT("'"&amp;$D$13&amp;"'!bespar_2033"),0)
+IFERROR(INDIRECT("'"&amp;$D$14&amp;"'!bespar_2033"),0)
+IFERROR(INDIRECT("'"&amp;$D$15&amp;"'!bespar_2033"),0)
+IFERROR(INDIRECT("'"&amp;$D$16&amp;"'!bespar_2033"),0)
+IFERROR(INDIRECT("'"&amp;$D$17&amp;"'!bespar_2033"),0)
+IFERROR(INDIRECT("'"&amp;$D$18&amp;"'!bespar_2033"),0)
+IFERROR(INDIRECT("'"&amp;$D$19&amp;"'!bespar_2033"),0)
+IFERROR(INDIRECT("'"&amp;$D$20&amp;"'!bespar_2033"),0)
+IFERROR(INDIRECT("'"&amp;$D$21&amp;"'!bespar_2033"),0)
+IFERROR(INDIRECT("'"&amp;$D$22&amp;"'!bespar_2033"),0)
+IFERROR(INDIRECT("'"&amp;$D$23&amp;"'!bespar_2033"),0)
+IFERROR(INDIRECT("'"&amp;$D$24&amp;"'!bespar_2033"),0)
+IFERROR(INDIRECT("'"&amp;$D$25&amp;"'!bespar_2033"),0)
+IFERROR(INDIRECT("'"&amp;$D$26&amp;"'!bespar_2033"),0)
+IFERROR(INDIRECT("'"&amp;$D$27&amp;"'!bespar_2033"),0)
+IFERROR(INDIRECT("'"&amp;$D$28&amp;"'!bespar_2033"),0)
+IFERROR(INDIRECT("'"&amp;$D$29&amp;"'!bespar_2033"),0)
+IFERROR(INDIRECT("'"&amp;$D$30&amp;"'!bespar_2033"),0)
+IFERROR(INDIRECT("'"&amp;$D$31&amp;"'!bespar_2033"),0)
+IFERROR(INDIRECT("'"&amp;$D$32&amp;"'!bespar_2033"),0)
+IFERROR(INDIRECT("'"&amp;$D$33&amp;"'!bespar_2033"),0)
+IFERROR(INDIRECT("'"&amp;$D$34&amp;"'!bespar_2033"),0)
+IFERROR(INDIRECT("'"&amp;$D$35&amp;"'!bespar_2033"),0)
+IFERROR(INDIRECT("'"&amp;$D$36&amp;"'!bespar_2033"),0)
+IFERROR(INDIRECT("'"&amp;$D$37&amp;"'!bespar_2033"),0)
+IFERROR(INDIRECT("'"&amp;$D$38&amp;"'!bespar_2033"),0)
+IFERROR(INDIRECT("'"&amp;$D$39&amp;"'!bespar_2033"),0)
+IFERROR(INDIRECT("'"&amp;$D$40&amp;"'!bespar_2033"),0)
+IFERROR(INDIRECT("'"&amp;$D$41&amp;"'!bespar_2033"),0)
+IFERROR(INDIRECT("'"&amp;$D$42&amp;"'!bespar_2033"),0)
+IFERROR(INDIRECT("'"&amp;$D$43&amp;"'!bespar_2033"),0)
+IFERROR(INDIRECT("'"&amp;$D$44&amp;"'!bespar_2033"),0)
+IFERROR(INDIRECT("'"&amp;$D$45&amp;"'!bespar_2033"),0)
+IFERROR(INDIRECT("'"&amp;$D$46&amp;"'!bespar_2033"),0)
+IFERROR(INDIRECT("'"&amp;$D$47&amp;"'!bespar_2033"),0)
+IFERROR(INDIRECT("'"&amp;$D$48&amp;"'!bespar_2033"),0)
+IFERROR(INDIRECT("'"&amp;$D$49&amp;"'!bespar_2033"),0)
+IFERROR(INDIRECT("'"&amp;$D$50&amp;"'!bespar_2033"),0)
+IFERROR(INDIRECT("'"&amp;$D$51&amp;"'!bespar_2033"),0)
+IFERROR(INDIRECT("'"&amp;$D$52&amp;"'!bespar_2033"),0)
+IFERROR(INDIRECT("'"&amp;$D$53&amp;"'!bespar_2033"),0)
+IFERROR(INDIRECT("'"&amp;$D$54&amp;"'!bespar_2033"),0)</f>
        <v>0</v>
      </c>
      <c r="X48" s="321">
        <f ca="1">+IFERROR(INDIRECT("'"&amp;$D$5&amp;"'!bespar_2034"),0)
+IFERROR(INDIRECT("'"&amp;$D$6&amp;"'!bespar_2034"),0)
+IFERROR(INDIRECT("'"&amp;$D$7&amp;"'!bespar_2034"),0)
+IFERROR(INDIRECT("'"&amp;$D$8&amp;"'!bespar_2034"),0)
+IFERROR(INDIRECT("'"&amp;$D$9&amp;"'!bespar_2034"),0)
+IFERROR(INDIRECT("'"&amp;$D$10&amp;"'!bespar_2034"),0)
+IFERROR(INDIRECT("'"&amp;$D$11&amp;"'!bespar_2034"),0)
+IFERROR(INDIRECT("'"&amp;$D$12&amp;"'!bespar_2034"),0)
+IFERROR(INDIRECT("'"&amp;$D$13&amp;"'!bespar_2034"),0)
+IFERROR(INDIRECT("'"&amp;$D$14&amp;"'!bespar_2034"),0)
+IFERROR(INDIRECT("'"&amp;$D$15&amp;"'!bespar_2034"),0)
+IFERROR(INDIRECT("'"&amp;$D$16&amp;"'!bespar_2034"),0)
+IFERROR(INDIRECT("'"&amp;$D$17&amp;"'!bespar_2034"),0)
+IFERROR(INDIRECT("'"&amp;$D$18&amp;"'!bespar_2034"),0)
+IFERROR(INDIRECT("'"&amp;$D$19&amp;"'!bespar_2034"),0)
+IFERROR(INDIRECT("'"&amp;$D$20&amp;"'!bespar_2034"),0)
+IFERROR(INDIRECT("'"&amp;$D$21&amp;"'!bespar_2034"),0)
+IFERROR(INDIRECT("'"&amp;$D$22&amp;"'!bespar_2034"),0)
+IFERROR(INDIRECT("'"&amp;$D$23&amp;"'!bespar_2034"),0)
+IFERROR(INDIRECT("'"&amp;$D$24&amp;"'!bespar_2034"),0)
+IFERROR(INDIRECT("'"&amp;$D$25&amp;"'!bespar_2034"),0)
+IFERROR(INDIRECT("'"&amp;$D$26&amp;"'!bespar_2034"),0)
+IFERROR(INDIRECT("'"&amp;$D$27&amp;"'!bespar_2034"),0)
+IFERROR(INDIRECT("'"&amp;$D$28&amp;"'!bespar_2034"),0)
+IFERROR(INDIRECT("'"&amp;$D$29&amp;"'!bespar_2034"),0)
+IFERROR(INDIRECT("'"&amp;$D$30&amp;"'!bespar_2034"),0)
+IFERROR(INDIRECT("'"&amp;$D$31&amp;"'!bespar_2034"),0)
+IFERROR(INDIRECT("'"&amp;$D$32&amp;"'!bespar_2034"),0)
+IFERROR(INDIRECT("'"&amp;$D$33&amp;"'!bespar_2034"),0)
+IFERROR(INDIRECT("'"&amp;$D$34&amp;"'!bespar_2034"),0)
+IFERROR(INDIRECT("'"&amp;$D$35&amp;"'!bespar_2034"),0)
+IFERROR(INDIRECT("'"&amp;$D$36&amp;"'!bespar_2034"),0)
+IFERROR(INDIRECT("'"&amp;$D$37&amp;"'!bespar_2034"),0)
+IFERROR(INDIRECT("'"&amp;$D$38&amp;"'!bespar_2034"),0)
+IFERROR(INDIRECT("'"&amp;$D$39&amp;"'!bespar_2034"),0)
+IFERROR(INDIRECT("'"&amp;$D$40&amp;"'!bespar_2034"),0)
+IFERROR(INDIRECT("'"&amp;$D$41&amp;"'!bespar_2034"),0)
+IFERROR(INDIRECT("'"&amp;$D$42&amp;"'!bespar_2034"),0)
+IFERROR(INDIRECT("'"&amp;$D$43&amp;"'!bespar_2034"),0)
+IFERROR(INDIRECT("'"&amp;$D$44&amp;"'!bespar_2034"),0)
+IFERROR(INDIRECT("'"&amp;$D$45&amp;"'!bespar_2034"),0)
+IFERROR(INDIRECT("'"&amp;$D$46&amp;"'!bespar_2034"),0)
+IFERROR(INDIRECT("'"&amp;$D$47&amp;"'!bespar_2034"),0)
+IFERROR(INDIRECT("'"&amp;$D$48&amp;"'!bespar_2034"),0)
+IFERROR(INDIRECT("'"&amp;$D$49&amp;"'!bespar_2034"),0)
+IFERROR(INDIRECT("'"&amp;$D$50&amp;"'!bespar_2034"),0)
+IFERROR(INDIRECT("'"&amp;$D$51&amp;"'!bespar_2034"),0)
+IFERROR(INDIRECT("'"&amp;$D$52&amp;"'!bespar_2034"),0)
+IFERROR(INDIRECT("'"&amp;$D$53&amp;"'!bespar_2034"),0)
+IFERROR(INDIRECT("'"&amp;$D$54&amp;"'!bespar_2034"),0)</f>
        <v>0</v>
      </c>
      <c r="Y48" s="321">
        <f ca="1">+IFERROR(INDIRECT("'"&amp;$D$5&amp;"'!bespar_2035"),0)
+IFERROR(INDIRECT("'"&amp;$D$6&amp;"'!bespar_2035"),0)
+IFERROR(INDIRECT("'"&amp;$D$7&amp;"'!bespar_2035"),0)
+IFERROR(INDIRECT("'"&amp;$D$8&amp;"'!bespar_2035"),0)
+IFERROR(INDIRECT("'"&amp;$D$9&amp;"'!bespar_2035"),0)
+IFERROR(INDIRECT("'"&amp;$D$10&amp;"'!bespar_2035"),0)
+IFERROR(INDIRECT("'"&amp;$D$11&amp;"'!bespar_2035"),0)
+IFERROR(INDIRECT("'"&amp;$D$12&amp;"'!bespar_2035"),0)
+IFERROR(INDIRECT("'"&amp;$D$13&amp;"'!bespar_2035"),0)
+IFERROR(INDIRECT("'"&amp;$D$14&amp;"'!bespar_2035"),0)
+IFERROR(INDIRECT("'"&amp;$D$15&amp;"'!bespar_2035"),0)
+IFERROR(INDIRECT("'"&amp;$D$16&amp;"'!bespar_2035"),0)
+IFERROR(INDIRECT("'"&amp;$D$17&amp;"'!bespar_2035"),0)
+IFERROR(INDIRECT("'"&amp;$D$18&amp;"'!bespar_2035"),0)
+IFERROR(INDIRECT("'"&amp;$D$19&amp;"'!bespar_2035"),0)
+IFERROR(INDIRECT("'"&amp;$D$20&amp;"'!bespar_2035"),0)
+IFERROR(INDIRECT("'"&amp;$D$21&amp;"'!bespar_2035"),0)
+IFERROR(INDIRECT("'"&amp;$D$22&amp;"'!bespar_2035"),0)
+IFERROR(INDIRECT("'"&amp;$D$23&amp;"'!bespar_2035"),0)
+IFERROR(INDIRECT("'"&amp;$D$24&amp;"'!bespar_2035"),0)
+IFERROR(INDIRECT("'"&amp;$D$25&amp;"'!bespar_2035"),0)
+IFERROR(INDIRECT("'"&amp;$D$26&amp;"'!bespar_2035"),0)
+IFERROR(INDIRECT("'"&amp;$D$27&amp;"'!bespar_2035"),0)
+IFERROR(INDIRECT("'"&amp;$D$28&amp;"'!bespar_2035"),0)
+IFERROR(INDIRECT("'"&amp;$D$29&amp;"'!bespar_2035"),0)
+IFERROR(INDIRECT("'"&amp;$D$30&amp;"'!bespar_2035"),0)
+IFERROR(INDIRECT("'"&amp;$D$31&amp;"'!bespar_2035"),0)
+IFERROR(INDIRECT("'"&amp;$D$32&amp;"'!bespar_2035"),0)
+IFERROR(INDIRECT("'"&amp;$D$33&amp;"'!bespar_2035"),0)
+IFERROR(INDIRECT("'"&amp;$D$34&amp;"'!bespar_2035"),0)
+IFERROR(INDIRECT("'"&amp;$D$35&amp;"'!bespar_2035"),0)
+IFERROR(INDIRECT("'"&amp;$D$36&amp;"'!bespar_2035"),0)
+IFERROR(INDIRECT("'"&amp;$D$37&amp;"'!bespar_2035"),0)
+IFERROR(INDIRECT("'"&amp;$D$38&amp;"'!bespar_2035"),0)
+IFERROR(INDIRECT("'"&amp;$D$39&amp;"'!bespar_2035"),0)
+IFERROR(INDIRECT("'"&amp;$D$40&amp;"'!bespar_2035"),0)
+IFERROR(INDIRECT("'"&amp;$D$41&amp;"'!bespar_2035"),0)
+IFERROR(INDIRECT("'"&amp;$D$42&amp;"'!bespar_2035"),0)
+IFERROR(INDIRECT("'"&amp;$D$43&amp;"'!bespar_2035"),0)
+IFERROR(INDIRECT("'"&amp;$D$44&amp;"'!bespar_2035"),0)
+IFERROR(INDIRECT("'"&amp;$D$45&amp;"'!bespar_2035"),0)
+IFERROR(INDIRECT("'"&amp;$D$46&amp;"'!bespar_2035"),0)
+IFERROR(INDIRECT("'"&amp;$D$47&amp;"'!bespar_2035"),0)
+IFERROR(INDIRECT("'"&amp;$D$48&amp;"'!bespar_2035"),0)
+IFERROR(INDIRECT("'"&amp;$D$49&amp;"'!bespar_2035"),0)
+IFERROR(INDIRECT("'"&amp;$D$50&amp;"'!bespar_2035"),0)
+IFERROR(INDIRECT("'"&amp;$D$51&amp;"'!bespar_2035"),0)
+IFERROR(INDIRECT("'"&amp;$D$52&amp;"'!bespar_2035"),0)
+IFERROR(INDIRECT("'"&amp;$D$53&amp;"'!bespar_2035"),0)
+IFERROR(INDIRECT("'"&amp;$D$54&amp;"'!bespar_2035"),0)</f>
        <v>0</v>
      </c>
      <c r="Z48" s="321">
        <f ca="1">+IFERROR(INDIRECT("'"&amp;$D$5&amp;"'!bespar_2036"),0)
+IFERROR(INDIRECT("'"&amp;$D$6&amp;"'!bespar_2036"),0)
+IFERROR(INDIRECT("'"&amp;$D$7&amp;"'!bespar_2036"),0)
+IFERROR(INDIRECT("'"&amp;$D$8&amp;"'!bespar_2036"),0)
+IFERROR(INDIRECT("'"&amp;$D$9&amp;"'!bespar_2036"),0)
+IFERROR(INDIRECT("'"&amp;$D$10&amp;"'!bespar_2036"),0)
+IFERROR(INDIRECT("'"&amp;$D$11&amp;"'!bespar_2036"),0)
+IFERROR(INDIRECT("'"&amp;$D$12&amp;"'!bespar_2036"),0)
+IFERROR(INDIRECT("'"&amp;$D$13&amp;"'!bespar_2036"),0)
+IFERROR(INDIRECT("'"&amp;$D$14&amp;"'!bespar_2036"),0)
+IFERROR(INDIRECT("'"&amp;$D$15&amp;"'!bespar_2036"),0)
+IFERROR(INDIRECT("'"&amp;$D$16&amp;"'!bespar_2036"),0)
+IFERROR(INDIRECT("'"&amp;$D$17&amp;"'!bespar_2036"),0)
+IFERROR(INDIRECT("'"&amp;$D$18&amp;"'!bespar_2036"),0)
+IFERROR(INDIRECT("'"&amp;$D$19&amp;"'!bespar_2036"),0)
+IFERROR(INDIRECT("'"&amp;$D$20&amp;"'!bespar_2036"),0)
+IFERROR(INDIRECT("'"&amp;$D$21&amp;"'!bespar_2036"),0)
+IFERROR(INDIRECT("'"&amp;$D$22&amp;"'!bespar_2036"),0)
+IFERROR(INDIRECT("'"&amp;$D$23&amp;"'!bespar_2036"),0)
+IFERROR(INDIRECT("'"&amp;$D$24&amp;"'!bespar_2036"),0)
+IFERROR(INDIRECT("'"&amp;$D$25&amp;"'!bespar_2036"),0)
+IFERROR(INDIRECT("'"&amp;$D$26&amp;"'!bespar_2036"),0)
+IFERROR(INDIRECT("'"&amp;$D$27&amp;"'!bespar_2036"),0)
+IFERROR(INDIRECT("'"&amp;$D$28&amp;"'!bespar_2036"),0)
+IFERROR(INDIRECT("'"&amp;$D$29&amp;"'!bespar_2036"),0)
+IFERROR(INDIRECT("'"&amp;$D$30&amp;"'!bespar_2036"),0)
+IFERROR(INDIRECT("'"&amp;$D$31&amp;"'!bespar_2036"),0)
+IFERROR(INDIRECT("'"&amp;$D$32&amp;"'!bespar_2036"),0)
+IFERROR(INDIRECT("'"&amp;$D$33&amp;"'!bespar_2036"),0)
+IFERROR(INDIRECT("'"&amp;$D$34&amp;"'!bespar_2036"),0)
+IFERROR(INDIRECT("'"&amp;$D$35&amp;"'!bespar_2036"),0)
+IFERROR(INDIRECT("'"&amp;$D$36&amp;"'!bespar_2036"),0)
+IFERROR(INDIRECT("'"&amp;$D$37&amp;"'!bespar_2036"),0)
+IFERROR(INDIRECT("'"&amp;$D$38&amp;"'!bespar_2036"),0)
+IFERROR(INDIRECT("'"&amp;$D$39&amp;"'!bespar_2036"),0)
+IFERROR(INDIRECT("'"&amp;$D$40&amp;"'!bespar_2036"),0)
+IFERROR(INDIRECT("'"&amp;$D$41&amp;"'!bespar_2036"),0)
+IFERROR(INDIRECT("'"&amp;$D$42&amp;"'!bespar_2036"),0)
+IFERROR(INDIRECT("'"&amp;$D$43&amp;"'!bespar_2036"),0)
+IFERROR(INDIRECT("'"&amp;$D$44&amp;"'!bespar_2036"),0)
+IFERROR(INDIRECT("'"&amp;$D$45&amp;"'!bespar_2036"),0)
+IFERROR(INDIRECT("'"&amp;$D$46&amp;"'!bespar_2036"),0)
+IFERROR(INDIRECT("'"&amp;$D$47&amp;"'!bespar_2036"),0)
+IFERROR(INDIRECT("'"&amp;$D$48&amp;"'!bespar_2036"),0)
+IFERROR(INDIRECT("'"&amp;$D$49&amp;"'!bespar_2036"),0)
+IFERROR(INDIRECT("'"&amp;$D$50&amp;"'!bespar_2036"),0)
+IFERROR(INDIRECT("'"&amp;$D$51&amp;"'!bespar_2036"),0)
+IFERROR(INDIRECT("'"&amp;$D$52&amp;"'!bespar_2036"),0)
+IFERROR(INDIRECT("'"&amp;$D$53&amp;"'!bespar_2036"),0)
+IFERROR(INDIRECT("'"&amp;$D$54&amp;"'!bespar_2036"),0)</f>
        <v>7742.3232679632847</v>
      </c>
      <c r="AA48" s="321">
        <f ca="1">+IFERROR(INDIRECT("'"&amp;$D$5&amp;"'!bespar_2037"),0)
+IFERROR(INDIRECT("'"&amp;$D$6&amp;"'!bespar_2037"),0)
+IFERROR(INDIRECT("'"&amp;$D$7&amp;"'!bespar_2037"),0)
+IFERROR(INDIRECT("'"&amp;$D$8&amp;"'!bespar_2037"),0)
+IFERROR(INDIRECT("'"&amp;$D$9&amp;"'!bespar_2037"),0)
+IFERROR(INDIRECT("'"&amp;$D$10&amp;"'!bespar_2037"),0)
+IFERROR(INDIRECT("'"&amp;$D$11&amp;"'!bespar_2037"),0)
+IFERROR(INDIRECT("'"&amp;$D$12&amp;"'!bespar_2037"),0)
+IFERROR(INDIRECT("'"&amp;$D$13&amp;"'!bespar_2037"),0)
+IFERROR(INDIRECT("'"&amp;$D$14&amp;"'!bespar_2037"),0)
+IFERROR(INDIRECT("'"&amp;$D$15&amp;"'!bespar_2037"),0)
+IFERROR(INDIRECT("'"&amp;$D$16&amp;"'!bespar_2037"),0)
+IFERROR(INDIRECT("'"&amp;$D$17&amp;"'!bespar_2037"),0)
+IFERROR(INDIRECT("'"&amp;$D$18&amp;"'!bespar_2037"),0)
+IFERROR(INDIRECT("'"&amp;$D$19&amp;"'!bespar_2037"),0)
+IFERROR(INDIRECT("'"&amp;$D$20&amp;"'!bespar_2037"),0)
+IFERROR(INDIRECT("'"&amp;$D$21&amp;"'!bespar_2037"),0)
+IFERROR(INDIRECT("'"&amp;$D$22&amp;"'!bespar_2037"),0)
+IFERROR(INDIRECT("'"&amp;$D$23&amp;"'!bespar_2037"),0)
+IFERROR(INDIRECT("'"&amp;$D$24&amp;"'!bespar_2037"),0)
+IFERROR(INDIRECT("'"&amp;$D$25&amp;"'!bespar_2037"),0)
+IFERROR(INDIRECT("'"&amp;$D$26&amp;"'!bespar_2037"),0)
+IFERROR(INDIRECT("'"&amp;$D$27&amp;"'!bespar_2037"),0)
+IFERROR(INDIRECT("'"&amp;$D$28&amp;"'!bespar_2037"),0)
+IFERROR(INDIRECT("'"&amp;$D$29&amp;"'!bespar_2037"),0)
+IFERROR(INDIRECT("'"&amp;$D$30&amp;"'!bespar_2037"),0)
+IFERROR(INDIRECT("'"&amp;$D$31&amp;"'!bespar_2037"),0)
+IFERROR(INDIRECT("'"&amp;$D$32&amp;"'!bespar_2037"),0)
+IFERROR(INDIRECT("'"&amp;$D$33&amp;"'!bespar_2037"),0)
+IFERROR(INDIRECT("'"&amp;$D$34&amp;"'!bespar_2037"),0)
+IFERROR(INDIRECT("'"&amp;$D$35&amp;"'!bespar_2037"),0)
+IFERROR(INDIRECT("'"&amp;$D$36&amp;"'!bespar_2037"),0)
+IFERROR(INDIRECT("'"&amp;$D$37&amp;"'!bespar_2037"),0)
+IFERROR(INDIRECT("'"&amp;$D$38&amp;"'!bespar_2037"),0)
+IFERROR(INDIRECT("'"&amp;$D$39&amp;"'!bespar_2037"),0)
+IFERROR(INDIRECT("'"&amp;$D$40&amp;"'!bespar_2037"),0)
+IFERROR(INDIRECT("'"&amp;$D$41&amp;"'!bespar_2037"),0)
+IFERROR(INDIRECT("'"&amp;$D$42&amp;"'!bespar_2037"),0)
+IFERROR(INDIRECT("'"&amp;$D$43&amp;"'!bespar_2037"),0)
+IFERROR(INDIRECT("'"&amp;$D$44&amp;"'!bespar_2037"),0)
+IFERROR(INDIRECT("'"&amp;$D$45&amp;"'!bespar_2037"),0)
+IFERROR(INDIRECT("'"&amp;$D$46&amp;"'!bespar_2037"),0)
+IFERROR(INDIRECT("'"&amp;$D$47&amp;"'!bespar_2037"),0)
+IFERROR(INDIRECT("'"&amp;$D$48&amp;"'!bespar_2037"),0)
+IFERROR(INDIRECT("'"&amp;$D$49&amp;"'!bespar_2037"),0)
+IFERROR(INDIRECT("'"&amp;$D$50&amp;"'!bespar_2037"),0)
+IFERROR(INDIRECT("'"&amp;$D$51&amp;"'!bespar_2037"),0)
+IFERROR(INDIRECT("'"&amp;$D$52&amp;"'!bespar_2037"),0)
+IFERROR(INDIRECT("'"&amp;$D$53&amp;"'!bespar_2037"),0)
+IFERROR(INDIRECT("'"&amp;$D$54&amp;"'!bespar_2037"),0)</f>
        <v>0</v>
      </c>
      <c r="AB48" s="321">
        <f ca="1">+IFERROR(INDIRECT("'"&amp;$D$5&amp;"'!bespar_2038"),0)
+IFERROR(INDIRECT("'"&amp;$D$6&amp;"'!bespar_2038"),0)
+IFERROR(INDIRECT("'"&amp;$D$7&amp;"'!bespar_2038"),0)
+IFERROR(INDIRECT("'"&amp;$D$8&amp;"'!bespar_2038"),0)
+IFERROR(INDIRECT("'"&amp;$D$9&amp;"'!bespar_2038"),0)
+IFERROR(INDIRECT("'"&amp;$D$10&amp;"'!bespar_2038"),0)
+IFERROR(INDIRECT("'"&amp;$D$11&amp;"'!bespar_2038"),0)
+IFERROR(INDIRECT("'"&amp;$D$12&amp;"'!bespar_2038"),0)
+IFERROR(INDIRECT("'"&amp;$D$13&amp;"'!bespar_2038"),0)
+IFERROR(INDIRECT("'"&amp;$D$14&amp;"'!bespar_2038"),0)
+IFERROR(INDIRECT("'"&amp;$D$15&amp;"'!bespar_2038"),0)
+IFERROR(INDIRECT("'"&amp;$D$16&amp;"'!bespar_2038"),0)
+IFERROR(INDIRECT("'"&amp;$D$17&amp;"'!bespar_2038"),0)
+IFERROR(INDIRECT("'"&amp;$D$18&amp;"'!bespar_2038"),0)
+IFERROR(INDIRECT("'"&amp;$D$19&amp;"'!bespar_2038"),0)
+IFERROR(INDIRECT("'"&amp;$D$20&amp;"'!bespar_2038"),0)
+IFERROR(INDIRECT("'"&amp;$D$21&amp;"'!bespar_2038"),0)
+IFERROR(INDIRECT("'"&amp;$D$22&amp;"'!bespar_2038"),0)
+IFERROR(INDIRECT("'"&amp;$D$23&amp;"'!bespar_2038"),0)
+IFERROR(INDIRECT("'"&amp;$D$24&amp;"'!bespar_2038"),0)
+IFERROR(INDIRECT("'"&amp;$D$25&amp;"'!bespar_2038"),0)
+IFERROR(INDIRECT("'"&amp;$D$26&amp;"'!bespar_2038"),0)
+IFERROR(INDIRECT("'"&amp;$D$27&amp;"'!bespar_2038"),0)
+IFERROR(INDIRECT("'"&amp;$D$28&amp;"'!bespar_2038"),0)
+IFERROR(INDIRECT("'"&amp;$D$29&amp;"'!bespar_2038"),0)
+IFERROR(INDIRECT("'"&amp;$D$30&amp;"'!bespar_2038"),0)
+IFERROR(INDIRECT("'"&amp;$D$31&amp;"'!bespar_2038"),0)
+IFERROR(INDIRECT("'"&amp;$D$32&amp;"'!bespar_2038"),0)
+IFERROR(INDIRECT("'"&amp;$D$33&amp;"'!bespar_2038"),0)
+IFERROR(INDIRECT("'"&amp;$D$34&amp;"'!bespar_2038"),0)
+IFERROR(INDIRECT("'"&amp;$D$35&amp;"'!bespar_2038"),0)
+IFERROR(INDIRECT("'"&amp;$D$36&amp;"'!bespar_2038"),0)
+IFERROR(INDIRECT("'"&amp;$D$37&amp;"'!bespar_2038"),0)
+IFERROR(INDIRECT("'"&amp;$D$38&amp;"'!bespar_2038"),0)
+IFERROR(INDIRECT("'"&amp;$D$39&amp;"'!bespar_2038"),0)
+IFERROR(INDIRECT("'"&amp;$D$40&amp;"'!bespar_2038"),0)
+IFERROR(INDIRECT("'"&amp;$D$41&amp;"'!bespar_2038"),0)
+IFERROR(INDIRECT("'"&amp;$D$42&amp;"'!bespar_2038"),0)
+IFERROR(INDIRECT("'"&amp;$D$43&amp;"'!bespar_2038"),0)
+IFERROR(INDIRECT("'"&amp;$D$44&amp;"'!bespar_2038"),0)
+IFERROR(INDIRECT("'"&amp;$D$45&amp;"'!bespar_2038"),0)
+IFERROR(INDIRECT("'"&amp;$D$46&amp;"'!bespar_2038"),0)
+IFERROR(INDIRECT("'"&amp;$D$47&amp;"'!bespar_2038"),0)
+IFERROR(INDIRECT("'"&amp;$D$48&amp;"'!bespar_2038"),0)
+IFERROR(INDIRECT("'"&amp;$D$49&amp;"'!bespar_2038"),0)
+IFERROR(INDIRECT("'"&amp;$D$50&amp;"'!bespar_2038"),0)
+IFERROR(INDIRECT("'"&amp;$D$51&amp;"'!bespar_2038"),0)
+IFERROR(INDIRECT("'"&amp;$D$52&amp;"'!bespar_2038"),0)
+IFERROR(INDIRECT("'"&amp;$D$53&amp;"'!bespar_2038"),0)
+IFERROR(INDIRECT("'"&amp;$D$54&amp;"'!bespar_2038"),0)</f>
        <v>0</v>
      </c>
      <c r="AC48" s="321">
        <f ca="1">+IFERROR(INDIRECT("'"&amp;$D$5&amp;"'!bespar_2039"),0)
+IFERROR(INDIRECT("'"&amp;$D$6&amp;"'!bespar_2039"),0)
+IFERROR(INDIRECT("'"&amp;$D$7&amp;"'!bespar_2039"),0)
+IFERROR(INDIRECT("'"&amp;$D$8&amp;"'!bespar_2039"),0)
+IFERROR(INDIRECT("'"&amp;$D$9&amp;"'!bespar_2039"),0)
+IFERROR(INDIRECT("'"&amp;$D$10&amp;"'!bespar_2039"),0)
+IFERROR(INDIRECT("'"&amp;$D$11&amp;"'!bespar_2039"),0)
+IFERROR(INDIRECT("'"&amp;$D$12&amp;"'!bespar_2039"),0)
+IFERROR(INDIRECT("'"&amp;$D$13&amp;"'!bespar_2039"),0)
+IFERROR(INDIRECT("'"&amp;$D$14&amp;"'!bespar_2039"),0)
+IFERROR(INDIRECT("'"&amp;$D$15&amp;"'!bespar_2039"),0)
+IFERROR(INDIRECT("'"&amp;$D$16&amp;"'!bespar_2039"),0)
+IFERROR(INDIRECT("'"&amp;$D$17&amp;"'!bespar_2039"),0)
+IFERROR(INDIRECT("'"&amp;$D$18&amp;"'!bespar_2039"),0)
+IFERROR(INDIRECT("'"&amp;$D$19&amp;"'!bespar_2039"),0)
+IFERROR(INDIRECT("'"&amp;$D$20&amp;"'!bespar_2039"),0)
+IFERROR(INDIRECT("'"&amp;$D$21&amp;"'!bespar_2039"),0)
+IFERROR(INDIRECT("'"&amp;$D$22&amp;"'!bespar_2039"),0)
+IFERROR(INDIRECT("'"&amp;$D$23&amp;"'!bespar_2039"),0)
+IFERROR(INDIRECT("'"&amp;$D$24&amp;"'!bespar_2039"),0)
+IFERROR(INDIRECT("'"&amp;$D$25&amp;"'!bespar_2039"),0)
+IFERROR(INDIRECT("'"&amp;$D$26&amp;"'!bespar_2039"),0)
+IFERROR(INDIRECT("'"&amp;$D$27&amp;"'!bespar_2039"),0)
+IFERROR(INDIRECT("'"&amp;$D$28&amp;"'!bespar_2039"),0)
+IFERROR(INDIRECT("'"&amp;$D$29&amp;"'!bespar_2039"),0)
+IFERROR(INDIRECT("'"&amp;$D$30&amp;"'!bespar_2039"),0)
+IFERROR(INDIRECT("'"&amp;$D$31&amp;"'!bespar_2039"),0)
+IFERROR(INDIRECT("'"&amp;$D$32&amp;"'!bespar_2039"),0)
+IFERROR(INDIRECT("'"&amp;$D$33&amp;"'!bespar_2039"),0)
+IFERROR(INDIRECT("'"&amp;$D$34&amp;"'!bespar_2039"),0)
+IFERROR(INDIRECT("'"&amp;$D$35&amp;"'!bespar_2039"),0)
+IFERROR(INDIRECT("'"&amp;$D$36&amp;"'!bespar_2039"),0)
+IFERROR(INDIRECT("'"&amp;$D$37&amp;"'!bespar_2039"),0)
+IFERROR(INDIRECT("'"&amp;$D$38&amp;"'!bespar_2039"),0)
+IFERROR(INDIRECT("'"&amp;$D$39&amp;"'!bespar_2039"),0)
+IFERROR(INDIRECT("'"&amp;$D$40&amp;"'!bespar_2039"),0)
+IFERROR(INDIRECT("'"&amp;$D$41&amp;"'!bespar_2039"),0)
+IFERROR(INDIRECT("'"&amp;$D$42&amp;"'!bespar_2039"),0)
+IFERROR(INDIRECT("'"&amp;$D$43&amp;"'!bespar_2039"),0)
+IFERROR(INDIRECT("'"&amp;$D$44&amp;"'!bespar_2039"),0)
+IFERROR(INDIRECT("'"&amp;$D$45&amp;"'!bespar_2039"),0)
+IFERROR(INDIRECT("'"&amp;$D$46&amp;"'!bespar_2039"),0)
+IFERROR(INDIRECT("'"&amp;$D$47&amp;"'!bespar_2039"),0)
+IFERROR(INDIRECT("'"&amp;$D$48&amp;"'!bespar_2039"),0)
+IFERROR(INDIRECT("'"&amp;$D$49&amp;"'!bespar_2039"),0)
+IFERROR(INDIRECT("'"&amp;$D$50&amp;"'!bespar_2039"),0)
+IFERROR(INDIRECT("'"&amp;$D$51&amp;"'!bespar_2039"),0)
+IFERROR(INDIRECT("'"&amp;$D$52&amp;"'!bespar_2039"),0)
+IFERROR(INDIRECT("'"&amp;$D$53&amp;"'!bespar_2039"),0)
+IFERROR(INDIRECT("'"&amp;$D$54&amp;"'!bespar_2039"),0)</f>
        <v>0</v>
      </c>
      <c r="AD48" s="321">
        <f ca="1">+IFERROR(INDIRECT("'"&amp;$D$5&amp;"'!bespar_2040"),0)
+IFERROR(INDIRECT("'"&amp;$D$6&amp;"'!bespar_2040"),0)
+IFERROR(INDIRECT("'"&amp;$D$7&amp;"'!bespar_2040"),0)
+IFERROR(INDIRECT("'"&amp;$D$8&amp;"'!bespar_2040"),0)
+IFERROR(INDIRECT("'"&amp;$D$9&amp;"'!bespar_2040"),0)
+IFERROR(INDIRECT("'"&amp;$D$10&amp;"'!bespar_2040"),0)
+IFERROR(INDIRECT("'"&amp;$D$11&amp;"'!bespar_2040"),0)
+IFERROR(INDIRECT("'"&amp;$D$12&amp;"'!bespar_2040"),0)
+IFERROR(INDIRECT("'"&amp;$D$13&amp;"'!bespar_2040"),0)
+IFERROR(INDIRECT("'"&amp;$D$14&amp;"'!bespar_2040"),0)
+IFERROR(INDIRECT("'"&amp;$D$15&amp;"'!bespar_2040"),0)
+IFERROR(INDIRECT("'"&amp;$D$16&amp;"'!bespar_2040"),0)
+IFERROR(INDIRECT("'"&amp;$D$17&amp;"'!bespar_2040"),0)
+IFERROR(INDIRECT("'"&amp;$D$18&amp;"'!bespar_2040"),0)
+IFERROR(INDIRECT("'"&amp;$D$19&amp;"'!bespar_2040"),0)
+IFERROR(INDIRECT("'"&amp;$D$20&amp;"'!bespar_2040"),0)
+IFERROR(INDIRECT("'"&amp;$D$21&amp;"'!bespar_2040"),0)
+IFERROR(INDIRECT("'"&amp;$D$22&amp;"'!bespar_2040"),0)
+IFERROR(INDIRECT("'"&amp;$D$23&amp;"'!bespar_2040"),0)
+IFERROR(INDIRECT("'"&amp;$D$24&amp;"'!bespar_2040"),0)
+IFERROR(INDIRECT("'"&amp;$D$25&amp;"'!bespar_2040"),0)
+IFERROR(INDIRECT("'"&amp;$D$26&amp;"'!bespar_2040"),0)
+IFERROR(INDIRECT("'"&amp;$D$27&amp;"'!bespar_2040"),0)
+IFERROR(INDIRECT("'"&amp;$D$28&amp;"'!bespar_2040"),0)
+IFERROR(INDIRECT("'"&amp;$D$29&amp;"'!bespar_2040"),0)
+IFERROR(INDIRECT("'"&amp;$D$30&amp;"'!bespar_2040"),0)
+IFERROR(INDIRECT("'"&amp;$D$31&amp;"'!bespar_2040"),0)
+IFERROR(INDIRECT("'"&amp;$D$32&amp;"'!bespar_2040"),0)
+IFERROR(INDIRECT("'"&amp;$D$33&amp;"'!bespar_2040"),0)
+IFERROR(INDIRECT("'"&amp;$D$34&amp;"'!bespar_2040"),0)
+IFERROR(INDIRECT("'"&amp;$D$35&amp;"'!bespar_2040"),0)
+IFERROR(INDIRECT("'"&amp;$D$36&amp;"'!bespar_2040"),0)
+IFERROR(INDIRECT("'"&amp;$D$37&amp;"'!bespar_2040"),0)
+IFERROR(INDIRECT("'"&amp;$D$38&amp;"'!bespar_2040"),0)
+IFERROR(INDIRECT("'"&amp;$D$39&amp;"'!bespar_2040"),0)
+IFERROR(INDIRECT("'"&amp;$D$40&amp;"'!bespar_2040"),0)
+IFERROR(INDIRECT("'"&amp;$D$41&amp;"'!bespar_2040"),0)
+IFERROR(INDIRECT("'"&amp;$D$42&amp;"'!bespar_2040"),0)
+IFERROR(INDIRECT("'"&amp;$D$43&amp;"'!bespar_2040"),0)
+IFERROR(INDIRECT("'"&amp;$D$44&amp;"'!bespar_2040"),0)
+IFERROR(INDIRECT("'"&amp;$D$45&amp;"'!bespar_2040"),0)
+IFERROR(INDIRECT("'"&amp;$D$46&amp;"'!bespar_2040"),0)
+IFERROR(INDIRECT("'"&amp;$D$47&amp;"'!bespar_2040"),0)
+IFERROR(INDIRECT("'"&amp;$D$48&amp;"'!bespar_2040"),0)
+IFERROR(INDIRECT("'"&amp;$D$49&amp;"'!bespar_2040"),0)
+IFERROR(INDIRECT("'"&amp;$D$50&amp;"'!bespar_2040"),0)
+IFERROR(INDIRECT("'"&amp;$D$51&amp;"'!bespar_2040"),0)
+IFERROR(INDIRECT("'"&amp;$D$52&amp;"'!bespar_2040"),0)
+IFERROR(INDIRECT("'"&amp;$D$53&amp;"'!bespar_2040"),0)
+IFERROR(INDIRECT("'"&amp;$D$54&amp;"'!bespar_2040"),0)</f>
        <v>0</v>
      </c>
      <c r="AE48" s="321">
        <f ca="1">+IFERROR(INDIRECT("'"&amp;$D$5&amp;"'!bespar_2041"),0)
+IFERROR(INDIRECT("'"&amp;$D$6&amp;"'!bespar_2041"),0)
+IFERROR(INDIRECT("'"&amp;$D$7&amp;"'!bespar_2041"),0)
+IFERROR(INDIRECT("'"&amp;$D$8&amp;"'!bespar_2041"),0)
+IFERROR(INDIRECT("'"&amp;$D$9&amp;"'!bespar_2041"),0)
+IFERROR(INDIRECT("'"&amp;$D$10&amp;"'!bespar_2041"),0)
+IFERROR(INDIRECT("'"&amp;$D$11&amp;"'!bespar_2041"),0)
+IFERROR(INDIRECT("'"&amp;$D$12&amp;"'!bespar_2041"),0)
+IFERROR(INDIRECT("'"&amp;$D$13&amp;"'!bespar_2041"),0)
+IFERROR(INDIRECT("'"&amp;$D$14&amp;"'!bespar_2041"),0)
+IFERROR(INDIRECT("'"&amp;$D$15&amp;"'!bespar_2041"),0)
+IFERROR(INDIRECT("'"&amp;$D$16&amp;"'!bespar_2041"),0)
+IFERROR(INDIRECT("'"&amp;$D$17&amp;"'!bespar_2041"),0)
+IFERROR(INDIRECT("'"&amp;$D$18&amp;"'!bespar_2041"),0)
+IFERROR(INDIRECT("'"&amp;$D$19&amp;"'!bespar_2041"),0)
+IFERROR(INDIRECT("'"&amp;$D$20&amp;"'!bespar_2041"),0)
+IFERROR(INDIRECT("'"&amp;$D$21&amp;"'!bespar_2041"),0)
+IFERROR(INDIRECT("'"&amp;$D$22&amp;"'!bespar_2041"),0)
+IFERROR(INDIRECT("'"&amp;$D$23&amp;"'!bespar_2041"),0)
+IFERROR(INDIRECT("'"&amp;$D$24&amp;"'!bespar_2041"),0)
+IFERROR(INDIRECT("'"&amp;$D$25&amp;"'!bespar_2041"),0)
+IFERROR(INDIRECT("'"&amp;$D$26&amp;"'!bespar_2041"),0)
+IFERROR(INDIRECT("'"&amp;$D$27&amp;"'!bespar_2041"),0)
+IFERROR(INDIRECT("'"&amp;$D$28&amp;"'!bespar_2041"),0)
+IFERROR(INDIRECT("'"&amp;$D$29&amp;"'!bespar_2041"),0)
+IFERROR(INDIRECT("'"&amp;$D$30&amp;"'!bespar_2041"),0)
+IFERROR(INDIRECT("'"&amp;$D$31&amp;"'!bespar_2041"),0)
+IFERROR(INDIRECT("'"&amp;$D$32&amp;"'!bespar_2041"),0)
+IFERROR(INDIRECT("'"&amp;$D$33&amp;"'!bespar_2041"),0)
+IFERROR(INDIRECT("'"&amp;$D$34&amp;"'!bespar_2041"),0)
+IFERROR(INDIRECT("'"&amp;$D$35&amp;"'!bespar_2041"),0)
+IFERROR(INDIRECT("'"&amp;$D$36&amp;"'!bespar_2041"),0)
+IFERROR(INDIRECT("'"&amp;$D$37&amp;"'!bespar_2041"),0)
+IFERROR(INDIRECT("'"&amp;$D$38&amp;"'!bespar_2041"),0)
+IFERROR(INDIRECT("'"&amp;$D$39&amp;"'!bespar_2041"),0)
+IFERROR(INDIRECT("'"&amp;$D$40&amp;"'!bespar_2041"),0)
+IFERROR(INDIRECT("'"&amp;$D$41&amp;"'!bespar_2041"),0)
+IFERROR(INDIRECT("'"&amp;$D$42&amp;"'!bespar_2041"),0)
+IFERROR(INDIRECT("'"&amp;$D$43&amp;"'!bespar_2041"),0)
+IFERROR(INDIRECT("'"&amp;$D$44&amp;"'!bespar_2041"),0)
+IFERROR(INDIRECT("'"&amp;$D$45&amp;"'!bespar_2041"),0)
+IFERROR(INDIRECT("'"&amp;$D$46&amp;"'!bespar_2041"),0)
+IFERROR(INDIRECT("'"&amp;$D$47&amp;"'!bespar_2041"),0)
+IFERROR(INDIRECT("'"&amp;$D$48&amp;"'!bespar_2041"),0)
+IFERROR(INDIRECT("'"&amp;$D$49&amp;"'!bespar_2041"),0)
+IFERROR(INDIRECT("'"&amp;$D$50&amp;"'!bespar_2041"),0)
+IFERROR(INDIRECT("'"&amp;$D$51&amp;"'!bespar_2041"),0)
+IFERROR(INDIRECT("'"&amp;$D$52&amp;"'!bespar_2041"),0)
+IFERROR(INDIRECT("'"&amp;$D$53&amp;"'!bespar_2041"),0)
+IFERROR(INDIRECT("'"&amp;$D$54&amp;"'!bespar_2041"),0)</f>
        <v>0</v>
      </c>
      <c r="AF48" s="321">
        <f ca="1">+IFERROR(INDIRECT("'"&amp;$D$5&amp;"'!bespar_2042"),0)
+IFERROR(INDIRECT("'"&amp;$D$6&amp;"'!bespar_2042"),0)
+IFERROR(INDIRECT("'"&amp;$D$7&amp;"'!bespar_2042"),0)
+IFERROR(INDIRECT("'"&amp;$D$8&amp;"'!bespar_2042"),0)
+IFERROR(INDIRECT("'"&amp;$D$9&amp;"'!bespar_2042"),0)
+IFERROR(INDIRECT("'"&amp;$D$10&amp;"'!bespar_2042"),0)
+IFERROR(INDIRECT("'"&amp;$D$11&amp;"'!bespar_2042"),0)
+IFERROR(INDIRECT("'"&amp;$D$12&amp;"'!bespar_2042"),0)
+IFERROR(INDIRECT("'"&amp;$D$13&amp;"'!bespar_2042"),0)
+IFERROR(INDIRECT("'"&amp;$D$14&amp;"'!bespar_2042"),0)
+IFERROR(INDIRECT("'"&amp;$D$15&amp;"'!bespar_2042"),0)
+IFERROR(INDIRECT("'"&amp;$D$16&amp;"'!bespar_2042"),0)
+IFERROR(INDIRECT("'"&amp;$D$17&amp;"'!bespar_2042"),0)
+IFERROR(INDIRECT("'"&amp;$D$18&amp;"'!bespar_2042"),0)
+IFERROR(INDIRECT("'"&amp;$D$19&amp;"'!bespar_2042"),0)
+IFERROR(INDIRECT("'"&amp;$D$20&amp;"'!bespar_2042"),0)
+IFERROR(INDIRECT("'"&amp;$D$21&amp;"'!bespar_2042"),0)
+IFERROR(INDIRECT("'"&amp;$D$22&amp;"'!bespar_2042"),0)
+IFERROR(INDIRECT("'"&amp;$D$23&amp;"'!bespar_2042"),0)
+IFERROR(INDIRECT("'"&amp;$D$24&amp;"'!bespar_2042"),0)
+IFERROR(INDIRECT("'"&amp;$D$25&amp;"'!bespar_2042"),0)
+IFERROR(INDIRECT("'"&amp;$D$26&amp;"'!bespar_2042"),0)
+IFERROR(INDIRECT("'"&amp;$D$27&amp;"'!bespar_2042"),0)
+IFERROR(INDIRECT("'"&amp;$D$28&amp;"'!bespar_2042"),0)
+IFERROR(INDIRECT("'"&amp;$D$29&amp;"'!bespar_2042"),0)
+IFERROR(INDIRECT("'"&amp;$D$30&amp;"'!bespar_2042"),0)
+IFERROR(INDIRECT("'"&amp;$D$31&amp;"'!bespar_2042"),0)
+IFERROR(INDIRECT("'"&amp;$D$32&amp;"'!bespar_2042"),0)
+IFERROR(INDIRECT("'"&amp;$D$33&amp;"'!bespar_2042"),0)
+IFERROR(INDIRECT("'"&amp;$D$34&amp;"'!bespar_2042"),0)
+IFERROR(INDIRECT("'"&amp;$D$35&amp;"'!bespar_2042"),0)
+IFERROR(INDIRECT("'"&amp;$D$36&amp;"'!bespar_2042"),0)
+IFERROR(INDIRECT("'"&amp;$D$37&amp;"'!bespar_2042"),0)
+IFERROR(INDIRECT("'"&amp;$D$38&amp;"'!bespar_2042"),0)
+IFERROR(INDIRECT("'"&amp;$D$39&amp;"'!bespar_2042"),0)
+IFERROR(INDIRECT("'"&amp;$D$40&amp;"'!bespar_2042"),0)
+IFERROR(INDIRECT("'"&amp;$D$41&amp;"'!bespar_2042"),0)
+IFERROR(INDIRECT("'"&amp;$D$42&amp;"'!bespar_2042"),0)
+IFERROR(INDIRECT("'"&amp;$D$43&amp;"'!bespar_2042"),0)
+IFERROR(INDIRECT("'"&amp;$D$44&amp;"'!bespar_2042"),0)
+IFERROR(INDIRECT("'"&amp;$D$45&amp;"'!bespar_2042"),0)
+IFERROR(INDIRECT("'"&amp;$D$46&amp;"'!bespar_2042"),0)
+IFERROR(INDIRECT("'"&amp;$D$47&amp;"'!bespar_2042"),0)
+IFERROR(INDIRECT("'"&amp;$D$48&amp;"'!bespar_2042"),0)
+IFERROR(INDIRECT("'"&amp;$D$49&amp;"'!bespar_2042"),0)
+IFERROR(INDIRECT("'"&amp;$D$50&amp;"'!bespar_2042"),0)
+IFERROR(INDIRECT("'"&amp;$D$51&amp;"'!bespar_2042"),0)
+IFERROR(INDIRECT("'"&amp;$D$52&amp;"'!bespar_2042"),0)
+IFERROR(INDIRECT("'"&amp;$D$53&amp;"'!bespar_2042"),0)
+IFERROR(INDIRECT("'"&amp;$D$54&amp;"'!bespar_2042"),0)</f>
        <v>0</v>
      </c>
      <c r="AG48" s="321">
        <f ca="1">+IFERROR(INDIRECT("'"&amp;$D$5&amp;"'!bespar_2043"),0)
+IFERROR(INDIRECT("'"&amp;$D$6&amp;"'!bespar_2043"),0)
+IFERROR(INDIRECT("'"&amp;$D$7&amp;"'!bespar_2043"),0)
+IFERROR(INDIRECT("'"&amp;$D$8&amp;"'!bespar_2043"),0)
+IFERROR(INDIRECT("'"&amp;$D$9&amp;"'!bespar_2043"),0)
+IFERROR(INDIRECT("'"&amp;$D$10&amp;"'!bespar_2043"),0)
+IFERROR(INDIRECT("'"&amp;$D$11&amp;"'!bespar_2043"),0)
+IFERROR(INDIRECT("'"&amp;$D$12&amp;"'!bespar_2043"),0)
+IFERROR(INDIRECT("'"&amp;$D$13&amp;"'!bespar_2043"),0)
+IFERROR(INDIRECT("'"&amp;$D$14&amp;"'!bespar_2043"),0)
+IFERROR(INDIRECT("'"&amp;$D$15&amp;"'!bespar_2043"),0)
+IFERROR(INDIRECT("'"&amp;$D$16&amp;"'!bespar_2043"),0)
+IFERROR(INDIRECT("'"&amp;$D$17&amp;"'!bespar_2043"),0)
+IFERROR(INDIRECT("'"&amp;$D$18&amp;"'!bespar_2043"),0)
+IFERROR(INDIRECT("'"&amp;$D$19&amp;"'!bespar_2043"),0)
+IFERROR(INDIRECT("'"&amp;$D$20&amp;"'!bespar_2043"),0)
+IFERROR(INDIRECT("'"&amp;$D$21&amp;"'!bespar_2043"),0)
+IFERROR(INDIRECT("'"&amp;$D$22&amp;"'!bespar_2043"),0)
+IFERROR(INDIRECT("'"&amp;$D$23&amp;"'!bespar_2043"),0)
+IFERROR(INDIRECT("'"&amp;$D$24&amp;"'!bespar_2043"),0)
+IFERROR(INDIRECT("'"&amp;$D$25&amp;"'!bespar_2043"),0)
+IFERROR(INDIRECT("'"&amp;$D$26&amp;"'!bespar_2043"),0)
+IFERROR(INDIRECT("'"&amp;$D$27&amp;"'!bespar_2043"),0)
+IFERROR(INDIRECT("'"&amp;$D$28&amp;"'!bespar_2043"),0)
+IFERROR(INDIRECT("'"&amp;$D$29&amp;"'!bespar_2043"),0)
+IFERROR(INDIRECT("'"&amp;$D$30&amp;"'!bespar_2043"),0)
+IFERROR(INDIRECT("'"&amp;$D$31&amp;"'!bespar_2043"),0)
+IFERROR(INDIRECT("'"&amp;$D$32&amp;"'!bespar_2043"),0)
+IFERROR(INDIRECT("'"&amp;$D$33&amp;"'!bespar_2043"),0)
+IFERROR(INDIRECT("'"&amp;$D$34&amp;"'!bespar_2043"),0)
+IFERROR(INDIRECT("'"&amp;$D$35&amp;"'!bespar_2043"),0)
+IFERROR(INDIRECT("'"&amp;$D$36&amp;"'!bespar_2043"),0)
+IFERROR(INDIRECT("'"&amp;$D$37&amp;"'!bespar_2043"),0)
+IFERROR(INDIRECT("'"&amp;$D$38&amp;"'!bespar_2043"),0)
+IFERROR(INDIRECT("'"&amp;$D$39&amp;"'!bespar_2043"),0)
+IFERROR(INDIRECT("'"&amp;$D$40&amp;"'!bespar_2043"),0)
+IFERROR(INDIRECT("'"&amp;$D$41&amp;"'!bespar_2043"),0)
+IFERROR(INDIRECT("'"&amp;$D$42&amp;"'!bespar_2043"),0)
+IFERROR(INDIRECT("'"&amp;$D$43&amp;"'!bespar_2043"),0)
+IFERROR(INDIRECT("'"&amp;$D$44&amp;"'!bespar_2043"),0)
+IFERROR(INDIRECT("'"&amp;$D$45&amp;"'!bespar_2043"),0)
+IFERROR(INDIRECT("'"&amp;$D$46&amp;"'!bespar_2043"),0)
+IFERROR(INDIRECT("'"&amp;$D$47&amp;"'!bespar_2043"),0)
+IFERROR(INDIRECT("'"&amp;$D$48&amp;"'!bespar_2043"),0)
+IFERROR(INDIRECT("'"&amp;$D$49&amp;"'!bespar_2043"),0)
+IFERROR(INDIRECT("'"&amp;$D$50&amp;"'!bespar_2043"),0)
+IFERROR(INDIRECT("'"&amp;$D$51&amp;"'!bespar_2043"),0)
+IFERROR(INDIRECT("'"&amp;$D$52&amp;"'!bespar_2043"),0)
+IFERROR(INDIRECT("'"&amp;$D$53&amp;"'!bespar_2043"),0)
+IFERROR(INDIRECT("'"&amp;$D$54&amp;"'!bespar_2043"),0)</f>
        <v>0</v>
      </c>
      <c r="AH48" s="321">
        <f ca="1">+IFERROR(INDIRECT("'"&amp;$D$5&amp;"'!bespar_2044"),0)
+IFERROR(INDIRECT("'"&amp;$D$6&amp;"'!bespar_2044"),0)
+IFERROR(INDIRECT("'"&amp;$D$7&amp;"'!bespar_2044"),0)
+IFERROR(INDIRECT("'"&amp;$D$8&amp;"'!bespar_2044"),0)
+IFERROR(INDIRECT("'"&amp;$D$9&amp;"'!bespar_2044"),0)
+IFERROR(INDIRECT("'"&amp;$D$10&amp;"'!bespar_2044"),0)
+IFERROR(INDIRECT("'"&amp;$D$11&amp;"'!bespar_2044"),0)
+IFERROR(INDIRECT("'"&amp;$D$12&amp;"'!bespar_2044"),0)
+IFERROR(INDIRECT("'"&amp;$D$13&amp;"'!bespar_2044"),0)
+IFERROR(INDIRECT("'"&amp;$D$14&amp;"'!bespar_2044"),0)
+IFERROR(INDIRECT("'"&amp;$D$15&amp;"'!bespar_2044"),0)
+IFERROR(INDIRECT("'"&amp;$D$16&amp;"'!bespar_2044"),0)
+IFERROR(INDIRECT("'"&amp;$D$17&amp;"'!bespar_2044"),0)
+IFERROR(INDIRECT("'"&amp;$D$18&amp;"'!bespar_2044"),0)
+IFERROR(INDIRECT("'"&amp;$D$19&amp;"'!bespar_2044"),0)
+IFERROR(INDIRECT("'"&amp;$D$20&amp;"'!bespar_2044"),0)
+IFERROR(INDIRECT("'"&amp;$D$21&amp;"'!bespar_2044"),0)
+IFERROR(INDIRECT("'"&amp;$D$22&amp;"'!bespar_2044"),0)
+IFERROR(INDIRECT("'"&amp;$D$23&amp;"'!bespar_2044"),0)
+IFERROR(INDIRECT("'"&amp;$D$24&amp;"'!bespar_2044"),0)
+IFERROR(INDIRECT("'"&amp;$D$25&amp;"'!bespar_2044"),0)
+IFERROR(INDIRECT("'"&amp;$D$26&amp;"'!bespar_2044"),0)
+IFERROR(INDIRECT("'"&amp;$D$27&amp;"'!bespar_2044"),0)
+IFERROR(INDIRECT("'"&amp;$D$28&amp;"'!bespar_2044"),0)
+IFERROR(INDIRECT("'"&amp;$D$29&amp;"'!bespar_2044"),0)
+IFERROR(INDIRECT("'"&amp;$D$30&amp;"'!bespar_2044"),0)
+IFERROR(INDIRECT("'"&amp;$D$31&amp;"'!bespar_2044"),0)
+IFERROR(INDIRECT("'"&amp;$D$32&amp;"'!bespar_2044"),0)
+IFERROR(INDIRECT("'"&amp;$D$33&amp;"'!bespar_2044"),0)
+IFERROR(INDIRECT("'"&amp;$D$34&amp;"'!bespar_2044"),0)
+IFERROR(INDIRECT("'"&amp;$D$35&amp;"'!bespar_2044"),0)
+IFERROR(INDIRECT("'"&amp;$D$36&amp;"'!bespar_2044"),0)
+IFERROR(INDIRECT("'"&amp;$D$37&amp;"'!bespar_2044"),0)
+IFERROR(INDIRECT("'"&amp;$D$38&amp;"'!bespar_2044"),0)
+IFERROR(INDIRECT("'"&amp;$D$39&amp;"'!bespar_2044"),0)
+IFERROR(INDIRECT("'"&amp;$D$40&amp;"'!bespar_2044"),0)
+IFERROR(INDIRECT("'"&amp;$D$41&amp;"'!bespar_2044"),0)
+IFERROR(INDIRECT("'"&amp;$D$42&amp;"'!bespar_2044"),0)
+IFERROR(INDIRECT("'"&amp;$D$43&amp;"'!bespar_2044"),0)
+IFERROR(INDIRECT("'"&amp;$D$44&amp;"'!bespar_2044"),0)
+IFERROR(INDIRECT("'"&amp;$D$45&amp;"'!bespar_2044"),0)
+IFERROR(INDIRECT("'"&amp;$D$46&amp;"'!bespar_2044"),0)
+IFERROR(INDIRECT("'"&amp;$D$47&amp;"'!bespar_2044"),0)
+IFERROR(INDIRECT("'"&amp;$D$48&amp;"'!bespar_2044"),0)
+IFERROR(INDIRECT("'"&amp;$D$49&amp;"'!bespar_2044"),0)
+IFERROR(INDIRECT("'"&amp;$D$50&amp;"'!bespar_2044"),0)
+IFERROR(INDIRECT("'"&amp;$D$51&amp;"'!bespar_2044"),0)
+IFERROR(INDIRECT("'"&amp;$D$52&amp;"'!bespar_2044"),0)
+IFERROR(INDIRECT("'"&amp;$D$53&amp;"'!bespar_2044"),0)
+IFERROR(INDIRECT("'"&amp;$D$54&amp;"'!bespar_2044"),0)</f>
        <v>0</v>
      </c>
      <c r="AI48" s="321">
        <f ca="1">+IFERROR(INDIRECT("'"&amp;$D$5&amp;"'!bespar_2045"),0)
+IFERROR(INDIRECT("'"&amp;$D$6&amp;"'!bespar_2045"),0)
+IFERROR(INDIRECT("'"&amp;$D$7&amp;"'!bespar_2045"),0)
+IFERROR(INDIRECT("'"&amp;$D$8&amp;"'!bespar_2045"),0)
+IFERROR(INDIRECT("'"&amp;$D$9&amp;"'!bespar_2045"),0)
+IFERROR(INDIRECT("'"&amp;$D$10&amp;"'!bespar_2045"),0)
+IFERROR(INDIRECT("'"&amp;$D$11&amp;"'!bespar_2045"),0)
+IFERROR(INDIRECT("'"&amp;$D$12&amp;"'!bespar_2045"),0)
+IFERROR(INDIRECT("'"&amp;$D$13&amp;"'!bespar_2045"),0)
+IFERROR(INDIRECT("'"&amp;$D$14&amp;"'!bespar_2045"),0)
+IFERROR(INDIRECT("'"&amp;$D$15&amp;"'!bespar_2045"),0)
+IFERROR(INDIRECT("'"&amp;$D$16&amp;"'!bespar_2045"),0)
+IFERROR(INDIRECT("'"&amp;$D$17&amp;"'!bespar_2045"),0)
+IFERROR(INDIRECT("'"&amp;$D$18&amp;"'!bespar_2045"),0)
+IFERROR(INDIRECT("'"&amp;$D$19&amp;"'!bespar_2045"),0)
+IFERROR(INDIRECT("'"&amp;$D$20&amp;"'!bespar_2045"),0)
+IFERROR(INDIRECT("'"&amp;$D$21&amp;"'!bespar_2045"),0)
+IFERROR(INDIRECT("'"&amp;$D$22&amp;"'!bespar_2045"),0)
+IFERROR(INDIRECT("'"&amp;$D$23&amp;"'!bespar_2045"),0)
+IFERROR(INDIRECT("'"&amp;$D$24&amp;"'!bespar_2045"),0)
+IFERROR(INDIRECT("'"&amp;$D$25&amp;"'!bespar_2045"),0)
+IFERROR(INDIRECT("'"&amp;$D$26&amp;"'!bespar_2045"),0)
+IFERROR(INDIRECT("'"&amp;$D$27&amp;"'!bespar_2045"),0)
+IFERROR(INDIRECT("'"&amp;$D$28&amp;"'!bespar_2045"),0)
+IFERROR(INDIRECT("'"&amp;$D$29&amp;"'!bespar_2045"),0)
+IFERROR(INDIRECT("'"&amp;$D$30&amp;"'!bespar_2045"),0)
+IFERROR(INDIRECT("'"&amp;$D$31&amp;"'!bespar_2045"),0)
+IFERROR(INDIRECT("'"&amp;$D$32&amp;"'!bespar_2045"),0)
+IFERROR(INDIRECT("'"&amp;$D$33&amp;"'!bespar_2045"),0)
+IFERROR(INDIRECT("'"&amp;$D$34&amp;"'!bespar_2045"),0)
+IFERROR(INDIRECT("'"&amp;$D$35&amp;"'!bespar_2045"),0)
+IFERROR(INDIRECT("'"&amp;$D$36&amp;"'!bespar_2045"),0)
+IFERROR(INDIRECT("'"&amp;$D$37&amp;"'!bespar_2045"),0)
+IFERROR(INDIRECT("'"&amp;$D$38&amp;"'!bespar_2045"),0)
+IFERROR(INDIRECT("'"&amp;$D$39&amp;"'!bespar_2045"),0)
+IFERROR(INDIRECT("'"&amp;$D$40&amp;"'!bespar_2045"),0)
+IFERROR(INDIRECT("'"&amp;$D$41&amp;"'!bespar_2045"),0)
+IFERROR(INDIRECT("'"&amp;$D$42&amp;"'!bespar_2045"),0)
+IFERROR(INDIRECT("'"&amp;$D$43&amp;"'!bespar_2045"),0)
+IFERROR(INDIRECT("'"&amp;$D$44&amp;"'!bespar_2045"),0)
+IFERROR(INDIRECT("'"&amp;$D$45&amp;"'!bespar_2045"),0)
+IFERROR(INDIRECT("'"&amp;$D$46&amp;"'!bespar_2045"),0)
+IFERROR(INDIRECT("'"&amp;$D$47&amp;"'!bespar_2045"),0)
+IFERROR(INDIRECT("'"&amp;$D$48&amp;"'!bespar_2045"),0)
+IFERROR(INDIRECT("'"&amp;$D$49&amp;"'!bespar_2045"),0)
+IFERROR(INDIRECT("'"&amp;$D$50&amp;"'!bespar_2045"),0)
+IFERROR(INDIRECT("'"&amp;$D$51&amp;"'!bespar_2045"),0)
+IFERROR(INDIRECT("'"&amp;$D$52&amp;"'!bespar_2045"),0)
+IFERROR(INDIRECT("'"&amp;$D$53&amp;"'!bespar_2045"),0)
+IFERROR(INDIRECT("'"&amp;$D$54&amp;"'!bespar_2045"),0)</f>
        <v>0</v>
      </c>
      <c r="AJ48" s="321">
        <f ca="1">+IFERROR(INDIRECT("'"&amp;$D$5&amp;"'!bespar_2046"),0)
+IFERROR(INDIRECT("'"&amp;$D$6&amp;"'!bespar_2046"),0)
+IFERROR(INDIRECT("'"&amp;$D$7&amp;"'!bespar_2046"),0)
+IFERROR(INDIRECT("'"&amp;$D$8&amp;"'!bespar_2046"),0)
+IFERROR(INDIRECT("'"&amp;$D$9&amp;"'!bespar_2046"),0)
+IFERROR(INDIRECT("'"&amp;$D$10&amp;"'!bespar_2046"),0)
+IFERROR(INDIRECT("'"&amp;$D$11&amp;"'!bespar_2046"),0)
+IFERROR(INDIRECT("'"&amp;$D$12&amp;"'!bespar_2046"),0)
+IFERROR(INDIRECT("'"&amp;$D$13&amp;"'!bespar_2046"),0)
+IFERROR(INDIRECT("'"&amp;$D$14&amp;"'!bespar_2046"),0)
+IFERROR(INDIRECT("'"&amp;$D$15&amp;"'!bespar_2046"),0)
+IFERROR(INDIRECT("'"&amp;$D$16&amp;"'!bespar_2046"),0)
+IFERROR(INDIRECT("'"&amp;$D$17&amp;"'!bespar_2046"),0)
+IFERROR(INDIRECT("'"&amp;$D$18&amp;"'!bespar_2046"),0)
+IFERROR(INDIRECT("'"&amp;$D$19&amp;"'!bespar_2046"),0)
+IFERROR(INDIRECT("'"&amp;$D$20&amp;"'!bespar_2046"),0)
+IFERROR(INDIRECT("'"&amp;$D$21&amp;"'!bespar_2046"),0)
+IFERROR(INDIRECT("'"&amp;$D$22&amp;"'!bespar_2046"),0)
+IFERROR(INDIRECT("'"&amp;$D$23&amp;"'!bespar_2046"),0)
+IFERROR(INDIRECT("'"&amp;$D$24&amp;"'!bespar_2046"),0)
+IFERROR(INDIRECT("'"&amp;$D$25&amp;"'!bespar_2046"),0)
+IFERROR(INDIRECT("'"&amp;$D$26&amp;"'!bespar_2046"),0)
+IFERROR(INDIRECT("'"&amp;$D$27&amp;"'!bespar_2046"),0)
+IFERROR(INDIRECT("'"&amp;$D$28&amp;"'!bespar_2046"),0)
+IFERROR(INDIRECT("'"&amp;$D$29&amp;"'!bespar_2046"),0)
+IFERROR(INDIRECT("'"&amp;$D$30&amp;"'!bespar_2046"),0)
+IFERROR(INDIRECT("'"&amp;$D$31&amp;"'!bespar_2046"),0)
+IFERROR(INDIRECT("'"&amp;$D$32&amp;"'!bespar_2046"),0)
+IFERROR(INDIRECT("'"&amp;$D$33&amp;"'!bespar_2046"),0)
+IFERROR(INDIRECT("'"&amp;$D$34&amp;"'!bespar_2046"),0)
+IFERROR(INDIRECT("'"&amp;$D$35&amp;"'!bespar_2046"),0)
+IFERROR(INDIRECT("'"&amp;$D$36&amp;"'!bespar_2046"),0)
+IFERROR(INDIRECT("'"&amp;$D$37&amp;"'!bespar_2046"),0)
+IFERROR(INDIRECT("'"&amp;$D$38&amp;"'!bespar_2046"),0)
+IFERROR(INDIRECT("'"&amp;$D$39&amp;"'!bespar_2046"),0)
+IFERROR(INDIRECT("'"&amp;$D$40&amp;"'!bespar_2046"),0)
+IFERROR(INDIRECT("'"&amp;$D$41&amp;"'!bespar_2046"),0)
+IFERROR(INDIRECT("'"&amp;$D$42&amp;"'!bespar_2046"),0)
+IFERROR(INDIRECT("'"&amp;$D$43&amp;"'!bespar_2046"),0)
+IFERROR(INDIRECT("'"&amp;$D$44&amp;"'!bespar_2046"),0)
+IFERROR(INDIRECT("'"&amp;$D$45&amp;"'!bespar_2046"),0)
+IFERROR(INDIRECT("'"&amp;$D$46&amp;"'!bespar_2046"),0)
+IFERROR(INDIRECT("'"&amp;$D$47&amp;"'!bespar_2046"),0)
+IFERROR(INDIRECT("'"&amp;$D$48&amp;"'!bespar_2046"),0)
+IFERROR(INDIRECT("'"&amp;$D$49&amp;"'!bespar_2046"),0)
+IFERROR(INDIRECT("'"&amp;$D$50&amp;"'!bespar_2046"),0)
+IFERROR(INDIRECT("'"&amp;$D$51&amp;"'!bespar_2046"),0)
+IFERROR(INDIRECT("'"&amp;$D$52&amp;"'!bespar_2046"),0)
+IFERROR(INDIRECT("'"&amp;$D$53&amp;"'!bespar_2046"),0)
+IFERROR(INDIRECT("'"&amp;$D$54&amp;"'!bespar_2046"),0)</f>
        <v>0</v>
      </c>
      <c r="AK48" s="321">
        <f ca="1">+IFERROR(INDIRECT("'"&amp;$D$5&amp;"'!bespar_2047"),0)
+IFERROR(INDIRECT("'"&amp;$D$6&amp;"'!bespar_2047"),0)
+IFERROR(INDIRECT("'"&amp;$D$7&amp;"'!bespar_2047"),0)
+IFERROR(INDIRECT("'"&amp;$D$8&amp;"'!bespar_2047"),0)
+IFERROR(INDIRECT("'"&amp;$D$9&amp;"'!bespar_2047"),0)
+IFERROR(INDIRECT("'"&amp;$D$10&amp;"'!bespar_2047"),0)
+IFERROR(INDIRECT("'"&amp;$D$11&amp;"'!bespar_2047"),0)
+IFERROR(INDIRECT("'"&amp;$D$12&amp;"'!bespar_2047"),0)
+IFERROR(INDIRECT("'"&amp;$D$13&amp;"'!bespar_2047"),0)
+IFERROR(INDIRECT("'"&amp;$D$14&amp;"'!bespar_2047"),0)
+IFERROR(INDIRECT("'"&amp;$D$15&amp;"'!bespar_2047"),0)
+IFERROR(INDIRECT("'"&amp;$D$16&amp;"'!bespar_2047"),0)
+IFERROR(INDIRECT("'"&amp;$D$17&amp;"'!bespar_2047"),0)
+IFERROR(INDIRECT("'"&amp;$D$18&amp;"'!bespar_2047"),0)
+IFERROR(INDIRECT("'"&amp;$D$19&amp;"'!bespar_2047"),0)
+IFERROR(INDIRECT("'"&amp;$D$20&amp;"'!bespar_2047"),0)
+IFERROR(INDIRECT("'"&amp;$D$21&amp;"'!bespar_2047"),0)
+IFERROR(INDIRECT("'"&amp;$D$22&amp;"'!bespar_2047"),0)
+IFERROR(INDIRECT("'"&amp;$D$23&amp;"'!bespar_2047"),0)
+IFERROR(INDIRECT("'"&amp;$D$24&amp;"'!bespar_2047"),0)
+IFERROR(INDIRECT("'"&amp;$D$25&amp;"'!bespar_2047"),0)
+IFERROR(INDIRECT("'"&amp;$D$26&amp;"'!bespar_2047"),0)
+IFERROR(INDIRECT("'"&amp;$D$27&amp;"'!bespar_2047"),0)
+IFERROR(INDIRECT("'"&amp;$D$28&amp;"'!bespar_2047"),0)
+IFERROR(INDIRECT("'"&amp;$D$29&amp;"'!bespar_2047"),0)
+IFERROR(INDIRECT("'"&amp;$D$30&amp;"'!bespar_2047"),0)
+IFERROR(INDIRECT("'"&amp;$D$31&amp;"'!bespar_2047"),0)
+IFERROR(INDIRECT("'"&amp;$D$32&amp;"'!bespar_2047"),0)
+IFERROR(INDIRECT("'"&amp;$D$33&amp;"'!bespar_2047"),0)
+IFERROR(INDIRECT("'"&amp;$D$34&amp;"'!bespar_2047"),0)
+IFERROR(INDIRECT("'"&amp;$D$35&amp;"'!bespar_2047"),0)
+IFERROR(INDIRECT("'"&amp;$D$36&amp;"'!bespar_2047"),0)
+IFERROR(INDIRECT("'"&amp;$D$37&amp;"'!bespar_2047"),0)
+IFERROR(INDIRECT("'"&amp;$D$38&amp;"'!bespar_2047"),0)
+IFERROR(INDIRECT("'"&amp;$D$39&amp;"'!bespar_2047"),0)
+IFERROR(INDIRECT("'"&amp;$D$40&amp;"'!bespar_2047"),0)
+IFERROR(INDIRECT("'"&amp;$D$41&amp;"'!bespar_2047"),0)
+IFERROR(INDIRECT("'"&amp;$D$42&amp;"'!bespar_2047"),0)
+IFERROR(INDIRECT("'"&amp;$D$43&amp;"'!bespar_2047"),0)
+IFERROR(INDIRECT("'"&amp;$D$44&amp;"'!bespar_2047"),0)
+IFERROR(INDIRECT("'"&amp;$D$45&amp;"'!bespar_2047"),0)
+IFERROR(INDIRECT("'"&amp;$D$46&amp;"'!bespar_2047"),0)
+IFERROR(INDIRECT("'"&amp;$D$47&amp;"'!bespar_2047"),0)
+IFERROR(INDIRECT("'"&amp;$D$48&amp;"'!bespar_2047"),0)
+IFERROR(INDIRECT("'"&amp;$D$49&amp;"'!bespar_2047"),0)
+IFERROR(INDIRECT("'"&amp;$D$50&amp;"'!bespar_2047"),0)
+IFERROR(INDIRECT("'"&amp;$D$51&amp;"'!bespar_2047"),0)
+IFERROR(INDIRECT("'"&amp;$D$52&amp;"'!bespar_2047"),0)
+IFERROR(INDIRECT("'"&amp;$D$53&amp;"'!bespar_2047"),0)
+IFERROR(INDIRECT("'"&amp;$D$54&amp;"'!bespar_2047"),0)</f>
        <v>0</v>
      </c>
      <c r="AL48" s="321">
        <f ca="1">+IFERROR(INDIRECT("'"&amp;$D$5&amp;"'!bespar_2048"),0)
+IFERROR(INDIRECT("'"&amp;$D$6&amp;"'!bespar_2048"),0)
+IFERROR(INDIRECT("'"&amp;$D$7&amp;"'!bespar_2048"),0)
+IFERROR(INDIRECT("'"&amp;$D$8&amp;"'!bespar_2048"),0)
+IFERROR(INDIRECT("'"&amp;$D$9&amp;"'!bespar_2048"),0)
+IFERROR(INDIRECT("'"&amp;$D$10&amp;"'!bespar_2048"),0)
+IFERROR(INDIRECT("'"&amp;$D$11&amp;"'!bespar_2048"),0)
+IFERROR(INDIRECT("'"&amp;$D$12&amp;"'!bespar_2048"),0)
+IFERROR(INDIRECT("'"&amp;$D$13&amp;"'!bespar_2048"),0)
+IFERROR(INDIRECT("'"&amp;$D$14&amp;"'!bespar_2048"),0)
+IFERROR(INDIRECT("'"&amp;$D$15&amp;"'!bespar_2048"),0)
+IFERROR(INDIRECT("'"&amp;$D$16&amp;"'!bespar_2048"),0)
+IFERROR(INDIRECT("'"&amp;$D$17&amp;"'!bespar_2048"),0)
+IFERROR(INDIRECT("'"&amp;$D$18&amp;"'!bespar_2048"),0)
+IFERROR(INDIRECT("'"&amp;$D$19&amp;"'!bespar_2048"),0)
+IFERROR(INDIRECT("'"&amp;$D$20&amp;"'!bespar_2048"),0)
+IFERROR(INDIRECT("'"&amp;$D$21&amp;"'!bespar_2048"),0)
+IFERROR(INDIRECT("'"&amp;$D$22&amp;"'!bespar_2048"),0)
+IFERROR(INDIRECT("'"&amp;$D$23&amp;"'!bespar_2048"),0)
+IFERROR(INDIRECT("'"&amp;$D$24&amp;"'!bespar_2048"),0)
+IFERROR(INDIRECT("'"&amp;$D$25&amp;"'!bespar_2048"),0)
+IFERROR(INDIRECT("'"&amp;$D$26&amp;"'!bespar_2048"),0)
+IFERROR(INDIRECT("'"&amp;$D$27&amp;"'!bespar_2048"),0)
+IFERROR(INDIRECT("'"&amp;$D$28&amp;"'!bespar_2048"),0)
+IFERROR(INDIRECT("'"&amp;$D$29&amp;"'!bespar_2048"),0)
+IFERROR(INDIRECT("'"&amp;$D$30&amp;"'!bespar_2048"),0)
+IFERROR(INDIRECT("'"&amp;$D$31&amp;"'!bespar_2048"),0)
+IFERROR(INDIRECT("'"&amp;$D$32&amp;"'!bespar_2048"),0)
+IFERROR(INDIRECT("'"&amp;$D$33&amp;"'!bespar_2048"),0)
+IFERROR(INDIRECT("'"&amp;$D$34&amp;"'!bespar_2048"),0)
+IFERROR(INDIRECT("'"&amp;$D$35&amp;"'!bespar_2048"),0)
+IFERROR(INDIRECT("'"&amp;$D$36&amp;"'!bespar_2048"),0)
+IFERROR(INDIRECT("'"&amp;$D$37&amp;"'!bespar_2048"),0)
+IFERROR(INDIRECT("'"&amp;$D$38&amp;"'!bespar_2048"),0)
+IFERROR(INDIRECT("'"&amp;$D$39&amp;"'!bespar_2048"),0)
+IFERROR(INDIRECT("'"&amp;$D$40&amp;"'!bespar_2048"),0)
+IFERROR(INDIRECT("'"&amp;$D$41&amp;"'!bespar_2048"),0)
+IFERROR(INDIRECT("'"&amp;$D$42&amp;"'!bespar_2048"),0)
+IFERROR(INDIRECT("'"&amp;$D$43&amp;"'!bespar_2048"),0)
+IFERROR(INDIRECT("'"&amp;$D$44&amp;"'!bespar_2048"),0)
+IFERROR(INDIRECT("'"&amp;$D$45&amp;"'!bespar_2048"),0)
+IFERROR(INDIRECT("'"&amp;$D$46&amp;"'!bespar_2048"),0)
+IFERROR(INDIRECT("'"&amp;$D$47&amp;"'!bespar_2048"),0)
+IFERROR(INDIRECT("'"&amp;$D$48&amp;"'!bespar_2048"),0)
+IFERROR(INDIRECT("'"&amp;$D$49&amp;"'!bespar_2048"),0)
+IFERROR(INDIRECT("'"&amp;$D$50&amp;"'!bespar_2048"),0)
+IFERROR(INDIRECT("'"&amp;$D$51&amp;"'!bespar_2048"),0)
+IFERROR(INDIRECT("'"&amp;$D$52&amp;"'!bespar_2048"),0)
+IFERROR(INDIRECT("'"&amp;$D$53&amp;"'!bespar_2048"),0)
+IFERROR(INDIRECT("'"&amp;$D$54&amp;"'!bespar_2048"),0)</f>
        <v>0</v>
      </c>
      <c r="AM48" s="321">
        <f ca="1">+IFERROR(INDIRECT("'"&amp;$D$5&amp;"'!bespar_2049"),0)
+IFERROR(INDIRECT("'"&amp;$D$6&amp;"'!bespar_2049"),0)
+IFERROR(INDIRECT("'"&amp;$D$7&amp;"'!bespar_2049"),0)
+IFERROR(INDIRECT("'"&amp;$D$8&amp;"'!bespar_2049"),0)
+IFERROR(INDIRECT("'"&amp;$D$9&amp;"'!bespar_2049"),0)
+IFERROR(INDIRECT("'"&amp;$D$10&amp;"'!bespar_2049"),0)
+IFERROR(INDIRECT("'"&amp;$D$11&amp;"'!bespar_2049"),0)
+IFERROR(INDIRECT("'"&amp;$D$12&amp;"'!bespar_2049"),0)
+IFERROR(INDIRECT("'"&amp;$D$13&amp;"'!bespar_2049"),0)
+IFERROR(INDIRECT("'"&amp;$D$14&amp;"'!bespar_2049"),0)
+IFERROR(INDIRECT("'"&amp;$D$15&amp;"'!bespar_2049"),0)
+IFERROR(INDIRECT("'"&amp;$D$16&amp;"'!bespar_2049"),0)
+IFERROR(INDIRECT("'"&amp;$D$17&amp;"'!bespar_2049"),0)
+IFERROR(INDIRECT("'"&amp;$D$18&amp;"'!bespar_2049"),0)
+IFERROR(INDIRECT("'"&amp;$D$19&amp;"'!bespar_2049"),0)
+IFERROR(INDIRECT("'"&amp;$D$20&amp;"'!bespar_2049"),0)
+IFERROR(INDIRECT("'"&amp;$D$21&amp;"'!bespar_2049"),0)
+IFERROR(INDIRECT("'"&amp;$D$22&amp;"'!bespar_2049"),0)
+IFERROR(INDIRECT("'"&amp;$D$23&amp;"'!bespar_2049"),0)
+IFERROR(INDIRECT("'"&amp;$D$24&amp;"'!bespar_2049"),0)
+IFERROR(INDIRECT("'"&amp;$D$25&amp;"'!bespar_2049"),0)
+IFERROR(INDIRECT("'"&amp;$D$26&amp;"'!bespar_2049"),0)
+IFERROR(INDIRECT("'"&amp;$D$27&amp;"'!bespar_2049"),0)
+IFERROR(INDIRECT("'"&amp;$D$28&amp;"'!bespar_2049"),0)
+IFERROR(INDIRECT("'"&amp;$D$29&amp;"'!bespar_2049"),0)
+IFERROR(INDIRECT("'"&amp;$D$30&amp;"'!bespar_2049"),0)
+IFERROR(INDIRECT("'"&amp;$D$31&amp;"'!bespar_2049"),0)
+IFERROR(INDIRECT("'"&amp;$D$32&amp;"'!bespar_2049"),0)
+IFERROR(INDIRECT("'"&amp;$D$33&amp;"'!bespar_2049"),0)
+IFERROR(INDIRECT("'"&amp;$D$34&amp;"'!bespar_2049"),0)
+IFERROR(INDIRECT("'"&amp;$D$35&amp;"'!bespar_2049"),0)
+IFERROR(INDIRECT("'"&amp;$D$36&amp;"'!bespar_2049"),0)
+IFERROR(INDIRECT("'"&amp;$D$37&amp;"'!bespar_2049"),0)
+IFERROR(INDIRECT("'"&amp;$D$38&amp;"'!bespar_2049"),0)
+IFERROR(INDIRECT("'"&amp;$D$39&amp;"'!bespar_2049"),0)
+IFERROR(INDIRECT("'"&amp;$D$40&amp;"'!bespar_2049"),0)
+IFERROR(INDIRECT("'"&amp;$D$41&amp;"'!bespar_2049"),0)
+IFERROR(INDIRECT("'"&amp;$D$42&amp;"'!bespar_2049"),0)
+IFERROR(INDIRECT("'"&amp;$D$43&amp;"'!bespar_2049"),0)
+IFERROR(INDIRECT("'"&amp;$D$44&amp;"'!bespar_2049"),0)
+IFERROR(INDIRECT("'"&amp;$D$45&amp;"'!bespar_2049"),0)
+IFERROR(INDIRECT("'"&amp;$D$46&amp;"'!bespar_2049"),0)
+IFERROR(INDIRECT("'"&amp;$D$47&amp;"'!bespar_2049"),0)
+IFERROR(INDIRECT("'"&amp;$D$48&amp;"'!bespar_2049"),0)
+IFERROR(INDIRECT("'"&amp;$D$49&amp;"'!bespar_2049"),0)
+IFERROR(INDIRECT("'"&amp;$D$50&amp;"'!bespar_2049"),0)
+IFERROR(INDIRECT("'"&amp;$D$51&amp;"'!bespar_2049"),0)
+IFERROR(INDIRECT("'"&amp;$D$52&amp;"'!bespar_2049"),0)
+IFERROR(INDIRECT("'"&amp;$D$53&amp;"'!bespar_2049"),0)
+IFERROR(INDIRECT("'"&amp;$D$54&amp;"'!bespar_2049"),0)</f>
        <v>0</v>
      </c>
      <c r="AN48" s="321">
        <f ca="1">+IFERROR(INDIRECT("'"&amp;$D$5&amp;"'!bespar_2050"),0)
+IFERROR(INDIRECT("'"&amp;$D$6&amp;"'!bespar_2050"),0)
+IFERROR(INDIRECT("'"&amp;$D$7&amp;"'!bespar_2050"),0)
+IFERROR(INDIRECT("'"&amp;$D$8&amp;"'!bespar_2050"),0)
+IFERROR(INDIRECT("'"&amp;$D$9&amp;"'!bespar_2050"),0)
+IFERROR(INDIRECT("'"&amp;$D$10&amp;"'!bespar_2050"),0)
+IFERROR(INDIRECT("'"&amp;$D$11&amp;"'!bespar_2050"),0)
+IFERROR(INDIRECT("'"&amp;$D$12&amp;"'!bespar_2050"),0)
+IFERROR(INDIRECT("'"&amp;$D$13&amp;"'!bespar_2050"),0)
+IFERROR(INDIRECT("'"&amp;$D$14&amp;"'!bespar_2050"),0)
+IFERROR(INDIRECT("'"&amp;$D$15&amp;"'!bespar_2050"),0)
+IFERROR(INDIRECT("'"&amp;$D$16&amp;"'!bespar_2050"),0)
+IFERROR(INDIRECT("'"&amp;$D$17&amp;"'!bespar_2050"),0)
+IFERROR(INDIRECT("'"&amp;$D$18&amp;"'!bespar_2050"),0)
+IFERROR(INDIRECT("'"&amp;$D$19&amp;"'!bespar_2050"),0)
+IFERROR(INDIRECT("'"&amp;$D$20&amp;"'!bespar_2050"),0)
+IFERROR(INDIRECT("'"&amp;$D$21&amp;"'!bespar_2050"),0)
+IFERROR(INDIRECT("'"&amp;$D$22&amp;"'!bespar_2050"),0)
+IFERROR(INDIRECT("'"&amp;$D$23&amp;"'!bespar_2050"),0)
+IFERROR(INDIRECT("'"&amp;$D$24&amp;"'!bespar_2050"),0)
+IFERROR(INDIRECT("'"&amp;$D$25&amp;"'!bespar_2050"),0)
+IFERROR(INDIRECT("'"&amp;$D$26&amp;"'!bespar_2050"),0)
+IFERROR(INDIRECT("'"&amp;$D$27&amp;"'!bespar_2050"),0)
+IFERROR(INDIRECT("'"&amp;$D$28&amp;"'!bespar_2050"),0)
+IFERROR(INDIRECT("'"&amp;$D$29&amp;"'!bespar_2050"),0)
+IFERROR(INDIRECT("'"&amp;$D$30&amp;"'!bespar_2050"),0)
+IFERROR(INDIRECT("'"&amp;$D$31&amp;"'!bespar_2050"),0)
+IFERROR(INDIRECT("'"&amp;$D$32&amp;"'!bespar_2050"),0)
+IFERROR(INDIRECT("'"&amp;$D$33&amp;"'!bespar_2050"),0)
+IFERROR(INDIRECT("'"&amp;$D$34&amp;"'!bespar_2050"),0)
+IFERROR(INDIRECT("'"&amp;$D$35&amp;"'!bespar_2050"),0)
+IFERROR(INDIRECT("'"&amp;$D$36&amp;"'!bespar_2050"),0)
+IFERROR(INDIRECT("'"&amp;$D$37&amp;"'!bespar_2050"),0)
+IFERROR(INDIRECT("'"&amp;$D$38&amp;"'!bespar_2050"),0)
+IFERROR(INDIRECT("'"&amp;$D$39&amp;"'!bespar_2050"),0)
+IFERROR(INDIRECT("'"&amp;$D$40&amp;"'!bespar_2050"),0)
+IFERROR(INDIRECT("'"&amp;$D$41&amp;"'!bespar_2050"),0)
+IFERROR(INDIRECT("'"&amp;$D$42&amp;"'!bespar_2050"),0)
+IFERROR(INDIRECT("'"&amp;$D$43&amp;"'!bespar_2050"),0)
+IFERROR(INDIRECT("'"&amp;$D$44&amp;"'!bespar_2050"),0)
+IFERROR(INDIRECT("'"&amp;$D$45&amp;"'!bespar_2050"),0)
+IFERROR(INDIRECT("'"&amp;$D$46&amp;"'!bespar_2050"),0)
+IFERROR(INDIRECT("'"&amp;$D$47&amp;"'!bespar_2050"),0)
+IFERROR(INDIRECT("'"&amp;$D$48&amp;"'!bespar_2050"),0)
+IFERROR(INDIRECT("'"&amp;$D$49&amp;"'!bespar_2050"),0)
+IFERROR(INDIRECT("'"&amp;$D$50&amp;"'!bespar_2050"),0)
+IFERROR(INDIRECT("'"&amp;$D$51&amp;"'!bespar_2050"),0)
+IFERROR(INDIRECT("'"&amp;$D$52&amp;"'!bespar_2050"),0)
+IFERROR(INDIRECT("'"&amp;$D$53&amp;"'!bespar_2050"),0)
+IFERROR(INDIRECT("'"&amp;$D$54&amp;"'!bespar_2050"),0)</f>
        <v>0</v>
      </c>
      <c r="AO48" s="8"/>
    </row>
    <row r="49" spans="2:41" ht="18.75">
      <c r="B49" s="8"/>
      <c r="C49" s="279" t="s">
        <v>86</v>
      </c>
      <c r="D49" s="115"/>
      <c r="E49" s="8"/>
      <c r="F49" s="8"/>
      <c r="G49" s="301" t="s">
        <v>688</v>
      </c>
      <c r="H49" s="338">
        <f ca="1">+IFERROR(INDIRECT("'"&amp;$D$5&amp;"'!besparcum_2018"),0)
+IFERROR(INDIRECT("'"&amp;$D$6&amp;"'!besparcum_2018"),0)
+IFERROR(INDIRECT("'"&amp;$D$7&amp;"'!besparcum_2018"),0)
+IFERROR(INDIRECT("'"&amp;$D$8&amp;"'!besparcum_2018"),0)
+IFERROR(INDIRECT("'"&amp;$D$9&amp;"'!besparcum_2018"),0)
+IFERROR(INDIRECT("'"&amp;$D$10&amp;"'!besparcum_2018"),0)
+IFERROR(INDIRECT("'"&amp;$D$11&amp;"'!besparcum_2018"),0)
+IFERROR(INDIRECT("'"&amp;$D$12&amp;"'!besparcum_2018"),0)
+IFERROR(INDIRECT("'"&amp;$D$13&amp;"'!besparcum_2018"),0)
+IFERROR(INDIRECT("'"&amp;$D$14&amp;"'!besparcum_2018"),0)
+IFERROR(INDIRECT("'"&amp;$D$15&amp;"'!besparcum_2018"),0)
+IFERROR(INDIRECT("'"&amp;$D$16&amp;"'!besparcum_2018"),0)
+IFERROR(INDIRECT("'"&amp;$D$17&amp;"'!besparcum_2018"),0)
+IFERROR(INDIRECT("'"&amp;$D$18&amp;"'!besparcum_2018"),0)
+IFERROR(INDIRECT("'"&amp;$D$19&amp;"'!besparcum_2018"),0)
+IFERROR(INDIRECT("'"&amp;$D$20&amp;"'!besparcum_2018"),0)
+IFERROR(INDIRECT("'"&amp;$D$21&amp;"'!besparcum_2018"),0)
+IFERROR(INDIRECT("'"&amp;$D$22&amp;"'!besparcum_2018"),0)
+IFERROR(INDIRECT("'"&amp;$D$23&amp;"'!besparcum_2018"),0)
+IFERROR(INDIRECT("'"&amp;$D$24&amp;"'!besparcum_2018"),0)
+IFERROR(INDIRECT("'"&amp;$D$25&amp;"'!besparcum_2018"),0)
+IFERROR(INDIRECT("'"&amp;$D$26&amp;"'!besparcum_2018"),0)
+IFERROR(INDIRECT("'"&amp;$D$27&amp;"'!besparcum_2018"),0)
+IFERROR(INDIRECT("'"&amp;$D$28&amp;"'!besparcum_2018"),0)
+IFERROR(INDIRECT("'"&amp;$D$29&amp;"'!besparcum_2018"),0)
+IFERROR(INDIRECT("'"&amp;$D$30&amp;"'!besparcum_2018"),0)
+IFERROR(INDIRECT("'"&amp;$D$31&amp;"'!besparcum_2018"),0)
+IFERROR(INDIRECT("'"&amp;$D$32&amp;"'!besparcum_2018"),0)
+IFERROR(INDIRECT("'"&amp;$D$33&amp;"'!besparcum_2018"),0)
+IFERROR(INDIRECT("'"&amp;$D$34&amp;"'!besparcum_2018"),0)
+IFERROR(INDIRECT("'"&amp;$D$35&amp;"'!besparcum_2018"),0)
+IFERROR(INDIRECT("'"&amp;$D$36&amp;"'!besparcum_2018"),0)
+IFERROR(INDIRECT("'"&amp;$D$37&amp;"'!besparcum_2018"),0)
+IFERROR(INDIRECT("'"&amp;$D$38&amp;"'!besparcum_2018"),0)
+IFERROR(INDIRECT("'"&amp;$D$39&amp;"'!besparcum_2018"),0)
+IFERROR(INDIRECT("'"&amp;$D$40&amp;"'!besparcum_2018"),0)
+IFERROR(INDIRECT("'"&amp;$D$41&amp;"'!besparcum_2018"),0)
+IFERROR(INDIRECT("'"&amp;$D$42&amp;"'!besparcum_2018"),0)
+IFERROR(INDIRECT("'"&amp;$D$43&amp;"'!besparcum_2018"),0)
+IFERROR(INDIRECT("'"&amp;$D$44&amp;"'!besparcum_2018"),0)
+IFERROR(INDIRECT("'"&amp;$D$45&amp;"'!besparcum_2018"),0)
+IFERROR(INDIRECT("'"&amp;$D$46&amp;"'!besparcum_2018"),0)
+IFERROR(INDIRECT("'"&amp;$D$47&amp;"'!besparcum_2018"),0)
+IFERROR(INDIRECT("'"&amp;$D$48&amp;"'!besparcum_2018"),0)
+IFERROR(INDIRECT("'"&amp;$D$49&amp;"'!besparcum_2018"),0)
+IFERROR(INDIRECT("'"&amp;$D$50&amp;"'!besparcum_2018"),0)
+IFERROR(INDIRECT("'"&amp;$D$51&amp;"'!besparcum_2018"),0)
+IFERROR(INDIRECT("'"&amp;$D$52&amp;"'!besparcum_2018"),0)
+IFERROR(INDIRECT("'"&amp;$D$53&amp;"'!besparcum_2018"),0)
+IFERROR(INDIRECT("'"&amp;$D$54&amp;"'!besparcum_2018"),0)</f>
        <v>0</v>
      </c>
      <c r="I49" s="338">
        <f ca="1">+IFERROR(INDIRECT("'"&amp;$D$5&amp;"'!besparcum_2019"),0)
+IFERROR(INDIRECT("'"&amp;$D$6&amp;"'!besparcum_2019"),0)
+IFERROR(INDIRECT("'"&amp;$D$7&amp;"'!besparcum_2019"),0)
+IFERROR(INDIRECT("'"&amp;$D$8&amp;"'!besparcum_2019"),0)
+IFERROR(INDIRECT("'"&amp;$D$9&amp;"'!besparcum_2019"),0)
+IFERROR(INDIRECT("'"&amp;$D$10&amp;"'!besparcum_2019"),0)
+IFERROR(INDIRECT("'"&amp;$D$11&amp;"'!besparcum_2019"),0)
+IFERROR(INDIRECT("'"&amp;$D$12&amp;"'!besparcum_2019"),0)
+IFERROR(INDIRECT("'"&amp;$D$13&amp;"'!besparcum_2019"),0)
+IFERROR(INDIRECT("'"&amp;$D$14&amp;"'!besparcum_2019"),0)
+IFERROR(INDIRECT("'"&amp;$D$15&amp;"'!besparcum_2019"),0)
+IFERROR(INDIRECT("'"&amp;$D$16&amp;"'!besparcum_2019"),0)
+IFERROR(INDIRECT("'"&amp;$D$17&amp;"'!besparcum_2019"),0)
+IFERROR(INDIRECT("'"&amp;$D$18&amp;"'!besparcum_2019"),0)
+IFERROR(INDIRECT("'"&amp;$D$19&amp;"'!besparcum_2019"),0)
+IFERROR(INDIRECT("'"&amp;$D$20&amp;"'!besparcum_2019"),0)
+IFERROR(INDIRECT("'"&amp;$D$21&amp;"'!besparcum_2019"),0)
+IFERROR(INDIRECT("'"&amp;$D$22&amp;"'!besparcum_2019"),0)
+IFERROR(INDIRECT("'"&amp;$D$23&amp;"'!besparcum_2019"),0)
+IFERROR(INDIRECT("'"&amp;$D$24&amp;"'!besparcum_2019"),0)
+IFERROR(INDIRECT("'"&amp;$D$25&amp;"'!besparcum_2019"),0)
+IFERROR(INDIRECT("'"&amp;$D$26&amp;"'!besparcum_2019"),0)
+IFERROR(INDIRECT("'"&amp;$D$27&amp;"'!besparcum_2019"),0)
+IFERROR(INDIRECT("'"&amp;$D$28&amp;"'!besparcum_2019"),0)
+IFERROR(INDIRECT("'"&amp;$D$29&amp;"'!besparcum_2019"),0)
+IFERROR(INDIRECT("'"&amp;$D$30&amp;"'!besparcum_2019"),0)
+IFERROR(INDIRECT("'"&amp;$D$31&amp;"'!besparcum_2019"),0)
+IFERROR(INDIRECT("'"&amp;$D$32&amp;"'!besparcum_2019"),0)
+IFERROR(INDIRECT("'"&amp;$D$33&amp;"'!besparcum_2019"),0)
+IFERROR(INDIRECT("'"&amp;$D$34&amp;"'!besparcum_2019"),0)
+IFERROR(INDIRECT("'"&amp;$D$35&amp;"'!besparcum_2019"),0)
+IFERROR(INDIRECT("'"&amp;$D$36&amp;"'!besparcum_2019"),0)
+IFERROR(INDIRECT("'"&amp;$D$37&amp;"'!besparcum_2019"),0)
+IFERROR(INDIRECT("'"&amp;$D$38&amp;"'!besparcum_2019"),0)
+IFERROR(INDIRECT("'"&amp;$D$39&amp;"'!besparcum_2019"),0)
+IFERROR(INDIRECT("'"&amp;$D$40&amp;"'!besparcum_2019"),0)
+IFERROR(INDIRECT("'"&amp;$D$41&amp;"'!besparcum_2019"),0)
+IFERROR(INDIRECT("'"&amp;$D$42&amp;"'!besparcum_2019"),0)
+IFERROR(INDIRECT("'"&amp;$D$43&amp;"'!besparcum_2019"),0)
+IFERROR(INDIRECT("'"&amp;$D$44&amp;"'!besparcum_2019"),0)
+IFERROR(INDIRECT("'"&amp;$D$45&amp;"'!besparcum_2019"),0)
+IFERROR(INDIRECT("'"&amp;$D$46&amp;"'!besparcum_2019"),0)
+IFERROR(INDIRECT("'"&amp;$D$47&amp;"'!besparcum_2019"),0)
+IFERROR(INDIRECT("'"&amp;$D$48&amp;"'!besparcum_2019"),0)
+IFERROR(INDIRECT("'"&amp;$D$49&amp;"'!besparcum_2019"),0)
+IFERROR(INDIRECT("'"&amp;$D$50&amp;"'!besparcum_2019"),0)
+IFERROR(INDIRECT("'"&amp;$D$51&amp;"'!besparcum_2019"),0)
+IFERROR(INDIRECT("'"&amp;$D$52&amp;"'!besparcum_2019"),0)
+IFERROR(INDIRECT("'"&amp;$D$53&amp;"'!besparcum_2019"),0)
+IFERROR(INDIRECT("'"&amp;$D$54&amp;"'!besparcum_2019"),0)</f>
        <v>0</v>
      </c>
      <c r="J49" s="338">
        <f ca="1">+IFERROR(INDIRECT("'"&amp;$D$5&amp;"'!besparcum_2020"),0)
+IFERROR(INDIRECT("'"&amp;$D$6&amp;"'!besparcum_2020"),0)
+IFERROR(INDIRECT("'"&amp;$D$7&amp;"'!besparcum_2020"),0)
+IFERROR(INDIRECT("'"&amp;$D$8&amp;"'!besparcum_2020"),0)
+IFERROR(INDIRECT("'"&amp;$D$9&amp;"'!besparcum_2020"),0)
+IFERROR(INDIRECT("'"&amp;$D$10&amp;"'!besparcum_2020"),0)
+IFERROR(INDIRECT("'"&amp;$D$11&amp;"'!besparcum_2020"),0)
+IFERROR(INDIRECT("'"&amp;$D$12&amp;"'!besparcum_2020"),0)
+IFERROR(INDIRECT("'"&amp;$D$13&amp;"'!besparcum_2020"),0)
+IFERROR(INDIRECT("'"&amp;$D$14&amp;"'!besparcum_2020"),0)
+IFERROR(INDIRECT("'"&amp;$D$15&amp;"'!besparcum_2020"),0)
+IFERROR(INDIRECT("'"&amp;$D$16&amp;"'!besparcum_2020"),0)
+IFERROR(INDIRECT("'"&amp;$D$17&amp;"'!besparcum_2020"),0)
+IFERROR(INDIRECT("'"&amp;$D$18&amp;"'!besparcum_2020"),0)
+IFERROR(INDIRECT("'"&amp;$D$19&amp;"'!besparcum_2020"),0)
+IFERROR(INDIRECT("'"&amp;$D$20&amp;"'!besparcum_2020"),0)
+IFERROR(INDIRECT("'"&amp;$D$21&amp;"'!besparcum_2020"),0)
+IFERROR(INDIRECT("'"&amp;$D$22&amp;"'!besparcum_2020"),0)
+IFERROR(INDIRECT("'"&amp;$D$23&amp;"'!besparcum_2020"),0)
+IFERROR(INDIRECT("'"&amp;$D$24&amp;"'!besparcum_2020"),0)
+IFERROR(INDIRECT("'"&amp;$D$25&amp;"'!besparcum_2020"),0)
+IFERROR(INDIRECT("'"&amp;$D$26&amp;"'!besparcum_2020"),0)
+IFERROR(INDIRECT("'"&amp;$D$27&amp;"'!besparcum_2020"),0)
+IFERROR(INDIRECT("'"&amp;$D$28&amp;"'!besparcum_2020"),0)
+IFERROR(INDIRECT("'"&amp;$D$29&amp;"'!besparcum_2020"),0)
+IFERROR(INDIRECT("'"&amp;$D$30&amp;"'!besparcum_2020"),0)
+IFERROR(INDIRECT("'"&amp;$D$31&amp;"'!besparcum_2020"),0)
+IFERROR(INDIRECT("'"&amp;$D$32&amp;"'!besparcum_2020"),0)
+IFERROR(INDIRECT("'"&amp;$D$33&amp;"'!besparcum_2020"),0)
+IFERROR(INDIRECT("'"&amp;$D$34&amp;"'!besparcum_2020"),0)
+IFERROR(INDIRECT("'"&amp;$D$35&amp;"'!besparcum_2020"),0)
+IFERROR(INDIRECT("'"&amp;$D$36&amp;"'!besparcum_2020"),0)
+IFERROR(INDIRECT("'"&amp;$D$37&amp;"'!besparcum_2020"),0)
+IFERROR(INDIRECT("'"&amp;$D$38&amp;"'!besparcum_2020"),0)
+IFERROR(INDIRECT("'"&amp;$D$39&amp;"'!besparcum_2020"),0)
+IFERROR(INDIRECT("'"&amp;$D$40&amp;"'!besparcum_2020"),0)
+IFERROR(INDIRECT("'"&amp;$D$41&amp;"'!besparcum_2020"),0)
+IFERROR(INDIRECT("'"&amp;$D$42&amp;"'!besparcum_2020"),0)
+IFERROR(INDIRECT("'"&amp;$D$43&amp;"'!besparcum_2020"),0)
+IFERROR(INDIRECT("'"&amp;$D$44&amp;"'!besparcum_2020"),0)
+IFERROR(INDIRECT("'"&amp;$D$45&amp;"'!besparcum_2020"),0)
+IFERROR(INDIRECT("'"&amp;$D$46&amp;"'!besparcum_2020"),0)
+IFERROR(INDIRECT("'"&amp;$D$47&amp;"'!besparcum_2020"),0)
+IFERROR(INDIRECT("'"&amp;$D$48&amp;"'!besparcum_2020"),0)
+IFERROR(INDIRECT("'"&amp;$D$49&amp;"'!besparcum_2020"),0)
+IFERROR(INDIRECT("'"&amp;$D$50&amp;"'!besparcum_2020"),0)
+IFERROR(INDIRECT("'"&amp;$D$51&amp;"'!besparcum_2020"),0)
+IFERROR(INDIRECT("'"&amp;$D$52&amp;"'!besparcum_2020"),0)
+IFERROR(INDIRECT("'"&amp;$D$53&amp;"'!besparcum_2020"),0)
+IFERROR(INDIRECT("'"&amp;$D$54&amp;"'!besparcum_2020"),0)</f>
        <v>0</v>
      </c>
      <c r="K49" s="338">
        <f ca="1">+IFERROR(INDIRECT("'"&amp;$D$5&amp;"'!besparcum_2021"),0)
+IFERROR(INDIRECT("'"&amp;$D$6&amp;"'!besparcum_2021"),0)
+IFERROR(INDIRECT("'"&amp;$D$7&amp;"'!besparcum_2021"),0)
+IFERROR(INDIRECT("'"&amp;$D$8&amp;"'!besparcum_2021"),0)
+IFERROR(INDIRECT("'"&amp;$D$9&amp;"'!besparcum_2021"),0)
+IFERROR(INDIRECT("'"&amp;$D$10&amp;"'!besparcum_2021"),0)
+IFERROR(INDIRECT("'"&amp;$D$11&amp;"'!besparcum_2021"),0)
+IFERROR(INDIRECT("'"&amp;$D$12&amp;"'!besparcum_2021"),0)
+IFERROR(INDIRECT("'"&amp;$D$13&amp;"'!besparcum_2021"),0)
+IFERROR(INDIRECT("'"&amp;$D$14&amp;"'!besparcum_2021"),0)
+IFERROR(INDIRECT("'"&amp;$D$15&amp;"'!besparcum_2021"),0)
+IFERROR(INDIRECT("'"&amp;$D$16&amp;"'!besparcum_2021"),0)
+IFERROR(INDIRECT("'"&amp;$D$17&amp;"'!besparcum_2021"),0)
+IFERROR(INDIRECT("'"&amp;$D$18&amp;"'!besparcum_2021"),0)
+IFERROR(INDIRECT("'"&amp;$D$19&amp;"'!besparcum_2021"),0)
+IFERROR(INDIRECT("'"&amp;$D$20&amp;"'!besparcum_2021"),0)
+IFERROR(INDIRECT("'"&amp;$D$21&amp;"'!besparcum_2021"),0)
+IFERROR(INDIRECT("'"&amp;$D$22&amp;"'!besparcum_2021"),0)
+IFERROR(INDIRECT("'"&amp;$D$23&amp;"'!besparcum_2021"),0)
+IFERROR(INDIRECT("'"&amp;$D$24&amp;"'!besparcum_2021"),0)
+IFERROR(INDIRECT("'"&amp;$D$25&amp;"'!besparcum_2021"),0)
+IFERROR(INDIRECT("'"&amp;$D$26&amp;"'!besparcum_2021"),0)
+IFERROR(INDIRECT("'"&amp;$D$27&amp;"'!besparcum_2021"),0)
+IFERROR(INDIRECT("'"&amp;$D$28&amp;"'!besparcum_2021"),0)
+IFERROR(INDIRECT("'"&amp;$D$29&amp;"'!besparcum_2021"),0)
+IFERROR(INDIRECT("'"&amp;$D$30&amp;"'!besparcum_2021"),0)
+IFERROR(INDIRECT("'"&amp;$D$31&amp;"'!besparcum_2021"),0)
+IFERROR(INDIRECT("'"&amp;$D$32&amp;"'!besparcum_2021"),0)
+IFERROR(INDIRECT("'"&amp;$D$33&amp;"'!besparcum_2021"),0)
+IFERROR(INDIRECT("'"&amp;$D$34&amp;"'!besparcum_2021"),0)
+IFERROR(INDIRECT("'"&amp;$D$35&amp;"'!besparcum_2021"),0)
+IFERROR(INDIRECT("'"&amp;$D$36&amp;"'!besparcum_2021"),0)
+IFERROR(INDIRECT("'"&amp;$D$37&amp;"'!besparcum_2021"),0)
+IFERROR(INDIRECT("'"&amp;$D$38&amp;"'!besparcum_2021"),0)
+IFERROR(INDIRECT("'"&amp;$D$39&amp;"'!besparcum_2021"),0)
+IFERROR(INDIRECT("'"&amp;$D$40&amp;"'!besparcum_2021"),0)
+IFERROR(INDIRECT("'"&amp;$D$41&amp;"'!besparcum_2021"),0)
+IFERROR(INDIRECT("'"&amp;$D$42&amp;"'!besparcum_2021"),0)
+IFERROR(INDIRECT("'"&amp;$D$43&amp;"'!besparcum_2021"),0)
+IFERROR(INDIRECT("'"&amp;$D$44&amp;"'!besparcum_2021"),0)
+IFERROR(INDIRECT("'"&amp;$D$45&amp;"'!besparcum_2021"),0)
+IFERROR(INDIRECT("'"&amp;$D$46&amp;"'!besparcum_2021"),0)
+IFERROR(INDIRECT("'"&amp;$D$47&amp;"'!besparcum_2021"),0)
+IFERROR(INDIRECT("'"&amp;$D$48&amp;"'!besparcum_2021"),0)
+IFERROR(INDIRECT("'"&amp;$D$49&amp;"'!besparcum_2021"),0)
+IFERROR(INDIRECT("'"&amp;$D$50&amp;"'!besparcum_2021"),0)
+IFERROR(INDIRECT("'"&amp;$D$51&amp;"'!besparcum_2021"),0)
+IFERROR(INDIRECT("'"&amp;$D$52&amp;"'!besparcum_2021"),0)
+IFERROR(INDIRECT("'"&amp;$D$53&amp;"'!besparcum_2021"),0)
+IFERROR(INDIRECT("'"&amp;$D$54&amp;"'!besparcum_2021"),0)</f>
        <v>0</v>
      </c>
      <c r="L49" s="338">
        <f ca="1">+IFERROR(INDIRECT("'"&amp;$D$5&amp;"'!besparcum_2022"),0)
+IFERROR(INDIRECT("'"&amp;$D$6&amp;"'!besparcum_2022"),0)
+IFERROR(INDIRECT("'"&amp;$D$7&amp;"'!besparcum_2022"),0)
+IFERROR(INDIRECT("'"&amp;$D$8&amp;"'!besparcum_2022"),0)
+IFERROR(INDIRECT("'"&amp;$D$9&amp;"'!besparcum_2022"),0)
+IFERROR(INDIRECT("'"&amp;$D$10&amp;"'!besparcum_2022"),0)
+IFERROR(INDIRECT("'"&amp;$D$11&amp;"'!besparcum_2022"),0)
+IFERROR(INDIRECT("'"&amp;$D$12&amp;"'!besparcum_2022"),0)
+IFERROR(INDIRECT("'"&amp;$D$13&amp;"'!besparcum_2022"),0)
+IFERROR(INDIRECT("'"&amp;$D$14&amp;"'!besparcum_2022"),0)
+IFERROR(INDIRECT("'"&amp;$D$15&amp;"'!besparcum_2022"),0)
+IFERROR(INDIRECT("'"&amp;$D$16&amp;"'!besparcum_2022"),0)
+IFERROR(INDIRECT("'"&amp;$D$17&amp;"'!besparcum_2022"),0)
+IFERROR(INDIRECT("'"&amp;$D$18&amp;"'!besparcum_2022"),0)
+IFERROR(INDIRECT("'"&amp;$D$19&amp;"'!besparcum_2022"),0)
+IFERROR(INDIRECT("'"&amp;$D$20&amp;"'!besparcum_2022"),0)
+IFERROR(INDIRECT("'"&amp;$D$21&amp;"'!besparcum_2022"),0)
+IFERROR(INDIRECT("'"&amp;$D$22&amp;"'!besparcum_2022"),0)
+IFERROR(INDIRECT("'"&amp;$D$23&amp;"'!besparcum_2022"),0)
+IFERROR(INDIRECT("'"&amp;$D$24&amp;"'!besparcum_2022"),0)
+IFERROR(INDIRECT("'"&amp;$D$25&amp;"'!besparcum_2022"),0)
+IFERROR(INDIRECT("'"&amp;$D$26&amp;"'!besparcum_2022"),0)
+IFERROR(INDIRECT("'"&amp;$D$27&amp;"'!besparcum_2022"),0)
+IFERROR(INDIRECT("'"&amp;$D$28&amp;"'!besparcum_2022"),0)
+IFERROR(INDIRECT("'"&amp;$D$29&amp;"'!besparcum_2022"),0)
+IFERROR(INDIRECT("'"&amp;$D$30&amp;"'!besparcum_2022"),0)
+IFERROR(INDIRECT("'"&amp;$D$31&amp;"'!besparcum_2022"),0)
+IFERROR(INDIRECT("'"&amp;$D$32&amp;"'!besparcum_2022"),0)
+IFERROR(INDIRECT("'"&amp;$D$33&amp;"'!besparcum_2022"),0)
+IFERROR(INDIRECT("'"&amp;$D$34&amp;"'!besparcum_2022"),0)
+IFERROR(INDIRECT("'"&amp;$D$35&amp;"'!besparcum_2022"),0)
+IFERROR(INDIRECT("'"&amp;$D$36&amp;"'!besparcum_2022"),0)
+IFERROR(INDIRECT("'"&amp;$D$37&amp;"'!besparcum_2022"),0)
+IFERROR(INDIRECT("'"&amp;$D$38&amp;"'!besparcum_2022"),0)
+IFERROR(INDIRECT("'"&amp;$D$39&amp;"'!besparcum_2022"),0)
+IFERROR(INDIRECT("'"&amp;$D$40&amp;"'!besparcum_2022"),0)
+IFERROR(INDIRECT("'"&amp;$D$41&amp;"'!besparcum_2022"),0)
+IFERROR(INDIRECT("'"&amp;$D$42&amp;"'!besparcum_2022"),0)
+IFERROR(INDIRECT("'"&amp;$D$43&amp;"'!besparcum_2022"),0)
+IFERROR(INDIRECT("'"&amp;$D$44&amp;"'!besparcum_2022"),0)
+IFERROR(INDIRECT("'"&amp;$D$45&amp;"'!besparcum_2022"),0)
+IFERROR(INDIRECT("'"&amp;$D$46&amp;"'!besparcum_2022"),0)
+IFERROR(INDIRECT("'"&amp;$D$47&amp;"'!besparcum_2022"),0)
+IFERROR(INDIRECT("'"&amp;$D$48&amp;"'!besparcum_2022"),0)
+IFERROR(INDIRECT("'"&amp;$D$49&amp;"'!besparcum_2022"),0)
+IFERROR(INDIRECT("'"&amp;$D$50&amp;"'!besparcum_2022"),0)
+IFERROR(INDIRECT("'"&amp;$D$51&amp;"'!besparcum_2022"),0)
+IFERROR(INDIRECT("'"&amp;$D$52&amp;"'!besparcum_2022"),0)
+IFERROR(INDIRECT("'"&amp;$D$53&amp;"'!besparcum_2022"),0)
+IFERROR(INDIRECT("'"&amp;$D$54&amp;"'!besparcum_2022"),0)</f>
        <v>0</v>
      </c>
      <c r="M49" s="338">
        <f ca="1">+IFERROR(INDIRECT("'"&amp;$D$5&amp;"'!besparcum_2023"),0)
+IFERROR(INDIRECT("'"&amp;$D$6&amp;"'!besparcum_2023"),0)
+IFERROR(INDIRECT("'"&amp;$D$7&amp;"'!besparcum_2023"),0)
+IFERROR(INDIRECT("'"&amp;$D$8&amp;"'!besparcum_2023"),0)
+IFERROR(INDIRECT("'"&amp;$D$9&amp;"'!besparcum_2023"),0)
+IFERROR(INDIRECT("'"&amp;$D$10&amp;"'!besparcum_2023"),0)
+IFERROR(INDIRECT("'"&amp;$D$11&amp;"'!besparcum_2023"),0)
+IFERROR(INDIRECT("'"&amp;$D$12&amp;"'!besparcum_2023"),0)
+IFERROR(INDIRECT("'"&amp;$D$13&amp;"'!besparcum_2023"),0)
+IFERROR(INDIRECT("'"&amp;$D$14&amp;"'!besparcum_2023"),0)
+IFERROR(INDIRECT("'"&amp;$D$15&amp;"'!besparcum_2023"),0)
+IFERROR(INDIRECT("'"&amp;$D$16&amp;"'!besparcum_2023"),0)
+IFERROR(INDIRECT("'"&amp;$D$17&amp;"'!besparcum_2023"),0)
+IFERROR(INDIRECT("'"&amp;$D$18&amp;"'!besparcum_2023"),0)
+IFERROR(INDIRECT("'"&amp;$D$19&amp;"'!besparcum_2023"),0)
+IFERROR(INDIRECT("'"&amp;$D$20&amp;"'!besparcum_2023"),0)
+IFERROR(INDIRECT("'"&amp;$D$21&amp;"'!besparcum_2023"),0)
+IFERROR(INDIRECT("'"&amp;$D$22&amp;"'!besparcum_2023"),0)
+IFERROR(INDIRECT("'"&amp;$D$23&amp;"'!besparcum_2023"),0)
+IFERROR(INDIRECT("'"&amp;$D$24&amp;"'!besparcum_2023"),0)
+IFERROR(INDIRECT("'"&amp;$D$25&amp;"'!besparcum_2023"),0)
+IFERROR(INDIRECT("'"&amp;$D$26&amp;"'!besparcum_2023"),0)
+IFERROR(INDIRECT("'"&amp;$D$27&amp;"'!besparcum_2023"),0)
+IFERROR(INDIRECT("'"&amp;$D$28&amp;"'!besparcum_2023"),0)
+IFERROR(INDIRECT("'"&amp;$D$29&amp;"'!besparcum_2023"),0)
+IFERROR(INDIRECT("'"&amp;$D$30&amp;"'!besparcum_2023"),0)
+IFERROR(INDIRECT("'"&amp;$D$31&amp;"'!besparcum_2023"),0)
+IFERROR(INDIRECT("'"&amp;$D$32&amp;"'!besparcum_2023"),0)
+IFERROR(INDIRECT("'"&amp;$D$33&amp;"'!besparcum_2023"),0)
+IFERROR(INDIRECT("'"&amp;$D$34&amp;"'!besparcum_2023"),0)
+IFERROR(INDIRECT("'"&amp;$D$35&amp;"'!besparcum_2023"),0)
+IFERROR(INDIRECT("'"&amp;$D$36&amp;"'!besparcum_2023"),0)
+IFERROR(INDIRECT("'"&amp;$D$37&amp;"'!besparcum_2023"),0)
+IFERROR(INDIRECT("'"&amp;$D$38&amp;"'!besparcum_2023"),0)
+IFERROR(INDIRECT("'"&amp;$D$39&amp;"'!besparcum_2023"),0)
+IFERROR(INDIRECT("'"&amp;$D$40&amp;"'!besparcum_2023"),0)
+IFERROR(INDIRECT("'"&amp;$D$41&amp;"'!besparcum_2023"),0)
+IFERROR(INDIRECT("'"&amp;$D$42&amp;"'!besparcum_2023"),0)
+IFERROR(INDIRECT("'"&amp;$D$43&amp;"'!besparcum_2023"),0)
+IFERROR(INDIRECT("'"&amp;$D$44&amp;"'!besparcum_2023"),0)
+IFERROR(INDIRECT("'"&amp;$D$45&amp;"'!besparcum_2023"),0)
+IFERROR(INDIRECT("'"&amp;$D$46&amp;"'!besparcum_2023"),0)
+IFERROR(INDIRECT("'"&amp;$D$47&amp;"'!besparcum_2023"),0)
+IFERROR(INDIRECT("'"&amp;$D$48&amp;"'!besparcum_2023"),0)
+IFERROR(INDIRECT("'"&amp;$D$49&amp;"'!besparcum_2023"),0)
+IFERROR(INDIRECT("'"&amp;$D$50&amp;"'!besparcum_2023"),0)
+IFERROR(INDIRECT("'"&amp;$D$51&amp;"'!besparcum_2023"),0)
+IFERROR(INDIRECT("'"&amp;$D$52&amp;"'!besparcum_2023"),0)
+IFERROR(INDIRECT("'"&amp;$D$53&amp;"'!besparcum_2023"),0)
+IFERROR(INDIRECT("'"&amp;$D$54&amp;"'!besparcum_2023"),0)</f>
        <v>251761.64467720134</v>
      </c>
      <c r="N49" s="338">
        <f ca="1">+IFERROR(INDIRECT("'"&amp;$D$5&amp;"'!besparcum_2024"),0)
+IFERROR(INDIRECT("'"&amp;$D$6&amp;"'!besparcum_2024"),0)
+IFERROR(INDIRECT("'"&amp;$D$7&amp;"'!besparcum_2024"),0)
+IFERROR(INDIRECT("'"&amp;$D$8&amp;"'!besparcum_2024"),0)
+IFERROR(INDIRECT("'"&amp;$D$9&amp;"'!besparcum_2024"),0)
+IFERROR(INDIRECT("'"&amp;$D$10&amp;"'!besparcum_2024"),0)
+IFERROR(INDIRECT("'"&amp;$D$11&amp;"'!besparcum_2024"),0)
+IFERROR(INDIRECT("'"&amp;$D$12&amp;"'!besparcum_2024"),0)
+IFERROR(INDIRECT("'"&amp;$D$13&amp;"'!besparcum_2024"),0)
+IFERROR(INDIRECT("'"&amp;$D$14&amp;"'!besparcum_2024"),0)
+IFERROR(INDIRECT("'"&amp;$D$15&amp;"'!besparcum_2024"),0)
+IFERROR(INDIRECT("'"&amp;$D$16&amp;"'!besparcum_2024"),0)
+IFERROR(INDIRECT("'"&amp;$D$17&amp;"'!besparcum_2024"),0)
+IFERROR(INDIRECT("'"&amp;$D$18&amp;"'!besparcum_2024"),0)
+IFERROR(INDIRECT("'"&amp;$D$19&amp;"'!besparcum_2024"),0)
+IFERROR(INDIRECT("'"&amp;$D$20&amp;"'!besparcum_2024"),0)
+IFERROR(INDIRECT("'"&amp;$D$21&amp;"'!besparcum_2024"),0)
+IFERROR(INDIRECT("'"&amp;$D$22&amp;"'!besparcum_2024"),0)
+IFERROR(INDIRECT("'"&amp;$D$23&amp;"'!besparcum_2024"),0)
+IFERROR(INDIRECT("'"&amp;$D$24&amp;"'!besparcum_2024"),0)
+IFERROR(INDIRECT("'"&amp;$D$25&amp;"'!besparcum_2024"),0)
+IFERROR(INDIRECT("'"&amp;$D$26&amp;"'!besparcum_2024"),0)
+IFERROR(INDIRECT("'"&amp;$D$27&amp;"'!besparcum_2024"),0)
+IFERROR(INDIRECT("'"&amp;$D$28&amp;"'!besparcum_2024"),0)
+IFERROR(INDIRECT("'"&amp;$D$29&amp;"'!besparcum_2024"),0)
+IFERROR(INDIRECT("'"&amp;$D$30&amp;"'!besparcum_2024"),0)
+IFERROR(INDIRECT("'"&amp;$D$31&amp;"'!besparcum_2024"),0)
+IFERROR(INDIRECT("'"&amp;$D$32&amp;"'!besparcum_2024"),0)
+IFERROR(INDIRECT("'"&amp;$D$33&amp;"'!besparcum_2024"),0)
+IFERROR(INDIRECT("'"&amp;$D$34&amp;"'!besparcum_2024"),0)
+IFERROR(INDIRECT("'"&amp;$D$35&amp;"'!besparcum_2024"),0)
+IFERROR(INDIRECT("'"&amp;$D$36&amp;"'!besparcum_2024"),0)
+IFERROR(INDIRECT("'"&amp;$D$37&amp;"'!besparcum_2024"),0)
+IFERROR(INDIRECT("'"&amp;$D$38&amp;"'!besparcum_2024"),0)
+IFERROR(INDIRECT("'"&amp;$D$39&amp;"'!besparcum_2024"),0)
+IFERROR(INDIRECT("'"&amp;$D$40&amp;"'!besparcum_2024"),0)
+IFERROR(INDIRECT("'"&amp;$D$41&amp;"'!besparcum_2024"),0)
+IFERROR(INDIRECT("'"&amp;$D$42&amp;"'!besparcum_2024"),0)
+IFERROR(INDIRECT("'"&amp;$D$43&amp;"'!besparcum_2024"),0)
+IFERROR(INDIRECT("'"&amp;$D$44&amp;"'!besparcum_2024"),0)
+IFERROR(INDIRECT("'"&amp;$D$45&amp;"'!besparcum_2024"),0)
+IFERROR(INDIRECT("'"&amp;$D$46&amp;"'!besparcum_2024"),0)
+IFERROR(INDIRECT("'"&amp;$D$47&amp;"'!besparcum_2024"),0)
+IFERROR(INDIRECT("'"&amp;$D$48&amp;"'!besparcum_2024"),0)
+IFERROR(INDIRECT("'"&amp;$D$49&amp;"'!besparcum_2024"),0)
+IFERROR(INDIRECT("'"&amp;$D$50&amp;"'!besparcum_2024"),0)
+IFERROR(INDIRECT("'"&amp;$D$51&amp;"'!besparcum_2024"),0)
+IFERROR(INDIRECT("'"&amp;$D$52&amp;"'!besparcum_2024"),0)
+IFERROR(INDIRECT("'"&amp;$D$53&amp;"'!besparcum_2024"),0)
+IFERROR(INDIRECT("'"&amp;$D$54&amp;"'!besparcum_2024"),0)</f>
        <v>527669.28490911052</v>
      </c>
      <c r="O49" s="338">
        <f ca="1">+IFERROR(INDIRECT("'"&amp;$D$5&amp;"'!besparcum_2025"),0)
+IFERROR(INDIRECT("'"&amp;$D$6&amp;"'!besparcum_2025"),0)
+IFERROR(INDIRECT("'"&amp;$D$7&amp;"'!besparcum_2025"),0)
+IFERROR(INDIRECT("'"&amp;$D$8&amp;"'!besparcum_2025"),0)
+IFERROR(INDIRECT("'"&amp;$D$9&amp;"'!besparcum_2025"),0)
+IFERROR(INDIRECT("'"&amp;$D$10&amp;"'!besparcum_2025"),0)
+IFERROR(INDIRECT("'"&amp;$D$11&amp;"'!besparcum_2025"),0)
+IFERROR(INDIRECT("'"&amp;$D$12&amp;"'!besparcum_2025"),0)
+IFERROR(INDIRECT("'"&amp;$D$13&amp;"'!besparcum_2025"),0)
+IFERROR(INDIRECT("'"&amp;$D$14&amp;"'!besparcum_2025"),0)
+IFERROR(INDIRECT("'"&amp;$D$15&amp;"'!besparcum_2025"),0)
+IFERROR(INDIRECT("'"&amp;$D$16&amp;"'!besparcum_2025"),0)
+IFERROR(INDIRECT("'"&amp;$D$17&amp;"'!besparcum_2025"),0)
+IFERROR(INDIRECT("'"&amp;$D$18&amp;"'!besparcum_2025"),0)
+IFERROR(INDIRECT("'"&amp;$D$19&amp;"'!besparcum_2025"),0)
+IFERROR(INDIRECT("'"&amp;$D$20&amp;"'!besparcum_2025"),0)
+IFERROR(INDIRECT("'"&amp;$D$21&amp;"'!besparcum_2025"),0)
+IFERROR(INDIRECT("'"&amp;$D$22&amp;"'!besparcum_2025"),0)
+IFERROR(INDIRECT("'"&amp;$D$23&amp;"'!besparcum_2025"),0)
+IFERROR(INDIRECT("'"&amp;$D$24&amp;"'!besparcum_2025"),0)
+IFERROR(INDIRECT("'"&amp;$D$25&amp;"'!besparcum_2025"),0)
+IFERROR(INDIRECT("'"&amp;$D$26&amp;"'!besparcum_2025"),0)
+IFERROR(INDIRECT("'"&amp;$D$27&amp;"'!besparcum_2025"),0)
+IFERROR(INDIRECT("'"&amp;$D$28&amp;"'!besparcum_2025"),0)
+IFERROR(INDIRECT("'"&amp;$D$29&amp;"'!besparcum_2025"),0)
+IFERROR(INDIRECT("'"&amp;$D$30&amp;"'!besparcum_2025"),0)
+IFERROR(INDIRECT("'"&amp;$D$31&amp;"'!besparcum_2025"),0)
+IFERROR(INDIRECT("'"&amp;$D$32&amp;"'!besparcum_2025"),0)
+IFERROR(INDIRECT("'"&amp;$D$33&amp;"'!besparcum_2025"),0)
+IFERROR(INDIRECT("'"&amp;$D$34&amp;"'!besparcum_2025"),0)
+IFERROR(INDIRECT("'"&amp;$D$35&amp;"'!besparcum_2025"),0)
+IFERROR(INDIRECT("'"&amp;$D$36&amp;"'!besparcum_2025"),0)
+IFERROR(INDIRECT("'"&amp;$D$37&amp;"'!besparcum_2025"),0)
+IFERROR(INDIRECT("'"&amp;$D$38&amp;"'!besparcum_2025"),0)
+IFERROR(INDIRECT("'"&amp;$D$39&amp;"'!besparcum_2025"),0)
+IFERROR(INDIRECT("'"&amp;$D$40&amp;"'!besparcum_2025"),0)
+IFERROR(INDIRECT("'"&amp;$D$41&amp;"'!besparcum_2025"),0)
+IFERROR(INDIRECT("'"&amp;$D$42&amp;"'!besparcum_2025"),0)
+IFERROR(INDIRECT("'"&amp;$D$43&amp;"'!besparcum_2025"),0)
+IFERROR(INDIRECT("'"&amp;$D$44&amp;"'!besparcum_2025"),0)
+IFERROR(INDIRECT("'"&amp;$D$45&amp;"'!besparcum_2025"),0)
+IFERROR(INDIRECT("'"&amp;$D$46&amp;"'!besparcum_2025"),0)
+IFERROR(INDIRECT("'"&amp;$D$47&amp;"'!besparcum_2025"),0)
+IFERROR(INDIRECT("'"&amp;$D$48&amp;"'!besparcum_2025"),0)
+IFERROR(INDIRECT("'"&amp;$D$49&amp;"'!besparcum_2025"),0)
+IFERROR(INDIRECT("'"&amp;$D$50&amp;"'!besparcum_2025"),0)
+IFERROR(INDIRECT("'"&amp;$D$51&amp;"'!besparcum_2025"),0)
+IFERROR(INDIRECT("'"&amp;$D$52&amp;"'!besparcum_2025"),0)
+IFERROR(INDIRECT("'"&amp;$D$53&amp;"'!besparcum_2025"),0)
+IFERROR(INDIRECT("'"&amp;$D$54&amp;"'!besparcum_2025"),0)</f>
        <v>845464.90364179993</v>
      </c>
      <c r="P49" s="338">
        <f ca="1">+IFERROR(INDIRECT("'"&amp;$D$5&amp;"'!besparcum_2026"),0)
+IFERROR(INDIRECT("'"&amp;$D$6&amp;"'!besparcum_2026"),0)
+IFERROR(INDIRECT("'"&amp;$D$7&amp;"'!besparcum_2026"),0)
+IFERROR(INDIRECT("'"&amp;$D$8&amp;"'!besparcum_2026"),0)
+IFERROR(INDIRECT("'"&amp;$D$9&amp;"'!besparcum_2026"),0)
+IFERROR(INDIRECT("'"&amp;$D$10&amp;"'!besparcum_2026"),0)
+IFERROR(INDIRECT("'"&amp;$D$11&amp;"'!besparcum_2026"),0)
+IFERROR(INDIRECT("'"&amp;$D$12&amp;"'!besparcum_2026"),0)
+IFERROR(INDIRECT("'"&amp;$D$13&amp;"'!besparcum_2026"),0)
+IFERROR(INDIRECT("'"&amp;$D$14&amp;"'!besparcum_2026"),0)
+IFERROR(INDIRECT("'"&amp;$D$15&amp;"'!besparcum_2026"),0)
+IFERROR(INDIRECT("'"&amp;$D$16&amp;"'!besparcum_2026"),0)
+IFERROR(INDIRECT("'"&amp;$D$17&amp;"'!besparcum_2026"),0)
+IFERROR(INDIRECT("'"&amp;$D$18&amp;"'!besparcum_2026"),0)
+IFERROR(INDIRECT("'"&amp;$D$19&amp;"'!besparcum_2026"),0)
+IFERROR(INDIRECT("'"&amp;$D$20&amp;"'!besparcum_2026"),0)
+IFERROR(INDIRECT("'"&amp;$D$21&amp;"'!besparcum_2026"),0)
+IFERROR(INDIRECT("'"&amp;$D$22&amp;"'!besparcum_2026"),0)
+IFERROR(INDIRECT("'"&amp;$D$23&amp;"'!besparcum_2026"),0)
+IFERROR(INDIRECT("'"&amp;$D$24&amp;"'!besparcum_2026"),0)
+IFERROR(INDIRECT("'"&amp;$D$25&amp;"'!besparcum_2026"),0)
+IFERROR(INDIRECT("'"&amp;$D$26&amp;"'!besparcum_2026"),0)
+IFERROR(INDIRECT("'"&amp;$D$27&amp;"'!besparcum_2026"),0)
+IFERROR(INDIRECT("'"&amp;$D$28&amp;"'!besparcum_2026"),0)
+IFERROR(INDIRECT("'"&amp;$D$29&amp;"'!besparcum_2026"),0)
+IFERROR(INDIRECT("'"&amp;$D$30&amp;"'!besparcum_2026"),0)
+IFERROR(INDIRECT("'"&amp;$D$31&amp;"'!besparcum_2026"),0)
+IFERROR(INDIRECT("'"&amp;$D$32&amp;"'!besparcum_2026"),0)
+IFERROR(INDIRECT("'"&amp;$D$33&amp;"'!besparcum_2026"),0)
+IFERROR(INDIRECT("'"&amp;$D$34&amp;"'!besparcum_2026"),0)
+IFERROR(INDIRECT("'"&amp;$D$35&amp;"'!besparcum_2026"),0)
+IFERROR(INDIRECT("'"&amp;$D$36&amp;"'!besparcum_2026"),0)
+IFERROR(INDIRECT("'"&amp;$D$37&amp;"'!besparcum_2026"),0)
+IFERROR(INDIRECT("'"&amp;$D$38&amp;"'!besparcum_2026"),0)
+IFERROR(INDIRECT("'"&amp;$D$39&amp;"'!besparcum_2026"),0)
+IFERROR(INDIRECT("'"&amp;$D$40&amp;"'!besparcum_2026"),0)
+IFERROR(INDIRECT("'"&amp;$D$41&amp;"'!besparcum_2026"),0)
+IFERROR(INDIRECT("'"&amp;$D$42&amp;"'!besparcum_2026"),0)
+IFERROR(INDIRECT("'"&amp;$D$43&amp;"'!besparcum_2026"),0)
+IFERROR(INDIRECT("'"&amp;$D$44&amp;"'!besparcum_2026"),0)
+IFERROR(INDIRECT("'"&amp;$D$45&amp;"'!besparcum_2026"),0)
+IFERROR(INDIRECT("'"&amp;$D$46&amp;"'!besparcum_2026"),0)
+IFERROR(INDIRECT("'"&amp;$D$47&amp;"'!besparcum_2026"),0)
+IFERROR(INDIRECT("'"&amp;$D$48&amp;"'!besparcum_2026"),0)
+IFERROR(INDIRECT("'"&amp;$D$49&amp;"'!besparcum_2026"),0)
+IFERROR(INDIRECT("'"&amp;$D$50&amp;"'!besparcum_2026"),0)
+IFERROR(INDIRECT("'"&amp;$D$51&amp;"'!besparcum_2026"),0)
+IFERROR(INDIRECT("'"&amp;$D$52&amp;"'!besparcum_2026"),0)
+IFERROR(INDIRECT("'"&amp;$D$53&amp;"'!besparcum_2026"),0)
+IFERROR(INDIRECT("'"&amp;$D$54&amp;"'!besparcum_2026"),0)</f>
        <v>1169341.9642852696</v>
      </c>
      <c r="Q49" s="338">
        <f ca="1">+IFERROR(INDIRECT("'"&amp;$D$5&amp;"'!besparcum_2027"),0)
+IFERROR(INDIRECT("'"&amp;$D$6&amp;"'!besparcum_2027"),0)
+IFERROR(INDIRECT("'"&amp;$D$7&amp;"'!besparcum_2027"),0)
+IFERROR(INDIRECT("'"&amp;$D$8&amp;"'!besparcum_2027"),0)
+IFERROR(INDIRECT("'"&amp;$D$9&amp;"'!besparcum_2027"),0)
+IFERROR(INDIRECT("'"&amp;$D$10&amp;"'!besparcum_2027"),0)
+IFERROR(INDIRECT("'"&amp;$D$11&amp;"'!besparcum_2027"),0)
+IFERROR(INDIRECT("'"&amp;$D$12&amp;"'!besparcum_2027"),0)
+IFERROR(INDIRECT("'"&amp;$D$13&amp;"'!besparcum_2027"),0)
+IFERROR(INDIRECT("'"&amp;$D$14&amp;"'!besparcum_2027"),0)
+IFERROR(INDIRECT("'"&amp;$D$15&amp;"'!besparcum_2027"),0)
+IFERROR(INDIRECT("'"&amp;$D$16&amp;"'!besparcum_2027"),0)
+IFERROR(INDIRECT("'"&amp;$D$17&amp;"'!besparcum_2027"),0)
+IFERROR(INDIRECT("'"&amp;$D$18&amp;"'!besparcum_2027"),0)
+IFERROR(INDIRECT("'"&amp;$D$19&amp;"'!besparcum_2027"),0)
+IFERROR(INDIRECT("'"&amp;$D$20&amp;"'!besparcum_2027"),0)
+IFERROR(INDIRECT("'"&amp;$D$21&amp;"'!besparcum_2027"),0)
+IFERROR(INDIRECT("'"&amp;$D$22&amp;"'!besparcum_2027"),0)
+IFERROR(INDIRECT("'"&amp;$D$23&amp;"'!besparcum_2027"),0)
+IFERROR(INDIRECT("'"&amp;$D$24&amp;"'!besparcum_2027"),0)
+IFERROR(INDIRECT("'"&amp;$D$25&amp;"'!besparcum_2027"),0)
+IFERROR(INDIRECT("'"&amp;$D$26&amp;"'!besparcum_2027"),0)
+IFERROR(INDIRECT("'"&amp;$D$27&amp;"'!besparcum_2027"),0)
+IFERROR(INDIRECT("'"&amp;$D$28&amp;"'!besparcum_2027"),0)
+IFERROR(INDIRECT("'"&amp;$D$29&amp;"'!besparcum_2027"),0)
+IFERROR(INDIRECT("'"&amp;$D$30&amp;"'!besparcum_2027"),0)
+IFERROR(INDIRECT("'"&amp;$D$31&amp;"'!besparcum_2027"),0)
+IFERROR(INDIRECT("'"&amp;$D$32&amp;"'!besparcum_2027"),0)
+IFERROR(INDIRECT("'"&amp;$D$33&amp;"'!besparcum_2027"),0)
+IFERROR(INDIRECT("'"&amp;$D$34&amp;"'!besparcum_2027"),0)
+IFERROR(INDIRECT("'"&amp;$D$35&amp;"'!besparcum_2027"),0)
+IFERROR(INDIRECT("'"&amp;$D$36&amp;"'!besparcum_2027"),0)
+IFERROR(INDIRECT("'"&amp;$D$37&amp;"'!besparcum_2027"),0)
+IFERROR(INDIRECT("'"&amp;$D$38&amp;"'!besparcum_2027"),0)
+IFERROR(INDIRECT("'"&amp;$D$39&amp;"'!besparcum_2027"),0)
+IFERROR(INDIRECT("'"&amp;$D$40&amp;"'!besparcum_2027"),0)
+IFERROR(INDIRECT("'"&amp;$D$41&amp;"'!besparcum_2027"),0)
+IFERROR(INDIRECT("'"&amp;$D$42&amp;"'!besparcum_2027"),0)
+IFERROR(INDIRECT("'"&amp;$D$43&amp;"'!besparcum_2027"),0)
+IFERROR(INDIRECT("'"&amp;$D$44&amp;"'!besparcum_2027"),0)
+IFERROR(INDIRECT("'"&amp;$D$45&amp;"'!besparcum_2027"),0)
+IFERROR(INDIRECT("'"&amp;$D$46&amp;"'!besparcum_2027"),0)
+IFERROR(INDIRECT("'"&amp;$D$47&amp;"'!besparcum_2027"),0)
+IFERROR(INDIRECT("'"&amp;$D$48&amp;"'!besparcum_2027"),0)
+IFERROR(INDIRECT("'"&amp;$D$49&amp;"'!besparcum_2027"),0)
+IFERROR(INDIRECT("'"&amp;$D$50&amp;"'!besparcum_2027"),0)
+IFERROR(INDIRECT("'"&amp;$D$51&amp;"'!besparcum_2027"),0)
+IFERROR(INDIRECT("'"&amp;$D$52&amp;"'!besparcum_2027"),0)
+IFERROR(INDIRECT("'"&amp;$D$53&amp;"'!besparcum_2027"),0)
+IFERROR(INDIRECT("'"&amp;$D$54&amp;"'!besparcum_2027"),0)</f>
        <v>1329857.8562256049</v>
      </c>
      <c r="R49" s="338">
        <f ca="1">+IFERROR(INDIRECT("'"&amp;$D$5&amp;"'!besparcum_2028"),0)
+IFERROR(INDIRECT("'"&amp;$D$6&amp;"'!besparcum_2028"),0)
+IFERROR(INDIRECT("'"&amp;$D$7&amp;"'!besparcum_2028"),0)
+IFERROR(INDIRECT("'"&amp;$D$8&amp;"'!besparcum_2028"),0)
+IFERROR(INDIRECT("'"&amp;$D$9&amp;"'!besparcum_2028"),0)
+IFERROR(INDIRECT("'"&amp;$D$10&amp;"'!besparcum_2028"),0)
+IFERROR(INDIRECT("'"&amp;$D$11&amp;"'!besparcum_2028"),0)
+IFERROR(INDIRECT("'"&amp;$D$12&amp;"'!besparcum_2028"),0)
+IFERROR(INDIRECT("'"&amp;$D$13&amp;"'!besparcum_2028"),0)
+IFERROR(INDIRECT("'"&amp;$D$14&amp;"'!besparcum_2028"),0)
+IFERROR(INDIRECT("'"&amp;$D$15&amp;"'!besparcum_2028"),0)
+IFERROR(INDIRECT("'"&amp;$D$16&amp;"'!besparcum_2028"),0)
+IFERROR(INDIRECT("'"&amp;$D$17&amp;"'!besparcum_2028"),0)
+IFERROR(INDIRECT("'"&amp;$D$18&amp;"'!besparcum_2028"),0)
+IFERROR(INDIRECT("'"&amp;$D$19&amp;"'!besparcum_2028"),0)
+IFERROR(INDIRECT("'"&amp;$D$20&amp;"'!besparcum_2028"),0)
+IFERROR(INDIRECT("'"&amp;$D$21&amp;"'!besparcum_2028"),0)
+IFERROR(INDIRECT("'"&amp;$D$22&amp;"'!besparcum_2028"),0)
+IFERROR(INDIRECT("'"&amp;$D$23&amp;"'!besparcum_2028"),0)
+IFERROR(INDIRECT("'"&amp;$D$24&amp;"'!besparcum_2028"),0)
+IFERROR(INDIRECT("'"&amp;$D$25&amp;"'!besparcum_2028"),0)
+IFERROR(INDIRECT("'"&amp;$D$26&amp;"'!besparcum_2028"),0)
+IFERROR(INDIRECT("'"&amp;$D$27&amp;"'!besparcum_2028"),0)
+IFERROR(INDIRECT("'"&amp;$D$28&amp;"'!besparcum_2028"),0)
+IFERROR(INDIRECT("'"&amp;$D$29&amp;"'!besparcum_2028"),0)
+IFERROR(INDIRECT("'"&amp;$D$30&amp;"'!besparcum_2028"),0)
+IFERROR(INDIRECT("'"&amp;$D$31&amp;"'!besparcum_2028"),0)
+IFERROR(INDIRECT("'"&amp;$D$32&amp;"'!besparcum_2028"),0)
+IFERROR(INDIRECT("'"&amp;$D$33&amp;"'!besparcum_2028"),0)
+IFERROR(INDIRECT("'"&amp;$D$34&amp;"'!besparcum_2028"),0)
+IFERROR(INDIRECT("'"&amp;$D$35&amp;"'!besparcum_2028"),0)
+IFERROR(INDIRECT("'"&amp;$D$36&amp;"'!besparcum_2028"),0)
+IFERROR(INDIRECT("'"&amp;$D$37&amp;"'!besparcum_2028"),0)
+IFERROR(INDIRECT("'"&amp;$D$38&amp;"'!besparcum_2028"),0)
+IFERROR(INDIRECT("'"&amp;$D$39&amp;"'!besparcum_2028"),0)
+IFERROR(INDIRECT("'"&amp;$D$40&amp;"'!besparcum_2028"),0)
+IFERROR(INDIRECT("'"&amp;$D$41&amp;"'!besparcum_2028"),0)
+IFERROR(INDIRECT("'"&amp;$D$42&amp;"'!besparcum_2028"),0)
+IFERROR(INDIRECT("'"&amp;$D$43&amp;"'!besparcum_2028"),0)
+IFERROR(INDIRECT("'"&amp;$D$44&amp;"'!besparcum_2028"),0)
+IFERROR(INDIRECT("'"&amp;$D$45&amp;"'!besparcum_2028"),0)
+IFERROR(INDIRECT("'"&amp;$D$46&amp;"'!besparcum_2028"),0)
+IFERROR(INDIRECT("'"&amp;$D$47&amp;"'!besparcum_2028"),0)
+IFERROR(INDIRECT("'"&amp;$D$48&amp;"'!besparcum_2028"),0)
+IFERROR(INDIRECT("'"&amp;$D$49&amp;"'!besparcum_2028"),0)
+IFERROR(INDIRECT("'"&amp;$D$50&amp;"'!besparcum_2028"),0)
+IFERROR(INDIRECT("'"&amp;$D$51&amp;"'!besparcum_2028"),0)
+IFERROR(INDIRECT("'"&amp;$D$52&amp;"'!besparcum_2028"),0)
+IFERROR(INDIRECT("'"&amp;$D$53&amp;"'!besparcum_2028"),0)
+IFERROR(INDIRECT("'"&amp;$D$54&amp;"'!besparcum_2028"),0)</f>
        <v>1492946.6857885947</v>
      </c>
      <c r="S49" s="338">
        <f ca="1">+IFERROR(INDIRECT("'"&amp;$D$5&amp;"'!besparcum_2029"),0)
+IFERROR(INDIRECT("'"&amp;$D$6&amp;"'!besparcum_2029"),0)
+IFERROR(INDIRECT("'"&amp;$D$7&amp;"'!besparcum_2029"),0)
+IFERROR(INDIRECT("'"&amp;$D$8&amp;"'!besparcum_2029"),0)
+IFERROR(INDIRECT("'"&amp;$D$9&amp;"'!besparcum_2029"),0)
+IFERROR(INDIRECT("'"&amp;$D$10&amp;"'!besparcum_2029"),0)
+IFERROR(INDIRECT("'"&amp;$D$11&amp;"'!besparcum_2029"),0)
+IFERROR(INDIRECT("'"&amp;$D$12&amp;"'!besparcum_2029"),0)
+IFERROR(INDIRECT("'"&amp;$D$13&amp;"'!besparcum_2029"),0)
+IFERROR(INDIRECT("'"&amp;$D$14&amp;"'!besparcum_2029"),0)
+IFERROR(INDIRECT("'"&amp;$D$15&amp;"'!besparcum_2029"),0)
+IFERROR(INDIRECT("'"&amp;$D$16&amp;"'!besparcum_2029"),0)
+IFERROR(INDIRECT("'"&amp;$D$17&amp;"'!besparcum_2029"),0)
+IFERROR(INDIRECT("'"&amp;$D$18&amp;"'!besparcum_2029"),0)
+IFERROR(INDIRECT("'"&amp;$D$19&amp;"'!besparcum_2029"),0)
+IFERROR(INDIRECT("'"&amp;$D$20&amp;"'!besparcum_2029"),0)
+IFERROR(INDIRECT("'"&amp;$D$21&amp;"'!besparcum_2029"),0)
+IFERROR(INDIRECT("'"&amp;$D$22&amp;"'!besparcum_2029"),0)
+IFERROR(INDIRECT("'"&amp;$D$23&amp;"'!besparcum_2029"),0)
+IFERROR(INDIRECT("'"&amp;$D$24&amp;"'!besparcum_2029"),0)
+IFERROR(INDIRECT("'"&amp;$D$25&amp;"'!besparcum_2029"),0)
+IFERROR(INDIRECT("'"&amp;$D$26&amp;"'!besparcum_2029"),0)
+IFERROR(INDIRECT("'"&amp;$D$27&amp;"'!besparcum_2029"),0)
+IFERROR(INDIRECT("'"&amp;$D$28&amp;"'!besparcum_2029"),0)
+IFERROR(INDIRECT("'"&amp;$D$29&amp;"'!besparcum_2029"),0)
+IFERROR(INDIRECT("'"&amp;$D$30&amp;"'!besparcum_2029"),0)
+IFERROR(INDIRECT("'"&amp;$D$31&amp;"'!besparcum_2029"),0)
+IFERROR(INDIRECT("'"&amp;$D$32&amp;"'!besparcum_2029"),0)
+IFERROR(INDIRECT("'"&amp;$D$33&amp;"'!besparcum_2029"),0)
+IFERROR(INDIRECT("'"&amp;$D$34&amp;"'!besparcum_2029"),0)
+IFERROR(INDIRECT("'"&amp;$D$35&amp;"'!besparcum_2029"),0)
+IFERROR(INDIRECT("'"&amp;$D$36&amp;"'!besparcum_2029"),0)
+IFERROR(INDIRECT("'"&amp;$D$37&amp;"'!besparcum_2029"),0)
+IFERROR(INDIRECT("'"&amp;$D$38&amp;"'!besparcum_2029"),0)
+IFERROR(INDIRECT("'"&amp;$D$39&amp;"'!besparcum_2029"),0)
+IFERROR(INDIRECT("'"&amp;$D$40&amp;"'!besparcum_2029"),0)
+IFERROR(INDIRECT("'"&amp;$D$41&amp;"'!besparcum_2029"),0)
+IFERROR(INDIRECT("'"&amp;$D$42&amp;"'!besparcum_2029"),0)
+IFERROR(INDIRECT("'"&amp;$D$43&amp;"'!besparcum_2029"),0)
+IFERROR(INDIRECT("'"&amp;$D$44&amp;"'!besparcum_2029"),0)
+IFERROR(INDIRECT("'"&amp;$D$45&amp;"'!besparcum_2029"),0)
+IFERROR(INDIRECT("'"&amp;$D$46&amp;"'!besparcum_2029"),0)
+IFERROR(INDIRECT("'"&amp;$D$47&amp;"'!besparcum_2029"),0)
+IFERROR(INDIRECT("'"&amp;$D$48&amp;"'!besparcum_2029"),0)
+IFERROR(INDIRECT("'"&amp;$D$49&amp;"'!besparcum_2029"),0)
+IFERROR(INDIRECT("'"&amp;$D$50&amp;"'!besparcum_2029"),0)
+IFERROR(INDIRECT("'"&amp;$D$51&amp;"'!besparcum_2029"),0)
+IFERROR(INDIRECT("'"&amp;$D$52&amp;"'!besparcum_2029"),0)
+IFERROR(INDIRECT("'"&amp;$D$53&amp;"'!besparcum_2029"),0)
+IFERROR(INDIRECT("'"&amp;$D$54&amp;"'!besparcum_2029"),0)</f>
        <v>1658616.2897742386</v>
      </c>
      <c r="T49" s="338">
        <f ca="1">+IFERROR(INDIRECT("'"&amp;$D$5&amp;"'!besparcum_2030"),0)
+IFERROR(INDIRECT("'"&amp;$D$6&amp;"'!besparcum_2030"),0)
+IFERROR(INDIRECT("'"&amp;$D$7&amp;"'!besparcum_2030"),0)
+IFERROR(INDIRECT("'"&amp;$D$8&amp;"'!besparcum_2030"),0)
+IFERROR(INDIRECT("'"&amp;$D$9&amp;"'!besparcum_2030"),0)
+IFERROR(INDIRECT("'"&amp;$D$10&amp;"'!besparcum_2030"),0)
+IFERROR(INDIRECT("'"&amp;$D$11&amp;"'!besparcum_2030"),0)
+IFERROR(INDIRECT("'"&amp;$D$12&amp;"'!besparcum_2030"),0)
+IFERROR(INDIRECT("'"&amp;$D$13&amp;"'!besparcum_2030"),0)
+IFERROR(INDIRECT("'"&amp;$D$14&amp;"'!besparcum_2030"),0)
+IFERROR(INDIRECT("'"&amp;$D$15&amp;"'!besparcum_2030"),0)
+IFERROR(INDIRECT("'"&amp;$D$16&amp;"'!besparcum_2030"),0)
+IFERROR(INDIRECT("'"&amp;$D$17&amp;"'!besparcum_2030"),0)
+IFERROR(INDIRECT("'"&amp;$D$18&amp;"'!besparcum_2030"),0)
+IFERROR(INDIRECT("'"&amp;$D$19&amp;"'!besparcum_2030"),0)
+IFERROR(INDIRECT("'"&amp;$D$20&amp;"'!besparcum_2030"),0)
+IFERROR(INDIRECT("'"&amp;$D$21&amp;"'!besparcum_2030"),0)
+IFERROR(INDIRECT("'"&amp;$D$22&amp;"'!besparcum_2030"),0)
+IFERROR(INDIRECT("'"&amp;$D$23&amp;"'!besparcum_2030"),0)
+IFERROR(INDIRECT("'"&amp;$D$24&amp;"'!besparcum_2030"),0)
+IFERROR(INDIRECT("'"&amp;$D$25&amp;"'!besparcum_2030"),0)
+IFERROR(INDIRECT("'"&amp;$D$26&amp;"'!besparcum_2030"),0)
+IFERROR(INDIRECT("'"&amp;$D$27&amp;"'!besparcum_2030"),0)
+IFERROR(INDIRECT("'"&amp;$D$28&amp;"'!besparcum_2030"),0)
+IFERROR(INDIRECT("'"&amp;$D$29&amp;"'!besparcum_2030"),0)
+IFERROR(INDIRECT("'"&amp;$D$30&amp;"'!besparcum_2030"),0)
+IFERROR(INDIRECT("'"&amp;$D$31&amp;"'!besparcum_2030"),0)
+IFERROR(INDIRECT("'"&amp;$D$32&amp;"'!besparcum_2030"),0)
+IFERROR(INDIRECT("'"&amp;$D$33&amp;"'!besparcum_2030"),0)
+IFERROR(INDIRECT("'"&amp;$D$34&amp;"'!besparcum_2030"),0)
+IFERROR(INDIRECT("'"&amp;$D$35&amp;"'!besparcum_2030"),0)
+IFERROR(INDIRECT("'"&amp;$D$36&amp;"'!besparcum_2030"),0)
+IFERROR(INDIRECT("'"&amp;$D$37&amp;"'!besparcum_2030"),0)
+IFERROR(INDIRECT("'"&amp;$D$38&amp;"'!besparcum_2030"),0)
+IFERROR(INDIRECT("'"&amp;$D$39&amp;"'!besparcum_2030"),0)
+IFERROR(INDIRECT("'"&amp;$D$40&amp;"'!besparcum_2030"),0)
+IFERROR(INDIRECT("'"&amp;$D$41&amp;"'!besparcum_2030"),0)
+IFERROR(INDIRECT("'"&amp;$D$42&amp;"'!besparcum_2030"),0)
+IFERROR(INDIRECT("'"&amp;$D$43&amp;"'!besparcum_2030"),0)
+IFERROR(INDIRECT("'"&amp;$D$44&amp;"'!besparcum_2030"),0)
+IFERROR(INDIRECT("'"&amp;$D$45&amp;"'!besparcum_2030"),0)
+IFERROR(INDIRECT("'"&amp;$D$46&amp;"'!besparcum_2030"),0)
+IFERROR(INDIRECT("'"&amp;$D$47&amp;"'!besparcum_2030"),0)
+IFERROR(INDIRECT("'"&amp;$D$48&amp;"'!besparcum_2030"),0)
+IFERROR(INDIRECT("'"&amp;$D$49&amp;"'!besparcum_2030"),0)
+IFERROR(INDIRECT("'"&amp;$D$50&amp;"'!besparcum_2030"),0)
+IFERROR(INDIRECT("'"&amp;$D$51&amp;"'!besparcum_2030"),0)
+IFERROR(INDIRECT("'"&amp;$D$52&amp;"'!besparcum_2030"),0)
+IFERROR(INDIRECT("'"&amp;$D$53&amp;"'!besparcum_2030"),0)
+IFERROR(INDIRECT("'"&amp;$D$54&amp;"'!besparcum_2030"),0)</f>
        <v>1826866.6681825372</v>
      </c>
      <c r="U49" s="338">
        <f ca="1">+IFERROR(INDIRECT("'"&amp;$D$5&amp;"'!besparcum_2031"),0)
+IFERROR(INDIRECT("'"&amp;$D$6&amp;"'!besparcum_2031"),0)
+IFERROR(INDIRECT("'"&amp;$D$7&amp;"'!besparcum_2031"),0)
+IFERROR(INDIRECT("'"&amp;$D$8&amp;"'!besparcum_2031"),0)
+IFERROR(INDIRECT("'"&amp;$D$9&amp;"'!besparcum_2031"),0)
+IFERROR(INDIRECT("'"&amp;$D$10&amp;"'!besparcum_2031"),0)
+IFERROR(INDIRECT("'"&amp;$D$11&amp;"'!besparcum_2031"),0)
+IFERROR(INDIRECT("'"&amp;$D$12&amp;"'!besparcum_2031"),0)
+IFERROR(INDIRECT("'"&amp;$D$13&amp;"'!besparcum_2031"),0)
+IFERROR(INDIRECT("'"&amp;$D$14&amp;"'!besparcum_2031"),0)
+IFERROR(INDIRECT("'"&amp;$D$15&amp;"'!besparcum_2031"),0)
+IFERROR(INDIRECT("'"&amp;$D$16&amp;"'!besparcum_2031"),0)
+IFERROR(INDIRECT("'"&amp;$D$17&amp;"'!besparcum_2031"),0)
+IFERROR(INDIRECT("'"&amp;$D$18&amp;"'!besparcum_2031"),0)
+IFERROR(INDIRECT("'"&amp;$D$19&amp;"'!besparcum_2031"),0)
+IFERROR(INDIRECT("'"&amp;$D$20&amp;"'!besparcum_2031"),0)
+IFERROR(INDIRECT("'"&amp;$D$21&amp;"'!besparcum_2031"),0)
+IFERROR(INDIRECT("'"&amp;$D$22&amp;"'!besparcum_2031"),0)
+IFERROR(INDIRECT("'"&amp;$D$23&amp;"'!besparcum_2031"),0)
+IFERROR(INDIRECT("'"&amp;$D$24&amp;"'!besparcum_2031"),0)
+IFERROR(INDIRECT("'"&amp;$D$25&amp;"'!besparcum_2031"),0)
+IFERROR(INDIRECT("'"&amp;$D$26&amp;"'!besparcum_2031"),0)
+IFERROR(INDIRECT("'"&amp;$D$27&amp;"'!besparcum_2031"),0)
+IFERROR(INDIRECT("'"&amp;$D$28&amp;"'!besparcum_2031"),0)
+IFERROR(INDIRECT("'"&amp;$D$29&amp;"'!besparcum_2031"),0)
+IFERROR(INDIRECT("'"&amp;$D$30&amp;"'!besparcum_2031"),0)
+IFERROR(INDIRECT("'"&amp;$D$31&amp;"'!besparcum_2031"),0)
+IFERROR(INDIRECT("'"&amp;$D$32&amp;"'!besparcum_2031"),0)
+IFERROR(INDIRECT("'"&amp;$D$33&amp;"'!besparcum_2031"),0)
+IFERROR(INDIRECT("'"&amp;$D$34&amp;"'!besparcum_2031"),0)
+IFERROR(INDIRECT("'"&amp;$D$35&amp;"'!besparcum_2031"),0)
+IFERROR(INDIRECT("'"&amp;$D$36&amp;"'!besparcum_2031"),0)
+IFERROR(INDIRECT("'"&amp;$D$37&amp;"'!besparcum_2031"),0)
+IFERROR(INDIRECT("'"&amp;$D$38&amp;"'!besparcum_2031"),0)
+IFERROR(INDIRECT("'"&amp;$D$39&amp;"'!besparcum_2031"),0)
+IFERROR(INDIRECT("'"&amp;$D$40&amp;"'!besparcum_2031"),0)
+IFERROR(INDIRECT("'"&amp;$D$41&amp;"'!besparcum_2031"),0)
+IFERROR(INDIRECT("'"&amp;$D$42&amp;"'!besparcum_2031"),0)
+IFERROR(INDIRECT("'"&amp;$D$43&amp;"'!besparcum_2031"),0)
+IFERROR(INDIRECT("'"&amp;$D$44&amp;"'!besparcum_2031"),0)
+IFERROR(INDIRECT("'"&amp;$D$45&amp;"'!besparcum_2031"),0)
+IFERROR(INDIRECT("'"&amp;$D$46&amp;"'!besparcum_2031"),0)
+IFERROR(INDIRECT("'"&amp;$D$47&amp;"'!besparcum_2031"),0)
+IFERROR(INDIRECT("'"&amp;$D$48&amp;"'!besparcum_2031"),0)
+IFERROR(INDIRECT("'"&amp;$D$49&amp;"'!besparcum_2031"),0)
+IFERROR(INDIRECT("'"&amp;$D$50&amp;"'!besparcum_2031"),0)
+IFERROR(INDIRECT("'"&amp;$D$51&amp;"'!besparcum_2031"),0)
+IFERROR(INDIRECT("'"&amp;$D$52&amp;"'!besparcum_2031"),0)
+IFERROR(INDIRECT("'"&amp;$D$53&amp;"'!besparcum_2031"),0)
+IFERROR(INDIRECT("'"&amp;$D$54&amp;"'!besparcum_2031"),0)</f>
        <v>1997697.8210134902</v>
      </c>
      <c r="V49" s="338">
        <f ca="1">+IFERROR(INDIRECT("'"&amp;$D$5&amp;"'!besparcum_2032"),0)
+IFERROR(INDIRECT("'"&amp;$D$6&amp;"'!besparcum_2032"),0)
+IFERROR(INDIRECT("'"&amp;$D$7&amp;"'!besparcum_2032"),0)
+IFERROR(INDIRECT("'"&amp;$D$8&amp;"'!besparcum_2032"),0)
+IFERROR(INDIRECT("'"&amp;$D$9&amp;"'!besparcum_2032"),0)
+IFERROR(INDIRECT("'"&amp;$D$10&amp;"'!besparcum_2032"),0)
+IFERROR(INDIRECT("'"&amp;$D$11&amp;"'!besparcum_2032"),0)
+IFERROR(INDIRECT("'"&amp;$D$12&amp;"'!besparcum_2032"),0)
+IFERROR(INDIRECT("'"&amp;$D$13&amp;"'!besparcum_2032"),0)
+IFERROR(INDIRECT("'"&amp;$D$14&amp;"'!besparcum_2032"),0)
+IFERROR(INDIRECT("'"&amp;$D$15&amp;"'!besparcum_2032"),0)
+IFERROR(INDIRECT("'"&amp;$D$16&amp;"'!besparcum_2032"),0)
+IFERROR(INDIRECT("'"&amp;$D$17&amp;"'!besparcum_2032"),0)
+IFERROR(INDIRECT("'"&amp;$D$18&amp;"'!besparcum_2032"),0)
+IFERROR(INDIRECT("'"&amp;$D$19&amp;"'!besparcum_2032"),0)
+IFERROR(INDIRECT("'"&amp;$D$20&amp;"'!besparcum_2032"),0)
+IFERROR(INDIRECT("'"&amp;$D$21&amp;"'!besparcum_2032"),0)
+IFERROR(INDIRECT("'"&amp;$D$22&amp;"'!besparcum_2032"),0)
+IFERROR(INDIRECT("'"&amp;$D$23&amp;"'!besparcum_2032"),0)
+IFERROR(INDIRECT("'"&amp;$D$24&amp;"'!besparcum_2032"),0)
+IFERROR(INDIRECT("'"&amp;$D$25&amp;"'!besparcum_2032"),0)
+IFERROR(INDIRECT("'"&amp;$D$26&amp;"'!besparcum_2032"),0)
+IFERROR(INDIRECT("'"&amp;$D$27&amp;"'!besparcum_2032"),0)
+IFERROR(INDIRECT("'"&amp;$D$28&amp;"'!besparcum_2032"),0)
+IFERROR(INDIRECT("'"&amp;$D$29&amp;"'!besparcum_2032"),0)
+IFERROR(INDIRECT("'"&amp;$D$30&amp;"'!besparcum_2032"),0)
+IFERROR(INDIRECT("'"&amp;$D$31&amp;"'!besparcum_2032"),0)
+IFERROR(INDIRECT("'"&amp;$D$32&amp;"'!besparcum_2032"),0)
+IFERROR(INDIRECT("'"&amp;$D$33&amp;"'!besparcum_2032"),0)
+IFERROR(INDIRECT("'"&amp;$D$34&amp;"'!besparcum_2032"),0)
+IFERROR(INDIRECT("'"&amp;$D$35&amp;"'!besparcum_2032"),0)
+IFERROR(INDIRECT("'"&amp;$D$36&amp;"'!besparcum_2032"),0)
+IFERROR(INDIRECT("'"&amp;$D$37&amp;"'!besparcum_2032"),0)
+IFERROR(INDIRECT("'"&amp;$D$38&amp;"'!besparcum_2032"),0)
+IFERROR(INDIRECT("'"&amp;$D$39&amp;"'!besparcum_2032"),0)
+IFERROR(INDIRECT("'"&amp;$D$40&amp;"'!besparcum_2032"),0)
+IFERROR(INDIRECT("'"&amp;$D$41&amp;"'!besparcum_2032"),0)
+IFERROR(INDIRECT("'"&amp;$D$42&amp;"'!besparcum_2032"),0)
+IFERROR(INDIRECT("'"&amp;$D$43&amp;"'!besparcum_2032"),0)
+IFERROR(INDIRECT("'"&amp;$D$44&amp;"'!besparcum_2032"),0)
+IFERROR(INDIRECT("'"&amp;$D$45&amp;"'!besparcum_2032"),0)
+IFERROR(INDIRECT("'"&amp;$D$46&amp;"'!besparcum_2032"),0)
+IFERROR(INDIRECT("'"&amp;$D$47&amp;"'!besparcum_2032"),0)
+IFERROR(INDIRECT("'"&amp;$D$48&amp;"'!besparcum_2032"),0)
+IFERROR(INDIRECT("'"&amp;$D$49&amp;"'!besparcum_2032"),0)
+IFERROR(INDIRECT("'"&amp;$D$50&amp;"'!besparcum_2032"),0)
+IFERROR(INDIRECT("'"&amp;$D$51&amp;"'!besparcum_2032"),0)
+IFERROR(INDIRECT("'"&amp;$D$52&amp;"'!besparcum_2032"),0)
+IFERROR(INDIRECT("'"&amp;$D$53&amp;"'!besparcum_2032"),0)
+IFERROR(INDIRECT("'"&amp;$D$54&amp;"'!besparcum_2032"),0)</f>
        <v>2125611.2503773477</v>
      </c>
      <c r="W49" s="338">
        <f ca="1">+IFERROR(INDIRECT("'"&amp;$D$5&amp;"'!besparcum_2033"),0)
+IFERROR(INDIRECT("'"&amp;$D$6&amp;"'!besparcum_2033"),0)
+IFERROR(INDIRECT("'"&amp;$D$7&amp;"'!besparcum_2033"),0)
+IFERROR(INDIRECT("'"&amp;$D$8&amp;"'!besparcum_2033"),0)
+IFERROR(INDIRECT("'"&amp;$D$9&amp;"'!besparcum_2033"),0)
+IFERROR(INDIRECT("'"&amp;$D$10&amp;"'!besparcum_2033"),0)
+IFERROR(INDIRECT("'"&amp;$D$11&amp;"'!besparcum_2033"),0)
+IFERROR(INDIRECT("'"&amp;$D$12&amp;"'!besparcum_2033"),0)
+IFERROR(INDIRECT("'"&amp;$D$13&amp;"'!besparcum_2033"),0)
+IFERROR(INDIRECT("'"&amp;$D$14&amp;"'!besparcum_2033"),0)
+IFERROR(INDIRECT("'"&amp;$D$15&amp;"'!besparcum_2033"),0)
+IFERROR(INDIRECT("'"&amp;$D$16&amp;"'!besparcum_2033"),0)
+IFERROR(INDIRECT("'"&amp;$D$17&amp;"'!besparcum_2033"),0)
+IFERROR(INDIRECT("'"&amp;$D$18&amp;"'!besparcum_2033"),0)
+IFERROR(INDIRECT("'"&amp;$D$19&amp;"'!besparcum_2033"),0)
+IFERROR(INDIRECT("'"&amp;$D$20&amp;"'!besparcum_2033"),0)
+IFERROR(INDIRECT("'"&amp;$D$21&amp;"'!besparcum_2033"),0)
+IFERROR(INDIRECT("'"&amp;$D$22&amp;"'!besparcum_2033"),0)
+IFERROR(INDIRECT("'"&amp;$D$23&amp;"'!besparcum_2033"),0)
+IFERROR(INDIRECT("'"&amp;$D$24&amp;"'!besparcum_2033"),0)
+IFERROR(INDIRECT("'"&amp;$D$25&amp;"'!besparcum_2033"),0)
+IFERROR(INDIRECT("'"&amp;$D$26&amp;"'!besparcum_2033"),0)
+IFERROR(INDIRECT("'"&amp;$D$27&amp;"'!besparcum_2033"),0)
+IFERROR(INDIRECT("'"&amp;$D$28&amp;"'!besparcum_2033"),0)
+IFERROR(INDIRECT("'"&amp;$D$29&amp;"'!besparcum_2033"),0)
+IFERROR(INDIRECT("'"&amp;$D$30&amp;"'!besparcum_2033"),0)
+IFERROR(INDIRECT("'"&amp;$D$31&amp;"'!besparcum_2033"),0)
+IFERROR(INDIRECT("'"&amp;$D$32&amp;"'!besparcum_2033"),0)
+IFERROR(INDIRECT("'"&amp;$D$33&amp;"'!besparcum_2033"),0)
+IFERROR(INDIRECT("'"&amp;$D$34&amp;"'!besparcum_2033"),0)
+IFERROR(INDIRECT("'"&amp;$D$35&amp;"'!besparcum_2033"),0)
+IFERROR(INDIRECT("'"&amp;$D$36&amp;"'!besparcum_2033"),0)
+IFERROR(INDIRECT("'"&amp;$D$37&amp;"'!besparcum_2033"),0)
+IFERROR(INDIRECT("'"&amp;$D$38&amp;"'!besparcum_2033"),0)
+IFERROR(INDIRECT("'"&amp;$D$39&amp;"'!besparcum_2033"),0)
+IFERROR(INDIRECT("'"&amp;$D$40&amp;"'!besparcum_2033"),0)
+IFERROR(INDIRECT("'"&amp;$D$41&amp;"'!besparcum_2033"),0)
+IFERROR(INDIRECT("'"&amp;$D$42&amp;"'!besparcum_2033"),0)
+IFERROR(INDIRECT("'"&amp;$D$43&amp;"'!besparcum_2033"),0)
+IFERROR(INDIRECT("'"&amp;$D$44&amp;"'!besparcum_2033"),0)
+IFERROR(INDIRECT("'"&amp;$D$45&amp;"'!besparcum_2033"),0)
+IFERROR(INDIRECT("'"&amp;$D$46&amp;"'!besparcum_2033"),0)
+IFERROR(INDIRECT("'"&amp;$D$47&amp;"'!besparcum_2033"),0)
+IFERROR(INDIRECT("'"&amp;$D$48&amp;"'!besparcum_2033"),0)
+IFERROR(INDIRECT("'"&amp;$D$49&amp;"'!besparcum_2033"),0)
+IFERROR(INDIRECT("'"&amp;$D$50&amp;"'!besparcum_2033"),0)
+IFERROR(INDIRECT("'"&amp;$D$51&amp;"'!besparcum_2033"),0)
+IFERROR(INDIRECT("'"&amp;$D$52&amp;"'!besparcum_2033"),0)
+IFERROR(INDIRECT("'"&amp;$D$53&amp;"'!besparcum_2033"),0)
+IFERROR(INDIRECT("'"&amp;$D$54&amp;"'!besparcum_2033"),0)</f>
        <v>2253524.6797412052</v>
      </c>
      <c r="X49" s="338">
        <f ca="1">+IFERROR(INDIRECT("'"&amp;$D$5&amp;"'!besparcum_2034"),0)
+IFERROR(INDIRECT("'"&amp;$D$6&amp;"'!besparcum_2034"),0)
+IFERROR(INDIRECT("'"&amp;$D$7&amp;"'!besparcum_2034"),0)
+IFERROR(INDIRECT("'"&amp;$D$8&amp;"'!besparcum_2034"),0)
+IFERROR(INDIRECT("'"&amp;$D$9&amp;"'!besparcum_2034"),0)
+IFERROR(INDIRECT("'"&amp;$D$10&amp;"'!besparcum_2034"),0)
+IFERROR(INDIRECT("'"&amp;$D$11&amp;"'!besparcum_2034"),0)
+IFERROR(INDIRECT("'"&amp;$D$12&amp;"'!besparcum_2034"),0)
+IFERROR(INDIRECT("'"&amp;$D$13&amp;"'!besparcum_2034"),0)
+IFERROR(INDIRECT("'"&amp;$D$14&amp;"'!besparcum_2034"),0)
+IFERROR(INDIRECT("'"&amp;$D$15&amp;"'!besparcum_2034"),0)
+IFERROR(INDIRECT("'"&amp;$D$16&amp;"'!besparcum_2034"),0)
+IFERROR(INDIRECT("'"&amp;$D$17&amp;"'!besparcum_2034"),0)
+IFERROR(INDIRECT("'"&amp;$D$18&amp;"'!besparcum_2034"),0)
+IFERROR(INDIRECT("'"&amp;$D$19&amp;"'!besparcum_2034"),0)
+IFERROR(INDIRECT("'"&amp;$D$20&amp;"'!besparcum_2034"),0)
+IFERROR(INDIRECT("'"&amp;$D$21&amp;"'!besparcum_2034"),0)
+IFERROR(INDIRECT("'"&amp;$D$22&amp;"'!besparcum_2034"),0)
+IFERROR(INDIRECT("'"&amp;$D$23&amp;"'!besparcum_2034"),0)
+IFERROR(INDIRECT("'"&amp;$D$24&amp;"'!besparcum_2034"),0)
+IFERROR(INDIRECT("'"&amp;$D$25&amp;"'!besparcum_2034"),0)
+IFERROR(INDIRECT("'"&amp;$D$26&amp;"'!besparcum_2034"),0)
+IFERROR(INDIRECT("'"&amp;$D$27&amp;"'!besparcum_2034"),0)
+IFERROR(INDIRECT("'"&amp;$D$28&amp;"'!besparcum_2034"),0)
+IFERROR(INDIRECT("'"&amp;$D$29&amp;"'!besparcum_2034"),0)
+IFERROR(INDIRECT("'"&amp;$D$30&amp;"'!besparcum_2034"),0)
+IFERROR(INDIRECT("'"&amp;$D$31&amp;"'!besparcum_2034"),0)
+IFERROR(INDIRECT("'"&amp;$D$32&amp;"'!besparcum_2034"),0)
+IFERROR(INDIRECT("'"&amp;$D$33&amp;"'!besparcum_2034"),0)
+IFERROR(INDIRECT("'"&amp;$D$34&amp;"'!besparcum_2034"),0)
+IFERROR(INDIRECT("'"&amp;$D$35&amp;"'!besparcum_2034"),0)
+IFERROR(INDIRECT("'"&amp;$D$36&amp;"'!besparcum_2034"),0)
+IFERROR(INDIRECT("'"&amp;$D$37&amp;"'!besparcum_2034"),0)
+IFERROR(INDIRECT("'"&amp;$D$38&amp;"'!besparcum_2034"),0)
+IFERROR(INDIRECT("'"&amp;$D$39&amp;"'!besparcum_2034"),0)
+IFERROR(INDIRECT("'"&amp;$D$40&amp;"'!besparcum_2034"),0)
+IFERROR(INDIRECT("'"&amp;$D$41&amp;"'!besparcum_2034"),0)
+IFERROR(INDIRECT("'"&amp;$D$42&amp;"'!besparcum_2034"),0)
+IFERROR(INDIRECT("'"&amp;$D$43&amp;"'!besparcum_2034"),0)
+IFERROR(INDIRECT("'"&amp;$D$44&amp;"'!besparcum_2034"),0)
+IFERROR(INDIRECT("'"&amp;$D$45&amp;"'!besparcum_2034"),0)
+IFERROR(INDIRECT("'"&amp;$D$46&amp;"'!besparcum_2034"),0)
+IFERROR(INDIRECT("'"&amp;$D$47&amp;"'!besparcum_2034"),0)
+IFERROR(INDIRECT("'"&amp;$D$48&amp;"'!besparcum_2034"),0)
+IFERROR(INDIRECT("'"&amp;$D$49&amp;"'!besparcum_2034"),0)
+IFERROR(INDIRECT("'"&amp;$D$50&amp;"'!besparcum_2034"),0)
+IFERROR(INDIRECT("'"&amp;$D$51&amp;"'!besparcum_2034"),0)
+IFERROR(INDIRECT("'"&amp;$D$52&amp;"'!besparcum_2034"),0)
+IFERROR(INDIRECT("'"&amp;$D$53&amp;"'!besparcum_2034"),0)
+IFERROR(INDIRECT("'"&amp;$D$54&amp;"'!besparcum_2034"),0)</f>
        <v>2381438.1091050631</v>
      </c>
      <c r="Y49" s="338">
        <f ca="1">+IFERROR(INDIRECT("'"&amp;$D$5&amp;"'!besparcum_2035"),0)
+IFERROR(INDIRECT("'"&amp;$D$6&amp;"'!besparcum_2035"),0)
+IFERROR(INDIRECT("'"&amp;$D$7&amp;"'!besparcum_2035"),0)
+IFERROR(INDIRECT("'"&amp;$D$8&amp;"'!besparcum_2035"),0)
+IFERROR(INDIRECT("'"&amp;$D$9&amp;"'!besparcum_2035"),0)
+IFERROR(INDIRECT("'"&amp;$D$10&amp;"'!besparcum_2035"),0)
+IFERROR(INDIRECT("'"&amp;$D$11&amp;"'!besparcum_2035"),0)
+IFERROR(INDIRECT("'"&amp;$D$12&amp;"'!besparcum_2035"),0)
+IFERROR(INDIRECT("'"&amp;$D$13&amp;"'!besparcum_2035"),0)
+IFERROR(INDIRECT("'"&amp;$D$14&amp;"'!besparcum_2035"),0)
+IFERROR(INDIRECT("'"&amp;$D$15&amp;"'!besparcum_2035"),0)
+IFERROR(INDIRECT("'"&amp;$D$16&amp;"'!besparcum_2035"),0)
+IFERROR(INDIRECT("'"&amp;$D$17&amp;"'!besparcum_2035"),0)
+IFERROR(INDIRECT("'"&amp;$D$18&amp;"'!besparcum_2035"),0)
+IFERROR(INDIRECT("'"&amp;$D$19&amp;"'!besparcum_2035"),0)
+IFERROR(INDIRECT("'"&amp;$D$20&amp;"'!besparcum_2035"),0)
+IFERROR(INDIRECT("'"&amp;$D$21&amp;"'!besparcum_2035"),0)
+IFERROR(INDIRECT("'"&amp;$D$22&amp;"'!besparcum_2035"),0)
+IFERROR(INDIRECT("'"&amp;$D$23&amp;"'!besparcum_2035"),0)
+IFERROR(INDIRECT("'"&amp;$D$24&amp;"'!besparcum_2035"),0)
+IFERROR(INDIRECT("'"&amp;$D$25&amp;"'!besparcum_2035"),0)
+IFERROR(INDIRECT("'"&amp;$D$26&amp;"'!besparcum_2035"),0)
+IFERROR(INDIRECT("'"&amp;$D$27&amp;"'!besparcum_2035"),0)
+IFERROR(INDIRECT("'"&amp;$D$28&amp;"'!besparcum_2035"),0)
+IFERROR(INDIRECT("'"&amp;$D$29&amp;"'!besparcum_2035"),0)
+IFERROR(INDIRECT("'"&amp;$D$30&amp;"'!besparcum_2035"),0)
+IFERROR(INDIRECT("'"&amp;$D$31&amp;"'!besparcum_2035"),0)
+IFERROR(INDIRECT("'"&amp;$D$32&amp;"'!besparcum_2035"),0)
+IFERROR(INDIRECT("'"&amp;$D$33&amp;"'!besparcum_2035"),0)
+IFERROR(INDIRECT("'"&amp;$D$34&amp;"'!besparcum_2035"),0)
+IFERROR(INDIRECT("'"&amp;$D$35&amp;"'!besparcum_2035"),0)
+IFERROR(INDIRECT("'"&amp;$D$36&amp;"'!besparcum_2035"),0)
+IFERROR(INDIRECT("'"&amp;$D$37&amp;"'!besparcum_2035"),0)
+IFERROR(INDIRECT("'"&amp;$D$38&amp;"'!besparcum_2035"),0)
+IFERROR(INDIRECT("'"&amp;$D$39&amp;"'!besparcum_2035"),0)
+IFERROR(INDIRECT("'"&amp;$D$40&amp;"'!besparcum_2035"),0)
+IFERROR(INDIRECT("'"&amp;$D$41&amp;"'!besparcum_2035"),0)
+IFERROR(INDIRECT("'"&amp;$D$42&amp;"'!besparcum_2035"),0)
+IFERROR(INDIRECT("'"&amp;$D$43&amp;"'!besparcum_2035"),0)
+IFERROR(INDIRECT("'"&amp;$D$44&amp;"'!besparcum_2035"),0)
+IFERROR(INDIRECT("'"&amp;$D$45&amp;"'!besparcum_2035"),0)
+IFERROR(INDIRECT("'"&amp;$D$46&amp;"'!besparcum_2035"),0)
+IFERROR(INDIRECT("'"&amp;$D$47&amp;"'!besparcum_2035"),0)
+IFERROR(INDIRECT("'"&amp;$D$48&amp;"'!besparcum_2035"),0)
+IFERROR(INDIRECT("'"&amp;$D$49&amp;"'!besparcum_2035"),0)
+IFERROR(INDIRECT("'"&amp;$D$50&amp;"'!besparcum_2035"),0)
+IFERROR(INDIRECT("'"&amp;$D$51&amp;"'!besparcum_2035"),0)
+IFERROR(INDIRECT("'"&amp;$D$52&amp;"'!besparcum_2035"),0)
+IFERROR(INDIRECT("'"&amp;$D$53&amp;"'!besparcum_2035"),0)
+IFERROR(INDIRECT("'"&amp;$D$54&amp;"'!besparcum_2035"),0)</f>
        <v>2509351.5384689206</v>
      </c>
      <c r="Z49" s="338">
        <f ca="1">+IFERROR(INDIRECT("'"&amp;$D$5&amp;"'!besparcum_2036"),0)
+IFERROR(INDIRECT("'"&amp;$D$6&amp;"'!besparcum_2036"),0)
+IFERROR(INDIRECT("'"&amp;$D$7&amp;"'!besparcum_2036"),0)
+IFERROR(INDIRECT("'"&amp;$D$8&amp;"'!besparcum_2036"),0)
+IFERROR(INDIRECT("'"&amp;$D$9&amp;"'!besparcum_2036"),0)
+IFERROR(INDIRECT("'"&amp;$D$10&amp;"'!besparcum_2036"),0)
+IFERROR(INDIRECT("'"&amp;$D$11&amp;"'!besparcum_2036"),0)
+IFERROR(INDIRECT("'"&amp;$D$12&amp;"'!besparcum_2036"),0)
+IFERROR(INDIRECT("'"&amp;$D$13&amp;"'!besparcum_2036"),0)
+IFERROR(INDIRECT("'"&amp;$D$14&amp;"'!besparcum_2036"),0)
+IFERROR(INDIRECT("'"&amp;$D$15&amp;"'!besparcum_2036"),0)
+IFERROR(INDIRECT("'"&amp;$D$16&amp;"'!besparcum_2036"),0)
+IFERROR(INDIRECT("'"&amp;$D$17&amp;"'!besparcum_2036"),0)
+IFERROR(INDIRECT("'"&amp;$D$18&amp;"'!besparcum_2036"),0)
+IFERROR(INDIRECT("'"&amp;$D$19&amp;"'!besparcum_2036"),0)
+IFERROR(INDIRECT("'"&amp;$D$20&amp;"'!besparcum_2036"),0)
+IFERROR(INDIRECT("'"&amp;$D$21&amp;"'!besparcum_2036"),0)
+IFERROR(INDIRECT("'"&amp;$D$22&amp;"'!besparcum_2036"),0)
+IFERROR(INDIRECT("'"&amp;$D$23&amp;"'!besparcum_2036"),0)
+IFERROR(INDIRECT("'"&amp;$D$24&amp;"'!besparcum_2036"),0)
+IFERROR(INDIRECT("'"&amp;$D$25&amp;"'!besparcum_2036"),0)
+IFERROR(INDIRECT("'"&amp;$D$26&amp;"'!besparcum_2036"),0)
+IFERROR(INDIRECT("'"&amp;$D$27&amp;"'!besparcum_2036"),0)
+IFERROR(INDIRECT("'"&amp;$D$28&amp;"'!besparcum_2036"),0)
+IFERROR(INDIRECT("'"&amp;$D$29&amp;"'!besparcum_2036"),0)
+IFERROR(INDIRECT("'"&amp;$D$30&amp;"'!besparcum_2036"),0)
+IFERROR(INDIRECT("'"&amp;$D$31&amp;"'!besparcum_2036"),0)
+IFERROR(INDIRECT("'"&amp;$D$32&amp;"'!besparcum_2036"),0)
+IFERROR(INDIRECT("'"&amp;$D$33&amp;"'!besparcum_2036"),0)
+IFERROR(INDIRECT("'"&amp;$D$34&amp;"'!besparcum_2036"),0)
+IFERROR(INDIRECT("'"&amp;$D$35&amp;"'!besparcum_2036"),0)
+IFERROR(INDIRECT("'"&amp;$D$36&amp;"'!besparcum_2036"),0)
+IFERROR(INDIRECT("'"&amp;$D$37&amp;"'!besparcum_2036"),0)
+IFERROR(INDIRECT("'"&amp;$D$38&amp;"'!besparcum_2036"),0)
+IFERROR(INDIRECT("'"&amp;$D$39&amp;"'!besparcum_2036"),0)
+IFERROR(INDIRECT("'"&amp;$D$40&amp;"'!besparcum_2036"),0)
+IFERROR(INDIRECT("'"&amp;$D$41&amp;"'!besparcum_2036"),0)
+IFERROR(INDIRECT("'"&amp;$D$42&amp;"'!besparcum_2036"),0)
+IFERROR(INDIRECT("'"&amp;$D$43&amp;"'!besparcum_2036"),0)
+IFERROR(INDIRECT("'"&amp;$D$44&amp;"'!besparcum_2036"),0)
+IFERROR(INDIRECT("'"&amp;$D$45&amp;"'!besparcum_2036"),0)
+IFERROR(INDIRECT("'"&amp;$D$46&amp;"'!besparcum_2036"),0)
+IFERROR(INDIRECT("'"&amp;$D$47&amp;"'!besparcum_2036"),0)
+IFERROR(INDIRECT("'"&amp;$D$48&amp;"'!besparcum_2036"),0)
+IFERROR(INDIRECT("'"&amp;$D$49&amp;"'!besparcum_2036"),0)
+IFERROR(INDIRECT("'"&amp;$D$50&amp;"'!besparcum_2036"),0)
+IFERROR(INDIRECT("'"&amp;$D$51&amp;"'!besparcum_2036"),0)
+IFERROR(INDIRECT("'"&amp;$D$52&amp;"'!besparcum_2036"),0)
+IFERROR(INDIRECT("'"&amp;$D$53&amp;"'!besparcum_2036"),0)
+IFERROR(INDIRECT("'"&amp;$D$54&amp;"'!besparcum_2036"),0)</f>
        <v>2645007.2911007418</v>
      </c>
      <c r="AA49" s="338">
        <f ca="1">+IFERROR(INDIRECT("'"&amp;$D$5&amp;"'!besparcum_2037"),0)
+IFERROR(INDIRECT("'"&amp;$D$6&amp;"'!besparcum_2037"),0)
+IFERROR(INDIRECT("'"&amp;$D$7&amp;"'!besparcum_2037"),0)
+IFERROR(INDIRECT("'"&amp;$D$8&amp;"'!besparcum_2037"),0)
+IFERROR(INDIRECT("'"&amp;$D$9&amp;"'!besparcum_2037"),0)
+IFERROR(INDIRECT("'"&amp;$D$10&amp;"'!besparcum_2037"),0)
+IFERROR(INDIRECT("'"&amp;$D$11&amp;"'!besparcum_2037"),0)
+IFERROR(INDIRECT("'"&amp;$D$12&amp;"'!besparcum_2037"),0)
+IFERROR(INDIRECT("'"&amp;$D$13&amp;"'!besparcum_2037"),0)
+IFERROR(INDIRECT("'"&amp;$D$14&amp;"'!besparcum_2037"),0)
+IFERROR(INDIRECT("'"&amp;$D$15&amp;"'!besparcum_2037"),0)
+IFERROR(INDIRECT("'"&amp;$D$16&amp;"'!besparcum_2037"),0)
+IFERROR(INDIRECT("'"&amp;$D$17&amp;"'!besparcum_2037"),0)
+IFERROR(INDIRECT("'"&amp;$D$18&amp;"'!besparcum_2037"),0)
+IFERROR(INDIRECT("'"&amp;$D$19&amp;"'!besparcum_2037"),0)
+IFERROR(INDIRECT("'"&amp;$D$20&amp;"'!besparcum_2037"),0)
+IFERROR(INDIRECT("'"&amp;$D$21&amp;"'!besparcum_2037"),0)
+IFERROR(INDIRECT("'"&amp;$D$22&amp;"'!besparcum_2037"),0)
+IFERROR(INDIRECT("'"&amp;$D$23&amp;"'!besparcum_2037"),0)
+IFERROR(INDIRECT("'"&amp;$D$24&amp;"'!besparcum_2037"),0)
+IFERROR(INDIRECT("'"&amp;$D$25&amp;"'!besparcum_2037"),0)
+IFERROR(INDIRECT("'"&amp;$D$26&amp;"'!besparcum_2037"),0)
+IFERROR(INDIRECT("'"&amp;$D$27&amp;"'!besparcum_2037"),0)
+IFERROR(INDIRECT("'"&amp;$D$28&amp;"'!besparcum_2037"),0)
+IFERROR(INDIRECT("'"&amp;$D$29&amp;"'!besparcum_2037"),0)
+IFERROR(INDIRECT("'"&amp;$D$30&amp;"'!besparcum_2037"),0)
+IFERROR(INDIRECT("'"&amp;$D$31&amp;"'!besparcum_2037"),0)
+IFERROR(INDIRECT("'"&amp;$D$32&amp;"'!besparcum_2037"),0)
+IFERROR(INDIRECT("'"&amp;$D$33&amp;"'!besparcum_2037"),0)
+IFERROR(INDIRECT("'"&amp;$D$34&amp;"'!besparcum_2037"),0)
+IFERROR(INDIRECT("'"&amp;$D$35&amp;"'!besparcum_2037"),0)
+IFERROR(INDIRECT("'"&amp;$D$36&amp;"'!besparcum_2037"),0)
+IFERROR(INDIRECT("'"&amp;$D$37&amp;"'!besparcum_2037"),0)
+IFERROR(INDIRECT("'"&amp;$D$38&amp;"'!besparcum_2037"),0)
+IFERROR(INDIRECT("'"&amp;$D$39&amp;"'!besparcum_2037"),0)
+IFERROR(INDIRECT("'"&amp;$D$40&amp;"'!besparcum_2037"),0)
+IFERROR(INDIRECT("'"&amp;$D$41&amp;"'!besparcum_2037"),0)
+IFERROR(INDIRECT("'"&amp;$D$42&amp;"'!besparcum_2037"),0)
+IFERROR(INDIRECT("'"&amp;$D$43&amp;"'!besparcum_2037"),0)
+IFERROR(INDIRECT("'"&amp;$D$44&amp;"'!besparcum_2037"),0)
+IFERROR(INDIRECT("'"&amp;$D$45&amp;"'!besparcum_2037"),0)
+IFERROR(INDIRECT("'"&amp;$D$46&amp;"'!besparcum_2037"),0)
+IFERROR(INDIRECT("'"&amp;$D$47&amp;"'!besparcum_2037"),0)
+IFERROR(INDIRECT("'"&amp;$D$48&amp;"'!besparcum_2037"),0)
+IFERROR(INDIRECT("'"&amp;$D$49&amp;"'!besparcum_2037"),0)
+IFERROR(INDIRECT("'"&amp;$D$50&amp;"'!besparcum_2037"),0)
+IFERROR(INDIRECT("'"&amp;$D$51&amp;"'!besparcum_2037"),0)
+IFERROR(INDIRECT("'"&amp;$D$52&amp;"'!besparcum_2037"),0)
+IFERROR(INDIRECT("'"&amp;$D$53&amp;"'!besparcum_2037"),0)
+IFERROR(INDIRECT("'"&amp;$D$54&amp;"'!besparcum_2037"),0)</f>
        <v>2780663.0437325626</v>
      </c>
      <c r="AB49" s="338">
        <f ca="1">+IFERROR(INDIRECT("'"&amp;$D$5&amp;"'!besparcum_2038"),0)
+IFERROR(INDIRECT("'"&amp;$D$6&amp;"'!besparcum_2038"),0)
+IFERROR(INDIRECT("'"&amp;$D$7&amp;"'!besparcum_2038"),0)
+IFERROR(INDIRECT("'"&amp;$D$8&amp;"'!besparcum_2038"),0)
+IFERROR(INDIRECT("'"&amp;$D$9&amp;"'!besparcum_2038"),0)
+IFERROR(INDIRECT("'"&amp;$D$10&amp;"'!besparcum_2038"),0)
+IFERROR(INDIRECT("'"&amp;$D$11&amp;"'!besparcum_2038"),0)
+IFERROR(INDIRECT("'"&amp;$D$12&amp;"'!besparcum_2038"),0)
+IFERROR(INDIRECT("'"&amp;$D$13&amp;"'!besparcum_2038"),0)
+IFERROR(INDIRECT("'"&amp;$D$14&amp;"'!besparcum_2038"),0)
+IFERROR(INDIRECT("'"&amp;$D$15&amp;"'!besparcum_2038"),0)
+IFERROR(INDIRECT("'"&amp;$D$16&amp;"'!besparcum_2038"),0)
+IFERROR(INDIRECT("'"&amp;$D$17&amp;"'!besparcum_2038"),0)
+IFERROR(INDIRECT("'"&amp;$D$18&amp;"'!besparcum_2038"),0)
+IFERROR(INDIRECT("'"&amp;$D$19&amp;"'!besparcum_2038"),0)
+IFERROR(INDIRECT("'"&amp;$D$20&amp;"'!besparcum_2038"),0)
+IFERROR(INDIRECT("'"&amp;$D$21&amp;"'!besparcum_2038"),0)
+IFERROR(INDIRECT("'"&amp;$D$22&amp;"'!besparcum_2038"),0)
+IFERROR(INDIRECT("'"&amp;$D$23&amp;"'!besparcum_2038"),0)
+IFERROR(INDIRECT("'"&amp;$D$24&amp;"'!besparcum_2038"),0)
+IFERROR(INDIRECT("'"&amp;$D$25&amp;"'!besparcum_2038"),0)
+IFERROR(INDIRECT("'"&amp;$D$26&amp;"'!besparcum_2038"),0)
+IFERROR(INDIRECT("'"&amp;$D$27&amp;"'!besparcum_2038"),0)
+IFERROR(INDIRECT("'"&amp;$D$28&amp;"'!besparcum_2038"),0)
+IFERROR(INDIRECT("'"&amp;$D$29&amp;"'!besparcum_2038"),0)
+IFERROR(INDIRECT("'"&amp;$D$30&amp;"'!besparcum_2038"),0)
+IFERROR(INDIRECT("'"&amp;$D$31&amp;"'!besparcum_2038"),0)
+IFERROR(INDIRECT("'"&amp;$D$32&amp;"'!besparcum_2038"),0)
+IFERROR(INDIRECT("'"&amp;$D$33&amp;"'!besparcum_2038"),0)
+IFERROR(INDIRECT("'"&amp;$D$34&amp;"'!besparcum_2038"),0)
+IFERROR(INDIRECT("'"&amp;$D$35&amp;"'!besparcum_2038"),0)
+IFERROR(INDIRECT("'"&amp;$D$36&amp;"'!besparcum_2038"),0)
+IFERROR(INDIRECT("'"&amp;$D$37&amp;"'!besparcum_2038"),0)
+IFERROR(INDIRECT("'"&amp;$D$38&amp;"'!besparcum_2038"),0)
+IFERROR(INDIRECT("'"&amp;$D$39&amp;"'!besparcum_2038"),0)
+IFERROR(INDIRECT("'"&amp;$D$40&amp;"'!besparcum_2038"),0)
+IFERROR(INDIRECT("'"&amp;$D$41&amp;"'!besparcum_2038"),0)
+IFERROR(INDIRECT("'"&amp;$D$42&amp;"'!besparcum_2038"),0)
+IFERROR(INDIRECT("'"&amp;$D$43&amp;"'!besparcum_2038"),0)
+IFERROR(INDIRECT("'"&amp;$D$44&amp;"'!besparcum_2038"),0)
+IFERROR(INDIRECT("'"&amp;$D$45&amp;"'!besparcum_2038"),0)
+IFERROR(INDIRECT("'"&amp;$D$46&amp;"'!besparcum_2038"),0)
+IFERROR(INDIRECT("'"&amp;$D$47&amp;"'!besparcum_2038"),0)
+IFERROR(INDIRECT("'"&amp;$D$48&amp;"'!besparcum_2038"),0)
+IFERROR(INDIRECT("'"&amp;$D$49&amp;"'!besparcum_2038"),0)
+IFERROR(INDIRECT("'"&amp;$D$50&amp;"'!besparcum_2038"),0)
+IFERROR(INDIRECT("'"&amp;$D$51&amp;"'!besparcum_2038"),0)
+IFERROR(INDIRECT("'"&amp;$D$52&amp;"'!besparcum_2038"),0)
+IFERROR(INDIRECT("'"&amp;$D$53&amp;"'!besparcum_2038"),0)
+IFERROR(INDIRECT("'"&amp;$D$54&amp;"'!besparcum_2038"),0)</f>
        <v>2916318.7963643838</v>
      </c>
      <c r="AC49" s="338">
        <f ca="1">+IFERROR(INDIRECT("'"&amp;$D$5&amp;"'!besparcum_2039"),0)
+IFERROR(INDIRECT("'"&amp;$D$6&amp;"'!besparcum_2039"),0)
+IFERROR(INDIRECT("'"&amp;$D$7&amp;"'!besparcum_2039"),0)
+IFERROR(INDIRECT("'"&amp;$D$8&amp;"'!besparcum_2039"),0)
+IFERROR(INDIRECT("'"&amp;$D$9&amp;"'!besparcum_2039"),0)
+IFERROR(INDIRECT("'"&amp;$D$10&amp;"'!besparcum_2039"),0)
+IFERROR(INDIRECT("'"&amp;$D$11&amp;"'!besparcum_2039"),0)
+IFERROR(INDIRECT("'"&amp;$D$12&amp;"'!besparcum_2039"),0)
+IFERROR(INDIRECT("'"&amp;$D$13&amp;"'!besparcum_2039"),0)
+IFERROR(INDIRECT("'"&amp;$D$14&amp;"'!besparcum_2039"),0)
+IFERROR(INDIRECT("'"&amp;$D$15&amp;"'!besparcum_2039"),0)
+IFERROR(INDIRECT("'"&amp;$D$16&amp;"'!besparcum_2039"),0)
+IFERROR(INDIRECT("'"&amp;$D$17&amp;"'!besparcum_2039"),0)
+IFERROR(INDIRECT("'"&amp;$D$18&amp;"'!besparcum_2039"),0)
+IFERROR(INDIRECT("'"&amp;$D$19&amp;"'!besparcum_2039"),0)
+IFERROR(INDIRECT("'"&amp;$D$20&amp;"'!besparcum_2039"),0)
+IFERROR(INDIRECT("'"&amp;$D$21&amp;"'!besparcum_2039"),0)
+IFERROR(INDIRECT("'"&amp;$D$22&amp;"'!besparcum_2039"),0)
+IFERROR(INDIRECT("'"&amp;$D$23&amp;"'!besparcum_2039"),0)
+IFERROR(INDIRECT("'"&amp;$D$24&amp;"'!besparcum_2039"),0)
+IFERROR(INDIRECT("'"&amp;$D$25&amp;"'!besparcum_2039"),0)
+IFERROR(INDIRECT("'"&amp;$D$26&amp;"'!besparcum_2039"),0)
+IFERROR(INDIRECT("'"&amp;$D$27&amp;"'!besparcum_2039"),0)
+IFERROR(INDIRECT("'"&amp;$D$28&amp;"'!besparcum_2039"),0)
+IFERROR(INDIRECT("'"&amp;$D$29&amp;"'!besparcum_2039"),0)
+IFERROR(INDIRECT("'"&amp;$D$30&amp;"'!besparcum_2039"),0)
+IFERROR(INDIRECT("'"&amp;$D$31&amp;"'!besparcum_2039"),0)
+IFERROR(INDIRECT("'"&amp;$D$32&amp;"'!besparcum_2039"),0)
+IFERROR(INDIRECT("'"&amp;$D$33&amp;"'!besparcum_2039"),0)
+IFERROR(INDIRECT("'"&amp;$D$34&amp;"'!besparcum_2039"),0)
+IFERROR(INDIRECT("'"&amp;$D$35&amp;"'!besparcum_2039"),0)
+IFERROR(INDIRECT("'"&amp;$D$36&amp;"'!besparcum_2039"),0)
+IFERROR(INDIRECT("'"&amp;$D$37&amp;"'!besparcum_2039"),0)
+IFERROR(INDIRECT("'"&amp;$D$38&amp;"'!besparcum_2039"),0)
+IFERROR(INDIRECT("'"&amp;$D$39&amp;"'!besparcum_2039"),0)
+IFERROR(INDIRECT("'"&amp;$D$40&amp;"'!besparcum_2039"),0)
+IFERROR(INDIRECT("'"&amp;$D$41&amp;"'!besparcum_2039"),0)
+IFERROR(INDIRECT("'"&amp;$D$42&amp;"'!besparcum_2039"),0)
+IFERROR(INDIRECT("'"&amp;$D$43&amp;"'!besparcum_2039"),0)
+IFERROR(INDIRECT("'"&amp;$D$44&amp;"'!besparcum_2039"),0)
+IFERROR(INDIRECT("'"&amp;$D$45&amp;"'!besparcum_2039"),0)
+IFERROR(INDIRECT("'"&amp;$D$46&amp;"'!besparcum_2039"),0)
+IFERROR(INDIRECT("'"&amp;$D$47&amp;"'!besparcum_2039"),0)
+IFERROR(INDIRECT("'"&amp;$D$48&amp;"'!besparcum_2039"),0)
+IFERROR(INDIRECT("'"&amp;$D$49&amp;"'!besparcum_2039"),0)
+IFERROR(INDIRECT("'"&amp;$D$50&amp;"'!besparcum_2039"),0)
+IFERROR(INDIRECT("'"&amp;$D$51&amp;"'!besparcum_2039"),0)
+IFERROR(INDIRECT("'"&amp;$D$52&amp;"'!besparcum_2039"),0)
+IFERROR(INDIRECT("'"&amp;$D$53&amp;"'!besparcum_2039"),0)
+IFERROR(INDIRECT("'"&amp;$D$54&amp;"'!besparcum_2039"),0)</f>
        <v>3051974.548996205</v>
      </c>
      <c r="AD49" s="338">
        <f ca="1">+IFERROR(INDIRECT("'"&amp;$D$5&amp;"'!besparcum_2040"),0)
+IFERROR(INDIRECT("'"&amp;$D$6&amp;"'!besparcum_2040"),0)
+IFERROR(INDIRECT("'"&amp;$D$7&amp;"'!besparcum_2040"),0)
+IFERROR(INDIRECT("'"&amp;$D$8&amp;"'!besparcum_2040"),0)
+IFERROR(INDIRECT("'"&amp;$D$9&amp;"'!besparcum_2040"),0)
+IFERROR(INDIRECT("'"&amp;$D$10&amp;"'!besparcum_2040"),0)
+IFERROR(INDIRECT("'"&amp;$D$11&amp;"'!besparcum_2040"),0)
+IFERROR(INDIRECT("'"&amp;$D$12&amp;"'!besparcum_2040"),0)
+IFERROR(INDIRECT("'"&amp;$D$13&amp;"'!besparcum_2040"),0)
+IFERROR(INDIRECT("'"&amp;$D$14&amp;"'!besparcum_2040"),0)
+IFERROR(INDIRECT("'"&amp;$D$15&amp;"'!besparcum_2040"),0)
+IFERROR(INDIRECT("'"&amp;$D$16&amp;"'!besparcum_2040"),0)
+IFERROR(INDIRECT("'"&amp;$D$17&amp;"'!besparcum_2040"),0)
+IFERROR(INDIRECT("'"&amp;$D$18&amp;"'!besparcum_2040"),0)
+IFERROR(INDIRECT("'"&amp;$D$19&amp;"'!besparcum_2040"),0)
+IFERROR(INDIRECT("'"&amp;$D$20&amp;"'!besparcum_2040"),0)
+IFERROR(INDIRECT("'"&amp;$D$21&amp;"'!besparcum_2040"),0)
+IFERROR(INDIRECT("'"&amp;$D$22&amp;"'!besparcum_2040"),0)
+IFERROR(INDIRECT("'"&amp;$D$23&amp;"'!besparcum_2040"),0)
+IFERROR(INDIRECT("'"&amp;$D$24&amp;"'!besparcum_2040"),0)
+IFERROR(INDIRECT("'"&amp;$D$25&amp;"'!besparcum_2040"),0)
+IFERROR(INDIRECT("'"&amp;$D$26&amp;"'!besparcum_2040"),0)
+IFERROR(INDIRECT("'"&amp;$D$27&amp;"'!besparcum_2040"),0)
+IFERROR(INDIRECT("'"&amp;$D$28&amp;"'!besparcum_2040"),0)
+IFERROR(INDIRECT("'"&amp;$D$29&amp;"'!besparcum_2040"),0)
+IFERROR(INDIRECT("'"&amp;$D$30&amp;"'!besparcum_2040"),0)
+IFERROR(INDIRECT("'"&amp;$D$31&amp;"'!besparcum_2040"),0)
+IFERROR(INDIRECT("'"&amp;$D$32&amp;"'!besparcum_2040"),0)
+IFERROR(INDIRECT("'"&amp;$D$33&amp;"'!besparcum_2040"),0)
+IFERROR(INDIRECT("'"&amp;$D$34&amp;"'!besparcum_2040"),0)
+IFERROR(INDIRECT("'"&amp;$D$35&amp;"'!besparcum_2040"),0)
+IFERROR(INDIRECT("'"&amp;$D$36&amp;"'!besparcum_2040"),0)
+IFERROR(INDIRECT("'"&amp;$D$37&amp;"'!besparcum_2040"),0)
+IFERROR(INDIRECT("'"&amp;$D$38&amp;"'!besparcum_2040"),0)
+IFERROR(INDIRECT("'"&amp;$D$39&amp;"'!besparcum_2040"),0)
+IFERROR(INDIRECT("'"&amp;$D$40&amp;"'!besparcum_2040"),0)
+IFERROR(INDIRECT("'"&amp;$D$41&amp;"'!besparcum_2040"),0)
+IFERROR(INDIRECT("'"&amp;$D$42&amp;"'!besparcum_2040"),0)
+IFERROR(INDIRECT("'"&amp;$D$43&amp;"'!besparcum_2040"),0)
+IFERROR(INDIRECT("'"&amp;$D$44&amp;"'!besparcum_2040"),0)
+IFERROR(INDIRECT("'"&amp;$D$45&amp;"'!besparcum_2040"),0)
+IFERROR(INDIRECT("'"&amp;$D$46&amp;"'!besparcum_2040"),0)
+IFERROR(INDIRECT("'"&amp;$D$47&amp;"'!besparcum_2040"),0)
+IFERROR(INDIRECT("'"&amp;$D$48&amp;"'!besparcum_2040"),0)
+IFERROR(INDIRECT("'"&amp;$D$49&amp;"'!besparcum_2040"),0)
+IFERROR(INDIRECT("'"&amp;$D$50&amp;"'!besparcum_2040"),0)
+IFERROR(INDIRECT("'"&amp;$D$51&amp;"'!besparcum_2040"),0)
+IFERROR(INDIRECT("'"&amp;$D$52&amp;"'!besparcum_2040"),0)
+IFERROR(INDIRECT("'"&amp;$D$53&amp;"'!besparcum_2040"),0)
+IFERROR(INDIRECT("'"&amp;$D$54&amp;"'!besparcum_2040"),0)</f>
        <v>3150910.2730136253</v>
      </c>
      <c r="AE49" s="338">
        <f ca="1">+IFERROR(INDIRECT("'"&amp;$D$5&amp;"'!besparcum_2041"),0)
+IFERROR(INDIRECT("'"&amp;$D$6&amp;"'!besparcum_2041"),0)
+IFERROR(INDIRECT("'"&amp;$D$7&amp;"'!besparcum_2041"),0)
+IFERROR(INDIRECT("'"&amp;$D$8&amp;"'!besparcum_2041"),0)
+IFERROR(INDIRECT("'"&amp;$D$9&amp;"'!besparcum_2041"),0)
+IFERROR(INDIRECT("'"&amp;$D$10&amp;"'!besparcum_2041"),0)
+IFERROR(INDIRECT("'"&amp;$D$11&amp;"'!besparcum_2041"),0)
+IFERROR(INDIRECT("'"&amp;$D$12&amp;"'!besparcum_2041"),0)
+IFERROR(INDIRECT("'"&amp;$D$13&amp;"'!besparcum_2041"),0)
+IFERROR(INDIRECT("'"&amp;$D$14&amp;"'!besparcum_2041"),0)
+IFERROR(INDIRECT("'"&amp;$D$15&amp;"'!besparcum_2041"),0)
+IFERROR(INDIRECT("'"&amp;$D$16&amp;"'!besparcum_2041"),0)
+IFERROR(INDIRECT("'"&amp;$D$17&amp;"'!besparcum_2041"),0)
+IFERROR(INDIRECT("'"&amp;$D$18&amp;"'!besparcum_2041"),0)
+IFERROR(INDIRECT("'"&amp;$D$19&amp;"'!besparcum_2041"),0)
+IFERROR(INDIRECT("'"&amp;$D$20&amp;"'!besparcum_2041"),0)
+IFERROR(INDIRECT("'"&amp;$D$21&amp;"'!besparcum_2041"),0)
+IFERROR(INDIRECT("'"&amp;$D$22&amp;"'!besparcum_2041"),0)
+IFERROR(INDIRECT("'"&amp;$D$23&amp;"'!besparcum_2041"),0)
+IFERROR(INDIRECT("'"&amp;$D$24&amp;"'!besparcum_2041"),0)
+IFERROR(INDIRECT("'"&amp;$D$25&amp;"'!besparcum_2041"),0)
+IFERROR(INDIRECT("'"&amp;$D$26&amp;"'!besparcum_2041"),0)
+IFERROR(INDIRECT("'"&amp;$D$27&amp;"'!besparcum_2041"),0)
+IFERROR(INDIRECT("'"&amp;$D$28&amp;"'!besparcum_2041"),0)
+IFERROR(INDIRECT("'"&amp;$D$29&amp;"'!besparcum_2041"),0)
+IFERROR(INDIRECT("'"&amp;$D$30&amp;"'!besparcum_2041"),0)
+IFERROR(INDIRECT("'"&amp;$D$31&amp;"'!besparcum_2041"),0)
+IFERROR(INDIRECT("'"&amp;$D$32&amp;"'!besparcum_2041"),0)
+IFERROR(INDIRECT("'"&amp;$D$33&amp;"'!besparcum_2041"),0)
+IFERROR(INDIRECT("'"&amp;$D$34&amp;"'!besparcum_2041"),0)
+IFERROR(INDIRECT("'"&amp;$D$35&amp;"'!besparcum_2041"),0)
+IFERROR(INDIRECT("'"&amp;$D$36&amp;"'!besparcum_2041"),0)
+IFERROR(INDIRECT("'"&amp;$D$37&amp;"'!besparcum_2041"),0)
+IFERROR(INDIRECT("'"&amp;$D$38&amp;"'!besparcum_2041"),0)
+IFERROR(INDIRECT("'"&amp;$D$39&amp;"'!besparcum_2041"),0)
+IFERROR(INDIRECT("'"&amp;$D$40&amp;"'!besparcum_2041"),0)
+IFERROR(INDIRECT("'"&amp;$D$41&amp;"'!besparcum_2041"),0)
+IFERROR(INDIRECT("'"&amp;$D$42&amp;"'!besparcum_2041"),0)
+IFERROR(INDIRECT("'"&amp;$D$43&amp;"'!besparcum_2041"),0)
+IFERROR(INDIRECT("'"&amp;$D$44&amp;"'!besparcum_2041"),0)
+IFERROR(INDIRECT("'"&amp;$D$45&amp;"'!besparcum_2041"),0)
+IFERROR(INDIRECT("'"&amp;$D$46&amp;"'!besparcum_2041"),0)
+IFERROR(INDIRECT("'"&amp;$D$47&amp;"'!besparcum_2041"),0)
+IFERROR(INDIRECT("'"&amp;$D$48&amp;"'!besparcum_2041"),0)
+IFERROR(INDIRECT("'"&amp;$D$49&amp;"'!besparcum_2041"),0)
+IFERROR(INDIRECT("'"&amp;$D$50&amp;"'!besparcum_2041"),0)
+IFERROR(INDIRECT("'"&amp;$D$51&amp;"'!besparcum_2041"),0)
+IFERROR(INDIRECT("'"&amp;$D$52&amp;"'!besparcum_2041"),0)
+IFERROR(INDIRECT("'"&amp;$D$53&amp;"'!besparcum_2041"),0)
+IFERROR(INDIRECT("'"&amp;$D$54&amp;"'!besparcum_2041"),0)</f>
        <v>3249845.9970310465</v>
      </c>
      <c r="AF49" s="338">
        <f ca="1">+IFERROR(INDIRECT("'"&amp;$D$5&amp;"'!besparcum_2042"),0)
+IFERROR(INDIRECT("'"&amp;$D$6&amp;"'!besparcum_2042"),0)
+IFERROR(INDIRECT("'"&amp;$D$7&amp;"'!besparcum_2042"),0)
+IFERROR(INDIRECT("'"&amp;$D$8&amp;"'!besparcum_2042"),0)
+IFERROR(INDIRECT("'"&amp;$D$9&amp;"'!besparcum_2042"),0)
+IFERROR(INDIRECT("'"&amp;$D$10&amp;"'!besparcum_2042"),0)
+IFERROR(INDIRECT("'"&amp;$D$11&amp;"'!besparcum_2042"),0)
+IFERROR(INDIRECT("'"&amp;$D$12&amp;"'!besparcum_2042"),0)
+IFERROR(INDIRECT("'"&amp;$D$13&amp;"'!besparcum_2042"),0)
+IFERROR(INDIRECT("'"&amp;$D$14&amp;"'!besparcum_2042"),0)
+IFERROR(INDIRECT("'"&amp;$D$15&amp;"'!besparcum_2042"),0)
+IFERROR(INDIRECT("'"&amp;$D$16&amp;"'!besparcum_2042"),0)
+IFERROR(INDIRECT("'"&amp;$D$17&amp;"'!besparcum_2042"),0)
+IFERROR(INDIRECT("'"&amp;$D$18&amp;"'!besparcum_2042"),0)
+IFERROR(INDIRECT("'"&amp;$D$19&amp;"'!besparcum_2042"),0)
+IFERROR(INDIRECT("'"&amp;$D$20&amp;"'!besparcum_2042"),0)
+IFERROR(INDIRECT("'"&amp;$D$21&amp;"'!besparcum_2042"),0)
+IFERROR(INDIRECT("'"&amp;$D$22&amp;"'!besparcum_2042"),0)
+IFERROR(INDIRECT("'"&amp;$D$23&amp;"'!besparcum_2042"),0)
+IFERROR(INDIRECT("'"&amp;$D$24&amp;"'!besparcum_2042"),0)
+IFERROR(INDIRECT("'"&amp;$D$25&amp;"'!besparcum_2042"),0)
+IFERROR(INDIRECT("'"&amp;$D$26&amp;"'!besparcum_2042"),0)
+IFERROR(INDIRECT("'"&amp;$D$27&amp;"'!besparcum_2042"),0)
+IFERROR(INDIRECT("'"&amp;$D$28&amp;"'!besparcum_2042"),0)
+IFERROR(INDIRECT("'"&amp;$D$29&amp;"'!besparcum_2042"),0)
+IFERROR(INDIRECT("'"&amp;$D$30&amp;"'!besparcum_2042"),0)
+IFERROR(INDIRECT("'"&amp;$D$31&amp;"'!besparcum_2042"),0)
+IFERROR(INDIRECT("'"&amp;$D$32&amp;"'!besparcum_2042"),0)
+IFERROR(INDIRECT("'"&amp;$D$33&amp;"'!besparcum_2042"),0)
+IFERROR(INDIRECT("'"&amp;$D$34&amp;"'!besparcum_2042"),0)
+IFERROR(INDIRECT("'"&amp;$D$35&amp;"'!besparcum_2042"),0)
+IFERROR(INDIRECT("'"&amp;$D$36&amp;"'!besparcum_2042"),0)
+IFERROR(INDIRECT("'"&amp;$D$37&amp;"'!besparcum_2042"),0)
+IFERROR(INDIRECT("'"&amp;$D$38&amp;"'!besparcum_2042"),0)
+IFERROR(INDIRECT("'"&amp;$D$39&amp;"'!besparcum_2042"),0)
+IFERROR(INDIRECT("'"&amp;$D$40&amp;"'!besparcum_2042"),0)
+IFERROR(INDIRECT("'"&amp;$D$41&amp;"'!besparcum_2042"),0)
+IFERROR(INDIRECT("'"&amp;$D$42&amp;"'!besparcum_2042"),0)
+IFERROR(INDIRECT("'"&amp;$D$43&amp;"'!besparcum_2042"),0)
+IFERROR(INDIRECT("'"&amp;$D$44&amp;"'!besparcum_2042"),0)
+IFERROR(INDIRECT("'"&amp;$D$45&amp;"'!besparcum_2042"),0)
+IFERROR(INDIRECT("'"&amp;$D$46&amp;"'!besparcum_2042"),0)
+IFERROR(INDIRECT("'"&amp;$D$47&amp;"'!besparcum_2042"),0)
+IFERROR(INDIRECT("'"&amp;$D$48&amp;"'!besparcum_2042"),0)
+IFERROR(INDIRECT("'"&amp;$D$49&amp;"'!besparcum_2042"),0)
+IFERROR(INDIRECT("'"&amp;$D$50&amp;"'!besparcum_2042"),0)
+IFERROR(INDIRECT("'"&amp;$D$51&amp;"'!besparcum_2042"),0)
+IFERROR(INDIRECT("'"&amp;$D$52&amp;"'!besparcum_2042"),0)
+IFERROR(INDIRECT("'"&amp;$D$53&amp;"'!besparcum_2042"),0)
+IFERROR(INDIRECT("'"&amp;$D$54&amp;"'!besparcum_2042"),0)</f>
        <v>3348781.7210484678</v>
      </c>
      <c r="AG49" s="338">
        <f ca="1">+IFERROR(INDIRECT("'"&amp;$D$5&amp;"'!besparcum_2043"),0)
+IFERROR(INDIRECT("'"&amp;$D$6&amp;"'!besparcum_2043"),0)
+IFERROR(INDIRECT("'"&amp;$D$7&amp;"'!besparcum_2043"),0)
+IFERROR(INDIRECT("'"&amp;$D$8&amp;"'!besparcum_2043"),0)
+IFERROR(INDIRECT("'"&amp;$D$9&amp;"'!besparcum_2043"),0)
+IFERROR(INDIRECT("'"&amp;$D$10&amp;"'!besparcum_2043"),0)
+IFERROR(INDIRECT("'"&amp;$D$11&amp;"'!besparcum_2043"),0)
+IFERROR(INDIRECT("'"&amp;$D$12&amp;"'!besparcum_2043"),0)
+IFERROR(INDIRECT("'"&amp;$D$13&amp;"'!besparcum_2043"),0)
+IFERROR(INDIRECT("'"&amp;$D$14&amp;"'!besparcum_2043"),0)
+IFERROR(INDIRECT("'"&amp;$D$15&amp;"'!besparcum_2043"),0)
+IFERROR(INDIRECT("'"&amp;$D$16&amp;"'!besparcum_2043"),0)
+IFERROR(INDIRECT("'"&amp;$D$17&amp;"'!besparcum_2043"),0)
+IFERROR(INDIRECT("'"&amp;$D$18&amp;"'!besparcum_2043"),0)
+IFERROR(INDIRECT("'"&amp;$D$19&amp;"'!besparcum_2043"),0)
+IFERROR(INDIRECT("'"&amp;$D$20&amp;"'!besparcum_2043"),0)
+IFERROR(INDIRECT("'"&amp;$D$21&amp;"'!besparcum_2043"),0)
+IFERROR(INDIRECT("'"&amp;$D$22&amp;"'!besparcum_2043"),0)
+IFERROR(INDIRECT("'"&amp;$D$23&amp;"'!besparcum_2043"),0)
+IFERROR(INDIRECT("'"&amp;$D$24&amp;"'!besparcum_2043"),0)
+IFERROR(INDIRECT("'"&amp;$D$25&amp;"'!besparcum_2043"),0)
+IFERROR(INDIRECT("'"&amp;$D$26&amp;"'!besparcum_2043"),0)
+IFERROR(INDIRECT("'"&amp;$D$27&amp;"'!besparcum_2043"),0)
+IFERROR(INDIRECT("'"&amp;$D$28&amp;"'!besparcum_2043"),0)
+IFERROR(INDIRECT("'"&amp;$D$29&amp;"'!besparcum_2043"),0)
+IFERROR(INDIRECT("'"&amp;$D$30&amp;"'!besparcum_2043"),0)
+IFERROR(INDIRECT("'"&amp;$D$31&amp;"'!besparcum_2043"),0)
+IFERROR(INDIRECT("'"&amp;$D$32&amp;"'!besparcum_2043"),0)
+IFERROR(INDIRECT("'"&amp;$D$33&amp;"'!besparcum_2043"),0)
+IFERROR(INDIRECT("'"&amp;$D$34&amp;"'!besparcum_2043"),0)
+IFERROR(INDIRECT("'"&amp;$D$35&amp;"'!besparcum_2043"),0)
+IFERROR(INDIRECT("'"&amp;$D$36&amp;"'!besparcum_2043"),0)
+IFERROR(INDIRECT("'"&amp;$D$37&amp;"'!besparcum_2043"),0)
+IFERROR(INDIRECT("'"&amp;$D$38&amp;"'!besparcum_2043"),0)
+IFERROR(INDIRECT("'"&amp;$D$39&amp;"'!besparcum_2043"),0)
+IFERROR(INDIRECT("'"&amp;$D$40&amp;"'!besparcum_2043"),0)
+IFERROR(INDIRECT("'"&amp;$D$41&amp;"'!besparcum_2043"),0)
+IFERROR(INDIRECT("'"&amp;$D$42&amp;"'!besparcum_2043"),0)
+IFERROR(INDIRECT("'"&amp;$D$43&amp;"'!besparcum_2043"),0)
+IFERROR(INDIRECT("'"&amp;$D$44&amp;"'!besparcum_2043"),0)
+IFERROR(INDIRECT("'"&amp;$D$45&amp;"'!besparcum_2043"),0)
+IFERROR(INDIRECT("'"&amp;$D$46&amp;"'!besparcum_2043"),0)
+IFERROR(INDIRECT("'"&amp;$D$47&amp;"'!besparcum_2043"),0)
+IFERROR(INDIRECT("'"&amp;$D$48&amp;"'!besparcum_2043"),0)
+IFERROR(INDIRECT("'"&amp;$D$49&amp;"'!besparcum_2043"),0)
+IFERROR(INDIRECT("'"&amp;$D$50&amp;"'!besparcum_2043"),0)
+IFERROR(INDIRECT("'"&amp;$D$51&amp;"'!besparcum_2043"),0)
+IFERROR(INDIRECT("'"&amp;$D$52&amp;"'!besparcum_2043"),0)
+IFERROR(INDIRECT("'"&amp;$D$53&amp;"'!besparcum_2043"),0)
+IFERROR(INDIRECT("'"&amp;$D$54&amp;"'!besparcum_2043"),0)</f>
        <v>3447717.445065889</v>
      </c>
      <c r="AH49" s="338">
        <f ca="1">+IFERROR(INDIRECT("'"&amp;$D$5&amp;"'!besparcum_2044"),0)
+IFERROR(INDIRECT("'"&amp;$D$6&amp;"'!besparcum_2044"),0)
+IFERROR(INDIRECT("'"&amp;$D$7&amp;"'!besparcum_2044"),0)
+IFERROR(INDIRECT("'"&amp;$D$8&amp;"'!besparcum_2044"),0)
+IFERROR(INDIRECT("'"&amp;$D$9&amp;"'!besparcum_2044"),0)
+IFERROR(INDIRECT("'"&amp;$D$10&amp;"'!besparcum_2044"),0)
+IFERROR(INDIRECT("'"&amp;$D$11&amp;"'!besparcum_2044"),0)
+IFERROR(INDIRECT("'"&amp;$D$12&amp;"'!besparcum_2044"),0)
+IFERROR(INDIRECT("'"&amp;$D$13&amp;"'!besparcum_2044"),0)
+IFERROR(INDIRECT("'"&amp;$D$14&amp;"'!besparcum_2044"),0)
+IFERROR(INDIRECT("'"&amp;$D$15&amp;"'!besparcum_2044"),0)
+IFERROR(INDIRECT("'"&amp;$D$16&amp;"'!besparcum_2044"),0)
+IFERROR(INDIRECT("'"&amp;$D$17&amp;"'!besparcum_2044"),0)
+IFERROR(INDIRECT("'"&amp;$D$18&amp;"'!besparcum_2044"),0)
+IFERROR(INDIRECT("'"&amp;$D$19&amp;"'!besparcum_2044"),0)
+IFERROR(INDIRECT("'"&amp;$D$20&amp;"'!besparcum_2044"),0)
+IFERROR(INDIRECT("'"&amp;$D$21&amp;"'!besparcum_2044"),0)
+IFERROR(INDIRECT("'"&amp;$D$22&amp;"'!besparcum_2044"),0)
+IFERROR(INDIRECT("'"&amp;$D$23&amp;"'!besparcum_2044"),0)
+IFERROR(INDIRECT("'"&amp;$D$24&amp;"'!besparcum_2044"),0)
+IFERROR(INDIRECT("'"&amp;$D$25&amp;"'!besparcum_2044"),0)
+IFERROR(INDIRECT("'"&amp;$D$26&amp;"'!besparcum_2044"),0)
+IFERROR(INDIRECT("'"&amp;$D$27&amp;"'!besparcum_2044"),0)
+IFERROR(INDIRECT("'"&amp;$D$28&amp;"'!besparcum_2044"),0)
+IFERROR(INDIRECT("'"&amp;$D$29&amp;"'!besparcum_2044"),0)
+IFERROR(INDIRECT("'"&amp;$D$30&amp;"'!besparcum_2044"),0)
+IFERROR(INDIRECT("'"&amp;$D$31&amp;"'!besparcum_2044"),0)
+IFERROR(INDIRECT("'"&amp;$D$32&amp;"'!besparcum_2044"),0)
+IFERROR(INDIRECT("'"&amp;$D$33&amp;"'!besparcum_2044"),0)
+IFERROR(INDIRECT("'"&amp;$D$34&amp;"'!besparcum_2044"),0)
+IFERROR(INDIRECT("'"&amp;$D$35&amp;"'!besparcum_2044"),0)
+IFERROR(INDIRECT("'"&amp;$D$36&amp;"'!besparcum_2044"),0)
+IFERROR(INDIRECT("'"&amp;$D$37&amp;"'!besparcum_2044"),0)
+IFERROR(INDIRECT("'"&amp;$D$38&amp;"'!besparcum_2044"),0)
+IFERROR(INDIRECT("'"&amp;$D$39&amp;"'!besparcum_2044"),0)
+IFERROR(INDIRECT("'"&amp;$D$40&amp;"'!besparcum_2044"),0)
+IFERROR(INDIRECT("'"&amp;$D$41&amp;"'!besparcum_2044"),0)
+IFERROR(INDIRECT("'"&amp;$D$42&amp;"'!besparcum_2044"),0)
+IFERROR(INDIRECT("'"&amp;$D$43&amp;"'!besparcum_2044"),0)
+IFERROR(INDIRECT("'"&amp;$D$44&amp;"'!besparcum_2044"),0)
+IFERROR(INDIRECT("'"&amp;$D$45&amp;"'!besparcum_2044"),0)
+IFERROR(INDIRECT("'"&amp;$D$46&amp;"'!besparcum_2044"),0)
+IFERROR(INDIRECT("'"&amp;$D$47&amp;"'!besparcum_2044"),0)
+IFERROR(INDIRECT("'"&amp;$D$48&amp;"'!besparcum_2044"),0)
+IFERROR(INDIRECT("'"&amp;$D$49&amp;"'!besparcum_2044"),0)
+IFERROR(INDIRECT("'"&amp;$D$50&amp;"'!besparcum_2044"),0)
+IFERROR(INDIRECT("'"&amp;$D$51&amp;"'!besparcum_2044"),0)
+IFERROR(INDIRECT("'"&amp;$D$52&amp;"'!besparcum_2044"),0)
+IFERROR(INDIRECT("'"&amp;$D$53&amp;"'!besparcum_2044"),0)
+IFERROR(INDIRECT("'"&amp;$D$54&amp;"'!besparcum_2044"),0)</f>
        <v>3546653.1690833094</v>
      </c>
      <c r="AI49" s="338">
        <f ca="1">+IFERROR(INDIRECT("'"&amp;$D$5&amp;"'!besparcum_2045"),0)
+IFERROR(INDIRECT("'"&amp;$D$6&amp;"'!besparcum_2045"),0)
+IFERROR(INDIRECT("'"&amp;$D$7&amp;"'!besparcum_2045"),0)
+IFERROR(INDIRECT("'"&amp;$D$8&amp;"'!besparcum_2045"),0)
+IFERROR(INDIRECT("'"&amp;$D$9&amp;"'!besparcum_2045"),0)
+IFERROR(INDIRECT("'"&amp;$D$10&amp;"'!besparcum_2045"),0)
+IFERROR(INDIRECT("'"&amp;$D$11&amp;"'!besparcum_2045"),0)
+IFERROR(INDIRECT("'"&amp;$D$12&amp;"'!besparcum_2045"),0)
+IFERROR(INDIRECT("'"&amp;$D$13&amp;"'!besparcum_2045"),0)
+IFERROR(INDIRECT("'"&amp;$D$14&amp;"'!besparcum_2045"),0)
+IFERROR(INDIRECT("'"&amp;$D$15&amp;"'!besparcum_2045"),0)
+IFERROR(INDIRECT("'"&amp;$D$16&amp;"'!besparcum_2045"),0)
+IFERROR(INDIRECT("'"&amp;$D$17&amp;"'!besparcum_2045"),0)
+IFERROR(INDIRECT("'"&amp;$D$18&amp;"'!besparcum_2045"),0)
+IFERROR(INDIRECT("'"&amp;$D$19&amp;"'!besparcum_2045"),0)
+IFERROR(INDIRECT("'"&amp;$D$20&amp;"'!besparcum_2045"),0)
+IFERROR(INDIRECT("'"&amp;$D$21&amp;"'!besparcum_2045"),0)
+IFERROR(INDIRECT("'"&amp;$D$22&amp;"'!besparcum_2045"),0)
+IFERROR(INDIRECT("'"&amp;$D$23&amp;"'!besparcum_2045"),0)
+IFERROR(INDIRECT("'"&amp;$D$24&amp;"'!besparcum_2045"),0)
+IFERROR(INDIRECT("'"&amp;$D$25&amp;"'!besparcum_2045"),0)
+IFERROR(INDIRECT("'"&amp;$D$26&amp;"'!besparcum_2045"),0)
+IFERROR(INDIRECT("'"&amp;$D$27&amp;"'!besparcum_2045"),0)
+IFERROR(INDIRECT("'"&amp;$D$28&amp;"'!besparcum_2045"),0)
+IFERROR(INDIRECT("'"&amp;$D$29&amp;"'!besparcum_2045"),0)
+IFERROR(INDIRECT("'"&amp;$D$30&amp;"'!besparcum_2045"),0)
+IFERROR(INDIRECT("'"&amp;$D$31&amp;"'!besparcum_2045"),0)
+IFERROR(INDIRECT("'"&amp;$D$32&amp;"'!besparcum_2045"),0)
+IFERROR(INDIRECT("'"&amp;$D$33&amp;"'!besparcum_2045"),0)
+IFERROR(INDIRECT("'"&amp;$D$34&amp;"'!besparcum_2045"),0)
+IFERROR(INDIRECT("'"&amp;$D$35&amp;"'!besparcum_2045"),0)
+IFERROR(INDIRECT("'"&amp;$D$36&amp;"'!besparcum_2045"),0)
+IFERROR(INDIRECT("'"&amp;$D$37&amp;"'!besparcum_2045"),0)
+IFERROR(INDIRECT("'"&amp;$D$38&amp;"'!besparcum_2045"),0)
+IFERROR(INDIRECT("'"&amp;$D$39&amp;"'!besparcum_2045"),0)
+IFERROR(INDIRECT("'"&amp;$D$40&amp;"'!besparcum_2045"),0)
+IFERROR(INDIRECT("'"&amp;$D$41&amp;"'!besparcum_2045"),0)
+IFERROR(INDIRECT("'"&amp;$D$42&amp;"'!besparcum_2045"),0)
+IFERROR(INDIRECT("'"&amp;$D$43&amp;"'!besparcum_2045"),0)
+IFERROR(INDIRECT("'"&amp;$D$44&amp;"'!besparcum_2045"),0)
+IFERROR(INDIRECT("'"&amp;$D$45&amp;"'!besparcum_2045"),0)
+IFERROR(INDIRECT("'"&amp;$D$46&amp;"'!besparcum_2045"),0)
+IFERROR(INDIRECT("'"&amp;$D$47&amp;"'!besparcum_2045"),0)
+IFERROR(INDIRECT("'"&amp;$D$48&amp;"'!besparcum_2045"),0)
+IFERROR(INDIRECT("'"&amp;$D$49&amp;"'!besparcum_2045"),0)
+IFERROR(INDIRECT("'"&amp;$D$50&amp;"'!besparcum_2045"),0)
+IFERROR(INDIRECT("'"&amp;$D$51&amp;"'!besparcum_2045"),0)
+IFERROR(INDIRECT("'"&amp;$D$52&amp;"'!besparcum_2045"),0)
+IFERROR(INDIRECT("'"&amp;$D$53&amp;"'!besparcum_2045"),0)
+IFERROR(INDIRECT("'"&amp;$D$54&amp;"'!besparcum_2045"),0)</f>
        <v>3645588.8931007306</v>
      </c>
      <c r="AJ49" s="338">
        <f ca="1">+IFERROR(INDIRECT("'"&amp;$D$5&amp;"'!besparcum_2046"),0)
+IFERROR(INDIRECT("'"&amp;$D$6&amp;"'!besparcum_2046"),0)
+IFERROR(INDIRECT("'"&amp;$D$7&amp;"'!besparcum_2046"),0)
+IFERROR(INDIRECT("'"&amp;$D$8&amp;"'!besparcum_2046"),0)
+IFERROR(INDIRECT("'"&amp;$D$9&amp;"'!besparcum_2046"),0)
+IFERROR(INDIRECT("'"&amp;$D$10&amp;"'!besparcum_2046"),0)
+IFERROR(INDIRECT("'"&amp;$D$11&amp;"'!besparcum_2046"),0)
+IFERROR(INDIRECT("'"&amp;$D$12&amp;"'!besparcum_2046"),0)
+IFERROR(INDIRECT("'"&amp;$D$13&amp;"'!besparcum_2046"),0)
+IFERROR(INDIRECT("'"&amp;$D$14&amp;"'!besparcum_2046"),0)
+IFERROR(INDIRECT("'"&amp;$D$15&amp;"'!besparcum_2046"),0)
+IFERROR(INDIRECT("'"&amp;$D$16&amp;"'!besparcum_2046"),0)
+IFERROR(INDIRECT("'"&amp;$D$17&amp;"'!besparcum_2046"),0)
+IFERROR(INDIRECT("'"&amp;$D$18&amp;"'!besparcum_2046"),0)
+IFERROR(INDIRECT("'"&amp;$D$19&amp;"'!besparcum_2046"),0)
+IFERROR(INDIRECT("'"&amp;$D$20&amp;"'!besparcum_2046"),0)
+IFERROR(INDIRECT("'"&amp;$D$21&amp;"'!besparcum_2046"),0)
+IFERROR(INDIRECT("'"&amp;$D$22&amp;"'!besparcum_2046"),0)
+IFERROR(INDIRECT("'"&amp;$D$23&amp;"'!besparcum_2046"),0)
+IFERROR(INDIRECT("'"&amp;$D$24&amp;"'!besparcum_2046"),0)
+IFERROR(INDIRECT("'"&amp;$D$25&amp;"'!besparcum_2046"),0)
+IFERROR(INDIRECT("'"&amp;$D$26&amp;"'!besparcum_2046"),0)
+IFERROR(INDIRECT("'"&amp;$D$27&amp;"'!besparcum_2046"),0)
+IFERROR(INDIRECT("'"&amp;$D$28&amp;"'!besparcum_2046"),0)
+IFERROR(INDIRECT("'"&amp;$D$29&amp;"'!besparcum_2046"),0)
+IFERROR(INDIRECT("'"&amp;$D$30&amp;"'!besparcum_2046"),0)
+IFERROR(INDIRECT("'"&amp;$D$31&amp;"'!besparcum_2046"),0)
+IFERROR(INDIRECT("'"&amp;$D$32&amp;"'!besparcum_2046"),0)
+IFERROR(INDIRECT("'"&amp;$D$33&amp;"'!besparcum_2046"),0)
+IFERROR(INDIRECT("'"&amp;$D$34&amp;"'!besparcum_2046"),0)
+IFERROR(INDIRECT("'"&amp;$D$35&amp;"'!besparcum_2046"),0)
+IFERROR(INDIRECT("'"&amp;$D$36&amp;"'!besparcum_2046"),0)
+IFERROR(INDIRECT("'"&amp;$D$37&amp;"'!besparcum_2046"),0)
+IFERROR(INDIRECT("'"&amp;$D$38&amp;"'!besparcum_2046"),0)
+IFERROR(INDIRECT("'"&amp;$D$39&amp;"'!besparcum_2046"),0)
+IFERROR(INDIRECT("'"&amp;$D$40&amp;"'!besparcum_2046"),0)
+IFERROR(INDIRECT("'"&amp;$D$41&amp;"'!besparcum_2046"),0)
+IFERROR(INDIRECT("'"&amp;$D$42&amp;"'!besparcum_2046"),0)
+IFERROR(INDIRECT("'"&amp;$D$43&amp;"'!besparcum_2046"),0)
+IFERROR(INDIRECT("'"&amp;$D$44&amp;"'!besparcum_2046"),0)
+IFERROR(INDIRECT("'"&amp;$D$45&amp;"'!besparcum_2046"),0)
+IFERROR(INDIRECT("'"&amp;$D$46&amp;"'!besparcum_2046"),0)
+IFERROR(INDIRECT("'"&amp;$D$47&amp;"'!besparcum_2046"),0)
+IFERROR(INDIRECT("'"&amp;$D$48&amp;"'!besparcum_2046"),0)
+IFERROR(INDIRECT("'"&amp;$D$49&amp;"'!besparcum_2046"),0)
+IFERROR(INDIRECT("'"&amp;$D$50&amp;"'!besparcum_2046"),0)
+IFERROR(INDIRECT("'"&amp;$D$51&amp;"'!besparcum_2046"),0)
+IFERROR(INDIRECT("'"&amp;$D$52&amp;"'!besparcum_2046"),0)
+IFERROR(INDIRECT("'"&amp;$D$53&amp;"'!besparcum_2046"),0)
+IFERROR(INDIRECT("'"&amp;$D$54&amp;"'!besparcum_2046"),0)</f>
        <v>3744524.6171181514</v>
      </c>
      <c r="AK49" s="338">
        <f ca="1">+IFERROR(INDIRECT("'"&amp;$D$5&amp;"'!besparcum_2047"),0)
+IFERROR(INDIRECT("'"&amp;$D$6&amp;"'!besparcum_2047"),0)
+IFERROR(INDIRECT("'"&amp;$D$7&amp;"'!besparcum_2047"),0)
+IFERROR(INDIRECT("'"&amp;$D$8&amp;"'!besparcum_2047"),0)
+IFERROR(INDIRECT("'"&amp;$D$9&amp;"'!besparcum_2047"),0)
+IFERROR(INDIRECT("'"&amp;$D$10&amp;"'!besparcum_2047"),0)
+IFERROR(INDIRECT("'"&amp;$D$11&amp;"'!besparcum_2047"),0)
+IFERROR(INDIRECT("'"&amp;$D$12&amp;"'!besparcum_2047"),0)
+IFERROR(INDIRECT("'"&amp;$D$13&amp;"'!besparcum_2047"),0)
+IFERROR(INDIRECT("'"&amp;$D$14&amp;"'!besparcum_2047"),0)
+IFERROR(INDIRECT("'"&amp;$D$15&amp;"'!besparcum_2047"),0)
+IFERROR(INDIRECT("'"&amp;$D$16&amp;"'!besparcum_2047"),0)
+IFERROR(INDIRECT("'"&amp;$D$17&amp;"'!besparcum_2047"),0)
+IFERROR(INDIRECT("'"&amp;$D$18&amp;"'!besparcum_2047"),0)
+IFERROR(INDIRECT("'"&amp;$D$19&amp;"'!besparcum_2047"),0)
+IFERROR(INDIRECT("'"&amp;$D$20&amp;"'!besparcum_2047"),0)
+IFERROR(INDIRECT("'"&amp;$D$21&amp;"'!besparcum_2047"),0)
+IFERROR(INDIRECT("'"&amp;$D$22&amp;"'!besparcum_2047"),0)
+IFERROR(INDIRECT("'"&amp;$D$23&amp;"'!besparcum_2047"),0)
+IFERROR(INDIRECT("'"&amp;$D$24&amp;"'!besparcum_2047"),0)
+IFERROR(INDIRECT("'"&amp;$D$25&amp;"'!besparcum_2047"),0)
+IFERROR(INDIRECT("'"&amp;$D$26&amp;"'!besparcum_2047"),0)
+IFERROR(INDIRECT("'"&amp;$D$27&amp;"'!besparcum_2047"),0)
+IFERROR(INDIRECT("'"&amp;$D$28&amp;"'!besparcum_2047"),0)
+IFERROR(INDIRECT("'"&amp;$D$29&amp;"'!besparcum_2047"),0)
+IFERROR(INDIRECT("'"&amp;$D$30&amp;"'!besparcum_2047"),0)
+IFERROR(INDIRECT("'"&amp;$D$31&amp;"'!besparcum_2047"),0)
+IFERROR(INDIRECT("'"&amp;$D$32&amp;"'!besparcum_2047"),0)
+IFERROR(INDIRECT("'"&amp;$D$33&amp;"'!besparcum_2047"),0)
+IFERROR(INDIRECT("'"&amp;$D$34&amp;"'!besparcum_2047"),0)
+IFERROR(INDIRECT("'"&amp;$D$35&amp;"'!besparcum_2047"),0)
+IFERROR(INDIRECT("'"&amp;$D$36&amp;"'!besparcum_2047"),0)
+IFERROR(INDIRECT("'"&amp;$D$37&amp;"'!besparcum_2047"),0)
+IFERROR(INDIRECT("'"&amp;$D$38&amp;"'!besparcum_2047"),0)
+IFERROR(INDIRECT("'"&amp;$D$39&amp;"'!besparcum_2047"),0)
+IFERROR(INDIRECT("'"&amp;$D$40&amp;"'!besparcum_2047"),0)
+IFERROR(INDIRECT("'"&amp;$D$41&amp;"'!besparcum_2047"),0)
+IFERROR(INDIRECT("'"&amp;$D$42&amp;"'!besparcum_2047"),0)
+IFERROR(INDIRECT("'"&amp;$D$43&amp;"'!besparcum_2047"),0)
+IFERROR(INDIRECT("'"&amp;$D$44&amp;"'!besparcum_2047"),0)
+IFERROR(INDIRECT("'"&amp;$D$45&amp;"'!besparcum_2047"),0)
+IFERROR(INDIRECT("'"&amp;$D$46&amp;"'!besparcum_2047"),0)
+IFERROR(INDIRECT("'"&amp;$D$47&amp;"'!besparcum_2047"),0)
+IFERROR(INDIRECT("'"&amp;$D$48&amp;"'!besparcum_2047"),0)
+IFERROR(INDIRECT("'"&amp;$D$49&amp;"'!besparcum_2047"),0)
+IFERROR(INDIRECT("'"&amp;$D$50&amp;"'!besparcum_2047"),0)
+IFERROR(INDIRECT("'"&amp;$D$51&amp;"'!besparcum_2047"),0)
+IFERROR(INDIRECT("'"&amp;$D$52&amp;"'!besparcum_2047"),0)
+IFERROR(INDIRECT("'"&amp;$D$53&amp;"'!besparcum_2047"),0)
+IFERROR(INDIRECT("'"&amp;$D$54&amp;"'!besparcum_2047"),0)</f>
        <v>3843460.3411355722</v>
      </c>
      <c r="AL49" s="338">
        <f ca="1">+IFERROR(INDIRECT("'"&amp;$D$5&amp;"'!besparcum_2048"),0)
+IFERROR(INDIRECT("'"&amp;$D$6&amp;"'!besparcum_2048"),0)
+IFERROR(INDIRECT("'"&amp;$D$7&amp;"'!besparcum_2048"),0)
+IFERROR(INDIRECT("'"&amp;$D$8&amp;"'!besparcum_2048"),0)
+IFERROR(INDIRECT("'"&amp;$D$9&amp;"'!besparcum_2048"),0)
+IFERROR(INDIRECT("'"&amp;$D$10&amp;"'!besparcum_2048"),0)
+IFERROR(INDIRECT("'"&amp;$D$11&amp;"'!besparcum_2048"),0)
+IFERROR(INDIRECT("'"&amp;$D$12&amp;"'!besparcum_2048"),0)
+IFERROR(INDIRECT("'"&amp;$D$13&amp;"'!besparcum_2048"),0)
+IFERROR(INDIRECT("'"&amp;$D$14&amp;"'!besparcum_2048"),0)
+IFERROR(INDIRECT("'"&amp;$D$15&amp;"'!besparcum_2048"),0)
+IFERROR(INDIRECT("'"&amp;$D$16&amp;"'!besparcum_2048"),0)
+IFERROR(INDIRECT("'"&amp;$D$17&amp;"'!besparcum_2048"),0)
+IFERROR(INDIRECT("'"&amp;$D$18&amp;"'!besparcum_2048"),0)
+IFERROR(INDIRECT("'"&amp;$D$19&amp;"'!besparcum_2048"),0)
+IFERROR(INDIRECT("'"&amp;$D$20&amp;"'!besparcum_2048"),0)
+IFERROR(INDIRECT("'"&amp;$D$21&amp;"'!besparcum_2048"),0)
+IFERROR(INDIRECT("'"&amp;$D$22&amp;"'!besparcum_2048"),0)
+IFERROR(INDIRECT("'"&amp;$D$23&amp;"'!besparcum_2048"),0)
+IFERROR(INDIRECT("'"&amp;$D$24&amp;"'!besparcum_2048"),0)
+IFERROR(INDIRECT("'"&amp;$D$25&amp;"'!besparcum_2048"),0)
+IFERROR(INDIRECT("'"&amp;$D$26&amp;"'!besparcum_2048"),0)
+IFERROR(INDIRECT("'"&amp;$D$27&amp;"'!besparcum_2048"),0)
+IFERROR(INDIRECT("'"&amp;$D$28&amp;"'!besparcum_2048"),0)
+IFERROR(INDIRECT("'"&amp;$D$29&amp;"'!besparcum_2048"),0)
+IFERROR(INDIRECT("'"&amp;$D$30&amp;"'!besparcum_2048"),0)
+IFERROR(INDIRECT("'"&amp;$D$31&amp;"'!besparcum_2048"),0)
+IFERROR(INDIRECT("'"&amp;$D$32&amp;"'!besparcum_2048"),0)
+IFERROR(INDIRECT("'"&amp;$D$33&amp;"'!besparcum_2048"),0)
+IFERROR(INDIRECT("'"&amp;$D$34&amp;"'!besparcum_2048"),0)
+IFERROR(INDIRECT("'"&amp;$D$35&amp;"'!besparcum_2048"),0)
+IFERROR(INDIRECT("'"&amp;$D$36&amp;"'!besparcum_2048"),0)
+IFERROR(INDIRECT("'"&amp;$D$37&amp;"'!besparcum_2048"),0)
+IFERROR(INDIRECT("'"&amp;$D$38&amp;"'!besparcum_2048"),0)
+IFERROR(INDIRECT("'"&amp;$D$39&amp;"'!besparcum_2048"),0)
+IFERROR(INDIRECT("'"&amp;$D$40&amp;"'!besparcum_2048"),0)
+IFERROR(INDIRECT("'"&amp;$D$41&amp;"'!besparcum_2048"),0)
+IFERROR(INDIRECT("'"&amp;$D$42&amp;"'!besparcum_2048"),0)
+IFERROR(INDIRECT("'"&amp;$D$43&amp;"'!besparcum_2048"),0)
+IFERROR(INDIRECT("'"&amp;$D$44&amp;"'!besparcum_2048"),0)
+IFERROR(INDIRECT("'"&amp;$D$45&amp;"'!besparcum_2048"),0)
+IFERROR(INDIRECT("'"&amp;$D$46&amp;"'!besparcum_2048"),0)
+IFERROR(INDIRECT("'"&amp;$D$47&amp;"'!besparcum_2048"),0)
+IFERROR(INDIRECT("'"&amp;$D$48&amp;"'!besparcum_2048"),0)
+IFERROR(INDIRECT("'"&amp;$D$49&amp;"'!besparcum_2048"),0)
+IFERROR(INDIRECT("'"&amp;$D$50&amp;"'!besparcum_2048"),0)
+IFERROR(INDIRECT("'"&amp;$D$51&amp;"'!besparcum_2048"),0)
+IFERROR(INDIRECT("'"&amp;$D$52&amp;"'!besparcum_2048"),0)
+IFERROR(INDIRECT("'"&amp;$D$53&amp;"'!besparcum_2048"),0)
+IFERROR(INDIRECT("'"&amp;$D$54&amp;"'!besparcum_2048"),0)</f>
        <v>3942396.065152993</v>
      </c>
      <c r="AM49" s="338">
        <f ca="1">+IFERROR(INDIRECT("'"&amp;$D$5&amp;"'!besparcum_2049"),0)
+IFERROR(INDIRECT("'"&amp;$D$6&amp;"'!besparcum_2049"),0)
+IFERROR(INDIRECT("'"&amp;$D$7&amp;"'!besparcum_2049"),0)
+IFERROR(INDIRECT("'"&amp;$D$8&amp;"'!besparcum_2049"),0)
+IFERROR(INDIRECT("'"&amp;$D$9&amp;"'!besparcum_2049"),0)
+IFERROR(INDIRECT("'"&amp;$D$10&amp;"'!besparcum_2049"),0)
+IFERROR(INDIRECT("'"&amp;$D$11&amp;"'!besparcum_2049"),0)
+IFERROR(INDIRECT("'"&amp;$D$12&amp;"'!besparcum_2049"),0)
+IFERROR(INDIRECT("'"&amp;$D$13&amp;"'!besparcum_2049"),0)
+IFERROR(INDIRECT("'"&amp;$D$14&amp;"'!besparcum_2049"),0)
+IFERROR(INDIRECT("'"&amp;$D$15&amp;"'!besparcum_2049"),0)
+IFERROR(INDIRECT("'"&amp;$D$16&amp;"'!besparcum_2049"),0)
+IFERROR(INDIRECT("'"&amp;$D$17&amp;"'!besparcum_2049"),0)
+IFERROR(INDIRECT("'"&amp;$D$18&amp;"'!besparcum_2049"),0)
+IFERROR(INDIRECT("'"&amp;$D$19&amp;"'!besparcum_2049"),0)
+IFERROR(INDIRECT("'"&amp;$D$20&amp;"'!besparcum_2049"),0)
+IFERROR(INDIRECT("'"&amp;$D$21&amp;"'!besparcum_2049"),0)
+IFERROR(INDIRECT("'"&amp;$D$22&amp;"'!besparcum_2049"),0)
+IFERROR(INDIRECT("'"&amp;$D$23&amp;"'!besparcum_2049"),0)
+IFERROR(INDIRECT("'"&amp;$D$24&amp;"'!besparcum_2049"),0)
+IFERROR(INDIRECT("'"&amp;$D$25&amp;"'!besparcum_2049"),0)
+IFERROR(INDIRECT("'"&amp;$D$26&amp;"'!besparcum_2049"),0)
+IFERROR(INDIRECT("'"&amp;$D$27&amp;"'!besparcum_2049"),0)
+IFERROR(INDIRECT("'"&amp;$D$28&amp;"'!besparcum_2049"),0)
+IFERROR(INDIRECT("'"&amp;$D$29&amp;"'!besparcum_2049"),0)
+IFERROR(INDIRECT("'"&amp;$D$30&amp;"'!besparcum_2049"),0)
+IFERROR(INDIRECT("'"&amp;$D$31&amp;"'!besparcum_2049"),0)
+IFERROR(INDIRECT("'"&amp;$D$32&amp;"'!besparcum_2049"),0)
+IFERROR(INDIRECT("'"&amp;$D$33&amp;"'!besparcum_2049"),0)
+IFERROR(INDIRECT("'"&amp;$D$34&amp;"'!besparcum_2049"),0)
+IFERROR(INDIRECT("'"&amp;$D$35&amp;"'!besparcum_2049"),0)
+IFERROR(INDIRECT("'"&amp;$D$36&amp;"'!besparcum_2049"),0)
+IFERROR(INDIRECT("'"&amp;$D$37&amp;"'!besparcum_2049"),0)
+IFERROR(INDIRECT("'"&amp;$D$38&amp;"'!besparcum_2049"),0)
+IFERROR(INDIRECT("'"&amp;$D$39&amp;"'!besparcum_2049"),0)
+IFERROR(INDIRECT("'"&amp;$D$40&amp;"'!besparcum_2049"),0)
+IFERROR(INDIRECT("'"&amp;$D$41&amp;"'!besparcum_2049"),0)
+IFERROR(INDIRECT("'"&amp;$D$42&amp;"'!besparcum_2049"),0)
+IFERROR(INDIRECT("'"&amp;$D$43&amp;"'!besparcum_2049"),0)
+IFERROR(INDIRECT("'"&amp;$D$44&amp;"'!besparcum_2049"),0)
+IFERROR(INDIRECT("'"&amp;$D$45&amp;"'!besparcum_2049"),0)
+IFERROR(INDIRECT("'"&amp;$D$46&amp;"'!besparcum_2049"),0)
+IFERROR(INDIRECT("'"&amp;$D$47&amp;"'!besparcum_2049"),0)
+IFERROR(INDIRECT("'"&amp;$D$48&amp;"'!besparcum_2049"),0)
+IFERROR(INDIRECT("'"&amp;$D$49&amp;"'!besparcum_2049"),0)
+IFERROR(INDIRECT("'"&amp;$D$50&amp;"'!besparcum_2049"),0)
+IFERROR(INDIRECT("'"&amp;$D$51&amp;"'!besparcum_2049"),0)
+IFERROR(INDIRECT("'"&amp;$D$52&amp;"'!besparcum_2049"),0)
+IFERROR(INDIRECT("'"&amp;$D$53&amp;"'!besparcum_2049"),0)
+IFERROR(INDIRECT("'"&amp;$D$54&amp;"'!besparcum_2049"),0)</f>
        <v>4041331.7891704137</v>
      </c>
      <c r="AN49" s="338">
        <f ca="1">+IFERROR(INDIRECT("'"&amp;$D$5&amp;"'!besparcum_2050"),0)
+IFERROR(INDIRECT("'"&amp;$D$6&amp;"'!besparcum_2050"),0)
+IFERROR(INDIRECT("'"&amp;$D$7&amp;"'!besparcum_2050"),0)
+IFERROR(INDIRECT("'"&amp;$D$8&amp;"'!besparcum_2050"),0)
+IFERROR(INDIRECT("'"&amp;$D$9&amp;"'!besparcum_2050"),0)
+IFERROR(INDIRECT("'"&amp;$D$10&amp;"'!besparcum_2050"),0)
+IFERROR(INDIRECT("'"&amp;$D$11&amp;"'!besparcum_2050"),0)
+IFERROR(INDIRECT("'"&amp;$D$12&amp;"'!besparcum_2050"),0)
+IFERROR(INDIRECT("'"&amp;$D$13&amp;"'!besparcum_2050"),0)
+IFERROR(INDIRECT("'"&amp;$D$14&amp;"'!besparcum_2050"),0)
+IFERROR(INDIRECT("'"&amp;$D$15&amp;"'!besparcum_2050"),0)
+IFERROR(INDIRECT("'"&amp;$D$16&amp;"'!besparcum_2050"),0)
+IFERROR(INDIRECT("'"&amp;$D$17&amp;"'!besparcum_2050"),0)
+IFERROR(INDIRECT("'"&amp;$D$18&amp;"'!besparcum_2050"),0)
+IFERROR(INDIRECT("'"&amp;$D$19&amp;"'!besparcum_2050"),0)
+IFERROR(INDIRECT("'"&amp;$D$20&amp;"'!besparcum_2050"),0)
+IFERROR(INDIRECT("'"&amp;$D$21&amp;"'!besparcum_2050"),0)
+IFERROR(INDIRECT("'"&amp;$D$22&amp;"'!besparcum_2050"),0)
+IFERROR(INDIRECT("'"&amp;$D$23&amp;"'!besparcum_2050"),0)
+IFERROR(INDIRECT("'"&amp;$D$24&amp;"'!besparcum_2050"),0)
+IFERROR(INDIRECT("'"&amp;$D$25&amp;"'!besparcum_2050"),0)
+IFERROR(INDIRECT("'"&amp;$D$26&amp;"'!besparcum_2050"),0)
+IFERROR(INDIRECT("'"&amp;$D$27&amp;"'!besparcum_2050"),0)
+IFERROR(INDIRECT("'"&amp;$D$28&amp;"'!besparcum_2050"),0)
+IFERROR(INDIRECT("'"&amp;$D$29&amp;"'!besparcum_2050"),0)
+IFERROR(INDIRECT("'"&amp;$D$30&amp;"'!besparcum_2050"),0)
+IFERROR(INDIRECT("'"&amp;$D$31&amp;"'!besparcum_2050"),0)
+IFERROR(INDIRECT("'"&amp;$D$32&amp;"'!besparcum_2050"),0)
+IFERROR(INDIRECT("'"&amp;$D$33&amp;"'!besparcum_2050"),0)
+IFERROR(INDIRECT("'"&amp;$D$34&amp;"'!besparcum_2050"),0)
+IFERROR(INDIRECT("'"&amp;$D$35&amp;"'!besparcum_2050"),0)
+IFERROR(INDIRECT("'"&amp;$D$36&amp;"'!besparcum_2050"),0)
+IFERROR(INDIRECT("'"&amp;$D$37&amp;"'!besparcum_2050"),0)
+IFERROR(INDIRECT("'"&amp;$D$38&amp;"'!besparcum_2050"),0)
+IFERROR(INDIRECT("'"&amp;$D$39&amp;"'!besparcum_2050"),0)
+IFERROR(INDIRECT("'"&amp;$D$40&amp;"'!besparcum_2050"),0)
+IFERROR(INDIRECT("'"&amp;$D$41&amp;"'!besparcum_2050"),0)
+IFERROR(INDIRECT("'"&amp;$D$42&amp;"'!besparcum_2050"),0)
+IFERROR(INDIRECT("'"&amp;$D$43&amp;"'!besparcum_2050"),0)
+IFERROR(INDIRECT("'"&amp;$D$44&amp;"'!besparcum_2050"),0)
+IFERROR(INDIRECT("'"&amp;$D$45&amp;"'!besparcum_2050"),0)
+IFERROR(INDIRECT("'"&amp;$D$46&amp;"'!besparcum_2050"),0)
+IFERROR(INDIRECT("'"&amp;$D$47&amp;"'!besparcum_2050"),0)
+IFERROR(INDIRECT("'"&amp;$D$48&amp;"'!besparcum_2050"),0)
+IFERROR(INDIRECT("'"&amp;$D$49&amp;"'!besparcum_2050"),0)
+IFERROR(INDIRECT("'"&amp;$D$50&amp;"'!besparcum_2050"),0)
+IFERROR(INDIRECT("'"&amp;$D$51&amp;"'!besparcum_2050"),0)
+IFERROR(INDIRECT("'"&amp;$D$52&amp;"'!besparcum_2050"),0)
+IFERROR(INDIRECT("'"&amp;$D$53&amp;"'!besparcum_2050"),0)
+IFERROR(INDIRECT("'"&amp;$D$54&amp;"'!besparcum_2050"),0)</f>
        <v>4140267.513187835</v>
      </c>
      <c r="AO49" s="8"/>
    </row>
    <row r="50" spans="2:41" ht="18.75">
      <c r="B50" s="8"/>
      <c r="C50" s="279" t="s">
        <v>87</v>
      </c>
      <c r="D50" s="115"/>
      <c r="E50" s="8"/>
      <c r="F50" s="8"/>
      <c r="G50" s="384" t="s">
        <v>391</v>
      </c>
      <c r="H50" s="385">
        <f ca="1">+IFERROR(INDIRECT("'"&amp;$D$5&amp;"'!kostenbespaard_2018"),0)
+IFERROR(INDIRECT("'"&amp;$D$6&amp;"'!kostenbespaard_2018"),0)
+IFERROR(INDIRECT("'"&amp;$D$7&amp;"'!kostenbespaard_2018"),0)
+IFERROR(INDIRECT("'"&amp;$D$8&amp;"'!kostenbespaard_2018"),0)
+IFERROR(INDIRECT("'"&amp;$D$9&amp;"'!kostenbespaard_2018"),0)
+IFERROR(INDIRECT("'"&amp;$D$10&amp;"'!kostenbespaard_2018"),0)
+IFERROR(INDIRECT("'"&amp;$D$11&amp;"'!kostenbespaard_2018"),0)
+IFERROR(INDIRECT("'"&amp;$D$12&amp;"'!kostenbespaard_2018"),0)
+IFERROR(INDIRECT("'"&amp;$D$13&amp;"'!kostenbespaard_2018"),0)
+IFERROR(INDIRECT("'"&amp;$D$14&amp;"'!kostenbespaard_2018"),0)
+IFERROR(INDIRECT("'"&amp;$D$15&amp;"'!kostenbespaard_2018"),0)
+IFERROR(INDIRECT("'"&amp;$D$16&amp;"'!kostenbespaard_2018"),0)
+IFERROR(INDIRECT("'"&amp;$D$17&amp;"'!kostenbespaard_2018"),0)
+IFERROR(INDIRECT("'"&amp;$D$18&amp;"'!kostenbespaard_2018"),0)
+IFERROR(INDIRECT("'"&amp;$D$19&amp;"'!kostenbespaard_2018"),0)
+IFERROR(INDIRECT("'"&amp;$D$20&amp;"'!kostenbespaard_2018"),0)
+IFERROR(INDIRECT("'"&amp;$D$21&amp;"'!kostenbespaard_2018"),0)
+IFERROR(INDIRECT("'"&amp;$D$22&amp;"'!kostenbespaard_2018"),0)
+IFERROR(INDIRECT("'"&amp;$D$23&amp;"'!kostenbespaard_2018"),0)
+IFERROR(INDIRECT("'"&amp;$D$24&amp;"'!kostenbespaard_2018"),0)
+IFERROR(INDIRECT("'"&amp;$D$25&amp;"'!kostenbespaard_2018"),0)
+IFERROR(INDIRECT("'"&amp;$D$26&amp;"'!kostenbespaard_2018"),0)
+IFERROR(INDIRECT("'"&amp;$D$27&amp;"'!kostenbespaard_2018"),0)
+IFERROR(INDIRECT("'"&amp;$D$28&amp;"'!kostenbespaard_2018"),0)
+IFERROR(INDIRECT("'"&amp;$D$29&amp;"'!kostenbespaard_2018"),0)
+IFERROR(INDIRECT("'"&amp;$D$30&amp;"'!kostenbespaard_2018"),0)
+IFERROR(INDIRECT("'"&amp;$D$31&amp;"'!kostenbespaard_2018"),0)
+IFERROR(INDIRECT("'"&amp;$D$32&amp;"'!kostenbespaard_2018"),0)
+IFERROR(INDIRECT("'"&amp;$D$33&amp;"'!kostenbespaard_2018"),0)
+IFERROR(INDIRECT("'"&amp;$D$34&amp;"'!kostenbespaard_2018"),0)
+IFERROR(INDIRECT("'"&amp;$D$35&amp;"'!kostenbespaard_2018"),0)
+IFERROR(INDIRECT("'"&amp;$D$36&amp;"'!kostenbespaard_2018"),0)
+IFERROR(INDIRECT("'"&amp;$D$37&amp;"'!kostenbespaard_2018"),0)
+IFERROR(INDIRECT("'"&amp;$D$38&amp;"'!kostenbespaard_2018"),0)
+IFERROR(INDIRECT("'"&amp;$D$39&amp;"'!kostenbespaard_2018"),0)
+IFERROR(INDIRECT("'"&amp;$D$40&amp;"'!kostenbespaard_2018"),0)
+IFERROR(INDIRECT("'"&amp;$D$41&amp;"'!kostenbespaard_2018"),0)
+IFERROR(INDIRECT("'"&amp;$D$42&amp;"'!kostenbespaard_2018"),0)
+IFERROR(INDIRECT("'"&amp;$D$43&amp;"'!kostenbespaard_2018"),0)
+IFERROR(INDIRECT("'"&amp;$D$44&amp;"'!kostenbespaard_2018"),0)
+IFERROR(INDIRECT("'"&amp;$D$45&amp;"'!kostenbespaard_2018"),0)
+IFERROR(INDIRECT("'"&amp;$D$46&amp;"'!kostenbespaard_2018"),0)
+IFERROR(INDIRECT("'"&amp;$D$47&amp;"'!kostenbespaard_2018"),0)
+IFERROR(INDIRECT("'"&amp;$D$48&amp;"'!kostenbespaard_2018"),0)
+IFERROR(INDIRECT("'"&amp;$D$49&amp;"'!kostenbespaard_2018"),0)
+IFERROR(INDIRECT("'"&amp;$D$50&amp;"'!kostenbespaard_2018"),0)
+IFERROR(INDIRECT("'"&amp;$D$51&amp;"'!kostenbespaard_2018"),0)
+IFERROR(INDIRECT("'"&amp;$D$52&amp;"'!kostenbespaard_2018"),0)
+IFERROR(INDIRECT("'"&amp;$D$53&amp;"'!kostenbespaard_2018"),0)
+IFERROR(INDIRECT("'"&amp;$D$54&amp;"'!kostenbespaard_2018"),0)</f>
        <v>0</v>
      </c>
      <c r="I50" s="385">
        <f ca="1">+IFERROR(INDIRECT("'"&amp;$D$5&amp;"'!kostenbespaard_2019"),0)
+IFERROR(INDIRECT("'"&amp;$D$6&amp;"'!kostenbespaard_2019"),0)
+IFERROR(INDIRECT("'"&amp;$D$7&amp;"'!kostenbespaard_2019"),0)
+IFERROR(INDIRECT("'"&amp;$D$8&amp;"'!kostenbespaard_2019"),0)
+IFERROR(INDIRECT("'"&amp;$D$9&amp;"'!kostenbespaard_2019"),0)
+IFERROR(INDIRECT("'"&amp;$D$10&amp;"'!kostenbespaard_2019"),0)
+IFERROR(INDIRECT("'"&amp;$D$11&amp;"'!kostenbespaard_2019"),0)
+IFERROR(INDIRECT("'"&amp;$D$12&amp;"'!kostenbespaard_2019"),0)
+IFERROR(INDIRECT("'"&amp;$D$13&amp;"'!kostenbespaard_2019"),0)
+IFERROR(INDIRECT("'"&amp;$D$14&amp;"'!kostenbespaard_2019"),0)
+IFERROR(INDIRECT("'"&amp;$D$15&amp;"'!kostenbespaard_2019"),0)
+IFERROR(INDIRECT("'"&amp;$D$16&amp;"'!kostenbespaard_2019"),0)
+IFERROR(INDIRECT("'"&amp;$D$17&amp;"'!kostenbespaard_2019"),0)
+IFERROR(INDIRECT("'"&amp;$D$18&amp;"'!kostenbespaard_2019"),0)
+IFERROR(INDIRECT("'"&amp;$D$19&amp;"'!kostenbespaard_2019"),0)
+IFERROR(INDIRECT("'"&amp;$D$20&amp;"'!kostenbespaard_2019"),0)
+IFERROR(INDIRECT("'"&amp;$D$21&amp;"'!kostenbespaard_2019"),0)
+IFERROR(INDIRECT("'"&amp;$D$22&amp;"'!kostenbespaard_2019"),0)
+IFERROR(INDIRECT("'"&amp;$D$23&amp;"'!kostenbespaard_2019"),0)
+IFERROR(INDIRECT("'"&amp;$D$24&amp;"'!kostenbespaard_2019"),0)
+IFERROR(INDIRECT("'"&amp;$D$25&amp;"'!kostenbespaard_2019"),0)
+IFERROR(INDIRECT("'"&amp;$D$26&amp;"'!kostenbespaard_2019"),0)
+IFERROR(INDIRECT("'"&amp;$D$27&amp;"'!kostenbespaard_2019"),0)
+IFERROR(INDIRECT("'"&amp;$D$28&amp;"'!kostenbespaard_2019"),0)
+IFERROR(INDIRECT("'"&amp;$D$29&amp;"'!kostenbespaard_2019"),0)
+IFERROR(INDIRECT("'"&amp;$D$30&amp;"'!kostenbespaard_2019"),0)
+IFERROR(INDIRECT("'"&amp;$D$31&amp;"'!kostenbespaard_2019"),0)
+IFERROR(INDIRECT("'"&amp;$D$32&amp;"'!kostenbespaard_2019"),0)
+IFERROR(INDIRECT("'"&amp;$D$33&amp;"'!kostenbespaard_2019"),0)
+IFERROR(INDIRECT("'"&amp;$D$34&amp;"'!kostenbespaard_2019"),0)
+IFERROR(INDIRECT("'"&amp;$D$35&amp;"'!kostenbespaard_2019"),0)
+IFERROR(INDIRECT("'"&amp;$D$36&amp;"'!kostenbespaard_2019"),0)
+IFERROR(INDIRECT("'"&amp;$D$37&amp;"'!kostenbespaard_2019"),0)
+IFERROR(INDIRECT("'"&amp;$D$38&amp;"'!kostenbespaard_2019"),0)
+IFERROR(INDIRECT("'"&amp;$D$39&amp;"'!kostenbespaard_2019"),0)
+IFERROR(INDIRECT("'"&amp;$D$40&amp;"'!kostenbespaard_2019"),0)
+IFERROR(INDIRECT("'"&amp;$D$41&amp;"'!kostenbespaard_2019"),0)
+IFERROR(INDIRECT("'"&amp;$D$42&amp;"'!kostenbespaard_2019"),0)
+IFERROR(INDIRECT("'"&amp;$D$43&amp;"'!kostenbespaard_2019"),0)
+IFERROR(INDIRECT("'"&amp;$D$44&amp;"'!kostenbespaard_2019"),0)
+IFERROR(INDIRECT("'"&amp;$D$45&amp;"'!kostenbespaard_2019"),0)
+IFERROR(INDIRECT("'"&amp;$D$46&amp;"'!kostenbespaard_2019"),0)
+IFERROR(INDIRECT("'"&amp;$D$47&amp;"'!kostenbespaard_2019"),0)
+IFERROR(INDIRECT("'"&amp;$D$48&amp;"'!kostenbespaard_2019"),0)
+IFERROR(INDIRECT("'"&amp;$D$49&amp;"'!kostenbespaard_2019"),0)
+IFERROR(INDIRECT("'"&amp;$D$50&amp;"'!kostenbespaard_2019"),0)
+IFERROR(INDIRECT("'"&amp;$D$51&amp;"'!kostenbespaard_2019"),0)
+IFERROR(INDIRECT("'"&amp;$D$52&amp;"'!kostenbespaard_2019"),0)
+IFERROR(INDIRECT("'"&amp;$D$53&amp;"'!kostenbespaard_2019"),0)
+IFERROR(INDIRECT("'"&amp;$D$54&amp;"'!kostenbespaard_2019"),0)</f>
        <v>0</v>
      </c>
      <c r="J50" s="385">
        <f ca="1">+IFERROR(INDIRECT("'"&amp;$D$5&amp;"'!kostenbespaard_2020"),0)
+IFERROR(INDIRECT("'"&amp;$D$6&amp;"'!kostenbespaard_2020"),0)
+IFERROR(INDIRECT("'"&amp;$D$7&amp;"'!kostenbespaard_2020"),0)
+IFERROR(INDIRECT("'"&amp;$D$8&amp;"'!kostenbespaard_2020"),0)
+IFERROR(INDIRECT("'"&amp;$D$9&amp;"'!kostenbespaard_2020"),0)
+IFERROR(INDIRECT("'"&amp;$D$10&amp;"'!kostenbespaard_2020"),0)
+IFERROR(INDIRECT("'"&amp;$D$11&amp;"'!kostenbespaard_2020"),0)
+IFERROR(INDIRECT("'"&amp;$D$12&amp;"'!kostenbespaard_2020"),0)
+IFERROR(INDIRECT("'"&amp;$D$13&amp;"'!kostenbespaard_2020"),0)
+IFERROR(INDIRECT("'"&amp;$D$14&amp;"'!kostenbespaard_2020"),0)
+IFERROR(INDIRECT("'"&amp;$D$15&amp;"'!kostenbespaard_2020"),0)
+IFERROR(INDIRECT("'"&amp;$D$16&amp;"'!kostenbespaard_2020"),0)
+IFERROR(INDIRECT("'"&amp;$D$17&amp;"'!kostenbespaard_2020"),0)
+IFERROR(INDIRECT("'"&amp;$D$18&amp;"'!kostenbespaard_2020"),0)
+IFERROR(INDIRECT("'"&amp;$D$19&amp;"'!kostenbespaard_2020"),0)
+IFERROR(INDIRECT("'"&amp;$D$20&amp;"'!kostenbespaard_2020"),0)
+IFERROR(INDIRECT("'"&amp;$D$21&amp;"'!kostenbespaard_2020"),0)
+IFERROR(INDIRECT("'"&amp;$D$22&amp;"'!kostenbespaard_2020"),0)
+IFERROR(INDIRECT("'"&amp;$D$23&amp;"'!kostenbespaard_2020"),0)
+IFERROR(INDIRECT("'"&amp;$D$24&amp;"'!kostenbespaard_2020"),0)
+IFERROR(INDIRECT("'"&amp;$D$25&amp;"'!kostenbespaard_2020"),0)
+IFERROR(INDIRECT("'"&amp;$D$26&amp;"'!kostenbespaard_2020"),0)
+IFERROR(INDIRECT("'"&amp;$D$27&amp;"'!kostenbespaard_2020"),0)
+IFERROR(INDIRECT("'"&amp;$D$28&amp;"'!kostenbespaard_2020"),0)
+IFERROR(INDIRECT("'"&amp;$D$29&amp;"'!kostenbespaard_2020"),0)
+IFERROR(INDIRECT("'"&amp;$D$30&amp;"'!kostenbespaard_2020"),0)
+IFERROR(INDIRECT("'"&amp;$D$31&amp;"'!kostenbespaard_2020"),0)
+IFERROR(INDIRECT("'"&amp;$D$32&amp;"'!kostenbespaard_2020"),0)
+IFERROR(INDIRECT("'"&amp;$D$33&amp;"'!kostenbespaard_2020"),0)
+IFERROR(INDIRECT("'"&amp;$D$34&amp;"'!kostenbespaard_2020"),0)
+IFERROR(INDIRECT("'"&amp;$D$35&amp;"'!kostenbespaard_2020"),0)
+IFERROR(INDIRECT("'"&amp;$D$36&amp;"'!kostenbespaard_2020"),0)
+IFERROR(INDIRECT("'"&amp;$D$37&amp;"'!kostenbespaard_2020"),0)
+IFERROR(INDIRECT("'"&amp;$D$38&amp;"'!kostenbespaard_2020"),0)
+IFERROR(INDIRECT("'"&amp;$D$39&amp;"'!kostenbespaard_2020"),0)
+IFERROR(INDIRECT("'"&amp;$D$40&amp;"'!kostenbespaard_2020"),0)
+IFERROR(INDIRECT("'"&amp;$D$41&amp;"'!kostenbespaard_2020"),0)
+IFERROR(INDIRECT("'"&amp;$D$42&amp;"'!kostenbespaard_2020"),0)
+IFERROR(INDIRECT("'"&amp;$D$43&amp;"'!kostenbespaard_2020"),0)
+IFERROR(INDIRECT("'"&amp;$D$44&amp;"'!kostenbespaard_2020"),0)
+IFERROR(INDIRECT("'"&amp;$D$45&amp;"'!kostenbespaard_2020"),0)
+IFERROR(INDIRECT("'"&amp;$D$46&amp;"'!kostenbespaard_2020"),0)
+IFERROR(INDIRECT("'"&amp;$D$47&amp;"'!kostenbespaard_2020"),0)
+IFERROR(INDIRECT("'"&amp;$D$48&amp;"'!kostenbespaard_2020"),0)
+IFERROR(INDIRECT("'"&amp;$D$49&amp;"'!kostenbespaard_2020"),0)
+IFERROR(INDIRECT("'"&amp;$D$50&amp;"'!kostenbespaard_2020"),0)
+IFERROR(INDIRECT("'"&amp;$D$51&amp;"'!kostenbespaard_2020"),0)
+IFERROR(INDIRECT("'"&amp;$D$52&amp;"'!kostenbespaard_2020"),0)
+IFERROR(INDIRECT("'"&amp;$D$53&amp;"'!kostenbespaard_2020"),0)
+IFERROR(INDIRECT("'"&amp;$D$54&amp;"'!kostenbespaard_2020"),0)</f>
        <v>0</v>
      </c>
      <c r="K50" s="385">
        <f ca="1">+IFERROR(INDIRECT("'"&amp;$D$5&amp;"'!kostenbespaard_2021"),0)
+IFERROR(INDIRECT("'"&amp;$D$6&amp;"'!kostenbespaard_2021"),0)
+IFERROR(INDIRECT("'"&amp;$D$7&amp;"'!kostenbespaard_2021"),0)
+IFERROR(INDIRECT("'"&amp;$D$8&amp;"'!kostenbespaard_2021"),0)
+IFERROR(INDIRECT("'"&amp;$D$9&amp;"'!kostenbespaard_2021"),0)
+IFERROR(INDIRECT("'"&amp;$D$10&amp;"'!kostenbespaard_2021"),0)
+IFERROR(INDIRECT("'"&amp;$D$11&amp;"'!kostenbespaard_2021"),0)
+IFERROR(INDIRECT("'"&amp;$D$12&amp;"'!kostenbespaard_2021"),0)
+IFERROR(INDIRECT("'"&amp;$D$13&amp;"'!kostenbespaard_2021"),0)
+IFERROR(INDIRECT("'"&amp;$D$14&amp;"'!kostenbespaard_2021"),0)
+IFERROR(INDIRECT("'"&amp;$D$15&amp;"'!kostenbespaard_2021"),0)
+IFERROR(INDIRECT("'"&amp;$D$16&amp;"'!kostenbespaard_2021"),0)
+IFERROR(INDIRECT("'"&amp;$D$17&amp;"'!kostenbespaard_2021"),0)
+IFERROR(INDIRECT("'"&amp;$D$18&amp;"'!kostenbespaard_2021"),0)
+IFERROR(INDIRECT("'"&amp;$D$19&amp;"'!kostenbespaard_2021"),0)
+IFERROR(INDIRECT("'"&amp;$D$20&amp;"'!kostenbespaard_2021"),0)
+IFERROR(INDIRECT("'"&amp;$D$21&amp;"'!kostenbespaard_2021"),0)
+IFERROR(INDIRECT("'"&amp;$D$22&amp;"'!kostenbespaard_2021"),0)
+IFERROR(INDIRECT("'"&amp;$D$23&amp;"'!kostenbespaard_2021"),0)
+IFERROR(INDIRECT("'"&amp;$D$24&amp;"'!kostenbespaard_2021"),0)
+IFERROR(INDIRECT("'"&amp;$D$25&amp;"'!kostenbespaard_2021"),0)
+IFERROR(INDIRECT("'"&amp;$D$26&amp;"'!kostenbespaard_2021"),0)
+IFERROR(INDIRECT("'"&amp;$D$27&amp;"'!kostenbespaard_2021"),0)
+IFERROR(INDIRECT("'"&amp;$D$28&amp;"'!kostenbespaard_2021"),0)
+IFERROR(INDIRECT("'"&amp;$D$29&amp;"'!kostenbespaard_2021"),0)
+IFERROR(INDIRECT("'"&amp;$D$30&amp;"'!kostenbespaard_2021"),0)
+IFERROR(INDIRECT("'"&amp;$D$31&amp;"'!kostenbespaard_2021"),0)
+IFERROR(INDIRECT("'"&amp;$D$32&amp;"'!kostenbespaard_2021"),0)
+IFERROR(INDIRECT("'"&amp;$D$33&amp;"'!kostenbespaard_2021"),0)
+IFERROR(INDIRECT("'"&amp;$D$34&amp;"'!kostenbespaard_2021"),0)
+IFERROR(INDIRECT("'"&amp;$D$35&amp;"'!kostenbespaard_2021"),0)
+IFERROR(INDIRECT("'"&amp;$D$36&amp;"'!kostenbespaard_2021"),0)
+IFERROR(INDIRECT("'"&amp;$D$37&amp;"'!kostenbespaard_2021"),0)
+IFERROR(INDIRECT("'"&amp;$D$38&amp;"'!kostenbespaard_2021"),0)
+IFERROR(INDIRECT("'"&amp;$D$39&amp;"'!kostenbespaard_2021"),0)
+IFERROR(INDIRECT("'"&amp;$D$40&amp;"'!kostenbespaard_2021"),0)
+IFERROR(INDIRECT("'"&amp;$D$41&amp;"'!kostenbespaard_2021"),0)
+IFERROR(INDIRECT("'"&amp;$D$42&amp;"'!kostenbespaard_2021"),0)
+IFERROR(INDIRECT("'"&amp;$D$43&amp;"'!kostenbespaard_2021"),0)
+IFERROR(INDIRECT("'"&amp;$D$44&amp;"'!kostenbespaard_2021"),0)
+IFERROR(INDIRECT("'"&amp;$D$45&amp;"'!kostenbespaard_2021"),0)
+IFERROR(INDIRECT("'"&amp;$D$46&amp;"'!kostenbespaard_2021"),0)
+IFERROR(INDIRECT("'"&amp;$D$47&amp;"'!kostenbespaard_2021"),0)
+IFERROR(INDIRECT("'"&amp;$D$48&amp;"'!kostenbespaard_2021"),0)
+IFERROR(INDIRECT("'"&amp;$D$49&amp;"'!kostenbespaard_2021"),0)
+IFERROR(INDIRECT("'"&amp;$D$50&amp;"'!kostenbespaard_2021"),0)
+IFERROR(INDIRECT("'"&amp;$D$51&amp;"'!kostenbespaard_2021"),0)
+IFERROR(INDIRECT("'"&amp;$D$52&amp;"'!kostenbespaard_2021"),0)
+IFERROR(INDIRECT("'"&amp;$D$53&amp;"'!kostenbespaard_2021"),0)
+IFERROR(INDIRECT("'"&amp;$D$54&amp;"'!kostenbespaard_2021"),0)</f>
        <v>0</v>
      </c>
      <c r="L50" s="385">
        <f ca="1">+IFERROR(INDIRECT("'"&amp;$D$5&amp;"'!kostenbespaard_2022"),0)
+IFERROR(INDIRECT("'"&amp;$D$6&amp;"'!kostenbespaard_2022"),0)
+IFERROR(INDIRECT("'"&amp;$D$7&amp;"'!kostenbespaard_2022"),0)
+IFERROR(INDIRECT("'"&amp;$D$8&amp;"'!kostenbespaard_2022"),0)
+IFERROR(INDIRECT("'"&amp;$D$9&amp;"'!kostenbespaard_2022"),0)
+IFERROR(INDIRECT("'"&amp;$D$10&amp;"'!kostenbespaard_2022"),0)
+IFERROR(INDIRECT("'"&amp;$D$11&amp;"'!kostenbespaard_2022"),0)
+IFERROR(INDIRECT("'"&amp;$D$12&amp;"'!kostenbespaard_2022"),0)
+IFERROR(INDIRECT("'"&amp;$D$13&amp;"'!kostenbespaard_2022"),0)
+IFERROR(INDIRECT("'"&amp;$D$14&amp;"'!kostenbespaard_2022"),0)
+IFERROR(INDIRECT("'"&amp;$D$15&amp;"'!kostenbespaard_2022"),0)
+IFERROR(INDIRECT("'"&amp;$D$16&amp;"'!kostenbespaard_2022"),0)
+IFERROR(INDIRECT("'"&amp;$D$17&amp;"'!kostenbespaard_2022"),0)
+IFERROR(INDIRECT("'"&amp;$D$18&amp;"'!kostenbespaard_2022"),0)
+IFERROR(INDIRECT("'"&amp;$D$19&amp;"'!kostenbespaard_2022"),0)
+IFERROR(INDIRECT("'"&amp;$D$20&amp;"'!kostenbespaard_2022"),0)
+IFERROR(INDIRECT("'"&amp;$D$21&amp;"'!kostenbespaard_2022"),0)
+IFERROR(INDIRECT("'"&amp;$D$22&amp;"'!kostenbespaard_2022"),0)
+IFERROR(INDIRECT("'"&amp;$D$23&amp;"'!kostenbespaard_2022"),0)
+IFERROR(INDIRECT("'"&amp;$D$24&amp;"'!kostenbespaard_2022"),0)
+IFERROR(INDIRECT("'"&amp;$D$25&amp;"'!kostenbespaard_2022"),0)
+IFERROR(INDIRECT("'"&amp;$D$26&amp;"'!kostenbespaard_2022"),0)
+IFERROR(INDIRECT("'"&amp;$D$27&amp;"'!kostenbespaard_2022"),0)
+IFERROR(INDIRECT("'"&amp;$D$28&amp;"'!kostenbespaard_2022"),0)
+IFERROR(INDIRECT("'"&amp;$D$29&amp;"'!kostenbespaard_2022"),0)
+IFERROR(INDIRECT("'"&amp;$D$30&amp;"'!kostenbespaard_2022"),0)
+IFERROR(INDIRECT("'"&amp;$D$31&amp;"'!kostenbespaard_2022"),0)
+IFERROR(INDIRECT("'"&amp;$D$32&amp;"'!kostenbespaard_2022"),0)
+IFERROR(INDIRECT("'"&amp;$D$33&amp;"'!kostenbespaard_2022"),0)
+IFERROR(INDIRECT("'"&amp;$D$34&amp;"'!kostenbespaard_2022"),0)
+IFERROR(INDIRECT("'"&amp;$D$35&amp;"'!kostenbespaard_2022"),0)
+IFERROR(INDIRECT("'"&amp;$D$36&amp;"'!kostenbespaard_2022"),0)
+IFERROR(INDIRECT("'"&amp;$D$37&amp;"'!kostenbespaard_2022"),0)
+IFERROR(INDIRECT("'"&amp;$D$38&amp;"'!kostenbespaard_2022"),0)
+IFERROR(INDIRECT("'"&amp;$D$39&amp;"'!kostenbespaard_2022"),0)
+IFERROR(INDIRECT("'"&amp;$D$40&amp;"'!kostenbespaard_2022"),0)
+IFERROR(INDIRECT("'"&amp;$D$41&amp;"'!kostenbespaard_2022"),0)
+IFERROR(INDIRECT("'"&amp;$D$42&amp;"'!kostenbespaard_2022"),0)
+IFERROR(INDIRECT("'"&amp;$D$43&amp;"'!kostenbespaard_2022"),0)
+IFERROR(INDIRECT("'"&amp;$D$44&amp;"'!kostenbespaard_2022"),0)
+IFERROR(INDIRECT("'"&amp;$D$45&amp;"'!kostenbespaard_2022"),0)
+IFERROR(INDIRECT("'"&amp;$D$46&amp;"'!kostenbespaard_2022"),0)
+IFERROR(INDIRECT("'"&amp;$D$47&amp;"'!kostenbespaard_2022"),0)
+IFERROR(INDIRECT("'"&amp;$D$48&amp;"'!kostenbespaard_2022"),0)
+IFERROR(INDIRECT("'"&amp;$D$49&amp;"'!kostenbespaard_2022"),0)
+IFERROR(INDIRECT("'"&amp;$D$50&amp;"'!kostenbespaard_2022"),0)
+IFERROR(INDIRECT("'"&amp;$D$51&amp;"'!kostenbespaard_2022"),0)
+IFERROR(INDIRECT("'"&amp;$D$52&amp;"'!kostenbespaard_2022"),0)
+IFERROR(INDIRECT("'"&amp;$D$53&amp;"'!kostenbespaard_2022"),0)
+IFERROR(INDIRECT("'"&amp;$D$54&amp;"'!kostenbespaard_2022"),0)</f>
        <v>0</v>
      </c>
      <c r="M50" s="385">
        <f ca="1">+IFERROR(INDIRECT("'"&amp;$D$5&amp;"'!kostenbespaard_2023"),0)
+IFERROR(INDIRECT("'"&amp;$D$6&amp;"'!kostenbespaard_2023"),0)
+IFERROR(INDIRECT("'"&amp;$D$7&amp;"'!kostenbespaard_2023"),0)
+IFERROR(INDIRECT("'"&amp;$D$8&amp;"'!kostenbespaard_2023"),0)
+IFERROR(INDIRECT("'"&amp;$D$9&amp;"'!kostenbespaard_2023"),0)
+IFERROR(INDIRECT("'"&amp;$D$10&amp;"'!kostenbespaard_2023"),0)
+IFERROR(INDIRECT("'"&amp;$D$11&amp;"'!kostenbespaard_2023"),0)
+IFERROR(INDIRECT("'"&amp;$D$12&amp;"'!kostenbespaard_2023"),0)
+IFERROR(INDIRECT("'"&amp;$D$13&amp;"'!kostenbespaard_2023"),0)
+IFERROR(INDIRECT("'"&amp;$D$14&amp;"'!kostenbespaard_2023"),0)
+IFERROR(INDIRECT("'"&amp;$D$15&amp;"'!kostenbespaard_2023"),0)
+IFERROR(INDIRECT("'"&amp;$D$16&amp;"'!kostenbespaard_2023"),0)
+IFERROR(INDIRECT("'"&amp;$D$17&amp;"'!kostenbespaard_2023"),0)
+IFERROR(INDIRECT("'"&amp;$D$18&amp;"'!kostenbespaard_2023"),0)
+IFERROR(INDIRECT("'"&amp;$D$19&amp;"'!kostenbespaard_2023"),0)
+IFERROR(INDIRECT("'"&amp;$D$20&amp;"'!kostenbespaard_2023"),0)
+IFERROR(INDIRECT("'"&amp;$D$21&amp;"'!kostenbespaard_2023"),0)
+IFERROR(INDIRECT("'"&amp;$D$22&amp;"'!kostenbespaard_2023"),0)
+IFERROR(INDIRECT("'"&amp;$D$23&amp;"'!kostenbespaard_2023"),0)
+IFERROR(INDIRECT("'"&amp;$D$24&amp;"'!kostenbespaard_2023"),0)
+IFERROR(INDIRECT("'"&amp;$D$25&amp;"'!kostenbespaard_2023"),0)
+IFERROR(INDIRECT("'"&amp;$D$26&amp;"'!kostenbespaard_2023"),0)
+IFERROR(INDIRECT("'"&amp;$D$27&amp;"'!kostenbespaard_2023"),0)
+IFERROR(INDIRECT("'"&amp;$D$28&amp;"'!kostenbespaard_2023"),0)
+IFERROR(INDIRECT("'"&amp;$D$29&amp;"'!kostenbespaard_2023"),0)
+IFERROR(INDIRECT("'"&amp;$D$30&amp;"'!kostenbespaard_2023"),0)
+IFERROR(INDIRECT("'"&amp;$D$31&amp;"'!kostenbespaard_2023"),0)
+IFERROR(INDIRECT("'"&amp;$D$32&amp;"'!kostenbespaard_2023"),0)
+IFERROR(INDIRECT("'"&amp;$D$33&amp;"'!kostenbespaard_2023"),0)
+IFERROR(INDIRECT("'"&amp;$D$34&amp;"'!kostenbespaard_2023"),0)
+IFERROR(INDIRECT("'"&amp;$D$35&amp;"'!kostenbespaard_2023"),0)
+IFERROR(INDIRECT("'"&amp;$D$36&amp;"'!kostenbespaard_2023"),0)
+IFERROR(INDIRECT("'"&amp;$D$37&amp;"'!kostenbespaard_2023"),0)
+IFERROR(INDIRECT("'"&amp;$D$38&amp;"'!kostenbespaard_2023"),0)
+IFERROR(INDIRECT("'"&amp;$D$39&amp;"'!kostenbespaard_2023"),0)
+IFERROR(INDIRECT("'"&amp;$D$40&amp;"'!kostenbespaard_2023"),0)
+IFERROR(INDIRECT("'"&amp;$D$41&amp;"'!kostenbespaard_2023"),0)
+IFERROR(INDIRECT("'"&amp;$D$42&amp;"'!kostenbespaard_2023"),0)
+IFERROR(INDIRECT("'"&amp;$D$43&amp;"'!kostenbespaard_2023"),0)
+IFERROR(INDIRECT("'"&amp;$D$44&amp;"'!kostenbespaard_2023"),0)
+IFERROR(INDIRECT("'"&amp;$D$45&amp;"'!kostenbespaard_2023"),0)
+IFERROR(INDIRECT("'"&amp;$D$46&amp;"'!kostenbespaard_2023"),0)
+IFERROR(INDIRECT("'"&amp;$D$47&amp;"'!kostenbespaard_2023"),0)
+IFERROR(INDIRECT("'"&amp;$D$48&amp;"'!kostenbespaard_2023"),0)
+IFERROR(INDIRECT("'"&amp;$D$49&amp;"'!kostenbespaard_2023"),0)
+IFERROR(INDIRECT("'"&amp;$D$50&amp;"'!kostenbespaard_2023"),0)
+IFERROR(INDIRECT("'"&amp;$D$51&amp;"'!kostenbespaard_2023"),0)
+IFERROR(INDIRECT("'"&amp;$D$52&amp;"'!kostenbespaard_2023"),0)
+IFERROR(INDIRECT("'"&amp;$D$53&amp;"'!kostenbespaard_2023"),0)
+IFERROR(INDIRECT("'"&amp;$D$54&amp;"'!kostenbespaard_2023"),0)</f>
        <v>251761.64467720134</v>
      </c>
      <c r="N50" s="385">
        <f ca="1">+IFERROR(INDIRECT("'"&amp;$D$5&amp;"'!kostenbespaard_2024"),0)
+IFERROR(INDIRECT("'"&amp;$D$6&amp;"'!kostenbespaard_2024"),0)
+IFERROR(INDIRECT("'"&amp;$D$7&amp;"'!kostenbespaard_2024"),0)
+IFERROR(INDIRECT("'"&amp;$D$8&amp;"'!kostenbespaard_2024"),0)
+IFERROR(INDIRECT("'"&amp;$D$9&amp;"'!kostenbespaard_2024"),0)
+IFERROR(INDIRECT("'"&amp;$D$10&amp;"'!kostenbespaard_2024"),0)
+IFERROR(INDIRECT("'"&amp;$D$11&amp;"'!kostenbespaard_2024"),0)
+IFERROR(INDIRECT("'"&amp;$D$12&amp;"'!kostenbespaard_2024"),0)
+IFERROR(INDIRECT("'"&amp;$D$13&amp;"'!kostenbespaard_2024"),0)
+IFERROR(INDIRECT("'"&amp;$D$14&amp;"'!kostenbespaard_2024"),0)
+IFERROR(INDIRECT("'"&amp;$D$15&amp;"'!kostenbespaard_2024"),0)
+IFERROR(INDIRECT("'"&amp;$D$16&amp;"'!kostenbespaard_2024"),0)
+IFERROR(INDIRECT("'"&amp;$D$17&amp;"'!kostenbespaard_2024"),0)
+IFERROR(INDIRECT("'"&amp;$D$18&amp;"'!kostenbespaard_2024"),0)
+IFERROR(INDIRECT("'"&amp;$D$19&amp;"'!kostenbespaard_2024"),0)
+IFERROR(INDIRECT("'"&amp;$D$20&amp;"'!kostenbespaard_2024"),0)
+IFERROR(INDIRECT("'"&amp;$D$21&amp;"'!kostenbespaard_2024"),0)
+IFERROR(INDIRECT("'"&amp;$D$22&amp;"'!kostenbespaard_2024"),0)
+IFERROR(INDIRECT("'"&amp;$D$23&amp;"'!kostenbespaard_2024"),0)
+IFERROR(INDIRECT("'"&amp;$D$24&amp;"'!kostenbespaard_2024"),0)
+IFERROR(INDIRECT("'"&amp;$D$25&amp;"'!kostenbespaard_2024"),0)
+IFERROR(INDIRECT("'"&amp;$D$26&amp;"'!kostenbespaard_2024"),0)
+IFERROR(INDIRECT("'"&amp;$D$27&amp;"'!kostenbespaard_2024"),0)
+IFERROR(INDIRECT("'"&amp;$D$28&amp;"'!kostenbespaard_2024"),0)
+IFERROR(INDIRECT("'"&amp;$D$29&amp;"'!kostenbespaard_2024"),0)
+IFERROR(INDIRECT("'"&amp;$D$30&amp;"'!kostenbespaard_2024"),0)
+IFERROR(INDIRECT("'"&amp;$D$31&amp;"'!kostenbespaard_2024"),0)
+IFERROR(INDIRECT("'"&amp;$D$32&amp;"'!kostenbespaard_2024"),0)
+IFERROR(INDIRECT("'"&amp;$D$33&amp;"'!kostenbespaard_2024"),0)
+IFERROR(INDIRECT("'"&amp;$D$34&amp;"'!kostenbespaard_2024"),0)
+IFERROR(INDIRECT("'"&amp;$D$35&amp;"'!kostenbespaard_2024"),0)
+IFERROR(INDIRECT("'"&amp;$D$36&amp;"'!kostenbespaard_2024"),0)
+IFERROR(INDIRECT("'"&amp;$D$37&amp;"'!kostenbespaard_2024"),0)
+IFERROR(INDIRECT("'"&amp;$D$38&amp;"'!kostenbespaard_2024"),0)
+IFERROR(INDIRECT("'"&amp;$D$39&amp;"'!kostenbespaard_2024"),0)
+IFERROR(INDIRECT("'"&amp;$D$40&amp;"'!kostenbespaard_2024"),0)
+IFERROR(INDIRECT("'"&amp;$D$41&amp;"'!kostenbespaard_2024"),0)
+IFERROR(INDIRECT("'"&amp;$D$42&amp;"'!kostenbespaard_2024"),0)
+IFERROR(INDIRECT("'"&amp;$D$43&amp;"'!kostenbespaard_2024"),0)
+IFERROR(INDIRECT("'"&amp;$D$44&amp;"'!kostenbespaard_2024"),0)
+IFERROR(INDIRECT("'"&amp;$D$45&amp;"'!kostenbespaard_2024"),0)
+IFERROR(INDIRECT("'"&amp;$D$46&amp;"'!kostenbespaard_2024"),0)
+IFERROR(INDIRECT("'"&amp;$D$47&amp;"'!kostenbespaard_2024"),0)
+IFERROR(INDIRECT("'"&amp;$D$48&amp;"'!kostenbespaard_2024"),0)
+IFERROR(INDIRECT("'"&amp;$D$49&amp;"'!kostenbespaard_2024"),0)
+IFERROR(INDIRECT("'"&amp;$D$50&amp;"'!kostenbespaard_2024"),0)
+IFERROR(INDIRECT("'"&amp;$D$51&amp;"'!kostenbespaard_2024"),0)
+IFERROR(INDIRECT("'"&amp;$D$52&amp;"'!kostenbespaard_2024"),0)
+IFERROR(INDIRECT("'"&amp;$D$53&amp;"'!kostenbespaard_2024"),0)
+IFERROR(INDIRECT("'"&amp;$D$54&amp;"'!kostenbespaard_2024"),0)</f>
        <v>275907.64023190911</v>
      </c>
      <c r="O50" s="385">
        <f ca="1">+IFERROR(INDIRECT("'"&amp;$D$5&amp;"'!kostenbespaard_2025"),0)
+IFERROR(INDIRECT("'"&amp;$D$6&amp;"'!kostenbespaard_2025"),0)
+IFERROR(INDIRECT("'"&amp;$D$7&amp;"'!kostenbespaard_2025"),0)
+IFERROR(INDIRECT("'"&amp;$D$8&amp;"'!kostenbespaard_2025"),0)
+IFERROR(INDIRECT("'"&amp;$D$9&amp;"'!kostenbespaard_2025"),0)
+IFERROR(INDIRECT("'"&amp;$D$10&amp;"'!kostenbespaard_2025"),0)
+IFERROR(INDIRECT("'"&amp;$D$11&amp;"'!kostenbespaard_2025"),0)
+IFERROR(INDIRECT("'"&amp;$D$12&amp;"'!kostenbespaard_2025"),0)
+IFERROR(INDIRECT("'"&amp;$D$13&amp;"'!kostenbespaard_2025"),0)
+IFERROR(INDIRECT("'"&amp;$D$14&amp;"'!kostenbespaard_2025"),0)
+IFERROR(INDIRECT("'"&amp;$D$15&amp;"'!kostenbespaard_2025"),0)
+IFERROR(INDIRECT("'"&amp;$D$16&amp;"'!kostenbespaard_2025"),0)
+IFERROR(INDIRECT("'"&amp;$D$17&amp;"'!kostenbespaard_2025"),0)
+IFERROR(INDIRECT("'"&amp;$D$18&amp;"'!kostenbespaard_2025"),0)
+IFERROR(INDIRECT("'"&amp;$D$19&amp;"'!kostenbespaard_2025"),0)
+IFERROR(INDIRECT("'"&amp;$D$20&amp;"'!kostenbespaard_2025"),0)
+IFERROR(INDIRECT("'"&amp;$D$21&amp;"'!kostenbespaard_2025"),0)
+IFERROR(INDIRECT("'"&amp;$D$22&amp;"'!kostenbespaard_2025"),0)
+IFERROR(INDIRECT("'"&amp;$D$23&amp;"'!kostenbespaard_2025"),0)
+IFERROR(INDIRECT("'"&amp;$D$24&amp;"'!kostenbespaard_2025"),0)
+IFERROR(INDIRECT("'"&amp;$D$25&amp;"'!kostenbespaard_2025"),0)
+IFERROR(INDIRECT("'"&amp;$D$26&amp;"'!kostenbespaard_2025"),0)
+IFERROR(INDIRECT("'"&amp;$D$27&amp;"'!kostenbespaard_2025"),0)
+IFERROR(INDIRECT("'"&amp;$D$28&amp;"'!kostenbespaard_2025"),0)
+IFERROR(INDIRECT("'"&amp;$D$29&amp;"'!kostenbespaard_2025"),0)
+IFERROR(INDIRECT("'"&amp;$D$30&amp;"'!kostenbespaard_2025"),0)
+IFERROR(INDIRECT("'"&amp;$D$31&amp;"'!kostenbespaard_2025"),0)
+IFERROR(INDIRECT("'"&amp;$D$32&amp;"'!kostenbespaard_2025"),0)
+IFERROR(INDIRECT("'"&amp;$D$33&amp;"'!kostenbespaard_2025"),0)
+IFERROR(INDIRECT("'"&amp;$D$34&amp;"'!kostenbespaard_2025"),0)
+IFERROR(INDIRECT("'"&amp;$D$35&amp;"'!kostenbespaard_2025"),0)
+IFERROR(INDIRECT("'"&amp;$D$36&amp;"'!kostenbespaard_2025"),0)
+IFERROR(INDIRECT("'"&amp;$D$37&amp;"'!kostenbespaard_2025"),0)
+IFERROR(INDIRECT("'"&amp;$D$38&amp;"'!kostenbespaard_2025"),0)
+IFERROR(INDIRECT("'"&amp;$D$39&amp;"'!kostenbespaard_2025"),0)
+IFERROR(INDIRECT("'"&amp;$D$40&amp;"'!kostenbespaard_2025"),0)
+IFERROR(INDIRECT("'"&amp;$D$41&amp;"'!kostenbespaard_2025"),0)
+IFERROR(INDIRECT("'"&amp;$D$42&amp;"'!kostenbespaard_2025"),0)
+IFERROR(INDIRECT("'"&amp;$D$43&amp;"'!kostenbespaard_2025"),0)
+IFERROR(INDIRECT("'"&amp;$D$44&amp;"'!kostenbespaard_2025"),0)
+IFERROR(INDIRECT("'"&amp;$D$45&amp;"'!kostenbespaard_2025"),0)
+IFERROR(INDIRECT("'"&amp;$D$46&amp;"'!kostenbespaard_2025"),0)
+IFERROR(INDIRECT("'"&amp;$D$47&amp;"'!kostenbespaard_2025"),0)
+IFERROR(INDIRECT("'"&amp;$D$48&amp;"'!kostenbespaard_2025"),0)
+IFERROR(INDIRECT("'"&amp;$D$49&amp;"'!kostenbespaard_2025"),0)
+IFERROR(INDIRECT("'"&amp;$D$50&amp;"'!kostenbespaard_2025"),0)
+IFERROR(INDIRECT("'"&amp;$D$51&amp;"'!kostenbespaard_2025"),0)
+IFERROR(INDIRECT("'"&amp;$D$52&amp;"'!kostenbespaard_2025"),0)
+IFERROR(INDIRECT("'"&amp;$D$53&amp;"'!kostenbespaard_2025"),0)
+IFERROR(INDIRECT("'"&amp;$D$54&amp;"'!kostenbespaard_2025"),0)</f>
        <v>317795.61873268941</v>
      </c>
      <c r="P50" s="385">
        <f ca="1">+IFERROR(INDIRECT("'"&amp;$D$5&amp;"'!kostenbespaard_2026"),0)
+IFERROR(INDIRECT("'"&amp;$D$6&amp;"'!kostenbespaard_2026"),0)
+IFERROR(INDIRECT("'"&amp;$D$7&amp;"'!kostenbespaard_2026"),0)
+IFERROR(INDIRECT("'"&amp;$D$8&amp;"'!kostenbespaard_2026"),0)
+IFERROR(INDIRECT("'"&amp;$D$9&amp;"'!kostenbespaard_2026"),0)
+IFERROR(INDIRECT("'"&amp;$D$10&amp;"'!kostenbespaard_2026"),0)
+IFERROR(INDIRECT("'"&amp;$D$11&amp;"'!kostenbespaard_2026"),0)
+IFERROR(INDIRECT("'"&amp;$D$12&amp;"'!kostenbespaard_2026"),0)
+IFERROR(INDIRECT("'"&amp;$D$13&amp;"'!kostenbespaard_2026"),0)
+IFERROR(INDIRECT("'"&amp;$D$14&amp;"'!kostenbespaard_2026"),0)
+IFERROR(INDIRECT("'"&amp;$D$15&amp;"'!kostenbespaard_2026"),0)
+IFERROR(INDIRECT("'"&amp;$D$16&amp;"'!kostenbespaard_2026"),0)
+IFERROR(INDIRECT("'"&amp;$D$17&amp;"'!kostenbespaard_2026"),0)
+IFERROR(INDIRECT("'"&amp;$D$18&amp;"'!kostenbespaard_2026"),0)
+IFERROR(INDIRECT("'"&amp;$D$19&amp;"'!kostenbespaard_2026"),0)
+IFERROR(INDIRECT("'"&amp;$D$20&amp;"'!kostenbespaard_2026"),0)
+IFERROR(INDIRECT("'"&amp;$D$21&amp;"'!kostenbespaard_2026"),0)
+IFERROR(INDIRECT("'"&amp;$D$22&amp;"'!kostenbespaard_2026"),0)
+IFERROR(INDIRECT("'"&amp;$D$23&amp;"'!kostenbespaard_2026"),0)
+IFERROR(INDIRECT("'"&amp;$D$24&amp;"'!kostenbespaard_2026"),0)
+IFERROR(INDIRECT("'"&amp;$D$25&amp;"'!kostenbespaard_2026"),0)
+IFERROR(INDIRECT("'"&amp;$D$26&amp;"'!kostenbespaard_2026"),0)
+IFERROR(INDIRECT("'"&amp;$D$27&amp;"'!kostenbespaard_2026"),0)
+IFERROR(INDIRECT("'"&amp;$D$28&amp;"'!kostenbespaard_2026"),0)
+IFERROR(INDIRECT("'"&amp;$D$29&amp;"'!kostenbespaard_2026"),0)
+IFERROR(INDIRECT("'"&amp;$D$30&amp;"'!kostenbespaard_2026"),0)
+IFERROR(INDIRECT("'"&amp;$D$31&amp;"'!kostenbespaard_2026"),0)
+IFERROR(INDIRECT("'"&amp;$D$32&amp;"'!kostenbespaard_2026"),0)
+IFERROR(INDIRECT("'"&amp;$D$33&amp;"'!kostenbespaard_2026"),0)
+IFERROR(INDIRECT("'"&amp;$D$34&amp;"'!kostenbespaard_2026"),0)
+IFERROR(INDIRECT("'"&amp;$D$35&amp;"'!kostenbespaard_2026"),0)
+IFERROR(INDIRECT("'"&amp;$D$36&amp;"'!kostenbespaard_2026"),0)
+IFERROR(INDIRECT("'"&amp;$D$37&amp;"'!kostenbespaard_2026"),0)
+IFERROR(INDIRECT("'"&amp;$D$38&amp;"'!kostenbespaard_2026"),0)
+IFERROR(INDIRECT("'"&amp;$D$39&amp;"'!kostenbespaard_2026"),0)
+IFERROR(INDIRECT("'"&amp;$D$40&amp;"'!kostenbespaard_2026"),0)
+IFERROR(INDIRECT("'"&amp;$D$41&amp;"'!kostenbespaard_2026"),0)
+IFERROR(INDIRECT("'"&amp;$D$42&amp;"'!kostenbespaard_2026"),0)
+IFERROR(INDIRECT("'"&amp;$D$43&amp;"'!kostenbespaard_2026"),0)
+IFERROR(INDIRECT("'"&amp;$D$44&amp;"'!kostenbespaard_2026"),0)
+IFERROR(INDIRECT("'"&amp;$D$45&amp;"'!kostenbespaard_2026"),0)
+IFERROR(INDIRECT("'"&amp;$D$46&amp;"'!kostenbespaard_2026"),0)
+IFERROR(INDIRECT("'"&amp;$D$47&amp;"'!kostenbespaard_2026"),0)
+IFERROR(INDIRECT("'"&amp;$D$48&amp;"'!kostenbespaard_2026"),0)
+IFERROR(INDIRECT("'"&amp;$D$49&amp;"'!kostenbespaard_2026"),0)
+IFERROR(INDIRECT("'"&amp;$D$50&amp;"'!kostenbespaard_2026"),0)
+IFERROR(INDIRECT("'"&amp;$D$51&amp;"'!kostenbespaard_2026"),0)
+IFERROR(INDIRECT("'"&amp;$D$52&amp;"'!kostenbespaard_2026"),0)
+IFERROR(INDIRECT("'"&amp;$D$53&amp;"'!kostenbespaard_2026"),0)
+IFERROR(INDIRECT("'"&amp;$D$54&amp;"'!kostenbespaard_2026"),0)</f>
        <v>323877.0606434698</v>
      </c>
      <c r="Q50" s="385">
        <f ca="1">+IFERROR(INDIRECT("'"&amp;$D$5&amp;"'!kostenbespaard_2027"),0)
+IFERROR(INDIRECT("'"&amp;$D$6&amp;"'!kostenbespaard_2027"),0)
+IFERROR(INDIRECT("'"&amp;$D$7&amp;"'!kostenbespaard_2027"),0)
+IFERROR(INDIRECT("'"&amp;$D$8&amp;"'!kostenbespaard_2027"),0)
+IFERROR(INDIRECT("'"&amp;$D$9&amp;"'!kostenbespaard_2027"),0)
+IFERROR(INDIRECT("'"&amp;$D$10&amp;"'!kostenbespaard_2027"),0)
+IFERROR(INDIRECT("'"&amp;$D$11&amp;"'!kostenbespaard_2027"),0)
+IFERROR(INDIRECT("'"&amp;$D$12&amp;"'!kostenbespaard_2027"),0)
+IFERROR(INDIRECT("'"&amp;$D$13&amp;"'!kostenbespaard_2027"),0)
+IFERROR(INDIRECT("'"&amp;$D$14&amp;"'!kostenbespaard_2027"),0)
+IFERROR(INDIRECT("'"&amp;$D$15&amp;"'!kostenbespaard_2027"),0)
+IFERROR(INDIRECT("'"&amp;$D$16&amp;"'!kostenbespaard_2027"),0)
+IFERROR(INDIRECT("'"&amp;$D$17&amp;"'!kostenbespaard_2027"),0)
+IFERROR(INDIRECT("'"&amp;$D$18&amp;"'!kostenbespaard_2027"),0)
+IFERROR(INDIRECT("'"&amp;$D$19&amp;"'!kostenbespaard_2027"),0)
+IFERROR(INDIRECT("'"&amp;$D$20&amp;"'!kostenbespaard_2027"),0)
+IFERROR(INDIRECT("'"&amp;$D$21&amp;"'!kostenbespaard_2027"),0)
+IFERROR(INDIRECT("'"&amp;$D$22&amp;"'!kostenbespaard_2027"),0)
+IFERROR(INDIRECT("'"&amp;$D$23&amp;"'!kostenbespaard_2027"),0)
+IFERROR(INDIRECT("'"&amp;$D$24&amp;"'!kostenbespaard_2027"),0)
+IFERROR(INDIRECT("'"&amp;$D$25&amp;"'!kostenbespaard_2027"),0)
+IFERROR(INDIRECT("'"&amp;$D$26&amp;"'!kostenbespaard_2027"),0)
+IFERROR(INDIRECT("'"&amp;$D$27&amp;"'!kostenbespaard_2027"),0)
+IFERROR(INDIRECT("'"&amp;$D$28&amp;"'!kostenbespaard_2027"),0)
+IFERROR(INDIRECT("'"&amp;$D$29&amp;"'!kostenbespaard_2027"),0)
+IFERROR(INDIRECT("'"&amp;$D$30&amp;"'!kostenbespaard_2027"),0)
+IFERROR(INDIRECT("'"&amp;$D$31&amp;"'!kostenbespaard_2027"),0)
+IFERROR(INDIRECT("'"&amp;$D$32&amp;"'!kostenbespaard_2027"),0)
+IFERROR(INDIRECT("'"&amp;$D$33&amp;"'!kostenbespaard_2027"),0)
+IFERROR(INDIRECT("'"&amp;$D$34&amp;"'!kostenbespaard_2027"),0)
+IFERROR(INDIRECT("'"&amp;$D$35&amp;"'!kostenbespaard_2027"),0)
+IFERROR(INDIRECT("'"&amp;$D$36&amp;"'!kostenbespaard_2027"),0)
+IFERROR(INDIRECT("'"&amp;$D$37&amp;"'!kostenbespaard_2027"),0)
+IFERROR(INDIRECT("'"&amp;$D$38&amp;"'!kostenbespaard_2027"),0)
+IFERROR(INDIRECT("'"&amp;$D$39&amp;"'!kostenbespaard_2027"),0)
+IFERROR(INDIRECT("'"&amp;$D$40&amp;"'!kostenbespaard_2027"),0)
+IFERROR(INDIRECT("'"&amp;$D$41&amp;"'!kostenbespaard_2027"),0)
+IFERROR(INDIRECT("'"&amp;$D$42&amp;"'!kostenbespaard_2027"),0)
+IFERROR(INDIRECT("'"&amp;$D$43&amp;"'!kostenbespaard_2027"),0)
+IFERROR(INDIRECT("'"&amp;$D$44&amp;"'!kostenbespaard_2027"),0)
+IFERROR(INDIRECT("'"&amp;$D$45&amp;"'!kostenbespaard_2027"),0)
+IFERROR(INDIRECT("'"&amp;$D$46&amp;"'!kostenbespaard_2027"),0)
+IFERROR(INDIRECT("'"&amp;$D$47&amp;"'!kostenbespaard_2027"),0)
+IFERROR(INDIRECT("'"&amp;$D$48&amp;"'!kostenbespaard_2027"),0)
+IFERROR(INDIRECT("'"&amp;$D$49&amp;"'!kostenbespaard_2027"),0)
+IFERROR(INDIRECT("'"&amp;$D$50&amp;"'!kostenbespaard_2027"),0)
+IFERROR(INDIRECT("'"&amp;$D$51&amp;"'!kostenbespaard_2027"),0)
+IFERROR(INDIRECT("'"&amp;$D$52&amp;"'!kostenbespaard_2027"),0)
+IFERROR(INDIRECT("'"&amp;$D$53&amp;"'!kostenbespaard_2027"),0)
+IFERROR(INDIRECT("'"&amp;$D$54&amp;"'!kostenbespaard_2027"),0)</f>
        <v>160515.89194033525</v>
      </c>
      <c r="R50" s="385">
        <f ca="1">+IFERROR(INDIRECT("'"&amp;$D$5&amp;"'!kostenbespaard_2028"),0)
+IFERROR(INDIRECT("'"&amp;$D$6&amp;"'!kostenbespaard_2028"),0)
+IFERROR(INDIRECT("'"&amp;$D$7&amp;"'!kostenbespaard_2028"),0)
+IFERROR(INDIRECT("'"&amp;$D$8&amp;"'!kostenbespaard_2028"),0)
+IFERROR(INDIRECT("'"&amp;$D$9&amp;"'!kostenbespaard_2028"),0)
+IFERROR(INDIRECT("'"&amp;$D$10&amp;"'!kostenbespaard_2028"),0)
+IFERROR(INDIRECT("'"&amp;$D$11&amp;"'!kostenbespaard_2028"),0)
+IFERROR(INDIRECT("'"&amp;$D$12&amp;"'!kostenbespaard_2028"),0)
+IFERROR(INDIRECT("'"&amp;$D$13&amp;"'!kostenbespaard_2028"),0)
+IFERROR(INDIRECT("'"&amp;$D$14&amp;"'!kostenbespaard_2028"),0)
+IFERROR(INDIRECT("'"&amp;$D$15&amp;"'!kostenbespaard_2028"),0)
+IFERROR(INDIRECT("'"&amp;$D$16&amp;"'!kostenbespaard_2028"),0)
+IFERROR(INDIRECT("'"&amp;$D$17&amp;"'!kostenbespaard_2028"),0)
+IFERROR(INDIRECT("'"&amp;$D$18&amp;"'!kostenbespaard_2028"),0)
+IFERROR(INDIRECT("'"&amp;$D$19&amp;"'!kostenbespaard_2028"),0)
+IFERROR(INDIRECT("'"&amp;$D$20&amp;"'!kostenbespaard_2028"),0)
+IFERROR(INDIRECT("'"&amp;$D$21&amp;"'!kostenbespaard_2028"),0)
+IFERROR(INDIRECT("'"&amp;$D$22&amp;"'!kostenbespaard_2028"),0)
+IFERROR(INDIRECT("'"&amp;$D$23&amp;"'!kostenbespaard_2028"),0)
+IFERROR(INDIRECT("'"&amp;$D$24&amp;"'!kostenbespaard_2028"),0)
+IFERROR(INDIRECT("'"&amp;$D$25&amp;"'!kostenbespaard_2028"),0)
+IFERROR(INDIRECT("'"&amp;$D$26&amp;"'!kostenbespaard_2028"),0)
+IFERROR(INDIRECT("'"&amp;$D$27&amp;"'!kostenbespaard_2028"),0)
+IFERROR(INDIRECT("'"&amp;$D$28&amp;"'!kostenbespaard_2028"),0)
+IFERROR(INDIRECT("'"&amp;$D$29&amp;"'!kostenbespaard_2028"),0)
+IFERROR(INDIRECT("'"&amp;$D$30&amp;"'!kostenbespaard_2028"),0)
+IFERROR(INDIRECT("'"&amp;$D$31&amp;"'!kostenbespaard_2028"),0)
+IFERROR(INDIRECT("'"&amp;$D$32&amp;"'!kostenbespaard_2028"),0)
+IFERROR(INDIRECT("'"&amp;$D$33&amp;"'!kostenbespaard_2028"),0)
+IFERROR(INDIRECT("'"&amp;$D$34&amp;"'!kostenbespaard_2028"),0)
+IFERROR(INDIRECT("'"&amp;$D$35&amp;"'!kostenbespaard_2028"),0)
+IFERROR(INDIRECT("'"&amp;$D$36&amp;"'!kostenbespaard_2028"),0)
+IFERROR(INDIRECT("'"&amp;$D$37&amp;"'!kostenbespaard_2028"),0)
+IFERROR(INDIRECT("'"&amp;$D$38&amp;"'!kostenbespaard_2028"),0)
+IFERROR(INDIRECT("'"&amp;$D$39&amp;"'!kostenbespaard_2028"),0)
+IFERROR(INDIRECT("'"&amp;$D$40&amp;"'!kostenbespaard_2028"),0)
+IFERROR(INDIRECT("'"&amp;$D$41&amp;"'!kostenbespaard_2028"),0)
+IFERROR(INDIRECT("'"&amp;$D$42&amp;"'!kostenbespaard_2028"),0)
+IFERROR(INDIRECT("'"&amp;$D$43&amp;"'!kostenbespaard_2028"),0)
+IFERROR(INDIRECT("'"&amp;$D$44&amp;"'!kostenbespaard_2028"),0)
+IFERROR(INDIRECT("'"&amp;$D$45&amp;"'!kostenbespaard_2028"),0)
+IFERROR(INDIRECT("'"&amp;$D$46&amp;"'!kostenbespaard_2028"),0)
+IFERROR(INDIRECT("'"&amp;$D$47&amp;"'!kostenbespaard_2028"),0)
+IFERROR(INDIRECT("'"&amp;$D$48&amp;"'!kostenbespaard_2028"),0)
+IFERROR(INDIRECT("'"&amp;$D$49&amp;"'!kostenbespaard_2028"),0)
+IFERROR(INDIRECT("'"&amp;$D$50&amp;"'!kostenbespaard_2028"),0)
+IFERROR(INDIRECT("'"&amp;$D$51&amp;"'!kostenbespaard_2028"),0)
+IFERROR(INDIRECT("'"&amp;$D$52&amp;"'!kostenbespaard_2028"),0)
+IFERROR(INDIRECT("'"&amp;$D$53&amp;"'!kostenbespaard_2028"),0)
+IFERROR(INDIRECT("'"&amp;$D$54&amp;"'!kostenbespaard_2028"),0)</f>
        <v>163088.82956298965</v>
      </c>
      <c r="S50" s="385">
        <f ca="1">+IFERROR(INDIRECT("'"&amp;$D$5&amp;"'!kostenbespaard_2029"),0)
+IFERROR(INDIRECT("'"&amp;$D$6&amp;"'!kostenbespaard_2029"),0)
+IFERROR(INDIRECT("'"&amp;$D$7&amp;"'!kostenbespaard_2029"),0)
+IFERROR(INDIRECT("'"&amp;$D$8&amp;"'!kostenbespaard_2029"),0)
+IFERROR(INDIRECT("'"&amp;$D$9&amp;"'!kostenbespaard_2029"),0)
+IFERROR(INDIRECT("'"&amp;$D$10&amp;"'!kostenbespaard_2029"),0)
+IFERROR(INDIRECT("'"&amp;$D$11&amp;"'!kostenbespaard_2029"),0)
+IFERROR(INDIRECT("'"&amp;$D$12&amp;"'!kostenbespaard_2029"),0)
+IFERROR(INDIRECT("'"&amp;$D$13&amp;"'!kostenbespaard_2029"),0)
+IFERROR(INDIRECT("'"&amp;$D$14&amp;"'!kostenbespaard_2029"),0)
+IFERROR(INDIRECT("'"&amp;$D$15&amp;"'!kostenbespaard_2029"),0)
+IFERROR(INDIRECT("'"&amp;$D$16&amp;"'!kostenbespaard_2029"),0)
+IFERROR(INDIRECT("'"&amp;$D$17&amp;"'!kostenbespaard_2029"),0)
+IFERROR(INDIRECT("'"&amp;$D$18&amp;"'!kostenbespaard_2029"),0)
+IFERROR(INDIRECT("'"&amp;$D$19&amp;"'!kostenbespaard_2029"),0)
+IFERROR(INDIRECT("'"&amp;$D$20&amp;"'!kostenbespaard_2029"),0)
+IFERROR(INDIRECT("'"&amp;$D$21&amp;"'!kostenbespaard_2029"),0)
+IFERROR(INDIRECT("'"&amp;$D$22&amp;"'!kostenbespaard_2029"),0)
+IFERROR(INDIRECT("'"&amp;$D$23&amp;"'!kostenbespaard_2029"),0)
+IFERROR(INDIRECT("'"&amp;$D$24&amp;"'!kostenbespaard_2029"),0)
+IFERROR(INDIRECT("'"&amp;$D$25&amp;"'!kostenbespaard_2029"),0)
+IFERROR(INDIRECT("'"&amp;$D$26&amp;"'!kostenbespaard_2029"),0)
+IFERROR(INDIRECT("'"&amp;$D$27&amp;"'!kostenbespaard_2029"),0)
+IFERROR(INDIRECT("'"&amp;$D$28&amp;"'!kostenbespaard_2029"),0)
+IFERROR(INDIRECT("'"&amp;$D$29&amp;"'!kostenbespaard_2029"),0)
+IFERROR(INDIRECT("'"&amp;$D$30&amp;"'!kostenbespaard_2029"),0)
+IFERROR(INDIRECT("'"&amp;$D$31&amp;"'!kostenbespaard_2029"),0)
+IFERROR(INDIRECT("'"&amp;$D$32&amp;"'!kostenbespaard_2029"),0)
+IFERROR(INDIRECT("'"&amp;$D$33&amp;"'!kostenbespaard_2029"),0)
+IFERROR(INDIRECT("'"&amp;$D$34&amp;"'!kostenbespaard_2029"),0)
+IFERROR(INDIRECT("'"&amp;$D$35&amp;"'!kostenbespaard_2029"),0)
+IFERROR(INDIRECT("'"&amp;$D$36&amp;"'!kostenbespaard_2029"),0)
+IFERROR(INDIRECT("'"&amp;$D$37&amp;"'!kostenbespaard_2029"),0)
+IFERROR(INDIRECT("'"&amp;$D$38&amp;"'!kostenbespaard_2029"),0)
+IFERROR(INDIRECT("'"&amp;$D$39&amp;"'!kostenbespaard_2029"),0)
+IFERROR(INDIRECT("'"&amp;$D$40&amp;"'!kostenbespaard_2029"),0)
+IFERROR(INDIRECT("'"&amp;$D$41&amp;"'!kostenbespaard_2029"),0)
+IFERROR(INDIRECT("'"&amp;$D$42&amp;"'!kostenbespaard_2029"),0)
+IFERROR(INDIRECT("'"&amp;$D$43&amp;"'!kostenbespaard_2029"),0)
+IFERROR(INDIRECT("'"&amp;$D$44&amp;"'!kostenbespaard_2029"),0)
+IFERROR(INDIRECT("'"&amp;$D$45&amp;"'!kostenbespaard_2029"),0)
+IFERROR(INDIRECT("'"&amp;$D$46&amp;"'!kostenbespaard_2029"),0)
+IFERROR(INDIRECT("'"&amp;$D$47&amp;"'!kostenbespaard_2029"),0)
+IFERROR(INDIRECT("'"&amp;$D$48&amp;"'!kostenbespaard_2029"),0)
+IFERROR(INDIRECT("'"&amp;$D$49&amp;"'!kostenbespaard_2029"),0)
+IFERROR(INDIRECT("'"&amp;$D$50&amp;"'!kostenbespaard_2029"),0)
+IFERROR(INDIRECT("'"&amp;$D$51&amp;"'!kostenbespaard_2029"),0)
+IFERROR(INDIRECT("'"&amp;$D$52&amp;"'!kostenbespaard_2029"),0)
+IFERROR(INDIRECT("'"&amp;$D$53&amp;"'!kostenbespaard_2029"),0)
+IFERROR(INDIRECT("'"&amp;$D$54&amp;"'!kostenbespaard_2029"),0)</f>
        <v>165669.60398564406</v>
      </c>
      <c r="T50" s="385">
        <f ca="1">+IFERROR(INDIRECT("'"&amp;$D$5&amp;"'!kostenbespaard_2030"),0)
+IFERROR(INDIRECT("'"&amp;$D$6&amp;"'!kostenbespaard_2030"),0)
+IFERROR(INDIRECT("'"&amp;$D$7&amp;"'!kostenbespaard_2030"),0)
+IFERROR(INDIRECT("'"&amp;$D$8&amp;"'!kostenbespaard_2030"),0)
+IFERROR(INDIRECT("'"&amp;$D$9&amp;"'!kostenbespaard_2030"),0)
+IFERROR(INDIRECT("'"&amp;$D$10&amp;"'!kostenbespaard_2030"),0)
+IFERROR(INDIRECT("'"&amp;$D$11&amp;"'!kostenbespaard_2030"),0)
+IFERROR(INDIRECT("'"&amp;$D$12&amp;"'!kostenbespaard_2030"),0)
+IFERROR(INDIRECT("'"&amp;$D$13&amp;"'!kostenbespaard_2030"),0)
+IFERROR(INDIRECT("'"&amp;$D$14&amp;"'!kostenbespaard_2030"),0)
+IFERROR(INDIRECT("'"&amp;$D$15&amp;"'!kostenbespaard_2030"),0)
+IFERROR(INDIRECT("'"&amp;$D$16&amp;"'!kostenbespaard_2030"),0)
+IFERROR(INDIRECT("'"&amp;$D$17&amp;"'!kostenbespaard_2030"),0)
+IFERROR(INDIRECT("'"&amp;$D$18&amp;"'!kostenbespaard_2030"),0)
+IFERROR(INDIRECT("'"&amp;$D$19&amp;"'!kostenbespaard_2030"),0)
+IFERROR(INDIRECT("'"&amp;$D$20&amp;"'!kostenbespaard_2030"),0)
+IFERROR(INDIRECT("'"&amp;$D$21&amp;"'!kostenbespaard_2030"),0)
+IFERROR(INDIRECT("'"&amp;$D$22&amp;"'!kostenbespaard_2030"),0)
+IFERROR(INDIRECT("'"&amp;$D$23&amp;"'!kostenbespaard_2030"),0)
+IFERROR(INDIRECT("'"&amp;$D$24&amp;"'!kostenbespaard_2030"),0)
+IFERROR(INDIRECT("'"&amp;$D$25&amp;"'!kostenbespaard_2030"),0)
+IFERROR(INDIRECT("'"&amp;$D$26&amp;"'!kostenbespaard_2030"),0)
+IFERROR(INDIRECT("'"&amp;$D$27&amp;"'!kostenbespaard_2030"),0)
+IFERROR(INDIRECT("'"&amp;$D$28&amp;"'!kostenbespaard_2030"),0)
+IFERROR(INDIRECT("'"&amp;$D$29&amp;"'!kostenbespaard_2030"),0)
+IFERROR(INDIRECT("'"&amp;$D$30&amp;"'!kostenbespaard_2030"),0)
+IFERROR(INDIRECT("'"&amp;$D$31&amp;"'!kostenbespaard_2030"),0)
+IFERROR(INDIRECT("'"&amp;$D$32&amp;"'!kostenbespaard_2030"),0)
+IFERROR(INDIRECT("'"&amp;$D$33&amp;"'!kostenbespaard_2030"),0)
+IFERROR(INDIRECT("'"&amp;$D$34&amp;"'!kostenbespaard_2030"),0)
+IFERROR(INDIRECT("'"&amp;$D$35&amp;"'!kostenbespaard_2030"),0)
+IFERROR(INDIRECT("'"&amp;$D$36&amp;"'!kostenbespaard_2030"),0)
+IFERROR(INDIRECT("'"&amp;$D$37&amp;"'!kostenbespaard_2030"),0)
+IFERROR(INDIRECT("'"&amp;$D$38&amp;"'!kostenbespaard_2030"),0)
+IFERROR(INDIRECT("'"&amp;$D$39&amp;"'!kostenbespaard_2030"),0)
+IFERROR(INDIRECT("'"&amp;$D$40&amp;"'!kostenbespaard_2030"),0)
+IFERROR(INDIRECT("'"&amp;$D$41&amp;"'!kostenbespaard_2030"),0)
+IFERROR(INDIRECT("'"&amp;$D$42&amp;"'!kostenbespaard_2030"),0)
+IFERROR(INDIRECT("'"&amp;$D$43&amp;"'!kostenbespaard_2030"),0)
+IFERROR(INDIRECT("'"&amp;$D$44&amp;"'!kostenbespaard_2030"),0)
+IFERROR(INDIRECT("'"&amp;$D$45&amp;"'!kostenbespaard_2030"),0)
+IFERROR(INDIRECT("'"&amp;$D$46&amp;"'!kostenbespaard_2030"),0)
+IFERROR(INDIRECT("'"&amp;$D$47&amp;"'!kostenbespaard_2030"),0)
+IFERROR(INDIRECT("'"&amp;$D$48&amp;"'!kostenbespaard_2030"),0)
+IFERROR(INDIRECT("'"&amp;$D$49&amp;"'!kostenbespaard_2030"),0)
+IFERROR(INDIRECT("'"&amp;$D$50&amp;"'!kostenbespaard_2030"),0)
+IFERROR(INDIRECT("'"&amp;$D$51&amp;"'!kostenbespaard_2030"),0)
+IFERROR(INDIRECT("'"&amp;$D$52&amp;"'!kostenbespaard_2030"),0)
+IFERROR(INDIRECT("'"&amp;$D$53&amp;"'!kostenbespaard_2030"),0)
+IFERROR(INDIRECT("'"&amp;$D$54&amp;"'!kostenbespaard_2030"),0)</f>
        <v>168250.37840829851</v>
      </c>
      <c r="U50" s="385">
        <f ca="1">+IFERROR(INDIRECT("'"&amp;$D$5&amp;"'!kostenbespaard_2031"),0)
+IFERROR(INDIRECT("'"&amp;$D$6&amp;"'!kostenbespaard_2031"),0)
+IFERROR(INDIRECT("'"&amp;$D$7&amp;"'!kostenbespaard_2031"),0)
+IFERROR(INDIRECT("'"&amp;$D$8&amp;"'!kostenbespaard_2031"),0)
+IFERROR(INDIRECT("'"&amp;$D$9&amp;"'!kostenbespaard_2031"),0)
+IFERROR(INDIRECT("'"&amp;$D$10&amp;"'!kostenbespaard_2031"),0)
+IFERROR(INDIRECT("'"&amp;$D$11&amp;"'!kostenbespaard_2031"),0)
+IFERROR(INDIRECT("'"&amp;$D$12&amp;"'!kostenbespaard_2031"),0)
+IFERROR(INDIRECT("'"&amp;$D$13&amp;"'!kostenbespaard_2031"),0)
+IFERROR(INDIRECT("'"&amp;$D$14&amp;"'!kostenbespaard_2031"),0)
+IFERROR(INDIRECT("'"&amp;$D$15&amp;"'!kostenbespaard_2031"),0)
+IFERROR(INDIRECT("'"&amp;$D$16&amp;"'!kostenbespaard_2031"),0)
+IFERROR(INDIRECT("'"&amp;$D$17&amp;"'!kostenbespaard_2031"),0)
+IFERROR(INDIRECT("'"&amp;$D$18&amp;"'!kostenbespaard_2031"),0)
+IFERROR(INDIRECT("'"&amp;$D$19&amp;"'!kostenbespaard_2031"),0)
+IFERROR(INDIRECT("'"&amp;$D$20&amp;"'!kostenbespaard_2031"),0)
+IFERROR(INDIRECT("'"&amp;$D$21&amp;"'!kostenbespaard_2031"),0)
+IFERROR(INDIRECT("'"&amp;$D$22&amp;"'!kostenbespaard_2031"),0)
+IFERROR(INDIRECT("'"&amp;$D$23&amp;"'!kostenbespaard_2031"),0)
+IFERROR(INDIRECT("'"&amp;$D$24&amp;"'!kostenbespaard_2031"),0)
+IFERROR(INDIRECT("'"&amp;$D$25&amp;"'!kostenbespaard_2031"),0)
+IFERROR(INDIRECT("'"&amp;$D$26&amp;"'!kostenbespaard_2031"),0)
+IFERROR(INDIRECT("'"&amp;$D$27&amp;"'!kostenbespaard_2031"),0)
+IFERROR(INDIRECT("'"&amp;$D$28&amp;"'!kostenbespaard_2031"),0)
+IFERROR(INDIRECT("'"&amp;$D$29&amp;"'!kostenbespaard_2031"),0)
+IFERROR(INDIRECT("'"&amp;$D$30&amp;"'!kostenbespaard_2031"),0)
+IFERROR(INDIRECT("'"&amp;$D$31&amp;"'!kostenbespaard_2031"),0)
+IFERROR(INDIRECT("'"&amp;$D$32&amp;"'!kostenbespaard_2031"),0)
+IFERROR(INDIRECT("'"&amp;$D$33&amp;"'!kostenbespaard_2031"),0)
+IFERROR(INDIRECT("'"&amp;$D$34&amp;"'!kostenbespaard_2031"),0)
+IFERROR(INDIRECT("'"&amp;$D$35&amp;"'!kostenbespaard_2031"),0)
+IFERROR(INDIRECT("'"&amp;$D$36&amp;"'!kostenbespaard_2031"),0)
+IFERROR(INDIRECT("'"&amp;$D$37&amp;"'!kostenbespaard_2031"),0)
+IFERROR(INDIRECT("'"&amp;$D$38&amp;"'!kostenbespaard_2031"),0)
+IFERROR(INDIRECT("'"&amp;$D$39&amp;"'!kostenbespaard_2031"),0)
+IFERROR(INDIRECT("'"&amp;$D$40&amp;"'!kostenbespaard_2031"),0)
+IFERROR(INDIRECT("'"&amp;$D$41&amp;"'!kostenbespaard_2031"),0)
+IFERROR(INDIRECT("'"&amp;$D$42&amp;"'!kostenbespaard_2031"),0)
+IFERROR(INDIRECT("'"&amp;$D$43&amp;"'!kostenbespaard_2031"),0)
+IFERROR(INDIRECT("'"&amp;$D$44&amp;"'!kostenbespaard_2031"),0)
+IFERROR(INDIRECT("'"&amp;$D$45&amp;"'!kostenbespaard_2031"),0)
+IFERROR(INDIRECT("'"&amp;$D$46&amp;"'!kostenbespaard_2031"),0)
+IFERROR(INDIRECT("'"&amp;$D$47&amp;"'!kostenbespaard_2031"),0)
+IFERROR(INDIRECT("'"&amp;$D$48&amp;"'!kostenbespaard_2031"),0)
+IFERROR(INDIRECT("'"&amp;$D$49&amp;"'!kostenbespaard_2031"),0)
+IFERROR(INDIRECT("'"&amp;$D$50&amp;"'!kostenbespaard_2031"),0)
+IFERROR(INDIRECT("'"&amp;$D$51&amp;"'!kostenbespaard_2031"),0)
+IFERROR(INDIRECT("'"&amp;$D$52&amp;"'!kostenbespaard_2031"),0)
+IFERROR(INDIRECT("'"&amp;$D$53&amp;"'!kostenbespaard_2031"),0)
+IFERROR(INDIRECT("'"&amp;$D$54&amp;"'!kostenbespaard_2031"),0)</f>
        <v>170831.15283095295</v>
      </c>
      <c r="V50" s="385">
        <f ca="1">+IFERROR(INDIRECT("'"&amp;$D$5&amp;"'!kostenbespaard_2032"),0)
+IFERROR(INDIRECT("'"&amp;$D$6&amp;"'!kostenbespaard_2032"),0)
+IFERROR(INDIRECT("'"&amp;$D$7&amp;"'!kostenbespaard_2032"),0)
+IFERROR(INDIRECT("'"&amp;$D$8&amp;"'!kostenbespaard_2032"),0)
+IFERROR(INDIRECT("'"&amp;$D$9&amp;"'!kostenbespaard_2032"),0)
+IFERROR(INDIRECT("'"&amp;$D$10&amp;"'!kostenbespaard_2032"),0)
+IFERROR(INDIRECT("'"&amp;$D$11&amp;"'!kostenbespaard_2032"),0)
+IFERROR(INDIRECT("'"&amp;$D$12&amp;"'!kostenbespaard_2032"),0)
+IFERROR(INDIRECT("'"&amp;$D$13&amp;"'!kostenbespaard_2032"),0)
+IFERROR(INDIRECT("'"&amp;$D$14&amp;"'!kostenbespaard_2032"),0)
+IFERROR(INDIRECT("'"&amp;$D$15&amp;"'!kostenbespaard_2032"),0)
+IFERROR(INDIRECT("'"&amp;$D$16&amp;"'!kostenbespaard_2032"),0)
+IFERROR(INDIRECT("'"&amp;$D$17&amp;"'!kostenbespaard_2032"),0)
+IFERROR(INDIRECT("'"&amp;$D$18&amp;"'!kostenbespaard_2032"),0)
+IFERROR(INDIRECT("'"&amp;$D$19&amp;"'!kostenbespaard_2032"),0)
+IFERROR(INDIRECT("'"&amp;$D$20&amp;"'!kostenbespaard_2032"),0)
+IFERROR(INDIRECT("'"&amp;$D$21&amp;"'!kostenbespaard_2032"),0)
+IFERROR(INDIRECT("'"&amp;$D$22&amp;"'!kostenbespaard_2032"),0)
+IFERROR(INDIRECT("'"&amp;$D$23&amp;"'!kostenbespaard_2032"),0)
+IFERROR(INDIRECT("'"&amp;$D$24&amp;"'!kostenbespaard_2032"),0)
+IFERROR(INDIRECT("'"&amp;$D$25&amp;"'!kostenbespaard_2032"),0)
+IFERROR(INDIRECT("'"&amp;$D$26&amp;"'!kostenbespaard_2032"),0)
+IFERROR(INDIRECT("'"&amp;$D$27&amp;"'!kostenbespaard_2032"),0)
+IFERROR(INDIRECT("'"&amp;$D$28&amp;"'!kostenbespaard_2032"),0)
+IFERROR(INDIRECT("'"&amp;$D$29&amp;"'!kostenbespaard_2032"),0)
+IFERROR(INDIRECT("'"&amp;$D$30&amp;"'!kostenbespaard_2032"),0)
+IFERROR(INDIRECT("'"&amp;$D$31&amp;"'!kostenbespaard_2032"),0)
+IFERROR(INDIRECT("'"&amp;$D$32&amp;"'!kostenbespaard_2032"),0)
+IFERROR(INDIRECT("'"&amp;$D$33&amp;"'!kostenbespaard_2032"),0)
+IFERROR(INDIRECT("'"&amp;$D$34&amp;"'!kostenbespaard_2032"),0)
+IFERROR(INDIRECT("'"&amp;$D$35&amp;"'!kostenbespaard_2032"),0)
+IFERROR(INDIRECT("'"&amp;$D$36&amp;"'!kostenbespaard_2032"),0)
+IFERROR(INDIRECT("'"&amp;$D$37&amp;"'!kostenbespaard_2032"),0)
+IFERROR(INDIRECT("'"&amp;$D$38&amp;"'!kostenbespaard_2032"),0)
+IFERROR(INDIRECT("'"&amp;$D$39&amp;"'!kostenbespaard_2032"),0)
+IFERROR(INDIRECT("'"&amp;$D$40&amp;"'!kostenbespaard_2032"),0)
+IFERROR(INDIRECT("'"&amp;$D$41&amp;"'!kostenbespaard_2032"),0)
+IFERROR(INDIRECT("'"&amp;$D$42&amp;"'!kostenbespaard_2032"),0)
+IFERROR(INDIRECT("'"&amp;$D$43&amp;"'!kostenbespaard_2032"),0)
+IFERROR(INDIRECT("'"&amp;$D$44&amp;"'!kostenbespaard_2032"),0)
+IFERROR(INDIRECT("'"&amp;$D$45&amp;"'!kostenbespaard_2032"),0)
+IFERROR(INDIRECT("'"&amp;$D$46&amp;"'!kostenbespaard_2032"),0)
+IFERROR(INDIRECT("'"&amp;$D$47&amp;"'!kostenbespaard_2032"),0)
+IFERROR(INDIRECT("'"&amp;$D$48&amp;"'!kostenbespaard_2032"),0)
+IFERROR(INDIRECT("'"&amp;$D$49&amp;"'!kostenbespaard_2032"),0)
+IFERROR(INDIRECT("'"&amp;$D$50&amp;"'!kostenbespaard_2032"),0)
+IFERROR(INDIRECT("'"&amp;$D$51&amp;"'!kostenbespaard_2032"),0)
+IFERROR(INDIRECT("'"&amp;$D$52&amp;"'!kostenbespaard_2032"),0)
+IFERROR(INDIRECT("'"&amp;$D$53&amp;"'!kostenbespaard_2032"),0)
+IFERROR(INDIRECT("'"&amp;$D$54&amp;"'!kostenbespaard_2032"),0)</f>
        <v>127913.42936385769</v>
      </c>
      <c r="W50" s="385">
        <f ca="1">+IFERROR(INDIRECT("'"&amp;$D$5&amp;"'!kostenbespaard_2033"),0)
+IFERROR(INDIRECT("'"&amp;$D$6&amp;"'!kostenbespaard_2033"),0)
+IFERROR(INDIRECT("'"&amp;$D$7&amp;"'!kostenbespaard_2033"),0)
+IFERROR(INDIRECT("'"&amp;$D$8&amp;"'!kostenbespaard_2033"),0)
+IFERROR(INDIRECT("'"&amp;$D$9&amp;"'!kostenbespaard_2033"),0)
+IFERROR(INDIRECT("'"&amp;$D$10&amp;"'!kostenbespaard_2033"),0)
+IFERROR(INDIRECT("'"&amp;$D$11&amp;"'!kostenbespaard_2033"),0)
+IFERROR(INDIRECT("'"&amp;$D$12&amp;"'!kostenbespaard_2033"),0)
+IFERROR(INDIRECT("'"&amp;$D$13&amp;"'!kostenbespaard_2033"),0)
+IFERROR(INDIRECT("'"&amp;$D$14&amp;"'!kostenbespaard_2033"),0)
+IFERROR(INDIRECT("'"&amp;$D$15&amp;"'!kostenbespaard_2033"),0)
+IFERROR(INDIRECT("'"&amp;$D$16&amp;"'!kostenbespaard_2033"),0)
+IFERROR(INDIRECT("'"&amp;$D$17&amp;"'!kostenbespaard_2033"),0)
+IFERROR(INDIRECT("'"&amp;$D$18&amp;"'!kostenbespaard_2033"),0)
+IFERROR(INDIRECT("'"&amp;$D$19&amp;"'!kostenbespaard_2033"),0)
+IFERROR(INDIRECT("'"&amp;$D$20&amp;"'!kostenbespaard_2033"),0)
+IFERROR(INDIRECT("'"&amp;$D$21&amp;"'!kostenbespaard_2033"),0)
+IFERROR(INDIRECT("'"&amp;$D$22&amp;"'!kostenbespaard_2033"),0)
+IFERROR(INDIRECT("'"&amp;$D$23&amp;"'!kostenbespaard_2033"),0)
+IFERROR(INDIRECT("'"&amp;$D$24&amp;"'!kostenbespaard_2033"),0)
+IFERROR(INDIRECT("'"&amp;$D$25&amp;"'!kostenbespaard_2033"),0)
+IFERROR(INDIRECT("'"&amp;$D$26&amp;"'!kostenbespaard_2033"),0)
+IFERROR(INDIRECT("'"&amp;$D$27&amp;"'!kostenbespaard_2033"),0)
+IFERROR(INDIRECT("'"&amp;$D$28&amp;"'!kostenbespaard_2033"),0)
+IFERROR(INDIRECT("'"&amp;$D$29&amp;"'!kostenbespaard_2033"),0)
+IFERROR(INDIRECT("'"&amp;$D$30&amp;"'!kostenbespaard_2033"),0)
+IFERROR(INDIRECT("'"&amp;$D$31&amp;"'!kostenbespaard_2033"),0)
+IFERROR(INDIRECT("'"&amp;$D$32&amp;"'!kostenbespaard_2033"),0)
+IFERROR(INDIRECT("'"&amp;$D$33&amp;"'!kostenbespaard_2033"),0)
+IFERROR(INDIRECT("'"&amp;$D$34&amp;"'!kostenbespaard_2033"),0)
+IFERROR(INDIRECT("'"&amp;$D$35&amp;"'!kostenbespaard_2033"),0)
+IFERROR(INDIRECT("'"&amp;$D$36&amp;"'!kostenbespaard_2033"),0)
+IFERROR(INDIRECT("'"&amp;$D$37&amp;"'!kostenbespaard_2033"),0)
+IFERROR(INDIRECT("'"&amp;$D$38&amp;"'!kostenbespaard_2033"),0)
+IFERROR(INDIRECT("'"&amp;$D$39&amp;"'!kostenbespaard_2033"),0)
+IFERROR(INDIRECT("'"&amp;$D$40&amp;"'!kostenbespaard_2033"),0)
+IFERROR(INDIRECT("'"&amp;$D$41&amp;"'!kostenbespaard_2033"),0)
+IFERROR(INDIRECT("'"&amp;$D$42&amp;"'!kostenbespaard_2033"),0)
+IFERROR(INDIRECT("'"&amp;$D$43&amp;"'!kostenbespaard_2033"),0)
+IFERROR(INDIRECT("'"&amp;$D$44&amp;"'!kostenbespaard_2033"),0)
+IFERROR(INDIRECT("'"&amp;$D$45&amp;"'!kostenbespaard_2033"),0)
+IFERROR(INDIRECT("'"&amp;$D$46&amp;"'!kostenbespaard_2033"),0)
+IFERROR(INDIRECT("'"&amp;$D$47&amp;"'!kostenbespaard_2033"),0)
+IFERROR(INDIRECT("'"&amp;$D$48&amp;"'!kostenbespaard_2033"),0)
+IFERROR(INDIRECT("'"&amp;$D$49&amp;"'!kostenbespaard_2033"),0)
+IFERROR(INDIRECT("'"&amp;$D$50&amp;"'!kostenbespaard_2033"),0)
+IFERROR(INDIRECT("'"&amp;$D$51&amp;"'!kostenbespaard_2033"),0)
+IFERROR(INDIRECT("'"&amp;$D$52&amp;"'!kostenbespaard_2033"),0)
+IFERROR(INDIRECT("'"&amp;$D$53&amp;"'!kostenbespaard_2033"),0)
+IFERROR(INDIRECT("'"&amp;$D$54&amp;"'!kostenbespaard_2033"),0)</f>
        <v>127913.42936385769</v>
      </c>
      <c r="X50" s="385">
        <f ca="1">+IFERROR(INDIRECT("'"&amp;$D$5&amp;"'!kostenbespaard_2034"),0)
+IFERROR(INDIRECT("'"&amp;$D$6&amp;"'!kostenbespaard_2034"),0)
+IFERROR(INDIRECT("'"&amp;$D$7&amp;"'!kostenbespaard_2034"),0)
+IFERROR(INDIRECT("'"&amp;$D$8&amp;"'!kostenbespaard_2034"),0)
+IFERROR(INDIRECT("'"&amp;$D$9&amp;"'!kostenbespaard_2034"),0)
+IFERROR(INDIRECT("'"&amp;$D$10&amp;"'!kostenbespaard_2034"),0)
+IFERROR(INDIRECT("'"&amp;$D$11&amp;"'!kostenbespaard_2034"),0)
+IFERROR(INDIRECT("'"&amp;$D$12&amp;"'!kostenbespaard_2034"),0)
+IFERROR(INDIRECT("'"&amp;$D$13&amp;"'!kostenbespaard_2034"),0)
+IFERROR(INDIRECT("'"&amp;$D$14&amp;"'!kostenbespaard_2034"),0)
+IFERROR(INDIRECT("'"&amp;$D$15&amp;"'!kostenbespaard_2034"),0)
+IFERROR(INDIRECT("'"&amp;$D$16&amp;"'!kostenbespaard_2034"),0)
+IFERROR(INDIRECT("'"&amp;$D$17&amp;"'!kostenbespaard_2034"),0)
+IFERROR(INDIRECT("'"&amp;$D$18&amp;"'!kostenbespaard_2034"),0)
+IFERROR(INDIRECT("'"&amp;$D$19&amp;"'!kostenbespaard_2034"),0)
+IFERROR(INDIRECT("'"&amp;$D$20&amp;"'!kostenbespaard_2034"),0)
+IFERROR(INDIRECT("'"&amp;$D$21&amp;"'!kostenbespaard_2034"),0)
+IFERROR(INDIRECT("'"&amp;$D$22&amp;"'!kostenbespaard_2034"),0)
+IFERROR(INDIRECT("'"&amp;$D$23&amp;"'!kostenbespaard_2034"),0)
+IFERROR(INDIRECT("'"&amp;$D$24&amp;"'!kostenbespaard_2034"),0)
+IFERROR(INDIRECT("'"&amp;$D$25&amp;"'!kostenbespaard_2034"),0)
+IFERROR(INDIRECT("'"&amp;$D$26&amp;"'!kostenbespaard_2034"),0)
+IFERROR(INDIRECT("'"&amp;$D$27&amp;"'!kostenbespaard_2034"),0)
+IFERROR(INDIRECT("'"&amp;$D$28&amp;"'!kostenbespaard_2034"),0)
+IFERROR(INDIRECT("'"&amp;$D$29&amp;"'!kostenbespaard_2034"),0)
+IFERROR(INDIRECT("'"&amp;$D$30&amp;"'!kostenbespaard_2034"),0)
+IFERROR(INDIRECT("'"&amp;$D$31&amp;"'!kostenbespaard_2034"),0)
+IFERROR(INDIRECT("'"&amp;$D$32&amp;"'!kostenbespaard_2034"),0)
+IFERROR(INDIRECT("'"&amp;$D$33&amp;"'!kostenbespaard_2034"),0)
+IFERROR(INDIRECT("'"&amp;$D$34&amp;"'!kostenbespaard_2034"),0)
+IFERROR(INDIRECT("'"&amp;$D$35&amp;"'!kostenbespaard_2034"),0)
+IFERROR(INDIRECT("'"&amp;$D$36&amp;"'!kostenbespaard_2034"),0)
+IFERROR(INDIRECT("'"&amp;$D$37&amp;"'!kostenbespaard_2034"),0)
+IFERROR(INDIRECT("'"&amp;$D$38&amp;"'!kostenbespaard_2034"),0)
+IFERROR(INDIRECT("'"&amp;$D$39&amp;"'!kostenbespaard_2034"),0)
+IFERROR(INDIRECT("'"&amp;$D$40&amp;"'!kostenbespaard_2034"),0)
+IFERROR(INDIRECT("'"&amp;$D$41&amp;"'!kostenbespaard_2034"),0)
+IFERROR(INDIRECT("'"&amp;$D$42&amp;"'!kostenbespaard_2034"),0)
+IFERROR(INDIRECT("'"&amp;$D$43&amp;"'!kostenbespaard_2034"),0)
+IFERROR(INDIRECT("'"&amp;$D$44&amp;"'!kostenbespaard_2034"),0)
+IFERROR(INDIRECT("'"&amp;$D$45&amp;"'!kostenbespaard_2034"),0)
+IFERROR(INDIRECT("'"&amp;$D$46&amp;"'!kostenbespaard_2034"),0)
+IFERROR(INDIRECT("'"&amp;$D$47&amp;"'!kostenbespaard_2034"),0)
+IFERROR(INDIRECT("'"&amp;$D$48&amp;"'!kostenbespaard_2034"),0)
+IFERROR(INDIRECT("'"&amp;$D$49&amp;"'!kostenbespaard_2034"),0)
+IFERROR(INDIRECT("'"&amp;$D$50&amp;"'!kostenbespaard_2034"),0)
+IFERROR(INDIRECT("'"&amp;$D$51&amp;"'!kostenbespaard_2034"),0)
+IFERROR(INDIRECT("'"&amp;$D$52&amp;"'!kostenbespaard_2034"),0)
+IFERROR(INDIRECT("'"&amp;$D$53&amp;"'!kostenbespaard_2034"),0)
+IFERROR(INDIRECT("'"&amp;$D$54&amp;"'!kostenbespaard_2034"),0)</f>
        <v>127913.42936385769</v>
      </c>
      <c r="Y50" s="385">
        <f ca="1">+IFERROR(INDIRECT("'"&amp;$D$5&amp;"'!kostenbespaard_2035"),0)
+IFERROR(INDIRECT("'"&amp;$D$6&amp;"'!kostenbespaard_2035"),0)
+IFERROR(INDIRECT("'"&amp;$D$7&amp;"'!kostenbespaard_2035"),0)
+IFERROR(INDIRECT("'"&amp;$D$8&amp;"'!kostenbespaard_2035"),0)
+IFERROR(INDIRECT("'"&amp;$D$9&amp;"'!kostenbespaard_2035"),0)
+IFERROR(INDIRECT("'"&amp;$D$10&amp;"'!kostenbespaard_2035"),0)
+IFERROR(INDIRECT("'"&amp;$D$11&amp;"'!kostenbespaard_2035"),0)
+IFERROR(INDIRECT("'"&amp;$D$12&amp;"'!kostenbespaard_2035"),0)
+IFERROR(INDIRECT("'"&amp;$D$13&amp;"'!kostenbespaard_2035"),0)
+IFERROR(INDIRECT("'"&amp;$D$14&amp;"'!kostenbespaard_2035"),0)
+IFERROR(INDIRECT("'"&amp;$D$15&amp;"'!kostenbespaard_2035"),0)
+IFERROR(INDIRECT("'"&amp;$D$16&amp;"'!kostenbespaard_2035"),0)
+IFERROR(INDIRECT("'"&amp;$D$17&amp;"'!kostenbespaard_2035"),0)
+IFERROR(INDIRECT("'"&amp;$D$18&amp;"'!kostenbespaard_2035"),0)
+IFERROR(INDIRECT("'"&amp;$D$19&amp;"'!kostenbespaard_2035"),0)
+IFERROR(INDIRECT("'"&amp;$D$20&amp;"'!kostenbespaard_2035"),0)
+IFERROR(INDIRECT("'"&amp;$D$21&amp;"'!kostenbespaard_2035"),0)
+IFERROR(INDIRECT("'"&amp;$D$22&amp;"'!kostenbespaard_2035"),0)
+IFERROR(INDIRECT("'"&amp;$D$23&amp;"'!kostenbespaard_2035"),0)
+IFERROR(INDIRECT("'"&amp;$D$24&amp;"'!kostenbespaard_2035"),0)
+IFERROR(INDIRECT("'"&amp;$D$25&amp;"'!kostenbespaard_2035"),0)
+IFERROR(INDIRECT("'"&amp;$D$26&amp;"'!kostenbespaard_2035"),0)
+IFERROR(INDIRECT("'"&amp;$D$27&amp;"'!kostenbespaard_2035"),0)
+IFERROR(INDIRECT("'"&amp;$D$28&amp;"'!kostenbespaard_2035"),0)
+IFERROR(INDIRECT("'"&amp;$D$29&amp;"'!kostenbespaard_2035"),0)
+IFERROR(INDIRECT("'"&amp;$D$30&amp;"'!kostenbespaard_2035"),0)
+IFERROR(INDIRECT("'"&amp;$D$31&amp;"'!kostenbespaard_2035"),0)
+IFERROR(INDIRECT("'"&amp;$D$32&amp;"'!kostenbespaard_2035"),0)
+IFERROR(INDIRECT("'"&amp;$D$33&amp;"'!kostenbespaard_2035"),0)
+IFERROR(INDIRECT("'"&amp;$D$34&amp;"'!kostenbespaard_2035"),0)
+IFERROR(INDIRECT("'"&amp;$D$35&amp;"'!kostenbespaard_2035"),0)
+IFERROR(INDIRECT("'"&amp;$D$36&amp;"'!kostenbespaard_2035"),0)
+IFERROR(INDIRECT("'"&amp;$D$37&amp;"'!kostenbespaard_2035"),0)
+IFERROR(INDIRECT("'"&amp;$D$38&amp;"'!kostenbespaard_2035"),0)
+IFERROR(INDIRECT("'"&amp;$D$39&amp;"'!kostenbespaard_2035"),0)
+IFERROR(INDIRECT("'"&amp;$D$40&amp;"'!kostenbespaard_2035"),0)
+IFERROR(INDIRECT("'"&amp;$D$41&amp;"'!kostenbespaard_2035"),0)
+IFERROR(INDIRECT("'"&amp;$D$42&amp;"'!kostenbespaard_2035"),0)
+IFERROR(INDIRECT("'"&amp;$D$43&amp;"'!kostenbespaard_2035"),0)
+IFERROR(INDIRECT("'"&amp;$D$44&amp;"'!kostenbespaard_2035"),0)
+IFERROR(INDIRECT("'"&amp;$D$45&amp;"'!kostenbespaard_2035"),0)
+IFERROR(INDIRECT("'"&amp;$D$46&amp;"'!kostenbespaard_2035"),0)
+IFERROR(INDIRECT("'"&amp;$D$47&amp;"'!kostenbespaard_2035"),0)
+IFERROR(INDIRECT("'"&amp;$D$48&amp;"'!kostenbespaard_2035"),0)
+IFERROR(INDIRECT("'"&amp;$D$49&amp;"'!kostenbespaard_2035"),0)
+IFERROR(INDIRECT("'"&amp;$D$50&amp;"'!kostenbespaard_2035"),0)
+IFERROR(INDIRECT("'"&amp;$D$51&amp;"'!kostenbespaard_2035"),0)
+IFERROR(INDIRECT("'"&amp;$D$52&amp;"'!kostenbespaard_2035"),0)
+IFERROR(INDIRECT("'"&amp;$D$53&amp;"'!kostenbespaard_2035"),0)
+IFERROR(INDIRECT("'"&amp;$D$54&amp;"'!kostenbespaard_2035"),0)</f>
        <v>127913.42936385769</v>
      </c>
      <c r="Z50" s="385">
        <f ca="1">+IFERROR(INDIRECT("'"&amp;$D$5&amp;"'!kostenbespaard_2036"),0)
+IFERROR(INDIRECT("'"&amp;$D$6&amp;"'!kostenbespaard_2036"),0)
+IFERROR(INDIRECT("'"&amp;$D$7&amp;"'!kostenbespaard_2036"),0)
+IFERROR(INDIRECT("'"&amp;$D$8&amp;"'!kostenbespaard_2036"),0)
+IFERROR(INDIRECT("'"&amp;$D$9&amp;"'!kostenbespaard_2036"),0)
+IFERROR(INDIRECT("'"&amp;$D$10&amp;"'!kostenbespaard_2036"),0)
+IFERROR(INDIRECT("'"&amp;$D$11&amp;"'!kostenbespaard_2036"),0)
+IFERROR(INDIRECT("'"&amp;$D$12&amp;"'!kostenbespaard_2036"),0)
+IFERROR(INDIRECT("'"&amp;$D$13&amp;"'!kostenbespaard_2036"),0)
+IFERROR(INDIRECT("'"&amp;$D$14&amp;"'!kostenbespaard_2036"),0)
+IFERROR(INDIRECT("'"&amp;$D$15&amp;"'!kostenbespaard_2036"),0)
+IFERROR(INDIRECT("'"&amp;$D$16&amp;"'!kostenbespaard_2036"),0)
+IFERROR(INDIRECT("'"&amp;$D$17&amp;"'!kostenbespaard_2036"),0)
+IFERROR(INDIRECT("'"&amp;$D$18&amp;"'!kostenbespaard_2036"),0)
+IFERROR(INDIRECT("'"&amp;$D$19&amp;"'!kostenbespaard_2036"),0)
+IFERROR(INDIRECT("'"&amp;$D$20&amp;"'!kostenbespaard_2036"),0)
+IFERROR(INDIRECT("'"&amp;$D$21&amp;"'!kostenbespaard_2036"),0)
+IFERROR(INDIRECT("'"&amp;$D$22&amp;"'!kostenbespaard_2036"),0)
+IFERROR(INDIRECT("'"&amp;$D$23&amp;"'!kostenbespaard_2036"),0)
+IFERROR(INDIRECT("'"&amp;$D$24&amp;"'!kostenbespaard_2036"),0)
+IFERROR(INDIRECT("'"&amp;$D$25&amp;"'!kostenbespaard_2036"),0)
+IFERROR(INDIRECT("'"&amp;$D$26&amp;"'!kostenbespaard_2036"),0)
+IFERROR(INDIRECT("'"&amp;$D$27&amp;"'!kostenbespaard_2036"),0)
+IFERROR(INDIRECT("'"&amp;$D$28&amp;"'!kostenbespaard_2036"),0)
+IFERROR(INDIRECT("'"&amp;$D$29&amp;"'!kostenbespaard_2036"),0)
+IFERROR(INDIRECT("'"&amp;$D$30&amp;"'!kostenbespaard_2036"),0)
+IFERROR(INDIRECT("'"&amp;$D$31&amp;"'!kostenbespaard_2036"),0)
+IFERROR(INDIRECT("'"&amp;$D$32&amp;"'!kostenbespaard_2036"),0)
+IFERROR(INDIRECT("'"&amp;$D$33&amp;"'!kostenbespaard_2036"),0)
+IFERROR(INDIRECT("'"&amp;$D$34&amp;"'!kostenbespaard_2036"),0)
+IFERROR(INDIRECT("'"&amp;$D$35&amp;"'!kostenbespaard_2036"),0)
+IFERROR(INDIRECT("'"&amp;$D$36&amp;"'!kostenbespaard_2036"),0)
+IFERROR(INDIRECT("'"&amp;$D$37&amp;"'!kostenbespaard_2036"),0)
+IFERROR(INDIRECT("'"&amp;$D$38&amp;"'!kostenbespaard_2036"),0)
+IFERROR(INDIRECT("'"&amp;$D$39&amp;"'!kostenbespaard_2036"),0)
+IFERROR(INDIRECT("'"&amp;$D$40&amp;"'!kostenbespaard_2036"),0)
+IFERROR(INDIRECT("'"&amp;$D$41&amp;"'!kostenbespaard_2036"),0)
+IFERROR(INDIRECT("'"&amp;$D$42&amp;"'!kostenbespaard_2036"),0)
+IFERROR(INDIRECT("'"&amp;$D$43&amp;"'!kostenbespaard_2036"),0)
+IFERROR(INDIRECT("'"&amp;$D$44&amp;"'!kostenbespaard_2036"),0)
+IFERROR(INDIRECT("'"&amp;$D$45&amp;"'!kostenbespaard_2036"),0)
+IFERROR(INDIRECT("'"&amp;$D$46&amp;"'!kostenbespaard_2036"),0)
+IFERROR(INDIRECT("'"&amp;$D$47&amp;"'!kostenbespaard_2036"),0)
+IFERROR(INDIRECT("'"&amp;$D$48&amp;"'!kostenbespaard_2036"),0)
+IFERROR(INDIRECT("'"&amp;$D$49&amp;"'!kostenbespaard_2036"),0)
+IFERROR(INDIRECT("'"&amp;$D$50&amp;"'!kostenbespaard_2036"),0)
+IFERROR(INDIRECT("'"&amp;$D$51&amp;"'!kostenbespaard_2036"),0)
+IFERROR(INDIRECT("'"&amp;$D$52&amp;"'!kostenbespaard_2036"),0)
+IFERROR(INDIRECT("'"&amp;$D$53&amp;"'!kostenbespaard_2036"),0)
+IFERROR(INDIRECT("'"&amp;$D$54&amp;"'!kostenbespaard_2036"),0)</f>
        <v>135655.75263182097</v>
      </c>
      <c r="AA50" s="385">
        <f ca="1">+IFERROR(INDIRECT("'"&amp;$D$5&amp;"'!kostenbespaard_2037"),0)
+IFERROR(INDIRECT("'"&amp;$D$6&amp;"'!kostenbespaard_2037"),0)
+IFERROR(INDIRECT("'"&amp;$D$7&amp;"'!kostenbespaard_2037"),0)
+IFERROR(INDIRECT("'"&amp;$D$8&amp;"'!kostenbespaard_2037"),0)
+IFERROR(INDIRECT("'"&amp;$D$9&amp;"'!kostenbespaard_2037"),0)
+IFERROR(INDIRECT("'"&amp;$D$10&amp;"'!kostenbespaard_2037"),0)
+IFERROR(INDIRECT("'"&amp;$D$11&amp;"'!kostenbespaard_2037"),0)
+IFERROR(INDIRECT("'"&amp;$D$12&amp;"'!kostenbespaard_2037"),0)
+IFERROR(INDIRECT("'"&amp;$D$13&amp;"'!kostenbespaard_2037"),0)
+IFERROR(INDIRECT("'"&amp;$D$14&amp;"'!kostenbespaard_2037"),0)
+IFERROR(INDIRECT("'"&amp;$D$15&amp;"'!kostenbespaard_2037"),0)
+IFERROR(INDIRECT("'"&amp;$D$16&amp;"'!kostenbespaard_2037"),0)
+IFERROR(INDIRECT("'"&amp;$D$17&amp;"'!kostenbespaard_2037"),0)
+IFERROR(INDIRECT("'"&amp;$D$18&amp;"'!kostenbespaard_2037"),0)
+IFERROR(INDIRECT("'"&amp;$D$19&amp;"'!kostenbespaard_2037"),0)
+IFERROR(INDIRECT("'"&amp;$D$20&amp;"'!kostenbespaard_2037"),0)
+IFERROR(INDIRECT("'"&amp;$D$21&amp;"'!kostenbespaard_2037"),0)
+IFERROR(INDIRECT("'"&amp;$D$22&amp;"'!kostenbespaard_2037"),0)
+IFERROR(INDIRECT("'"&amp;$D$23&amp;"'!kostenbespaard_2037"),0)
+IFERROR(INDIRECT("'"&amp;$D$24&amp;"'!kostenbespaard_2037"),0)
+IFERROR(INDIRECT("'"&amp;$D$25&amp;"'!kostenbespaard_2037"),0)
+IFERROR(INDIRECT("'"&amp;$D$26&amp;"'!kostenbespaard_2037"),0)
+IFERROR(INDIRECT("'"&amp;$D$27&amp;"'!kostenbespaard_2037"),0)
+IFERROR(INDIRECT("'"&amp;$D$28&amp;"'!kostenbespaard_2037"),0)
+IFERROR(INDIRECT("'"&amp;$D$29&amp;"'!kostenbespaard_2037"),0)
+IFERROR(INDIRECT("'"&amp;$D$30&amp;"'!kostenbespaard_2037"),0)
+IFERROR(INDIRECT("'"&amp;$D$31&amp;"'!kostenbespaard_2037"),0)
+IFERROR(INDIRECT("'"&amp;$D$32&amp;"'!kostenbespaard_2037"),0)
+IFERROR(INDIRECT("'"&amp;$D$33&amp;"'!kostenbespaard_2037"),0)
+IFERROR(INDIRECT("'"&amp;$D$34&amp;"'!kostenbespaard_2037"),0)
+IFERROR(INDIRECT("'"&amp;$D$35&amp;"'!kostenbespaard_2037"),0)
+IFERROR(INDIRECT("'"&amp;$D$36&amp;"'!kostenbespaard_2037"),0)
+IFERROR(INDIRECT("'"&amp;$D$37&amp;"'!kostenbespaard_2037"),0)
+IFERROR(INDIRECT("'"&amp;$D$38&amp;"'!kostenbespaard_2037"),0)
+IFERROR(INDIRECT("'"&amp;$D$39&amp;"'!kostenbespaard_2037"),0)
+IFERROR(INDIRECT("'"&amp;$D$40&amp;"'!kostenbespaard_2037"),0)
+IFERROR(INDIRECT("'"&amp;$D$41&amp;"'!kostenbespaard_2037"),0)
+IFERROR(INDIRECT("'"&amp;$D$42&amp;"'!kostenbespaard_2037"),0)
+IFERROR(INDIRECT("'"&amp;$D$43&amp;"'!kostenbespaard_2037"),0)
+IFERROR(INDIRECT("'"&amp;$D$44&amp;"'!kostenbespaard_2037"),0)
+IFERROR(INDIRECT("'"&amp;$D$45&amp;"'!kostenbespaard_2037"),0)
+IFERROR(INDIRECT("'"&amp;$D$46&amp;"'!kostenbespaard_2037"),0)
+IFERROR(INDIRECT("'"&amp;$D$47&amp;"'!kostenbespaard_2037"),0)
+IFERROR(INDIRECT("'"&amp;$D$48&amp;"'!kostenbespaard_2037"),0)
+IFERROR(INDIRECT("'"&amp;$D$49&amp;"'!kostenbespaard_2037"),0)
+IFERROR(INDIRECT("'"&amp;$D$50&amp;"'!kostenbespaard_2037"),0)
+IFERROR(INDIRECT("'"&amp;$D$51&amp;"'!kostenbespaard_2037"),0)
+IFERROR(INDIRECT("'"&amp;$D$52&amp;"'!kostenbespaard_2037"),0)
+IFERROR(INDIRECT("'"&amp;$D$53&amp;"'!kostenbespaard_2037"),0)
+IFERROR(INDIRECT("'"&amp;$D$54&amp;"'!kostenbespaard_2037"),0)</f>
        <v>135655.75263182097</v>
      </c>
      <c r="AB50" s="385">
        <f ca="1">+IFERROR(INDIRECT("'"&amp;$D$5&amp;"'!kostenbespaard_2038"),0)
+IFERROR(INDIRECT("'"&amp;$D$6&amp;"'!kostenbespaard_2038"),0)
+IFERROR(INDIRECT("'"&amp;$D$7&amp;"'!kostenbespaard_2038"),0)
+IFERROR(INDIRECT("'"&amp;$D$8&amp;"'!kostenbespaard_2038"),0)
+IFERROR(INDIRECT("'"&amp;$D$9&amp;"'!kostenbespaard_2038"),0)
+IFERROR(INDIRECT("'"&amp;$D$10&amp;"'!kostenbespaard_2038"),0)
+IFERROR(INDIRECT("'"&amp;$D$11&amp;"'!kostenbespaard_2038"),0)
+IFERROR(INDIRECT("'"&amp;$D$12&amp;"'!kostenbespaard_2038"),0)
+IFERROR(INDIRECT("'"&amp;$D$13&amp;"'!kostenbespaard_2038"),0)
+IFERROR(INDIRECT("'"&amp;$D$14&amp;"'!kostenbespaard_2038"),0)
+IFERROR(INDIRECT("'"&amp;$D$15&amp;"'!kostenbespaard_2038"),0)
+IFERROR(INDIRECT("'"&amp;$D$16&amp;"'!kostenbespaard_2038"),0)
+IFERROR(INDIRECT("'"&amp;$D$17&amp;"'!kostenbespaard_2038"),0)
+IFERROR(INDIRECT("'"&amp;$D$18&amp;"'!kostenbespaard_2038"),0)
+IFERROR(INDIRECT("'"&amp;$D$19&amp;"'!kostenbespaard_2038"),0)
+IFERROR(INDIRECT("'"&amp;$D$20&amp;"'!kostenbespaard_2038"),0)
+IFERROR(INDIRECT("'"&amp;$D$21&amp;"'!kostenbespaard_2038"),0)
+IFERROR(INDIRECT("'"&amp;$D$22&amp;"'!kostenbespaard_2038"),0)
+IFERROR(INDIRECT("'"&amp;$D$23&amp;"'!kostenbespaard_2038"),0)
+IFERROR(INDIRECT("'"&amp;$D$24&amp;"'!kostenbespaard_2038"),0)
+IFERROR(INDIRECT("'"&amp;$D$25&amp;"'!kostenbespaard_2038"),0)
+IFERROR(INDIRECT("'"&amp;$D$26&amp;"'!kostenbespaard_2038"),0)
+IFERROR(INDIRECT("'"&amp;$D$27&amp;"'!kostenbespaard_2038"),0)
+IFERROR(INDIRECT("'"&amp;$D$28&amp;"'!kostenbespaard_2038"),0)
+IFERROR(INDIRECT("'"&amp;$D$29&amp;"'!kostenbespaard_2038"),0)
+IFERROR(INDIRECT("'"&amp;$D$30&amp;"'!kostenbespaard_2038"),0)
+IFERROR(INDIRECT("'"&amp;$D$31&amp;"'!kostenbespaard_2038"),0)
+IFERROR(INDIRECT("'"&amp;$D$32&amp;"'!kostenbespaard_2038"),0)
+IFERROR(INDIRECT("'"&amp;$D$33&amp;"'!kostenbespaard_2038"),0)
+IFERROR(INDIRECT("'"&amp;$D$34&amp;"'!kostenbespaard_2038"),0)
+IFERROR(INDIRECT("'"&amp;$D$35&amp;"'!kostenbespaard_2038"),0)
+IFERROR(INDIRECT("'"&amp;$D$36&amp;"'!kostenbespaard_2038"),0)
+IFERROR(INDIRECT("'"&amp;$D$37&amp;"'!kostenbespaard_2038"),0)
+IFERROR(INDIRECT("'"&amp;$D$38&amp;"'!kostenbespaard_2038"),0)
+IFERROR(INDIRECT("'"&amp;$D$39&amp;"'!kostenbespaard_2038"),0)
+IFERROR(INDIRECT("'"&amp;$D$40&amp;"'!kostenbespaard_2038"),0)
+IFERROR(INDIRECT("'"&amp;$D$41&amp;"'!kostenbespaard_2038"),0)
+IFERROR(INDIRECT("'"&amp;$D$42&amp;"'!kostenbespaard_2038"),0)
+IFERROR(INDIRECT("'"&amp;$D$43&amp;"'!kostenbespaard_2038"),0)
+IFERROR(INDIRECT("'"&amp;$D$44&amp;"'!kostenbespaard_2038"),0)
+IFERROR(INDIRECT("'"&amp;$D$45&amp;"'!kostenbespaard_2038"),0)
+IFERROR(INDIRECT("'"&amp;$D$46&amp;"'!kostenbespaard_2038"),0)
+IFERROR(INDIRECT("'"&amp;$D$47&amp;"'!kostenbespaard_2038"),0)
+IFERROR(INDIRECT("'"&amp;$D$48&amp;"'!kostenbespaard_2038"),0)
+IFERROR(INDIRECT("'"&amp;$D$49&amp;"'!kostenbespaard_2038"),0)
+IFERROR(INDIRECT("'"&amp;$D$50&amp;"'!kostenbespaard_2038"),0)
+IFERROR(INDIRECT("'"&amp;$D$51&amp;"'!kostenbespaard_2038"),0)
+IFERROR(INDIRECT("'"&amp;$D$52&amp;"'!kostenbespaard_2038"),0)
+IFERROR(INDIRECT("'"&amp;$D$53&amp;"'!kostenbespaard_2038"),0)
+IFERROR(INDIRECT("'"&amp;$D$54&amp;"'!kostenbespaard_2038"),0)</f>
        <v>135655.75263182097</v>
      </c>
      <c r="AC50" s="385">
        <f ca="1">+IFERROR(INDIRECT("'"&amp;$D$5&amp;"'!kostenbespaard_2039"),0)
+IFERROR(INDIRECT("'"&amp;$D$6&amp;"'!kostenbespaard_2039"),0)
+IFERROR(INDIRECT("'"&amp;$D$7&amp;"'!kostenbespaard_2039"),0)
+IFERROR(INDIRECT("'"&amp;$D$8&amp;"'!kostenbespaard_2039"),0)
+IFERROR(INDIRECT("'"&amp;$D$9&amp;"'!kostenbespaard_2039"),0)
+IFERROR(INDIRECT("'"&amp;$D$10&amp;"'!kostenbespaard_2039"),0)
+IFERROR(INDIRECT("'"&amp;$D$11&amp;"'!kostenbespaard_2039"),0)
+IFERROR(INDIRECT("'"&amp;$D$12&amp;"'!kostenbespaard_2039"),0)
+IFERROR(INDIRECT("'"&amp;$D$13&amp;"'!kostenbespaard_2039"),0)
+IFERROR(INDIRECT("'"&amp;$D$14&amp;"'!kostenbespaard_2039"),0)
+IFERROR(INDIRECT("'"&amp;$D$15&amp;"'!kostenbespaard_2039"),0)
+IFERROR(INDIRECT("'"&amp;$D$16&amp;"'!kostenbespaard_2039"),0)
+IFERROR(INDIRECT("'"&amp;$D$17&amp;"'!kostenbespaard_2039"),0)
+IFERROR(INDIRECT("'"&amp;$D$18&amp;"'!kostenbespaard_2039"),0)
+IFERROR(INDIRECT("'"&amp;$D$19&amp;"'!kostenbespaard_2039"),0)
+IFERROR(INDIRECT("'"&amp;$D$20&amp;"'!kostenbespaard_2039"),0)
+IFERROR(INDIRECT("'"&amp;$D$21&amp;"'!kostenbespaard_2039"),0)
+IFERROR(INDIRECT("'"&amp;$D$22&amp;"'!kostenbespaard_2039"),0)
+IFERROR(INDIRECT("'"&amp;$D$23&amp;"'!kostenbespaard_2039"),0)
+IFERROR(INDIRECT("'"&amp;$D$24&amp;"'!kostenbespaard_2039"),0)
+IFERROR(INDIRECT("'"&amp;$D$25&amp;"'!kostenbespaard_2039"),0)
+IFERROR(INDIRECT("'"&amp;$D$26&amp;"'!kostenbespaard_2039"),0)
+IFERROR(INDIRECT("'"&amp;$D$27&amp;"'!kostenbespaard_2039"),0)
+IFERROR(INDIRECT("'"&amp;$D$28&amp;"'!kostenbespaard_2039"),0)
+IFERROR(INDIRECT("'"&amp;$D$29&amp;"'!kostenbespaard_2039"),0)
+IFERROR(INDIRECT("'"&amp;$D$30&amp;"'!kostenbespaard_2039"),0)
+IFERROR(INDIRECT("'"&amp;$D$31&amp;"'!kostenbespaard_2039"),0)
+IFERROR(INDIRECT("'"&amp;$D$32&amp;"'!kostenbespaard_2039"),0)
+IFERROR(INDIRECT("'"&amp;$D$33&amp;"'!kostenbespaard_2039"),0)
+IFERROR(INDIRECT("'"&amp;$D$34&amp;"'!kostenbespaard_2039"),0)
+IFERROR(INDIRECT("'"&amp;$D$35&amp;"'!kostenbespaard_2039"),0)
+IFERROR(INDIRECT("'"&amp;$D$36&amp;"'!kostenbespaard_2039"),0)
+IFERROR(INDIRECT("'"&amp;$D$37&amp;"'!kostenbespaard_2039"),0)
+IFERROR(INDIRECT("'"&amp;$D$38&amp;"'!kostenbespaard_2039"),0)
+IFERROR(INDIRECT("'"&amp;$D$39&amp;"'!kostenbespaard_2039"),0)
+IFERROR(INDIRECT("'"&amp;$D$40&amp;"'!kostenbespaard_2039"),0)
+IFERROR(INDIRECT("'"&amp;$D$41&amp;"'!kostenbespaard_2039"),0)
+IFERROR(INDIRECT("'"&amp;$D$42&amp;"'!kostenbespaard_2039"),0)
+IFERROR(INDIRECT("'"&amp;$D$43&amp;"'!kostenbespaard_2039"),0)
+IFERROR(INDIRECT("'"&amp;$D$44&amp;"'!kostenbespaard_2039"),0)
+IFERROR(INDIRECT("'"&amp;$D$45&amp;"'!kostenbespaard_2039"),0)
+IFERROR(INDIRECT("'"&amp;$D$46&amp;"'!kostenbespaard_2039"),0)
+IFERROR(INDIRECT("'"&amp;$D$47&amp;"'!kostenbespaard_2039"),0)
+IFERROR(INDIRECT("'"&amp;$D$48&amp;"'!kostenbespaard_2039"),0)
+IFERROR(INDIRECT("'"&amp;$D$49&amp;"'!kostenbespaard_2039"),0)
+IFERROR(INDIRECT("'"&amp;$D$50&amp;"'!kostenbespaard_2039"),0)
+IFERROR(INDIRECT("'"&amp;$D$51&amp;"'!kostenbespaard_2039"),0)
+IFERROR(INDIRECT("'"&amp;$D$52&amp;"'!kostenbespaard_2039"),0)
+IFERROR(INDIRECT("'"&amp;$D$53&amp;"'!kostenbespaard_2039"),0)
+IFERROR(INDIRECT("'"&amp;$D$54&amp;"'!kostenbespaard_2039"),0)</f>
        <v>135655.75263182097</v>
      </c>
      <c r="AD50" s="385">
        <f ca="1">+IFERROR(INDIRECT("'"&amp;$D$5&amp;"'!kostenbespaard_2040"),0)
+IFERROR(INDIRECT("'"&amp;$D$6&amp;"'!kostenbespaard_2040"),0)
+IFERROR(INDIRECT("'"&amp;$D$7&amp;"'!kostenbespaard_2040"),0)
+IFERROR(INDIRECT("'"&amp;$D$8&amp;"'!kostenbespaard_2040"),0)
+IFERROR(INDIRECT("'"&amp;$D$9&amp;"'!kostenbespaard_2040"),0)
+IFERROR(INDIRECT("'"&amp;$D$10&amp;"'!kostenbespaard_2040"),0)
+IFERROR(INDIRECT("'"&amp;$D$11&amp;"'!kostenbespaard_2040"),0)
+IFERROR(INDIRECT("'"&amp;$D$12&amp;"'!kostenbespaard_2040"),0)
+IFERROR(INDIRECT("'"&amp;$D$13&amp;"'!kostenbespaard_2040"),0)
+IFERROR(INDIRECT("'"&amp;$D$14&amp;"'!kostenbespaard_2040"),0)
+IFERROR(INDIRECT("'"&amp;$D$15&amp;"'!kostenbespaard_2040"),0)
+IFERROR(INDIRECT("'"&amp;$D$16&amp;"'!kostenbespaard_2040"),0)
+IFERROR(INDIRECT("'"&amp;$D$17&amp;"'!kostenbespaard_2040"),0)
+IFERROR(INDIRECT("'"&amp;$D$18&amp;"'!kostenbespaard_2040"),0)
+IFERROR(INDIRECT("'"&amp;$D$19&amp;"'!kostenbespaard_2040"),0)
+IFERROR(INDIRECT("'"&amp;$D$20&amp;"'!kostenbespaard_2040"),0)
+IFERROR(INDIRECT("'"&amp;$D$21&amp;"'!kostenbespaard_2040"),0)
+IFERROR(INDIRECT("'"&amp;$D$22&amp;"'!kostenbespaard_2040"),0)
+IFERROR(INDIRECT("'"&amp;$D$23&amp;"'!kostenbespaard_2040"),0)
+IFERROR(INDIRECT("'"&amp;$D$24&amp;"'!kostenbespaard_2040"),0)
+IFERROR(INDIRECT("'"&amp;$D$25&amp;"'!kostenbespaard_2040"),0)
+IFERROR(INDIRECT("'"&amp;$D$26&amp;"'!kostenbespaard_2040"),0)
+IFERROR(INDIRECT("'"&amp;$D$27&amp;"'!kostenbespaard_2040"),0)
+IFERROR(INDIRECT("'"&amp;$D$28&amp;"'!kostenbespaard_2040"),0)
+IFERROR(INDIRECT("'"&amp;$D$29&amp;"'!kostenbespaard_2040"),0)
+IFERROR(INDIRECT("'"&amp;$D$30&amp;"'!kostenbespaard_2040"),0)
+IFERROR(INDIRECT("'"&amp;$D$31&amp;"'!kostenbespaard_2040"),0)
+IFERROR(INDIRECT("'"&amp;$D$32&amp;"'!kostenbespaard_2040"),0)
+IFERROR(INDIRECT("'"&amp;$D$33&amp;"'!kostenbespaard_2040"),0)
+IFERROR(INDIRECT("'"&amp;$D$34&amp;"'!kostenbespaard_2040"),0)
+IFERROR(INDIRECT("'"&amp;$D$35&amp;"'!kostenbespaard_2040"),0)
+IFERROR(INDIRECT("'"&amp;$D$36&amp;"'!kostenbespaard_2040"),0)
+IFERROR(INDIRECT("'"&amp;$D$37&amp;"'!kostenbespaard_2040"),0)
+IFERROR(INDIRECT("'"&amp;$D$38&amp;"'!kostenbespaard_2040"),0)
+IFERROR(INDIRECT("'"&amp;$D$39&amp;"'!kostenbespaard_2040"),0)
+IFERROR(INDIRECT("'"&amp;$D$40&amp;"'!kostenbespaard_2040"),0)
+IFERROR(INDIRECT("'"&amp;$D$41&amp;"'!kostenbespaard_2040"),0)
+IFERROR(INDIRECT("'"&amp;$D$42&amp;"'!kostenbespaard_2040"),0)
+IFERROR(INDIRECT("'"&amp;$D$43&amp;"'!kostenbespaard_2040"),0)
+IFERROR(INDIRECT("'"&amp;$D$44&amp;"'!kostenbespaard_2040"),0)
+IFERROR(INDIRECT("'"&amp;$D$45&amp;"'!kostenbespaard_2040"),0)
+IFERROR(INDIRECT("'"&amp;$D$46&amp;"'!kostenbespaard_2040"),0)
+IFERROR(INDIRECT("'"&amp;$D$47&amp;"'!kostenbespaard_2040"),0)
+IFERROR(INDIRECT("'"&amp;$D$48&amp;"'!kostenbespaard_2040"),0)
+IFERROR(INDIRECT("'"&amp;$D$49&amp;"'!kostenbespaard_2040"),0)
+IFERROR(INDIRECT("'"&amp;$D$50&amp;"'!kostenbespaard_2040"),0)
+IFERROR(INDIRECT("'"&amp;$D$51&amp;"'!kostenbespaard_2040"),0)
+IFERROR(INDIRECT("'"&amp;$D$52&amp;"'!kostenbespaard_2040"),0)
+IFERROR(INDIRECT("'"&amp;$D$53&amp;"'!kostenbespaard_2040"),0)
+IFERROR(INDIRECT("'"&amp;$D$54&amp;"'!kostenbespaard_2040"),0)</f>
        <v>98935.724017420958</v>
      </c>
      <c r="AE50" s="385">
        <f ca="1">+IFERROR(INDIRECT("'"&amp;$D$5&amp;"'!kostenbespaard_2041"),0)
+IFERROR(INDIRECT("'"&amp;$D$6&amp;"'!kostenbespaard_2041"),0)
+IFERROR(INDIRECT("'"&amp;$D$7&amp;"'!kostenbespaard_2041"),0)
+IFERROR(INDIRECT("'"&amp;$D$8&amp;"'!kostenbespaard_2041"),0)
+IFERROR(INDIRECT("'"&amp;$D$9&amp;"'!kostenbespaard_2041"),0)
+IFERROR(INDIRECT("'"&amp;$D$10&amp;"'!kostenbespaard_2041"),0)
+IFERROR(INDIRECT("'"&amp;$D$11&amp;"'!kostenbespaard_2041"),0)
+IFERROR(INDIRECT("'"&amp;$D$12&amp;"'!kostenbespaard_2041"),0)
+IFERROR(INDIRECT("'"&amp;$D$13&amp;"'!kostenbespaard_2041"),0)
+IFERROR(INDIRECT("'"&amp;$D$14&amp;"'!kostenbespaard_2041"),0)
+IFERROR(INDIRECT("'"&amp;$D$15&amp;"'!kostenbespaard_2041"),0)
+IFERROR(INDIRECT("'"&amp;$D$16&amp;"'!kostenbespaard_2041"),0)
+IFERROR(INDIRECT("'"&amp;$D$17&amp;"'!kostenbespaard_2041"),0)
+IFERROR(INDIRECT("'"&amp;$D$18&amp;"'!kostenbespaard_2041"),0)
+IFERROR(INDIRECT("'"&amp;$D$19&amp;"'!kostenbespaard_2041"),0)
+IFERROR(INDIRECT("'"&amp;$D$20&amp;"'!kostenbespaard_2041"),0)
+IFERROR(INDIRECT("'"&amp;$D$21&amp;"'!kostenbespaard_2041"),0)
+IFERROR(INDIRECT("'"&amp;$D$22&amp;"'!kostenbespaard_2041"),0)
+IFERROR(INDIRECT("'"&amp;$D$23&amp;"'!kostenbespaard_2041"),0)
+IFERROR(INDIRECT("'"&amp;$D$24&amp;"'!kostenbespaard_2041"),0)
+IFERROR(INDIRECT("'"&amp;$D$25&amp;"'!kostenbespaard_2041"),0)
+IFERROR(INDIRECT("'"&amp;$D$26&amp;"'!kostenbespaard_2041"),0)
+IFERROR(INDIRECT("'"&amp;$D$27&amp;"'!kostenbespaard_2041"),0)
+IFERROR(INDIRECT("'"&amp;$D$28&amp;"'!kostenbespaard_2041"),0)
+IFERROR(INDIRECT("'"&amp;$D$29&amp;"'!kostenbespaard_2041"),0)
+IFERROR(INDIRECT("'"&amp;$D$30&amp;"'!kostenbespaard_2041"),0)
+IFERROR(INDIRECT("'"&amp;$D$31&amp;"'!kostenbespaard_2041"),0)
+IFERROR(INDIRECT("'"&amp;$D$32&amp;"'!kostenbespaard_2041"),0)
+IFERROR(INDIRECT("'"&amp;$D$33&amp;"'!kostenbespaard_2041"),0)
+IFERROR(INDIRECT("'"&amp;$D$34&amp;"'!kostenbespaard_2041"),0)
+IFERROR(INDIRECT("'"&amp;$D$35&amp;"'!kostenbespaard_2041"),0)
+IFERROR(INDIRECT("'"&amp;$D$36&amp;"'!kostenbespaard_2041"),0)
+IFERROR(INDIRECT("'"&amp;$D$37&amp;"'!kostenbespaard_2041"),0)
+IFERROR(INDIRECT("'"&amp;$D$38&amp;"'!kostenbespaard_2041"),0)
+IFERROR(INDIRECT("'"&amp;$D$39&amp;"'!kostenbespaard_2041"),0)
+IFERROR(INDIRECT("'"&amp;$D$40&amp;"'!kostenbespaard_2041"),0)
+IFERROR(INDIRECT("'"&amp;$D$41&amp;"'!kostenbespaard_2041"),0)
+IFERROR(INDIRECT("'"&amp;$D$42&amp;"'!kostenbespaard_2041"),0)
+IFERROR(INDIRECT("'"&amp;$D$43&amp;"'!kostenbespaard_2041"),0)
+IFERROR(INDIRECT("'"&amp;$D$44&amp;"'!kostenbespaard_2041"),0)
+IFERROR(INDIRECT("'"&amp;$D$45&amp;"'!kostenbespaard_2041"),0)
+IFERROR(INDIRECT("'"&amp;$D$46&amp;"'!kostenbespaard_2041"),0)
+IFERROR(INDIRECT("'"&amp;$D$47&amp;"'!kostenbespaard_2041"),0)
+IFERROR(INDIRECT("'"&amp;$D$48&amp;"'!kostenbespaard_2041"),0)
+IFERROR(INDIRECT("'"&amp;$D$49&amp;"'!kostenbespaard_2041"),0)
+IFERROR(INDIRECT("'"&amp;$D$50&amp;"'!kostenbespaard_2041"),0)
+IFERROR(INDIRECT("'"&amp;$D$51&amp;"'!kostenbespaard_2041"),0)
+IFERROR(INDIRECT("'"&amp;$D$52&amp;"'!kostenbespaard_2041"),0)
+IFERROR(INDIRECT("'"&amp;$D$53&amp;"'!kostenbespaard_2041"),0)
+IFERROR(INDIRECT("'"&amp;$D$54&amp;"'!kostenbespaard_2041"),0)</f>
        <v>98935.724017420958</v>
      </c>
      <c r="AF50" s="385">
        <f ca="1">+IFERROR(INDIRECT("'"&amp;$D$5&amp;"'!kostenbespaard_2042"),0)
+IFERROR(INDIRECT("'"&amp;$D$6&amp;"'!kostenbespaard_2042"),0)
+IFERROR(INDIRECT("'"&amp;$D$7&amp;"'!kostenbespaard_2042"),0)
+IFERROR(INDIRECT("'"&amp;$D$8&amp;"'!kostenbespaard_2042"),0)
+IFERROR(INDIRECT("'"&amp;$D$9&amp;"'!kostenbespaard_2042"),0)
+IFERROR(INDIRECT("'"&amp;$D$10&amp;"'!kostenbespaard_2042"),0)
+IFERROR(INDIRECT("'"&amp;$D$11&amp;"'!kostenbespaard_2042"),0)
+IFERROR(INDIRECT("'"&amp;$D$12&amp;"'!kostenbespaard_2042"),0)
+IFERROR(INDIRECT("'"&amp;$D$13&amp;"'!kostenbespaard_2042"),0)
+IFERROR(INDIRECT("'"&amp;$D$14&amp;"'!kostenbespaard_2042"),0)
+IFERROR(INDIRECT("'"&amp;$D$15&amp;"'!kostenbespaard_2042"),0)
+IFERROR(INDIRECT("'"&amp;$D$16&amp;"'!kostenbespaard_2042"),0)
+IFERROR(INDIRECT("'"&amp;$D$17&amp;"'!kostenbespaard_2042"),0)
+IFERROR(INDIRECT("'"&amp;$D$18&amp;"'!kostenbespaard_2042"),0)
+IFERROR(INDIRECT("'"&amp;$D$19&amp;"'!kostenbespaard_2042"),0)
+IFERROR(INDIRECT("'"&amp;$D$20&amp;"'!kostenbespaard_2042"),0)
+IFERROR(INDIRECT("'"&amp;$D$21&amp;"'!kostenbespaard_2042"),0)
+IFERROR(INDIRECT("'"&amp;$D$22&amp;"'!kostenbespaard_2042"),0)
+IFERROR(INDIRECT("'"&amp;$D$23&amp;"'!kostenbespaard_2042"),0)
+IFERROR(INDIRECT("'"&amp;$D$24&amp;"'!kostenbespaard_2042"),0)
+IFERROR(INDIRECT("'"&amp;$D$25&amp;"'!kostenbespaard_2042"),0)
+IFERROR(INDIRECT("'"&amp;$D$26&amp;"'!kostenbespaard_2042"),0)
+IFERROR(INDIRECT("'"&amp;$D$27&amp;"'!kostenbespaard_2042"),0)
+IFERROR(INDIRECT("'"&amp;$D$28&amp;"'!kostenbespaard_2042"),0)
+IFERROR(INDIRECT("'"&amp;$D$29&amp;"'!kostenbespaard_2042"),0)
+IFERROR(INDIRECT("'"&amp;$D$30&amp;"'!kostenbespaard_2042"),0)
+IFERROR(INDIRECT("'"&amp;$D$31&amp;"'!kostenbespaard_2042"),0)
+IFERROR(INDIRECT("'"&amp;$D$32&amp;"'!kostenbespaard_2042"),0)
+IFERROR(INDIRECT("'"&amp;$D$33&amp;"'!kostenbespaard_2042"),0)
+IFERROR(INDIRECT("'"&amp;$D$34&amp;"'!kostenbespaard_2042"),0)
+IFERROR(INDIRECT("'"&amp;$D$35&amp;"'!kostenbespaard_2042"),0)
+IFERROR(INDIRECT("'"&amp;$D$36&amp;"'!kostenbespaard_2042"),0)
+IFERROR(INDIRECT("'"&amp;$D$37&amp;"'!kostenbespaard_2042"),0)
+IFERROR(INDIRECT("'"&amp;$D$38&amp;"'!kostenbespaard_2042"),0)
+IFERROR(INDIRECT("'"&amp;$D$39&amp;"'!kostenbespaard_2042"),0)
+IFERROR(INDIRECT("'"&amp;$D$40&amp;"'!kostenbespaard_2042"),0)
+IFERROR(INDIRECT("'"&amp;$D$41&amp;"'!kostenbespaard_2042"),0)
+IFERROR(INDIRECT("'"&amp;$D$42&amp;"'!kostenbespaard_2042"),0)
+IFERROR(INDIRECT("'"&amp;$D$43&amp;"'!kostenbespaard_2042"),0)
+IFERROR(INDIRECT("'"&amp;$D$44&amp;"'!kostenbespaard_2042"),0)
+IFERROR(INDIRECT("'"&amp;$D$45&amp;"'!kostenbespaard_2042"),0)
+IFERROR(INDIRECT("'"&amp;$D$46&amp;"'!kostenbespaard_2042"),0)
+IFERROR(INDIRECT("'"&amp;$D$47&amp;"'!kostenbespaard_2042"),0)
+IFERROR(INDIRECT("'"&amp;$D$48&amp;"'!kostenbespaard_2042"),0)
+IFERROR(INDIRECT("'"&amp;$D$49&amp;"'!kostenbespaard_2042"),0)
+IFERROR(INDIRECT("'"&amp;$D$50&amp;"'!kostenbespaard_2042"),0)
+IFERROR(INDIRECT("'"&amp;$D$51&amp;"'!kostenbespaard_2042"),0)
+IFERROR(INDIRECT("'"&amp;$D$52&amp;"'!kostenbespaard_2042"),0)
+IFERROR(INDIRECT("'"&amp;$D$53&amp;"'!kostenbespaard_2042"),0)
+IFERROR(INDIRECT("'"&amp;$D$54&amp;"'!kostenbespaard_2042"),0)</f>
        <v>98935.724017420958</v>
      </c>
      <c r="AG50" s="385">
        <f ca="1">+IFERROR(INDIRECT("'"&amp;$D$5&amp;"'!kostenbespaard_2043"),0)
+IFERROR(INDIRECT("'"&amp;$D$6&amp;"'!kostenbespaard_2043"),0)
+IFERROR(INDIRECT("'"&amp;$D$7&amp;"'!kostenbespaard_2043"),0)
+IFERROR(INDIRECT("'"&amp;$D$8&amp;"'!kostenbespaard_2043"),0)
+IFERROR(INDIRECT("'"&amp;$D$9&amp;"'!kostenbespaard_2043"),0)
+IFERROR(INDIRECT("'"&amp;$D$10&amp;"'!kostenbespaard_2043"),0)
+IFERROR(INDIRECT("'"&amp;$D$11&amp;"'!kostenbespaard_2043"),0)
+IFERROR(INDIRECT("'"&amp;$D$12&amp;"'!kostenbespaard_2043"),0)
+IFERROR(INDIRECT("'"&amp;$D$13&amp;"'!kostenbespaard_2043"),0)
+IFERROR(INDIRECT("'"&amp;$D$14&amp;"'!kostenbespaard_2043"),0)
+IFERROR(INDIRECT("'"&amp;$D$15&amp;"'!kostenbespaard_2043"),0)
+IFERROR(INDIRECT("'"&amp;$D$16&amp;"'!kostenbespaard_2043"),0)
+IFERROR(INDIRECT("'"&amp;$D$17&amp;"'!kostenbespaard_2043"),0)
+IFERROR(INDIRECT("'"&amp;$D$18&amp;"'!kostenbespaard_2043"),0)
+IFERROR(INDIRECT("'"&amp;$D$19&amp;"'!kostenbespaard_2043"),0)
+IFERROR(INDIRECT("'"&amp;$D$20&amp;"'!kostenbespaard_2043"),0)
+IFERROR(INDIRECT("'"&amp;$D$21&amp;"'!kostenbespaard_2043"),0)
+IFERROR(INDIRECT("'"&amp;$D$22&amp;"'!kostenbespaard_2043"),0)
+IFERROR(INDIRECT("'"&amp;$D$23&amp;"'!kostenbespaard_2043"),0)
+IFERROR(INDIRECT("'"&amp;$D$24&amp;"'!kostenbespaard_2043"),0)
+IFERROR(INDIRECT("'"&amp;$D$25&amp;"'!kostenbespaard_2043"),0)
+IFERROR(INDIRECT("'"&amp;$D$26&amp;"'!kostenbespaard_2043"),0)
+IFERROR(INDIRECT("'"&amp;$D$27&amp;"'!kostenbespaard_2043"),0)
+IFERROR(INDIRECT("'"&amp;$D$28&amp;"'!kostenbespaard_2043"),0)
+IFERROR(INDIRECT("'"&amp;$D$29&amp;"'!kostenbespaard_2043"),0)
+IFERROR(INDIRECT("'"&amp;$D$30&amp;"'!kostenbespaard_2043"),0)
+IFERROR(INDIRECT("'"&amp;$D$31&amp;"'!kostenbespaard_2043"),0)
+IFERROR(INDIRECT("'"&amp;$D$32&amp;"'!kostenbespaard_2043"),0)
+IFERROR(INDIRECT("'"&amp;$D$33&amp;"'!kostenbespaard_2043"),0)
+IFERROR(INDIRECT("'"&amp;$D$34&amp;"'!kostenbespaard_2043"),0)
+IFERROR(INDIRECT("'"&amp;$D$35&amp;"'!kostenbespaard_2043"),0)
+IFERROR(INDIRECT("'"&amp;$D$36&amp;"'!kostenbespaard_2043"),0)
+IFERROR(INDIRECT("'"&amp;$D$37&amp;"'!kostenbespaard_2043"),0)
+IFERROR(INDIRECT("'"&amp;$D$38&amp;"'!kostenbespaard_2043"),0)
+IFERROR(INDIRECT("'"&amp;$D$39&amp;"'!kostenbespaard_2043"),0)
+IFERROR(INDIRECT("'"&amp;$D$40&amp;"'!kostenbespaard_2043"),0)
+IFERROR(INDIRECT("'"&amp;$D$41&amp;"'!kostenbespaard_2043"),0)
+IFERROR(INDIRECT("'"&amp;$D$42&amp;"'!kostenbespaard_2043"),0)
+IFERROR(INDIRECT("'"&amp;$D$43&amp;"'!kostenbespaard_2043"),0)
+IFERROR(INDIRECT("'"&amp;$D$44&amp;"'!kostenbespaard_2043"),0)
+IFERROR(INDIRECT("'"&amp;$D$45&amp;"'!kostenbespaard_2043"),0)
+IFERROR(INDIRECT("'"&amp;$D$46&amp;"'!kostenbespaard_2043"),0)
+IFERROR(INDIRECT("'"&amp;$D$47&amp;"'!kostenbespaard_2043"),0)
+IFERROR(INDIRECT("'"&amp;$D$48&amp;"'!kostenbespaard_2043"),0)
+IFERROR(INDIRECT("'"&amp;$D$49&amp;"'!kostenbespaard_2043"),0)
+IFERROR(INDIRECT("'"&amp;$D$50&amp;"'!kostenbespaard_2043"),0)
+IFERROR(INDIRECT("'"&amp;$D$51&amp;"'!kostenbespaard_2043"),0)
+IFERROR(INDIRECT("'"&amp;$D$52&amp;"'!kostenbespaard_2043"),0)
+IFERROR(INDIRECT("'"&amp;$D$53&amp;"'!kostenbespaard_2043"),0)
+IFERROR(INDIRECT("'"&amp;$D$54&amp;"'!kostenbespaard_2043"),0)</f>
        <v>98935.724017420958</v>
      </c>
      <c r="AH50" s="385">
        <f ca="1">+IFERROR(INDIRECT("'"&amp;$D$5&amp;"'!kostenbespaard_2044"),0)
+IFERROR(INDIRECT("'"&amp;$D$6&amp;"'!kostenbespaard_2044"),0)
+IFERROR(INDIRECT("'"&amp;$D$7&amp;"'!kostenbespaard_2044"),0)
+IFERROR(INDIRECT("'"&amp;$D$8&amp;"'!kostenbespaard_2044"),0)
+IFERROR(INDIRECT("'"&amp;$D$9&amp;"'!kostenbespaard_2044"),0)
+IFERROR(INDIRECT("'"&amp;$D$10&amp;"'!kostenbespaard_2044"),0)
+IFERROR(INDIRECT("'"&amp;$D$11&amp;"'!kostenbespaard_2044"),0)
+IFERROR(INDIRECT("'"&amp;$D$12&amp;"'!kostenbespaard_2044"),0)
+IFERROR(INDIRECT("'"&amp;$D$13&amp;"'!kostenbespaard_2044"),0)
+IFERROR(INDIRECT("'"&amp;$D$14&amp;"'!kostenbespaard_2044"),0)
+IFERROR(INDIRECT("'"&amp;$D$15&amp;"'!kostenbespaard_2044"),0)
+IFERROR(INDIRECT("'"&amp;$D$16&amp;"'!kostenbespaard_2044"),0)
+IFERROR(INDIRECT("'"&amp;$D$17&amp;"'!kostenbespaard_2044"),0)
+IFERROR(INDIRECT("'"&amp;$D$18&amp;"'!kostenbespaard_2044"),0)
+IFERROR(INDIRECT("'"&amp;$D$19&amp;"'!kostenbespaard_2044"),0)
+IFERROR(INDIRECT("'"&amp;$D$20&amp;"'!kostenbespaard_2044"),0)
+IFERROR(INDIRECT("'"&amp;$D$21&amp;"'!kostenbespaard_2044"),0)
+IFERROR(INDIRECT("'"&amp;$D$22&amp;"'!kostenbespaard_2044"),0)
+IFERROR(INDIRECT("'"&amp;$D$23&amp;"'!kostenbespaard_2044"),0)
+IFERROR(INDIRECT("'"&amp;$D$24&amp;"'!kostenbespaard_2044"),0)
+IFERROR(INDIRECT("'"&amp;$D$25&amp;"'!kostenbespaard_2044"),0)
+IFERROR(INDIRECT("'"&amp;$D$26&amp;"'!kostenbespaard_2044"),0)
+IFERROR(INDIRECT("'"&amp;$D$27&amp;"'!kostenbespaard_2044"),0)
+IFERROR(INDIRECT("'"&amp;$D$28&amp;"'!kostenbespaard_2044"),0)
+IFERROR(INDIRECT("'"&amp;$D$29&amp;"'!kostenbespaard_2044"),0)
+IFERROR(INDIRECT("'"&amp;$D$30&amp;"'!kostenbespaard_2044"),0)
+IFERROR(INDIRECT("'"&amp;$D$31&amp;"'!kostenbespaard_2044"),0)
+IFERROR(INDIRECT("'"&amp;$D$32&amp;"'!kostenbespaard_2044"),0)
+IFERROR(INDIRECT("'"&amp;$D$33&amp;"'!kostenbespaard_2044"),0)
+IFERROR(INDIRECT("'"&amp;$D$34&amp;"'!kostenbespaard_2044"),0)
+IFERROR(INDIRECT("'"&amp;$D$35&amp;"'!kostenbespaard_2044"),0)
+IFERROR(INDIRECT("'"&amp;$D$36&amp;"'!kostenbespaard_2044"),0)
+IFERROR(INDIRECT("'"&amp;$D$37&amp;"'!kostenbespaard_2044"),0)
+IFERROR(INDIRECT("'"&amp;$D$38&amp;"'!kostenbespaard_2044"),0)
+IFERROR(INDIRECT("'"&amp;$D$39&amp;"'!kostenbespaard_2044"),0)
+IFERROR(INDIRECT("'"&amp;$D$40&amp;"'!kostenbespaard_2044"),0)
+IFERROR(INDIRECT("'"&amp;$D$41&amp;"'!kostenbespaard_2044"),0)
+IFERROR(INDIRECT("'"&amp;$D$42&amp;"'!kostenbespaard_2044"),0)
+IFERROR(INDIRECT("'"&amp;$D$43&amp;"'!kostenbespaard_2044"),0)
+IFERROR(INDIRECT("'"&amp;$D$44&amp;"'!kostenbespaard_2044"),0)
+IFERROR(INDIRECT("'"&amp;$D$45&amp;"'!kostenbespaard_2044"),0)
+IFERROR(INDIRECT("'"&amp;$D$46&amp;"'!kostenbespaard_2044"),0)
+IFERROR(INDIRECT("'"&amp;$D$47&amp;"'!kostenbespaard_2044"),0)
+IFERROR(INDIRECT("'"&amp;$D$48&amp;"'!kostenbespaard_2044"),0)
+IFERROR(INDIRECT("'"&amp;$D$49&amp;"'!kostenbespaard_2044"),0)
+IFERROR(INDIRECT("'"&amp;$D$50&amp;"'!kostenbespaard_2044"),0)
+IFERROR(INDIRECT("'"&amp;$D$51&amp;"'!kostenbespaard_2044"),0)
+IFERROR(INDIRECT("'"&amp;$D$52&amp;"'!kostenbespaard_2044"),0)
+IFERROR(INDIRECT("'"&amp;$D$53&amp;"'!kostenbespaard_2044"),0)
+IFERROR(INDIRECT("'"&amp;$D$54&amp;"'!kostenbespaard_2044"),0)</f>
        <v>98935.724017420958</v>
      </c>
      <c r="AI50" s="385">
        <f ca="1">+IFERROR(INDIRECT("'"&amp;$D$5&amp;"'!kostenbespaard_2045"),0)
+IFERROR(INDIRECT("'"&amp;$D$6&amp;"'!kostenbespaard_2045"),0)
+IFERROR(INDIRECT("'"&amp;$D$7&amp;"'!kostenbespaard_2045"),0)
+IFERROR(INDIRECT("'"&amp;$D$8&amp;"'!kostenbespaard_2045"),0)
+IFERROR(INDIRECT("'"&amp;$D$9&amp;"'!kostenbespaard_2045"),0)
+IFERROR(INDIRECT("'"&amp;$D$10&amp;"'!kostenbespaard_2045"),0)
+IFERROR(INDIRECT("'"&amp;$D$11&amp;"'!kostenbespaard_2045"),0)
+IFERROR(INDIRECT("'"&amp;$D$12&amp;"'!kostenbespaard_2045"),0)
+IFERROR(INDIRECT("'"&amp;$D$13&amp;"'!kostenbespaard_2045"),0)
+IFERROR(INDIRECT("'"&amp;$D$14&amp;"'!kostenbespaard_2045"),0)
+IFERROR(INDIRECT("'"&amp;$D$15&amp;"'!kostenbespaard_2045"),0)
+IFERROR(INDIRECT("'"&amp;$D$16&amp;"'!kostenbespaard_2045"),0)
+IFERROR(INDIRECT("'"&amp;$D$17&amp;"'!kostenbespaard_2045"),0)
+IFERROR(INDIRECT("'"&amp;$D$18&amp;"'!kostenbespaard_2045"),0)
+IFERROR(INDIRECT("'"&amp;$D$19&amp;"'!kostenbespaard_2045"),0)
+IFERROR(INDIRECT("'"&amp;$D$20&amp;"'!kostenbespaard_2045"),0)
+IFERROR(INDIRECT("'"&amp;$D$21&amp;"'!kostenbespaard_2045"),0)
+IFERROR(INDIRECT("'"&amp;$D$22&amp;"'!kostenbespaard_2045"),0)
+IFERROR(INDIRECT("'"&amp;$D$23&amp;"'!kostenbespaard_2045"),0)
+IFERROR(INDIRECT("'"&amp;$D$24&amp;"'!kostenbespaard_2045"),0)
+IFERROR(INDIRECT("'"&amp;$D$25&amp;"'!kostenbespaard_2045"),0)
+IFERROR(INDIRECT("'"&amp;$D$26&amp;"'!kostenbespaard_2045"),0)
+IFERROR(INDIRECT("'"&amp;$D$27&amp;"'!kostenbespaard_2045"),0)
+IFERROR(INDIRECT("'"&amp;$D$28&amp;"'!kostenbespaard_2045"),0)
+IFERROR(INDIRECT("'"&amp;$D$29&amp;"'!kostenbespaard_2045"),0)
+IFERROR(INDIRECT("'"&amp;$D$30&amp;"'!kostenbespaard_2045"),0)
+IFERROR(INDIRECT("'"&amp;$D$31&amp;"'!kostenbespaard_2045"),0)
+IFERROR(INDIRECT("'"&amp;$D$32&amp;"'!kostenbespaard_2045"),0)
+IFERROR(INDIRECT("'"&amp;$D$33&amp;"'!kostenbespaard_2045"),0)
+IFERROR(INDIRECT("'"&amp;$D$34&amp;"'!kostenbespaard_2045"),0)
+IFERROR(INDIRECT("'"&amp;$D$35&amp;"'!kostenbespaard_2045"),0)
+IFERROR(INDIRECT("'"&amp;$D$36&amp;"'!kostenbespaard_2045"),0)
+IFERROR(INDIRECT("'"&amp;$D$37&amp;"'!kostenbespaard_2045"),0)
+IFERROR(INDIRECT("'"&amp;$D$38&amp;"'!kostenbespaard_2045"),0)
+IFERROR(INDIRECT("'"&amp;$D$39&amp;"'!kostenbespaard_2045"),0)
+IFERROR(INDIRECT("'"&amp;$D$40&amp;"'!kostenbespaard_2045"),0)
+IFERROR(INDIRECT("'"&amp;$D$41&amp;"'!kostenbespaard_2045"),0)
+IFERROR(INDIRECT("'"&amp;$D$42&amp;"'!kostenbespaard_2045"),0)
+IFERROR(INDIRECT("'"&amp;$D$43&amp;"'!kostenbespaard_2045"),0)
+IFERROR(INDIRECT("'"&amp;$D$44&amp;"'!kostenbespaard_2045"),0)
+IFERROR(INDIRECT("'"&amp;$D$45&amp;"'!kostenbespaard_2045"),0)
+IFERROR(INDIRECT("'"&amp;$D$46&amp;"'!kostenbespaard_2045"),0)
+IFERROR(INDIRECT("'"&amp;$D$47&amp;"'!kostenbespaard_2045"),0)
+IFERROR(INDIRECT("'"&amp;$D$48&amp;"'!kostenbespaard_2045"),0)
+IFERROR(INDIRECT("'"&amp;$D$49&amp;"'!kostenbespaard_2045"),0)
+IFERROR(INDIRECT("'"&amp;$D$50&amp;"'!kostenbespaard_2045"),0)
+IFERROR(INDIRECT("'"&amp;$D$51&amp;"'!kostenbespaard_2045"),0)
+IFERROR(INDIRECT("'"&amp;$D$52&amp;"'!kostenbespaard_2045"),0)
+IFERROR(INDIRECT("'"&amp;$D$53&amp;"'!kostenbespaard_2045"),0)
+IFERROR(INDIRECT("'"&amp;$D$54&amp;"'!kostenbespaard_2045"),0)</f>
        <v>98935.724017420958</v>
      </c>
      <c r="AJ50" s="385">
        <f ca="1">+IFERROR(INDIRECT("'"&amp;$D$5&amp;"'!kostenbespaard_2046"),0)
+IFERROR(INDIRECT("'"&amp;$D$6&amp;"'!kostenbespaard_2046"),0)
+IFERROR(INDIRECT("'"&amp;$D$7&amp;"'!kostenbespaard_2046"),0)
+IFERROR(INDIRECT("'"&amp;$D$8&amp;"'!kostenbespaard_2046"),0)
+IFERROR(INDIRECT("'"&amp;$D$9&amp;"'!kostenbespaard_2046"),0)
+IFERROR(INDIRECT("'"&amp;$D$10&amp;"'!kostenbespaard_2046"),0)
+IFERROR(INDIRECT("'"&amp;$D$11&amp;"'!kostenbespaard_2046"),0)
+IFERROR(INDIRECT("'"&amp;$D$12&amp;"'!kostenbespaard_2046"),0)
+IFERROR(INDIRECT("'"&amp;$D$13&amp;"'!kostenbespaard_2046"),0)
+IFERROR(INDIRECT("'"&amp;$D$14&amp;"'!kostenbespaard_2046"),0)
+IFERROR(INDIRECT("'"&amp;$D$15&amp;"'!kostenbespaard_2046"),0)
+IFERROR(INDIRECT("'"&amp;$D$16&amp;"'!kostenbespaard_2046"),0)
+IFERROR(INDIRECT("'"&amp;$D$17&amp;"'!kostenbespaard_2046"),0)
+IFERROR(INDIRECT("'"&amp;$D$18&amp;"'!kostenbespaard_2046"),0)
+IFERROR(INDIRECT("'"&amp;$D$19&amp;"'!kostenbespaard_2046"),0)
+IFERROR(INDIRECT("'"&amp;$D$20&amp;"'!kostenbespaard_2046"),0)
+IFERROR(INDIRECT("'"&amp;$D$21&amp;"'!kostenbespaard_2046"),0)
+IFERROR(INDIRECT("'"&amp;$D$22&amp;"'!kostenbespaard_2046"),0)
+IFERROR(INDIRECT("'"&amp;$D$23&amp;"'!kostenbespaard_2046"),0)
+IFERROR(INDIRECT("'"&amp;$D$24&amp;"'!kostenbespaard_2046"),0)
+IFERROR(INDIRECT("'"&amp;$D$25&amp;"'!kostenbespaard_2046"),0)
+IFERROR(INDIRECT("'"&amp;$D$26&amp;"'!kostenbespaard_2046"),0)
+IFERROR(INDIRECT("'"&amp;$D$27&amp;"'!kostenbespaard_2046"),0)
+IFERROR(INDIRECT("'"&amp;$D$28&amp;"'!kostenbespaard_2046"),0)
+IFERROR(INDIRECT("'"&amp;$D$29&amp;"'!kostenbespaard_2046"),0)
+IFERROR(INDIRECT("'"&amp;$D$30&amp;"'!kostenbespaard_2046"),0)
+IFERROR(INDIRECT("'"&amp;$D$31&amp;"'!kostenbespaard_2046"),0)
+IFERROR(INDIRECT("'"&amp;$D$32&amp;"'!kostenbespaard_2046"),0)
+IFERROR(INDIRECT("'"&amp;$D$33&amp;"'!kostenbespaard_2046"),0)
+IFERROR(INDIRECT("'"&amp;$D$34&amp;"'!kostenbespaard_2046"),0)
+IFERROR(INDIRECT("'"&amp;$D$35&amp;"'!kostenbespaard_2046"),0)
+IFERROR(INDIRECT("'"&amp;$D$36&amp;"'!kostenbespaard_2046"),0)
+IFERROR(INDIRECT("'"&amp;$D$37&amp;"'!kostenbespaard_2046"),0)
+IFERROR(INDIRECT("'"&amp;$D$38&amp;"'!kostenbespaard_2046"),0)
+IFERROR(INDIRECT("'"&amp;$D$39&amp;"'!kostenbespaard_2046"),0)
+IFERROR(INDIRECT("'"&amp;$D$40&amp;"'!kostenbespaard_2046"),0)
+IFERROR(INDIRECT("'"&amp;$D$41&amp;"'!kostenbespaard_2046"),0)
+IFERROR(INDIRECT("'"&amp;$D$42&amp;"'!kostenbespaard_2046"),0)
+IFERROR(INDIRECT("'"&amp;$D$43&amp;"'!kostenbespaard_2046"),0)
+IFERROR(INDIRECT("'"&amp;$D$44&amp;"'!kostenbespaard_2046"),0)
+IFERROR(INDIRECT("'"&amp;$D$45&amp;"'!kostenbespaard_2046"),0)
+IFERROR(INDIRECT("'"&amp;$D$46&amp;"'!kostenbespaard_2046"),0)
+IFERROR(INDIRECT("'"&amp;$D$47&amp;"'!kostenbespaard_2046"),0)
+IFERROR(INDIRECT("'"&amp;$D$48&amp;"'!kostenbespaard_2046"),0)
+IFERROR(INDIRECT("'"&amp;$D$49&amp;"'!kostenbespaard_2046"),0)
+IFERROR(INDIRECT("'"&amp;$D$50&amp;"'!kostenbespaard_2046"),0)
+IFERROR(INDIRECT("'"&amp;$D$51&amp;"'!kostenbespaard_2046"),0)
+IFERROR(INDIRECT("'"&amp;$D$52&amp;"'!kostenbespaard_2046"),0)
+IFERROR(INDIRECT("'"&amp;$D$53&amp;"'!kostenbespaard_2046"),0)
+IFERROR(INDIRECT("'"&amp;$D$54&amp;"'!kostenbespaard_2046"),0)</f>
        <v>98935.724017420958</v>
      </c>
      <c r="AK50" s="385">
        <f ca="1">+IFERROR(INDIRECT("'"&amp;$D$5&amp;"'!kostenbespaard_2047"),0)
+IFERROR(INDIRECT("'"&amp;$D$6&amp;"'!kostenbespaard_2047"),0)
+IFERROR(INDIRECT("'"&amp;$D$7&amp;"'!kostenbespaard_2047"),0)
+IFERROR(INDIRECT("'"&amp;$D$8&amp;"'!kostenbespaard_2047"),0)
+IFERROR(INDIRECT("'"&amp;$D$9&amp;"'!kostenbespaard_2047"),0)
+IFERROR(INDIRECT("'"&amp;$D$10&amp;"'!kostenbespaard_2047"),0)
+IFERROR(INDIRECT("'"&amp;$D$11&amp;"'!kostenbespaard_2047"),0)
+IFERROR(INDIRECT("'"&amp;$D$12&amp;"'!kostenbespaard_2047"),0)
+IFERROR(INDIRECT("'"&amp;$D$13&amp;"'!kostenbespaard_2047"),0)
+IFERROR(INDIRECT("'"&amp;$D$14&amp;"'!kostenbespaard_2047"),0)
+IFERROR(INDIRECT("'"&amp;$D$15&amp;"'!kostenbespaard_2047"),0)
+IFERROR(INDIRECT("'"&amp;$D$16&amp;"'!kostenbespaard_2047"),0)
+IFERROR(INDIRECT("'"&amp;$D$17&amp;"'!kostenbespaard_2047"),0)
+IFERROR(INDIRECT("'"&amp;$D$18&amp;"'!kostenbespaard_2047"),0)
+IFERROR(INDIRECT("'"&amp;$D$19&amp;"'!kostenbespaard_2047"),0)
+IFERROR(INDIRECT("'"&amp;$D$20&amp;"'!kostenbespaard_2047"),0)
+IFERROR(INDIRECT("'"&amp;$D$21&amp;"'!kostenbespaard_2047"),0)
+IFERROR(INDIRECT("'"&amp;$D$22&amp;"'!kostenbespaard_2047"),0)
+IFERROR(INDIRECT("'"&amp;$D$23&amp;"'!kostenbespaard_2047"),0)
+IFERROR(INDIRECT("'"&amp;$D$24&amp;"'!kostenbespaard_2047"),0)
+IFERROR(INDIRECT("'"&amp;$D$25&amp;"'!kostenbespaard_2047"),0)
+IFERROR(INDIRECT("'"&amp;$D$26&amp;"'!kostenbespaard_2047"),0)
+IFERROR(INDIRECT("'"&amp;$D$27&amp;"'!kostenbespaard_2047"),0)
+IFERROR(INDIRECT("'"&amp;$D$28&amp;"'!kostenbespaard_2047"),0)
+IFERROR(INDIRECT("'"&amp;$D$29&amp;"'!kostenbespaard_2047"),0)
+IFERROR(INDIRECT("'"&amp;$D$30&amp;"'!kostenbespaard_2047"),0)
+IFERROR(INDIRECT("'"&amp;$D$31&amp;"'!kostenbespaard_2047"),0)
+IFERROR(INDIRECT("'"&amp;$D$32&amp;"'!kostenbespaard_2047"),0)
+IFERROR(INDIRECT("'"&amp;$D$33&amp;"'!kostenbespaard_2047"),0)
+IFERROR(INDIRECT("'"&amp;$D$34&amp;"'!kostenbespaard_2047"),0)
+IFERROR(INDIRECT("'"&amp;$D$35&amp;"'!kostenbespaard_2047"),0)
+IFERROR(INDIRECT("'"&amp;$D$36&amp;"'!kostenbespaard_2047"),0)
+IFERROR(INDIRECT("'"&amp;$D$37&amp;"'!kostenbespaard_2047"),0)
+IFERROR(INDIRECT("'"&amp;$D$38&amp;"'!kostenbespaard_2047"),0)
+IFERROR(INDIRECT("'"&amp;$D$39&amp;"'!kostenbespaard_2047"),0)
+IFERROR(INDIRECT("'"&amp;$D$40&amp;"'!kostenbespaard_2047"),0)
+IFERROR(INDIRECT("'"&amp;$D$41&amp;"'!kostenbespaard_2047"),0)
+IFERROR(INDIRECT("'"&amp;$D$42&amp;"'!kostenbespaard_2047"),0)
+IFERROR(INDIRECT("'"&amp;$D$43&amp;"'!kostenbespaard_2047"),0)
+IFERROR(INDIRECT("'"&amp;$D$44&amp;"'!kostenbespaard_2047"),0)
+IFERROR(INDIRECT("'"&amp;$D$45&amp;"'!kostenbespaard_2047"),0)
+IFERROR(INDIRECT("'"&amp;$D$46&amp;"'!kostenbespaard_2047"),0)
+IFERROR(INDIRECT("'"&amp;$D$47&amp;"'!kostenbespaard_2047"),0)
+IFERROR(INDIRECT("'"&amp;$D$48&amp;"'!kostenbespaard_2047"),0)
+IFERROR(INDIRECT("'"&amp;$D$49&amp;"'!kostenbespaard_2047"),0)
+IFERROR(INDIRECT("'"&amp;$D$50&amp;"'!kostenbespaard_2047"),0)
+IFERROR(INDIRECT("'"&amp;$D$51&amp;"'!kostenbespaard_2047"),0)
+IFERROR(INDIRECT("'"&amp;$D$52&amp;"'!kostenbespaard_2047"),0)
+IFERROR(INDIRECT("'"&amp;$D$53&amp;"'!kostenbespaard_2047"),0)
+IFERROR(INDIRECT("'"&amp;$D$54&amp;"'!kostenbespaard_2047"),0)</f>
        <v>98935.724017420958</v>
      </c>
      <c r="AL50" s="385">
        <f ca="1">+IFERROR(INDIRECT("'"&amp;$D$5&amp;"'!kostenbespaard_2048"),0)
+IFERROR(INDIRECT("'"&amp;$D$6&amp;"'!kostenbespaard_2048"),0)
+IFERROR(INDIRECT("'"&amp;$D$7&amp;"'!kostenbespaard_2048"),0)
+IFERROR(INDIRECT("'"&amp;$D$8&amp;"'!kostenbespaard_2048"),0)
+IFERROR(INDIRECT("'"&amp;$D$9&amp;"'!kostenbespaard_2048"),0)
+IFERROR(INDIRECT("'"&amp;$D$10&amp;"'!kostenbespaard_2048"),0)
+IFERROR(INDIRECT("'"&amp;$D$11&amp;"'!kostenbespaard_2048"),0)
+IFERROR(INDIRECT("'"&amp;$D$12&amp;"'!kostenbespaard_2048"),0)
+IFERROR(INDIRECT("'"&amp;$D$13&amp;"'!kostenbespaard_2048"),0)
+IFERROR(INDIRECT("'"&amp;$D$14&amp;"'!kostenbespaard_2048"),0)
+IFERROR(INDIRECT("'"&amp;$D$15&amp;"'!kostenbespaard_2048"),0)
+IFERROR(INDIRECT("'"&amp;$D$16&amp;"'!kostenbespaard_2048"),0)
+IFERROR(INDIRECT("'"&amp;$D$17&amp;"'!kostenbespaard_2048"),0)
+IFERROR(INDIRECT("'"&amp;$D$18&amp;"'!kostenbespaard_2048"),0)
+IFERROR(INDIRECT("'"&amp;$D$19&amp;"'!kostenbespaard_2048"),0)
+IFERROR(INDIRECT("'"&amp;$D$20&amp;"'!kostenbespaard_2048"),0)
+IFERROR(INDIRECT("'"&amp;$D$21&amp;"'!kostenbespaard_2048"),0)
+IFERROR(INDIRECT("'"&amp;$D$22&amp;"'!kostenbespaard_2048"),0)
+IFERROR(INDIRECT("'"&amp;$D$23&amp;"'!kostenbespaard_2048"),0)
+IFERROR(INDIRECT("'"&amp;$D$24&amp;"'!kostenbespaard_2048"),0)
+IFERROR(INDIRECT("'"&amp;$D$25&amp;"'!kostenbespaard_2048"),0)
+IFERROR(INDIRECT("'"&amp;$D$26&amp;"'!kostenbespaard_2048"),0)
+IFERROR(INDIRECT("'"&amp;$D$27&amp;"'!kostenbespaard_2048"),0)
+IFERROR(INDIRECT("'"&amp;$D$28&amp;"'!kostenbespaard_2048"),0)
+IFERROR(INDIRECT("'"&amp;$D$29&amp;"'!kostenbespaard_2048"),0)
+IFERROR(INDIRECT("'"&amp;$D$30&amp;"'!kostenbespaard_2048"),0)
+IFERROR(INDIRECT("'"&amp;$D$31&amp;"'!kostenbespaard_2048"),0)
+IFERROR(INDIRECT("'"&amp;$D$32&amp;"'!kostenbespaard_2048"),0)
+IFERROR(INDIRECT("'"&amp;$D$33&amp;"'!kostenbespaard_2048"),0)
+IFERROR(INDIRECT("'"&amp;$D$34&amp;"'!kostenbespaard_2048"),0)
+IFERROR(INDIRECT("'"&amp;$D$35&amp;"'!kostenbespaard_2048"),0)
+IFERROR(INDIRECT("'"&amp;$D$36&amp;"'!kostenbespaard_2048"),0)
+IFERROR(INDIRECT("'"&amp;$D$37&amp;"'!kostenbespaard_2048"),0)
+IFERROR(INDIRECT("'"&amp;$D$38&amp;"'!kostenbespaard_2048"),0)
+IFERROR(INDIRECT("'"&amp;$D$39&amp;"'!kostenbespaard_2048"),0)
+IFERROR(INDIRECT("'"&amp;$D$40&amp;"'!kostenbespaard_2048"),0)
+IFERROR(INDIRECT("'"&amp;$D$41&amp;"'!kostenbespaard_2048"),0)
+IFERROR(INDIRECT("'"&amp;$D$42&amp;"'!kostenbespaard_2048"),0)
+IFERROR(INDIRECT("'"&amp;$D$43&amp;"'!kostenbespaard_2048"),0)
+IFERROR(INDIRECT("'"&amp;$D$44&amp;"'!kostenbespaard_2048"),0)
+IFERROR(INDIRECT("'"&amp;$D$45&amp;"'!kostenbespaard_2048"),0)
+IFERROR(INDIRECT("'"&amp;$D$46&amp;"'!kostenbespaard_2048"),0)
+IFERROR(INDIRECT("'"&amp;$D$47&amp;"'!kostenbespaard_2048"),0)
+IFERROR(INDIRECT("'"&amp;$D$48&amp;"'!kostenbespaard_2048"),0)
+IFERROR(INDIRECT("'"&amp;$D$49&amp;"'!kostenbespaard_2048"),0)
+IFERROR(INDIRECT("'"&amp;$D$50&amp;"'!kostenbespaard_2048"),0)
+IFERROR(INDIRECT("'"&amp;$D$51&amp;"'!kostenbespaard_2048"),0)
+IFERROR(INDIRECT("'"&amp;$D$52&amp;"'!kostenbespaard_2048"),0)
+IFERROR(INDIRECT("'"&amp;$D$53&amp;"'!kostenbespaard_2048"),0)
+IFERROR(INDIRECT("'"&amp;$D$54&amp;"'!kostenbespaard_2048"),0)</f>
        <v>98935.724017420958</v>
      </c>
      <c r="AM50" s="385">
        <f ca="1">+IFERROR(INDIRECT("'"&amp;$D$5&amp;"'!kostenbespaard_2049"),0)
+IFERROR(INDIRECT("'"&amp;$D$6&amp;"'!kostenbespaard_2049"),0)
+IFERROR(INDIRECT("'"&amp;$D$7&amp;"'!kostenbespaard_2049"),0)
+IFERROR(INDIRECT("'"&amp;$D$8&amp;"'!kostenbespaard_2049"),0)
+IFERROR(INDIRECT("'"&amp;$D$9&amp;"'!kostenbespaard_2049"),0)
+IFERROR(INDIRECT("'"&amp;$D$10&amp;"'!kostenbespaard_2049"),0)
+IFERROR(INDIRECT("'"&amp;$D$11&amp;"'!kostenbespaard_2049"),0)
+IFERROR(INDIRECT("'"&amp;$D$12&amp;"'!kostenbespaard_2049"),0)
+IFERROR(INDIRECT("'"&amp;$D$13&amp;"'!kostenbespaard_2049"),0)
+IFERROR(INDIRECT("'"&amp;$D$14&amp;"'!kostenbespaard_2049"),0)
+IFERROR(INDIRECT("'"&amp;$D$15&amp;"'!kostenbespaard_2049"),0)
+IFERROR(INDIRECT("'"&amp;$D$16&amp;"'!kostenbespaard_2049"),0)
+IFERROR(INDIRECT("'"&amp;$D$17&amp;"'!kostenbespaard_2049"),0)
+IFERROR(INDIRECT("'"&amp;$D$18&amp;"'!kostenbespaard_2049"),0)
+IFERROR(INDIRECT("'"&amp;$D$19&amp;"'!kostenbespaard_2049"),0)
+IFERROR(INDIRECT("'"&amp;$D$20&amp;"'!kostenbespaard_2049"),0)
+IFERROR(INDIRECT("'"&amp;$D$21&amp;"'!kostenbespaard_2049"),0)
+IFERROR(INDIRECT("'"&amp;$D$22&amp;"'!kostenbespaard_2049"),0)
+IFERROR(INDIRECT("'"&amp;$D$23&amp;"'!kostenbespaard_2049"),0)
+IFERROR(INDIRECT("'"&amp;$D$24&amp;"'!kostenbespaard_2049"),0)
+IFERROR(INDIRECT("'"&amp;$D$25&amp;"'!kostenbespaard_2049"),0)
+IFERROR(INDIRECT("'"&amp;$D$26&amp;"'!kostenbespaard_2049"),0)
+IFERROR(INDIRECT("'"&amp;$D$27&amp;"'!kostenbespaard_2049"),0)
+IFERROR(INDIRECT("'"&amp;$D$28&amp;"'!kostenbespaard_2049"),0)
+IFERROR(INDIRECT("'"&amp;$D$29&amp;"'!kostenbespaard_2049"),0)
+IFERROR(INDIRECT("'"&amp;$D$30&amp;"'!kostenbespaard_2049"),0)
+IFERROR(INDIRECT("'"&amp;$D$31&amp;"'!kostenbespaard_2049"),0)
+IFERROR(INDIRECT("'"&amp;$D$32&amp;"'!kostenbespaard_2049"),0)
+IFERROR(INDIRECT("'"&amp;$D$33&amp;"'!kostenbespaard_2049"),0)
+IFERROR(INDIRECT("'"&amp;$D$34&amp;"'!kostenbespaard_2049"),0)
+IFERROR(INDIRECT("'"&amp;$D$35&amp;"'!kostenbespaard_2049"),0)
+IFERROR(INDIRECT("'"&amp;$D$36&amp;"'!kostenbespaard_2049"),0)
+IFERROR(INDIRECT("'"&amp;$D$37&amp;"'!kostenbespaard_2049"),0)
+IFERROR(INDIRECT("'"&amp;$D$38&amp;"'!kostenbespaard_2049"),0)
+IFERROR(INDIRECT("'"&amp;$D$39&amp;"'!kostenbespaard_2049"),0)
+IFERROR(INDIRECT("'"&amp;$D$40&amp;"'!kostenbespaard_2049"),0)
+IFERROR(INDIRECT("'"&amp;$D$41&amp;"'!kostenbespaard_2049"),0)
+IFERROR(INDIRECT("'"&amp;$D$42&amp;"'!kostenbespaard_2049"),0)
+IFERROR(INDIRECT("'"&amp;$D$43&amp;"'!kostenbespaard_2049"),0)
+IFERROR(INDIRECT("'"&amp;$D$44&amp;"'!kostenbespaard_2049"),0)
+IFERROR(INDIRECT("'"&amp;$D$45&amp;"'!kostenbespaard_2049"),0)
+IFERROR(INDIRECT("'"&amp;$D$46&amp;"'!kostenbespaard_2049"),0)
+IFERROR(INDIRECT("'"&amp;$D$47&amp;"'!kostenbespaard_2049"),0)
+IFERROR(INDIRECT("'"&amp;$D$48&amp;"'!kostenbespaard_2049"),0)
+IFERROR(INDIRECT("'"&amp;$D$49&amp;"'!kostenbespaard_2049"),0)
+IFERROR(INDIRECT("'"&amp;$D$50&amp;"'!kostenbespaard_2049"),0)
+IFERROR(INDIRECT("'"&amp;$D$51&amp;"'!kostenbespaard_2049"),0)
+IFERROR(INDIRECT("'"&amp;$D$52&amp;"'!kostenbespaard_2049"),0)
+IFERROR(INDIRECT("'"&amp;$D$53&amp;"'!kostenbespaard_2049"),0)
+IFERROR(INDIRECT("'"&amp;$D$54&amp;"'!kostenbespaard_2049"),0)</f>
        <v>98935.724017420958</v>
      </c>
      <c r="AN50" s="385">
        <f ca="1">+IFERROR(INDIRECT("'"&amp;$D$5&amp;"'!kostenbespaard_2050"),0)
+IFERROR(INDIRECT("'"&amp;$D$6&amp;"'!kostenbespaard_2050"),0)
+IFERROR(INDIRECT("'"&amp;$D$7&amp;"'!kostenbespaard_2050"),0)
+IFERROR(INDIRECT("'"&amp;$D$8&amp;"'!kostenbespaard_2050"),0)
+IFERROR(INDIRECT("'"&amp;$D$9&amp;"'!kostenbespaard_2050"),0)
+IFERROR(INDIRECT("'"&amp;$D$10&amp;"'!kostenbespaard_2050"),0)
+IFERROR(INDIRECT("'"&amp;$D$11&amp;"'!kostenbespaard_2050"),0)
+IFERROR(INDIRECT("'"&amp;$D$12&amp;"'!kostenbespaard_2050"),0)
+IFERROR(INDIRECT("'"&amp;$D$13&amp;"'!kostenbespaard_2050"),0)
+IFERROR(INDIRECT("'"&amp;$D$14&amp;"'!kostenbespaard_2050"),0)
+IFERROR(INDIRECT("'"&amp;$D$15&amp;"'!kostenbespaard_2050"),0)
+IFERROR(INDIRECT("'"&amp;$D$16&amp;"'!kostenbespaard_2050"),0)
+IFERROR(INDIRECT("'"&amp;$D$17&amp;"'!kostenbespaard_2050"),0)
+IFERROR(INDIRECT("'"&amp;$D$18&amp;"'!kostenbespaard_2050"),0)
+IFERROR(INDIRECT("'"&amp;$D$19&amp;"'!kostenbespaard_2050"),0)
+IFERROR(INDIRECT("'"&amp;$D$20&amp;"'!kostenbespaard_2050"),0)
+IFERROR(INDIRECT("'"&amp;$D$21&amp;"'!kostenbespaard_2050"),0)
+IFERROR(INDIRECT("'"&amp;$D$22&amp;"'!kostenbespaard_2050"),0)
+IFERROR(INDIRECT("'"&amp;$D$23&amp;"'!kostenbespaard_2050"),0)
+IFERROR(INDIRECT("'"&amp;$D$24&amp;"'!kostenbespaard_2050"),0)
+IFERROR(INDIRECT("'"&amp;$D$25&amp;"'!kostenbespaard_2050"),0)
+IFERROR(INDIRECT("'"&amp;$D$26&amp;"'!kostenbespaard_2050"),0)
+IFERROR(INDIRECT("'"&amp;$D$27&amp;"'!kostenbespaard_2050"),0)
+IFERROR(INDIRECT("'"&amp;$D$28&amp;"'!kostenbespaard_2050"),0)
+IFERROR(INDIRECT("'"&amp;$D$29&amp;"'!kostenbespaard_2050"),0)
+IFERROR(INDIRECT("'"&amp;$D$30&amp;"'!kostenbespaard_2050"),0)
+IFERROR(INDIRECT("'"&amp;$D$31&amp;"'!kostenbespaard_2050"),0)
+IFERROR(INDIRECT("'"&amp;$D$32&amp;"'!kostenbespaard_2050"),0)
+IFERROR(INDIRECT("'"&amp;$D$33&amp;"'!kostenbespaard_2050"),0)
+IFERROR(INDIRECT("'"&amp;$D$34&amp;"'!kostenbespaard_2050"),0)
+IFERROR(INDIRECT("'"&amp;$D$35&amp;"'!kostenbespaard_2050"),0)
+IFERROR(INDIRECT("'"&amp;$D$36&amp;"'!kostenbespaard_2050"),0)
+IFERROR(INDIRECT("'"&amp;$D$37&amp;"'!kostenbespaard_2050"),0)
+IFERROR(INDIRECT("'"&amp;$D$38&amp;"'!kostenbespaard_2050"),0)
+IFERROR(INDIRECT("'"&amp;$D$39&amp;"'!kostenbespaard_2050"),0)
+IFERROR(INDIRECT("'"&amp;$D$40&amp;"'!kostenbespaard_2050"),0)
+IFERROR(INDIRECT("'"&amp;$D$41&amp;"'!kostenbespaard_2050"),0)
+IFERROR(INDIRECT("'"&amp;$D$42&amp;"'!kostenbespaard_2050"),0)
+IFERROR(INDIRECT("'"&amp;$D$43&amp;"'!kostenbespaard_2050"),0)
+IFERROR(INDIRECT("'"&amp;$D$44&amp;"'!kostenbespaard_2050"),0)
+IFERROR(INDIRECT("'"&amp;$D$45&amp;"'!kostenbespaard_2050"),0)
+IFERROR(INDIRECT("'"&amp;$D$46&amp;"'!kostenbespaard_2050"),0)
+IFERROR(INDIRECT("'"&amp;$D$47&amp;"'!kostenbespaard_2050"),0)
+IFERROR(INDIRECT("'"&amp;$D$48&amp;"'!kostenbespaard_2050"),0)
+IFERROR(INDIRECT("'"&amp;$D$49&amp;"'!kostenbespaard_2050"),0)
+IFERROR(INDIRECT("'"&amp;$D$50&amp;"'!kostenbespaard_2050"),0)
+IFERROR(INDIRECT("'"&amp;$D$51&amp;"'!kostenbespaard_2050"),0)
+IFERROR(INDIRECT("'"&amp;$D$52&amp;"'!kostenbespaard_2050"),0)
+IFERROR(INDIRECT("'"&amp;$D$53&amp;"'!kostenbespaard_2050"),0)
+IFERROR(INDIRECT("'"&amp;$D$54&amp;"'!kostenbespaard_2050"),0)</f>
        <v>98935.724017420958</v>
      </c>
      <c r="AO50" s="8"/>
    </row>
    <row r="51" spans="2:41" ht="18.75">
      <c r="B51" s="8"/>
      <c r="C51" s="279" t="s">
        <v>88</v>
      </c>
      <c r="D51" s="115"/>
      <c r="E51" s="8"/>
      <c r="F51" s="303"/>
      <c r="G51" s="309" t="s">
        <v>839</v>
      </c>
      <c r="H51" s="386">
        <f t="shared" ref="H51:AN51" ca="1" si="9">(H29*CO2factorElektriciteit+H31*CO2factorAardgas+H33*CO2factorWarmte)/1000</f>
        <v>904.25770499999987</v>
      </c>
      <c r="I51" s="386">
        <f t="shared" ca="1" si="9"/>
        <v>904.26520899999991</v>
      </c>
      <c r="J51" s="386">
        <f t="shared" ca="1" si="9"/>
        <v>904.26520899999991</v>
      </c>
      <c r="K51" s="386">
        <f t="shared" ca="1" si="9"/>
        <v>904.26520899999991</v>
      </c>
      <c r="L51" s="386">
        <f t="shared" ca="1" si="9"/>
        <v>904.26520899999991</v>
      </c>
      <c r="M51" s="386">
        <f t="shared" ca="1" si="9"/>
        <v>511.74596634796734</v>
      </c>
      <c r="N51" s="386">
        <f t="shared" ca="1" si="9"/>
        <v>472.48885562256515</v>
      </c>
      <c r="O51" s="386">
        <f t="shared" ca="1" si="9"/>
        <v>398.71521379371416</v>
      </c>
      <c r="P51" s="386">
        <f t="shared" ca="1" si="9"/>
        <v>392.90309925486332</v>
      </c>
      <c r="Q51" s="386">
        <f t="shared" ca="1" si="9"/>
        <v>411.32115159151448</v>
      </c>
      <c r="R51" s="386">
        <f t="shared" ca="1" si="9"/>
        <v>389.80728970770247</v>
      </c>
      <c r="S51" s="386">
        <f t="shared" ca="1" si="9"/>
        <v>387.34399342389031</v>
      </c>
      <c r="T51" s="386">
        <f t="shared" ca="1" si="9"/>
        <v>384.88069714007821</v>
      </c>
      <c r="U51" s="386">
        <f t="shared" ca="1" si="9"/>
        <v>382.41740085626623</v>
      </c>
      <c r="V51" s="386">
        <f t="shared" ca="1" si="9"/>
        <v>294.78078427867104</v>
      </c>
      <c r="W51" s="386">
        <f t="shared" ca="1" si="9"/>
        <v>294.78078427867104</v>
      </c>
      <c r="X51" s="386">
        <f t="shared" ca="1" si="9"/>
        <v>294.78078427867104</v>
      </c>
      <c r="Y51" s="386">
        <f t="shared" ca="1" si="9"/>
        <v>294.78078427867104</v>
      </c>
      <c r="Z51" s="386">
        <f t="shared" ca="1" si="9"/>
        <v>287.39089542723474</v>
      </c>
      <c r="AA51" s="386">
        <f t="shared" ca="1" si="9"/>
        <v>287.39089542723474</v>
      </c>
      <c r="AB51" s="386">
        <f t="shared" ca="1" si="9"/>
        <v>287.39089542723474</v>
      </c>
      <c r="AC51" s="386">
        <f t="shared" ca="1" si="9"/>
        <v>287.39089542723474</v>
      </c>
      <c r="AD51" s="386">
        <f t="shared" ca="1" si="9"/>
        <v>276.04469996003473</v>
      </c>
      <c r="AE51" s="386">
        <f t="shared" ca="1" si="9"/>
        <v>276.04469996003473</v>
      </c>
      <c r="AF51" s="386">
        <f t="shared" ca="1" si="9"/>
        <v>276.04469996003473</v>
      </c>
      <c r="AG51" s="386">
        <f t="shared" ca="1" si="9"/>
        <v>276.04469996003473</v>
      </c>
      <c r="AH51" s="386">
        <f t="shared" ca="1" si="9"/>
        <v>276.04469996003473</v>
      </c>
      <c r="AI51" s="386">
        <f t="shared" ca="1" si="9"/>
        <v>276.04469996003473</v>
      </c>
      <c r="AJ51" s="386">
        <f t="shared" ca="1" si="9"/>
        <v>276.04469996003473</v>
      </c>
      <c r="AK51" s="386">
        <f t="shared" ca="1" si="9"/>
        <v>276.04469996003473</v>
      </c>
      <c r="AL51" s="386">
        <f t="shared" ca="1" si="9"/>
        <v>276.04469996003473</v>
      </c>
      <c r="AM51" s="386">
        <f t="shared" ca="1" si="9"/>
        <v>276.04469996003473</v>
      </c>
      <c r="AN51" s="386">
        <f t="shared" ca="1" si="9"/>
        <v>276.04469996003473</v>
      </c>
      <c r="AO51" s="8"/>
    </row>
    <row r="52" spans="2:41" ht="18.75">
      <c r="B52" s="8"/>
      <c r="C52" s="279" t="s">
        <v>89</v>
      </c>
      <c r="D52" s="115"/>
      <c r="E52" s="8"/>
      <c r="F52" s="8"/>
      <c r="G52" s="304" t="s">
        <v>840</v>
      </c>
      <c r="H52" s="321">
        <f>(Nieuwbouw!E59/1000)</f>
        <v>0</v>
      </c>
      <c r="I52" s="321">
        <f>(Nieuwbouw!F59/1000)</f>
        <v>0</v>
      </c>
      <c r="J52" s="321">
        <f>(Nieuwbouw!G59/1000)</f>
        <v>0</v>
      </c>
      <c r="K52" s="321">
        <f>(Nieuwbouw!H59/1000)</f>
        <v>0</v>
      </c>
      <c r="L52" s="321">
        <f>(Nieuwbouw!I59/1000)</f>
        <v>0</v>
      </c>
      <c r="M52" s="321">
        <f>(Nieuwbouw!J59/1000)</f>
        <v>0</v>
      </c>
      <c r="N52" s="321">
        <f>(Nieuwbouw!K59/1000)</f>
        <v>0</v>
      </c>
      <c r="O52" s="321">
        <f>(Nieuwbouw!L59/1000)</f>
        <v>1183.0866666666666</v>
      </c>
      <c r="P52" s="321">
        <f>(Nieuwbouw!M59/1000)</f>
        <v>1183.0866666666666</v>
      </c>
      <c r="Q52" s="321">
        <f>(Nieuwbouw!N59/1000)</f>
        <v>1183.0866666666666</v>
      </c>
      <c r="R52" s="321">
        <f>(Nieuwbouw!O59/1000)</f>
        <v>0</v>
      </c>
      <c r="S52" s="321">
        <f>(Nieuwbouw!P59/1000)</f>
        <v>0</v>
      </c>
      <c r="T52" s="321">
        <f>(Nieuwbouw!Q59/1000)</f>
        <v>314.95333333333332</v>
      </c>
      <c r="U52" s="321">
        <f>(Nieuwbouw!R59/1000)</f>
        <v>314.95333333333332</v>
      </c>
      <c r="V52" s="321">
        <f>(Nieuwbouw!S59/1000)</f>
        <v>314.95333333333332</v>
      </c>
      <c r="W52" s="321">
        <f>(Nieuwbouw!T59/1000)</f>
        <v>0</v>
      </c>
      <c r="X52" s="321">
        <f>(Nieuwbouw!U59/1000)</f>
        <v>0</v>
      </c>
      <c r="Y52" s="321">
        <f>(Nieuwbouw!V59/1000)</f>
        <v>0</v>
      </c>
      <c r="Z52" s="321">
        <f>(Nieuwbouw!W59/1000)</f>
        <v>0</v>
      </c>
      <c r="AA52" s="321">
        <f>(Nieuwbouw!X59/1000)</f>
        <v>0</v>
      </c>
      <c r="AB52" s="321">
        <f>(Nieuwbouw!Y59/1000)</f>
        <v>246.04666666666665</v>
      </c>
      <c r="AC52" s="321">
        <f>(Nieuwbouw!Z59/1000)</f>
        <v>246.04666666666665</v>
      </c>
      <c r="AD52" s="321">
        <f>(Nieuwbouw!AA59/1000)</f>
        <v>246.04666666666665</v>
      </c>
      <c r="AE52" s="321">
        <f>(Nieuwbouw!AB59/1000)</f>
        <v>0</v>
      </c>
      <c r="AF52" s="321">
        <f>(Nieuwbouw!AC59/1000)</f>
        <v>0</v>
      </c>
      <c r="AG52" s="321">
        <f>(Nieuwbouw!AD59/1000)</f>
        <v>0</v>
      </c>
      <c r="AH52" s="321">
        <f>(Nieuwbouw!AE59/1000)</f>
        <v>0</v>
      </c>
      <c r="AI52" s="321">
        <f>(Nieuwbouw!AF59/1000)</f>
        <v>0</v>
      </c>
      <c r="AJ52" s="321">
        <f>(Nieuwbouw!AG59/1000)</f>
        <v>0</v>
      </c>
      <c r="AK52" s="321">
        <f>(Nieuwbouw!AH59/1000)</f>
        <v>0</v>
      </c>
      <c r="AL52" s="321">
        <f>(Nieuwbouw!AI59/1000)</f>
        <v>0</v>
      </c>
      <c r="AM52" s="321">
        <f>(Nieuwbouw!AJ59/1000)</f>
        <v>0</v>
      </c>
      <c r="AN52" s="321">
        <f>(Nieuwbouw!AK59/1000)</f>
        <v>0</v>
      </c>
      <c r="AO52" s="8"/>
    </row>
    <row r="53" spans="2:41" ht="18.75">
      <c r="B53" s="8"/>
      <c r="C53" s="279" t="s">
        <v>90</v>
      </c>
      <c r="D53" s="115"/>
      <c r="E53" s="8"/>
      <c r="F53" s="8"/>
      <c r="G53" s="305" t="s">
        <v>841</v>
      </c>
      <c r="H53" s="387">
        <f t="shared" ref="H53:AN53" ca="1" si="10">IF($H51=0,0,(H51/$H51)-1)</f>
        <v>0</v>
      </c>
      <c r="I53" s="319">
        <f ca="1">IF($H51=0,0,(I51/$H51)-1)</f>
        <v>8.2985192810802744E-6</v>
      </c>
      <c r="J53" s="319">
        <f t="shared" ca="1" si="10"/>
        <v>8.2985192810802744E-6</v>
      </c>
      <c r="K53" s="319">
        <f t="shared" ca="1" si="10"/>
        <v>8.2985192810802744E-6</v>
      </c>
      <c r="L53" s="319">
        <f t="shared" ca="1" si="10"/>
        <v>8.2985192810802744E-6</v>
      </c>
      <c r="M53" s="319">
        <f t="shared" ca="1" si="10"/>
        <v>-0.43407065981487281</v>
      </c>
      <c r="N53" s="319">
        <f t="shared" ca="1" si="10"/>
        <v>-0.47748429124796321</v>
      </c>
      <c r="O53" s="319">
        <f t="shared" ca="1" si="10"/>
        <v>-0.5590690445997204</v>
      </c>
      <c r="P53" s="319">
        <f t="shared" ca="1" si="10"/>
        <v>-0.56549654254274406</v>
      </c>
      <c r="Q53" s="319">
        <f t="shared" ca="1" si="10"/>
        <v>-0.54512839722884698</v>
      </c>
      <c r="R53" s="319">
        <f t="shared" ca="1" si="10"/>
        <v>-0.56892013465596891</v>
      </c>
      <c r="S53" s="319">
        <f t="shared" ca="1" si="10"/>
        <v>-0.5716442433588218</v>
      </c>
      <c r="T53" s="319">
        <f t="shared" ca="1" si="10"/>
        <v>-0.57436835206167447</v>
      </c>
      <c r="U53" s="319">
        <f t="shared" ca="1" si="10"/>
        <v>-0.57709246076452692</v>
      </c>
      <c r="V53" s="319">
        <f t="shared" ca="1" si="10"/>
        <v>-0.67400799280038082</v>
      </c>
      <c r="W53" s="319">
        <f t="shared" ca="1" si="10"/>
        <v>-0.67400799280038082</v>
      </c>
      <c r="X53" s="319">
        <f t="shared" ca="1" si="10"/>
        <v>-0.67400799280038082</v>
      </c>
      <c r="Y53" s="319">
        <f t="shared" ca="1" si="10"/>
        <v>-0.67400799280038082</v>
      </c>
      <c r="Z53" s="319">
        <f t="shared" ca="1" si="10"/>
        <v>-0.68218031890893893</v>
      </c>
      <c r="AA53" s="319">
        <f t="shared" ca="1" si="10"/>
        <v>-0.68218031890893893</v>
      </c>
      <c r="AB53" s="319">
        <f t="shared" ca="1" si="10"/>
        <v>-0.68218031890893893</v>
      </c>
      <c r="AC53" s="319">
        <f t="shared" ca="1" si="10"/>
        <v>-0.68218031890893893</v>
      </c>
      <c r="AD53" s="319">
        <f t="shared" ca="1" si="10"/>
        <v>-0.69472784314286296</v>
      </c>
      <c r="AE53" s="319">
        <f t="shared" ca="1" si="10"/>
        <v>-0.69472784314286296</v>
      </c>
      <c r="AF53" s="319">
        <f t="shared" ca="1" si="10"/>
        <v>-0.69472784314286296</v>
      </c>
      <c r="AG53" s="319">
        <f t="shared" ca="1" si="10"/>
        <v>-0.69472784314286296</v>
      </c>
      <c r="AH53" s="319">
        <f t="shared" ca="1" si="10"/>
        <v>-0.69472784314286296</v>
      </c>
      <c r="AI53" s="319">
        <f t="shared" ca="1" si="10"/>
        <v>-0.69472784314286296</v>
      </c>
      <c r="AJ53" s="319">
        <f t="shared" ca="1" si="10"/>
        <v>-0.69472784314286296</v>
      </c>
      <c r="AK53" s="319">
        <f t="shared" ca="1" si="10"/>
        <v>-0.69472784314286296</v>
      </c>
      <c r="AL53" s="319">
        <f t="shared" ca="1" si="10"/>
        <v>-0.69472784314286296</v>
      </c>
      <c r="AM53" s="319">
        <f t="shared" ca="1" si="10"/>
        <v>-0.69472784314286296</v>
      </c>
      <c r="AN53" s="319">
        <f t="shared" ca="1" si="10"/>
        <v>-0.69472784314286296</v>
      </c>
      <c r="AO53" s="8"/>
    </row>
    <row r="54" spans="2:41" ht="18.600000000000001" customHeight="1">
      <c r="B54" s="8"/>
      <c r="C54" s="280" t="s">
        <v>91</v>
      </c>
      <c r="D54" s="115"/>
      <c r="E54" s="8"/>
      <c r="F54" s="8"/>
      <c r="G54" s="305" t="s">
        <v>689</v>
      </c>
      <c r="H54" s="337">
        <f t="shared" ref="H54:AN54" ca="1" si="11">IF($H31=0,0,(H31/$H31)-1)</f>
        <v>0</v>
      </c>
      <c r="I54" s="337">
        <f t="shared" ca="1" si="11"/>
        <v>0</v>
      </c>
      <c r="J54" s="337">
        <f t="shared" ca="1" si="11"/>
        <v>0</v>
      </c>
      <c r="K54" s="337">
        <f t="shared" ca="1" si="11"/>
        <v>0</v>
      </c>
      <c r="L54" s="337">
        <f t="shared" ca="1" si="11"/>
        <v>0</v>
      </c>
      <c r="M54" s="337">
        <f t="shared" ca="1" si="11"/>
        <v>-0.63452014280126834</v>
      </c>
      <c r="N54" s="337">
        <f t="shared" ca="1" si="11"/>
        <v>-0.68943051336889494</v>
      </c>
      <c r="O54" s="337">
        <f t="shared" ca="1" si="11"/>
        <v>-0.7387464944618739</v>
      </c>
      <c r="P54" s="337">
        <f t="shared" ca="1" si="11"/>
        <v>-0.77396777193405852</v>
      </c>
      <c r="Q54" s="337">
        <f t="shared" ca="1" si="11"/>
        <v>-0.83337079231402966</v>
      </c>
      <c r="R54" s="337">
        <f t="shared" ca="1" si="11"/>
        <v>-0.84833431807401372</v>
      </c>
      <c r="S54" s="337">
        <f t="shared" ca="1" si="11"/>
        <v>-0.86329784383399766</v>
      </c>
      <c r="T54" s="337">
        <f t="shared" ca="1" si="11"/>
        <v>-0.87826136959398171</v>
      </c>
      <c r="U54" s="337">
        <f t="shared" ca="1" si="11"/>
        <v>-0.89322489535396576</v>
      </c>
      <c r="V54" s="337">
        <f t="shared" ca="1" si="11"/>
        <v>-0.93471840022635166</v>
      </c>
      <c r="W54" s="337">
        <f t="shared" ca="1" si="11"/>
        <v>-0.93471840022635166</v>
      </c>
      <c r="X54" s="337">
        <f t="shared" ca="1" si="11"/>
        <v>-0.93471840022635166</v>
      </c>
      <c r="Y54" s="337">
        <f t="shared" ca="1" si="11"/>
        <v>-0.93471840022635166</v>
      </c>
      <c r="Z54" s="337">
        <f t="shared" ca="1" si="11"/>
        <v>-0.97960897750630371</v>
      </c>
      <c r="AA54" s="337">
        <f t="shared" ca="1" si="11"/>
        <v>-0.97960897750630371</v>
      </c>
      <c r="AB54" s="337">
        <f t="shared" ca="1" si="11"/>
        <v>-0.97960897750630371</v>
      </c>
      <c r="AC54" s="337">
        <f t="shared" ca="1" si="11"/>
        <v>-0.97960897750630371</v>
      </c>
      <c r="AD54" s="337">
        <f t="shared" ca="1" si="11"/>
        <v>-0.97960897750630371</v>
      </c>
      <c r="AE54" s="337">
        <f t="shared" ca="1" si="11"/>
        <v>-0.97960897750630371</v>
      </c>
      <c r="AF54" s="337">
        <f t="shared" ca="1" si="11"/>
        <v>-0.97960897750630371</v>
      </c>
      <c r="AG54" s="337">
        <f t="shared" ca="1" si="11"/>
        <v>-0.97960897750630371</v>
      </c>
      <c r="AH54" s="337">
        <f t="shared" ca="1" si="11"/>
        <v>-0.97960897750630371</v>
      </c>
      <c r="AI54" s="337">
        <f t="shared" ca="1" si="11"/>
        <v>-0.97960897750630371</v>
      </c>
      <c r="AJ54" s="337">
        <f t="shared" ca="1" si="11"/>
        <v>-0.97960897750630371</v>
      </c>
      <c r="AK54" s="337">
        <f t="shared" ca="1" si="11"/>
        <v>-0.97960897750630371</v>
      </c>
      <c r="AL54" s="337">
        <f t="shared" ca="1" si="11"/>
        <v>-0.97960897750630371</v>
      </c>
      <c r="AM54" s="337">
        <f t="shared" ca="1" si="11"/>
        <v>-0.97960897750630371</v>
      </c>
      <c r="AN54" s="337">
        <f t="shared" ca="1" si="11"/>
        <v>-0.97960897750630371</v>
      </c>
      <c r="AO54" s="8"/>
    </row>
    <row r="55" spans="2:41" ht="46.5" customHeigh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2:41" ht="14.45" customHeight="1">
      <c r="B56" s="9"/>
      <c r="C56" s="9"/>
      <c r="D56" s="9"/>
      <c r="E56" s="9"/>
      <c r="F56" s="9"/>
      <c r="G56" s="9"/>
      <c r="H56" s="9"/>
      <c r="I56" s="9"/>
      <c r="J56" s="9"/>
      <c r="K56" s="9"/>
      <c r="L56" s="9"/>
      <c r="M56" s="9"/>
      <c r="N56" s="9"/>
      <c r="O56" s="9"/>
      <c r="P56" s="157"/>
      <c r="Q56" s="157"/>
      <c r="R56" s="9"/>
      <c r="S56" s="9"/>
      <c r="T56" s="9"/>
      <c r="U56" s="9"/>
      <c r="V56" s="9"/>
      <c r="W56" s="9"/>
      <c r="X56" s="9"/>
      <c r="Y56" s="9"/>
      <c r="Z56" s="9"/>
      <c r="AA56" s="9"/>
      <c r="AB56" s="9"/>
      <c r="AC56" s="9"/>
      <c r="AD56" s="9"/>
      <c r="AE56" s="9"/>
      <c r="AF56" s="9"/>
      <c r="AG56" s="9"/>
      <c r="AH56" s="9"/>
      <c r="AI56" s="9"/>
      <c r="AJ56" s="9"/>
      <c r="AK56" s="9"/>
      <c r="AL56" s="9"/>
      <c r="AM56" s="9"/>
      <c r="AN56" s="9"/>
      <c r="AO56" s="9"/>
    </row>
    <row r="57" spans="2:41" ht="14.45" customHeight="1">
      <c r="M57" s="349">
        <f ca="1">M29*CO2factorElektriciteit</f>
        <v>308019.45750796731</v>
      </c>
      <c r="N57" s="350"/>
      <c r="O57" s="350"/>
      <c r="P57" s="351"/>
      <c r="Q57" s="351"/>
      <c r="R57" s="350"/>
      <c r="S57" s="350"/>
      <c r="T57" s="349">
        <f ca="1">T29*CO2factorElektriciteit</f>
        <v>323731.61926007824</v>
      </c>
      <c r="U57" s="350"/>
      <c r="V57" s="350"/>
      <c r="W57" s="350"/>
      <c r="X57" s="350"/>
      <c r="Y57" s="350"/>
      <c r="Z57" s="350"/>
      <c r="AA57" s="350"/>
      <c r="AB57" s="350"/>
      <c r="AC57" s="350"/>
      <c r="AD57" s="350"/>
      <c r="AE57" s="350"/>
      <c r="AF57" s="350"/>
      <c r="AG57" s="350"/>
      <c r="AH57" s="350"/>
      <c r="AI57" s="350"/>
      <c r="AJ57" s="350"/>
      <c r="AK57" s="350"/>
      <c r="AL57" s="350"/>
      <c r="AM57" s="350"/>
      <c r="AN57" s="349">
        <f ca="1">AN29*CO2factorElektriciteit</f>
        <v>265802.32892003475</v>
      </c>
      <c r="AO57" s="350"/>
    </row>
    <row r="58" spans="2:41" ht="14.45" customHeight="1">
      <c r="M58" s="349">
        <f ca="1">M31*CO2factorAardgas</f>
        <v>183579.82323999997</v>
      </c>
      <c r="N58" s="350"/>
      <c r="O58" s="350"/>
      <c r="P58" s="351"/>
      <c r="Q58" s="351"/>
      <c r="R58" s="350"/>
      <c r="S58" s="350"/>
      <c r="T58" s="349">
        <f ca="1">T31*CO2factorAardgas</f>
        <v>61149.077879999997</v>
      </c>
      <c r="U58" s="350"/>
      <c r="V58" s="350"/>
      <c r="W58" s="350"/>
      <c r="X58" s="350"/>
      <c r="Y58" s="350"/>
      <c r="Z58" s="350"/>
      <c r="AA58" s="350"/>
      <c r="AB58" s="350"/>
      <c r="AC58" s="350"/>
      <c r="AD58" s="350"/>
      <c r="AE58" s="350"/>
      <c r="AF58" s="350"/>
      <c r="AG58" s="350"/>
      <c r="AH58" s="350"/>
      <c r="AI58" s="350"/>
      <c r="AJ58" s="350"/>
      <c r="AK58" s="350"/>
      <c r="AL58" s="350"/>
      <c r="AM58" s="350"/>
      <c r="AN58" s="349">
        <f ca="1">AN31*CO2factorAardgas</f>
        <v>10242.371040000013</v>
      </c>
      <c r="AO58" s="350"/>
    </row>
    <row r="59" spans="2:41">
      <c r="M59" s="349">
        <f ca="1">(M33-M41)*CO2factorWarmte</f>
        <v>20146.685600000001</v>
      </c>
      <c r="N59" s="350"/>
      <c r="O59" s="350"/>
      <c r="P59" s="351"/>
      <c r="Q59" s="351"/>
      <c r="R59" s="350"/>
      <c r="S59" s="350"/>
      <c r="T59" s="349">
        <f ca="1">(T33-T41)*CO2factorWarmte</f>
        <v>-19054.8</v>
      </c>
      <c r="U59" s="350"/>
      <c r="V59" s="350"/>
      <c r="W59" s="350"/>
      <c r="X59" s="350"/>
      <c r="Y59" s="350"/>
      <c r="Z59" s="350"/>
      <c r="AA59" s="350"/>
      <c r="AB59" s="350"/>
      <c r="AC59" s="350"/>
      <c r="AD59" s="350"/>
      <c r="AE59" s="350"/>
      <c r="AF59" s="350"/>
      <c r="AG59" s="350"/>
      <c r="AH59" s="350"/>
      <c r="AI59" s="350"/>
      <c r="AJ59" s="350"/>
      <c r="AK59" s="350"/>
      <c r="AL59" s="350"/>
      <c r="AM59" s="350"/>
      <c r="AN59" s="349">
        <f ca="1">(AN33-AN41)*CO2factorWarmte</f>
        <v>0</v>
      </c>
      <c r="AO59" s="350"/>
    </row>
  </sheetData>
  <sheetProtection algorithmName="SHA-512" hashValue="mcGat0luSOmPWZrPjfs32J1pKgl5IeXlpHOhFikh1TCoJ26Egyeyt5S10yCoefU47dwHRTpPph4jmigSwYyapw==" saltValue="tfZeW+fIl0TUsvvcFWfszQ==" spinCount="100000" sheet="1" objects="1" scenarios="1" selectLockedCells="1" autoFilter="0"/>
  <mergeCells count="7">
    <mergeCell ref="AI6:AN7"/>
    <mergeCell ref="Y8:AN17"/>
    <mergeCell ref="G7:K15"/>
    <mergeCell ref="M7:T15"/>
    <mergeCell ref="C2:F3"/>
    <mergeCell ref="G2:AE3"/>
    <mergeCell ref="Y6:AG7"/>
  </mergeCells>
  <pageMargins left="0.7" right="0.7" top="0.75" bottom="0.75" header="0.3" footer="0.3"/>
  <pageSetup paperSize="8" scale="2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8">
    <tabColor rgb="FF62929E"/>
    <pageSetUpPr fitToPage="1"/>
  </sheetPr>
  <dimension ref="A1:HE65"/>
  <sheetViews>
    <sheetView zoomScale="55" zoomScaleNormal="55" workbookViewId="0">
      <selection activeCell="E23" sqref="E23"/>
    </sheetView>
  </sheetViews>
  <sheetFormatPr defaultColWidth="9.140625" defaultRowHeight="15"/>
  <cols>
    <col min="1" max="1" width="2.28515625" style="7" customWidth="1"/>
    <col min="2" max="3" width="3.85546875" style="7" customWidth="1"/>
    <col min="4" max="4" width="51.42578125" style="7" customWidth="1"/>
    <col min="5" max="5" width="15.28515625" style="7" customWidth="1"/>
    <col min="6" max="6" width="14" style="7" customWidth="1"/>
    <col min="7" max="7" width="14.140625" style="7" customWidth="1"/>
    <col min="8" max="37" width="12.7109375" style="7" customWidth="1"/>
    <col min="38" max="38" width="2.7109375" style="7" customWidth="1"/>
    <col min="39" max="39" width="7" style="7" customWidth="1"/>
    <col min="40" max="40" width="4.7109375" style="7" customWidth="1"/>
    <col min="41" max="41" width="11.28515625" style="7" customWidth="1"/>
    <col min="42" max="42" width="8.7109375" style="7" customWidth="1"/>
    <col min="43" max="43" width="10" style="7" customWidth="1"/>
    <col min="44" max="44" width="6" style="7" customWidth="1"/>
    <col min="45" max="45" width="9.7109375" style="7" customWidth="1"/>
    <col min="46" max="46" width="4.7109375" style="7" customWidth="1"/>
    <col min="47" max="47" width="9.28515625" style="7" customWidth="1"/>
    <col min="48" max="48" width="8.7109375" style="7" customWidth="1"/>
    <col min="49" max="51" width="6.42578125" style="7" customWidth="1"/>
    <col min="52" max="52" width="4.85546875" style="7" customWidth="1"/>
    <col min="53" max="53" width="9" style="7" customWidth="1"/>
    <col min="54" max="54" width="8.7109375" style="7" customWidth="1"/>
    <col min="55" max="57" width="8" style="7" customWidth="1"/>
    <col min="58" max="58" width="4.7109375" style="7" customWidth="1"/>
    <col min="59" max="59" width="9.140625" style="7" customWidth="1"/>
    <col min="60" max="60" width="8.7109375" style="7" customWidth="1"/>
    <col min="61" max="61" width="9" style="7" customWidth="1"/>
    <col min="62" max="63" width="4.5703125" style="7" customWidth="1"/>
    <col min="64" max="64" width="4.7109375" style="7" customWidth="1"/>
    <col min="65" max="65" width="9" style="7" customWidth="1"/>
    <col min="66" max="66" width="8.7109375" style="7" customWidth="1"/>
    <col min="67" max="67" width="10.42578125" style="7" customWidth="1"/>
    <col min="68" max="68" width="10.7109375" style="7" customWidth="1"/>
    <col min="69" max="69" width="7.85546875" style="7" customWidth="1"/>
    <col min="70" max="70" width="4.7109375" style="7" customWidth="1"/>
    <col min="71" max="71" width="10.42578125" style="7" customWidth="1"/>
    <col min="72" max="72" width="8.7109375" style="7" customWidth="1"/>
    <col min="73" max="75" width="7.42578125" style="7" customWidth="1"/>
    <col min="76" max="76" width="4.7109375" style="7" customWidth="1"/>
    <col min="77" max="77" width="12.28515625" style="7" customWidth="1"/>
    <col min="78" max="78" width="8.7109375" style="7" customWidth="1"/>
    <col min="79" max="81" width="7" style="7" customWidth="1"/>
    <col min="82" max="82" width="4.7109375" style="7" customWidth="1"/>
    <col min="83" max="83" width="9.140625" style="7" customWidth="1"/>
    <col min="84" max="84" width="10.28515625" style="7" customWidth="1"/>
    <col min="85" max="87" width="7.85546875" style="7" customWidth="1"/>
    <col min="88" max="88" width="7" style="7" customWidth="1"/>
    <col min="89" max="89" width="7.7109375" style="7" customWidth="1"/>
    <col min="90" max="90" width="8.7109375" style="63" customWidth="1"/>
    <col min="91" max="94" width="5.7109375" style="63" customWidth="1"/>
    <col min="95" max="95" width="7.5703125" style="63" customWidth="1"/>
    <col min="96" max="96" width="8.7109375" style="63" customWidth="1"/>
    <col min="97" max="100" width="5.7109375" style="63" customWidth="1"/>
    <col min="101" max="101" width="7" style="63" customWidth="1"/>
    <col min="102" max="102" width="8.7109375" style="63" customWidth="1"/>
    <col min="103" max="106" width="5.7109375" style="63" customWidth="1"/>
    <col min="107" max="107" width="8.28515625" style="63" customWidth="1"/>
    <col min="108" max="108" width="8.7109375" style="63" customWidth="1"/>
    <col min="109" max="113" width="5.7109375" style="63" customWidth="1"/>
    <col min="114" max="114" width="8.7109375" style="63" customWidth="1"/>
    <col min="115" max="119" width="5.7109375" style="63" customWidth="1"/>
    <col min="120" max="120" width="8.7109375" style="63" customWidth="1"/>
    <col min="121" max="125" width="5.7109375" style="63" customWidth="1"/>
    <col min="126" max="126" width="8.7109375" style="63" customWidth="1"/>
    <col min="127" max="131" width="5.7109375" style="63" customWidth="1"/>
    <col min="132" max="132" width="8.7109375" style="63" customWidth="1"/>
    <col min="133" max="137" width="5.7109375" style="63" customWidth="1"/>
    <col min="138" max="138" width="8.7109375" style="63" customWidth="1"/>
    <col min="139" max="143" width="5.7109375" style="63" customWidth="1"/>
    <col min="144" max="144" width="8.7109375" style="63" customWidth="1"/>
    <col min="145" max="149" width="5.7109375" style="63" customWidth="1"/>
    <col min="150" max="150" width="8.7109375" style="63" customWidth="1"/>
    <col min="151" max="151" width="6.140625" style="63" customWidth="1"/>
    <col min="152" max="155" width="5.7109375" style="63" customWidth="1"/>
    <col min="156" max="156" width="8.7109375" style="63" customWidth="1"/>
    <col min="157" max="161" width="5.7109375" style="63" customWidth="1"/>
    <col min="162" max="162" width="8.7109375" style="63" customWidth="1"/>
    <col min="163" max="167" width="5.7109375" style="63" customWidth="1"/>
    <col min="168" max="168" width="8.7109375" style="63" customWidth="1"/>
    <col min="169" max="173" width="5.7109375" style="63" customWidth="1"/>
    <col min="174" max="174" width="8.7109375" style="63" customWidth="1"/>
    <col min="175" max="179" width="5.7109375" style="63" customWidth="1"/>
    <col min="180" max="180" width="8.7109375" style="63" customWidth="1"/>
    <col min="181" max="185" width="5.7109375" style="63" customWidth="1"/>
    <col min="186" max="186" width="8.7109375" style="63" customWidth="1"/>
    <col min="187" max="191" width="5.7109375" style="63" customWidth="1"/>
    <col min="192" max="192" width="8.7109375" style="63" customWidth="1"/>
    <col min="193" max="193" width="8" style="63" customWidth="1"/>
    <col min="194" max="197" width="5.7109375" style="63" customWidth="1"/>
    <col min="198" max="198" width="8.7109375" style="63" customWidth="1"/>
    <col min="199" max="199" width="7" style="63" customWidth="1"/>
    <col min="200" max="202" width="5.7109375" style="63" customWidth="1"/>
    <col min="203" max="203" width="5.5703125" style="63" customWidth="1"/>
    <col min="204" max="204" width="8.7109375" style="63" customWidth="1"/>
    <col min="205" max="207" width="5.7109375" style="7" customWidth="1"/>
    <col min="208" max="208" width="12.85546875" style="7" customWidth="1"/>
    <col min="209" max="209" width="7.42578125" style="7" customWidth="1"/>
    <col min="210" max="210" width="3" style="7" customWidth="1"/>
    <col min="211" max="16384" width="9.140625" style="7"/>
  </cols>
  <sheetData>
    <row r="1" spans="1:212" ht="21" customHeight="1">
      <c r="A1" s="171"/>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row>
    <row r="2" spans="1:212" s="64" customFormat="1" ht="44.25" customHeight="1">
      <c r="A2" s="7"/>
      <c r="B2" s="73"/>
      <c r="C2" s="73"/>
      <c r="D2" s="253" t="str">
        <f ca="1">MID(CELL("bestandsnaam",A1),SEARCH("]",CELL("bestandsnaam",A1))+1,100)</f>
        <v>Nieuwbouw</v>
      </c>
      <c r="E2" s="72"/>
      <c r="F2" s="72"/>
      <c r="G2" s="72"/>
      <c r="H2" s="66"/>
      <c r="I2" s="66"/>
      <c r="J2" s="66"/>
      <c r="K2" s="66"/>
      <c r="L2" s="66"/>
      <c r="M2" s="66"/>
      <c r="N2" s="66"/>
      <c r="O2" s="71"/>
      <c r="P2" s="71"/>
      <c r="Q2" s="71"/>
      <c r="R2" s="71"/>
      <c r="S2" s="71"/>
      <c r="T2" s="71"/>
      <c r="U2" s="71"/>
      <c r="V2" s="71"/>
      <c r="W2" s="70" t="s">
        <v>138</v>
      </c>
      <c r="X2" s="66"/>
      <c r="Y2" s="66"/>
      <c r="Z2" s="66"/>
      <c r="AA2" s="66"/>
      <c r="AB2" s="66"/>
      <c r="AC2" s="66"/>
      <c r="AD2" s="66"/>
      <c r="AE2" s="66"/>
      <c r="AF2" s="66"/>
      <c r="AG2" s="66"/>
      <c r="AH2" s="66"/>
      <c r="AI2" s="67"/>
      <c r="AJ2" s="66"/>
      <c r="AK2" s="66"/>
      <c r="AL2" s="66"/>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row>
    <row r="3" spans="1:212" s="65" customFormat="1" ht="15.75" customHeight="1">
      <c r="B3" s="74"/>
      <c r="C3" s="74"/>
      <c r="D3" s="74"/>
      <c r="E3" s="74"/>
      <c r="F3" s="74"/>
      <c r="G3" s="74"/>
      <c r="H3" s="74"/>
      <c r="I3" s="74"/>
      <c r="J3" s="74"/>
      <c r="K3" s="74"/>
      <c r="L3" s="74"/>
      <c r="M3" s="74"/>
      <c r="N3" s="74"/>
      <c r="O3" s="74"/>
      <c r="P3" s="74"/>
      <c r="Q3" s="74"/>
      <c r="R3" s="74"/>
      <c r="S3" s="9"/>
      <c r="T3" s="74"/>
      <c r="U3" s="74"/>
      <c r="V3" s="74"/>
      <c r="W3" s="74"/>
      <c r="X3" s="74"/>
      <c r="Y3" s="74"/>
      <c r="Z3" s="74"/>
      <c r="AA3" s="74"/>
      <c r="AB3" s="74"/>
      <c r="AC3" s="74"/>
      <c r="AD3" s="74"/>
      <c r="AE3" s="74"/>
      <c r="AF3" s="74"/>
      <c r="AG3" s="74"/>
      <c r="AH3" s="74"/>
      <c r="AI3" s="74"/>
      <c r="AJ3" s="74"/>
      <c r="AK3" s="74"/>
      <c r="AL3" s="74"/>
      <c r="AM3" s="68"/>
      <c r="AN3" s="69"/>
      <c r="AO3" s="68"/>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row>
    <row r="4" spans="1:212" ht="23.25" customHeight="1">
      <c r="B4" s="8"/>
      <c r="C4" s="8"/>
      <c r="D4" s="8"/>
      <c r="E4" s="8"/>
      <c r="F4" s="8"/>
      <c r="G4" s="8"/>
      <c r="H4" s="8"/>
      <c r="I4" s="8"/>
      <c r="J4" s="8"/>
      <c r="K4" s="8"/>
      <c r="L4" s="8"/>
      <c r="M4" s="8"/>
      <c r="N4" s="8"/>
      <c r="O4" s="8"/>
      <c r="P4" s="8"/>
      <c r="Q4" s="8"/>
      <c r="R4" s="8"/>
      <c r="S4" s="8"/>
      <c r="T4" s="8"/>
      <c r="U4" s="8"/>
      <c r="V4" s="8"/>
      <c r="W4" s="8"/>
      <c r="X4" s="8"/>
      <c r="Y4" s="9"/>
      <c r="Z4" s="9"/>
      <c r="AA4" s="9"/>
      <c r="AB4" s="9"/>
      <c r="AC4" s="9"/>
      <c r="AD4" s="9"/>
      <c r="AE4" s="9"/>
      <c r="AF4" s="9"/>
      <c r="AG4" s="9"/>
      <c r="AH4" s="9"/>
      <c r="AI4" s="9"/>
      <c r="AJ4" s="9"/>
      <c r="AK4" s="9"/>
      <c r="AL4" s="9"/>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row>
    <row r="5" spans="1:212" ht="23.25" customHeight="1">
      <c r="B5" s="8"/>
      <c r="C5" s="8"/>
      <c r="D5" s="8"/>
      <c r="E5" s="8"/>
      <c r="F5" s="8"/>
      <c r="G5" s="8"/>
      <c r="H5" s="8"/>
      <c r="I5" s="8"/>
      <c r="J5" s="8"/>
      <c r="K5" s="8"/>
      <c r="L5" s="8"/>
      <c r="M5" s="8"/>
      <c r="N5" s="8"/>
      <c r="O5" s="8"/>
      <c r="P5" s="8"/>
      <c r="Q5" s="8"/>
      <c r="R5" s="8"/>
      <c r="S5" s="8"/>
      <c r="T5" s="8"/>
      <c r="U5" s="8"/>
      <c r="V5" s="8"/>
      <c r="W5" s="8"/>
      <c r="X5" s="8"/>
      <c r="Y5" s="9"/>
      <c r="Z5" s="9"/>
      <c r="AA5" s="9"/>
      <c r="AB5" s="9"/>
      <c r="AC5" s="9"/>
      <c r="AD5" s="9"/>
      <c r="AE5" s="9"/>
      <c r="AF5" s="9"/>
      <c r="AG5" s="9"/>
      <c r="AH5" s="9"/>
      <c r="AI5" s="9"/>
      <c r="AJ5" s="9"/>
      <c r="AK5" s="9"/>
      <c r="AL5" s="9"/>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row>
    <row r="6" spans="1:212" ht="23.25" customHeight="1">
      <c r="B6" s="8"/>
      <c r="C6" s="8"/>
      <c r="D6" s="8"/>
      <c r="E6" s="8"/>
      <c r="F6" s="8"/>
      <c r="G6" s="8"/>
      <c r="H6" s="8"/>
      <c r="I6" s="8"/>
      <c r="J6" s="8"/>
      <c r="K6" s="8"/>
      <c r="L6" s="8"/>
      <c r="M6" s="8"/>
      <c r="N6" s="8"/>
      <c r="O6" s="8"/>
      <c r="P6" s="8"/>
      <c r="Q6" s="8"/>
      <c r="R6" s="8"/>
      <c r="S6" s="8"/>
      <c r="T6" s="8"/>
      <c r="U6" s="8"/>
      <c r="V6" s="8"/>
      <c r="W6" s="8"/>
      <c r="X6" s="8"/>
      <c r="Y6" s="9"/>
      <c r="Z6" s="9"/>
      <c r="AA6" s="9"/>
      <c r="AB6" s="9"/>
      <c r="AC6" s="9"/>
      <c r="AD6" s="9"/>
      <c r="AE6" s="9"/>
      <c r="AF6" s="9"/>
      <c r="AG6" s="9"/>
      <c r="AH6" s="9"/>
      <c r="AI6" s="9"/>
      <c r="AJ6" s="9"/>
      <c r="AK6" s="9"/>
      <c r="AL6" s="9"/>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row>
    <row r="7" spans="1:212" ht="23.25" customHeight="1">
      <c r="B7" s="8"/>
      <c r="C7" s="8"/>
      <c r="D7" s="8"/>
      <c r="E7" s="8"/>
      <c r="F7" s="8"/>
      <c r="G7" s="8"/>
      <c r="H7" s="8"/>
      <c r="I7" s="8"/>
      <c r="J7" s="8"/>
      <c r="K7" s="8"/>
      <c r="L7" s="8"/>
      <c r="M7" s="8"/>
      <c r="N7" s="8"/>
      <c r="O7" s="8"/>
      <c r="P7" s="8"/>
      <c r="Q7" s="8"/>
      <c r="R7" s="839" t="s">
        <v>721</v>
      </c>
      <c r="S7" s="839"/>
      <c r="T7" s="839"/>
      <c r="U7" s="839"/>
      <c r="V7" s="839"/>
      <c r="W7" s="839"/>
      <c r="X7" s="8"/>
      <c r="Y7" s="9"/>
      <c r="Z7" s="9"/>
      <c r="AA7" s="9"/>
      <c r="AB7" s="9"/>
      <c r="AC7" s="9"/>
      <c r="AD7" s="9"/>
      <c r="AE7" s="9"/>
      <c r="AF7" s="9"/>
      <c r="AG7" s="9"/>
      <c r="AH7" s="9"/>
      <c r="AI7" s="9"/>
      <c r="AJ7" s="9"/>
      <c r="AK7" s="9"/>
      <c r="AL7" s="9"/>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row>
    <row r="8" spans="1:212" ht="23.25" customHeight="1">
      <c r="B8" s="8"/>
      <c r="C8" s="8"/>
      <c r="D8" s="8"/>
      <c r="E8" s="8"/>
      <c r="F8" s="8"/>
      <c r="G8" s="8"/>
      <c r="H8" s="8"/>
      <c r="I8" s="8"/>
      <c r="J8" s="8"/>
      <c r="K8" s="8"/>
      <c r="L8" s="8"/>
      <c r="M8" s="8"/>
      <c r="N8" s="8"/>
      <c r="O8" s="8"/>
      <c r="P8" s="8"/>
      <c r="Q8" s="8"/>
      <c r="R8" s="839"/>
      <c r="S8" s="839"/>
      <c r="T8" s="839"/>
      <c r="U8" s="839"/>
      <c r="V8" s="839"/>
      <c r="W8" s="839"/>
      <c r="X8" s="8"/>
      <c r="Y8" s="9"/>
      <c r="Z8" s="9"/>
      <c r="AA8" s="9"/>
      <c r="AB8" s="9"/>
      <c r="AC8" s="9"/>
      <c r="AD8" s="9"/>
      <c r="AE8" s="9"/>
      <c r="AF8" s="9"/>
      <c r="AG8" s="9"/>
      <c r="AH8" s="9"/>
      <c r="AI8" s="9"/>
      <c r="AJ8" s="9"/>
      <c r="AK8" s="9"/>
      <c r="AL8" s="9"/>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row>
    <row r="9" spans="1:212" ht="23.25" customHeight="1">
      <c r="B9" s="8"/>
      <c r="C9" s="8"/>
      <c r="D9" s="8"/>
      <c r="E9" s="8"/>
      <c r="F9" s="8"/>
      <c r="G9" s="8"/>
      <c r="H9" s="8"/>
      <c r="I9" s="8"/>
      <c r="J9" s="8"/>
      <c r="K9" s="8"/>
      <c r="L9" s="8"/>
      <c r="M9" s="8"/>
      <c r="N9" s="8"/>
      <c r="O9" s="8"/>
      <c r="P9" s="8"/>
      <c r="Q9" s="8"/>
      <c r="R9" s="839"/>
      <c r="S9" s="839"/>
      <c r="T9" s="839"/>
      <c r="U9" s="839"/>
      <c r="V9" s="839"/>
      <c r="W9" s="839"/>
      <c r="X9" s="8"/>
      <c r="Y9" s="9"/>
      <c r="Z9" s="9"/>
      <c r="AA9" s="9"/>
      <c r="AB9" s="9"/>
      <c r="AC9" s="9"/>
      <c r="AD9" s="9"/>
      <c r="AE9" s="9"/>
      <c r="AF9" s="9"/>
      <c r="AG9" s="9"/>
      <c r="AH9" s="9"/>
      <c r="AI9" s="9"/>
      <c r="AJ9" s="9"/>
      <c r="AK9" s="9"/>
      <c r="AL9" s="9"/>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row>
    <row r="10" spans="1:212" ht="23.25" customHeight="1">
      <c r="B10" s="8"/>
      <c r="C10" s="8"/>
      <c r="D10" s="8"/>
      <c r="E10" s="8"/>
      <c r="F10" s="8"/>
      <c r="G10" s="8"/>
      <c r="H10" s="8"/>
      <c r="I10" s="8"/>
      <c r="J10" s="8"/>
      <c r="K10" s="8"/>
      <c r="L10" s="8"/>
      <c r="M10" s="8"/>
      <c r="N10" s="8"/>
      <c r="O10" s="8"/>
      <c r="P10" s="8"/>
      <c r="Q10" s="8"/>
      <c r="R10" s="839"/>
      <c r="S10" s="839"/>
      <c r="T10" s="839"/>
      <c r="U10" s="839"/>
      <c r="V10" s="839"/>
      <c r="W10" s="839"/>
      <c r="X10" s="8"/>
      <c r="Y10" s="9"/>
      <c r="Z10" s="9"/>
      <c r="AA10" s="9"/>
      <c r="AB10" s="9"/>
      <c r="AC10" s="9"/>
      <c r="AD10" s="9"/>
      <c r="AE10" s="9"/>
      <c r="AF10" s="9"/>
      <c r="AG10" s="9"/>
      <c r="AH10" s="9"/>
      <c r="AI10" s="9"/>
      <c r="AJ10" s="9"/>
      <c r="AK10" s="9"/>
      <c r="AL10" s="9"/>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row>
    <row r="11" spans="1:212" ht="23.25" customHeight="1">
      <c r="B11" s="8"/>
      <c r="C11" s="8"/>
      <c r="D11" s="8"/>
      <c r="E11" s="8"/>
      <c r="F11" s="8"/>
      <c r="G11" s="8"/>
      <c r="H11" s="8"/>
      <c r="I11" s="8"/>
      <c r="J11" s="8"/>
      <c r="K11" s="8"/>
      <c r="L11" s="8"/>
      <c r="M11" s="8"/>
      <c r="N11" s="8"/>
      <c r="O11" s="8"/>
      <c r="P11" s="8"/>
      <c r="Q11" s="8"/>
      <c r="R11" s="839"/>
      <c r="S11" s="839"/>
      <c r="T11" s="839"/>
      <c r="U11" s="839"/>
      <c r="V11" s="839"/>
      <c r="W11" s="839"/>
      <c r="X11" s="8"/>
      <c r="Y11" s="9"/>
      <c r="Z11" s="9"/>
      <c r="AA11" s="9"/>
      <c r="AB11" s="9"/>
      <c r="AC11" s="9"/>
      <c r="AD11" s="9"/>
      <c r="AE11" s="9"/>
      <c r="AF11" s="9"/>
      <c r="AG11" s="9"/>
      <c r="AH11" s="9"/>
      <c r="AI11" s="9"/>
      <c r="AJ11" s="9"/>
      <c r="AK11" s="9"/>
      <c r="AL11" s="9"/>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row>
    <row r="12" spans="1:212" ht="23.25" customHeight="1">
      <c r="B12" s="8"/>
      <c r="C12" s="8"/>
      <c r="D12" s="8"/>
      <c r="E12" s="8"/>
      <c r="F12" s="8"/>
      <c r="G12" s="8"/>
      <c r="H12" s="8"/>
      <c r="I12" s="8"/>
      <c r="J12" s="8"/>
      <c r="K12" s="8"/>
      <c r="L12" s="8"/>
      <c r="M12" s="8"/>
      <c r="N12" s="8"/>
      <c r="O12" s="8"/>
      <c r="P12" s="8"/>
      <c r="Q12" s="8"/>
      <c r="R12" s="251">
        <v>2018</v>
      </c>
      <c r="S12" s="261"/>
      <c r="T12" s="251">
        <v>2029</v>
      </c>
      <c r="U12" s="252"/>
      <c r="V12" s="251">
        <v>2040</v>
      </c>
      <c r="W12" s="766">
        <v>2171</v>
      </c>
      <c r="X12" s="8"/>
      <c r="Y12" s="9"/>
      <c r="Z12" s="9"/>
      <c r="AA12" s="9"/>
      <c r="AB12" s="9"/>
      <c r="AC12" s="9"/>
      <c r="AD12" s="9"/>
      <c r="AE12" s="9"/>
      <c r="AF12" s="9"/>
      <c r="AG12" s="9"/>
      <c r="AH12" s="9"/>
      <c r="AI12" s="9"/>
      <c r="AJ12" s="9"/>
      <c r="AK12" s="9"/>
      <c r="AL12" s="9"/>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row>
    <row r="13" spans="1:212" ht="23.25" customHeight="1">
      <c r="B13" s="8"/>
      <c r="C13" s="8"/>
      <c r="D13" s="8"/>
      <c r="E13" s="8"/>
      <c r="F13" s="8"/>
      <c r="G13" s="8"/>
      <c r="H13" s="8"/>
      <c r="I13" s="8"/>
      <c r="J13" s="8"/>
      <c r="K13" s="8"/>
      <c r="L13" s="8"/>
      <c r="M13" s="8"/>
      <c r="N13" s="8"/>
      <c r="O13" s="8"/>
      <c r="P13" s="8"/>
      <c r="Q13" s="8"/>
      <c r="R13" s="251">
        <v>2019</v>
      </c>
      <c r="S13" s="261"/>
      <c r="T13" s="251">
        <v>2030</v>
      </c>
      <c r="U13" s="252"/>
      <c r="V13" s="251">
        <v>2041</v>
      </c>
      <c r="W13" s="252"/>
      <c r="X13" s="8"/>
      <c r="Y13" s="9"/>
      <c r="Z13" s="9"/>
      <c r="AA13" s="9"/>
      <c r="AB13" s="9"/>
      <c r="AC13" s="9"/>
      <c r="AD13" s="9"/>
      <c r="AE13" s="9"/>
      <c r="AF13" s="9"/>
      <c r="AG13" s="9"/>
      <c r="AH13" s="9"/>
      <c r="AI13" s="9"/>
      <c r="AJ13" s="9"/>
      <c r="AK13" s="9"/>
      <c r="AL13" s="9"/>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row>
    <row r="14" spans="1:212" ht="23.25" customHeight="1">
      <c r="B14" s="8"/>
      <c r="C14" s="8"/>
      <c r="D14" s="8"/>
      <c r="E14" s="8"/>
      <c r="F14" s="8"/>
      <c r="G14" s="8"/>
      <c r="H14" s="8"/>
      <c r="I14" s="8"/>
      <c r="J14" s="8"/>
      <c r="K14" s="8"/>
      <c r="L14" s="8"/>
      <c r="M14" s="8"/>
      <c r="N14" s="8"/>
      <c r="O14" s="8"/>
      <c r="P14" s="8"/>
      <c r="Q14" s="8"/>
      <c r="R14" s="251">
        <v>2020</v>
      </c>
      <c r="S14" s="261"/>
      <c r="T14" s="251">
        <v>2031</v>
      </c>
      <c r="U14" s="252"/>
      <c r="V14" s="251">
        <v>2042</v>
      </c>
      <c r="W14" s="252"/>
      <c r="X14" s="8"/>
      <c r="Y14" s="9"/>
      <c r="Z14" s="9"/>
      <c r="AA14" s="9"/>
      <c r="AB14" s="9"/>
      <c r="AC14" s="9"/>
      <c r="AD14" s="9"/>
      <c r="AE14" s="9"/>
      <c r="AF14" s="9"/>
      <c r="AG14" s="9"/>
      <c r="AH14" s="9"/>
      <c r="AI14" s="9"/>
      <c r="AJ14" s="9"/>
      <c r="AK14" s="9"/>
      <c r="AL14" s="9"/>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row>
    <row r="15" spans="1:212" ht="23.25" customHeight="1">
      <c r="B15" s="8"/>
      <c r="C15" s="8"/>
      <c r="D15" s="8"/>
      <c r="E15" s="8"/>
      <c r="F15" s="8"/>
      <c r="G15" s="8"/>
      <c r="H15" s="8"/>
      <c r="I15" s="8"/>
      <c r="J15" s="8"/>
      <c r="K15" s="8"/>
      <c r="L15" s="8"/>
      <c r="M15" s="8"/>
      <c r="N15" s="8"/>
      <c r="O15" s="8"/>
      <c r="P15" s="8"/>
      <c r="Q15" s="8"/>
      <c r="R15" s="251">
        <v>2021</v>
      </c>
      <c r="S15" s="261"/>
      <c r="T15" s="251">
        <v>2032</v>
      </c>
      <c r="U15" s="766">
        <v>2779</v>
      </c>
      <c r="V15" s="251">
        <v>2043</v>
      </c>
      <c r="W15" s="252"/>
      <c r="X15" s="8"/>
      <c r="Y15" s="9"/>
      <c r="Z15" s="9"/>
      <c r="AA15" s="9"/>
      <c r="AB15" s="9"/>
      <c r="AC15" s="9"/>
      <c r="AD15" s="9"/>
      <c r="AE15" s="9"/>
      <c r="AF15" s="9"/>
      <c r="AG15" s="9"/>
      <c r="AH15" s="9"/>
      <c r="AI15" s="9"/>
      <c r="AJ15" s="9"/>
      <c r="AK15" s="9"/>
      <c r="AL15" s="9"/>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row>
    <row r="16" spans="1:212" ht="23.25" customHeight="1">
      <c r="B16" s="8"/>
      <c r="C16" s="8"/>
      <c r="D16" s="8"/>
      <c r="E16" s="8"/>
      <c r="F16" s="8"/>
      <c r="G16" s="8"/>
      <c r="H16" s="8"/>
      <c r="I16" s="8"/>
      <c r="J16" s="8"/>
      <c r="K16" s="8"/>
      <c r="L16" s="8"/>
      <c r="M16" s="8"/>
      <c r="N16" s="8"/>
      <c r="O16" s="8"/>
      <c r="P16" s="8"/>
      <c r="Q16" s="8"/>
      <c r="R16" s="251">
        <v>2022</v>
      </c>
      <c r="S16" s="261"/>
      <c r="T16" s="251">
        <v>2033</v>
      </c>
      <c r="U16" s="252"/>
      <c r="V16" s="251">
        <v>2044</v>
      </c>
      <c r="W16" s="252"/>
      <c r="X16" s="8"/>
      <c r="Y16" s="9"/>
      <c r="Z16" s="9"/>
      <c r="AA16" s="9"/>
      <c r="AB16" s="9"/>
      <c r="AC16" s="9"/>
      <c r="AD16" s="9"/>
      <c r="AE16" s="9"/>
      <c r="AF16" s="9"/>
      <c r="AG16" s="9"/>
      <c r="AH16" s="9"/>
      <c r="AI16" s="9"/>
      <c r="AJ16" s="9"/>
      <c r="AK16" s="9"/>
      <c r="AL16" s="9"/>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row>
    <row r="17" spans="2:213" ht="23.25" customHeight="1">
      <c r="B17" s="8"/>
      <c r="C17" s="8"/>
      <c r="D17" s="8"/>
      <c r="E17" s="8"/>
      <c r="F17" s="8"/>
      <c r="G17" s="8"/>
      <c r="H17" s="8"/>
      <c r="I17" s="8"/>
      <c r="J17" s="8"/>
      <c r="K17" s="8"/>
      <c r="L17" s="8"/>
      <c r="M17" s="8"/>
      <c r="N17" s="8"/>
      <c r="O17" s="8"/>
      <c r="P17" s="8"/>
      <c r="Q17" s="8"/>
      <c r="R17" s="251">
        <v>2023</v>
      </c>
      <c r="S17" s="252"/>
      <c r="T17" s="251">
        <v>2034</v>
      </c>
      <c r="U17" s="252"/>
      <c r="V17" s="251">
        <v>2045</v>
      </c>
      <c r="W17" s="252"/>
      <c r="X17" s="8"/>
      <c r="Y17" s="9"/>
      <c r="Z17" s="9"/>
      <c r="AA17" s="9"/>
      <c r="AB17" s="9"/>
      <c r="AC17" s="9"/>
      <c r="AD17" s="9"/>
      <c r="AE17" s="9"/>
      <c r="AF17" s="9"/>
      <c r="AG17" s="9"/>
      <c r="AH17" s="9"/>
      <c r="AI17" s="9"/>
      <c r="AJ17" s="9"/>
      <c r="AK17" s="9"/>
      <c r="AL17" s="9"/>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row>
    <row r="18" spans="2:213" ht="23.25" customHeight="1">
      <c r="B18" s="8"/>
      <c r="C18" s="8"/>
      <c r="D18" s="8"/>
      <c r="E18" s="8"/>
      <c r="F18" s="8"/>
      <c r="G18" s="8"/>
      <c r="H18" s="8"/>
      <c r="I18" s="8"/>
      <c r="J18" s="8"/>
      <c r="K18" s="8"/>
      <c r="L18" s="8"/>
      <c r="M18" s="8"/>
      <c r="N18" s="8"/>
      <c r="O18" s="8"/>
      <c r="P18" s="8"/>
      <c r="Q18" s="8"/>
      <c r="R18" s="251">
        <v>2024</v>
      </c>
      <c r="S18" s="252"/>
      <c r="T18" s="251">
        <v>2035</v>
      </c>
      <c r="U18" s="252"/>
      <c r="V18" s="251">
        <v>2046</v>
      </c>
      <c r="W18" s="252"/>
      <c r="X18" s="8"/>
      <c r="Y18" s="9"/>
      <c r="Z18" s="9"/>
      <c r="AA18" s="9"/>
      <c r="AB18" s="9"/>
      <c r="AC18" s="9"/>
      <c r="AD18" s="9"/>
      <c r="AE18" s="9"/>
      <c r="AF18" s="9"/>
      <c r="AG18" s="9"/>
      <c r="AH18" s="9"/>
      <c r="AI18" s="9"/>
      <c r="AJ18" s="9"/>
      <c r="AK18" s="9"/>
      <c r="AL18" s="9"/>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row>
    <row r="19" spans="2:213" ht="23.25" customHeight="1">
      <c r="B19" s="8"/>
      <c r="C19" s="8"/>
      <c r="D19" s="8"/>
      <c r="E19" s="8"/>
      <c r="F19" s="8"/>
      <c r="G19" s="8"/>
      <c r="H19" s="8"/>
      <c r="I19" s="8"/>
      <c r="J19" s="8"/>
      <c r="K19" s="8"/>
      <c r="L19" s="8"/>
      <c r="M19" s="8"/>
      <c r="N19" s="8"/>
      <c r="O19" s="8"/>
      <c r="P19" s="8"/>
      <c r="Q19" s="8"/>
      <c r="R19" s="251">
        <v>2025</v>
      </c>
      <c r="S19" s="252"/>
      <c r="T19" s="251">
        <v>2036</v>
      </c>
      <c r="U19" s="252"/>
      <c r="V19" s="251">
        <v>2047</v>
      </c>
      <c r="W19" s="252"/>
      <c r="X19" s="8"/>
      <c r="Y19" s="9"/>
      <c r="Z19" s="9"/>
      <c r="AA19" s="9"/>
      <c r="AB19" s="9"/>
      <c r="AC19" s="9"/>
      <c r="AD19" s="9"/>
      <c r="AE19" s="9"/>
      <c r="AF19" s="9"/>
      <c r="AG19" s="9"/>
      <c r="AH19" s="9"/>
      <c r="AI19" s="9"/>
      <c r="AJ19" s="9"/>
      <c r="AK19" s="9"/>
      <c r="AL19" s="9"/>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row>
    <row r="20" spans="2:213" ht="21" customHeight="1">
      <c r="B20" s="8"/>
      <c r="C20" s="8"/>
      <c r="D20" s="8"/>
      <c r="E20" s="8"/>
      <c r="F20" s="8"/>
      <c r="G20" s="8"/>
      <c r="H20" s="8"/>
      <c r="I20" s="8"/>
      <c r="J20" s="8"/>
      <c r="K20" s="8"/>
      <c r="L20" s="8"/>
      <c r="M20" s="8"/>
      <c r="N20" s="8"/>
      <c r="O20" s="8"/>
      <c r="P20" s="8"/>
      <c r="Q20" s="8"/>
      <c r="R20" s="251">
        <v>2026</v>
      </c>
      <c r="S20" s="252"/>
      <c r="T20" s="251">
        <v>2037</v>
      </c>
      <c r="U20" s="252"/>
      <c r="V20" s="251">
        <v>2048</v>
      </c>
      <c r="W20" s="252"/>
      <c r="X20" s="8"/>
      <c r="Y20" s="9"/>
      <c r="Z20" s="9"/>
      <c r="AA20" s="9"/>
      <c r="AB20" s="9"/>
      <c r="AC20" s="9"/>
      <c r="AD20" s="9"/>
      <c r="AE20" s="9"/>
      <c r="AF20" s="9"/>
      <c r="AG20" s="9"/>
      <c r="AH20" s="9"/>
      <c r="AI20" s="9"/>
      <c r="AJ20" s="9"/>
      <c r="AK20" s="9"/>
      <c r="AL20" s="9"/>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row>
    <row r="21" spans="2:213" ht="22.5" customHeight="1">
      <c r="B21" s="8"/>
      <c r="C21" s="8"/>
      <c r="D21" s="293" t="s">
        <v>380</v>
      </c>
      <c r="E21" s="167">
        <v>0.88</v>
      </c>
      <c r="F21" s="789"/>
      <c r="G21" s="789"/>
      <c r="H21" s="789"/>
      <c r="I21" s="295" t="s">
        <v>718</v>
      </c>
      <c r="J21" s="8"/>
      <c r="K21" s="8"/>
      <c r="L21" s="8"/>
      <c r="M21" s="8"/>
      <c r="N21" s="8"/>
      <c r="O21" s="170">
        <v>340</v>
      </c>
      <c r="P21" s="289" t="s">
        <v>463</v>
      </c>
      <c r="Q21" s="162"/>
      <c r="R21" s="251">
        <v>2027</v>
      </c>
      <c r="S21" s="766">
        <v>10439</v>
      </c>
      <c r="T21" s="251">
        <v>2038</v>
      </c>
      <c r="U21" s="252"/>
      <c r="V21" s="251">
        <v>2049</v>
      </c>
      <c r="W21" s="252"/>
      <c r="X21" s="8"/>
      <c r="Y21" s="9"/>
      <c r="Z21" s="9"/>
      <c r="AA21" s="9"/>
      <c r="AB21" s="9"/>
      <c r="AC21" s="9"/>
      <c r="AD21" s="9"/>
      <c r="AE21" s="9"/>
      <c r="AF21" s="9"/>
      <c r="AG21" s="9"/>
      <c r="AH21" s="9"/>
      <c r="AI21" s="9"/>
      <c r="AJ21" s="9"/>
      <c r="AK21" s="9"/>
      <c r="AL21" s="9"/>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row>
    <row r="22" spans="2:213" ht="24" customHeight="1">
      <c r="B22" s="8"/>
      <c r="C22" s="8"/>
      <c r="D22" s="294" t="s">
        <v>650</v>
      </c>
      <c r="E22" s="8"/>
      <c r="F22" s="789"/>
      <c r="G22" s="789"/>
      <c r="H22" s="789"/>
      <c r="I22" s="295" t="s">
        <v>719</v>
      </c>
      <c r="J22" s="8"/>
      <c r="K22" s="8"/>
      <c r="L22" s="8"/>
      <c r="M22" s="8"/>
      <c r="N22" s="8"/>
      <c r="O22" s="169"/>
      <c r="P22" s="118"/>
      <c r="Q22" s="162"/>
      <c r="R22" s="251">
        <v>2028</v>
      </c>
      <c r="S22" s="252"/>
      <c r="T22" s="251">
        <v>2039</v>
      </c>
      <c r="U22" s="252"/>
      <c r="V22" s="251">
        <v>2050</v>
      </c>
      <c r="W22" s="252"/>
      <c r="X22" s="8"/>
      <c r="Y22" s="9"/>
      <c r="Z22" s="9"/>
      <c r="AA22" s="9"/>
      <c r="AB22" s="9"/>
      <c r="AC22" s="9"/>
      <c r="AD22" s="9"/>
      <c r="AE22" s="9"/>
      <c r="AF22" s="9"/>
      <c r="AG22" s="9"/>
      <c r="AH22" s="9"/>
      <c r="AI22" s="9"/>
      <c r="AJ22" s="9"/>
      <c r="AK22" s="9"/>
      <c r="AL22" s="9"/>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row>
    <row r="23" spans="2:213" ht="23.25" customHeight="1">
      <c r="B23" s="8"/>
      <c r="C23" s="8"/>
      <c r="D23" s="287" t="s">
        <v>467</v>
      </c>
      <c r="E23" s="167">
        <v>20</v>
      </c>
      <c r="F23" s="289" t="s">
        <v>651</v>
      </c>
      <c r="G23" s="290"/>
      <c r="H23" s="290"/>
      <c r="I23" s="8"/>
      <c r="J23" s="8"/>
      <c r="K23" s="79"/>
      <c r="L23" s="8"/>
      <c r="M23" s="8"/>
      <c r="N23" s="8"/>
      <c r="O23" s="8"/>
      <c r="P23" s="8"/>
      <c r="Q23" s="163"/>
      <c r="R23" s="8"/>
      <c r="S23" s="8"/>
      <c r="T23" s="8"/>
      <c r="U23" s="8"/>
      <c r="V23" s="8"/>
      <c r="W23" s="8"/>
      <c r="X23" s="8"/>
      <c r="Y23" s="9"/>
      <c r="Z23" s="9"/>
      <c r="AA23" s="9"/>
      <c r="AB23" s="9"/>
      <c r="AC23" s="9"/>
      <c r="AD23" s="9"/>
      <c r="AE23" s="9"/>
      <c r="AF23" s="9"/>
      <c r="AG23" s="9"/>
      <c r="AH23" s="9"/>
      <c r="AI23" s="9"/>
      <c r="AJ23" s="9"/>
      <c r="AK23" s="9"/>
      <c r="AL23" s="9"/>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row>
    <row r="24" spans="2:213" ht="23.25" customHeight="1">
      <c r="B24" s="8"/>
      <c r="C24" s="8"/>
      <c r="D24" s="287" t="s">
        <v>468</v>
      </c>
      <c r="E24" s="167">
        <v>30</v>
      </c>
      <c r="F24" s="289" t="s">
        <v>651</v>
      </c>
      <c r="G24" s="290"/>
      <c r="H24" s="290"/>
      <c r="I24" s="840" t="s">
        <v>720</v>
      </c>
      <c r="J24" s="840"/>
      <c r="K24" s="840"/>
      <c r="L24" s="840"/>
      <c r="M24" s="840"/>
      <c r="N24" s="840"/>
      <c r="O24" s="840"/>
      <c r="P24" s="840"/>
      <c r="Q24" s="159"/>
      <c r="R24" s="830" t="s">
        <v>744</v>
      </c>
      <c r="S24" s="830"/>
      <c r="T24" s="830"/>
      <c r="U24" s="830"/>
      <c r="V24" s="830"/>
      <c r="W24" s="830"/>
      <c r="X24" s="159"/>
      <c r="Y24" s="9"/>
      <c r="Z24" s="9"/>
      <c r="AA24" s="9"/>
      <c r="AB24" s="9"/>
      <c r="AC24" s="9"/>
      <c r="AD24" s="9"/>
      <c r="AE24" s="9"/>
      <c r="AF24" s="9"/>
      <c r="AG24" s="9"/>
      <c r="AH24" s="9"/>
      <c r="AI24" s="9"/>
      <c r="AJ24" s="9"/>
      <c r="AK24" s="9"/>
      <c r="AL24" s="9"/>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row>
    <row r="25" spans="2:213" ht="23.25" customHeight="1">
      <c r="B25" s="8"/>
      <c r="C25" s="8"/>
      <c r="D25" s="287" t="s">
        <v>469</v>
      </c>
      <c r="E25" s="167">
        <v>5</v>
      </c>
      <c r="F25" s="289" t="s">
        <v>651</v>
      </c>
      <c r="G25" s="290"/>
      <c r="H25" s="291"/>
      <c r="I25" s="840"/>
      <c r="J25" s="840"/>
      <c r="K25" s="840"/>
      <c r="L25" s="840"/>
      <c r="M25" s="840"/>
      <c r="N25" s="840"/>
      <c r="O25" s="840"/>
      <c r="P25" s="840"/>
      <c r="Q25" s="159"/>
      <c r="R25" s="830"/>
      <c r="S25" s="830"/>
      <c r="T25" s="830"/>
      <c r="U25" s="830"/>
      <c r="V25" s="830"/>
      <c r="W25" s="830"/>
      <c r="X25" s="159"/>
      <c r="Y25" s="9"/>
      <c r="Z25" s="9"/>
      <c r="AA25" s="9"/>
      <c r="AB25" s="9"/>
      <c r="AC25" s="9"/>
      <c r="AD25" s="9"/>
      <c r="AE25" s="9"/>
      <c r="AF25" s="9"/>
      <c r="AG25" s="9"/>
      <c r="AH25" s="9"/>
      <c r="AI25" s="9"/>
      <c r="AJ25" s="9"/>
      <c r="AK25" s="9"/>
      <c r="AL25" s="9"/>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row>
    <row r="26" spans="2:213" ht="23.25" customHeight="1">
      <c r="B26" s="8"/>
      <c r="C26" s="8"/>
      <c r="D26" s="287" t="s">
        <v>462</v>
      </c>
      <c r="E26" s="168">
        <v>34</v>
      </c>
      <c r="F26" s="289" t="s">
        <v>651</v>
      </c>
      <c r="G26" s="290"/>
      <c r="H26" s="290"/>
      <c r="I26" s="840"/>
      <c r="J26" s="840"/>
      <c r="K26" s="840"/>
      <c r="L26" s="840"/>
      <c r="M26" s="840"/>
      <c r="N26" s="840"/>
      <c r="O26" s="840"/>
      <c r="P26" s="840"/>
      <c r="Q26" s="159"/>
      <c r="R26" s="830"/>
      <c r="S26" s="830"/>
      <c r="T26" s="830"/>
      <c r="U26" s="830"/>
      <c r="V26" s="830"/>
      <c r="W26" s="830"/>
      <c r="X26" s="159"/>
      <c r="Y26" s="9"/>
      <c r="Z26" s="9"/>
      <c r="AA26" s="9"/>
      <c r="AB26" s="9"/>
      <c r="AC26" s="9"/>
      <c r="AD26" s="9"/>
      <c r="AE26" s="9"/>
      <c r="AF26" s="9"/>
      <c r="AG26" s="9"/>
      <c r="AH26" s="9"/>
      <c r="AI26" s="9"/>
      <c r="AJ26" s="9"/>
      <c r="AK26" s="9"/>
      <c r="AL26" s="9"/>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row>
    <row r="27" spans="2:213" ht="24" customHeight="1">
      <c r="B27" s="8"/>
      <c r="C27" s="8"/>
      <c r="D27" s="288" t="s">
        <v>715</v>
      </c>
      <c r="E27" s="76">
        <f>SUM(E23:E25)</f>
        <v>55</v>
      </c>
      <c r="F27" s="289" t="s">
        <v>651</v>
      </c>
      <c r="G27" s="290"/>
      <c r="H27" s="292"/>
      <c r="I27" s="840"/>
      <c r="J27" s="840"/>
      <c r="K27" s="840"/>
      <c r="L27" s="840"/>
      <c r="M27" s="840"/>
      <c r="N27" s="840"/>
      <c r="O27" s="840"/>
      <c r="P27" s="840"/>
      <c r="Q27" s="159"/>
      <c r="R27" s="830"/>
      <c r="S27" s="830"/>
      <c r="T27" s="830"/>
      <c r="U27" s="830"/>
      <c r="V27" s="830"/>
      <c r="W27" s="830"/>
      <c r="X27" s="159"/>
      <c r="Y27" s="9"/>
      <c r="Z27" s="9"/>
      <c r="AA27" s="9"/>
      <c r="AB27" s="9"/>
      <c r="AC27" s="9"/>
      <c r="AD27" s="9"/>
      <c r="AE27" s="9"/>
      <c r="AF27" s="9"/>
      <c r="AG27" s="9"/>
      <c r="AH27" s="9"/>
      <c r="AI27" s="9"/>
      <c r="AJ27" s="9"/>
      <c r="AK27" s="9"/>
      <c r="AL27" s="9"/>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row>
    <row r="28" spans="2:213" ht="24" customHeight="1">
      <c r="B28" s="8"/>
      <c r="C28" s="8"/>
      <c r="D28" s="288" t="s">
        <v>716</v>
      </c>
      <c r="E28" s="76">
        <f>E27-E26</f>
        <v>21</v>
      </c>
      <c r="F28" s="289" t="s">
        <v>651</v>
      </c>
      <c r="G28" s="290"/>
      <c r="H28" s="292"/>
      <c r="I28" s="79"/>
      <c r="J28" s="79"/>
      <c r="K28" s="79"/>
      <c r="L28" s="8"/>
      <c r="M28" s="8"/>
      <c r="N28" s="8"/>
      <c r="O28" s="8"/>
      <c r="P28" s="8"/>
      <c r="Q28" s="159"/>
      <c r="R28" s="830"/>
      <c r="S28" s="830"/>
      <c r="T28" s="830"/>
      <c r="U28" s="830"/>
      <c r="V28" s="830"/>
      <c r="W28" s="830"/>
      <c r="X28" s="159"/>
      <c r="Y28" s="9"/>
      <c r="Z28" s="9"/>
      <c r="AA28" s="9"/>
      <c r="AB28" s="9"/>
      <c r="AC28" s="9"/>
      <c r="AD28" s="9"/>
      <c r="AE28" s="9"/>
      <c r="AF28" s="9"/>
      <c r="AG28" s="9"/>
      <c r="AH28" s="9"/>
      <c r="AI28" s="9"/>
      <c r="AJ28" s="9"/>
      <c r="AK28" s="9"/>
      <c r="AL28" s="9"/>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row>
    <row r="29" spans="2:213" ht="21.75" customHeight="1">
      <c r="B29" s="8"/>
      <c r="C29" s="8"/>
      <c r="D29" s="78"/>
      <c r="E29" s="160"/>
      <c r="F29" s="76"/>
      <c r="G29" s="8"/>
      <c r="H29" s="79"/>
      <c r="I29" s="79"/>
      <c r="J29" s="79"/>
      <c r="K29" s="79"/>
      <c r="L29" s="8"/>
      <c r="M29" s="8"/>
      <c r="N29" s="8"/>
      <c r="O29" s="8"/>
      <c r="P29" s="8"/>
      <c r="Q29" s="159"/>
      <c r="R29" s="830"/>
      <c r="S29" s="830"/>
      <c r="T29" s="830"/>
      <c r="U29" s="830"/>
      <c r="V29" s="830"/>
      <c r="W29" s="830"/>
      <c r="X29" s="159"/>
      <c r="Y29" s="9"/>
      <c r="Z29" s="9"/>
      <c r="AA29" s="9"/>
      <c r="AB29" s="9"/>
      <c r="AC29" s="9"/>
      <c r="AD29" s="9"/>
      <c r="AE29" s="9"/>
      <c r="AF29" s="9"/>
      <c r="AG29" s="9"/>
      <c r="AH29" s="9"/>
      <c r="AI29" s="9"/>
      <c r="AJ29" s="9"/>
      <c r="AK29" s="9"/>
      <c r="AL29" s="9"/>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row>
    <row r="30" spans="2:213" ht="24" customHeight="1">
      <c r="B30" s="8"/>
      <c r="C30" s="8"/>
      <c r="D30" s="287" t="s">
        <v>649</v>
      </c>
      <c r="E30" s="169">
        <v>2030</v>
      </c>
      <c r="F30" s="76"/>
      <c r="G30" s="77"/>
      <c r="H30" s="79"/>
      <c r="I30" s="79"/>
      <c r="J30" s="79"/>
      <c r="K30" s="79"/>
      <c r="L30" s="8"/>
      <c r="M30" s="8"/>
      <c r="N30" s="8"/>
      <c r="O30" s="8"/>
      <c r="P30" s="8"/>
      <c r="Q30" s="159"/>
      <c r="R30" s="830"/>
      <c r="S30" s="830"/>
      <c r="T30" s="830"/>
      <c r="U30" s="830"/>
      <c r="V30" s="830"/>
      <c r="W30" s="830"/>
      <c r="X30" s="159"/>
      <c r="Y30" s="9"/>
      <c r="Z30" s="9"/>
      <c r="AA30" s="9"/>
      <c r="AB30" s="9"/>
      <c r="AC30" s="9"/>
      <c r="AD30" s="9"/>
      <c r="AE30" s="9"/>
      <c r="AF30" s="9"/>
      <c r="AG30" s="9"/>
      <c r="AH30" s="9"/>
      <c r="AI30" s="9"/>
      <c r="AJ30" s="9"/>
      <c r="AK30" s="9"/>
      <c r="AL30" s="9"/>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row>
    <row r="31" spans="2:213" ht="26.25" customHeight="1">
      <c r="B31" s="8"/>
      <c r="C31" s="8"/>
      <c r="D31" s="841"/>
      <c r="E31" s="841"/>
      <c r="F31" s="841"/>
      <c r="G31" s="841"/>
      <c r="H31" s="841"/>
      <c r="I31" s="161"/>
      <c r="J31" s="79"/>
      <c r="K31" s="79"/>
      <c r="L31" s="8"/>
      <c r="M31" s="8"/>
      <c r="N31" s="8"/>
      <c r="O31" s="8"/>
      <c r="P31" s="8"/>
      <c r="Q31" s="159"/>
      <c r="R31" s="159"/>
      <c r="S31" s="159"/>
      <c r="T31" s="159"/>
      <c r="U31" s="159"/>
      <c r="V31" s="159"/>
      <c r="W31" s="159"/>
      <c r="X31" s="159"/>
      <c r="Y31" s="9"/>
      <c r="Z31" s="9"/>
      <c r="AA31" s="9"/>
      <c r="AB31" s="9"/>
      <c r="AC31" s="9"/>
      <c r="AD31" s="9"/>
      <c r="AE31" s="9"/>
      <c r="AF31" s="9"/>
      <c r="AG31" s="9"/>
      <c r="AH31" s="9"/>
      <c r="AI31" s="9"/>
      <c r="AJ31" s="9"/>
      <c r="AK31" s="9"/>
      <c r="AL31" s="9"/>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row>
    <row r="32" spans="2:213" ht="14.25" customHeight="1">
      <c r="B32" s="8"/>
      <c r="C32" s="8"/>
      <c r="D32" s="841"/>
      <c r="E32" s="841"/>
      <c r="F32" s="841"/>
      <c r="G32" s="841"/>
      <c r="H32" s="841"/>
      <c r="I32" s="161"/>
      <c r="J32" s="79"/>
      <c r="K32" s="79"/>
      <c r="L32" s="8"/>
      <c r="M32" s="79"/>
      <c r="N32" s="79"/>
      <c r="O32" s="79"/>
      <c r="P32" s="79"/>
      <c r="Q32" s="79"/>
      <c r="R32" s="79"/>
      <c r="S32" s="79"/>
      <c r="T32" s="79"/>
      <c r="U32" s="79"/>
      <c r="V32" s="8"/>
      <c r="W32" s="8"/>
      <c r="X32" s="8"/>
      <c r="Y32" s="9"/>
      <c r="Z32" s="9"/>
      <c r="AA32" s="9"/>
      <c r="AB32" s="9"/>
      <c r="AC32" s="9"/>
      <c r="AD32" s="9"/>
      <c r="AE32" s="9"/>
      <c r="AF32" s="9"/>
      <c r="AG32" s="9"/>
      <c r="AH32" s="9"/>
      <c r="AI32" s="9"/>
      <c r="AJ32" s="9"/>
      <c r="AK32" s="9"/>
      <c r="AL32" s="9"/>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row>
    <row r="33" spans="2:212" ht="21.75" customHeight="1">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row>
    <row r="34" spans="2:212" ht="21.75" customHeight="1">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row>
    <row r="35" spans="2:212" ht="18.75" customHeight="1">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row>
    <row r="36" spans="2:212" ht="25.5" customHeight="1">
      <c r="B36" s="8"/>
      <c r="C36" s="8"/>
      <c r="D36" s="8"/>
      <c r="E36" s="75">
        <v>2018</v>
      </c>
      <c r="F36" s="75">
        <v>2019</v>
      </c>
      <c r="G36" s="75">
        <v>2020</v>
      </c>
      <c r="H36" s="75">
        <v>2021</v>
      </c>
      <c r="I36" s="75">
        <v>2022</v>
      </c>
      <c r="J36" s="75">
        <v>2023</v>
      </c>
      <c r="K36" s="75">
        <v>2024</v>
      </c>
      <c r="L36" s="75">
        <v>2025</v>
      </c>
      <c r="M36" s="75">
        <v>2026</v>
      </c>
      <c r="N36" s="75">
        <v>2027</v>
      </c>
      <c r="O36" s="75">
        <v>2028</v>
      </c>
      <c r="P36" s="75">
        <v>2029</v>
      </c>
      <c r="Q36" s="75">
        <v>2030</v>
      </c>
      <c r="R36" s="75">
        <v>2031</v>
      </c>
      <c r="S36" s="75">
        <v>2032</v>
      </c>
      <c r="T36" s="75">
        <v>2033</v>
      </c>
      <c r="U36" s="75">
        <v>2034</v>
      </c>
      <c r="V36" s="75">
        <v>2035</v>
      </c>
      <c r="W36" s="75">
        <v>2036</v>
      </c>
      <c r="X36" s="75">
        <v>2037</v>
      </c>
      <c r="Y36" s="75">
        <v>2038</v>
      </c>
      <c r="Z36" s="75">
        <v>2039</v>
      </c>
      <c r="AA36" s="75">
        <v>2040</v>
      </c>
      <c r="AB36" s="75">
        <v>2041</v>
      </c>
      <c r="AC36" s="75">
        <v>2042</v>
      </c>
      <c r="AD36" s="75">
        <v>2043</v>
      </c>
      <c r="AE36" s="75">
        <v>2044</v>
      </c>
      <c r="AF36" s="75">
        <v>2045</v>
      </c>
      <c r="AG36" s="75">
        <v>2046</v>
      </c>
      <c r="AH36" s="75">
        <v>2047</v>
      </c>
      <c r="AI36" s="75">
        <v>2048</v>
      </c>
      <c r="AJ36" s="75">
        <v>2049</v>
      </c>
      <c r="AK36" s="119">
        <v>2050</v>
      </c>
      <c r="AL36" s="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row>
    <row r="37" spans="2:212" s="80" customFormat="1" ht="24" customHeight="1">
      <c r="B37" s="79"/>
      <c r="C37" s="79"/>
      <c r="D37" s="77" t="s">
        <v>379</v>
      </c>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79"/>
      <c r="AM37" s="68"/>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row>
    <row r="38" spans="2:212" s="80" customFormat="1" ht="24" customHeight="1">
      <c r="B38" s="79"/>
      <c r="C38" s="79"/>
      <c r="D38" s="77" t="s">
        <v>378</v>
      </c>
      <c r="E38" s="254">
        <f>E37*$E$21</f>
        <v>0</v>
      </c>
      <c r="F38" s="254">
        <f>IF(F37&gt;0,F37*$E$21,IF($S13="",E38,E38+$S13))</f>
        <v>0</v>
      </c>
      <c r="G38" s="254">
        <f>IF(G37&gt;0,G37*$E$21,IF($S14="",F38,F38+$S14))</f>
        <v>0</v>
      </c>
      <c r="H38" s="254">
        <f>IF(H37&gt;0,H37*$E$21,IF($S15="",G38,G38+$S15))</f>
        <v>0</v>
      </c>
      <c r="I38" s="254">
        <f>IF(I37&gt;0,I37*$E$21,IF($S16="",H38,H38+$S16))</f>
        <v>0</v>
      </c>
      <c r="J38" s="254">
        <f>IF(J37&gt;0,J37*$E$21,IF($S17="",I38,I38+$S17))</f>
        <v>0</v>
      </c>
      <c r="K38" s="254">
        <f>IF(K37&gt;0,K37*$E$21,IF($S18="",J38,J38+$S18))</f>
        <v>0</v>
      </c>
      <c r="L38" s="254">
        <f>IF(L37&gt;0,L37*$E$21,IF($S19="",K38,K38+$S19))</f>
        <v>0</v>
      </c>
      <c r="M38" s="254">
        <f>IF(M37&gt;0,M37*$E$21,IF($S20="",L38,L38+$S20))</f>
        <v>0</v>
      </c>
      <c r="N38" s="254">
        <f>IF(N37&gt;0,N37*$E$21,IF($S21="",M38,M38+$S21))</f>
        <v>10439</v>
      </c>
      <c r="O38" s="254">
        <f>IF(O37&gt;0,O37*$E$21,IF($S22="",N38,N38+$S22))</f>
        <v>10439</v>
      </c>
      <c r="P38" s="254">
        <f>IF(P37&gt;0,P37*$E$21,IF($U12="",O38,O38+$U12))</f>
        <v>10439</v>
      </c>
      <c r="Q38" s="254">
        <f>IF(Q37&gt;0,Q37*$E$21,IF($U13="",P38,P38+$U13))</f>
        <v>10439</v>
      </c>
      <c r="R38" s="254">
        <f>IF(R37&gt;0,R37*$E$21,IF($U14="",Q38,Q38+$U14))</f>
        <v>10439</v>
      </c>
      <c r="S38" s="254">
        <f>IF(S37&gt;0,S37*$E$21,IF($U15="",R38,R38+$U15))</f>
        <v>13218</v>
      </c>
      <c r="T38" s="254">
        <f>IF(T37&gt;0,T37*$E$21,IF($U16="",S38,S38+$U16))</f>
        <v>13218</v>
      </c>
      <c r="U38" s="254">
        <f>IF(U37&gt;0,U37*$E$21,IF($U17="",T38,T38+$U17))</f>
        <v>13218</v>
      </c>
      <c r="V38" s="254">
        <f>IF(V37&gt;0,V37*$E$21,IF($U18="",U38,U38+$U18))</f>
        <v>13218</v>
      </c>
      <c r="W38" s="254">
        <f>IF(W37&gt;0,W37*$E$21,IF($U19="",V38,V38+$U19))</f>
        <v>13218</v>
      </c>
      <c r="X38" s="254">
        <f>IF(X37&gt;0,X37*$E$21,IF($U20="",W38,W38+$U20))</f>
        <v>13218</v>
      </c>
      <c r="Y38" s="254">
        <f>IF(Y37&gt;0,Y37*$E$21,IF($U21="",X38,X38+$U21))</f>
        <v>13218</v>
      </c>
      <c r="Z38" s="254">
        <f>IF(Z37&gt;0,Z37*$E$21,IF($U22="",Y38,Y38+$U22))</f>
        <v>13218</v>
      </c>
      <c r="AA38" s="254">
        <f>IF(AA37&gt;0,AA37*$E$21,IF($W12="",Z38,Z38+$W12))</f>
        <v>15389</v>
      </c>
      <c r="AB38" s="254">
        <f>IF(AB37&gt;0,AB37*$E$21,IF($W13="",AA38,AA38+$W13))</f>
        <v>15389</v>
      </c>
      <c r="AC38" s="254">
        <f>IF(AC37&gt;0,AC37*$E$21,IF($W14="",AB38,AB38+$W14))</f>
        <v>15389</v>
      </c>
      <c r="AD38" s="254">
        <f>IF(AD37&gt;0,AD37*$E$21,IF($W15="",AC38,AC38+$W15))</f>
        <v>15389</v>
      </c>
      <c r="AE38" s="254">
        <f>IF(AE37&gt;0,AE37*$E$21,IF($W16="",AD38,AD38+$W16))</f>
        <v>15389</v>
      </c>
      <c r="AF38" s="254">
        <f>IF(AF37&gt;0,AF37*$E$21,IF($W17="",AE38,AE38+$W17))</f>
        <v>15389</v>
      </c>
      <c r="AG38" s="254">
        <f>IF(AG37&gt;0,AG37*$E$21,IF($W18="",AF38,AF38+$W18))</f>
        <v>15389</v>
      </c>
      <c r="AH38" s="254">
        <f>IF(AH37&gt;0,AH37*$E$21,IF($W19="",AG38,AG38+$W19))</f>
        <v>15389</v>
      </c>
      <c r="AI38" s="254">
        <f>IF(AI37&gt;0,AI37*$E$21,IF($W20="",AH38,AH38+$W20))</f>
        <v>15389</v>
      </c>
      <c r="AJ38" s="254">
        <f>IF(AJ37&gt;0,AJ37*$E$21,IF($W21="",AI38,AI38+$W21))</f>
        <v>15389</v>
      </c>
      <c r="AK38" s="254">
        <f>IF(AK37&gt;0,AK37*$E$21,IF($W22="",AJ38,AJ38+$W22))</f>
        <v>15389</v>
      </c>
      <c r="AL38" s="79"/>
      <c r="AM38" s="68"/>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row>
    <row r="39" spans="2:212" s="80" customFormat="1" ht="28.5" customHeight="1">
      <c r="B39" s="79"/>
      <c r="C39" s="79"/>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9"/>
      <c r="AM39" s="68"/>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row>
    <row r="40" spans="2:212" ht="25.5" customHeight="1">
      <c r="B40" s="9"/>
      <c r="C40" s="9"/>
      <c r="D40" s="255" t="s">
        <v>470</v>
      </c>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row>
    <row r="41" spans="2:212" s="80" customFormat="1" ht="24" customHeight="1">
      <c r="B41" s="117"/>
      <c r="C41" s="117"/>
      <c r="D41" s="164" t="s">
        <v>465</v>
      </c>
      <c r="E41" s="166">
        <f t="shared" ref="E41:AK41" si="0">IF(E36&gt;=$E$30,20,$E$23)</f>
        <v>20</v>
      </c>
      <c r="F41" s="166">
        <f t="shared" si="0"/>
        <v>20</v>
      </c>
      <c r="G41" s="166">
        <f t="shared" si="0"/>
        <v>20</v>
      </c>
      <c r="H41" s="166">
        <f t="shared" si="0"/>
        <v>20</v>
      </c>
      <c r="I41" s="166">
        <f t="shared" si="0"/>
        <v>20</v>
      </c>
      <c r="J41" s="166">
        <f t="shared" si="0"/>
        <v>20</v>
      </c>
      <c r="K41" s="166">
        <f t="shared" si="0"/>
        <v>20</v>
      </c>
      <c r="L41" s="166">
        <f t="shared" si="0"/>
        <v>20</v>
      </c>
      <c r="M41" s="166">
        <f t="shared" si="0"/>
        <v>20</v>
      </c>
      <c r="N41" s="166">
        <f t="shared" si="0"/>
        <v>20</v>
      </c>
      <c r="O41" s="166">
        <f t="shared" si="0"/>
        <v>20</v>
      </c>
      <c r="P41" s="166">
        <f t="shared" si="0"/>
        <v>20</v>
      </c>
      <c r="Q41" s="166">
        <f t="shared" si="0"/>
        <v>20</v>
      </c>
      <c r="R41" s="166">
        <f t="shared" si="0"/>
        <v>20</v>
      </c>
      <c r="S41" s="166">
        <f t="shared" si="0"/>
        <v>20</v>
      </c>
      <c r="T41" s="166">
        <f t="shared" si="0"/>
        <v>20</v>
      </c>
      <c r="U41" s="166">
        <f t="shared" si="0"/>
        <v>20</v>
      </c>
      <c r="V41" s="166">
        <f t="shared" si="0"/>
        <v>20</v>
      </c>
      <c r="W41" s="166">
        <f t="shared" si="0"/>
        <v>20</v>
      </c>
      <c r="X41" s="166">
        <f t="shared" si="0"/>
        <v>20</v>
      </c>
      <c r="Y41" s="166">
        <f t="shared" si="0"/>
        <v>20</v>
      </c>
      <c r="Z41" s="166">
        <f t="shared" si="0"/>
        <v>20</v>
      </c>
      <c r="AA41" s="166">
        <f t="shared" si="0"/>
        <v>20</v>
      </c>
      <c r="AB41" s="166">
        <f t="shared" si="0"/>
        <v>20</v>
      </c>
      <c r="AC41" s="166">
        <f t="shared" si="0"/>
        <v>20</v>
      </c>
      <c r="AD41" s="166">
        <f t="shared" si="0"/>
        <v>20</v>
      </c>
      <c r="AE41" s="166">
        <f t="shared" si="0"/>
        <v>20</v>
      </c>
      <c r="AF41" s="166">
        <f t="shared" si="0"/>
        <v>20</v>
      </c>
      <c r="AG41" s="166">
        <f t="shared" si="0"/>
        <v>20</v>
      </c>
      <c r="AH41" s="166">
        <f t="shared" si="0"/>
        <v>20</v>
      </c>
      <c r="AI41" s="166">
        <f t="shared" si="0"/>
        <v>20</v>
      </c>
      <c r="AJ41" s="166">
        <f t="shared" si="0"/>
        <v>20</v>
      </c>
      <c r="AK41" s="166">
        <f t="shared" si="0"/>
        <v>20</v>
      </c>
      <c r="AL41" s="9"/>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row>
    <row r="42" spans="2:212" s="80" customFormat="1" ht="24" customHeight="1">
      <c r="B42" s="117"/>
      <c r="C42" s="117"/>
      <c r="D42" s="164" t="s">
        <v>464</v>
      </c>
      <c r="E42" s="166">
        <f t="shared" ref="E42:AK42" si="1">$E$24</f>
        <v>30</v>
      </c>
      <c r="F42" s="166">
        <f t="shared" si="1"/>
        <v>30</v>
      </c>
      <c r="G42" s="166">
        <f t="shared" si="1"/>
        <v>30</v>
      </c>
      <c r="H42" s="166">
        <f t="shared" si="1"/>
        <v>30</v>
      </c>
      <c r="I42" s="166">
        <f t="shared" si="1"/>
        <v>30</v>
      </c>
      <c r="J42" s="166">
        <f t="shared" si="1"/>
        <v>30</v>
      </c>
      <c r="K42" s="166">
        <f t="shared" si="1"/>
        <v>30</v>
      </c>
      <c r="L42" s="166">
        <f t="shared" si="1"/>
        <v>30</v>
      </c>
      <c r="M42" s="166">
        <f t="shared" si="1"/>
        <v>30</v>
      </c>
      <c r="N42" s="166">
        <f t="shared" si="1"/>
        <v>30</v>
      </c>
      <c r="O42" s="166">
        <f t="shared" si="1"/>
        <v>30</v>
      </c>
      <c r="P42" s="166">
        <f t="shared" si="1"/>
        <v>30</v>
      </c>
      <c r="Q42" s="166">
        <f t="shared" si="1"/>
        <v>30</v>
      </c>
      <c r="R42" s="166">
        <f t="shared" si="1"/>
        <v>30</v>
      </c>
      <c r="S42" s="166">
        <f t="shared" si="1"/>
        <v>30</v>
      </c>
      <c r="T42" s="166">
        <f t="shared" si="1"/>
        <v>30</v>
      </c>
      <c r="U42" s="166">
        <f t="shared" si="1"/>
        <v>30</v>
      </c>
      <c r="V42" s="166">
        <f t="shared" si="1"/>
        <v>30</v>
      </c>
      <c r="W42" s="166">
        <f t="shared" si="1"/>
        <v>30</v>
      </c>
      <c r="X42" s="166">
        <f t="shared" si="1"/>
        <v>30</v>
      </c>
      <c r="Y42" s="166">
        <f t="shared" si="1"/>
        <v>30</v>
      </c>
      <c r="Z42" s="166">
        <f t="shared" si="1"/>
        <v>30</v>
      </c>
      <c r="AA42" s="166">
        <f t="shared" si="1"/>
        <v>30</v>
      </c>
      <c r="AB42" s="166">
        <f t="shared" si="1"/>
        <v>30</v>
      </c>
      <c r="AC42" s="166">
        <f t="shared" si="1"/>
        <v>30</v>
      </c>
      <c r="AD42" s="166">
        <f t="shared" si="1"/>
        <v>30</v>
      </c>
      <c r="AE42" s="166">
        <f t="shared" si="1"/>
        <v>30</v>
      </c>
      <c r="AF42" s="166">
        <f t="shared" si="1"/>
        <v>30</v>
      </c>
      <c r="AG42" s="166">
        <f t="shared" si="1"/>
        <v>30</v>
      </c>
      <c r="AH42" s="166">
        <f t="shared" si="1"/>
        <v>30</v>
      </c>
      <c r="AI42" s="166">
        <f t="shared" si="1"/>
        <v>30</v>
      </c>
      <c r="AJ42" s="166">
        <f t="shared" si="1"/>
        <v>30</v>
      </c>
      <c r="AK42" s="166">
        <f t="shared" si="1"/>
        <v>30</v>
      </c>
      <c r="AL42" s="9"/>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row>
    <row r="43" spans="2:212" s="80" customFormat="1" ht="24" customHeight="1">
      <c r="B43" s="117"/>
      <c r="C43" s="117"/>
      <c r="D43" s="164" t="s">
        <v>473</v>
      </c>
      <c r="E43" s="166">
        <f t="shared" ref="E43:AK43" si="2">$E$25</f>
        <v>5</v>
      </c>
      <c r="F43" s="166">
        <f t="shared" si="2"/>
        <v>5</v>
      </c>
      <c r="G43" s="166">
        <f t="shared" si="2"/>
        <v>5</v>
      </c>
      <c r="H43" s="166">
        <f t="shared" si="2"/>
        <v>5</v>
      </c>
      <c r="I43" s="166">
        <f t="shared" si="2"/>
        <v>5</v>
      </c>
      <c r="J43" s="166">
        <f t="shared" si="2"/>
        <v>5</v>
      </c>
      <c r="K43" s="166">
        <f t="shared" si="2"/>
        <v>5</v>
      </c>
      <c r="L43" s="166">
        <f t="shared" si="2"/>
        <v>5</v>
      </c>
      <c r="M43" s="166">
        <f t="shared" si="2"/>
        <v>5</v>
      </c>
      <c r="N43" s="166">
        <f t="shared" si="2"/>
        <v>5</v>
      </c>
      <c r="O43" s="166">
        <f t="shared" si="2"/>
        <v>5</v>
      </c>
      <c r="P43" s="166">
        <f t="shared" si="2"/>
        <v>5</v>
      </c>
      <c r="Q43" s="166">
        <f t="shared" si="2"/>
        <v>5</v>
      </c>
      <c r="R43" s="166">
        <f t="shared" si="2"/>
        <v>5</v>
      </c>
      <c r="S43" s="166">
        <f t="shared" si="2"/>
        <v>5</v>
      </c>
      <c r="T43" s="166">
        <f t="shared" si="2"/>
        <v>5</v>
      </c>
      <c r="U43" s="166">
        <f t="shared" si="2"/>
        <v>5</v>
      </c>
      <c r="V43" s="166">
        <f t="shared" si="2"/>
        <v>5</v>
      </c>
      <c r="W43" s="166">
        <f t="shared" si="2"/>
        <v>5</v>
      </c>
      <c r="X43" s="166">
        <f t="shared" si="2"/>
        <v>5</v>
      </c>
      <c r="Y43" s="166">
        <f t="shared" si="2"/>
        <v>5</v>
      </c>
      <c r="Z43" s="166">
        <f t="shared" si="2"/>
        <v>5</v>
      </c>
      <c r="AA43" s="166">
        <f t="shared" si="2"/>
        <v>5</v>
      </c>
      <c r="AB43" s="166">
        <f t="shared" si="2"/>
        <v>5</v>
      </c>
      <c r="AC43" s="166">
        <f t="shared" si="2"/>
        <v>5</v>
      </c>
      <c r="AD43" s="166">
        <f t="shared" si="2"/>
        <v>5</v>
      </c>
      <c r="AE43" s="166">
        <f t="shared" si="2"/>
        <v>5</v>
      </c>
      <c r="AF43" s="166">
        <f t="shared" si="2"/>
        <v>5</v>
      </c>
      <c r="AG43" s="166">
        <f t="shared" si="2"/>
        <v>5</v>
      </c>
      <c r="AH43" s="166">
        <f t="shared" si="2"/>
        <v>5</v>
      </c>
      <c r="AI43" s="166">
        <f t="shared" si="2"/>
        <v>5</v>
      </c>
      <c r="AJ43" s="166">
        <f t="shared" si="2"/>
        <v>5</v>
      </c>
      <c r="AK43" s="166">
        <f t="shared" si="2"/>
        <v>5</v>
      </c>
      <c r="AL43" s="9"/>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row>
    <row r="44" spans="2:212" s="80" customFormat="1" ht="24" customHeight="1">
      <c r="B44" s="117"/>
      <c r="C44" s="117"/>
      <c r="D44" s="164" t="s">
        <v>384</v>
      </c>
      <c r="E44" s="166">
        <f t="shared" ref="E44:AK44" si="3">$E$26</f>
        <v>34</v>
      </c>
      <c r="F44" s="166">
        <f t="shared" si="3"/>
        <v>34</v>
      </c>
      <c r="G44" s="166">
        <f t="shared" si="3"/>
        <v>34</v>
      </c>
      <c r="H44" s="166">
        <f t="shared" si="3"/>
        <v>34</v>
      </c>
      <c r="I44" s="166">
        <f t="shared" si="3"/>
        <v>34</v>
      </c>
      <c r="J44" s="166">
        <f t="shared" si="3"/>
        <v>34</v>
      </c>
      <c r="K44" s="166">
        <f t="shared" si="3"/>
        <v>34</v>
      </c>
      <c r="L44" s="166">
        <f t="shared" si="3"/>
        <v>34</v>
      </c>
      <c r="M44" s="166">
        <f t="shared" si="3"/>
        <v>34</v>
      </c>
      <c r="N44" s="166">
        <f t="shared" si="3"/>
        <v>34</v>
      </c>
      <c r="O44" s="166">
        <f t="shared" si="3"/>
        <v>34</v>
      </c>
      <c r="P44" s="166">
        <f t="shared" si="3"/>
        <v>34</v>
      </c>
      <c r="Q44" s="166">
        <f t="shared" si="3"/>
        <v>34</v>
      </c>
      <c r="R44" s="166">
        <f t="shared" si="3"/>
        <v>34</v>
      </c>
      <c r="S44" s="166">
        <f t="shared" si="3"/>
        <v>34</v>
      </c>
      <c r="T44" s="166">
        <f t="shared" si="3"/>
        <v>34</v>
      </c>
      <c r="U44" s="166">
        <f t="shared" si="3"/>
        <v>34</v>
      </c>
      <c r="V44" s="166">
        <f t="shared" si="3"/>
        <v>34</v>
      </c>
      <c r="W44" s="166">
        <f t="shared" si="3"/>
        <v>34</v>
      </c>
      <c r="X44" s="166">
        <f t="shared" si="3"/>
        <v>34</v>
      </c>
      <c r="Y44" s="166">
        <f t="shared" si="3"/>
        <v>34</v>
      </c>
      <c r="Z44" s="166">
        <f t="shared" si="3"/>
        <v>34</v>
      </c>
      <c r="AA44" s="166">
        <f t="shared" si="3"/>
        <v>34</v>
      </c>
      <c r="AB44" s="166">
        <f t="shared" si="3"/>
        <v>34</v>
      </c>
      <c r="AC44" s="166">
        <f t="shared" si="3"/>
        <v>34</v>
      </c>
      <c r="AD44" s="166">
        <f t="shared" si="3"/>
        <v>34</v>
      </c>
      <c r="AE44" s="166">
        <f t="shared" si="3"/>
        <v>34</v>
      </c>
      <c r="AF44" s="166">
        <f t="shared" si="3"/>
        <v>34</v>
      </c>
      <c r="AG44" s="166">
        <f t="shared" si="3"/>
        <v>34</v>
      </c>
      <c r="AH44" s="166">
        <f t="shared" si="3"/>
        <v>34</v>
      </c>
      <c r="AI44" s="166">
        <f t="shared" si="3"/>
        <v>34</v>
      </c>
      <c r="AJ44" s="166">
        <f t="shared" si="3"/>
        <v>34</v>
      </c>
      <c r="AK44" s="166">
        <f t="shared" si="3"/>
        <v>34</v>
      </c>
      <c r="AL44" s="9"/>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row>
    <row r="45" spans="2:212" ht="20.100000000000001" customHeight="1">
      <c r="B45" s="120"/>
      <c r="C45" s="120"/>
      <c r="D45" s="164" t="s">
        <v>461</v>
      </c>
      <c r="E45" s="388">
        <f>IF(O22=2018,0,O21)</f>
        <v>340</v>
      </c>
      <c r="F45" s="388">
        <f t="shared" ref="F45:AK45" si="4">IF($O$22="",$O$21,IF(E45=0,0,E45-($O$21/($O$22-2018))))</f>
        <v>340</v>
      </c>
      <c r="G45" s="388">
        <f t="shared" si="4"/>
        <v>340</v>
      </c>
      <c r="H45" s="388">
        <f t="shared" si="4"/>
        <v>340</v>
      </c>
      <c r="I45" s="388">
        <f t="shared" si="4"/>
        <v>340</v>
      </c>
      <c r="J45" s="388">
        <f t="shared" si="4"/>
        <v>340</v>
      </c>
      <c r="K45" s="388">
        <f t="shared" si="4"/>
        <v>340</v>
      </c>
      <c r="L45" s="388">
        <f t="shared" si="4"/>
        <v>340</v>
      </c>
      <c r="M45" s="388">
        <f t="shared" si="4"/>
        <v>340</v>
      </c>
      <c r="N45" s="388">
        <f t="shared" si="4"/>
        <v>340</v>
      </c>
      <c r="O45" s="388">
        <f t="shared" si="4"/>
        <v>340</v>
      </c>
      <c r="P45" s="388">
        <f t="shared" si="4"/>
        <v>340</v>
      </c>
      <c r="Q45" s="388">
        <f t="shared" si="4"/>
        <v>340</v>
      </c>
      <c r="R45" s="388">
        <f t="shared" si="4"/>
        <v>340</v>
      </c>
      <c r="S45" s="388">
        <f t="shared" si="4"/>
        <v>340</v>
      </c>
      <c r="T45" s="388">
        <f t="shared" si="4"/>
        <v>340</v>
      </c>
      <c r="U45" s="388">
        <f t="shared" si="4"/>
        <v>340</v>
      </c>
      <c r="V45" s="388">
        <f t="shared" si="4"/>
        <v>340</v>
      </c>
      <c r="W45" s="388">
        <f t="shared" si="4"/>
        <v>340</v>
      </c>
      <c r="X45" s="388">
        <f t="shared" si="4"/>
        <v>340</v>
      </c>
      <c r="Y45" s="388">
        <f t="shared" si="4"/>
        <v>340</v>
      </c>
      <c r="Z45" s="388">
        <f t="shared" si="4"/>
        <v>340</v>
      </c>
      <c r="AA45" s="388">
        <f t="shared" si="4"/>
        <v>340</v>
      </c>
      <c r="AB45" s="388">
        <f t="shared" si="4"/>
        <v>340</v>
      </c>
      <c r="AC45" s="388">
        <f t="shared" si="4"/>
        <v>340</v>
      </c>
      <c r="AD45" s="388">
        <f t="shared" si="4"/>
        <v>340</v>
      </c>
      <c r="AE45" s="388">
        <f t="shared" si="4"/>
        <v>340</v>
      </c>
      <c r="AF45" s="388">
        <f t="shared" si="4"/>
        <v>340</v>
      </c>
      <c r="AG45" s="388">
        <f t="shared" si="4"/>
        <v>340</v>
      </c>
      <c r="AH45" s="388">
        <f t="shared" si="4"/>
        <v>340</v>
      </c>
      <c r="AI45" s="388">
        <f t="shared" si="4"/>
        <v>340</v>
      </c>
      <c r="AJ45" s="388">
        <f t="shared" si="4"/>
        <v>340</v>
      </c>
      <c r="AK45" s="388">
        <f t="shared" si="4"/>
        <v>340</v>
      </c>
      <c r="AL45" s="9"/>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row>
    <row r="46" spans="2:212" ht="27" customHeight="1">
      <c r="B46" s="9"/>
      <c r="C46" s="9"/>
      <c r="D46" s="255" t="s">
        <v>479</v>
      </c>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row>
    <row r="47" spans="2:212" s="80" customFormat="1" ht="24" customHeight="1">
      <c r="B47" s="117"/>
      <c r="C47" s="117"/>
      <c r="D47" s="122" t="s">
        <v>472</v>
      </c>
      <c r="E47" s="166">
        <f>E$38*E41</f>
        <v>0</v>
      </c>
      <c r="F47" s="166">
        <f>E47+((F$38-E$38)*F41)</f>
        <v>0</v>
      </c>
      <c r="G47" s="166">
        <f t="shared" ref="G47:AK47" si="5">F47+((G$38-F$38)*G41)</f>
        <v>0</v>
      </c>
      <c r="H47" s="166">
        <f t="shared" si="5"/>
        <v>0</v>
      </c>
      <c r="I47" s="166">
        <f t="shared" si="5"/>
        <v>0</v>
      </c>
      <c r="J47" s="166">
        <f t="shared" si="5"/>
        <v>0</v>
      </c>
      <c r="K47" s="166">
        <f t="shared" si="5"/>
        <v>0</v>
      </c>
      <c r="L47" s="166">
        <f t="shared" si="5"/>
        <v>0</v>
      </c>
      <c r="M47" s="166">
        <f t="shared" si="5"/>
        <v>0</v>
      </c>
      <c r="N47" s="166">
        <f t="shared" si="5"/>
        <v>208780</v>
      </c>
      <c r="O47" s="166">
        <f t="shared" si="5"/>
        <v>208780</v>
      </c>
      <c r="P47" s="166">
        <f t="shared" si="5"/>
        <v>208780</v>
      </c>
      <c r="Q47" s="166">
        <f t="shared" si="5"/>
        <v>208780</v>
      </c>
      <c r="R47" s="166">
        <f t="shared" si="5"/>
        <v>208780</v>
      </c>
      <c r="S47" s="166">
        <f t="shared" si="5"/>
        <v>264360</v>
      </c>
      <c r="T47" s="166">
        <f t="shared" si="5"/>
        <v>264360</v>
      </c>
      <c r="U47" s="166">
        <f t="shared" si="5"/>
        <v>264360</v>
      </c>
      <c r="V47" s="166">
        <f t="shared" si="5"/>
        <v>264360</v>
      </c>
      <c r="W47" s="166">
        <f t="shared" si="5"/>
        <v>264360</v>
      </c>
      <c r="X47" s="166">
        <f t="shared" si="5"/>
        <v>264360</v>
      </c>
      <c r="Y47" s="166">
        <f t="shared" si="5"/>
        <v>264360</v>
      </c>
      <c r="Z47" s="166">
        <f t="shared" si="5"/>
        <v>264360</v>
      </c>
      <c r="AA47" s="166">
        <f t="shared" si="5"/>
        <v>307780</v>
      </c>
      <c r="AB47" s="166">
        <f t="shared" si="5"/>
        <v>307780</v>
      </c>
      <c r="AC47" s="166">
        <f t="shared" si="5"/>
        <v>307780</v>
      </c>
      <c r="AD47" s="166">
        <f t="shared" si="5"/>
        <v>307780</v>
      </c>
      <c r="AE47" s="166">
        <f t="shared" si="5"/>
        <v>307780</v>
      </c>
      <c r="AF47" s="166">
        <f t="shared" si="5"/>
        <v>307780</v>
      </c>
      <c r="AG47" s="166">
        <f t="shared" si="5"/>
        <v>307780</v>
      </c>
      <c r="AH47" s="166">
        <f t="shared" si="5"/>
        <v>307780</v>
      </c>
      <c r="AI47" s="166">
        <f t="shared" si="5"/>
        <v>307780</v>
      </c>
      <c r="AJ47" s="166">
        <f t="shared" si="5"/>
        <v>307780</v>
      </c>
      <c r="AK47" s="166">
        <f t="shared" si="5"/>
        <v>307780</v>
      </c>
      <c r="AL47" s="50"/>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row>
    <row r="48" spans="2:212" s="80" customFormat="1" ht="24" customHeight="1">
      <c r="B48" s="117"/>
      <c r="C48" s="117"/>
      <c r="D48" s="122" t="s">
        <v>471</v>
      </c>
      <c r="E48" s="165">
        <f>E$38*E42</f>
        <v>0</v>
      </c>
      <c r="F48" s="165">
        <f t="shared" ref="F48:AK48" si="6">E48+((F$38-E$38)*F42)</f>
        <v>0</v>
      </c>
      <c r="G48" s="165">
        <f t="shared" si="6"/>
        <v>0</v>
      </c>
      <c r="H48" s="165">
        <f t="shared" si="6"/>
        <v>0</v>
      </c>
      <c r="I48" s="165">
        <f t="shared" si="6"/>
        <v>0</v>
      </c>
      <c r="J48" s="165">
        <f t="shared" si="6"/>
        <v>0</v>
      </c>
      <c r="K48" s="165">
        <f t="shared" si="6"/>
        <v>0</v>
      </c>
      <c r="L48" s="165">
        <f t="shared" si="6"/>
        <v>0</v>
      </c>
      <c r="M48" s="165">
        <f t="shared" si="6"/>
        <v>0</v>
      </c>
      <c r="N48" s="165">
        <f t="shared" si="6"/>
        <v>313170</v>
      </c>
      <c r="O48" s="165">
        <f t="shared" si="6"/>
        <v>313170</v>
      </c>
      <c r="P48" s="165">
        <f t="shared" si="6"/>
        <v>313170</v>
      </c>
      <c r="Q48" s="165">
        <f t="shared" si="6"/>
        <v>313170</v>
      </c>
      <c r="R48" s="165">
        <f t="shared" si="6"/>
        <v>313170</v>
      </c>
      <c r="S48" s="165">
        <f t="shared" si="6"/>
        <v>396540</v>
      </c>
      <c r="T48" s="165">
        <f t="shared" si="6"/>
        <v>396540</v>
      </c>
      <c r="U48" s="165">
        <f t="shared" si="6"/>
        <v>396540</v>
      </c>
      <c r="V48" s="165">
        <f t="shared" si="6"/>
        <v>396540</v>
      </c>
      <c r="W48" s="165">
        <f t="shared" si="6"/>
        <v>396540</v>
      </c>
      <c r="X48" s="165">
        <f t="shared" si="6"/>
        <v>396540</v>
      </c>
      <c r="Y48" s="165">
        <f t="shared" si="6"/>
        <v>396540</v>
      </c>
      <c r="Z48" s="165">
        <f t="shared" si="6"/>
        <v>396540</v>
      </c>
      <c r="AA48" s="165">
        <f t="shared" si="6"/>
        <v>461670</v>
      </c>
      <c r="AB48" s="165">
        <f t="shared" si="6"/>
        <v>461670</v>
      </c>
      <c r="AC48" s="165">
        <f t="shared" si="6"/>
        <v>461670</v>
      </c>
      <c r="AD48" s="165">
        <f t="shared" si="6"/>
        <v>461670</v>
      </c>
      <c r="AE48" s="165">
        <f t="shared" si="6"/>
        <v>461670</v>
      </c>
      <c r="AF48" s="165">
        <f t="shared" si="6"/>
        <v>461670</v>
      </c>
      <c r="AG48" s="165">
        <f t="shared" si="6"/>
        <v>461670</v>
      </c>
      <c r="AH48" s="165">
        <f t="shared" si="6"/>
        <v>461670</v>
      </c>
      <c r="AI48" s="165">
        <f t="shared" si="6"/>
        <v>461670</v>
      </c>
      <c r="AJ48" s="165">
        <f t="shared" si="6"/>
        <v>461670</v>
      </c>
      <c r="AK48" s="165">
        <f t="shared" si="6"/>
        <v>461670</v>
      </c>
      <c r="AL48" s="50"/>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row>
    <row r="49" spans="2:212" s="80" customFormat="1" ht="24" customHeight="1">
      <c r="B49" s="117"/>
      <c r="C49" s="117"/>
      <c r="D49" s="122" t="s">
        <v>466</v>
      </c>
      <c r="E49" s="165">
        <f>E$38*E43</f>
        <v>0</v>
      </c>
      <c r="F49" s="165">
        <f t="shared" ref="F49:AK49" si="7">E49+((F$38-E$38)*F43)</f>
        <v>0</v>
      </c>
      <c r="G49" s="165">
        <f t="shared" si="7"/>
        <v>0</v>
      </c>
      <c r="H49" s="165">
        <f t="shared" si="7"/>
        <v>0</v>
      </c>
      <c r="I49" s="165">
        <f t="shared" si="7"/>
        <v>0</v>
      </c>
      <c r="J49" s="165">
        <f t="shared" si="7"/>
        <v>0</v>
      </c>
      <c r="K49" s="165">
        <f t="shared" si="7"/>
        <v>0</v>
      </c>
      <c r="L49" s="165">
        <f t="shared" si="7"/>
        <v>0</v>
      </c>
      <c r="M49" s="165">
        <f t="shared" si="7"/>
        <v>0</v>
      </c>
      <c r="N49" s="165">
        <f t="shared" si="7"/>
        <v>52195</v>
      </c>
      <c r="O49" s="165">
        <f t="shared" si="7"/>
        <v>52195</v>
      </c>
      <c r="P49" s="165">
        <f t="shared" si="7"/>
        <v>52195</v>
      </c>
      <c r="Q49" s="165">
        <f t="shared" si="7"/>
        <v>52195</v>
      </c>
      <c r="R49" s="165">
        <f t="shared" si="7"/>
        <v>52195</v>
      </c>
      <c r="S49" s="165">
        <f t="shared" si="7"/>
        <v>66090</v>
      </c>
      <c r="T49" s="165">
        <f t="shared" si="7"/>
        <v>66090</v>
      </c>
      <c r="U49" s="165">
        <f t="shared" si="7"/>
        <v>66090</v>
      </c>
      <c r="V49" s="165">
        <f t="shared" si="7"/>
        <v>66090</v>
      </c>
      <c r="W49" s="165">
        <f t="shared" si="7"/>
        <v>66090</v>
      </c>
      <c r="X49" s="165">
        <f t="shared" si="7"/>
        <v>66090</v>
      </c>
      <c r="Y49" s="165">
        <f t="shared" si="7"/>
        <v>66090</v>
      </c>
      <c r="Z49" s="165">
        <f t="shared" si="7"/>
        <v>66090</v>
      </c>
      <c r="AA49" s="165">
        <f t="shared" si="7"/>
        <v>76945</v>
      </c>
      <c r="AB49" s="165">
        <f t="shared" si="7"/>
        <v>76945</v>
      </c>
      <c r="AC49" s="165">
        <f t="shared" si="7"/>
        <v>76945</v>
      </c>
      <c r="AD49" s="165">
        <f t="shared" si="7"/>
        <v>76945</v>
      </c>
      <c r="AE49" s="165">
        <f t="shared" si="7"/>
        <v>76945</v>
      </c>
      <c r="AF49" s="165">
        <f t="shared" si="7"/>
        <v>76945</v>
      </c>
      <c r="AG49" s="165">
        <f t="shared" si="7"/>
        <v>76945</v>
      </c>
      <c r="AH49" s="165">
        <f t="shared" si="7"/>
        <v>76945</v>
      </c>
      <c r="AI49" s="165">
        <f t="shared" si="7"/>
        <v>76945</v>
      </c>
      <c r="AJ49" s="165">
        <f t="shared" si="7"/>
        <v>76945</v>
      </c>
      <c r="AK49" s="165">
        <f t="shared" si="7"/>
        <v>76945</v>
      </c>
      <c r="AL49" s="50"/>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row>
    <row r="50" spans="2:212" s="80" customFormat="1" ht="24" customHeight="1">
      <c r="B50" s="117"/>
      <c r="C50" s="117"/>
      <c r="D50" s="121" t="s">
        <v>377</v>
      </c>
      <c r="E50" s="165">
        <f>E$38*E44</f>
        <v>0</v>
      </c>
      <c r="F50" s="165">
        <f t="shared" ref="F50:AK50" si="8">E50+((F$38-E$38)*F44)</f>
        <v>0</v>
      </c>
      <c r="G50" s="165">
        <f t="shared" si="8"/>
        <v>0</v>
      </c>
      <c r="H50" s="165">
        <f t="shared" si="8"/>
        <v>0</v>
      </c>
      <c r="I50" s="165">
        <f t="shared" si="8"/>
        <v>0</v>
      </c>
      <c r="J50" s="165">
        <f t="shared" si="8"/>
        <v>0</v>
      </c>
      <c r="K50" s="165">
        <f t="shared" si="8"/>
        <v>0</v>
      </c>
      <c r="L50" s="165">
        <f t="shared" si="8"/>
        <v>0</v>
      </c>
      <c r="M50" s="165">
        <f t="shared" si="8"/>
        <v>0</v>
      </c>
      <c r="N50" s="165">
        <f t="shared" si="8"/>
        <v>354926</v>
      </c>
      <c r="O50" s="165">
        <f t="shared" si="8"/>
        <v>354926</v>
      </c>
      <c r="P50" s="165">
        <f t="shared" si="8"/>
        <v>354926</v>
      </c>
      <c r="Q50" s="165">
        <f t="shared" si="8"/>
        <v>354926</v>
      </c>
      <c r="R50" s="165">
        <f t="shared" si="8"/>
        <v>354926</v>
      </c>
      <c r="S50" s="165">
        <f t="shared" si="8"/>
        <v>449412</v>
      </c>
      <c r="T50" s="165">
        <f t="shared" si="8"/>
        <v>449412</v>
      </c>
      <c r="U50" s="165">
        <f t="shared" si="8"/>
        <v>449412</v>
      </c>
      <c r="V50" s="165">
        <f t="shared" si="8"/>
        <v>449412</v>
      </c>
      <c r="W50" s="165">
        <f t="shared" si="8"/>
        <v>449412</v>
      </c>
      <c r="X50" s="165">
        <f t="shared" si="8"/>
        <v>449412</v>
      </c>
      <c r="Y50" s="165">
        <f t="shared" si="8"/>
        <v>449412</v>
      </c>
      <c r="Z50" s="165">
        <f t="shared" si="8"/>
        <v>449412</v>
      </c>
      <c r="AA50" s="165">
        <f t="shared" si="8"/>
        <v>523226</v>
      </c>
      <c r="AB50" s="165">
        <f t="shared" si="8"/>
        <v>523226</v>
      </c>
      <c r="AC50" s="165">
        <f t="shared" si="8"/>
        <v>523226</v>
      </c>
      <c r="AD50" s="165">
        <f t="shared" si="8"/>
        <v>523226</v>
      </c>
      <c r="AE50" s="165">
        <f t="shared" si="8"/>
        <v>523226</v>
      </c>
      <c r="AF50" s="165">
        <f t="shared" si="8"/>
        <v>523226</v>
      </c>
      <c r="AG50" s="165">
        <f t="shared" si="8"/>
        <v>523226</v>
      </c>
      <c r="AH50" s="165">
        <f t="shared" si="8"/>
        <v>523226</v>
      </c>
      <c r="AI50" s="165">
        <f t="shared" si="8"/>
        <v>523226</v>
      </c>
      <c r="AJ50" s="165">
        <f t="shared" si="8"/>
        <v>523226</v>
      </c>
      <c r="AK50" s="165">
        <f t="shared" si="8"/>
        <v>523226</v>
      </c>
      <c r="AL50" s="50"/>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row>
    <row r="51" spans="2:212" s="80" customFormat="1" ht="24" customHeight="1">
      <c r="B51" s="117"/>
      <c r="C51" s="117"/>
      <c r="D51" s="121" t="s">
        <v>476</v>
      </c>
      <c r="E51" s="166">
        <f>SUM(E47:E49)</f>
        <v>0</v>
      </c>
      <c r="F51" s="166">
        <f t="shared" ref="F51:AK51" si="9">SUM(F47:F49)</f>
        <v>0</v>
      </c>
      <c r="G51" s="166">
        <f t="shared" si="9"/>
        <v>0</v>
      </c>
      <c r="H51" s="166">
        <f t="shared" si="9"/>
        <v>0</v>
      </c>
      <c r="I51" s="166">
        <f t="shared" si="9"/>
        <v>0</v>
      </c>
      <c r="J51" s="166">
        <f t="shared" si="9"/>
        <v>0</v>
      </c>
      <c r="K51" s="166">
        <f t="shared" si="9"/>
        <v>0</v>
      </c>
      <c r="L51" s="166">
        <f t="shared" si="9"/>
        <v>0</v>
      </c>
      <c r="M51" s="166">
        <f t="shared" si="9"/>
        <v>0</v>
      </c>
      <c r="N51" s="166">
        <f t="shared" si="9"/>
        <v>574145</v>
      </c>
      <c r="O51" s="166">
        <f t="shared" si="9"/>
        <v>574145</v>
      </c>
      <c r="P51" s="166">
        <f t="shared" si="9"/>
        <v>574145</v>
      </c>
      <c r="Q51" s="166">
        <f t="shared" si="9"/>
        <v>574145</v>
      </c>
      <c r="R51" s="166">
        <f t="shared" si="9"/>
        <v>574145</v>
      </c>
      <c r="S51" s="166">
        <f t="shared" si="9"/>
        <v>726990</v>
      </c>
      <c r="T51" s="166">
        <f t="shared" si="9"/>
        <v>726990</v>
      </c>
      <c r="U51" s="166">
        <f t="shared" si="9"/>
        <v>726990</v>
      </c>
      <c r="V51" s="166">
        <f t="shared" si="9"/>
        <v>726990</v>
      </c>
      <c r="W51" s="166">
        <f t="shared" si="9"/>
        <v>726990</v>
      </c>
      <c r="X51" s="166">
        <f t="shared" si="9"/>
        <v>726990</v>
      </c>
      <c r="Y51" s="166">
        <f t="shared" si="9"/>
        <v>726990</v>
      </c>
      <c r="Z51" s="166">
        <f t="shared" si="9"/>
        <v>726990</v>
      </c>
      <c r="AA51" s="166">
        <f t="shared" si="9"/>
        <v>846395</v>
      </c>
      <c r="AB51" s="166">
        <f t="shared" si="9"/>
        <v>846395</v>
      </c>
      <c r="AC51" s="166">
        <f t="shared" si="9"/>
        <v>846395</v>
      </c>
      <c r="AD51" s="166">
        <f t="shared" si="9"/>
        <v>846395</v>
      </c>
      <c r="AE51" s="166">
        <f t="shared" si="9"/>
        <v>846395</v>
      </c>
      <c r="AF51" s="166">
        <f t="shared" si="9"/>
        <v>846395</v>
      </c>
      <c r="AG51" s="166">
        <f t="shared" si="9"/>
        <v>846395</v>
      </c>
      <c r="AH51" s="166">
        <f t="shared" si="9"/>
        <v>846395</v>
      </c>
      <c r="AI51" s="166">
        <f t="shared" si="9"/>
        <v>846395</v>
      </c>
      <c r="AJ51" s="166">
        <f t="shared" si="9"/>
        <v>846395</v>
      </c>
      <c r="AK51" s="166">
        <f t="shared" si="9"/>
        <v>846395</v>
      </c>
      <c r="AL51" s="50"/>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row>
    <row r="52" spans="2:212" s="80" customFormat="1" ht="24" customHeight="1">
      <c r="B52" s="117"/>
      <c r="C52" s="117"/>
      <c r="D52" s="121" t="s">
        <v>477</v>
      </c>
      <c r="E52" s="166">
        <f>IF(E$38=0,0,E51/E$38)</f>
        <v>0</v>
      </c>
      <c r="F52" s="166">
        <f t="shared" ref="F52:AK52" si="10">IF(F$38=0,0,F51/F$38)</f>
        <v>0</v>
      </c>
      <c r="G52" s="166">
        <f t="shared" si="10"/>
        <v>0</v>
      </c>
      <c r="H52" s="166">
        <f t="shared" si="10"/>
        <v>0</v>
      </c>
      <c r="I52" s="166">
        <f t="shared" si="10"/>
        <v>0</v>
      </c>
      <c r="J52" s="166">
        <f t="shared" si="10"/>
        <v>0</v>
      </c>
      <c r="K52" s="166">
        <f t="shared" si="10"/>
        <v>0</v>
      </c>
      <c r="L52" s="166">
        <f t="shared" si="10"/>
        <v>0</v>
      </c>
      <c r="M52" s="166">
        <f t="shared" si="10"/>
        <v>0</v>
      </c>
      <c r="N52" s="166">
        <f t="shared" si="10"/>
        <v>55</v>
      </c>
      <c r="O52" s="166">
        <f t="shared" si="10"/>
        <v>55</v>
      </c>
      <c r="P52" s="166">
        <f t="shared" si="10"/>
        <v>55</v>
      </c>
      <c r="Q52" s="166">
        <f t="shared" si="10"/>
        <v>55</v>
      </c>
      <c r="R52" s="166">
        <f t="shared" si="10"/>
        <v>55</v>
      </c>
      <c r="S52" s="166">
        <f t="shared" si="10"/>
        <v>55</v>
      </c>
      <c r="T52" s="166">
        <f t="shared" si="10"/>
        <v>55</v>
      </c>
      <c r="U52" s="166">
        <f t="shared" si="10"/>
        <v>55</v>
      </c>
      <c r="V52" s="166">
        <f t="shared" si="10"/>
        <v>55</v>
      </c>
      <c r="W52" s="166">
        <f t="shared" si="10"/>
        <v>55</v>
      </c>
      <c r="X52" s="166">
        <f t="shared" si="10"/>
        <v>55</v>
      </c>
      <c r="Y52" s="166">
        <f t="shared" si="10"/>
        <v>55</v>
      </c>
      <c r="Z52" s="166">
        <f t="shared" si="10"/>
        <v>55</v>
      </c>
      <c r="AA52" s="166">
        <f t="shared" si="10"/>
        <v>55</v>
      </c>
      <c r="AB52" s="166">
        <f t="shared" si="10"/>
        <v>55</v>
      </c>
      <c r="AC52" s="166">
        <f t="shared" si="10"/>
        <v>55</v>
      </c>
      <c r="AD52" s="166">
        <f t="shared" si="10"/>
        <v>55</v>
      </c>
      <c r="AE52" s="166">
        <f t="shared" si="10"/>
        <v>55</v>
      </c>
      <c r="AF52" s="166">
        <f t="shared" si="10"/>
        <v>55</v>
      </c>
      <c r="AG52" s="166">
        <f t="shared" si="10"/>
        <v>55</v>
      </c>
      <c r="AH52" s="166">
        <f t="shared" si="10"/>
        <v>55</v>
      </c>
      <c r="AI52" s="166">
        <f t="shared" si="10"/>
        <v>55</v>
      </c>
      <c r="AJ52" s="166">
        <f t="shared" si="10"/>
        <v>55</v>
      </c>
      <c r="AK52" s="166">
        <f t="shared" si="10"/>
        <v>55</v>
      </c>
      <c r="AL52" s="50"/>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row>
    <row r="53" spans="2:212" ht="25.5" customHeight="1">
      <c r="B53" s="9"/>
      <c r="C53" s="9"/>
      <c r="D53" s="255" t="s">
        <v>481</v>
      </c>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row>
    <row r="54" spans="2:212" s="80" customFormat="1" ht="24" customHeight="1">
      <c r="B54" s="117"/>
      <c r="C54" s="117"/>
      <c r="D54" s="389" t="s">
        <v>475</v>
      </c>
      <c r="E54" s="166">
        <f>E51-E50</f>
        <v>0</v>
      </c>
      <c r="F54" s="166">
        <f t="shared" ref="F54:AJ54" si="11">F51-F50</f>
        <v>0</v>
      </c>
      <c r="G54" s="166">
        <f t="shared" si="11"/>
        <v>0</v>
      </c>
      <c r="H54" s="166">
        <f t="shared" si="11"/>
        <v>0</v>
      </c>
      <c r="I54" s="166">
        <f t="shared" si="11"/>
        <v>0</v>
      </c>
      <c r="J54" s="166">
        <f t="shared" si="11"/>
        <v>0</v>
      </c>
      <c r="K54" s="166">
        <f t="shared" si="11"/>
        <v>0</v>
      </c>
      <c r="L54" s="166">
        <f t="shared" si="11"/>
        <v>0</v>
      </c>
      <c r="M54" s="166">
        <f t="shared" si="11"/>
        <v>0</v>
      </c>
      <c r="N54" s="166">
        <f t="shared" si="11"/>
        <v>219219</v>
      </c>
      <c r="O54" s="166">
        <f t="shared" si="11"/>
        <v>219219</v>
      </c>
      <c r="P54" s="166">
        <f t="shared" si="11"/>
        <v>219219</v>
      </c>
      <c r="Q54" s="166">
        <f t="shared" si="11"/>
        <v>219219</v>
      </c>
      <c r="R54" s="166">
        <f t="shared" si="11"/>
        <v>219219</v>
      </c>
      <c r="S54" s="166">
        <f t="shared" si="11"/>
        <v>277578</v>
      </c>
      <c r="T54" s="166">
        <f t="shared" si="11"/>
        <v>277578</v>
      </c>
      <c r="U54" s="166">
        <f t="shared" si="11"/>
        <v>277578</v>
      </c>
      <c r="V54" s="166">
        <f t="shared" si="11"/>
        <v>277578</v>
      </c>
      <c r="W54" s="166">
        <f t="shared" si="11"/>
        <v>277578</v>
      </c>
      <c r="X54" s="166">
        <f t="shared" si="11"/>
        <v>277578</v>
      </c>
      <c r="Y54" s="166">
        <f t="shared" si="11"/>
        <v>277578</v>
      </c>
      <c r="Z54" s="166">
        <f t="shared" si="11"/>
        <v>277578</v>
      </c>
      <c r="AA54" s="166">
        <f t="shared" si="11"/>
        <v>323169</v>
      </c>
      <c r="AB54" s="166">
        <f t="shared" si="11"/>
        <v>323169</v>
      </c>
      <c r="AC54" s="166">
        <f t="shared" si="11"/>
        <v>323169</v>
      </c>
      <c r="AD54" s="166">
        <f t="shared" si="11"/>
        <v>323169</v>
      </c>
      <c r="AE54" s="166">
        <f t="shared" si="11"/>
        <v>323169</v>
      </c>
      <c r="AF54" s="166">
        <f t="shared" si="11"/>
        <v>323169</v>
      </c>
      <c r="AG54" s="166">
        <f t="shared" si="11"/>
        <v>323169</v>
      </c>
      <c r="AH54" s="166">
        <f t="shared" si="11"/>
        <v>323169</v>
      </c>
      <c r="AI54" s="166">
        <f t="shared" si="11"/>
        <v>323169</v>
      </c>
      <c r="AJ54" s="166">
        <f t="shared" si="11"/>
        <v>323169</v>
      </c>
      <c r="AK54" s="166">
        <f>AK51-AK50</f>
        <v>323169</v>
      </c>
      <c r="AL54" s="50"/>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row>
    <row r="55" spans="2:212" s="80" customFormat="1" ht="24" customHeight="1">
      <c r="B55" s="117"/>
      <c r="C55" s="117"/>
      <c r="D55" s="390" t="s">
        <v>478</v>
      </c>
      <c r="E55" s="166">
        <f t="shared" ref="E55:AK55" si="12">IF(E$38=0,0,E54/E$38)</f>
        <v>0</v>
      </c>
      <c r="F55" s="166">
        <f t="shared" si="12"/>
        <v>0</v>
      </c>
      <c r="G55" s="166">
        <f t="shared" si="12"/>
        <v>0</v>
      </c>
      <c r="H55" s="166">
        <f t="shared" si="12"/>
        <v>0</v>
      </c>
      <c r="I55" s="166">
        <f t="shared" si="12"/>
        <v>0</v>
      </c>
      <c r="J55" s="166">
        <f t="shared" si="12"/>
        <v>0</v>
      </c>
      <c r="K55" s="166">
        <f t="shared" si="12"/>
        <v>0</v>
      </c>
      <c r="L55" s="166">
        <f t="shared" si="12"/>
        <v>0</v>
      </c>
      <c r="M55" s="166">
        <f t="shared" si="12"/>
        <v>0</v>
      </c>
      <c r="N55" s="166">
        <f t="shared" si="12"/>
        <v>21</v>
      </c>
      <c r="O55" s="166">
        <f t="shared" si="12"/>
        <v>21</v>
      </c>
      <c r="P55" s="166">
        <f t="shared" si="12"/>
        <v>21</v>
      </c>
      <c r="Q55" s="166">
        <f t="shared" si="12"/>
        <v>21</v>
      </c>
      <c r="R55" s="166">
        <f t="shared" si="12"/>
        <v>21</v>
      </c>
      <c r="S55" s="166">
        <f t="shared" si="12"/>
        <v>21</v>
      </c>
      <c r="T55" s="166">
        <f t="shared" si="12"/>
        <v>21</v>
      </c>
      <c r="U55" s="166">
        <f t="shared" si="12"/>
        <v>21</v>
      </c>
      <c r="V55" s="166">
        <f t="shared" si="12"/>
        <v>21</v>
      </c>
      <c r="W55" s="166">
        <f t="shared" si="12"/>
        <v>21</v>
      </c>
      <c r="X55" s="166">
        <f t="shared" si="12"/>
        <v>21</v>
      </c>
      <c r="Y55" s="166">
        <f t="shared" si="12"/>
        <v>21</v>
      </c>
      <c r="Z55" s="166">
        <f t="shared" si="12"/>
        <v>21</v>
      </c>
      <c r="AA55" s="166">
        <f t="shared" si="12"/>
        <v>21</v>
      </c>
      <c r="AB55" s="166">
        <f t="shared" si="12"/>
        <v>21</v>
      </c>
      <c r="AC55" s="166">
        <f t="shared" si="12"/>
        <v>21</v>
      </c>
      <c r="AD55" s="166">
        <f t="shared" si="12"/>
        <v>21</v>
      </c>
      <c r="AE55" s="166">
        <f t="shared" si="12"/>
        <v>21</v>
      </c>
      <c r="AF55" s="166">
        <f t="shared" si="12"/>
        <v>21</v>
      </c>
      <c r="AG55" s="166">
        <f t="shared" si="12"/>
        <v>21</v>
      </c>
      <c r="AH55" s="166">
        <f t="shared" si="12"/>
        <v>21</v>
      </c>
      <c r="AI55" s="166">
        <f t="shared" si="12"/>
        <v>21</v>
      </c>
      <c r="AJ55" s="166">
        <f t="shared" si="12"/>
        <v>21</v>
      </c>
      <c r="AK55" s="166">
        <f t="shared" si="12"/>
        <v>21</v>
      </c>
      <c r="AL55" s="50"/>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c r="GO55" s="81"/>
      <c r="GP55" s="81"/>
      <c r="GQ55" s="81"/>
      <c r="GR55" s="81"/>
      <c r="GS55" s="81"/>
      <c r="GT55" s="81"/>
      <c r="GU55" s="81"/>
      <c r="GV55" s="81"/>
      <c r="GW55" s="81"/>
      <c r="GX55" s="81"/>
      <c r="GY55" s="81"/>
      <c r="GZ55" s="81"/>
      <c r="HA55" s="81"/>
      <c r="HB55" s="81"/>
      <c r="HC55" s="81"/>
      <c r="HD55" s="81"/>
    </row>
    <row r="56" spans="2:212" s="80" customFormat="1" ht="24" customHeight="1">
      <c r="B56" s="117"/>
      <c r="C56" s="117"/>
      <c r="D56" s="389" t="s">
        <v>480</v>
      </c>
      <c r="E56" s="166">
        <f t="shared" ref="E56:AK56" si="13">E54*Elektriciteitsprijs</f>
        <v>0</v>
      </c>
      <c r="F56" s="166">
        <f t="shared" si="13"/>
        <v>0</v>
      </c>
      <c r="G56" s="166">
        <f t="shared" si="13"/>
        <v>0</v>
      </c>
      <c r="H56" s="166">
        <f t="shared" si="13"/>
        <v>0</v>
      </c>
      <c r="I56" s="166">
        <f t="shared" si="13"/>
        <v>0</v>
      </c>
      <c r="J56" s="166">
        <f t="shared" si="13"/>
        <v>0</v>
      </c>
      <c r="K56" s="166">
        <f t="shared" si="13"/>
        <v>0</v>
      </c>
      <c r="L56" s="166">
        <f t="shared" si="13"/>
        <v>0</v>
      </c>
      <c r="M56" s="166">
        <f t="shared" si="13"/>
        <v>0</v>
      </c>
      <c r="N56" s="166">
        <f t="shared" si="13"/>
        <v>55681.626000000004</v>
      </c>
      <c r="O56" s="166">
        <f t="shared" si="13"/>
        <v>55681.626000000004</v>
      </c>
      <c r="P56" s="166">
        <f t="shared" si="13"/>
        <v>55681.626000000004</v>
      </c>
      <c r="Q56" s="166">
        <f t="shared" si="13"/>
        <v>55681.626000000004</v>
      </c>
      <c r="R56" s="166">
        <f t="shared" si="13"/>
        <v>55681.626000000004</v>
      </c>
      <c r="S56" s="166">
        <f t="shared" si="13"/>
        <v>70504.812000000005</v>
      </c>
      <c r="T56" s="166">
        <f t="shared" si="13"/>
        <v>70504.812000000005</v>
      </c>
      <c r="U56" s="166">
        <f t="shared" si="13"/>
        <v>70504.812000000005</v>
      </c>
      <c r="V56" s="166">
        <f t="shared" si="13"/>
        <v>70504.812000000005</v>
      </c>
      <c r="W56" s="166">
        <f t="shared" si="13"/>
        <v>70504.812000000005</v>
      </c>
      <c r="X56" s="166">
        <f t="shared" si="13"/>
        <v>70504.812000000005</v>
      </c>
      <c r="Y56" s="166">
        <f t="shared" si="13"/>
        <v>70504.812000000005</v>
      </c>
      <c r="Z56" s="166">
        <f t="shared" si="13"/>
        <v>70504.812000000005</v>
      </c>
      <c r="AA56" s="166">
        <f t="shared" si="13"/>
        <v>82084.926000000007</v>
      </c>
      <c r="AB56" s="166">
        <f t="shared" si="13"/>
        <v>82084.926000000007</v>
      </c>
      <c r="AC56" s="166">
        <f t="shared" si="13"/>
        <v>82084.926000000007</v>
      </c>
      <c r="AD56" s="166">
        <f t="shared" si="13"/>
        <v>82084.926000000007</v>
      </c>
      <c r="AE56" s="166">
        <f t="shared" si="13"/>
        <v>82084.926000000007</v>
      </c>
      <c r="AF56" s="166">
        <f t="shared" si="13"/>
        <v>82084.926000000007</v>
      </c>
      <c r="AG56" s="166">
        <f t="shared" si="13"/>
        <v>82084.926000000007</v>
      </c>
      <c r="AH56" s="166">
        <f t="shared" si="13"/>
        <v>82084.926000000007</v>
      </c>
      <c r="AI56" s="166">
        <f t="shared" si="13"/>
        <v>82084.926000000007</v>
      </c>
      <c r="AJ56" s="166">
        <f t="shared" si="13"/>
        <v>82084.926000000007</v>
      </c>
      <c r="AK56" s="166">
        <f t="shared" si="13"/>
        <v>82084.926000000007</v>
      </c>
      <c r="AL56" s="50"/>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c r="GO56" s="81"/>
      <c r="GP56" s="81"/>
      <c r="GQ56" s="81"/>
      <c r="GR56" s="81"/>
      <c r="GS56" s="81"/>
      <c r="GT56" s="81"/>
      <c r="GU56" s="81"/>
      <c r="GV56" s="81"/>
      <c r="GW56" s="81"/>
      <c r="GX56" s="81"/>
      <c r="GY56" s="81"/>
      <c r="GZ56" s="81"/>
      <c r="HA56" s="81"/>
      <c r="HB56" s="81"/>
      <c r="HC56" s="81"/>
      <c r="HD56" s="81"/>
    </row>
    <row r="57" spans="2:212" ht="27" customHeight="1">
      <c r="B57" s="9"/>
      <c r="C57" s="9"/>
      <c r="D57" s="255" t="s">
        <v>474</v>
      </c>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row>
    <row r="58" spans="2:212" s="80" customFormat="1" ht="24" customHeight="1">
      <c r="B58" s="117"/>
      <c r="C58" s="117"/>
      <c r="D58" s="121" t="s">
        <v>381</v>
      </c>
      <c r="E58" s="166">
        <f t="shared" ref="E58:AK58" si="14">E54*CO2factorElektriciteit</f>
        <v>0</v>
      </c>
      <c r="F58" s="166">
        <f t="shared" si="14"/>
        <v>0</v>
      </c>
      <c r="G58" s="166">
        <f t="shared" si="14"/>
        <v>0</v>
      </c>
      <c r="H58" s="166">
        <f t="shared" si="14"/>
        <v>0</v>
      </c>
      <c r="I58" s="166">
        <f t="shared" si="14"/>
        <v>0</v>
      </c>
      <c r="J58" s="166">
        <f t="shared" si="14"/>
        <v>0</v>
      </c>
      <c r="K58" s="166">
        <f t="shared" si="14"/>
        <v>0</v>
      </c>
      <c r="L58" s="166">
        <f t="shared" si="14"/>
        <v>0</v>
      </c>
      <c r="M58" s="166">
        <f t="shared" si="14"/>
        <v>0</v>
      </c>
      <c r="N58" s="166">
        <f t="shared" si="14"/>
        <v>114651.53700000001</v>
      </c>
      <c r="O58" s="166">
        <f t="shared" si="14"/>
        <v>114651.53700000001</v>
      </c>
      <c r="P58" s="166">
        <f t="shared" si="14"/>
        <v>114651.53700000001</v>
      </c>
      <c r="Q58" s="166">
        <f t="shared" si="14"/>
        <v>114651.53700000001</v>
      </c>
      <c r="R58" s="166">
        <f t="shared" si="14"/>
        <v>114651.53700000001</v>
      </c>
      <c r="S58" s="166">
        <f t="shared" si="14"/>
        <v>145173.29399999999</v>
      </c>
      <c r="T58" s="166">
        <f t="shared" si="14"/>
        <v>145173.29399999999</v>
      </c>
      <c r="U58" s="166">
        <f t="shared" si="14"/>
        <v>145173.29399999999</v>
      </c>
      <c r="V58" s="166">
        <f t="shared" si="14"/>
        <v>145173.29399999999</v>
      </c>
      <c r="W58" s="166">
        <f t="shared" si="14"/>
        <v>145173.29399999999</v>
      </c>
      <c r="X58" s="166">
        <f t="shared" si="14"/>
        <v>145173.29399999999</v>
      </c>
      <c r="Y58" s="166">
        <f t="shared" si="14"/>
        <v>145173.29399999999</v>
      </c>
      <c r="Z58" s="166">
        <f t="shared" si="14"/>
        <v>145173.29399999999</v>
      </c>
      <c r="AA58" s="166">
        <f t="shared" si="14"/>
        <v>169017.38700000002</v>
      </c>
      <c r="AB58" s="166">
        <f t="shared" si="14"/>
        <v>169017.38700000002</v>
      </c>
      <c r="AC58" s="166">
        <f t="shared" si="14"/>
        <v>169017.38700000002</v>
      </c>
      <c r="AD58" s="166">
        <f t="shared" si="14"/>
        <v>169017.38700000002</v>
      </c>
      <c r="AE58" s="166">
        <f t="shared" si="14"/>
        <v>169017.38700000002</v>
      </c>
      <c r="AF58" s="166">
        <f t="shared" si="14"/>
        <v>169017.38700000002</v>
      </c>
      <c r="AG58" s="166">
        <f t="shared" si="14"/>
        <v>169017.38700000002</v>
      </c>
      <c r="AH58" s="166">
        <f t="shared" si="14"/>
        <v>169017.38700000002</v>
      </c>
      <c r="AI58" s="166">
        <f t="shared" si="14"/>
        <v>169017.38700000002</v>
      </c>
      <c r="AJ58" s="166">
        <f t="shared" si="14"/>
        <v>169017.38700000002</v>
      </c>
      <c r="AK58" s="166">
        <f t="shared" si="14"/>
        <v>169017.38700000002</v>
      </c>
      <c r="AL58" s="50"/>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row>
    <row r="59" spans="2:212" s="80" customFormat="1" ht="24" customHeight="1">
      <c r="B59" s="117"/>
      <c r="C59" s="117"/>
      <c r="D59" s="121" t="s">
        <v>382</v>
      </c>
      <c r="E59" s="166">
        <f>SUM(IF(G38&gt;F38,(G38-F38)*(E45/3),0),IF(F38&gt;E38,(F38-E38)*(E45/3),0))</f>
        <v>0</v>
      </c>
      <c r="F59" s="166">
        <f t="shared" ref="F59:AI59" si="15">SUM(IF(H38&gt;G38,(H38-G38)*(F45/3),0),IF(G38&gt;F38,(G38-F38)*(F45/3),0),IF(F38&gt;E38,(F38-E38)*(F45/3),0))</f>
        <v>0</v>
      </c>
      <c r="G59" s="166">
        <f t="shared" si="15"/>
        <v>0</v>
      </c>
      <c r="H59" s="166">
        <f t="shared" si="15"/>
        <v>0</v>
      </c>
      <c r="I59" s="166">
        <f t="shared" si="15"/>
        <v>0</v>
      </c>
      <c r="J59" s="166">
        <f t="shared" si="15"/>
        <v>0</v>
      </c>
      <c r="K59" s="166">
        <f t="shared" si="15"/>
        <v>0</v>
      </c>
      <c r="L59" s="166">
        <f t="shared" si="15"/>
        <v>1183086.6666666665</v>
      </c>
      <c r="M59" s="166">
        <f t="shared" si="15"/>
        <v>1183086.6666666665</v>
      </c>
      <c r="N59" s="166">
        <f t="shared" si="15"/>
        <v>1183086.6666666665</v>
      </c>
      <c r="O59" s="166">
        <f t="shared" si="15"/>
        <v>0</v>
      </c>
      <c r="P59" s="166">
        <f t="shared" si="15"/>
        <v>0</v>
      </c>
      <c r="Q59" s="166">
        <f t="shared" si="15"/>
        <v>314953.33333333331</v>
      </c>
      <c r="R59" s="166">
        <f t="shared" si="15"/>
        <v>314953.33333333331</v>
      </c>
      <c r="S59" s="166">
        <f t="shared" si="15"/>
        <v>314953.33333333331</v>
      </c>
      <c r="T59" s="166">
        <f t="shared" si="15"/>
        <v>0</v>
      </c>
      <c r="U59" s="166">
        <f t="shared" si="15"/>
        <v>0</v>
      </c>
      <c r="V59" s="166">
        <f t="shared" si="15"/>
        <v>0</v>
      </c>
      <c r="W59" s="166">
        <f t="shared" si="15"/>
        <v>0</v>
      </c>
      <c r="X59" s="166">
        <f t="shared" si="15"/>
        <v>0</v>
      </c>
      <c r="Y59" s="166">
        <f t="shared" si="15"/>
        <v>246046.66666666666</v>
      </c>
      <c r="Z59" s="166">
        <f t="shared" si="15"/>
        <v>246046.66666666666</v>
      </c>
      <c r="AA59" s="166">
        <f t="shared" si="15"/>
        <v>246046.66666666666</v>
      </c>
      <c r="AB59" s="166">
        <f t="shared" si="15"/>
        <v>0</v>
      </c>
      <c r="AC59" s="166">
        <f t="shared" si="15"/>
        <v>0</v>
      </c>
      <c r="AD59" s="166">
        <f t="shared" si="15"/>
        <v>0</v>
      </c>
      <c r="AE59" s="166">
        <f t="shared" si="15"/>
        <v>0</v>
      </c>
      <c r="AF59" s="166">
        <f t="shared" si="15"/>
        <v>0</v>
      </c>
      <c r="AG59" s="166">
        <f t="shared" si="15"/>
        <v>0</v>
      </c>
      <c r="AH59" s="166">
        <f t="shared" si="15"/>
        <v>0</v>
      </c>
      <c r="AI59" s="166">
        <f t="shared" si="15"/>
        <v>0</v>
      </c>
      <c r="AJ59" s="166">
        <f>SUM(IF(AK38&gt;AJ38,(AK38-AJ38)*(AJ45/3),0),IF(AJ38&gt;AI38,(AJ38-AI38)*(AJ45/3),0))</f>
        <v>0</v>
      </c>
      <c r="AK59" s="166">
        <f>SUM(IF(AK38&gt;AJ38,(AK38-AJ38)*(AK45/3),0))</f>
        <v>0</v>
      </c>
      <c r="AL59" s="50"/>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row>
    <row r="60" spans="2:212" s="80" customFormat="1" ht="24" customHeight="1">
      <c r="B60" s="117"/>
      <c r="C60" s="117"/>
      <c r="D60" s="121" t="s">
        <v>383</v>
      </c>
      <c r="E60" s="166">
        <f>SUM(E58:E59)</f>
        <v>0</v>
      </c>
      <c r="F60" s="166">
        <f t="shared" ref="F60:AK60" si="16">SUM(F58:F59)</f>
        <v>0</v>
      </c>
      <c r="G60" s="166">
        <f t="shared" si="16"/>
        <v>0</v>
      </c>
      <c r="H60" s="166">
        <f t="shared" si="16"/>
        <v>0</v>
      </c>
      <c r="I60" s="166">
        <f t="shared" si="16"/>
        <v>0</v>
      </c>
      <c r="J60" s="166">
        <f t="shared" si="16"/>
        <v>0</v>
      </c>
      <c r="K60" s="166">
        <f t="shared" si="16"/>
        <v>0</v>
      </c>
      <c r="L60" s="166">
        <f t="shared" si="16"/>
        <v>1183086.6666666665</v>
      </c>
      <c r="M60" s="166">
        <f t="shared" si="16"/>
        <v>1183086.6666666665</v>
      </c>
      <c r="N60" s="166">
        <f t="shared" si="16"/>
        <v>1297738.2036666665</v>
      </c>
      <c r="O60" s="166">
        <f t="shared" si="16"/>
        <v>114651.53700000001</v>
      </c>
      <c r="P60" s="166">
        <f t="shared" si="16"/>
        <v>114651.53700000001</v>
      </c>
      <c r="Q60" s="166">
        <f t="shared" si="16"/>
        <v>429604.87033333333</v>
      </c>
      <c r="R60" s="166">
        <f t="shared" si="16"/>
        <v>429604.87033333333</v>
      </c>
      <c r="S60" s="166">
        <f t="shared" si="16"/>
        <v>460126.62733333331</v>
      </c>
      <c r="T60" s="166">
        <f t="shared" si="16"/>
        <v>145173.29399999999</v>
      </c>
      <c r="U60" s="166">
        <f t="shared" si="16"/>
        <v>145173.29399999999</v>
      </c>
      <c r="V60" s="166">
        <f t="shared" si="16"/>
        <v>145173.29399999999</v>
      </c>
      <c r="W60" s="166">
        <f t="shared" si="16"/>
        <v>145173.29399999999</v>
      </c>
      <c r="X60" s="166">
        <f t="shared" si="16"/>
        <v>145173.29399999999</v>
      </c>
      <c r="Y60" s="166">
        <f t="shared" si="16"/>
        <v>391219.96066666662</v>
      </c>
      <c r="Z60" s="166">
        <f t="shared" si="16"/>
        <v>391219.96066666662</v>
      </c>
      <c r="AA60" s="166">
        <f t="shared" si="16"/>
        <v>415064.05366666667</v>
      </c>
      <c r="AB60" s="166">
        <f t="shared" si="16"/>
        <v>169017.38700000002</v>
      </c>
      <c r="AC60" s="166">
        <f t="shared" si="16"/>
        <v>169017.38700000002</v>
      </c>
      <c r="AD60" s="166">
        <f t="shared" si="16"/>
        <v>169017.38700000002</v>
      </c>
      <c r="AE60" s="166">
        <f t="shared" si="16"/>
        <v>169017.38700000002</v>
      </c>
      <c r="AF60" s="166">
        <f t="shared" si="16"/>
        <v>169017.38700000002</v>
      </c>
      <c r="AG60" s="166">
        <f t="shared" si="16"/>
        <v>169017.38700000002</v>
      </c>
      <c r="AH60" s="166">
        <f t="shared" si="16"/>
        <v>169017.38700000002</v>
      </c>
      <c r="AI60" s="166">
        <f t="shared" si="16"/>
        <v>169017.38700000002</v>
      </c>
      <c r="AJ60" s="166">
        <f t="shared" si="16"/>
        <v>169017.38700000002</v>
      </c>
      <c r="AK60" s="166">
        <f t="shared" si="16"/>
        <v>169017.38700000002</v>
      </c>
      <c r="AL60" s="50"/>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row>
    <row r="61" spans="2:212">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row>
    <row r="63" spans="2:212" ht="18.75" customHeight="1">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row>
    <row r="64" spans="2:212" hidden="1">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row>
    <row r="65" s="7" customFormat="1"/>
  </sheetData>
  <sheetProtection algorithmName="SHA-512" hashValue="Uhwy6ElEpSHrCf/RthpLIbwcurp1rw/UblLhxuH65VIhf86Exo4pBmAzTSPfVLgdaPfy7rEZOBi0PjVPbtdkyg==" saltValue="xLbNxLXFzd64Fi1TcQUQNg==" spinCount="100000" sheet="1" objects="1" scenarios="1" selectLockedCells="1" autoFilter="0"/>
  <mergeCells count="5">
    <mergeCell ref="R7:W11"/>
    <mergeCell ref="I24:P27"/>
    <mergeCell ref="D31:H32"/>
    <mergeCell ref="F21:H22"/>
    <mergeCell ref="R24:W30"/>
  </mergeCells>
  <conditionalFormatting sqref="S17:S22">
    <cfRule type="expression" dxfId="171" priority="1">
      <formula>YEAR(TODAY())=$R17</formula>
    </cfRule>
  </conditionalFormatting>
  <conditionalFormatting sqref="U12:U13">
    <cfRule type="expression" dxfId="170" priority="5193">
      <formula>YEAR(TODAY())=$T12</formula>
    </cfRule>
  </conditionalFormatting>
  <dataValidations count="3">
    <dataValidation type="whole" errorStyle="information" allowBlank="1" showInputMessage="1" sqref="E58:AK60 E54:AK56 E41:AK45 E47:AK52 E37:AK38" xr:uid="{829F2204-C860-49EB-933F-836F94C844C1}">
      <formula1>0</formula1>
      <formula2>0</formula2>
    </dataValidation>
    <dataValidation type="whole" allowBlank="1" showInputMessage="1" showErrorMessage="1" errorTitle="Alleen jaartallen" error="Vul in jaartal in tussen 2018 en 2050 of laat de cel leeg." sqref="O22 E30" xr:uid="{8C929BBB-476A-45B2-A45B-0EE445F94FF8}">
      <formula1>2018</formula1>
      <formula2>2050</formula2>
    </dataValidation>
    <dataValidation allowBlank="1" showInputMessage="1" showErrorMessage="1" prompt="Al gebouwd? Vul dan beter niet de nieuwbouwplanner in. Maak in plaats daarvan een locatietabblad aan via het tabblad Cijfers en vul het werkelijke verbruik en eventuele energiebesparende maatregelen in. " sqref="S12:S16" xr:uid="{21BC4439-1C40-4CEB-B211-73894320BB9A}"/>
  </dataValidations>
  <pageMargins left="0.7" right="0.7" top="0.75" bottom="0.75" header="0.3" footer="0.3"/>
  <pageSetup paperSize="8" scale="41" orientation="landscape" r:id="rId1"/>
  <ignoredErrors>
    <ignoredError sqref="E27" formulaRange="1"/>
    <ignoredError sqref="E38"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098B-4CEC-4E32-817D-6E220B88A43D}">
  <sheetPr codeName="Blad38" filterMode="1">
    <tabColor rgb="FFC9E0E1"/>
    <pageSetUpPr fitToPage="1"/>
  </sheetPr>
  <dimension ref="A1:HS261"/>
  <sheetViews>
    <sheetView zoomScale="5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f ca="1">IFERROR(AH1,"Let op! De naam van dit tabblad komt niet overeen met een van de opgegeven locaties in het tabblad 'Cijfers'! Wijzig de naam van dit tabblad in de overzichtsbalk onderin het scherm.")</f>
        <v>1</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f ca="1">MATCH(E2,Cijfers!D5:D54,0)</f>
        <v>1</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Locatie1</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v>3605</v>
      </c>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3172.4</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64">
        <v>1</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1</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v>1980</v>
      </c>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t="s">
        <v>92</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Ja</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95</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1470.0285000000017</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57511.812681857133</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487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767">
        <v>61934</v>
      </c>
      <c r="V31" s="767">
        <v>61934</v>
      </c>
      <c r="W31" s="767"/>
      <c r="X31" s="767"/>
      <c r="Y31" s="767"/>
      <c r="Z31" s="767"/>
      <c r="AA31" s="767"/>
      <c r="AB31" s="767">
        <v>61934</v>
      </c>
      <c r="AC31" s="767"/>
      <c r="AD31" s="767"/>
      <c r="AE31" s="767"/>
      <c r="AF31" s="767"/>
      <c r="AG31" s="767"/>
      <c r="AH31" s="767">
        <v>61934</v>
      </c>
      <c r="AI31" s="767"/>
      <c r="AJ31" s="767"/>
      <c r="AK31" s="767"/>
      <c r="AL31" s="767"/>
      <c r="AM31" s="767"/>
      <c r="AN31" s="767">
        <v>61934</v>
      </c>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767">
        <v>26973</v>
      </c>
      <c r="V32" s="767">
        <v>26973</v>
      </c>
      <c r="W32" s="767"/>
      <c r="X32" s="767"/>
      <c r="Y32" s="767"/>
      <c r="Z32" s="767"/>
      <c r="AA32" s="767"/>
      <c r="AB32" s="767">
        <v>26973</v>
      </c>
      <c r="AC32" s="767"/>
      <c r="AD32" s="767"/>
      <c r="AE32" s="767"/>
      <c r="AF32" s="767"/>
      <c r="AG32" s="767"/>
      <c r="AH32" s="767">
        <v>26973</v>
      </c>
      <c r="AI32" s="767"/>
      <c r="AJ32" s="767"/>
      <c r="AK32" s="767"/>
      <c r="AL32" s="767"/>
      <c r="AM32" s="767"/>
      <c r="AN32" s="767">
        <v>26973</v>
      </c>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767">
        <v>0</v>
      </c>
      <c r="V33" s="767"/>
      <c r="W33" s="767"/>
      <c r="X33" s="767"/>
      <c r="Y33" s="767"/>
      <c r="Z33" s="767"/>
      <c r="AA33" s="767"/>
      <c r="AB33" s="767"/>
      <c r="AC33" s="767"/>
      <c r="AD33" s="767"/>
      <c r="AE33" s="767"/>
      <c r="AF33" s="767"/>
      <c r="AG33" s="767"/>
      <c r="AH33" s="767"/>
      <c r="AI33" s="767"/>
      <c r="AJ33" s="767"/>
      <c r="AK33" s="767"/>
      <c r="AL33" s="767"/>
      <c r="AM33" s="767"/>
      <c r="AN33" s="767"/>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325891.77799999999</v>
      </c>
      <c r="V34" s="756">
        <f t="shared" ref="V34:CG34" si="0">V31+(V32*9.786)+(V33*278)</f>
        <v>325891.77799999999</v>
      </c>
      <c r="W34" s="756">
        <f t="shared" si="0"/>
        <v>0</v>
      </c>
      <c r="X34" s="756">
        <f t="shared" si="0"/>
        <v>0</v>
      </c>
      <c r="Y34" s="756">
        <f t="shared" si="0"/>
        <v>0</v>
      </c>
      <c r="Z34" s="756">
        <f t="shared" si="0"/>
        <v>0</v>
      </c>
      <c r="AA34" s="756">
        <f t="shared" si="0"/>
        <v>0</v>
      </c>
      <c r="AB34" s="756">
        <f t="shared" si="0"/>
        <v>325891.77799999999</v>
      </c>
      <c r="AC34" s="756">
        <f t="shared" si="0"/>
        <v>0</v>
      </c>
      <c r="AD34" s="756">
        <f t="shared" si="0"/>
        <v>0</v>
      </c>
      <c r="AE34" s="756">
        <f t="shared" si="0"/>
        <v>0</v>
      </c>
      <c r="AF34" s="756">
        <f t="shared" si="0"/>
        <v>0</v>
      </c>
      <c r="AG34" s="756">
        <f t="shared" si="0"/>
        <v>0</v>
      </c>
      <c r="AH34" s="756">
        <f t="shared" si="0"/>
        <v>325891.77799999999</v>
      </c>
      <c r="AI34" s="756">
        <f t="shared" si="0"/>
        <v>0</v>
      </c>
      <c r="AJ34" s="756">
        <f t="shared" si="0"/>
        <v>0</v>
      </c>
      <c r="AK34" s="756">
        <f t="shared" si="0"/>
        <v>0</v>
      </c>
      <c r="AL34" s="756">
        <f t="shared" si="0"/>
        <v>0</v>
      </c>
      <c r="AM34" s="756">
        <f t="shared" si="0"/>
        <v>0</v>
      </c>
      <c r="AN34" s="756">
        <f t="shared" si="0"/>
        <v>325891.77799999999</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102.7272027487076</v>
      </c>
      <c r="V35" s="757">
        <f t="shared" si="1"/>
        <v>102.7272027487076</v>
      </c>
      <c r="W35" s="757">
        <f t="shared" si="1"/>
        <v>0</v>
      </c>
      <c r="X35" s="757">
        <f t="shared" si="1"/>
        <v>0</v>
      </c>
      <c r="Y35" s="757">
        <f t="shared" si="1"/>
        <v>0</v>
      </c>
      <c r="Z35" s="757">
        <f t="shared" si="1"/>
        <v>0</v>
      </c>
      <c r="AA35" s="757">
        <f t="shared" si="1"/>
        <v>0</v>
      </c>
      <c r="AB35" s="757">
        <f t="shared" si="1"/>
        <v>102.7272027487076</v>
      </c>
      <c r="AC35" s="757">
        <f t="shared" si="1"/>
        <v>0</v>
      </c>
      <c r="AD35" s="757">
        <f t="shared" si="1"/>
        <v>0</v>
      </c>
      <c r="AE35" s="757">
        <f t="shared" si="1"/>
        <v>0</v>
      </c>
      <c r="AF35" s="757">
        <f t="shared" si="1"/>
        <v>0</v>
      </c>
      <c r="AG35" s="757">
        <f t="shared" si="1"/>
        <v>0</v>
      </c>
      <c r="AH35" s="757">
        <f t="shared" si="1"/>
        <v>102.7272027487076</v>
      </c>
      <c r="AI35" s="757">
        <f t="shared" si="1"/>
        <v>0</v>
      </c>
      <c r="AJ35" s="757">
        <f t="shared" si="1"/>
        <v>0</v>
      </c>
      <c r="AK35" s="757">
        <f t="shared" si="1"/>
        <v>0</v>
      </c>
      <c r="AL35" s="757">
        <f t="shared" si="1"/>
        <v>0</v>
      </c>
      <c r="AM35" s="757">
        <f t="shared" si="1"/>
        <v>0</v>
      </c>
      <c r="AN35" s="757">
        <f t="shared" si="1"/>
        <v>102.7272027487076</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767">
        <v>0</v>
      </c>
      <c r="V37" s="767"/>
      <c r="W37" s="767"/>
      <c r="X37" s="767"/>
      <c r="Y37" s="767"/>
      <c r="Z37" s="767"/>
      <c r="AA37" s="767"/>
      <c r="AB37" s="767"/>
      <c r="AC37" s="767"/>
      <c r="AD37" s="767"/>
      <c r="AE37" s="767"/>
      <c r="AF37" s="767"/>
      <c r="AG37" s="767"/>
      <c r="AH37" s="767"/>
      <c r="AI37" s="767"/>
      <c r="AJ37" s="767"/>
      <c r="AK37" s="767"/>
      <c r="AL37" s="767"/>
      <c r="AM37" s="767"/>
      <c r="AN37" s="76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325891.77799999999</v>
      </c>
      <c r="V38" s="756">
        <f t="shared" ref="V38:CG38" si="3">V31+(V32*9.786)+(V33*278)+V37</f>
        <v>325891.77799999999</v>
      </c>
      <c r="W38" s="756">
        <f t="shared" si="3"/>
        <v>0</v>
      </c>
      <c r="X38" s="756">
        <f t="shared" si="3"/>
        <v>0</v>
      </c>
      <c r="Y38" s="756">
        <f t="shared" si="3"/>
        <v>0</v>
      </c>
      <c r="Z38" s="756">
        <f t="shared" si="3"/>
        <v>0</v>
      </c>
      <c r="AA38" s="756">
        <f t="shared" si="3"/>
        <v>0</v>
      </c>
      <c r="AB38" s="756">
        <f t="shared" si="3"/>
        <v>325891.77799999999</v>
      </c>
      <c r="AC38" s="756">
        <f t="shared" si="3"/>
        <v>0</v>
      </c>
      <c r="AD38" s="756">
        <f t="shared" si="3"/>
        <v>0</v>
      </c>
      <c r="AE38" s="756">
        <f t="shared" si="3"/>
        <v>0</v>
      </c>
      <c r="AF38" s="756">
        <f t="shared" si="3"/>
        <v>0</v>
      </c>
      <c r="AG38" s="756">
        <f t="shared" si="3"/>
        <v>0</v>
      </c>
      <c r="AH38" s="756">
        <f t="shared" si="3"/>
        <v>325891.77799999999</v>
      </c>
      <c r="AI38" s="756">
        <f t="shared" si="3"/>
        <v>0</v>
      </c>
      <c r="AJ38" s="756">
        <f t="shared" si="3"/>
        <v>0</v>
      </c>
      <c r="AK38" s="756">
        <f t="shared" si="3"/>
        <v>0</v>
      </c>
      <c r="AL38" s="756">
        <f t="shared" si="3"/>
        <v>0</v>
      </c>
      <c r="AM38" s="756">
        <f t="shared" si="3"/>
        <v>0</v>
      </c>
      <c r="AN38" s="756">
        <f t="shared" si="3"/>
        <v>325891.77799999999</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hidden="1" customHeight="1">
      <c r="B44" s="488">
        <v>0</v>
      </c>
      <c r="C44" s="489" t="s">
        <v>440</v>
      </c>
      <c r="D44" s="490" t="s">
        <v>493</v>
      </c>
      <c r="E44" s="491" t="s">
        <v>457</v>
      </c>
      <c r="F44" s="492"/>
      <c r="G44" s="493"/>
      <c r="H44" s="146" t="s">
        <v>97</v>
      </c>
      <c r="I44" s="494" t="str">
        <f t="shared" ref="I44:I107" si="4">IF(H44="X","n.v.t.",IF(H44="I","ons",IF(H44="V","verhuurder",IF(H44="H","huurder",""))))</f>
        <v>n.v.t.</v>
      </c>
      <c r="J44" s="495"/>
      <c r="K44" s="151">
        <v>0</v>
      </c>
      <c r="L44" s="256"/>
      <c r="M44" s="256">
        <f>IF($C$5&lt;3000,(Bron!H33*$C$5)+Bron!I33,(Bron!M33*$C$5)+Bron!N33)</f>
        <v>0</v>
      </c>
      <c r="N44" s="496"/>
      <c r="O44" s="497" t="str">
        <f t="shared" ref="O44:O89" si="5">IF(N44=0,"",(L44+M44)/N44)</f>
        <v/>
      </c>
      <c r="P44" s="257"/>
      <c r="Q44" s="257"/>
      <c r="R44" s="257"/>
      <c r="S44" s="344"/>
      <c r="T44" s="258">
        <f t="shared" ref="T44:T107" si="6">K44+V44+AB44+AH44+AN44+AT44+AZ44+BF44+BL44+BR44+BX44+CD44+CJ44+CP44+CV44+DB44+DH44+DN44+DT44+DZ44+EF44+EL44+ER44+EX44+FD44+FJ44+FP44+FV44+GB44+GH44+GN44+GT44+GZ44</f>
        <v>0</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c r="BY44" s="676">
        <f t="shared" ref="BY44:BY107" si="26">+BX44*($L44+$M44)</f>
        <v>0</v>
      </c>
      <c r="BZ44" s="677">
        <f t="shared" ref="BZ44:BZ107" si="27">$P44*BX44</f>
        <v>0</v>
      </c>
      <c r="CA44" s="677"/>
      <c r="CB44" s="678">
        <f>BX44*((-$P44/32)-$R44)</f>
        <v>0</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1</v>
      </c>
      <c r="HJ44" s="8"/>
    </row>
    <row r="45" spans="1:227" ht="26.25" hidden="1" customHeight="1">
      <c r="B45" s="488">
        <v>1</v>
      </c>
      <c r="C45" s="489" t="s">
        <v>142</v>
      </c>
      <c r="D45" s="490" t="s">
        <v>141</v>
      </c>
      <c r="E45" s="491" t="s">
        <v>143</v>
      </c>
      <c r="F45" s="492"/>
      <c r="G45" s="493"/>
      <c r="H45" s="146" t="s">
        <v>97</v>
      </c>
      <c r="I45" s="494" t="str">
        <f t="shared" si="4"/>
        <v>n.v.t.</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hidden="1">
      <c r="B46" s="488">
        <v>2</v>
      </c>
      <c r="C46" s="489" t="s">
        <v>142</v>
      </c>
      <c r="D46" s="490" t="s">
        <v>144</v>
      </c>
      <c r="E46" s="491" t="s">
        <v>403</v>
      </c>
      <c r="F46" s="492"/>
      <c r="G46" s="493"/>
      <c r="H46" s="146" t="s">
        <v>97</v>
      </c>
      <c r="I46" s="494" t="str">
        <f t="shared" si="4"/>
        <v>n.v.t.</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hidden="1">
      <c r="B47" s="488">
        <v>3</v>
      </c>
      <c r="C47" s="489" t="s">
        <v>142</v>
      </c>
      <c r="D47" s="490" t="s">
        <v>5</v>
      </c>
      <c r="E47" s="491" t="s">
        <v>145</v>
      </c>
      <c r="F47" s="492"/>
      <c r="G47" s="493"/>
      <c r="H47" s="146" t="s">
        <v>97</v>
      </c>
      <c r="I47" s="494" t="str">
        <f t="shared" si="4"/>
        <v>n.v.t.</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hidden="1">
      <c r="B48" s="488">
        <v>4</v>
      </c>
      <c r="C48" s="489" t="s">
        <v>142</v>
      </c>
      <c r="D48" s="490" t="s">
        <v>6</v>
      </c>
      <c r="E48" s="491" t="s">
        <v>146</v>
      </c>
      <c r="F48" s="504"/>
      <c r="G48" s="505"/>
      <c r="H48" s="146" t="s">
        <v>97</v>
      </c>
      <c r="I48" s="494" t="str">
        <f t="shared" si="4"/>
        <v>n.v.t.</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hidden="1">
      <c r="B49" s="488">
        <v>5</v>
      </c>
      <c r="C49" s="489" t="s">
        <v>142</v>
      </c>
      <c r="D49" s="490" t="s">
        <v>292</v>
      </c>
      <c r="E49" s="491" t="s">
        <v>293</v>
      </c>
      <c r="F49" s="492"/>
      <c r="G49" s="493"/>
      <c r="H49" s="146" t="s">
        <v>97</v>
      </c>
      <c r="I49" s="494" t="str">
        <f t="shared" si="4"/>
        <v>n.v.t.</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hidden="1">
      <c r="B50" s="488">
        <v>6</v>
      </c>
      <c r="C50" s="489" t="s">
        <v>142</v>
      </c>
      <c r="D50" s="490" t="s">
        <v>294</v>
      </c>
      <c r="E50" s="491" t="s">
        <v>404</v>
      </c>
      <c r="F50" s="492"/>
      <c r="G50" s="493"/>
      <c r="H50" s="146" t="s">
        <v>97</v>
      </c>
      <c r="I50" s="494" t="str">
        <f t="shared" si="4"/>
        <v>n.v.t.</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hidden="1">
      <c r="B51" s="488">
        <v>7</v>
      </c>
      <c r="C51" s="489" t="s">
        <v>142</v>
      </c>
      <c r="D51" s="490" t="s">
        <v>295</v>
      </c>
      <c r="E51" s="491" t="s">
        <v>296</v>
      </c>
      <c r="F51" s="492"/>
      <c r="G51" s="493"/>
      <c r="H51" s="146" t="s">
        <v>97</v>
      </c>
      <c r="I51" s="494" t="str">
        <f t="shared" si="4"/>
        <v>n.v.t.</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hidden="1">
      <c r="B52" s="488">
        <v>8</v>
      </c>
      <c r="C52" s="489" t="s">
        <v>142</v>
      </c>
      <c r="D52" s="490" t="s">
        <v>297</v>
      </c>
      <c r="E52" s="491" t="s">
        <v>405</v>
      </c>
      <c r="F52" s="492"/>
      <c r="G52" s="493"/>
      <c r="H52" s="146" t="s">
        <v>97</v>
      </c>
      <c r="I52" s="494" t="str">
        <f t="shared" si="4"/>
        <v>n.v.t.</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hidden="1" collapsed="1">
      <c r="B53" s="488">
        <v>9</v>
      </c>
      <c r="C53" s="489" t="s">
        <v>298</v>
      </c>
      <c r="D53" s="490" t="s">
        <v>23</v>
      </c>
      <c r="E53" s="491" t="s">
        <v>299</v>
      </c>
      <c r="F53" s="492"/>
      <c r="G53" s="493"/>
      <c r="H53" s="146" t="s">
        <v>97</v>
      </c>
      <c r="I53" s="494" t="str">
        <f t="shared" si="4"/>
        <v>n.v.t.</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hidden="1">
      <c r="B54" s="488">
        <v>10</v>
      </c>
      <c r="C54" s="489" t="s">
        <v>298</v>
      </c>
      <c r="D54" s="490" t="s">
        <v>300</v>
      </c>
      <c r="E54" s="491" t="s">
        <v>406</v>
      </c>
      <c r="F54" s="492"/>
      <c r="G54" s="493"/>
      <c r="H54" s="146" t="s">
        <v>97</v>
      </c>
      <c r="I54" s="494" t="str">
        <f t="shared" si="4"/>
        <v>n.v.t.</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hidden="1">
      <c r="B55" s="488">
        <v>11</v>
      </c>
      <c r="C55" s="489" t="s">
        <v>298</v>
      </c>
      <c r="D55" s="490" t="s">
        <v>301</v>
      </c>
      <c r="E55" s="491" t="s">
        <v>407</v>
      </c>
      <c r="F55" s="492"/>
      <c r="G55" s="493"/>
      <c r="H55" s="146" t="s">
        <v>97</v>
      </c>
      <c r="I55" s="494" t="str">
        <f t="shared" si="4"/>
        <v>n.v.t.</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hidden="1">
      <c r="B56" s="488">
        <v>12</v>
      </c>
      <c r="C56" s="489" t="s">
        <v>298</v>
      </c>
      <c r="D56" s="490" t="s">
        <v>302</v>
      </c>
      <c r="E56" s="491" t="s">
        <v>303</v>
      </c>
      <c r="F56" s="492"/>
      <c r="G56" s="493"/>
      <c r="H56" s="146" t="s">
        <v>97</v>
      </c>
      <c r="I56" s="494" t="str">
        <f t="shared" si="4"/>
        <v>n.v.t.</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hidden="1">
      <c r="B57" s="488">
        <v>13</v>
      </c>
      <c r="C57" s="489" t="s">
        <v>298</v>
      </c>
      <c r="D57" s="490" t="s">
        <v>304</v>
      </c>
      <c r="E57" s="491" t="s">
        <v>305</v>
      </c>
      <c r="F57" s="492"/>
      <c r="G57" s="493"/>
      <c r="H57" s="146" t="s">
        <v>97</v>
      </c>
      <c r="I57" s="494" t="str">
        <f t="shared" si="4"/>
        <v>n.v.t.</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hidden="1">
      <c r="B58" s="488">
        <v>14</v>
      </c>
      <c r="C58" s="489" t="s">
        <v>298</v>
      </c>
      <c r="D58" s="490" t="s">
        <v>306</v>
      </c>
      <c r="E58" s="491" t="s">
        <v>307</v>
      </c>
      <c r="F58" s="492"/>
      <c r="G58" s="493"/>
      <c r="H58" s="146" t="s">
        <v>97</v>
      </c>
      <c r="I58" s="494" t="str">
        <f t="shared" si="4"/>
        <v>n.v.t.</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hidden="1">
      <c r="B59" s="488">
        <v>15</v>
      </c>
      <c r="C59" s="489" t="s">
        <v>298</v>
      </c>
      <c r="D59" s="490" t="s">
        <v>308</v>
      </c>
      <c r="E59" s="491" t="s">
        <v>309</v>
      </c>
      <c r="F59" s="492"/>
      <c r="G59" s="493"/>
      <c r="H59" s="146" t="s">
        <v>97</v>
      </c>
      <c r="I59" s="494" t="str">
        <f t="shared" si="4"/>
        <v>n.v.t.</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hidden="1">
      <c r="B60" s="488">
        <v>16</v>
      </c>
      <c r="C60" s="489" t="s">
        <v>298</v>
      </c>
      <c r="D60" s="490" t="s">
        <v>310</v>
      </c>
      <c r="E60" s="491" t="s">
        <v>408</v>
      </c>
      <c r="F60" s="492"/>
      <c r="G60" s="493"/>
      <c r="H60" s="146" t="s">
        <v>97</v>
      </c>
      <c r="I60" s="494" t="str">
        <f t="shared" si="4"/>
        <v>n.v.t.</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486</v>
      </c>
      <c r="I61" s="494" t="str">
        <f t="shared" si="4"/>
        <v>ons</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486</v>
      </c>
      <c r="I62" s="494" t="str">
        <f t="shared" si="4"/>
        <v>ons</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486</v>
      </c>
      <c r="I63" s="494" t="str">
        <f t="shared" si="4"/>
        <v>ons</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486</v>
      </c>
      <c r="I64" s="494" t="str">
        <f t="shared" si="4"/>
        <v>ons</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486</v>
      </c>
      <c r="I65" s="494" t="str">
        <f t="shared" si="4"/>
        <v>ons</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hidden="1">
      <c r="B66" s="488">
        <v>22</v>
      </c>
      <c r="C66" s="489" t="s">
        <v>156</v>
      </c>
      <c r="D66" s="490" t="s">
        <v>155</v>
      </c>
      <c r="E66" s="491" t="s">
        <v>411</v>
      </c>
      <c r="F66" s="492"/>
      <c r="G66" s="493"/>
      <c r="H66" s="146" t="s">
        <v>97</v>
      </c>
      <c r="I66" s="494" t="str">
        <f t="shared" si="4"/>
        <v>n.v.t.</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hidden="1">
      <c r="B67" s="488">
        <v>23</v>
      </c>
      <c r="C67" s="489" t="s">
        <v>156</v>
      </c>
      <c r="D67" s="490" t="s">
        <v>157</v>
      </c>
      <c r="E67" s="491" t="s">
        <v>158</v>
      </c>
      <c r="F67" s="492"/>
      <c r="G67" s="493"/>
      <c r="H67" s="146" t="s">
        <v>97</v>
      </c>
      <c r="I67" s="494" t="str">
        <f t="shared" si="4"/>
        <v>n.v.t.</v>
      </c>
      <c r="J67" s="495" t="s">
        <v>487</v>
      </c>
      <c r="K67" s="151">
        <v>0</v>
      </c>
      <c r="L67" s="256">
        <f>IF($C$5&lt;3000,(Bron!H56*$C$5)+Bron!I56,(Bron!M56*$C$5)+Bron!N56)</f>
        <v>3000</v>
      </c>
      <c r="M67" s="256"/>
      <c r="N67" s="496">
        <f t="shared" si="41"/>
        <v>157.31236000000001</v>
      </c>
      <c r="O67" s="497">
        <f t="shared" si="5"/>
        <v>19.070338783297128</v>
      </c>
      <c r="P67" s="257">
        <f>IF($C$5&lt;3000,$AN$32*Bron!J56,$AN$32*Bron!O56)</f>
        <v>0</v>
      </c>
      <c r="Q67" s="257">
        <f>IF($C$5&lt;3000,$AN$31*Bron!K56,$AN$31*Bron!P56)</f>
        <v>619.34</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hidden="1">
      <c r="B68" s="488">
        <v>24</v>
      </c>
      <c r="C68" s="489" t="s">
        <v>156</v>
      </c>
      <c r="D68" s="490" t="s">
        <v>159</v>
      </c>
      <c r="E68" s="491" t="s">
        <v>160</v>
      </c>
      <c r="F68" s="492"/>
      <c r="G68" s="493"/>
      <c r="H68" s="146" t="s">
        <v>97</v>
      </c>
      <c r="I68" s="494" t="str">
        <f t="shared" si="4"/>
        <v>n.v.t.</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hidden="1">
      <c r="B69" s="488">
        <v>25</v>
      </c>
      <c r="C69" s="489" t="s">
        <v>156</v>
      </c>
      <c r="D69" s="490" t="s">
        <v>161</v>
      </c>
      <c r="E69" s="491" t="s">
        <v>162</v>
      </c>
      <c r="F69" s="492"/>
      <c r="G69" s="493"/>
      <c r="H69" s="146" t="s">
        <v>97</v>
      </c>
      <c r="I69" s="494" t="str">
        <f t="shared" si="4"/>
        <v>n.v.t.</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hidden="1">
      <c r="B70" s="488">
        <v>26</v>
      </c>
      <c r="C70" s="489" t="s">
        <v>156</v>
      </c>
      <c r="D70" s="490" t="s">
        <v>163</v>
      </c>
      <c r="E70" s="491" t="s">
        <v>164</v>
      </c>
      <c r="F70" s="492"/>
      <c r="G70" s="493"/>
      <c r="H70" s="146" t="s">
        <v>97</v>
      </c>
      <c r="I70" s="494" t="str">
        <f t="shared" si="4"/>
        <v>n.v.t.</v>
      </c>
      <c r="J70" s="495" t="s">
        <v>487</v>
      </c>
      <c r="K70" s="151">
        <v>0</v>
      </c>
      <c r="L70" s="256">
        <f>IF($C$5&lt;3000,(Bron!H59*$C$5)+Bron!I59,(Bron!M59*$C$5)+Bron!N59)</f>
        <v>600</v>
      </c>
      <c r="M70" s="256"/>
      <c r="N70" s="496">
        <f t="shared" si="41"/>
        <v>31.462472000000002</v>
      </c>
      <c r="O70" s="497">
        <f t="shared" si="5"/>
        <v>19.070338783297128</v>
      </c>
      <c r="P70" s="257">
        <f>IF($C$5&lt;3000,$AN$32*Bron!J59,$AN$32*Bron!O59)</f>
        <v>0</v>
      </c>
      <c r="Q70" s="257">
        <f>IF($C$5&lt;3000,$AN$31*Bron!K59,$AN$31*Bron!P59)</f>
        <v>123.86800000000001</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hidden="1">
      <c r="B71" s="488">
        <v>27</v>
      </c>
      <c r="C71" s="489" t="s">
        <v>156</v>
      </c>
      <c r="D71" s="490" t="s">
        <v>165</v>
      </c>
      <c r="E71" s="491" t="s">
        <v>166</v>
      </c>
      <c r="F71" s="492"/>
      <c r="G71" s="493"/>
      <c r="H71" s="146" t="s">
        <v>97</v>
      </c>
      <c r="I71" s="494" t="str">
        <f t="shared" si="4"/>
        <v>n.v.t.</v>
      </c>
      <c r="J71" s="495" t="s">
        <v>487</v>
      </c>
      <c r="K71" s="151">
        <v>0</v>
      </c>
      <c r="L71" s="256">
        <f>IF($C$5&lt;3000,(Bron!H60*$C$5)+Bron!I60,(Bron!M60*$C$5)+Bron!N60)</f>
        <v>120</v>
      </c>
      <c r="M71" s="256"/>
      <c r="N71" s="496">
        <f t="shared" si="41"/>
        <v>4.7193707999999992</v>
      </c>
      <c r="O71" s="497">
        <f t="shared" si="5"/>
        <v>25.42711837772951</v>
      </c>
      <c r="P71" s="257"/>
      <c r="Q71" s="257">
        <f>IF($C$5&lt;3000,$AN$31*Bron!K60,$AN$31*Bron!P60)</f>
        <v>18.580199999999998</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hidden="1">
      <c r="B72" s="488">
        <v>28</v>
      </c>
      <c r="C72" s="489" t="s">
        <v>156</v>
      </c>
      <c r="D72" s="490" t="s">
        <v>167</v>
      </c>
      <c r="E72" s="491" t="s">
        <v>168</v>
      </c>
      <c r="F72" s="492"/>
      <c r="G72" s="493"/>
      <c r="H72" s="146" t="s">
        <v>97</v>
      </c>
      <c r="I72" s="494" t="str">
        <f t="shared" si="4"/>
        <v>n.v.t.</v>
      </c>
      <c r="J72" s="495" t="s">
        <v>487</v>
      </c>
      <c r="K72" s="151">
        <v>0</v>
      </c>
      <c r="L72" s="256">
        <f>IF($C$5&lt;3000,(Bron!H61*$C$5)+Bron!I61,(Bron!M61*$C$5)+Bron!N61)</f>
        <v>4800</v>
      </c>
      <c r="M72" s="256"/>
      <c r="N72" s="496">
        <f t="shared" si="41"/>
        <v>566.32449599999995</v>
      </c>
      <c r="O72" s="497">
        <f t="shared" si="5"/>
        <v>8.4757061259098361</v>
      </c>
      <c r="P72" s="257">
        <f>IF($C$5&lt;3000,$AN$32*Bron!J61,$AN$32*Bron!O61)</f>
        <v>0</v>
      </c>
      <c r="Q72" s="257">
        <f>IF($C$5&lt;3000,$AN$31*Bron!K61,$AN$31*Bron!P61)</f>
        <v>2229.6239999999998</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hidden="1">
      <c r="B73" s="488">
        <v>29</v>
      </c>
      <c r="C73" s="489" t="s">
        <v>156</v>
      </c>
      <c r="D73" s="490" t="s">
        <v>169</v>
      </c>
      <c r="E73" s="491" t="s">
        <v>412</v>
      </c>
      <c r="F73" s="492"/>
      <c r="G73" s="493"/>
      <c r="H73" s="146" t="s">
        <v>97</v>
      </c>
      <c r="I73" s="494" t="str">
        <f t="shared" si="4"/>
        <v>n.v.t.</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hidden="1">
      <c r="B74" s="488">
        <v>30</v>
      </c>
      <c r="C74" s="489" t="s">
        <v>156</v>
      </c>
      <c r="D74" s="490" t="s">
        <v>170</v>
      </c>
      <c r="E74" s="491" t="s">
        <v>413</v>
      </c>
      <c r="F74" s="492"/>
      <c r="G74" s="493"/>
      <c r="H74" s="146" t="s">
        <v>97</v>
      </c>
      <c r="I74" s="494" t="str">
        <f t="shared" si="4"/>
        <v>n.v.t.</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hidden="1">
      <c r="B75" s="488">
        <v>31</v>
      </c>
      <c r="C75" s="489" t="s">
        <v>156</v>
      </c>
      <c r="D75" s="490" t="s">
        <v>171</v>
      </c>
      <c r="E75" s="491" t="s">
        <v>414</v>
      </c>
      <c r="F75" s="492"/>
      <c r="G75" s="493"/>
      <c r="H75" s="146" t="s">
        <v>97</v>
      </c>
      <c r="I75" s="494" t="str">
        <f t="shared" si="4"/>
        <v>n.v.t.</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hidden="1">
      <c r="B76" s="488">
        <v>32</v>
      </c>
      <c r="C76" s="489" t="s">
        <v>156</v>
      </c>
      <c r="D76" s="490" t="s">
        <v>172</v>
      </c>
      <c r="E76" s="491" t="s">
        <v>173</v>
      </c>
      <c r="F76" s="492"/>
      <c r="G76" s="493"/>
      <c r="H76" s="146" t="s">
        <v>97</v>
      </c>
      <c r="I76" s="494" t="str">
        <f t="shared" si="4"/>
        <v>n.v.t.</v>
      </c>
      <c r="J76" s="495" t="s">
        <v>487</v>
      </c>
      <c r="K76" s="151">
        <v>0</v>
      </c>
      <c r="L76" s="256">
        <f>IF($C$5&lt;3000,(Bron!H65*$C$5)+Bron!I65,(Bron!M65*$C$5)+Bron!N65)</f>
        <v>1200</v>
      </c>
      <c r="M76" s="256"/>
      <c r="N76" s="496">
        <f t="shared" si="41"/>
        <v>56.182985714285707</v>
      </c>
      <c r="O76" s="497">
        <f t="shared" si="5"/>
        <v>21.358779437292789</v>
      </c>
      <c r="P76" s="257">
        <f>IF($C$5&lt;3000,$AN$32*Bron!J65,$AN$32*Bron!O65)</f>
        <v>0</v>
      </c>
      <c r="Q76" s="257">
        <f>IF($C$5&lt;3000,$AN$31*Bron!K65,$AN$31*Bron!P65)</f>
        <v>221.19285714285712</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hidden="1">
      <c r="B77" s="488">
        <v>33</v>
      </c>
      <c r="C77" s="489" t="s">
        <v>156</v>
      </c>
      <c r="D77" s="490" t="s">
        <v>174</v>
      </c>
      <c r="E77" s="491" t="s">
        <v>175</v>
      </c>
      <c r="F77" s="492"/>
      <c r="G77" s="493"/>
      <c r="H77" s="146" t="s">
        <v>97</v>
      </c>
      <c r="I77" s="494" t="str">
        <f t="shared" si="4"/>
        <v>n.v.t.</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hidden="1">
      <c r="B78" s="488">
        <v>34</v>
      </c>
      <c r="C78" s="489" t="s">
        <v>156</v>
      </c>
      <c r="D78" s="490" t="s">
        <v>176</v>
      </c>
      <c r="E78" s="491" t="s">
        <v>177</v>
      </c>
      <c r="F78" s="492"/>
      <c r="G78" s="493"/>
      <c r="H78" s="146" t="s">
        <v>97</v>
      </c>
      <c r="I78" s="494" t="str">
        <f t="shared" si="4"/>
        <v>n.v.t.</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hidden="1">
      <c r="B79" s="488">
        <v>35</v>
      </c>
      <c r="C79" s="489" t="s">
        <v>156</v>
      </c>
      <c r="D79" s="490" t="s">
        <v>178</v>
      </c>
      <c r="E79" s="491" t="s">
        <v>179</v>
      </c>
      <c r="F79" s="492"/>
      <c r="G79" s="493"/>
      <c r="H79" s="146" t="s">
        <v>97</v>
      </c>
      <c r="I79" s="494" t="str">
        <f t="shared" si="4"/>
        <v>n.v.t.</v>
      </c>
      <c r="J79" s="495"/>
      <c r="K79" s="151">
        <v>0</v>
      </c>
      <c r="L79" s="256"/>
      <c r="M79" s="256">
        <f>IF($C$5&lt;3000,(Bron!H68*$C$5)+Bron!I68,(Bron!M68*$C$5)+Bron!N68)</f>
        <v>80</v>
      </c>
      <c r="N79" s="496">
        <f t="shared" si="41"/>
        <v>3.1462472000000004</v>
      </c>
      <c r="O79" s="497">
        <f t="shared" si="5"/>
        <v>25.427118377729503</v>
      </c>
      <c r="P79" s="257">
        <f>IF($C$5&lt;3000,$AN$32*Bron!J68,$AN$32*Bron!O68)</f>
        <v>0</v>
      </c>
      <c r="Q79" s="257">
        <f>IF($C$5&lt;3000,$AN$31*Bron!K68,$AN$31*Bron!P68)</f>
        <v>12.386800000000001</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hidden="1">
      <c r="B80" s="488">
        <v>36</v>
      </c>
      <c r="C80" s="489" t="s">
        <v>156</v>
      </c>
      <c r="D80" s="490" t="s">
        <v>180</v>
      </c>
      <c r="E80" s="491" t="s">
        <v>181</v>
      </c>
      <c r="F80" s="492"/>
      <c r="G80" s="493"/>
      <c r="H80" s="146" t="s">
        <v>97</v>
      </c>
      <c r="I80" s="494" t="str">
        <f t="shared" si="4"/>
        <v>n.v.t.</v>
      </c>
      <c r="J80" s="495"/>
      <c r="K80" s="151">
        <v>0</v>
      </c>
      <c r="L80" s="256"/>
      <c r="M80" s="256">
        <f>IF($C$5&lt;3000,(Bron!H69*$C$5)+Bron!I69,(Bron!M69*$C$5)+Bron!N69)</f>
        <v>1200</v>
      </c>
      <c r="N80" s="496">
        <f t="shared" si="41"/>
        <v>62.924944000000004</v>
      </c>
      <c r="O80" s="497">
        <f t="shared" si="5"/>
        <v>19.070338783297128</v>
      </c>
      <c r="P80" s="257"/>
      <c r="Q80" s="257">
        <f>IF($C$5&lt;3000,$AN$31*Bron!K69,$AN$31*Bron!P69)</f>
        <v>247.73600000000002</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hidden="1">
      <c r="B81" s="488">
        <v>37</v>
      </c>
      <c r="C81" s="489" t="s">
        <v>156</v>
      </c>
      <c r="D81" s="490" t="s">
        <v>493</v>
      </c>
      <c r="E81" s="491" t="s">
        <v>590</v>
      </c>
      <c r="F81" s="492"/>
      <c r="G81" s="493"/>
      <c r="H81" s="146" t="s">
        <v>97</v>
      </c>
      <c r="I81" s="494" t="str">
        <f t="shared" si="4"/>
        <v>n.v.t.</v>
      </c>
      <c r="J81" s="495" t="s">
        <v>487</v>
      </c>
      <c r="K81" s="151">
        <v>0</v>
      </c>
      <c r="L81" s="256">
        <f>IF($C$5&lt;3000,(Bron!H70*$C$5)+Bron!I70,(Bron!M70*$C$5)+Bron!N70)</f>
        <v>120</v>
      </c>
      <c r="M81" s="256"/>
      <c r="N81" s="496">
        <f t="shared" si="41"/>
        <v>125.84988800000001</v>
      </c>
      <c r="O81" s="497">
        <f t="shared" si="5"/>
        <v>0.95351693916485636</v>
      </c>
      <c r="P81" s="257"/>
      <c r="Q81" s="257">
        <f>IF($C$5&lt;3000,$AN$31*Bron!K70,$AN$31*Bron!P70)</f>
        <v>495.47200000000004</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hidden="1">
      <c r="B82" s="488">
        <v>38</v>
      </c>
      <c r="C82" s="489" t="s">
        <v>156</v>
      </c>
      <c r="D82" s="490" t="s">
        <v>493</v>
      </c>
      <c r="E82" s="491" t="s">
        <v>594</v>
      </c>
      <c r="F82" s="492"/>
      <c r="G82" s="493"/>
      <c r="H82" s="146" t="s">
        <v>97</v>
      </c>
      <c r="I82" s="494" t="str">
        <f t="shared" si="4"/>
        <v>n.v.t.</v>
      </c>
      <c r="J82" s="495"/>
      <c r="K82" s="151">
        <v>0</v>
      </c>
      <c r="L82" s="256"/>
      <c r="M82" s="256">
        <f>IF($C$5&lt;3000,(Bron!H71*$C$5)+Bron!I71,(Bron!M71*$C$5)+Bron!N71)</f>
        <v>40</v>
      </c>
      <c r="N82" s="496">
        <f t="shared" si="41"/>
        <v>15.731236000000001</v>
      </c>
      <c r="O82" s="497">
        <f t="shared" si="5"/>
        <v>2.5427118377729503</v>
      </c>
      <c r="P82" s="257"/>
      <c r="Q82" s="257">
        <f>IF($C$5&lt;3000,$AN$31*Bron!K71,$AN$31*Bron!P71)</f>
        <v>61.934000000000005</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hidden="1">
      <c r="B83" s="488">
        <v>39</v>
      </c>
      <c r="C83" s="489" t="s">
        <v>399</v>
      </c>
      <c r="D83" s="490" t="s">
        <v>182</v>
      </c>
      <c r="E83" s="491" t="s">
        <v>415</v>
      </c>
      <c r="F83" s="492"/>
      <c r="G83" s="493"/>
      <c r="H83" s="146" t="s">
        <v>97</v>
      </c>
      <c r="I83" s="494" t="str">
        <f t="shared" si="4"/>
        <v>n.v.t.</v>
      </c>
      <c r="J83" s="495" t="s">
        <v>487</v>
      </c>
      <c r="K83" s="151">
        <v>0</v>
      </c>
      <c r="L83" s="256">
        <f>IF($C$5&lt;3000,(Bron!H72*$C$5)+Bron!I72,(Bron!M72*$C$5)+Bron!N72)</f>
        <v>7000</v>
      </c>
      <c r="M83" s="256"/>
      <c r="N83" s="496">
        <f t="shared" si="41"/>
        <v>314.62472000000002</v>
      </c>
      <c r="O83" s="497">
        <f t="shared" si="5"/>
        <v>22.248728580513315</v>
      </c>
      <c r="P83" s="257"/>
      <c r="Q83" s="257">
        <f>IF($C$5&lt;3000,$AN$31*Bron!K72,$AN$31*Bron!P72)</f>
        <v>1238.68</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hidden="1">
      <c r="B84" s="488">
        <v>40</v>
      </c>
      <c r="C84" s="489" t="s">
        <v>399</v>
      </c>
      <c r="D84" s="490" t="s">
        <v>183</v>
      </c>
      <c r="E84" s="491" t="s">
        <v>184</v>
      </c>
      <c r="F84" s="492"/>
      <c r="G84" s="493"/>
      <c r="H84" s="146" t="s">
        <v>97</v>
      </c>
      <c r="I84" s="494" t="str">
        <f t="shared" si="4"/>
        <v>n.v.t.</v>
      </c>
      <c r="J84" s="495" t="s">
        <v>487</v>
      </c>
      <c r="K84" s="151">
        <v>0</v>
      </c>
      <c r="L84" s="256">
        <f>IF($C$5&lt;3000,(Bron!H73*$C$5)+Bron!I73,(Bron!M73*$C$5)+Bron!N73)</f>
        <v>1300</v>
      </c>
      <c r="M84" s="256"/>
      <c r="N84" s="496">
        <f t="shared" si="41"/>
        <v>62.924944000000004</v>
      </c>
      <c r="O84" s="497">
        <f t="shared" si="5"/>
        <v>20.659533681905224</v>
      </c>
      <c r="P84" s="257">
        <f>IF($C$5&lt;3000,$AN$32*Bron!J73,$AN$32*Bron!O73)</f>
        <v>0</v>
      </c>
      <c r="Q84" s="257">
        <f>IF($C$5&lt;3000,$AN$31*Bron!K73,$AN$31*Bron!P73)</f>
        <v>247.73600000000002</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hidden="1">
      <c r="B85" s="488">
        <v>41</v>
      </c>
      <c r="C85" s="489" t="s">
        <v>399</v>
      </c>
      <c r="D85" s="490" t="s">
        <v>185</v>
      </c>
      <c r="E85" s="491" t="s">
        <v>186</v>
      </c>
      <c r="F85" s="492"/>
      <c r="G85" s="493"/>
      <c r="H85" s="146" t="s">
        <v>97</v>
      </c>
      <c r="I85" s="494" t="str">
        <f t="shared" si="4"/>
        <v>n.v.t.</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hidden="1">
      <c r="B86" s="488">
        <v>42</v>
      </c>
      <c r="C86" s="489" t="s">
        <v>399</v>
      </c>
      <c r="D86" s="490" t="s">
        <v>187</v>
      </c>
      <c r="E86" s="491" t="s">
        <v>188</v>
      </c>
      <c r="F86" s="492"/>
      <c r="G86" s="493"/>
      <c r="H86" s="146" t="s">
        <v>97</v>
      </c>
      <c r="I86" s="494" t="str">
        <f t="shared" si="4"/>
        <v>n.v.t.</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hidden="1">
      <c r="B87" s="488">
        <v>43</v>
      </c>
      <c r="C87" s="489" t="s">
        <v>399</v>
      </c>
      <c r="D87" s="490" t="s">
        <v>189</v>
      </c>
      <c r="E87" s="491" t="s">
        <v>190</v>
      </c>
      <c r="F87" s="492"/>
      <c r="G87" s="493"/>
      <c r="H87" s="146" t="s">
        <v>97</v>
      </c>
      <c r="I87" s="494" t="str">
        <f t="shared" si="4"/>
        <v>n.v.t.</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hidden="1">
      <c r="B88" s="488">
        <v>44</v>
      </c>
      <c r="C88" s="489" t="s">
        <v>399</v>
      </c>
      <c r="D88" s="490" t="s">
        <v>191</v>
      </c>
      <c r="E88" s="491" t="s">
        <v>192</v>
      </c>
      <c r="F88" s="492"/>
      <c r="G88" s="493"/>
      <c r="H88" s="146" t="s">
        <v>97</v>
      </c>
      <c r="I88" s="494" t="str">
        <f t="shared" si="4"/>
        <v>n.v.t.</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hidden="1">
      <c r="B89" s="488">
        <v>45</v>
      </c>
      <c r="C89" s="489" t="s">
        <v>399</v>
      </c>
      <c r="D89" s="490" t="s">
        <v>493</v>
      </c>
      <c r="E89" s="491" t="s">
        <v>585</v>
      </c>
      <c r="F89" s="492"/>
      <c r="G89" s="493"/>
      <c r="H89" s="146" t="s">
        <v>97</v>
      </c>
      <c r="I89" s="494" t="str">
        <f t="shared" si="4"/>
        <v>n.v.t.</v>
      </c>
      <c r="J89" s="495"/>
      <c r="K89" s="151">
        <v>0</v>
      </c>
      <c r="L89" s="256"/>
      <c r="M89" s="256">
        <f>IF($C$5&lt;3000,(Bron!H78*$C$5)+Bron!I78,(Bron!M78*$C$5)+Bron!N78)</f>
        <v>2000</v>
      </c>
      <c r="N89" s="496">
        <f t="shared" si="41"/>
        <v>298.89348399999994</v>
      </c>
      <c r="O89" s="497">
        <f t="shared" si="5"/>
        <v>6.6913469415077662</v>
      </c>
      <c r="P89" s="257">
        <f>IF($C$5&lt;3000,$AN$32*Bron!J78,$AN$32*Bron!O78)</f>
        <v>0</v>
      </c>
      <c r="Q89" s="257">
        <f>IF($C$5&lt;3000,$AN$31*Bron!K78,$AN$31*Bron!P78)</f>
        <v>1176.7459999999999</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hidden="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0.5</v>
      </c>
      <c r="L91" s="256">
        <f>IF($C$5&lt;3000,(Bron!H80*$C$5)+Bron!I80,(Bron!M80*$C$5)+Bron!N80)</f>
        <v>1000</v>
      </c>
      <c r="M91" s="256"/>
      <c r="N91" s="496">
        <f t="shared" ref="N91:N154" si="90">($C$19*P91)+($C$18*Q91)+($C$20*R91)</f>
        <v>94.387416000000002</v>
      </c>
      <c r="O91" s="497">
        <f t="shared" ref="O91:O154" si="91">IF(N91=0,"",(L91+M91)/N91)</f>
        <v>10.594632657387294</v>
      </c>
      <c r="P91" s="257"/>
      <c r="Q91" s="257">
        <f>IF($C$5&lt;3000,$AN$31*Bron!K80,$AN$31*Bron!P80)</f>
        <v>371.60399999999998</v>
      </c>
      <c r="R91" s="257">
        <f>IF($C$5&lt;3000,$AN$33*Bron!J80,$AN$33*Bron!O80)</f>
        <v>0</v>
      </c>
      <c r="S91" s="344"/>
      <c r="T91" s="258">
        <f t="shared" si="6"/>
        <v>1</v>
      </c>
      <c r="U91" s="259">
        <f t="shared" si="7"/>
        <v>500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v>0.5</v>
      </c>
      <c r="AU91" s="676">
        <f t="shared" si="16"/>
        <v>500</v>
      </c>
      <c r="AV91" s="677">
        <f t="shared" si="17"/>
        <v>0</v>
      </c>
      <c r="AW91" s="677">
        <f t="shared" si="54"/>
        <v>185.80199999999999</v>
      </c>
      <c r="AX91" s="678">
        <f t="shared" si="55"/>
        <v>0</v>
      </c>
      <c r="AY91" s="679">
        <f t="shared" si="56"/>
        <v>47.193708000000001</v>
      </c>
      <c r="AZ91" s="675"/>
      <c r="BA91" s="676">
        <f t="shared" si="18"/>
        <v>0</v>
      </c>
      <c r="BB91" s="677">
        <f t="shared" si="19"/>
        <v>0</v>
      </c>
      <c r="BC91" s="677">
        <f t="shared" si="57"/>
        <v>0</v>
      </c>
      <c r="BD91" s="678">
        <f t="shared" si="58"/>
        <v>0</v>
      </c>
      <c r="BE91" s="679">
        <f t="shared" si="59"/>
        <v>0</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0.5</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1</v>
      </c>
      <c r="U92" s="259">
        <f t="shared" si="7"/>
        <v>500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v>0.5</v>
      </c>
      <c r="AU92" s="676">
        <f t="shared" si="16"/>
        <v>500</v>
      </c>
      <c r="AV92" s="677">
        <f t="shared" si="17"/>
        <v>0</v>
      </c>
      <c r="AW92" s="677">
        <f t="shared" si="54"/>
        <v>0</v>
      </c>
      <c r="AX92" s="678">
        <f t="shared" si="55"/>
        <v>0</v>
      </c>
      <c r="AY92" s="679">
        <f t="shared" si="56"/>
        <v>0</v>
      </c>
      <c r="AZ92" s="675"/>
      <c r="BA92" s="676">
        <f t="shared" si="18"/>
        <v>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hidden="1">
      <c r="B93" s="488">
        <v>49</v>
      </c>
      <c r="C93" s="489" t="s">
        <v>193</v>
      </c>
      <c r="D93" s="490" t="s">
        <v>195</v>
      </c>
      <c r="E93" s="491" t="s">
        <v>196</v>
      </c>
      <c r="F93" s="492"/>
      <c r="G93" s="493"/>
      <c r="H93" s="146" t="s">
        <v>97</v>
      </c>
      <c r="I93" s="494" t="str">
        <f t="shared" si="4"/>
        <v>n.v.t.</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c r="B94" s="488">
        <v>50</v>
      </c>
      <c r="C94" s="489" t="s">
        <v>193</v>
      </c>
      <c r="D94" s="490" t="s">
        <v>197</v>
      </c>
      <c r="E94" s="491" t="s">
        <v>417</v>
      </c>
      <c r="F94" s="492"/>
      <c r="G94" s="493"/>
      <c r="H94" s="146" t="s">
        <v>486</v>
      </c>
      <c r="I94" s="494" t="str">
        <f t="shared" si="4"/>
        <v>ons</v>
      </c>
      <c r="J94" s="495"/>
      <c r="K94" s="151">
        <v>0.5</v>
      </c>
      <c r="L94" s="256"/>
      <c r="M94" s="256">
        <f>IF($C$5&lt;3000,(Bron!H83*$C$5)+Bron!I83,(Bron!M83*$C$5)+Bron!N83)</f>
        <v>0</v>
      </c>
      <c r="N94" s="496">
        <f t="shared" si="90"/>
        <v>204.506068</v>
      </c>
      <c r="O94" s="497">
        <f t="shared" si="91"/>
        <v>0</v>
      </c>
      <c r="P94" s="257">
        <f>IF($C$5&lt;3000,$AN$32*Bron!J83,$AN$32*Bron!O83)</f>
        <v>0</v>
      </c>
      <c r="Q94" s="257">
        <f>IF($C$5&lt;3000,$AN$31*Bron!K83,$AN$31*Bron!P83)</f>
        <v>805.14199999999994</v>
      </c>
      <c r="R94" s="257">
        <f>IF($C$5&lt;3000,$AN$33*Bron!J83,$AN$33*Bron!O83)</f>
        <v>0</v>
      </c>
      <c r="S94" s="344"/>
      <c r="T94" s="258">
        <f t="shared" si="6"/>
        <v>1</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v>0.5</v>
      </c>
      <c r="AU94" s="676">
        <f t="shared" si="16"/>
        <v>0</v>
      </c>
      <c r="AV94" s="677">
        <f t="shared" si="17"/>
        <v>0</v>
      </c>
      <c r="AW94" s="677">
        <f t="shared" si="54"/>
        <v>402.57099999999997</v>
      </c>
      <c r="AX94" s="678">
        <f t="shared" si="55"/>
        <v>0</v>
      </c>
      <c r="AY94" s="679">
        <f t="shared" si="56"/>
        <v>102.253034</v>
      </c>
      <c r="AZ94" s="675"/>
      <c r="BA94" s="676">
        <f t="shared" si="18"/>
        <v>0</v>
      </c>
      <c r="BB94" s="677">
        <f t="shared" si="19"/>
        <v>0</v>
      </c>
      <c r="BC94" s="677">
        <f t="shared" si="57"/>
        <v>0</v>
      </c>
      <c r="BD94" s="678">
        <f t="shared" si="58"/>
        <v>0</v>
      </c>
      <c r="BE94" s="679">
        <f t="shared" si="59"/>
        <v>0</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0.5</v>
      </c>
      <c r="L95" s="256"/>
      <c r="M95" s="256">
        <f>IF($C$5&lt;3000,(Bron!H84*$C$5)+Bron!I84,(Bron!M84*$C$5)+Bron!N84)</f>
        <v>0</v>
      </c>
      <c r="N95" s="496">
        <f t="shared" si="90"/>
        <v>204.506068</v>
      </c>
      <c r="O95" s="497">
        <f t="shared" si="91"/>
        <v>0</v>
      </c>
      <c r="P95" s="257">
        <f>IF($C$5&lt;3000,$AN$32*Bron!J84,$AN$32*Bron!O84)</f>
        <v>0</v>
      </c>
      <c r="Q95" s="257">
        <f>IF($C$5&lt;3000,$AN$31*Bron!K84,$AN$31*Bron!P84)</f>
        <v>805.14199999999994</v>
      </c>
      <c r="R95" s="257">
        <f>IF($C$5&lt;3000,$AN$33*Bron!J84,$AN$33*Bron!O84)</f>
        <v>0</v>
      </c>
      <c r="S95" s="344"/>
      <c r="T95" s="258">
        <f t="shared" si="6"/>
        <v>1</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v>0.5</v>
      </c>
      <c r="AU95" s="676">
        <f t="shared" si="16"/>
        <v>0</v>
      </c>
      <c r="AV95" s="677">
        <f t="shared" si="17"/>
        <v>0</v>
      </c>
      <c r="AW95" s="677">
        <f t="shared" si="54"/>
        <v>402.57099999999997</v>
      </c>
      <c r="AX95" s="678">
        <f t="shared" si="55"/>
        <v>0</v>
      </c>
      <c r="AY95" s="679">
        <f t="shared" si="56"/>
        <v>102.253034</v>
      </c>
      <c r="AZ95" s="675"/>
      <c r="BA95" s="676">
        <f t="shared" si="18"/>
        <v>0</v>
      </c>
      <c r="BB95" s="677">
        <f t="shared" si="19"/>
        <v>0</v>
      </c>
      <c r="BC95" s="677">
        <f t="shared" si="57"/>
        <v>0</v>
      </c>
      <c r="BD95" s="678">
        <f t="shared" si="58"/>
        <v>0</v>
      </c>
      <c r="BE95" s="679">
        <f t="shared" si="59"/>
        <v>0</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hidden="1">
      <c r="B96" s="488">
        <v>52</v>
      </c>
      <c r="C96" s="489" t="s">
        <v>314</v>
      </c>
      <c r="D96" s="490" t="s">
        <v>29</v>
      </c>
      <c r="E96" s="491" t="s">
        <v>419</v>
      </c>
      <c r="F96" s="492"/>
      <c r="G96" s="493"/>
      <c r="H96" s="146" t="s">
        <v>97</v>
      </c>
      <c r="I96" s="494" t="str">
        <f t="shared" si="4"/>
        <v>n.v.t.</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hidden="1">
      <c r="B97" s="488">
        <v>53</v>
      </c>
      <c r="C97" s="489" t="s">
        <v>314</v>
      </c>
      <c r="D97" s="490" t="s">
        <v>315</v>
      </c>
      <c r="E97" s="491" t="s">
        <v>316</v>
      </c>
      <c r="F97" s="492"/>
      <c r="G97" s="493"/>
      <c r="H97" s="146" t="s">
        <v>97</v>
      </c>
      <c r="I97" s="494" t="str">
        <f t="shared" si="4"/>
        <v>n.v.t.</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hidden="1">
      <c r="B98" s="488">
        <v>54</v>
      </c>
      <c r="C98" s="489" t="s">
        <v>314</v>
      </c>
      <c r="D98" s="490" t="s">
        <v>317</v>
      </c>
      <c r="E98" s="491" t="s">
        <v>318</v>
      </c>
      <c r="F98" s="492"/>
      <c r="G98" s="493"/>
      <c r="H98" s="146" t="s">
        <v>97</v>
      </c>
      <c r="I98" s="494" t="str">
        <f t="shared" si="4"/>
        <v>n.v.t.</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hidden="1">
      <c r="B99" s="488">
        <v>55</v>
      </c>
      <c r="C99" s="489" t="s">
        <v>314</v>
      </c>
      <c r="D99" s="490" t="s">
        <v>319</v>
      </c>
      <c r="E99" s="491" t="s">
        <v>420</v>
      </c>
      <c r="F99" s="492"/>
      <c r="G99" s="493"/>
      <c r="H99" s="146" t="s">
        <v>97</v>
      </c>
      <c r="I99" s="494" t="str">
        <f t="shared" si="4"/>
        <v>n.v.t.</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hidden="1">
      <c r="B100" s="488">
        <v>56</v>
      </c>
      <c r="C100" s="489" t="s">
        <v>314</v>
      </c>
      <c r="D100" s="490" t="s">
        <v>320</v>
      </c>
      <c r="E100" s="491" t="s">
        <v>321</v>
      </c>
      <c r="F100" s="492"/>
      <c r="G100" s="493"/>
      <c r="H100" s="146" t="s">
        <v>97</v>
      </c>
      <c r="I100" s="494" t="str">
        <f t="shared" si="4"/>
        <v>n.v.t.</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hidden="1">
      <c r="B101" s="488">
        <v>57</v>
      </c>
      <c r="C101" s="489" t="s">
        <v>314</v>
      </c>
      <c r="D101" s="490" t="s">
        <v>322</v>
      </c>
      <c r="E101" s="491" t="s">
        <v>323</v>
      </c>
      <c r="F101" s="492"/>
      <c r="G101" s="493"/>
      <c r="H101" s="146" t="s">
        <v>97</v>
      </c>
      <c r="I101" s="494" t="str">
        <f t="shared" si="4"/>
        <v>n.v.t.</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hidden="1">
      <c r="B102" s="488">
        <v>58</v>
      </c>
      <c r="C102" s="489" t="s">
        <v>314</v>
      </c>
      <c r="D102" s="490" t="s">
        <v>324</v>
      </c>
      <c r="E102" s="491" t="s">
        <v>325</v>
      </c>
      <c r="F102" s="492"/>
      <c r="G102" s="493"/>
      <c r="H102" s="146" t="s">
        <v>97</v>
      </c>
      <c r="I102" s="494" t="str">
        <f t="shared" si="4"/>
        <v>n.v.t.</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hidden="1">
      <c r="B103" s="488">
        <v>59</v>
      </c>
      <c r="C103" s="489" t="s">
        <v>314</v>
      </c>
      <c r="D103" s="490" t="s">
        <v>326</v>
      </c>
      <c r="E103" s="491" t="s">
        <v>327</v>
      </c>
      <c r="F103" s="492"/>
      <c r="G103" s="493"/>
      <c r="H103" s="146" t="s">
        <v>97</v>
      </c>
      <c r="I103" s="494" t="str">
        <f t="shared" si="4"/>
        <v>n.v.t.</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hidden="1">
      <c r="B104" s="488">
        <v>60</v>
      </c>
      <c r="C104" s="489" t="s">
        <v>314</v>
      </c>
      <c r="D104" s="490" t="s">
        <v>328</v>
      </c>
      <c r="E104" s="491" t="s">
        <v>329</v>
      </c>
      <c r="F104" s="492"/>
      <c r="G104" s="493"/>
      <c r="H104" s="146" t="s">
        <v>97</v>
      </c>
      <c r="I104" s="494" t="str">
        <f t="shared" si="4"/>
        <v>n.v.t.</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hidden="1">
      <c r="B105" s="488">
        <v>61</v>
      </c>
      <c r="C105" s="489" t="s">
        <v>199</v>
      </c>
      <c r="D105" s="490" t="s">
        <v>30</v>
      </c>
      <c r="E105" s="491" t="s">
        <v>200</v>
      </c>
      <c r="F105" s="492"/>
      <c r="G105" s="493"/>
      <c r="H105" s="146" t="s">
        <v>97</v>
      </c>
      <c r="I105" s="494" t="str">
        <f t="shared" si="4"/>
        <v>n.v.t.</v>
      </c>
      <c r="J105" s="495" t="s">
        <v>487</v>
      </c>
      <c r="K105" s="151">
        <v>0</v>
      </c>
      <c r="L105" s="256">
        <f>IF($C$5&lt;3000,(Bron!H94*$C$5)+Bron!I94,(Bron!M94*$C$5)+Bron!N94)</f>
        <v>1500</v>
      </c>
      <c r="M105" s="256"/>
      <c r="N105" s="496">
        <f t="shared" si="90"/>
        <v>314.62472000000002</v>
      </c>
      <c r="O105" s="497">
        <f t="shared" si="91"/>
        <v>4.767584695824282</v>
      </c>
      <c r="P105" s="257"/>
      <c r="Q105" s="257">
        <f>IF($C$5&lt;3000,$AN$31*Bron!K94,$AN$31*Bron!P94)</f>
        <v>1238.68</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hidden="1">
      <c r="B106" s="488">
        <v>62</v>
      </c>
      <c r="C106" s="489" t="s">
        <v>199</v>
      </c>
      <c r="D106" s="490" t="s">
        <v>201</v>
      </c>
      <c r="E106" s="491" t="s">
        <v>202</v>
      </c>
      <c r="F106" s="492"/>
      <c r="G106" s="493"/>
      <c r="H106" s="146" t="s">
        <v>97</v>
      </c>
      <c r="I106" s="494" t="str">
        <f t="shared" si="4"/>
        <v>n.v.t.</v>
      </c>
      <c r="J106" s="495" t="s">
        <v>487</v>
      </c>
      <c r="K106" s="151">
        <v>0</v>
      </c>
      <c r="L106" s="256">
        <f>IF($C$5&lt;3000,(Bron!H95*$C$5)+Bron!I95,(Bron!M95*$C$5)+Bron!N95)</f>
        <v>600</v>
      </c>
      <c r="M106" s="256"/>
      <c r="N106" s="496">
        <f t="shared" si="90"/>
        <v>157.31236000000001</v>
      </c>
      <c r="O106" s="497">
        <f t="shared" si="91"/>
        <v>3.8140677566594254</v>
      </c>
      <c r="P106" s="257"/>
      <c r="Q106" s="257">
        <f>IF($C$5&lt;3000,$AN$31*Bron!K95,$AN$31*Bron!P95)</f>
        <v>619.34</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hidden="1">
      <c r="B107" s="488">
        <v>63</v>
      </c>
      <c r="C107" s="489" t="s">
        <v>199</v>
      </c>
      <c r="D107" s="490" t="s">
        <v>203</v>
      </c>
      <c r="E107" s="491" t="s">
        <v>204</v>
      </c>
      <c r="F107" s="492"/>
      <c r="G107" s="493"/>
      <c r="H107" s="146" t="s">
        <v>97</v>
      </c>
      <c r="I107" s="494" t="str">
        <f t="shared" si="4"/>
        <v>n.v.t.</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hidden="1">
      <c r="B108" s="488">
        <v>64</v>
      </c>
      <c r="C108" s="489" t="s">
        <v>199</v>
      </c>
      <c r="D108" s="490" t="s">
        <v>205</v>
      </c>
      <c r="E108" s="491" t="s">
        <v>206</v>
      </c>
      <c r="F108" s="492"/>
      <c r="G108" s="493"/>
      <c r="H108" s="146" t="s">
        <v>97</v>
      </c>
      <c r="I108" s="494" t="str">
        <f t="shared" ref="I108:I171" si="92">IF(H108="X","n.v.t.",IF(H108="I","ons",IF(H108="V","verhuurder",IF(H108="H","huurder",""))))</f>
        <v>n.v.t.</v>
      </c>
      <c r="J108" s="495"/>
      <c r="K108" s="151">
        <v>0</v>
      </c>
      <c r="L108" s="256"/>
      <c r="M108" s="256">
        <f>IF($C$5&lt;3000,(Bron!H97*$C$5)+Bron!I97,(Bron!M97*$C$5)+Bron!N97)</f>
        <v>2500</v>
      </c>
      <c r="N108" s="496">
        <f t="shared" si="90"/>
        <v>471.93707999999998</v>
      </c>
      <c r="O108" s="497">
        <f t="shared" si="91"/>
        <v>5.2973163286936469</v>
      </c>
      <c r="P108" s="257"/>
      <c r="Q108" s="257">
        <f>IF($C$5&lt;3000,$AN$31*Bron!K97,$AN$31*Bron!P97)</f>
        <v>1858.02</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hidden="1">
      <c r="B109" s="488">
        <v>65</v>
      </c>
      <c r="C109" s="489" t="s">
        <v>199</v>
      </c>
      <c r="D109" s="490" t="s">
        <v>207</v>
      </c>
      <c r="E109" s="491" t="s">
        <v>208</v>
      </c>
      <c r="F109" s="492"/>
      <c r="G109" s="493"/>
      <c r="H109" s="146" t="s">
        <v>97</v>
      </c>
      <c r="I109" s="494" t="str">
        <f t="shared" si="92"/>
        <v>n.v.t.</v>
      </c>
      <c r="J109" s="495"/>
      <c r="K109" s="151">
        <v>0</v>
      </c>
      <c r="L109" s="256"/>
      <c r="M109" s="256">
        <f>IF($C$5&lt;3000,(Bron!H98*$C$5)+Bron!I98,(Bron!M98*$C$5)+Bron!N98)</f>
        <v>7000</v>
      </c>
      <c r="N109" s="496">
        <f t="shared" si="90"/>
        <v>298.89348399999994</v>
      </c>
      <c r="O109" s="497">
        <f t="shared" si="91"/>
        <v>23.419714295277181</v>
      </c>
      <c r="P109" s="257"/>
      <c r="Q109" s="257">
        <f>IF($C$5&lt;3000,$AN$31*Bron!K98,$AN$31*Bron!P98)</f>
        <v>1176.7459999999999</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hidden="1">
      <c r="B110" s="488">
        <v>66</v>
      </c>
      <c r="C110" s="489" t="s">
        <v>199</v>
      </c>
      <c r="D110" s="490" t="s">
        <v>209</v>
      </c>
      <c r="E110" s="491" t="s">
        <v>421</v>
      </c>
      <c r="F110" s="492"/>
      <c r="G110" s="493"/>
      <c r="H110" s="146" t="s">
        <v>97</v>
      </c>
      <c r="I110" s="494" t="str">
        <f t="shared" si="92"/>
        <v>n.v.t.</v>
      </c>
      <c r="J110" s="495" t="s">
        <v>487</v>
      </c>
      <c r="K110" s="151">
        <v>0</v>
      </c>
      <c r="L110" s="256">
        <f>IF($C$5&lt;3000,(Bron!H99*$C$5)+Bron!I99,(Bron!M99*$C$5)+Bron!N99)</f>
        <v>750</v>
      </c>
      <c r="M110" s="256"/>
      <c r="N110" s="496">
        <f t="shared" si="90"/>
        <v>141.58112399999999</v>
      </c>
      <c r="O110" s="497">
        <f t="shared" si="91"/>
        <v>5.2973163286936478</v>
      </c>
      <c r="P110" s="257"/>
      <c r="Q110" s="257">
        <f>IF($C$5&lt;3000,$AN$31*Bron!K99,$AN$31*Bron!P99)</f>
        <v>557.40599999999995</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hidden="1">
      <c r="B111" s="488">
        <v>67</v>
      </c>
      <c r="C111" s="489" t="s">
        <v>199</v>
      </c>
      <c r="D111" s="490" t="s">
        <v>493</v>
      </c>
      <c r="E111" s="491" t="s">
        <v>580</v>
      </c>
      <c r="F111" s="492"/>
      <c r="G111" s="493"/>
      <c r="H111" s="146" t="s">
        <v>97</v>
      </c>
      <c r="I111" s="494" t="str">
        <f t="shared" si="92"/>
        <v>n.v.t.</v>
      </c>
      <c r="J111" s="495"/>
      <c r="K111" s="151">
        <v>0</v>
      </c>
      <c r="L111" s="256"/>
      <c r="M111" s="256">
        <f>IF($C$5&lt;3000,(Bron!H100*$C$5)+Bron!I100,(Bron!M100*$C$5)+Bron!N100)</f>
        <v>1000</v>
      </c>
      <c r="N111" s="496">
        <f t="shared" si="90"/>
        <v>314.62472000000002</v>
      </c>
      <c r="O111" s="497">
        <f t="shared" si="91"/>
        <v>3.1783897972161879</v>
      </c>
      <c r="P111" s="257"/>
      <c r="Q111" s="257">
        <f>IF($C$5&lt;3000,$AN$31*Bron!K100,$AN$31*Bron!P100)</f>
        <v>1238.68</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hidden="1">
      <c r="B112" s="488">
        <v>68</v>
      </c>
      <c r="C112" s="489" t="s">
        <v>199</v>
      </c>
      <c r="D112" s="490" t="s">
        <v>493</v>
      </c>
      <c r="E112" s="491" t="s">
        <v>589</v>
      </c>
      <c r="F112" s="492"/>
      <c r="G112" s="493"/>
      <c r="H112" s="146" t="s">
        <v>97</v>
      </c>
      <c r="I112" s="494" t="str">
        <f t="shared" si="92"/>
        <v>n.v.t.</v>
      </c>
      <c r="J112" s="495" t="s">
        <v>487</v>
      </c>
      <c r="K112" s="151">
        <v>0</v>
      </c>
      <c r="L112" s="256">
        <f>IF($C$5&lt;3000,(Bron!H101*$C$5)+Bron!I101,(Bron!M101*$C$5)+Bron!N101)</f>
        <v>200</v>
      </c>
      <c r="M112" s="256"/>
      <c r="N112" s="496">
        <f t="shared" si="90"/>
        <v>62.924944000000004</v>
      </c>
      <c r="O112" s="497">
        <f t="shared" si="91"/>
        <v>3.1783897972161879</v>
      </c>
      <c r="P112" s="257"/>
      <c r="Q112" s="257">
        <f>IF($C$5&lt;3000,$AN$31*Bron!K101,$AN$31*Bron!P101)</f>
        <v>247.73600000000002</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hidden="1">
      <c r="B113" s="488">
        <v>69</v>
      </c>
      <c r="C113" s="489" t="s">
        <v>210</v>
      </c>
      <c r="D113" s="490" t="s">
        <v>31</v>
      </c>
      <c r="E113" s="491" t="s">
        <v>422</v>
      </c>
      <c r="F113" s="492"/>
      <c r="G113" s="493"/>
      <c r="H113" s="146" t="s">
        <v>97</v>
      </c>
      <c r="I113" s="494" t="str">
        <f t="shared" si="92"/>
        <v>n.v.t.</v>
      </c>
      <c r="J113" s="495" t="s">
        <v>487</v>
      </c>
      <c r="K113" s="151">
        <v>0</v>
      </c>
      <c r="L113" s="256">
        <f>IF($C$5&lt;3000,(Bron!H102*$C$5)+Bron!I102,(Bron!M102*$C$5)+Bron!N102)</f>
        <v>5000</v>
      </c>
      <c r="M113" s="256"/>
      <c r="N113" s="496">
        <f t="shared" si="90"/>
        <v>220.23730399999999</v>
      </c>
      <c r="O113" s="497">
        <f t="shared" si="91"/>
        <v>22.702784265829916</v>
      </c>
      <c r="P113" s="257"/>
      <c r="Q113" s="257">
        <f>IF($C$5&lt;3000,$AN$31*Bron!K102,$AN$31*Bron!P102)</f>
        <v>867.07600000000002</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486</v>
      </c>
      <c r="I114" s="494" t="str">
        <f t="shared" si="92"/>
        <v>ons</v>
      </c>
      <c r="J114" s="495" t="s">
        <v>487</v>
      </c>
      <c r="K114" s="151">
        <v>0</v>
      </c>
      <c r="L114" s="256">
        <f>IF($C$5&lt;3000,(Bron!H103*$C$5)+Bron!I103,(Bron!M103*$C$5)+Bron!N103)</f>
        <v>6360.3200000000006</v>
      </c>
      <c r="M114" s="256"/>
      <c r="N114" s="496">
        <f t="shared" si="90"/>
        <v>1337.3359</v>
      </c>
      <c r="O114" s="497">
        <f t="shared" si="91"/>
        <v>4.7559629559035992</v>
      </c>
      <c r="P114" s="257">
        <f>IF($C$5&lt;3000,$AN$32*Bron!J103,$AN$32*Bron!O103)</f>
        <v>674.32500000000005</v>
      </c>
      <c r="Q114" s="257">
        <f>IF($C$5&lt;3000,$AN$31*Bron!K103,$AN$31*Bron!P103)</f>
        <v>1548.3500000000001</v>
      </c>
      <c r="R114" s="257">
        <f>IF($C$5&lt;3000,$AN$33*Bron!J103,$AN$33*Bron!O103)</f>
        <v>0</v>
      </c>
      <c r="S114" s="344"/>
      <c r="T114" s="258">
        <f t="shared" si="93"/>
        <v>1</v>
      </c>
      <c r="U114" s="259">
        <f t="shared" si="94"/>
        <v>6360.3200000000006</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v>1</v>
      </c>
      <c r="AU114" s="676">
        <f t="shared" si="103"/>
        <v>6360.3200000000006</v>
      </c>
      <c r="AV114" s="677">
        <f t="shared" si="104"/>
        <v>674.32500000000005</v>
      </c>
      <c r="AW114" s="677">
        <f t="shared" si="139"/>
        <v>1548.3500000000001</v>
      </c>
      <c r="AX114" s="678">
        <f t="shared" si="140"/>
        <v>0</v>
      </c>
      <c r="AY114" s="679">
        <f t="shared" si="141"/>
        <v>1337.3359</v>
      </c>
      <c r="AZ114" s="675"/>
      <c r="BA114" s="676">
        <f t="shared" si="105"/>
        <v>0</v>
      </c>
      <c r="BB114" s="677">
        <f t="shared" si="106"/>
        <v>0</v>
      </c>
      <c r="BC114" s="677">
        <f t="shared" si="142"/>
        <v>0</v>
      </c>
      <c r="BD114" s="678">
        <f t="shared" si="143"/>
        <v>0</v>
      </c>
      <c r="BE114" s="679">
        <f t="shared" si="144"/>
        <v>0</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c r="B115" s="488">
        <v>71</v>
      </c>
      <c r="C115" s="489" t="s">
        <v>400</v>
      </c>
      <c r="D115" s="490" t="s">
        <v>7</v>
      </c>
      <c r="E115" s="491" t="s">
        <v>853</v>
      </c>
      <c r="F115" s="492"/>
      <c r="G115" s="493"/>
      <c r="H115" s="146" t="s">
        <v>486</v>
      </c>
      <c r="I115" s="494" t="str">
        <f t="shared" si="92"/>
        <v>ons</v>
      </c>
      <c r="J115" s="495" t="s">
        <v>487</v>
      </c>
      <c r="K115" s="151">
        <v>1</v>
      </c>
      <c r="L115" s="256">
        <f>IF($C$5&lt;3000,(Bron!H104*$C$5)+Bron!I104,(Bron!M104*$C$5)+Bron!N104)</f>
        <v>114206.40000000001</v>
      </c>
      <c r="M115" s="256"/>
      <c r="N115" s="496">
        <f t="shared" si="90"/>
        <v>13216.769999999999</v>
      </c>
      <c r="O115" s="497">
        <f t="shared" si="91"/>
        <v>8.6410219743553096</v>
      </c>
      <c r="P115" s="257">
        <f>IF($C$5&lt;3000,$AN$32*Bron!J104,$AN$32*Bron!O104)</f>
        <v>9440.5499999999993</v>
      </c>
      <c r="Q115" s="257"/>
      <c r="R115" s="257">
        <f>IF($C$5&lt;3000,$AN$33*Bron!J104,$AN$33*Bron!O104)</f>
        <v>0</v>
      </c>
      <c r="S115" s="344"/>
      <c r="T115" s="258">
        <f t="shared" si="93"/>
        <v>1</v>
      </c>
      <c r="U115" s="259">
        <f t="shared" si="94"/>
        <v>0</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c r="AU115" s="676">
        <f t="shared" si="103"/>
        <v>0</v>
      </c>
      <c r="AV115" s="677">
        <f t="shared" si="104"/>
        <v>0</v>
      </c>
      <c r="AW115" s="677">
        <f t="shared" si="139"/>
        <v>0</v>
      </c>
      <c r="AX115" s="678">
        <f t="shared" si="140"/>
        <v>0</v>
      </c>
      <c r="AY115" s="679">
        <f t="shared" si="141"/>
        <v>0</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hidden="1">
      <c r="B116" s="488">
        <v>72</v>
      </c>
      <c r="C116" s="489" t="s">
        <v>400</v>
      </c>
      <c r="D116" s="490" t="s">
        <v>212</v>
      </c>
      <c r="E116" s="491" t="s">
        <v>854</v>
      </c>
      <c r="F116" s="492"/>
      <c r="G116" s="493"/>
      <c r="H116" s="146" t="s">
        <v>97</v>
      </c>
      <c r="I116" s="494" t="str">
        <f t="shared" si="92"/>
        <v>n.v.t.</v>
      </c>
      <c r="J116" s="495" t="s">
        <v>487</v>
      </c>
      <c r="K116" s="151">
        <v>0</v>
      </c>
      <c r="L116" s="256">
        <f>IF($C$5&lt;3000,(Bron!H105*$C$5/$C$6)+Bron!I105,(Bron!M105*$C$5/$C$6)+Bron!N105)</f>
        <v>383860.4</v>
      </c>
      <c r="M116" s="256"/>
      <c r="N116" s="496">
        <f t="shared" si="90"/>
        <v>13216.769999999999</v>
      </c>
      <c r="O116" s="497">
        <f t="shared" si="91"/>
        <v>29.043434969360899</v>
      </c>
      <c r="P116" s="257">
        <f>IF($C$5&lt;3000,$AN$32*Bron!J105,$AN$32*Bron!O105)/$C$6</f>
        <v>9440.5499999999993</v>
      </c>
      <c r="Q116" s="257">
        <f>IF($C$5&lt;3000,$AN$31*Bron!K105,$AN$31*Bron!P105)</f>
        <v>0</v>
      </c>
      <c r="R116" s="257">
        <f>IF($C$5&lt;3000,$AN$33*Bron!J105,$AN$33*Bron!O105)/$C$6</f>
        <v>0</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hidden="1">
      <c r="B117" s="488">
        <v>73</v>
      </c>
      <c r="C117" s="489" t="s">
        <v>400</v>
      </c>
      <c r="D117" s="490" t="s">
        <v>213</v>
      </c>
      <c r="E117" s="491" t="s">
        <v>214</v>
      </c>
      <c r="F117" s="492"/>
      <c r="G117" s="493"/>
      <c r="H117" s="146" t="s">
        <v>97</v>
      </c>
      <c r="I117" s="494" t="str">
        <f t="shared" si="92"/>
        <v>n.v.t.</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hidden="1">
      <c r="B118" s="488">
        <v>74</v>
      </c>
      <c r="C118" s="489" t="s">
        <v>400</v>
      </c>
      <c r="D118" s="490" t="s">
        <v>215</v>
      </c>
      <c r="E118" s="491" t="s">
        <v>855</v>
      </c>
      <c r="F118" s="492"/>
      <c r="G118" s="493"/>
      <c r="H118" s="146" t="s">
        <v>97</v>
      </c>
      <c r="I118" s="494" t="str">
        <f t="shared" si="92"/>
        <v>n.v.t.</v>
      </c>
      <c r="J118" s="495"/>
      <c r="K118" s="151">
        <v>0</v>
      </c>
      <c r="L118" s="256"/>
      <c r="M118" s="256">
        <f>IF($C$5&lt;3000,(Bron!H107*$C$5/$C$6)+Bron!I107,(Bron!M107*$C$5/$C$6)+Bron!N107)</f>
        <v>145930.4</v>
      </c>
      <c r="N118" s="496">
        <f t="shared" si="90"/>
        <v>13216.769999999999</v>
      </c>
      <c r="O118" s="497">
        <f t="shared" si="91"/>
        <v>11.041305856120673</v>
      </c>
      <c r="P118" s="257">
        <f>IF($C$5&lt;3000,$AN$32*Bron!J107,$AN$32*Bron!O107)/$C$6</f>
        <v>9440.5499999999993</v>
      </c>
      <c r="Q118" s="257">
        <f>IF($C$5&lt;3000,$AN$31*Bron!K107,$AN$31*Bron!P107)</f>
        <v>0</v>
      </c>
      <c r="R118" s="257">
        <f>IF($C$5&lt;3000,$AN$33*Bron!J107,$AN$33*Bron!O107)/$C$6</f>
        <v>0</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c r="B119" s="488">
        <v>75</v>
      </c>
      <c r="C119" s="489" t="s">
        <v>400</v>
      </c>
      <c r="D119" s="490" t="s">
        <v>216</v>
      </c>
      <c r="E119" s="491" t="s">
        <v>217</v>
      </c>
      <c r="F119" s="492"/>
      <c r="G119" s="493"/>
      <c r="H119" s="146" t="s">
        <v>486</v>
      </c>
      <c r="I119" s="494" t="str">
        <f t="shared" si="92"/>
        <v>ons</v>
      </c>
      <c r="J119" s="495"/>
      <c r="K119" s="151">
        <v>1</v>
      </c>
      <c r="L119" s="256"/>
      <c r="M119" s="256">
        <f>IF($C$5&lt;3000,(Bron!H108*$C$5)+Bron!I108,(Bron!M108*$C$5)+Bron!N108)</f>
        <v>82482.400000000009</v>
      </c>
      <c r="N119" s="496">
        <f t="shared" si="90"/>
        <v>10573.415999999999</v>
      </c>
      <c r="O119" s="497">
        <f t="shared" si="91"/>
        <v>7.8009226157374316</v>
      </c>
      <c r="P119" s="257">
        <f>IF($C$5&lt;3000,$AN$32*Bron!J108,$AN$32*Bron!O108)</f>
        <v>7552.4400000000005</v>
      </c>
      <c r="Q119" s="257">
        <f>IF($C$5&lt;3000,$AN$31*Bron!K108,$AN$31*Bron!P108)</f>
        <v>0</v>
      </c>
      <c r="R119" s="257">
        <f>IF($C$5&lt;3000,$AN$33*Bron!J108,$AN$33*Bron!O108)</f>
        <v>0</v>
      </c>
      <c r="S119" s="344"/>
      <c r="T119" s="258">
        <f t="shared" si="93"/>
        <v>1</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hidden="1">
      <c r="B120" s="488">
        <v>76</v>
      </c>
      <c r="C120" s="489" t="s">
        <v>400</v>
      </c>
      <c r="D120" s="490" t="s">
        <v>218</v>
      </c>
      <c r="E120" s="491" t="s">
        <v>219</v>
      </c>
      <c r="F120" s="492"/>
      <c r="G120" s="493"/>
      <c r="H120" s="146" t="s">
        <v>97</v>
      </c>
      <c r="I120" s="494" t="str">
        <f t="shared" si="92"/>
        <v>n.v.t.</v>
      </c>
      <c r="J120" s="495"/>
      <c r="K120" s="151">
        <v>0</v>
      </c>
      <c r="L120" s="256"/>
      <c r="M120" s="256">
        <f>IF($C$5&lt;3000,(Bron!H109*$C$5)+Bron!I109,(Bron!M109*$C$5)+Bron!N109)</f>
        <v>82482.400000000009</v>
      </c>
      <c r="N120" s="496">
        <f t="shared" si="90"/>
        <v>6797.195999999999</v>
      </c>
      <c r="O120" s="497">
        <f t="shared" si="91"/>
        <v>12.134768513369339</v>
      </c>
      <c r="P120" s="257">
        <f>IF($C$5&lt;3000,$AN$32*Bron!J109,$AN$32*Bron!O109)</f>
        <v>4855.1399999999994</v>
      </c>
      <c r="Q120" s="257"/>
      <c r="R120" s="257">
        <f>IF($C$5&lt;3000,$AN$33*Bron!J109,$AN$33*Bron!O109)</f>
        <v>0</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hidden="1">
      <c r="B121" s="488">
        <v>77</v>
      </c>
      <c r="C121" s="489" t="s">
        <v>400</v>
      </c>
      <c r="D121" s="490" t="s">
        <v>220</v>
      </c>
      <c r="E121" s="491" t="s">
        <v>221</v>
      </c>
      <c r="F121" s="492"/>
      <c r="G121" s="493"/>
      <c r="H121" s="146" t="s">
        <v>97</v>
      </c>
      <c r="I121" s="494" t="str">
        <f t="shared" si="92"/>
        <v>n.v.t.</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hidden="1">
      <c r="B122" s="488">
        <v>78</v>
      </c>
      <c r="C122" s="489" t="s">
        <v>400</v>
      </c>
      <c r="D122" s="490" t="s">
        <v>222</v>
      </c>
      <c r="E122" s="491" t="s">
        <v>223</v>
      </c>
      <c r="F122" s="492"/>
      <c r="G122" s="493"/>
      <c r="H122" s="146" t="s">
        <v>97</v>
      </c>
      <c r="I122" s="494" t="str">
        <f t="shared" si="92"/>
        <v>n.v.t.</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hidden="1">
      <c r="B123" s="488">
        <v>79</v>
      </c>
      <c r="C123" s="489" t="s">
        <v>400</v>
      </c>
      <c r="D123" s="490" t="s">
        <v>493</v>
      </c>
      <c r="E123" s="491" t="s">
        <v>856</v>
      </c>
      <c r="F123" s="492"/>
      <c r="G123" s="493"/>
      <c r="H123" s="146" t="s">
        <v>97</v>
      </c>
      <c r="I123" s="494" t="str">
        <f t="shared" si="92"/>
        <v>n.v.t.</v>
      </c>
      <c r="J123" s="495"/>
      <c r="K123" s="151">
        <v>0</v>
      </c>
      <c r="L123" s="256"/>
      <c r="M123" s="256">
        <f>IF($C$5&lt;3000,(Bron!H112*$C$5)+Bron!I112,(Bron!M112*$C$5)+Bron!N112)</f>
        <v>53930.8</v>
      </c>
      <c r="N123" s="496">
        <f t="shared" si="90"/>
        <v>13216.769999999999</v>
      </c>
      <c r="O123" s="497">
        <f t="shared" si="91"/>
        <v>4.080482599001118</v>
      </c>
      <c r="P123" s="257">
        <f>IF($C$5&lt;3000,$AN$32*Bron!J112,$AN$32*Bron!O112)</f>
        <v>9440.5499999999993</v>
      </c>
      <c r="Q123" s="257">
        <f>IF($C$5&lt;3000,$AN$31*Bron!K112,$AN$31*Bron!P112)</f>
        <v>0</v>
      </c>
      <c r="R123" s="257">
        <f>IF($C$5&lt;3000,$AN$33*Bron!J112,$AN$33*Bron!O112)</f>
        <v>0</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hidden="1">
      <c r="B124" s="488">
        <v>80</v>
      </c>
      <c r="C124" s="489" t="s">
        <v>400</v>
      </c>
      <c r="D124" s="490" t="s">
        <v>493</v>
      </c>
      <c r="E124" s="491" t="s">
        <v>444</v>
      </c>
      <c r="F124" s="492"/>
      <c r="G124" s="493"/>
      <c r="H124" s="146" t="s">
        <v>97</v>
      </c>
      <c r="I124" s="494" t="str">
        <f t="shared" si="92"/>
        <v>n.v.t.</v>
      </c>
      <c r="J124" s="495" t="s">
        <v>487</v>
      </c>
      <c r="K124" s="151">
        <v>0</v>
      </c>
      <c r="L124" s="256">
        <f>IF($C$5&lt;3000,(Bron!H113*$C$5)+Bron!I113,(Bron!M113*$C$5)+Bron!N113)</f>
        <v>409239.60000000003</v>
      </c>
      <c r="M124" s="256"/>
      <c r="N124" s="496">
        <f t="shared" si="90"/>
        <v>7552.44</v>
      </c>
      <c r="O124" s="497">
        <f t="shared" si="91"/>
        <v>54.18640863085308</v>
      </c>
      <c r="P124" s="257">
        <f>IF($C$5&lt;3000,$AN$32*Bron!J113,$AN$32*Bron!O113)</f>
        <v>5394.6</v>
      </c>
      <c r="Q124" s="257"/>
      <c r="R124" s="257">
        <f>IF($C$5&lt;3000,$AN$33*Bron!J113,$AN$33*Bron!O113)</f>
        <v>0</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857</v>
      </c>
      <c r="F125" s="492"/>
      <c r="G125" s="493"/>
      <c r="H125" s="146" t="s">
        <v>486</v>
      </c>
      <c r="I125" s="494" t="str">
        <f t="shared" si="92"/>
        <v>ons</v>
      </c>
      <c r="J125" s="495"/>
      <c r="K125" s="151">
        <v>0.5</v>
      </c>
      <c r="L125" s="256"/>
      <c r="M125" s="256">
        <f>IF($C$5&lt;3000,(Bron!H114*$C$5/$C$6)+Bron!I114,(Bron!M114*$C$5/$C$6)+Bron!N114)</f>
        <v>472687.60000000003</v>
      </c>
      <c r="N125" s="496">
        <f t="shared" si="90"/>
        <v>3776.22</v>
      </c>
      <c r="O125" s="497">
        <f t="shared" si="91"/>
        <v>125.1748044340637</v>
      </c>
      <c r="P125" s="257">
        <f>IF($C$5&lt;3000,$AN$32*Bron!J114,$AN$32*Bron!O114)/$C$6</f>
        <v>2697.3</v>
      </c>
      <c r="Q125" s="257"/>
      <c r="R125" s="257">
        <f>IF($C$5&lt;3000,$AN$33*Bron!J114,$AN$33*Bron!O114)/$C$6</f>
        <v>0</v>
      </c>
      <c r="S125" s="344"/>
      <c r="T125" s="258">
        <f t="shared" si="93"/>
        <v>0.5</v>
      </c>
      <c r="U125" s="259">
        <f t="shared" si="94"/>
        <v>0</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c r="BG125" s="676">
        <f t="shared" si="107"/>
        <v>0</v>
      </c>
      <c r="BH125" s="677">
        <f t="shared" si="108"/>
        <v>0</v>
      </c>
      <c r="BI125" s="677">
        <f t="shared" si="145"/>
        <v>0</v>
      </c>
      <c r="BJ125" s="678">
        <f t="shared" si="146"/>
        <v>0</v>
      </c>
      <c r="BK125" s="679">
        <f t="shared" si="147"/>
        <v>0</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hidden="1">
      <c r="B126" s="488">
        <v>82</v>
      </c>
      <c r="C126" s="489" t="s">
        <v>400</v>
      </c>
      <c r="D126" s="490" t="s">
        <v>493</v>
      </c>
      <c r="E126" s="491" t="s">
        <v>598</v>
      </c>
      <c r="F126" s="492"/>
      <c r="G126" s="493"/>
      <c r="H126" s="146" t="s">
        <v>97</v>
      </c>
      <c r="I126" s="494" t="str">
        <f t="shared" si="92"/>
        <v>n.v.t.</v>
      </c>
      <c r="J126" s="495"/>
      <c r="K126" s="151">
        <v>0</v>
      </c>
      <c r="L126" s="256"/>
      <c r="M126" s="256">
        <f>IF($C$5&lt;3000,(Bron!H115*$C$5*1.4/$C$6)+Bron!I115,(Bron!M115*$C$5*1.4/$C$6)+Bron!N115)</f>
        <v>333102</v>
      </c>
      <c r="N126" s="496">
        <f t="shared" si="90"/>
        <v>11328.659999999998</v>
      </c>
      <c r="O126" s="497">
        <f t="shared" si="91"/>
        <v>29.403477551625706</v>
      </c>
      <c r="P126" s="257">
        <f>IF($C$5&lt;3000,$AN$32*Bron!J115,$AN$32*Bron!O115)/$C$6</f>
        <v>8091.9</v>
      </c>
      <c r="Q126" s="257">
        <f>IF($C$5&lt;3000,$AN$31*Bron!K115,$AN$31*Bron!P115)</f>
        <v>0</v>
      </c>
      <c r="R126" s="257">
        <f>IF($C$5&lt;3000,$AN$33*Bron!J115,$AN$33*Bron!O115)/$C$6</f>
        <v>0</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hidden="1">
      <c r="B127" s="488">
        <v>83</v>
      </c>
      <c r="C127" s="489" t="s">
        <v>400</v>
      </c>
      <c r="D127" s="490" t="s">
        <v>493</v>
      </c>
      <c r="E127" s="491" t="s">
        <v>445</v>
      </c>
      <c r="F127" s="492"/>
      <c r="G127" s="493"/>
      <c r="H127" s="146" t="s">
        <v>97</v>
      </c>
      <c r="I127" s="494" t="str">
        <f t="shared" si="92"/>
        <v>n.v.t.</v>
      </c>
      <c r="J127" s="495" t="s">
        <v>487</v>
      </c>
      <c r="K127" s="151">
        <v>0</v>
      </c>
      <c r="L127" s="256">
        <f>IF($C$5&lt;3000,(Bron!H116*$C$5/$C$6)+Bron!I116,(Bron!M116*$C$5/$C$6)+Bron!N116)</f>
        <v>168137.2</v>
      </c>
      <c r="M127" s="256"/>
      <c r="N127" s="496">
        <f t="shared" si="90"/>
        <v>2265.7319999999995</v>
      </c>
      <c r="O127" s="497">
        <f t="shared" si="91"/>
        <v>74.208776677912496</v>
      </c>
      <c r="P127" s="257">
        <f>IF($C$5&lt;3000,$AN$32*Bron!J116,$AN$32*Bron!O116)/$C$6</f>
        <v>1618.3799999999999</v>
      </c>
      <c r="Q127" s="257"/>
      <c r="R127" s="257">
        <f>IF($C$5&lt;3000,$AN$33*Bron!J116,$AN$33*Bron!O116)/$C$6</f>
        <v>0</v>
      </c>
      <c r="S127" s="344"/>
      <c r="T127" s="258">
        <f t="shared" si="93"/>
        <v>0</v>
      </c>
      <c r="U127" s="259">
        <f t="shared" si="94"/>
        <v>0</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c r="BA127" s="676">
        <f t="shared" si="105"/>
        <v>0</v>
      </c>
      <c r="BB127" s="677">
        <f t="shared" si="106"/>
        <v>0</v>
      </c>
      <c r="BC127" s="677">
        <f t="shared" si="142"/>
        <v>0</v>
      </c>
      <c r="BD127" s="678">
        <f t="shared" si="143"/>
        <v>0</v>
      </c>
      <c r="BE127" s="679">
        <f t="shared" si="144"/>
        <v>0</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hidden="1">
      <c r="B128" s="488">
        <v>84</v>
      </c>
      <c r="C128" s="489" t="s">
        <v>400</v>
      </c>
      <c r="D128" s="490" t="s">
        <v>493</v>
      </c>
      <c r="E128" s="491" t="s">
        <v>612</v>
      </c>
      <c r="F128" s="492"/>
      <c r="G128" s="493"/>
      <c r="H128" s="146" t="s">
        <v>97</v>
      </c>
      <c r="I128" s="494" t="str">
        <f t="shared" si="92"/>
        <v>n.v.t.</v>
      </c>
      <c r="J128" s="495"/>
      <c r="K128" s="151">
        <v>0</v>
      </c>
      <c r="L128" s="256"/>
      <c r="M128" s="256">
        <f>IF($C$5&lt;3000,(Bron!H117*$C$5)+Bron!I117,(Bron!M117*$C$5)+Bron!N117)</f>
        <v>0</v>
      </c>
      <c r="N128" s="496">
        <f t="shared" si="90"/>
        <v>7174.8179999999993</v>
      </c>
      <c r="O128" s="497">
        <f t="shared" si="91"/>
        <v>0</v>
      </c>
      <c r="P128" s="257">
        <f>IF($C$5&lt;3000,$AN$32*Bron!J117,$AN$32*Bron!O117)</f>
        <v>5124.87</v>
      </c>
      <c r="Q128" s="257">
        <f>IF($C$5&lt;3000,$AN$31*Bron!K117,$AN$31*Bron!P117)</f>
        <v>0</v>
      </c>
      <c r="R128" s="257">
        <f>IF($C$5&lt;3000,$AN$33*Bron!J117,$AN$33*Bron!O117)</f>
        <v>0</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hidden="1">
      <c r="B129" s="488">
        <v>85</v>
      </c>
      <c r="C129" s="489" t="s">
        <v>400</v>
      </c>
      <c r="D129" s="490" t="s">
        <v>493</v>
      </c>
      <c r="E129" s="491" t="s">
        <v>600</v>
      </c>
      <c r="F129" s="492"/>
      <c r="G129" s="493"/>
      <c r="H129" s="146" t="s">
        <v>97</v>
      </c>
      <c r="I129" s="494" t="str">
        <f t="shared" si="92"/>
        <v>n.v.t.</v>
      </c>
      <c r="J129" s="495"/>
      <c r="K129" s="151">
        <v>0</v>
      </c>
      <c r="L129" s="256"/>
      <c r="M129" s="256">
        <f>IF($C$5&lt;3000,(Bron!H118*$C$5)+Bron!I118,(Bron!M118*$C$5)+Bron!N118)</f>
        <v>117378.8</v>
      </c>
      <c r="N129" s="496">
        <f t="shared" si="90"/>
        <v>11328.659999999998</v>
      </c>
      <c r="O129" s="497">
        <f t="shared" si="91"/>
        <v>10.361225422953821</v>
      </c>
      <c r="P129" s="257">
        <f>IF($C$5&lt;3000,$AN$32*Bron!J118,$AN$32*Bron!O118)</f>
        <v>8091.9</v>
      </c>
      <c r="Q129" s="257"/>
      <c r="R129" s="257">
        <f>IF($C$5&lt;3000,$AN$33*Bron!J118,$AN$33*Bron!O118)</f>
        <v>0</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hidden="1">
      <c r="B130" s="488">
        <v>86</v>
      </c>
      <c r="C130" s="489" t="s">
        <v>400</v>
      </c>
      <c r="D130" s="490" t="s">
        <v>493</v>
      </c>
      <c r="E130" s="491" t="s">
        <v>446</v>
      </c>
      <c r="F130" s="492"/>
      <c r="G130" s="493"/>
      <c r="H130" s="146" t="s">
        <v>97</v>
      </c>
      <c r="I130" s="494" t="str">
        <f t="shared" si="92"/>
        <v>n.v.t.</v>
      </c>
      <c r="J130" s="495" t="s">
        <v>487</v>
      </c>
      <c r="K130" s="151">
        <v>0</v>
      </c>
      <c r="L130" s="256">
        <f>IF($C$5&lt;3000,(Bron!H119*$C$5)+Bron!I119,(Bron!M119*$C$5)+Bron!N119)</f>
        <v>66620.400000000009</v>
      </c>
      <c r="M130" s="256"/>
      <c r="N130" s="496">
        <f t="shared" si="90"/>
        <v>6041.9520000000002</v>
      </c>
      <c r="O130" s="497">
        <f t="shared" si="91"/>
        <v>11.026304081859639</v>
      </c>
      <c r="P130" s="257">
        <f>IF($C$5&lt;3000,$AN$32*Bron!J119,$AN$32*Bron!O119)</f>
        <v>4315.68</v>
      </c>
      <c r="Q130" s="257"/>
      <c r="R130" s="257">
        <f>IF($C$5&lt;3000,$AN$33*Bron!J119,$AN$33*Bron!O119)</f>
        <v>0</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486</v>
      </c>
      <c r="I131" s="494" t="str">
        <f t="shared" si="92"/>
        <v>ons</v>
      </c>
      <c r="J131" s="495" t="s">
        <v>487</v>
      </c>
      <c r="K131" s="151">
        <v>0</v>
      </c>
      <c r="L131" s="256">
        <f>IF($C$5&lt;3000,(Bron!H120*$C$5)+Bron!I120,(Bron!M120*$C$5)+Bron!N120)</f>
        <v>3172.4</v>
      </c>
      <c r="M131" s="256"/>
      <c r="N131" s="496">
        <f t="shared" si="90"/>
        <v>1529.3690999999999</v>
      </c>
      <c r="O131" s="497">
        <f t="shared" si="91"/>
        <v>2.0743194039947586</v>
      </c>
      <c r="P131" s="257">
        <f>IF($C$5&lt;3000,$AN$32*Bron!J120,$AN$32*Bron!O120)</f>
        <v>1092.4065000000001</v>
      </c>
      <c r="Q131" s="257"/>
      <c r="R131" s="257">
        <f>IF($C$5&lt;3000,$AN$33*Bron!J120,$AN$33*Bron!O120)</f>
        <v>0</v>
      </c>
      <c r="S131" s="344"/>
      <c r="T131" s="258">
        <f t="shared" si="93"/>
        <v>1</v>
      </c>
      <c r="U131" s="259">
        <f t="shared" si="94"/>
        <v>3172.4</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c r="AU131" s="676">
        <f t="shared" si="103"/>
        <v>0</v>
      </c>
      <c r="AV131" s="677">
        <f t="shared" si="104"/>
        <v>0</v>
      </c>
      <c r="AW131" s="677">
        <f t="shared" si="139"/>
        <v>0</v>
      </c>
      <c r="AX131" s="678">
        <f t="shared" si="140"/>
        <v>0</v>
      </c>
      <c r="AY131" s="679">
        <f t="shared" si="141"/>
        <v>0</v>
      </c>
      <c r="AZ131" s="675"/>
      <c r="BA131" s="676">
        <f t="shared" si="105"/>
        <v>0</v>
      </c>
      <c r="BB131" s="677">
        <f t="shared" si="106"/>
        <v>0</v>
      </c>
      <c r="BC131" s="677">
        <f t="shared" si="142"/>
        <v>0</v>
      </c>
      <c r="BD131" s="678">
        <f t="shared" si="143"/>
        <v>0</v>
      </c>
      <c r="BE131" s="679">
        <f t="shared" si="144"/>
        <v>0</v>
      </c>
      <c r="BF131" s="675">
        <v>1</v>
      </c>
      <c r="BG131" s="676">
        <f t="shared" si="107"/>
        <v>3172.4</v>
      </c>
      <c r="BH131" s="677">
        <f t="shared" si="108"/>
        <v>1092.4065000000001</v>
      </c>
      <c r="BI131" s="677">
        <f t="shared" si="145"/>
        <v>0</v>
      </c>
      <c r="BJ131" s="678">
        <f t="shared" si="146"/>
        <v>0</v>
      </c>
      <c r="BK131" s="679">
        <f t="shared" si="147"/>
        <v>1529.3690999999999</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c r="B132" s="488">
        <v>88</v>
      </c>
      <c r="C132" s="489" t="s">
        <v>224</v>
      </c>
      <c r="D132" s="490" t="s">
        <v>493</v>
      </c>
      <c r="E132" s="491" t="s">
        <v>492</v>
      </c>
      <c r="F132" s="492"/>
      <c r="G132" s="493"/>
      <c r="H132" s="146" t="s">
        <v>486</v>
      </c>
      <c r="I132" s="494" t="str">
        <f t="shared" si="92"/>
        <v>ons</v>
      </c>
      <c r="J132" s="495" t="s">
        <v>487</v>
      </c>
      <c r="K132" s="151">
        <v>0</v>
      </c>
      <c r="L132" s="256">
        <f>IF($C$5&lt;3000,(Bron!H121*$C$5)+Bron!I121,(Bron!M121*$C$5)+Bron!N121)</f>
        <v>117672</v>
      </c>
      <c r="M132" s="256"/>
      <c r="N132" s="496">
        <f t="shared" si="90"/>
        <v>11169.140457792855</v>
      </c>
      <c r="O132" s="497">
        <f t="shared" si="91"/>
        <v>10.535457087738449</v>
      </c>
      <c r="P132" s="257">
        <f>IF($C$5&lt;3000,$AN$32*Bron!J121,$AN$32*Bron!O121)</f>
        <v>15374.609999999999</v>
      </c>
      <c r="Q132" s="257">
        <f>(-P132*(35.17/3.6*0.95)/3.5)</f>
        <v>-40768.950953571424</v>
      </c>
      <c r="R132" s="257">
        <f>IF($C$5&lt;3000,$AN$33*Bron!J121,$AN$33*Bron!O121)</f>
        <v>0</v>
      </c>
      <c r="S132" s="344"/>
      <c r="T132" s="258">
        <f t="shared" si="93"/>
        <v>1</v>
      </c>
      <c r="U132" s="259">
        <f t="shared" si="94"/>
        <v>117672</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c r="AU132" s="676">
        <f t="shared" si="103"/>
        <v>0</v>
      </c>
      <c r="AV132" s="677">
        <f t="shared" si="104"/>
        <v>0</v>
      </c>
      <c r="AW132" s="677">
        <f t="shared" si="139"/>
        <v>0</v>
      </c>
      <c r="AX132" s="678">
        <f t="shared" si="140"/>
        <v>0</v>
      </c>
      <c r="AY132" s="679">
        <f t="shared" si="141"/>
        <v>0</v>
      </c>
      <c r="AZ132" s="675">
        <v>0.25</v>
      </c>
      <c r="BA132" s="676">
        <f t="shared" si="105"/>
        <v>29418</v>
      </c>
      <c r="BB132" s="677">
        <f t="shared" si="106"/>
        <v>3843.6524999999997</v>
      </c>
      <c r="BC132" s="677">
        <f t="shared" si="142"/>
        <v>-10192.237738392856</v>
      </c>
      <c r="BD132" s="678">
        <f t="shared" si="143"/>
        <v>0</v>
      </c>
      <c r="BE132" s="679">
        <f t="shared" si="144"/>
        <v>2792.2851144482138</v>
      </c>
      <c r="BF132" s="675">
        <v>0.25</v>
      </c>
      <c r="BG132" s="676">
        <f t="shared" si="107"/>
        <v>29418</v>
      </c>
      <c r="BH132" s="677">
        <f t="shared" si="108"/>
        <v>3843.6524999999997</v>
      </c>
      <c r="BI132" s="677">
        <f t="shared" si="145"/>
        <v>-10192.237738392856</v>
      </c>
      <c r="BJ132" s="678">
        <f t="shared" si="146"/>
        <v>0</v>
      </c>
      <c r="BK132" s="679">
        <f t="shared" si="147"/>
        <v>2792.2851144482138</v>
      </c>
      <c r="BL132" s="675">
        <v>0.25</v>
      </c>
      <c r="BM132" s="676">
        <f t="shared" si="109"/>
        <v>29418</v>
      </c>
      <c r="BN132" s="677">
        <f t="shared" si="110"/>
        <v>3843.6524999999997</v>
      </c>
      <c r="BO132" s="677">
        <f t="shared" si="148"/>
        <v>-10192.237738392856</v>
      </c>
      <c r="BP132" s="678">
        <f t="shared" si="149"/>
        <v>0</v>
      </c>
      <c r="BQ132" s="679">
        <f t="shared" si="150"/>
        <v>2792.2851144482138</v>
      </c>
      <c r="BR132" s="675">
        <v>0.25</v>
      </c>
      <c r="BS132" s="676">
        <f t="shared" si="111"/>
        <v>29418</v>
      </c>
      <c r="BT132" s="677">
        <f t="shared" si="112"/>
        <v>3843.6524999999997</v>
      </c>
      <c r="BU132" s="677">
        <f t="shared" si="151"/>
        <v>-10192.237738392856</v>
      </c>
      <c r="BV132" s="678">
        <f t="shared" si="152"/>
        <v>0</v>
      </c>
      <c r="BW132" s="679">
        <f t="shared" si="153"/>
        <v>2792.2851144482138</v>
      </c>
      <c r="BX132" s="675"/>
      <c r="BY132" s="676">
        <f t="shared" si="113"/>
        <v>0</v>
      </c>
      <c r="BZ132" s="677">
        <f t="shared" si="114"/>
        <v>0</v>
      </c>
      <c r="CA132" s="677">
        <f t="shared" si="154"/>
        <v>0</v>
      </c>
      <c r="CB132" s="678">
        <f t="shared" si="155"/>
        <v>0</v>
      </c>
      <c r="CC132" s="679">
        <f t="shared" si="156"/>
        <v>0</v>
      </c>
      <c r="CD132" s="675"/>
      <c r="CE132" s="676">
        <f t="shared" si="115"/>
        <v>0</v>
      </c>
      <c r="CF132" s="677">
        <f t="shared" si="116"/>
        <v>0</v>
      </c>
      <c r="CG132" s="677">
        <f t="shared" si="157"/>
        <v>0</v>
      </c>
      <c r="CH132" s="678">
        <f t="shared" si="158"/>
        <v>0</v>
      </c>
      <c r="CI132" s="679">
        <f t="shared" si="159"/>
        <v>0</v>
      </c>
      <c r="CJ132" s="675"/>
      <c r="CK132" s="676">
        <f t="shared" si="117"/>
        <v>0</v>
      </c>
      <c r="CL132" s="677">
        <f t="shared" si="118"/>
        <v>0</v>
      </c>
      <c r="CM132" s="677">
        <f t="shared" si="160"/>
        <v>0</v>
      </c>
      <c r="CN132" s="678">
        <f t="shared" si="161"/>
        <v>0</v>
      </c>
      <c r="CO132" s="679">
        <f t="shared" si="162"/>
        <v>0</v>
      </c>
      <c r="CP132" s="675"/>
      <c r="CQ132" s="676">
        <f t="shared" si="119"/>
        <v>0</v>
      </c>
      <c r="CR132" s="677">
        <f t="shared" si="120"/>
        <v>0</v>
      </c>
      <c r="CS132" s="677">
        <f t="shared" si="163"/>
        <v>0</v>
      </c>
      <c r="CT132" s="678">
        <f t="shared" si="164"/>
        <v>0</v>
      </c>
      <c r="CU132" s="679">
        <f t="shared" si="165"/>
        <v>0</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c r="DU132" s="676">
        <f t="shared" si="121"/>
        <v>0</v>
      </c>
      <c r="DV132" s="677">
        <f t="shared" si="122"/>
        <v>0</v>
      </c>
      <c r="DW132" s="677">
        <f t="shared" si="166"/>
        <v>0</v>
      </c>
      <c r="DX132" s="678">
        <f t="shared" si="167"/>
        <v>0</v>
      </c>
      <c r="DY132" s="679">
        <f t="shared" si="168"/>
        <v>0</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486</v>
      </c>
      <c r="I133" s="494" t="str">
        <f t="shared" si="92"/>
        <v>ons</v>
      </c>
      <c r="J133" s="495" t="s">
        <v>487</v>
      </c>
      <c r="K133" s="151">
        <v>0</v>
      </c>
      <c r="L133" s="256">
        <f>IF($C$5&lt;3000,(Bron!H122*$C$5)+Bron!I122,(Bron!M122*$C$5)+Bron!N122)</f>
        <v>3806.88</v>
      </c>
      <c r="M133" s="256"/>
      <c r="N133" s="496">
        <f t="shared" si="90"/>
        <v>1510.4880000000001</v>
      </c>
      <c r="O133" s="497">
        <f t="shared" si="91"/>
        <v>2.5202980758536313</v>
      </c>
      <c r="P133" s="257">
        <f>IF($C$5&lt;3000,$AN$32*Bron!J122,$AN$32*Bron!O122)</f>
        <v>1078.92</v>
      </c>
      <c r="Q133" s="257"/>
      <c r="R133" s="257">
        <f>IF($C$5&lt;3000,$AN$33*Bron!J122,$AN$33*Bron!O122)</f>
        <v>0</v>
      </c>
      <c r="S133" s="344"/>
      <c r="T133" s="258">
        <f t="shared" si="93"/>
        <v>1</v>
      </c>
      <c r="U133" s="259">
        <f t="shared" si="94"/>
        <v>3806.88</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c r="BA133" s="676">
        <f t="shared" si="105"/>
        <v>0</v>
      </c>
      <c r="BB133" s="677">
        <f t="shared" si="106"/>
        <v>0</v>
      </c>
      <c r="BC133" s="677">
        <f t="shared" si="142"/>
        <v>0</v>
      </c>
      <c r="BD133" s="678">
        <f t="shared" si="143"/>
        <v>0</v>
      </c>
      <c r="BE133" s="679">
        <f t="shared" si="144"/>
        <v>0</v>
      </c>
      <c r="BF133" s="675">
        <v>1</v>
      </c>
      <c r="BG133" s="676">
        <f t="shared" si="107"/>
        <v>3806.88</v>
      </c>
      <c r="BH133" s="677">
        <f t="shared" si="108"/>
        <v>1078.92</v>
      </c>
      <c r="BI133" s="677">
        <f t="shared" si="145"/>
        <v>0</v>
      </c>
      <c r="BJ133" s="678">
        <f t="shared" si="146"/>
        <v>0</v>
      </c>
      <c r="BK133" s="679">
        <f t="shared" si="147"/>
        <v>1510.4880000000001</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486</v>
      </c>
      <c r="I134" s="494" t="str">
        <f t="shared" si="92"/>
        <v>ons</v>
      </c>
      <c r="J134" s="495" t="s">
        <v>487</v>
      </c>
      <c r="K134" s="151">
        <v>0</v>
      </c>
      <c r="L134" s="256">
        <f>IF($C$5&lt;3000,(Bron!H123*$C$5)+Bron!I123,(Bron!M123*$C$5)+Bron!N123)</f>
        <v>3806.88</v>
      </c>
      <c r="M134" s="256"/>
      <c r="N134" s="496">
        <f t="shared" si="90"/>
        <v>377.62200000000001</v>
      </c>
      <c r="O134" s="497">
        <f t="shared" si="91"/>
        <v>10.081192303414525</v>
      </c>
      <c r="P134" s="257">
        <f>IF($C$5&lt;3000,$AN$32*Bron!J123,$AN$32*Bron!O123)</f>
        <v>269.73</v>
      </c>
      <c r="Q134" s="257"/>
      <c r="R134" s="257">
        <f>IF($C$5&lt;3000,$AN$33*Bron!J123,$AN$33*Bron!O123)</f>
        <v>0</v>
      </c>
      <c r="S134" s="344"/>
      <c r="T134" s="258">
        <f t="shared" si="93"/>
        <v>1</v>
      </c>
      <c r="U134" s="259">
        <f t="shared" si="94"/>
        <v>3806.88</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v>1</v>
      </c>
      <c r="AU134" s="676">
        <f t="shared" si="103"/>
        <v>3806.88</v>
      </c>
      <c r="AV134" s="677">
        <f t="shared" si="104"/>
        <v>269.73</v>
      </c>
      <c r="AW134" s="677">
        <f t="shared" si="139"/>
        <v>0</v>
      </c>
      <c r="AX134" s="678">
        <f t="shared" si="140"/>
        <v>0</v>
      </c>
      <c r="AY134" s="679">
        <f t="shared" si="141"/>
        <v>377.62200000000001</v>
      </c>
      <c r="AZ134" s="675"/>
      <c r="BA134" s="676">
        <f t="shared" si="105"/>
        <v>0</v>
      </c>
      <c r="BB134" s="677">
        <f t="shared" si="106"/>
        <v>0</v>
      </c>
      <c r="BC134" s="677">
        <f t="shared" si="142"/>
        <v>0</v>
      </c>
      <c r="BD134" s="678">
        <f t="shared" si="143"/>
        <v>0</v>
      </c>
      <c r="BE134" s="679">
        <f t="shared" si="144"/>
        <v>0</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hidden="1">
      <c r="B135" s="488">
        <v>91</v>
      </c>
      <c r="C135" s="489" t="s">
        <v>224</v>
      </c>
      <c r="D135" s="490" t="s">
        <v>228</v>
      </c>
      <c r="E135" s="491" t="s">
        <v>229</v>
      </c>
      <c r="F135" s="492"/>
      <c r="G135" s="493"/>
      <c r="H135" s="146" t="s">
        <v>97</v>
      </c>
      <c r="I135" s="494" t="str">
        <f t="shared" si="92"/>
        <v>n.v.t.</v>
      </c>
      <c r="J135" s="495" t="s">
        <v>487</v>
      </c>
      <c r="K135" s="151">
        <v>0</v>
      </c>
      <c r="L135" s="256">
        <f>IF($C$5&lt;3000,(Bron!H124*$C$5)+Bron!I124,(Bron!M124*$C$5)+Bron!N124)</f>
        <v>1903.44</v>
      </c>
      <c r="M135" s="256"/>
      <c r="N135" s="496">
        <f t="shared" si="90"/>
        <v>944.05499999999995</v>
      </c>
      <c r="O135" s="497">
        <f t="shared" si="91"/>
        <v>2.0162384606829051</v>
      </c>
      <c r="P135" s="257">
        <f>IF($C$5&lt;3000,$AN$32*Bron!J124,$AN$32*Bron!O124)</f>
        <v>674.32500000000005</v>
      </c>
      <c r="Q135" s="257"/>
      <c r="R135" s="257">
        <f>IF($C$5&lt;3000,$AN$33*Bron!J124,$AN$33*Bron!O124)</f>
        <v>0</v>
      </c>
      <c r="S135" s="344"/>
      <c r="T135" s="258">
        <f t="shared" si="93"/>
        <v>0</v>
      </c>
      <c r="U135" s="259">
        <f t="shared" si="94"/>
        <v>0</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c r="AU135" s="676">
        <f t="shared" si="103"/>
        <v>0</v>
      </c>
      <c r="AV135" s="677">
        <f t="shared" si="104"/>
        <v>0</v>
      </c>
      <c r="AW135" s="677">
        <f t="shared" si="139"/>
        <v>0</v>
      </c>
      <c r="AX135" s="678">
        <f t="shared" si="140"/>
        <v>0</v>
      </c>
      <c r="AY135" s="679">
        <f t="shared" si="141"/>
        <v>0</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486</v>
      </c>
      <c r="I136" s="494" t="str">
        <f t="shared" si="92"/>
        <v>ons</v>
      </c>
      <c r="J136" s="495"/>
      <c r="K136" s="151">
        <v>1</v>
      </c>
      <c r="L136" s="256"/>
      <c r="M136" s="256">
        <f>IF($C$5&lt;3000,(Bron!H125*$C$5)+Bron!I125,(Bron!M125*$C$5)+Bron!N125)</f>
        <v>10468.92</v>
      </c>
      <c r="N136" s="496">
        <f t="shared" si="90"/>
        <v>1321.6769999999999</v>
      </c>
      <c r="O136" s="497">
        <f t="shared" si="91"/>
        <v>7.9209368098256991</v>
      </c>
      <c r="P136" s="257">
        <f>IF($C$5&lt;3000,$AN$32*Bron!J125,$AN$32*Bron!O125)</f>
        <v>944.05500000000006</v>
      </c>
      <c r="Q136" s="257"/>
      <c r="R136" s="257">
        <f>IF($C$5&lt;3000,$AN$33*Bron!J125,$AN$33*Bron!O125)</f>
        <v>0</v>
      </c>
      <c r="S136" s="344"/>
      <c r="T136" s="258">
        <f t="shared" si="93"/>
        <v>1</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486</v>
      </c>
      <c r="I137" s="494" t="str">
        <f t="shared" si="92"/>
        <v>ons</v>
      </c>
      <c r="J137" s="495"/>
      <c r="K137" s="151">
        <v>0</v>
      </c>
      <c r="L137" s="256"/>
      <c r="M137" s="256">
        <f>IF($C$5&lt;3000,(Bron!H126*$C$5)+Bron!I126,(Bron!M126*$C$5)+Bron!N126)</f>
        <v>0</v>
      </c>
      <c r="N137" s="496">
        <f t="shared" si="90"/>
        <v>220.23730399999999</v>
      </c>
      <c r="O137" s="497">
        <f t="shared" si="91"/>
        <v>0</v>
      </c>
      <c r="P137" s="257">
        <f>IF($C$5&lt;3000,$AN$32*Bron!J126,$AN$32*Bron!O126)</f>
        <v>0</v>
      </c>
      <c r="Q137" s="257">
        <f>IF($C$5&lt;3000,$AN$31*Bron!K126,$AN$31*Bron!P126)</f>
        <v>867.07600000000002</v>
      </c>
      <c r="R137" s="257">
        <f>IF($C$5&lt;3000,$AN$33*Bron!J126,$AN$33*Bron!O126)</f>
        <v>0</v>
      </c>
      <c r="S137" s="344"/>
      <c r="T137" s="258">
        <f t="shared" si="93"/>
        <v>1</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v>1</v>
      </c>
      <c r="AU137" s="676">
        <f t="shared" si="103"/>
        <v>0</v>
      </c>
      <c r="AV137" s="677">
        <f t="shared" si="104"/>
        <v>0</v>
      </c>
      <c r="AW137" s="677">
        <f t="shared" si="139"/>
        <v>867.07600000000002</v>
      </c>
      <c r="AX137" s="678">
        <f t="shared" si="140"/>
        <v>0</v>
      </c>
      <c r="AY137" s="679">
        <f t="shared" si="141"/>
        <v>220.23730399999999</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hidden="1">
      <c r="B138" s="488">
        <v>94</v>
      </c>
      <c r="C138" s="489" t="s">
        <v>224</v>
      </c>
      <c r="D138" s="490" t="s">
        <v>21</v>
      </c>
      <c r="E138" s="491" t="s">
        <v>424</v>
      </c>
      <c r="F138" s="492"/>
      <c r="G138" s="493"/>
      <c r="H138" s="146" t="s">
        <v>97</v>
      </c>
      <c r="I138" s="494" t="str">
        <f t="shared" si="92"/>
        <v>n.v.t.</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c r="B139" s="488">
        <v>95</v>
      </c>
      <c r="C139" s="489" t="s">
        <v>224</v>
      </c>
      <c r="D139" s="490" t="s">
        <v>493</v>
      </c>
      <c r="E139" s="491" t="s">
        <v>601</v>
      </c>
      <c r="F139" s="492"/>
      <c r="G139" s="493"/>
      <c r="H139" s="146" t="s">
        <v>486</v>
      </c>
      <c r="I139" s="494" t="str">
        <f t="shared" si="92"/>
        <v>ons</v>
      </c>
      <c r="J139" s="495" t="s">
        <v>487</v>
      </c>
      <c r="K139" s="151">
        <v>0.6</v>
      </c>
      <c r="L139" s="256">
        <f>IF($C$5&lt;3000,(Bron!H128*$C$5)+Bron!I128,(Bron!M128*$C$5)+Bron!N128)</f>
        <v>31724</v>
      </c>
      <c r="M139" s="256"/>
      <c r="N139" s="496">
        <f t="shared" si="90"/>
        <v>6041.9520000000002</v>
      </c>
      <c r="O139" s="497">
        <f t="shared" si="91"/>
        <v>5.2506209913617319</v>
      </c>
      <c r="P139" s="257">
        <f>IF($C$5&lt;3000,$AN$32*Bron!J128,$AN$32*Bron!O128)</f>
        <v>4315.68</v>
      </c>
      <c r="Q139" s="257"/>
      <c r="R139" s="257">
        <f>IF($C$5&lt;3000,$AN$33*Bron!J128,$AN$33*Bron!O128)</f>
        <v>0</v>
      </c>
      <c r="S139" s="344"/>
      <c r="T139" s="258">
        <f t="shared" si="93"/>
        <v>0.6</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486</v>
      </c>
      <c r="I140" s="494" t="str">
        <f t="shared" si="92"/>
        <v>ons</v>
      </c>
      <c r="J140" s="495" t="s">
        <v>487</v>
      </c>
      <c r="K140" s="151">
        <v>0</v>
      </c>
      <c r="L140" s="256">
        <f>IF($C$5&lt;3000,(Bron!H129*$C$5)+Bron!I129,(Bron!M129*$C$5)+Bron!N129)</f>
        <v>1268.96</v>
      </c>
      <c r="M140" s="256"/>
      <c r="N140" s="496">
        <f t="shared" si="90"/>
        <v>377.62200000000001</v>
      </c>
      <c r="O140" s="497">
        <f t="shared" si="91"/>
        <v>3.3603974344715084</v>
      </c>
      <c r="P140" s="257">
        <f>IF($C$5&lt;3000,$AN$32*Bron!J129,$AN$32*Bron!O129)</f>
        <v>269.73</v>
      </c>
      <c r="Q140" s="257"/>
      <c r="R140" s="257">
        <f>IF($C$5&lt;3000,$AN$33*Bron!J129,$AN$33*Bron!O129)</f>
        <v>0</v>
      </c>
      <c r="S140" s="344"/>
      <c r="T140" s="258">
        <f t="shared" si="93"/>
        <v>1</v>
      </c>
      <c r="U140" s="259">
        <f t="shared" si="94"/>
        <v>1268.96</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c r="BA140" s="676">
        <f t="shared" si="105"/>
        <v>0</v>
      </c>
      <c r="BB140" s="677">
        <f t="shared" si="106"/>
        <v>0</v>
      </c>
      <c r="BC140" s="677">
        <f t="shared" si="142"/>
        <v>0</v>
      </c>
      <c r="BD140" s="678">
        <f t="shared" si="143"/>
        <v>0</v>
      </c>
      <c r="BE140" s="679">
        <f t="shared" si="144"/>
        <v>0</v>
      </c>
      <c r="BF140" s="675">
        <v>1</v>
      </c>
      <c r="BG140" s="676">
        <f t="shared" si="107"/>
        <v>1268.96</v>
      </c>
      <c r="BH140" s="677">
        <f t="shared" si="108"/>
        <v>269.73</v>
      </c>
      <c r="BI140" s="677">
        <f t="shared" si="145"/>
        <v>0</v>
      </c>
      <c r="BJ140" s="678">
        <f t="shared" si="146"/>
        <v>0</v>
      </c>
      <c r="BK140" s="679">
        <f t="shared" si="147"/>
        <v>377.62200000000001</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c r="B141" s="488">
        <v>97</v>
      </c>
      <c r="C141" s="489" t="s">
        <v>224</v>
      </c>
      <c r="D141" s="490" t="s">
        <v>493</v>
      </c>
      <c r="E141" s="491" t="s">
        <v>442</v>
      </c>
      <c r="F141" s="492"/>
      <c r="G141" s="493"/>
      <c r="H141" s="146" t="s">
        <v>486</v>
      </c>
      <c r="I141" s="494" t="str">
        <f t="shared" si="92"/>
        <v>ons</v>
      </c>
      <c r="J141" s="495" t="s">
        <v>487</v>
      </c>
      <c r="K141" s="151">
        <v>0</v>
      </c>
      <c r="L141" s="256">
        <f>IF($C$5&lt;3000,(Bron!H130*$C$5)+Bron!I130,(Bron!M130*$C$5)+Bron!N130)</f>
        <v>193516.4</v>
      </c>
      <c r="M141" s="256"/>
      <c r="N141" s="496">
        <f t="shared" si="90"/>
        <v>755.24400000000003</v>
      </c>
      <c r="O141" s="497">
        <f t="shared" si="91"/>
        <v>256.2303043784525</v>
      </c>
      <c r="P141" s="257">
        <f>IF($C$5&lt;3000,$AN$32*Bron!J130,$AN$32*Bron!O130)</f>
        <v>539.46</v>
      </c>
      <c r="Q141" s="257"/>
      <c r="R141" s="257">
        <f>IF($C$5&lt;3000,$AN$33*Bron!J130,$AN$33*Bron!O130)</f>
        <v>0</v>
      </c>
      <c r="S141" s="344"/>
      <c r="T141" s="258">
        <f t="shared" si="93"/>
        <v>0</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hidden="1">
      <c r="B142" s="488">
        <v>98</v>
      </c>
      <c r="C142" s="489" t="s">
        <v>224</v>
      </c>
      <c r="D142" s="490" t="s">
        <v>493</v>
      </c>
      <c r="E142" s="491" t="s">
        <v>443</v>
      </c>
      <c r="F142" s="492"/>
      <c r="G142" s="493"/>
      <c r="H142" s="146" t="s">
        <v>97</v>
      </c>
      <c r="I142" s="494" t="str">
        <f t="shared" si="92"/>
        <v>n.v.t.</v>
      </c>
      <c r="J142" s="495"/>
      <c r="K142" s="151">
        <v>0</v>
      </c>
      <c r="L142" s="256"/>
      <c r="M142" s="256">
        <f>IF($C$5&lt;3000,(Bron!H131*$C$5)+Bron!I131,(Bron!M131*$C$5)+Bron!N131)</f>
        <v>375000</v>
      </c>
      <c r="N142" s="496">
        <f t="shared" si="90"/>
        <v>21865.885351874997</v>
      </c>
      <c r="O142" s="497">
        <f t="shared" si="91"/>
        <v>17.150003028248925</v>
      </c>
      <c r="P142" s="257">
        <f>IF($C$5&lt;3000,$AN$32*Bron!J131,$AN$32*Bron!O131)</f>
        <v>26973</v>
      </c>
      <c r="Q142" s="257">
        <f>(-P142*(35.17/3.6*0.95)/4)</f>
        <v>-62583.915937499994</v>
      </c>
      <c r="R142" s="257">
        <f>IF($C$5&lt;3000,$AN$33*Bron!J131,$AN$33*Bron!O131)</f>
        <v>0</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c r="B143" s="488">
        <v>99</v>
      </c>
      <c r="C143" s="489" t="s">
        <v>234</v>
      </c>
      <c r="D143" s="490" t="s">
        <v>4</v>
      </c>
      <c r="E143" s="491" t="s">
        <v>235</v>
      </c>
      <c r="F143" s="492"/>
      <c r="G143" s="493"/>
      <c r="H143" s="146" t="s">
        <v>486</v>
      </c>
      <c r="I143" s="494" t="str">
        <f t="shared" si="92"/>
        <v>ons</v>
      </c>
      <c r="J143" s="495" t="s">
        <v>489</v>
      </c>
      <c r="K143" s="151">
        <v>0</v>
      </c>
      <c r="L143" s="256">
        <f>IF($C$5&lt;3000,(Bron!H132*$C$5)+Bron!I132,(Bron!M132*$C$5)+Bron!N132)</f>
        <v>11420.640000000001</v>
      </c>
      <c r="M143" s="256"/>
      <c r="N143" s="496">
        <f t="shared" si="90"/>
        <v>2202.7347199999999</v>
      </c>
      <c r="O143" s="497">
        <f t="shared" si="91"/>
        <v>5.1847550666473365</v>
      </c>
      <c r="P143" s="257">
        <f>IF($C$5&lt;3000,$AN$32*Bron!J132,$AN$32*Bron!O132)</f>
        <v>1348.65</v>
      </c>
      <c r="Q143" s="257">
        <f>IF($C$5&lt;3000,$AN$31*Bron!K132,$AN$31*Bron!P132)</f>
        <v>1238.68</v>
      </c>
      <c r="R143" s="257">
        <f>IF($C$5&lt;3000,$AN$33*Bron!J132,$AN$33*Bron!O132)</f>
        <v>0</v>
      </c>
      <c r="S143" s="344"/>
      <c r="T143" s="258">
        <f t="shared" si="93"/>
        <v>1</v>
      </c>
      <c r="U143" s="259">
        <f t="shared" si="94"/>
        <v>11420.640000000001</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v>1</v>
      </c>
      <c r="BA143" s="676">
        <f t="shared" si="105"/>
        <v>11420.640000000001</v>
      </c>
      <c r="BB143" s="677">
        <f t="shared" si="106"/>
        <v>1348.65</v>
      </c>
      <c r="BC143" s="677">
        <f t="shared" si="142"/>
        <v>1238.68</v>
      </c>
      <c r="BD143" s="678">
        <f t="shared" si="143"/>
        <v>0</v>
      </c>
      <c r="BE143" s="679">
        <f t="shared" si="144"/>
        <v>2202.7347199999999</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hidden="1">
      <c r="B144" s="488">
        <v>100</v>
      </c>
      <c r="C144" s="489" t="s">
        <v>234</v>
      </c>
      <c r="D144" s="490" t="s">
        <v>236</v>
      </c>
      <c r="E144" s="491" t="s">
        <v>237</v>
      </c>
      <c r="F144" s="492"/>
      <c r="G144" s="493"/>
      <c r="H144" s="146" t="s">
        <v>97</v>
      </c>
      <c r="I144" s="494" t="str">
        <f t="shared" si="92"/>
        <v>n.v.t.</v>
      </c>
      <c r="J144" s="495" t="s">
        <v>487</v>
      </c>
      <c r="K144" s="151">
        <v>0</v>
      </c>
      <c r="L144" s="256">
        <f>IF($C$5&lt;3000,(Bron!H133*$C$5)+Bron!I133,(Bron!M133*$C$5)+Bron!N133)</f>
        <v>41241.200000000004</v>
      </c>
      <c r="M144" s="256"/>
      <c r="N144" s="496">
        <f t="shared" si="90"/>
        <v>10573.415999999999</v>
      </c>
      <c r="O144" s="497">
        <f t="shared" si="91"/>
        <v>3.9004613078687158</v>
      </c>
      <c r="P144" s="257">
        <f>IF($C$5&lt;3000,$AN$32*Bron!J133,$AN$32*Bron!O133)</f>
        <v>7552.4400000000005</v>
      </c>
      <c r="Q144" s="257"/>
      <c r="R144" s="257">
        <f>IF($C$5&lt;3000,$AN$33*Bron!J133,$AN$33*Bron!O133)</f>
        <v>0</v>
      </c>
      <c r="S144" s="344"/>
      <c r="T144" s="258">
        <f t="shared" si="93"/>
        <v>0</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hidden="1">
      <c r="B145" s="488">
        <v>101</v>
      </c>
      <c r="C145" s="489" t="s">
        <v>234</v>
      </c>
      <c r="D145" s="490" t="s">
        <v>22</v>
      </c>
      <c r="E145" s="491" t="s">
        <v>238</v>
      </c>
      <c r="F145" s="492"/>
      <c r="G145" s="493"/>
      <c r="H145" s="146" t="s">
        <v>97</v>
      </c>
      <c r="I145" s="494" t="str">
        <f t="shared" si="92"/>
        <v>n.v.t.</v>
      </c>
      <c r="J145" s="495" t="s">
        <v>487</v>
      </c>
      <c r="K145" s="151">
        <v>0</v>
      </c>
      <c r="L145" s="256">
        <f>IF($C$5&lt;3000,(Bron!H134*$C$5)+Bron!I134,(Bron!M134*$C$5)+Bron!N134)</f>
        <v>21572.32</v>
      </c>
      <c r="M145" s="256"/>
      <c r="N145" s="496">
        <f t="shared" si="90"/>
        <v>1101.18652</v>
      </c>
      <c r="O145" s="497">
        <f t="shared" si="91"/>
        <v>19.590069082937919</v>
      </c>
      <c r="P145" s="257">
        <f>IF($C$5&lt;3000,$AN$32*Bron!J134,$AN$32*Bron!O134)</f>
        <v>0</v>
      </c>
      <c r="Q145" s="257">
        <f>IF($C$5&lt;3000,$AN$31*Bron!K134,$AN$31*Bron!P134)</f>
        <v>4335.38</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hidden="1">
      <c r="B146" s="488">
        <v>102</v>
      </c>
      <c r="C146" s="489" t="s">
        <v>234</v>
      </c>
      <c r="D146" s="490" t="s">
        <v>239</v>
      </c>
      <c r="E146" s="491" t="s">
        <v>240</v>
      </c>
      <c r="F146" s="492"/>
      <c r="G146" s="493"/>
      <c r="H146" s="146" t="s">
        <v>97</v>
      </c>
      <c r="I146" s="494" t="str">
        <f t="shared" si="92"/>
        <v>n.v.t.</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hidden="1">
      <c r="B147" s="488">
        <v>103</v>
      </c>
      <c r="C147" s="489" t="s">
        <v>234</v>
      </c>
      <c r="D147" s="490" t="s">
        <v>241</v>
      </c>
      <c r="E147" s="491" t="s">
        <v>242</v>
      </c>
      <c r="F147" s="492"/>
      <c r="G147" s="493"/>
      <c r="H147" s="146" t="s">
        <v>97</v>
      </c>
      <c r="I147" s="494" t="str">
        <f t="shared" si="92"/>
        <v>n.v.t.</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hidden="1">
      <c r="B148" s="488">
        <v>104</v>
      </c>
      <c r="C148" s="489" t="s">
        <v>234</v>
      </c>
      <c r="D148" s="490" t="s">
        <v>243</v>
      </c>
      <c r="E148" s="491" t="s">
        <v>244</v>
      </c>
      <c r="F148" s="492"/>
      <c r="G148" s="493"/>
      <c r="H148" s="146" t="s">
        <v>97</v>
      </c>
      <c r="I148" s="494" t="str">
        <f t="shared" si="92"/>
        <v>n.v.t.</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c r="B149" s="488">
        <v>105</v>
      </c>
      <c r="C149" s="489" t="s">
        <v>234</v>
      </c>
      <c r="D149" s="490" t="s">
        <v>245</v>
      </c>
      <c r="E149" s="491" t="s">
        <v>246</v>
      </c>
      <c r="F149" s="492"/>
      <c r="G149" s="493"/>
      <c r="H149" s="146" t="s">
        <v>486</v>
      </c>
      <c r="I149" s="494" t="str">
        <f t="shared" si="92"/>
        <v>ons</v>
      </c>
      <c r="J149" s="495"/>
      <c r="K149" s="151">
        <v>0</v>
      </c>
      <c r="L149" s="256"/>
      <c r="M149" s="256">
        <f>IF($C$5&lt;3000,(Bron!H138*$C$5)+Bron!I138,(Bron!M138*$C$5)+Bron!N138)</f>
        <v>1903.44</v>
      </c>
      <c r="N149" s="496">
        <f t="shared" si="90"/>
        <v>786.56180000000006</v>
      </c>
      <c r="O149" s="497">
        <f t="shared" si="91"/>
        <v>2.4199497102452723</v>
      </c>
      <c r="P149" s="257">
        <f>IF($C$5&lt;3000,$AN$32*Bron!J138,$AN$32*Bron!O138)</f>
        <v>0</v>
      </c>
      <c r="Q149" s="257">
        <f>IF($C$5&lt;3000,$AN$31*Bron!K138,$AN$31*Bron!P138)</f>
        <v>3096.7000000000003</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c r="B150" s="488">
        <v>106</v>
      </c>
      <c r="C150" s="489" t="s">
        <v>234</v>
      </c>
      <c r="D150" s="490" t="s">
        <v>493</v>
      </c>
      <c r="E150" s="491" t="s">
        <v>579</v>
      </c>
      <c r="F150" s="492"/>
      <c r="G150" s="493"/>
      <c r="H150" s="146" t="s">
        <v>486</v>
      </c>
      <c r="I150" s="494" t="str">
        <f t="shared" si="92"/>
        <v>ons</v>
      </c>
      <c r="J150" s="495" t="s">
        <v>487</v>
      </c>
      <c r="K150" s="151">
        <v>0</v>
      </c>
      <c r="L150" s="256">
        <f>IF($C$5&lt;3000,(Bron!H139*$C$5)+Bron!I139,(Bron!M139*$C$5)+Bron!N139)</f>
        <v>19668.88</v>
      </c>
      <c r="M150" s="256"/>
      <c r="N150" s="496">
        <f t="shared" si="90"/>
        <v>1101.18652</v>
      </c>
      <c r="O150" s="497">
        <f t="shared" si="91"/>
        <v>17.86153357561987</v>
      </c>
      <c r="P150" s="257">
        <f>IF($C$5&lt;3000,$AN$32*Bron!J139,$AN$32*Bron!O139)</f>
        <v>0</v>
      </c>
      <c r="Q150" s="257">
        <f>IF($C$5&lt;3000,$AN$31*Bron!K139,$AN$31*Bron!P139)</f>
        <v>4335.38</v>
      </c>
      <c r="R150" s="257">
        <f>IF($C$5&lt;3000,$AN$33*Bron!J139,$AN$33*Bron!O139)</f>
        <v>0</v>
      </c>
      <c r="S150" s="344"/>
      <c r="T150" s="258">
        <f t="shared" si="93"/>
        <v>1</v>
      </c>
      <c r="U150" s="259">
        <f t="shared" si="94"/>
        <v>19668.88</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v>1</v>
      </c>
      <c r="BA150" s="676">
        <f t="shared" si="105"/>
        <v>19668.88</v>
      </c>
      <c r="BB150" s="677">
        <f t="shared" si="106"/>
        <v>0</v>
      </c>
      <c r="BC150" s="677">
        <f t="shared" si="142"/>
        <v>4335.38</v>
      </c>
      <c r="BD150" s="678">
        <f t="shared" si="143"/>
        <v>0</v>
      </c>
      <c r="BE150" s="679">
        <f t="shared" si="144"/>
        <v>1101.18652</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hidden="1">
      <c r="B151" s="488">
        <v>107</v>
      </c>
      <c r="C151" s="489" t="s">
        <v>234</v>
      </c>
      <c r="D151" s="490" t="s">
        <v>493</v>
      </c>
      <c r="E151" s="491" t="s">
        <v>584</v>
      </c>
      <c r="F151" s="492"/>
      <c r="G151" s="493"/>
      <c r="H151" s="146" t="s">
        <v>97</v>
      </c>
      <c r="I151" s="494" t="str">
        <f t="shared" si="92"/>
        <v>n.v.t.</v>
      </c>
      <c r="J151" s="495" t="s">
        <v>487</v>
      </c>
      <c r="K151" s="151">
        <v>0</v>
      </c>
      <c r="L151" s="256">
        <f>IF($C$5&lt;3000,(Bron!H140*$C$5)+Bron!I140,(Bron!M140*$C$5)+Bron!N140)</f>
        <v>10468.92</v>
      </c>
      <c r="M151" s="256"/>
      <c r="N151" s="496">
        <f t="shared" si="90"/>
        <v>2202.7347199999999</v>
      </c>
      <c r="O151" s="497">
        <f t="shared" si="91"/>
        <v>4.7526921444267245</v>
      </c>
      <c r="P151" s="257">
        <f>IF($C$5&lt;3000,$AN$32*Bron!J140,$AN$32*Bron!O140)</f>
        <v>1348.65</v>
      </c>
      <c r="Q151" s="257">
        <f>IF($C$5&lt;3000,$AN$31*Bron!K140,$AN$31*Bron!P140)</f>
        <v>1238.68</v>
      </c>
      <c r="R151" s="257">
        <f>IF($C$5&lt;3000,$AN$33*Bron!J140,$AN$33*Bron!O140)</f>
        <v>0</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hidden="1">
      <c r="B152" s="488">
        <v>108</v>
      </c>
      <c r="C152" s="489" t="s">
        <v>234</v>
      </c>
      <c r="D152" s="490" t="s">
        <v>493</v>
      </c>
      <c r="E152" s="491" t="s">
        <v>605</v>
      </c>
      <c r="F152" s="492"/>
      <c r="G152" s="493"/>
      <c r="H152" s="146" t="s">
        <v>97</v>
      </c>
      <c r="I152" s="494" t="str">
        <f t="shared" si="92"/>
        <v>n.v.t.</v>
      </c>
      <c r="J152" s="495"/>
      <c r="K152" s="151">
        <v>0</v>
      </c>
      <c r="L152" s="256"/>
      <c r="M152" s="256">
        <f>IF($C$5&lt;3000,(Bron!H141*$C$5)+Bron!I141,(Bron!M141*$C$5)+Bron!N141)</f>
        <v>114206.40000000001</v>
      </c>
      <c r="N152" s="496">
        <f t="shared" si="90"/>
        <v>13594.391999999998</v>
      </c>
      <c r="O152" s="497">
        <f t="shared" si="91"/>
        <v>8.4009935861787728</v>
      </c>
      <c r="P152" s="257">
        <f>IF($C$5&lt;3000,$AN$32*Bron!J141,$AN$32*Bron!O141)</f>
        <v>9710.2799999999988</v>
      </c>
      <c r="Q152" s="257">
        <f>IF($C$5&lt;3000,$AN$31*Bron!K141,$AN$31*Bron!P141)</f>
        <v>0</v>
      </c>
      <c r="R152" s="257">
        <f>IF($C$5&lt;3000,$AN$33*Bron!J141,$AN$33*Bron!O141)</f>
        <v>0</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hidden="1">
      <c r="B153" s="488">
        <v>109</v>
      </c>
      <c r="C153" s="489" t="s">
        <v>234</v>
      </c>
      <c r="D153" s="490" t="s">
        <v>493</v>
      </c>
      <c r="E153" s="491" t="s">
        <v>608</v>
      </c>
      <c r="F153" s="492"/>
      <c r="G153" s="493"/>
      <c r="H153" s="146" t="s">
        <v>97</v>
      </c>
      <c r="I153" s="494" t="str">
        <f t="shared" si="92"/>
        <v>n.v.t.</v>
      </c>
      <c r="J153" s="495"/>
      <c r="K153" s="151">
        <v>0</v>
      </c>
      <c r="L153" s="256"/>
      <c r="M153" s="256">
        <f>IF($C$5&lt;3000,(Bron!H142*$C$5)+Bron!I142,(Bron!M142*$C$5)+Bron!N142)</f>
        <v>69792.800000000003</v>
      </c>
      <c r="N153" s="496">
        <f t="shared" si="90"/>
        <v>9062.9279999999981</v>
      </c>
      <c r="O153" s="497">
        <f t="shared" si="91"/>
        <v>7.7009107873305425</v>
      </c>
      <c r="P153" s="257">
        <f>IF($C$5&lt;3000,$AN$32*Bron!J142,$AN$32*Bron!O142)</f>
        <v>6473.5199999999995</v>
      </c>
      <c r="Q153" s="257">
        <f>IF($C$5&lt;3000,$AN$31*Bron!K142,$AN$31*Bron!P142)</f>
        <v>0</v>
      </c>
      <c r="R153" s="257">
        <f>IF($C$5&lt;3000,$AN$33*Bron!J142,$AN$33*Bron!O142)</f>
        <v>0</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486</v>
      </c>
      <c r="I154" s="494" t="str">
        <f t="shared" si="92"/>
        <v>ons</v>
      </c>
      <c r="J154" s="495" t="s">
        <v>487</v>
      </c>
      <c r="K154" s="151">
        <v>0</v>
      </c>
      <c r="L154" s="256">
        <f>IF($C$5&lt;3000,(Bron!H143*$C$5)+Bron!I143,(Bron!M143*$C$5)+Bron!N143)</f>
        <v>3838.6039999999998</v>
      </c>
      <c r="M154" s="256"/>
      <c r="N154" s="496">
        <f t="shared" si="90"/>
        <v>377.62200000000001</v>
      </c>
      <c r="O154" s="497">
        <f t="shared" si="91"/>
        <v>10.165202239276313</v>
      </c>
      <c r="P154" s="257">
        <f>IF($C$5&lt;3000,$AN$32*Bron!J143,$AN$32*Bron!O143)</f>
        <v>269.73</v>
      </c>
      <c r="Q154" s="257"/>
      <c r="R154" s="257">
        <f>IF($C$5&lt;3000,$AN$33*Bron!J143,$AN$33*Bron!O143)</f>
        <v>0</v>
      </c>
      <c r="S154" s="344"/>
      <c r="T154" s="258">
        <f t="shared" si="93"/>
        <v>1</v>
      </c>
      <c r="U154" s="259">
        <f t="shared" si="94"/>
        <v>3838.6039999999998</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v>1</v>
      </c>
      <c r="AU154" s="676">
        <f t="shared" si="103"/>
        <v>3838.6039999999998</v>
      </c>
      <c r="AV154" s="677">
        <f t="shared" si="104"/>
        <v>269.73</v>
      </c>
      <c r="AW154" s="677">
        <f t="shared" si="139"/>
        <v>0</v>
      </c>
      <c r="AX154" s="678">
        <f t="shared" si="140"/>
        <v>0</v>
      </c>
      <c r="AY154" s="679">
        <f t="shared" si="141"/>
        <v>377.62200000000001</v>
      </c>
      <c r="AZ154" s="675"/>
      <c r="BA154" s="676">
        <f t="shared" si="105"/>
        <v>0</v>
      </c>
      <c r="BB154" s="677">
        <f t="shared" si="106"/>
        <v>0</v>
      </c>
      <c r="BC154" s="677">
        <f t="shared" si="142"/>
        <v>0</v>
      </c>
      <c r="BD154" s="678">
        <f t="shared" si="143"/>
        <v>0</v>
      </c>
      <c r="BE154" s="679">
        <f t="shared" si="144"/>
        <v>0</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1</v>
      </c>
      <c r="L155" s="256">
        <f>IF($C$5&lt;3000,(Bron!H144*$C$5)+Bron!I144,(Bron!M144*$C$5)+Bron!N144)</f>
        <v>2855.1600000000003</v>
      </c>
      <c r="M155" s="256"/>
      <c r="N155" s="496">
        <f t="shared" ref="N155:N181" si="175">($C$19*P155)+($C$18*Q155)+($C$20*R155)</f>
        <v>528.67079999999999</v>
      </c>
      <c r="O155" s="497">
        <f t="shared" ref="O155:O181" si="176">IF(N155=0,"",(L155+M155)/N155)</f>
        <v>5.4006387339720678</v>
      </c>
      <c r="P155" s="257">
        <f>IF($C$5&lt;3000,$AN$32*Bron!J144,$AN$32*Bron!O144)</f>
        <v>377.62200000000001</v>
      </c>
      <c r="Q155" s="257">
        <f>IF($C$5&lt;3000,$AN$31*Bron!K144,$AN$31*Bron!P144)</f>
        <v>0</v>
      </c>
      <c r="R155" s="257">
        <f>IF($C$5&lt;3000,$AN$33*Bron!J144,$AN$33*Bron!O144)</f>
        <v>0</v>
      </c>
      <c r="S155" s="344"/>
      <c r="T155" s="258">
        <f t="shared" si="93"/>
        <v>1</v>
      </c>
      <c r="U155" s="259">
        <f t="shared" si="94"/>
        <v>0</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c r="AU155" s="676">
        <f t="shared" si="103"/>
        <v>0</v>
      </c>
      <c r="AV155" s="677">
        <f t="shared" si="104"/>
        <v>0</v>
      </c>
      <c r="AW155" s="677">
        <f t="shared" si="139"/>
        <v>0</v>
      </c>
      <c r="AX155" s="678">
        <f t="shared" si="140"/>
        <v>0</v>
      </c>
      <c r="AY155" s="679">
        <f t="shared" si="141"/>
        <v>0</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c r="B156" s="488">
        <v>112</v>
      </c>
      <c r="C156" s="489" t="s">
        <v>248</v>
      </c>
      <c r="D156" s="490" t="s">
        <v>252</v>
      </c>
      <c r="E156" s="491" t="s">
        <v>253</v>
      </c>
      <c r="F156" s="492"/>
      <c r="G156" s="493"/>
      <c r="H156" s="146" t="s">
        <v>486</v>
      </c>
      <c r="I156" s="494" t="str">
        <f t="shared" si="92"/>
        <v>ons</v>
      </c>
      <c r="J156" s="495"/>
      <c r="K156" s="151">
        <v>1</v>
      </c>
      <c r="L156" s="256"/>
      <c r="M156" s="256">
        <f>IF($C$5&lt;3000,(Bron!H145*$C$5)+Bron!I145,(Bron!M145*$C$5)+Bron!N145)</f>
        <v>0</v>
      </c>
      <c r="N156" s="496">
        <f t="shared" si="175"/>
        <v>1510.4880000000001</v>
      </c>
      <c r="O156" s="497">
        <f t="shared" si="176"/>
        <v>0</v>
      </c>
      <c r="P156" s="257">
        <f>IF($C$5&lt;3000,$AN$32*Bron!J145,$AN$32*Bron!O145)</f>
        <v>1078.92</v>
      </c>
      <c r="Q156" s="257"/>
      <c r="R156" s="257">
        <f>IF($C$5&lt;3000,$AN$33*Bron!J145,$AN$33*Bron!O145)</f>
        <v>0</v>
      </c>
      <c r="S156" s="344"/>
      <c r="T156" s="258">
        <f t="shared" si="93"/>
        <v>1</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hidden="1">
      <c r="B157" s="488">
        <v>113</v>
      </c>
      <c r="C157" s="489" t="s">
        <v>248</v>
      </c>
      <c r="D157" s="490" t="s">
        <v>493</v>
      </c>
      <c r="E157" s="491" t="s">
        <v>447</v>
      </c>
      <c r="F157" s="492"/>
      <c r="G157" s="493"/>
      <c r="H157" s="146" t="s">
        <v>97</v>
      </c>
      <c r="I157" s="494" t="str">
        <f t="shared" si="92"/>
        <v>n.v.t.</v>
      </c>
      <c r="J157" s="495"/>
      <c r="K157" s="151">
        <v>0</v>
      </c>
      <c r="L157" s="256"/>
      <c r="M157" s="256">
        <f>IF($C$5&lt;3000,(Bron!H146*$C$5)+Bron!I146,(Bron!M146*$C$5)+Bron!N146)</f>
        <v>28551.600000000002</v>
      </c>
      <c r="N157" s="496">
        <f t="shared" si="175"/>
        <v>981.81719999999996</v>
      </c>
      <c r="O157" s="497">
        <f t="shared" si="176"/>
        <v>29.080362413695749</v>
      </c>
      <c r="P157" s="257">
        <f>IF($C$5&lt;3000,$AN$32*Bron!J146,$AN$32*Bron!O146)</f>
        <v>701.298</v>
      </c>
      <c r="Q157" s="257"/>
      <c r="R157" s="257">
        <f>IF($C$5&lt;3000,$AN$33*Bron!J146,$AN$33*Bron!O146)</f>
        <v>0</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c r="B158" s="488">
        <v>114</v>
      </c>
      <c r="C158" s="489" t="s">
        <v>248</v>
      </c>
      <c r="D158" s="490" t="s">
        <v>493</v>
      </c>
      <c r="E158" s="491" t="s">
        <v>448</v>
      </c>
      <c r="F158" s="492"/>
      <c r="G158" s="493"/>
      <c r="H158" s="146" t="s">
        <v>486</v>
      </c>
      <c r="I158" s="494" t="str">
        <f t="shared" si="92"/>
        <v>ons</v>
      </c>
      <c r="J158" s="495"/>
      <c r="K158" s="151">
        <v>0</v>
      </c>
      <c r="L158" s="256"/>
      <c r="M158" s="256">
        <f>IF($C$5&lt;3000,(Bron!H147*$C$5)+Bron!I147,(Bron!M147*$C$5)+Bron!N147)</f>
        <v>15227.52</v>
      </c>
      <c r="N158" s="496">
        <f t="shared" si="175"/>
        <v>3541.9118683885708</v>
      </c>
      <c r="O158" s="497">
        <f t="shared" si="176"/>
        <v>4.2992374078827424</v>
      </c>
      <c r="P158" s="257">
        <f>IF($C$5&lt;3000,$AN$32*Bron!J147,$AN$32*Bron!O147)</f>
        <v>5124.87</v>
      </c>
      <c r="Q158" s="257">
        <f>(-P158*9.768/3.5)</f>
        <v>-14302.780045714286</v>
      </c>
      <c r="R158" s="257">
        <f>IF($C$5&lt;3000,$AN$33*Bron!J147,$AN$33*Bron!O147)</f>
        <v>0</v>
      </c>
      <c r="S158" s="344"/>
      <c r="T158" s="258">
        <f t="shared" si="93"/>
        <v>1</v>
      </c>
      <c r="U158" s="259">
        <f t="shared" si="94"/>
        <v>15227.520000000002</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v>0.4</v>
      </c>
      <c r="AU158" s="676">
        <f t="shared" si="103"/>
        <v>6091.0080000000007</v>
      </c>
      <c r="AV158" s="677">
        <f t="shared" si="104"/>
        <v>2049.9479999999999</v>
      </c>
      <c r="AW158" s="677">
        <f t="shared" si="139"/>
        <v>-5721.1120182857148</v>
      </c>
      <c r="AX158" s="678">
        <f t="shared" si="140"/>
        <v>0</v>
      </c>
      <c r="AY158" s="679">
        <f t="shared" si="141"/>
        <v>1416.7647473554284</v>
      </c>
      <c r="AZ158" s="675">
        <v>0.2</v>
      </c>
      <c r="BA158" s="676">
        <f t="shared" si="105"/>
        <v>3045.5040000000004</v>
      </c>
      <c r="BB158" s="677">
        <f t="shared" si="106"/>
        <v>1024.9739999999999</v>
      </c>
      <c r="BC158" s="677">
        <f t="shared" si="142"/>
        <v>-2860.5560091428574</v>
      </c>
      <c r="BD158" s="678">
        <f t="shared" si="143"/>
        <v>0</v>
      </c>
      <c r="BE158" s="679">
        <f t="shared" si="144"/>
        <v>708.38237367771421</v>
      </c>
      <c r="BF158" s="675">
        <v>0.2</v>
      </c>
      <c r="BG158" s="676">
        <f t="shared" si="107"/>
        <v>3045.5040000000004</v>
      </c>
      <c r="BH158" s="677">
        <f t="shared" si="108"/>
        <v>1024.9739999999999</v>
      </c>
      <c r="BI158" s="677">
        <f t="shared" si="145"/>
        <v>-2860.5560091428574</v>
      </c>
      <c r="BJ158" s="678">
        <f t="shared" si="146"/>
        <v>0</v>
      </c>
      <c r="BK158" s="679">
        <f t="shared" si="147"/>
        <v>708.38237367771421</v>
      </c>
      <c r="BL158" s="675">
        <v>0.2</v>
      </c>
      <c r="BM158" s="676">
        <f t="shared" si="109"/>
        <v>3045.5040000000004</v>
      </c>
      <c r="BN158" s="677">
        <f t="shared" si="110"/>
        <v>1024.9739999999999</v>
      </c>
      <c r="BO158" s="677">
        <f t="shared" si="148"/>
        <v>-2860.5560091428574</v>
      </c>
      <c r="BP158" s="678">
        <f t="shared" si="149"/>
        <v>0</v>
      </c>
      <c r="BQ158" s="679">
        <f t="shared" si="150"/>
        <v>708.38237367771421</v>
      </c>
      <c r="BR158" s="675"/>
      <c r="BS158" s="676">
        <f t="shared" si="111"/>
        <v>0</v>
      </c>
      <c r="BT158" s="677">
        <f t="shared" si="112"/>
        <v>0</v>
      </c>
      <c r="BU158" s="677">
        <f t="shared" si="151"/>
        <v>0</v>
      </c>
      <c r="BV158" s="678">
        <f t="shared" si="152"/>
        <v>0</v>
      </c>
      <c r="BW158" s="679">
        <f t="shared" si="153"/>
        <v>0</v>
      </c>
      <c r="BX158" s="675"/>
      <c r="BY158" s="676">
        <f t="shared" si="113"/>
        <v>0</v>
      </c>
      <c r="BZ158" s="677">
        <f t="shared" si="114"/>
        <v>0</v>
      </c>
      <c r="CA158" s="677">
        <f t="shared" si="154"/>
        <v>0</v>
      </c>
      <c r="CB158" s="678">
        <f t="shared" si="155"/>
        <v>0</v>
      </c>
      <c r="CC158" s="679">
        <f t="shared" si="156"/>
        <v>0</v>
      </c>
      <c r="CD158" s="675"/>
      <c r="CE158" s="676">
        <f t="shared" si="115"/>
        <v>0</v>
      </c>
      <c r="CF158" s="677">
        <f t="shared" si="116"/>
        <v>0</v>
      </c>
      <c r="CG158" s="677">
        <f t="shared" si="157"/>
        <v>0</v>
      </c>
      <c r="CH158" s="678">
        <f t="shared" si="158"/>
        <v>0</v>
      </c>
      <c r="CI158" s="679">
        <f t="shared" si="159"/>
        <v>0</v>
      </c>
      <c r="CJ158" s="675"/>
      <c r="CK158" s="676">
        <f t="shared" si="117"/>
        <v>0</v>
      </c>
      <c r="CL158" s="677">
        <f t="shared" si="118"/>
        <v>0</v>
      </c>
      <c r="CM158" s="677">
        <f t="shared" si="160"/>
        <v>0</v>
      </c>
      <c r="CN158" s="678">
        <f t="shared" si="161"/>
        <v>0</v>
      </c>
      <c r="CO158" s="679">
        <f t="shared" si="162"/>
        <v>0</v>
      </c>
      <c r="CP158" s="675"/>
      <c r="CQ158" s="676">
        <f t="shared" si="119"/>
        <v>0</v>
      </c>
      <c r="CR158" s="677">
        <f t="shared" si="120"/>
        <v>0</v>
      </c>
      <c r="CS158" s="677">
        <f t="shared" si="163"/>
        <v>0</v>
      </c>
      <c r="CT158" s="678">
        <f t="shared" si="164"/>
        <v>0</v>
      </c>
      <c r="CU158" s="679">
        <f t="shared" si="165"/>
        <v>0</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c r="DU158" s="676">
        <f t="shared" si="121"/>
        <v>0</v>
      </c>
      <c r="DV158" s="677">
        <f t="shared" si="122"/>
        <v>0</v>
      </c>
      <c r="DW158" s="677">
        <f t="shared" si="166"/>
        <v>0</v>
      </c>
      <c r="DX158" s="678">
        <f t="shared" si="167"/>
        <v>0</v>
      </c>
      <c r="DY158" s="679">
        <f t="shared" si="168"/>
        <v>0</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hidden="1">
      <c r="B159" s="488">
        <v>115</v>
      </c>
      <c r="C159" s="489" t="s">
        <v>248</v>
      </c>
      <c r="D159" s="490" t="s">
        <v>493</v>
      </c>
      <c r="E159" s="491" t="s">
        <v>449</v>
      </c>
      <c r="F159" s="492"/>
      <c r="G159" s="493"/>
      <c r="H159" s="146" t="s">
        <v>97</v>
      </c>
      <c r="I159" s="494" t="str">
        <f t="shared" si="92"/>
        <v>n.v.t.</v>
      </c>
      <c r="J159" s="495"/>
      <c r="K159" s="151">
        <v>0</v>
      </c>
      <c r="L159" s="256"/>
      <c r="M159" s="256">
        <f>IF($C$5&lt;3000,(Bron!H148*$C$5)+Bron!I148,(Bron!M148*$C$5)+Bron!N148)</f>
        <v>31724</v>
      </c>
      <c r="N159" s="496">
        <f t="shared" si="175"/>
        <v>2265.7319999999995</v>
      </c>
      <c r="O159" s="497">
        <f t="shared" si="176"/>
        <v>14.001655976964622</v>
      </c>
      <c r="P159" s="257">
        <f>IF($C$5&lt;3000,$AN$32*Bron!J148,$AN$32*Bron!O148)</f>
        <v>1618.3799999999999</v>
      </c>
      <c r="Q159" s="257"/>
      <c r="R159" s="257">
        <f>IF($C$5&lt;3000,$AN$33*Bron!J148,$AN$33*Bron!O148)</f>
        <v>0</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486</v>
      </c>
      <c r="I160" s="494" t="str">
        <f t="shared" si="92"/>
        <v>ons</v>
      </c>
      <c r="J160" s="495" t="s">
        <v>487</v>
      </c>
      <c r="K160" s="151">
        <v>1</v>
      </c>
      <c r="L160" s="256">
        <f>IF($C$5&lt;3000,(Bron!H149*$C$5)+Bron!I149,(Bron!M149*$C$5)+Bron!N149)</f>
        <v>17000</v>
      </c>
      <c r="M160" s="256"/>
      <c r="N160" s="496">
        <f t="shared" si="175"/>
        <v>1548.2501999999999</v>
      </c>
      <c r="O160" s="497">
        <f t="shared" si="176"/>
        <v>10.980137448068794</v>
      </c>
      <c r="P160" s="257">
        <f>IF($C$5&lt;3000,$AN$32*Bron!J149,$AN$32*Bron!O149)</f>
        <v>1105.893</v>
      </c>
      <c r="Q160" s="257">
        <f>IF($C$5&lt;3000,$AN$31*Bron!K149,$AN$31*Bron!P149)</f>
        <v>0</v>
      </c>
      <c r="R160" s="257">
        <f>IF($C$5&lt;3000,$AN$33*Bron!J149,$AN$33*Bron!O149)</f>
        <v>0</v>
      </c>
      <c r="S160" s="344"/>
      <c r="T160" s="258">
        <f t="shared" si="93"/>
        <v>1</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486</v>
      </c>
      <c r="I161" s="494" t="str">
        <f t="shared" si="92"/>
        <v>ons</v>
      </c>
      <c r="J161" s="495" t="s">
        <v>487</v>
      </c>
      <c r="K161" s="151">
        <v>1</v>
      </c>
      <c r="L161" s="256">
        <f>IF($C$5&lt;3000,(Bron!H150*$C$5)+Bron!I150,(Bron!M150*$C$5)+Bron!N150)</f>
        <v>2537.92</v>
      </c>
      <c r="M161" s="256"/>
      <c r="N161" s="496">
        <f t="shared" si="175"/>
        <v>409.012136</v>
      </c>
      <c r="O161" s="497">
        <f t="shared" si="176"/>
        <v>6.2049992570391606</v>
      </c>
      <c r="P161" s="257">
        <f>IF($C$5&lt;3000,$AN$32*Bron!J150,$AN$32*Bron!O150)</f>
        <v>0</v>
      </c>
      <c r="Q161" s="257">
        <f>IF($C$5&lt;3000,$AN$31*Bron!K150,$AN$31*Bron!P150)</f>
        <v>1610.2839999999999</v>
      </c>
      <c r="R161" s="257">
        <f>IF($C$5&lt;3000,$AN$33*Bron!J150,$AN$33*Bron!O150)</f>
        <v>0</v>
      </c>
      <c r="S161" s="344"/>
      <c r="T161" s="258">
        <f t="shared" si="93"/>
        <v>1</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0.5</v>
      </c>
      <c r="L162" s="256">
        <f>IF($C$5&lt;3000,(Bron!H151*$C$5)+Bron!I151,(Bron!M151*$C$5)+Bron!N151)</f>
        <v>34896.400000000001</v>
      </c>
      <c r="M162" s="256"/>
      <c r="N162" s="496">
        <f t="shared" si="175"/>
        <v>2516.9977600000002</v>
      </c>
      <c r="O162" s="497">
        <f t="shared" si="176"/>
        <v>13.864295214946873</v>
      </c>
      <c r="P162" s="257"/>
      <c r="Q162" s="257">
        <f>IF($C$5&lt;3000,$AN$31*Bron!K151,$AN$31*Bron!P151)</f>
        <v>9909.44</v>
      </c>
      <c r="R162" s="257">
        <f>IF($C$5&lt;3000,$AN$33*Bron!J151,$AN$33*Bron!O151)</f>
        <v>0</v>
      </c>
      <c r="S162" s="344"/>
      <c r="T162" s="258">
        <f t="shared" si="93"/>
        <v>1</v>
      </c>
      <c r="U162" s="259">
        <f t="shared" si="94"/>
        <v>17448.2</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v>0.25</v>
      </c>
      <c r="AU162" s="676">
        <f t="shared" si="103"/>
        <v>8724.1</v>
      </c>
      <c r="AV162" s="677">
        <f t="shared" si="104"/>
        <v>0</v>
      </c>
      <c r="AW162" s="677">
        <f t="shared" si="139"/>
        <v>2477.36</v>
      </c>
      <c r="AX162" s="678">
        <f t="shared" si="140"/>
        <v>0</v>
      </c>
      <c r="AY162" s="679">
        <f t="shared" si="141"/>
        <v>629.24944000000005</v>
      </c>
      <c r="AZ162" s="675">
        <v>0.25</v>
      </c>
      <c r="BA162" s="676">
        <f t="shared" si="105"/>
        <v>8724.1</v>
      </c>
      <c r="BB162" s="677">
        <f t="shared" si="106"/>
        <v>0</v>
      </c>
      <c r="BC162" s="677">
        <f t="shared" si="142"/>
        <v>2477.36</v>
      </c>
      <c r="BD162" s="678">
        <f t="shared" si="143"/>
        <v>0</v>
      </c>
      <c r="BE162" s="679">
        <f t="shared" si="144"/>
        <v>629.24944000000005</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hidden="1">
      <c r="B163" s="488">
        <v>119</v>
      </c>
      <c r="C163" s="489" t="s">
        <v>255</v>
      </c>
      <c r="D163" s="490" t="s">
        <v>258</v>
      </c>
      <c r="E163" s="491" t="s">
        <v>259</v>
      </c>
      <c r="F163" s="492"/>
      <c r="G163" s="493"/>
      <c r="H163" s="146" t="s">
        <v>97</v>
      </c>
      <c r="I163" s="494" t="str">
        <f t="shared" si="92"/>
        <v>n.v.t.</v>
      </c>
      <c r="J163" s="495" t="s">
        <v>487</v>
      </c>
      <c r="K163" s="151">
        <v>0</v>
      </c>
      <c r="L163" s="256">
        <f>IF($C$5&lt;3000,(Bron!H152*$C$5)+Bron!I152,(Bron!M152*$C$5)+Bron!N152)</f>
        <v>44413.599999999999</v>
      </c>
      <c r="M163" s="256"/>
      <c r="N163" s="496">
        <f t="shared" si="175"/>
        <v>2831.62248</v>
      </c>
      <c r="O163" s="497">
        <f t="shared" si="176"/>
        <v>15.68485923307121</v>
      </c>
      <c r="P163" s="257">
        <f>IF($C$5&lt;3000,$AN$32*Bron!J152,$AN$32*Bron!O152)</f>
        <v>0</v>
      </c>
      <c r="Q163" s="257">
        <f>IF($C$5&lt;3000,$AN$31*Bron!K152,$AN$31*Bron!P152)</f>
        <v>11148.119999999999</v>
      </c>
      <c r="R163" s="257">
        <f>IF($C$5&lt;3000,$AN$33*Bron!J152,$AN$33*Bron!O152)</f>
        <v>0</v>
      </c>
      <c r="S163" s="344"/>
      <c r="T163" s="258">
        <f t="shared" si="93"/>
        <v>0</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hidden="1">
      <c r="B164" s="488">
        <v>120</v>
      </c>
      <c r="C164" s="489" t="s">
        <v>255</v>
      </c>
      <c r="D164" s="490" t="s">
        <v>260</v>
      </c>
      <c r="E164" s="491" t="s">
        <v>261</v>
      </c>
      <c r="F164" s="492"/>
      <c r="G164" s="493"/>
      <c r="H164" s="146" t="s">
        <v>97</v>
      </c>
      <c r="I164" s="494" t="str">
        <f t="shared" si="92"/>
        <v>n.v.t.</v>
      </c>
      <c r="J164" s="495" t="s">
        <v>487</v>
      </c>
      <c r="K164" s="151">
        <v>0</v>
      </c>
      <c r="L164" s="256">
        <f>IF($C$5&lt;3000,(Bron!H153*$C$5)+Bron!I153,(Bron!M153*$C$5)+Bron!N153)</f>
        <v>34896.400000000001</v>
      </c>
      <c r="M164" s="256"/>
      <c r="N164" s="496">
        <f t="shared" si="175"/>
        <v>2516.9977600000002</v>
      </c>
      <c r="O164" s="497">
        <f t="shared" si="176"/>
        <v>13.864295214946873</v>
      </c>
      <c r="P164" s="257"/>
      <c r="Q164" s="257">
        <f>IF($C$5&lt;3000,$AN$31*Bron!K153,$AN$31*Bron!P153)</f>
        <v>9909.44</v>
      </c>
      <c r="R164" s="257">
        <f>IF($C$5&lt;3000,$AN$33*Bron!J153,$AN$33*Bron!O153)</f>
        <v>0</v>
      </c>
      <c r="S164" s="344"/>
      <c r="T164" s="258">
        <f t="shared" si="93"/>
        <v>0</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hidden="1">
      <c r="B165" s="488">
        <v>121</v>
      </c>
      <c r="C165" s="489" t="s">
        <v>255</v>
      </c>
      <c r="D165" s="490" t="s">
        <v>262</v>
      </c>
      <c r="E165" s="491" t="s">
        <v>263</v>
      </c>
      <c r="F165" s="492"/>
      <c r="G165" s="493"/>
      <c r="H165" s="146" t="s">
        <v>97</v>
      </c>
      <c r="I165" s="494" t="str">
        <f t="shared" si="92"/>
        <v>n.v.t.</v>
      </c>
      <c r="J165" s="495" t="s">
        <v>487</v>
      </c>
      <c r="K165" s="151">
        <v>0</v>
      </c>
      <c r="L165" s="256">
        <f>IF($C$5&lt;3000,(Bron!H154*$C$5)+Bron!I154,(Bron!M154*$C$5)+Bron!N154)</f>
        <v>634.48</v>
      </c>
      <c r="M165" s="256"/>
      <c r="N165" s="496">
        <f t="shared" si="175"/>
        <v>204.506068</v>
      </c>
      <c r="O165" s="497">
        <f t="shared" si="176"/>
        <v>3.1024996285195803</v>
      </c>
      <c r="P165" s="257">
        <f>IF($C$5&lt;3000,$AN$32*Bron!J154,$AN$32*Bron!O154)</f>
        <v>0</v>
      </c>
      <c r="Q165" s="257">
        <f>IF($C$5&lt;3000,$AN$31*Bron!K154,$AN$31*Bron!P154)</f>
        <v>805.14199999999994</v>
      </c>
      <c r="R165" s="257">
        <f>IF($C$5&lt;3000,$AN$33*Bron!J154,$AN$33*Bron!O154)</f>
        <v>0</v>
      </c>
      <c r="S165" s="344"/>
      <c r="T165" s="258">
        <f t="shared" si="93"/>
        <v>0</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hidden="1">
      <c r="B166" s="488">
        <v>122</v>
      </c>
      <c r="C166" s="489" t="s">
        <v>255</v>
      </c>
      <c r="D166" s="490" t="s">
        <v>264</v>
      </c>
      <c r="E166" s="491" t="s">
        <v>265</v>
      </c>
      <c r="F166" s="492"/>
      <c r="G166" s="493"/>
      <c r="H166" s="146" t="s">
        <v>97</v>
      </c>
      <c r="I166" s="494" t="str">
        <f t="shared" si="92"/>
        <v>n.v.t.</v>
      </c>
      <c r="J166" s="495" t="s">
        <v>487</v>
      </c>
      <c r="K166" s="151">
        <v>0</v>
      </c>
      <c r="L166" s="256">
        <f>IF($C$5&lt;3000,(Bron!H155*$C$5)+Bron!I155,(Bron!M155*$C$5)+Bron!N155)</f>
        <v>63448</v>
      </c>
      <c r="M166" s="256"/>
      <c r="N166" s="496">
        <f t="shared" si="175"/>
        <v>4090.1213600000001</v>
      </c>
      <c r="O166" s="497">
        <f t="shared" si="176"/>
        <v>15.5124981425979</v>
      </c>
      <c r="P166" s="257"/>
      <c r="Q166" s="257">
        <f>IF($C$5&lt;3000,$AN$31*Bron!K155,$AN$31*Bron!P155)</f>
        <v>16102.84</v>
      </c>
      <c r="R166" s="257">
        <f>IF($C$5&lt;3000,$AN$33*Bron!J155,$AN$33*Bron!O155)</f>
        <v>0</v>
      </c>
      <c r="S166" s="344"/>
      <c r="T166" s="258">
        <f t="shared" si="93"/>
        <v>0</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hidden="1">
      <c r="B167" s="488">
        <v>123</v>
      </c>
      <c r="C167" s="489" t="s">
        <v>255</v>
      </c>
      <c r="D167" s="490" t="s">
        <v>266</v>
      </c>
      <c r="E167" s="491" t="s">
        <v>267</v>
      </c>
      <c r="F167" s="492"/>
      <c r="G167" s="493"/>
      <c r="H167" s="146" t="s">
        <v>97</v>
      </c>
      <c r="I167" s="494" t="str">
        <f t="shared" si="92"/>
        <v>n.v.t.</v>
      </c>
      <c r="J167" s="495" t="s">
        <v>487</v>
      </c>
      <c r="K167" s="151">
        <v>0</v>
      </c>
      <c r="L167" s="256">
        <f>IF($C$5&lt;3000,(Bron!H156*$C$5)+Bron!I156,(Bron!M156*$C$5)+Bron!N156)</f>
        <v>50758.400000000001</v>
      </c>
      <c r="M167" s="256"/>
      <c r="N167" s="496">
        <f t="shared" si="175"/>
        <v>3146.2472000000002</v>
      </c>
      <c r="O167" s="497">
        <f t="shared" si="176"/>
        <v>16.132998068301816</v>
      </c>
      <c r="P167" s="257">
        <f>IF($C$5&lt;3000,$AN$32*Bron!J156,$AN$32*Bron!O156)</f>
        <v>0</v>
      </c>
      <c r="Q167" s="257">
        <f>IF($C$5&lt;3000,$AN$31*Bron!K156,$AN$31*Bron!P156)</f>
        <v>12386.800000000001</v>
      </c>
      <c r="R167" s="257">
        <f>IF($C$5&lt;3000,$AN$33*Bron!J156,$AN$33*Bron!O156)</f>
        <v>0</v>
      </c>
      <c r="S167" s="344"/>
      <c r="T167" s="258">
        <f t="shared" si="93"/>
        <v>0</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hidden="1">
      <c r="B168" s="488">
        <v>124</v>
      </c>
      <c r="C168" s="489" t="s">
        <v>255</v>
      </c>
      <c r="D168" s="490" t="s">
        <v>268</v>
      </c>
      <c r="E168" s="491" t="s">
        <v>269</v>
      </c>
      <c r="F168" s="492"/>
      <c r="G168" s="493"/>
      <c r="H168" s="146" t="s">
        <v>97</v>
      </c>
      <c r="I168" s="494" t="str">
        <f t="shared" si="92"/>
        <v>n.v.t.</v>
      </c>
      <c r="J168" s="495" t="s">
        <v>487</v>
      </c>
      <c r="K168" s="151">
        <v>0</v>
      </c>
      <c r="L168" s="256">
        <f>IF($C$5&lt;3000,(Bron!H157*$C$5)+Bron!I157,(Bron!M157*$C$5)+Bron!N157)</f>
        <v>7296.5199999999995</v>
      </c>
      <c r="M168" s="256"/>
      <c r="N168" s="496">
        <f t="shared" si="175"/>
        <v>487.668316</v>
      </c>
      <c r="O168" s="497">
        <f t="shared" si="176"/>
        <v>14.96205466011862</v>
      </c>
      <c r="P168" s="257">
        <f>IF($C$5&lt;3000,$AN$32*Bron!J157,$AN$32*Bron!O157)</f>
        <v>0</v>
      </c>
      <c r="Q168" s="257">
        <f>IF($C$5&lt;3000,$AN$31*Bron!K157,$AN$31*Bron!P157)</f>
        <v>1919.954</v>
      </c>
      <c r="R168" s="257">
        <f>IF($C$5&lt;3000,$AN$33*Bron!J157,$AN$33*Bron!O157)</f>
        <v>0</v>
      </c>
      <c r="S168" s="344"/>
      <c r="T168" s="258">
        <f t="shared" si="93"/>
        <v>0</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hidden="1">
      <c r="B169" s="488">
        <v>125</v>
      </c>
      <c r="C169" s="489" t="s">
        <v>255</v>
      </c>
      <c r="D169" s="490" t="s">
        <v>270</v>
      </c>
      <c r="E169" s="491" t="s">
        <v>271</v>
      </c>
      <c r="F169" s="492"/>
      <c r="G169" s="493"/>
      <c r="H169" s="146" t="s">
        <v>97</v>
      </c>
      <c r="I169" s="494" t="str">
        <f t="shared" si="92"/>
        <v>n.v.t.</v>
      </c>
      <c r="J169" s="495" t="s">
        <v>487</v>
      </c>
      <c r="K169" s="151">
        <v>0</v>
      </c>
      <c r="L169" s="256">
        <f>IF($C$5&lt;3000,(Bron!H158*$C$5)+Bron!I158,(Bron!M158*$C$5)+Bron!N158)</f>
        <v>625</v>
      </c>
      <c r="M169" s="256"/>
      <c r="N169" s="496">
        <f t="shared" si="175"/>
        <v>31.462472000000002</v>
      </c>
      <c r="O169" s="497">
        <f t="shared" si="176"/>
        <v>19.864936232601174</v>
      </c>
      <c r="P169" s="257">
        <f>IF($C$5&lt;3000,$AN$32*Bron!J158,$AN$32*Bron!O158)</f>
        <v>0</v>
      </c>
      <c r="Q169" s="257">
        <f>IF($C$5&lt;3000,$AN$31*Bron!K158,$AN$31*Bron!P158)</f>
        <v>123.86800000000001</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hidden="1">
      <c r="B170" s="488">
        <v>126</v>
      </c>
      <c r="C170" s="489" t="s">
        <v>255</v>
      </c>
      <c r="D170" s="490" t="s">
        <v>272</v>
      </c>
      <c r="E170" s="491" t="s">
        <v>273</v>
      </c>
      <c r="F170" s="492"/>
      <c r="G170" s="493"/>
      <c r="H170" s="146" t="s">
        <v>97</v>
      </c>
      <c r="I170" s="494" t="str">
        <f t="shared" si="92"/>
        <v>n.v.t.</v>
      </c>
      <c r="J170" s="495" t="s">
        <v>487</v>
      </c>
      <c r="K170" s="151">
        <v>0</v>
      </c>
      <c r="L170" s="256">
        <f>IF($C$5&lt;3000,(Bron!H159*$C$5)+Bron!I159,(Bron!M159*$C$5)+Bron!N159)</f>
        <v>650</v>
      </c>
      <c r="M170" s="256"/>
      <c r="N170" s="496">
        <f t="shared" si="175"/>
        <v>31.462472000000002</v>
      </c>
      <c r="O170" s="497">
        <f t="shared" si="176"/>
        <v>20.659533681905224</v>
      </c>
      <c r="P170" s="257">
        <f>IF($C$5&lt;3000,$AN$32*Bron!J159,$AN$32*Bron!O159)</f>
        <v>0</v>
      </c>
      <c r="Q170" s="257">
        <f>IF($C$5&lt;3000,$AN$31*Bron!K159,$AN$31*Bron!P159)</f>
        <v>123.86800000000001</v>
      </c>
      <c r="R170" s="257">
        <f>IF($C$5&lt;3000,$AN$33*Bron!J159,$AN$33*Bron!O159)</f>
        <v>0</v>
      </c>
      <c r="S170" s="344"/>
      <c r="T170" s="258">
        <f t="shared" si="93"/>
        <v>0</v>
      </c>
      <c r="U170" s="259">
        <f t="shared" si="94"/>
        <v>0</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c r="AU170" s="676">
        <f t="shared" si="103"/>
        <v>0</v>
      </c>
      <c r="AV170" s="677">
        <f t="shared" si="104"/>
        <v>0</v>
      </c>
      <c r="AW170" s="677">
        <f t="shared" si="139"/>
        <v>0</v>
      </c>
      <c r="AX170" s="678">
        <f t="shared" si="140"/>
        <v>0</v>
      </c>
      <c r="AY170" s="679">
        <f t="shared" si="141"/>
        <v>0</v>
      </c>
      <c r="AZ170" s="675"/>
      <c r="BA170" s="676">
        <f t="shared" si="105"/>
        <v>0</v>
      </c>
      <c r="BB170" s="677">
        <f t="shared" si="106"/>
        <v>0</v>
      </c>
      <c r="BC170" s="677">
        <f t="shared" si="142"/>
        <v>0</v>
      </c>
      <c r="BD170" s="678">
        <f t="shared" si="143"/>
        <v>0</v>
      </c>
      <c r="BE170" s="679">
        <f t="shared" si="144"/>
        <v>0</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hidden="1">
      <c r="B171" s="488">
        <v>127</v>
      </c>
      <c r="C171" s="489" t="s">
        <v>255</v>
      </c>
      <c r="D171" s="490" t="s">
        <v>274</v>
      </c>
      <c r="E171" s="491" t="s">
        <v>275</v>
      </c>
      <c r="F171" s="492"/>
      <c r="G171" s="493"/>
      <c r="H171" s="146" t="s">
        <v>97</v>
      </c>
      <c r="I171" s="494" t="str">
        <f t="shared" si="92"/>
        <v>n.v.t.</v>
      </c>
      <c r="J171" s="495" t="s">
        <v>487</v>
      </c>
      <c r="K171" s="151">
        <v>0</v>
      </c>
      <c r="L171" s="256">
        <f>IF($C$5&lt;3000,(Bron!H160*$C$5)+Bron!I160,(Bron!M160*$C$5)+Bron!N160)</f>
        <v>1000</v>
      </c>
      <c r="M171" s="256"/>
      <c r="N171" s="496">
        <f t="shared" si="175"/>
        <v>47.193708000000001</v>
      </c>
      <c r="O171" s="497">
        <f t="shared" si="176"/>
        <v>21.189265314774588</v>
      </c>
      <c r="P171" s="257">
        <f>IF($C$5&lt;3000,$AN$32*Bron!J160,$AN$32*Bron!O160)</f>
        <v>0</v>
      </c>
      <c r="Q171" s="257">
        <f>IF($C$5&lt;3000,$AN$31*Bron!K160,$AN$31*Bron!P160)</f>
        <v>185.80199999999999</v>
      </c>
      <c r="R171" s="257">
        <f>IF($C$5&lt;3000,$AN$33*Bron!J160,$AN$33*Bron!O160)</f>
        <v>0</v>
      </c>
      <c r="S171" s="344"/>
      <c r="T171" s="258">
        <f t="shared" si="93"/>
        <v>0</v>
      </c>
      <c r="U171" s="259">
        <f t="shared" si="94"/>
        <v>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c r="AU171" s="676">
        <f t="shared" si="103"/>
        <v>0</v>
      </c>
      <c r="AV171" s="677">
        <f t="shared" si="104"/>
        <v>0</v>
      </c>
      <c r="AW171" s="677">
        <f t="shared" si="139"/>
        <v>0</v>
      </c>
      <c r="AX171" s="678">
        <f t="shared" si="140"/>
        <v>0</v>
      </c>
      <c r="AY171" s="679">
        <f t="shared" si="141"/>
        <v>0</v>
      </c>
      <c r="AZ171" s="675"/>
      <c r="BA171" s="676">
        <f t="shared" si="105"/>
        <v>0</v>
      </c>
      <c r="BB171" s="677">
        <f t="shared" si="106"/>
        <v>0</v>
      </c>
      <c r="BC171" s="677">
        <f t="shared" si="142"/>
        <v>0</v>
      </c>
      <c r="BD171" s="678">
        <f t="shared" si="143"/>
        <v>0</v>
      </c>
      <c r="BE171" s="679">
        <f t="shared" si="144"/>
        <v>0</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hidden="1">
      <c r="B172" s="488">
        <v>128</v>
      </c>
      <c r="C172" s="489" t="s">
        <v>255</v>
      </c>
      <c r="D172" s="490" t="s">
        <v>276</v>
      </c>
      <c r="E172" s="491" t="s">
        <v>277</v>
      </c>
      <c r="F172" s="492"/>
      <c r="G172" s="493"/>
      <c r="H172" s="146" t="s">
        <v>97</v>
      </c>
      <c r="I172" s="494" t="str">
        <f t="shared" ref="I172:I215" si="177">IF(H172="X","n.v.t.",IF(H172="I","ons",IF(H172="V","verhuurder",IF(H172="H","huurder",""))))</f>
        <v>n.v.t.</v>
      </c>
      <c r="J172" s="495" t="s">
        <v>487</v>
      </c>
      <c r="K172" s="151">
        <v>0</v>
      </c>
      <c r="L172" s="256">
        <f>IF($C$5&lt;3000,(Bron!H161*$C$5)+Bron!I161,(Bron!M161*$C$5)+Bron!N161)</f>
        <v>1500</v>
      </c>
      <c r="M172" s="256"/>
      <c r="N172" s="496">
        <f t="shared" si="175"/>
        <v>188.774832</v>
      </c>
      <c r="O172" s="497">
        <f t="shared" si="176"/>
        <v>7.9459744930404703</v>
      </c>
      <c r="P172" s="257">
        <f>IF($C$5&lt;3000,$AN$32*Bron!J161,$AN$32*Bron!O161)</f>
        <v>0</v>
      </c>
      <c r="Q172" s="257">
        <f>IF($C$5&lt;3000,$AN$31*Bron!K161,$AN$31*Bron!P161)</f>
        <v>743.20799999999997</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hidden="1">
      <c r="B173" s="488">
        <v>129</v>
      </c>
      <c r="C173" s="489" t="s">
        <v>255</v>
      </c>
      <c r="D173" s="490" t="s">
        <v>278</v>
      </c>
      <c r="E173" s="491" t="s">
        <v>426</v>
      </c>
      <c r="F173" s="492"/>
      <c r="G173" s="493"/>
      <c r="H173" s="146" t="s">
        <v>97</v>
      </c>
      <c r="I173" s="494" t="str">
        <f t="shared" si="177"/>
        <v>n.v.t.</v>
      </c>
      <c r="J173" s="495"/>
      <c r="K173" s="151">
        <v>0</v>
      </c>
      <c r="L173" s="256"/>
      <c r="M173" s="256">
        <f>IF($C$5&lt;3000,(Bron!H162*$C$5)+Bron!I162,(Bron!M162*$C$5)+Bron!N162)</f>
        <v>0</v>
      </c>
      <c r="N173" s="496">
        <f t="shared" si="175"/>
        <v>204.506068</v>
      </c>
      <c r="O173" s="497">
        <f t="shared" si="176"/>
        <v>0</v>
      </c>
      <c r="P173" s="257">
        <f>IF($C$5&lt;3000,$AN$32*Bron!J162,$AN$32*Bron!O162)</f>
        <v>0</v>
      </c>
      <c r="Q173" s="257">
        <f>IF($C$5&lt;3000,$AN$31*Bron!K162,$AN$31*Bron!P162)</f>
        <v>805.14199999999994</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486</v>
      </c>
      <c r="I174" s="494" t="str">
        <f t="shared" si="177"/>
        <v>ons</v>
      </c>
      <c r="J174" s="495" t="s">
        <v>487</v>
      </c>
      <c r="K174" s="151">
        <v>0.5</v>
      </c>
      <c r="L174" s="256">
        <f>IF($C$5&lt;3000,(Bron!H163*$C$5)+Bron!I163,(Bron!M163*$C$5)+Bron!N163)</f>
        <v>41241.200000000004</v>
      </c>
      <c r="M174" s="256"/>
      <c r="N174" s="496">
        <f t="shared" si="175"/>
        <v>2516.9977600000002</v>
      </c>
      <c r="O174" s="497">
        <f t="shared" si="176"/>
        <v>16.385076163119034</v>
      </c>
      <c r="P174" s="257"/>
      <c r="Q174" s="257">
        <f>IF($C$5&lt;3000,$AN$31*Bron!K163,$AN$31*Bron!P163)</f>
        <v>9909.44</v>
      </c>
      <c r="R174" s="257">
        <f>IF($C$5&lt;3000,$AN$33*Bron!J163,$AN$33*Bron!O163)</f>
        <v>0</v>
      </c>
      <c r="S174" s="344"/>
      <c r="T174" s="258">
        <f t="shared" si="178"/>
        <v>1</v>
      </c>
      <c r="U174" s="259">
        <f t="shared" si="179"/>
        <v>20620.600000000002</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v>0.25</v>
      </c>
      <c r="AU174" s="676">
        <f t="shared" si="188"/>
        <v>10310.300000000001</v>
      </c>
      <c r="AV174" s="677">
        <f t="shared" si="189"/>
        <v>0</v>
      </c>
      <c r="AW174" s="677">
        <f t="shared" si="224"/>
        <v>2477.36</v>
      </c>
      <c r="AX174" s="678">
        <f t="shared" si="225"/>
        <v>0</v>
      </c>
      <c r="AY174" s="679">
        <f t="shared" si="226"/>
        <v>629.24944000000005</v>
      </c>
      <c r="AZ174" s="675">
        <v>0.25</v>
      </c>
      <c r="BA174" s="676">
        <f t="shared" si="190"/>
        <v>10310.300000000001</v>
      </c>
      <c r="BB174" s="677">
        <f t="shared" si="191"/>
        <v>0</v>
      </c>
      <c r="BC174" s="677">
        <f t="shared" si="227"/>
        <v>2477.36</v>
      </c>
      <c r="BD174" s="678">
        <f t="shared" si="228"/>
        <v>0</v>
      </c>
      <c r="BE174" s="679">
        <f t="shared" si="229"/>
        <v>629.24944000000005</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486</v>
      </c>
      <c r="I175" s="494" t="str">
        <f t="shared" si="177"/>
        <v>ons</v>
      </c>
      <c r="J175" s="495"/>
      <c r="K175" s="151">
        <v>0</v>
      </c>
      <c r="L175" s="256"/>
      <c r="M175" s="256">
        <f>IF($C$5&lt;3000,(Bron!H164*$C$5)+Bron!I164,(Bron!M164*$C$5)+Bron!N164)</f>
        <v>0</v>
      </c>
      <c r="N175" s="496">
        <f t="shared" si="175"/>
        <v>188.774832</v>
      </c>
      <c r="O175" s="497">
        <f t="shared" si="176"/>
        <v>0</v>
      </c>
      <c r="P175" s="257"/>
      <c r="Q175" s="257">
        <f>IF($C$5&lt;3000,$AN$31*Bron!K164,$AN$31*Bron!P164)</f>
        <v>743.20799999999997</v>
      </c>
      <c r="R175" s="257">
        <f>IF($C$5&lt;3000,$AN$33*Bron!J164,$AN$33*Bron!O164)</f>
        <v>0</v>
      </c>
      <c r="S175" s="344"/>
      <c r="T175" s="258">
        <f t="shared" si="178"/>
        <v>1</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v>0.5</v>
      </c>
      <c r="AU175" s="676">
        <f t="shared" si="188"/>
        <v>0</v>
      </c>
      <c r="AV175" s="677">
        <f t="shared" si="189"/>
        <v>0</v>
      </c>
      <c r="AW175" s="677">
        <f t="shared" si="224"/>
        <v>371.60399999999998</v>
      </c>
      <c r="AX175" s="678">
        <f t="shared" si="225"/>
        <v>0</v>
      </c>
      <c r="AY175" s="679">
        <f t="shared" si="226"/>
        <v>94.387416000000002</v>
      </c>
      <c r="AZ175" s="675">
        <v>0.5</v>
      </c>
      <c r="BA175" s="676">
        <f t="shared" si="190"/>
        <v>0</v>
      </c>
      <c r="BB175" s="677">
        <f t="shared" si="191"/>
        <v>0</v>
      </c>
      <c r="BC175" s="677">
        <f t="shared" si="227"/>
        <v>371.60399999999998</v>
      </c>
      <c r="BD175" s="678">
        <f t="shared" si="228"/>
        <v>0</v>
      </c>
      <c r="BE175" s="679">
        <f t="shared" si="229"/>
        <v>94.387416000000002</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486</v>
      </c>
      <c r="I176" s="494" t="str">
        <f t="shared" si="177"/>
        <v>ons</v>
      </c>
      <c r="J176" s="495"/>
      <c r="K176" s="151">
        <v>0</v>
      </c>
      <c r="L176" s="256"/>
      <c r="M176" s="256">
        <f>IF($C$5&lt;3000,(Bron!H165*$C$5)+Bron!I165,(Bron!M165*$C$5)+Bron!N165)</f>
        <v>0</v>
      </c>
      <c r="N176" s="496">
        <f t="shared" si="175"/>
        <v>200.31032262685719</v>
      </c>
      <c r="O176" s="497">
        <f t="shared" si="176"/>
        <v>0</v>
      </c>
      <c r="P176" s="257">
        <f>IF($C$5&lt;3000,$AN$32*Bron!J165,$AN$32*Bron!O165)</f>
        <v>0</v>
      </c>
      <c r="Q176" s="257">
        <f>IF($C$5&lt;3000,$AN$31*Bron!K165,$AN$31*Bron!P165)</f>
        <v>788.62331742857157</v>
      </c>
      <c r="R176" s="257">
        <f>IF($C$5&lt;3000,$AN$33*Bron!J165,$AN$33*Bron!O165)</f>
        <v>0</v>
      </c>
      <c r="S176" s="344"/>
      <c r="T176" s="258">
        <f t="shared" si="178"/>
        <v>1</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v>0.5</v>
      </c>
      <c r="AU176" s="676">
        <f t="shared" si="188"/>
        <v>0</v>
      </c>
      <c r="AV176" s="677">
        <f t="shared" si="189"/>
        <v>0</v>
      </c>
      <c r="AW176" s="677">
        <f t="shared" si="224"/>
        <v>394.31165871428578</v>
      </c>
      <c r="AX176" s="678">
        <f t="shared" si="225"/>
        <v>0</v>
      </c>
      <c r="AY176" s="679">
        <f t="shared" si="226"/>
        <v>100.15516131342859</v>
      </c>
      <c r="AZ176" s="675">
        <v>0.5</v>
      </c>
      <c r="BA176" s="676">
        <f t="shared" si="190"/>
        <v>0</v>
      </c>
      <c r="BB176" s="677">
        <f t="shared" si="191"/>
        <v>0</v>
      </c>
      <c r="BC176" s="677">
        <f t="shared" si="227"/>
        <v>394.31165871428578</v>
      </c>
      <c r="BD176" s="678">
        <f t="shared" si="228"/>
        <v>0</v>
      </c>
      <c r="BE176" s="679">
        <f t="shared" si="229"/>
        <v>100.15516131342859</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hidden="1">
      <c r="B177" s="488">
        <v>133</v>
      </c>
      <c r="C177" s="489" t="s">
        <v>283</v>
      </c>
      <c r="D177" s="490" t="s">
        <v>285</v>
      </c>
      <c r="E177" s="491" t="s">
        <v>286</v>
      </c>
      <c r="F177" s="492"/>
      <c r="G177" s="493"/>
      <c r="H177" s="146" t="s">
        <v>97</v>
      </c>
      <c r="I177" s="494" t="str">
        <f t="shared" si="177"/>
        <v>n.v.t.</v>
      </c>
      <c r="J177" s="495"/>
      <c r="K177" s="151">
        <v>0</v>
      </c>
      <c r="L177" s="256"/>
      <c r="M177" s="256">
        <f>IF($C$5&lt;3000,(Bron!H166*$C$5)+Bron!I166,(Bron!M166*$C$5)+Bron!N166)</f>
        <v>0</v>
      </c>
      <c r="N177" s="496">
        <f t="shared" si="175"/>
        <v>204.506068</v>
      </c>
      <c r="O177" s="497">
        <f t="shared" si="176"/>
        <v>0</v>
      </c>
      <c r="P177" s="257">
        <f>IF($C$5&lt;3000,$AN$32*Bron!J166,$AN$32*Bron!O166)</f>
        <v>0</v>
      </c>
      <c r="Q177" s="257">
        <f>IF($C$5&lt;3000,$AN$31*Bron!K166,$AN$31*Bron!P166)</f>
        <v>805.14199999999994</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486</v>
      </c>
      <c r="I178" s="494" t="str">
        <f t="shared" si="177"/>
        <v>ons</v>
      </c>
      <c r="J178" s="495"/>
      <c r="K178" s="151">
        <v>0</v>
      </c>
      <c r="L178" s="256"/>
      <c r="M178" s="256">
        <f>IF($C$5&lt;3000,(Bron!H167*$C$5)+Bron!I167,(Bron!M167*$C$5)+Bron!N167)</f>
        <v>0</v>
      </c>
      <c r="N178" s="496">
        <f t="shared" si="175"/>
        <v>204.506068</v>
      </c>
      <c r="O178" s="497">
        <f t="shared" si="176"/>
        <v>0</v>
      </c>
      <c r="P178" s="257">
        <f>IF($C$5&lt;3000,$AN$32*Bron!J167,$AN$32*Bron!O167)</f>
        <v>0</v>
      </c>
      <c r="Q178" s="257">
        <f>IF($C$5&lt;3000,$AN$31*Bron!K167,$AN$31*Bron!P167)</f>
        <v>805.14199999999994</v>
      </c>
      <c r="R178" s="257">
        <f>IF($C$5&lt;3000,$AN$33*Bron!J167,$AN$33*Bron!O167)</f>
        <v>0</v>
      </c>
      <c r="S178" s="344"/>
      <c r="T178" s="258">
        <f t="shared" si="178"/>
        <v>1</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v>0.5</v>
      </c>
      <c r="AU178" s="676">
        <f t="shared" si="188"/>
        <v>0</v>
      </c>
      <c r="AV178" s="677">
        <f t="shared" si="189"/>
        <v>0</v>
      </c>
      <c r="AW178" s="677">
        <f t="shared" si="224"/>
        <v>402.57099999999997</v>
      </c>
      <c r="AX178" s="678">
        <f t="shared" si="225"/>
        <v>0</v>
      </c>
      <c r="AY178" s="679">
        <f t="shared" si="226"/>
        <v>102.253034</v>
      </c>
      <c r="AZ178" s="675">
        <v>0.5</v>
      </c>
      <c r="BA178" s="676">
        <f t="shared" si="190"/>
        <v>0</v>
      </c>
      <c r="BB178" s="677">
        <f t="shared" si="191"/>
        <v>0</v>
      </c>
      <c r="BC178" s="677">
        <f t="shared" si="227"/>
        <v>402.57099999999997</v>
      </c>
      <c r="BD178" s="678">
        <f t="shared" si="228"/>
        <v>0</v>
      </c>
      <c r="BE178" s="679">
        <f t="shared" si="229"/>
        <v>102.253034</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hidden="1">
      <c r="B179" s="488">
        <v>135</v>
      </c>
      <c r="C179" s="489" t="s">
        <v>283</v>
      </c>
      <c r="D179" s="490" t="s">
        <v>289</v>
      </c>
      <c r="E179" s="491" t="s">
        <v>290</v>
      </c>
      <c r="F179" s="492"/>
      <c r="G179" s="493"/>
      <c r="H179" s="146" t="s">
        <v>97</v>
      </c>
      <c r="I179" s="494" t="str">
        <f t="shared" si="177"/>
        <v>n.v.t.</v>
      </c>
      <c r="J179" s="495"/>
      <c r="K179" s="151">
        <v>0</v>
      </c>
      <c r="L179" s="256"/>
      <c r="M179" s="256">
        <f>IF($C$5&lt;3000,(Bron!H168*$C$5)+Bron!I168,(Bron!M168*$C$5)+Bron!N168)</f>
        <v>0</v>
      </c>
      <c r="N179" s="496">
        <f t="shared" si="175"/>
        <v>204.506068</v>
      </c>
      <c r="O179" s="497">
        <f t="shared" si="176"/>
        <v>0</v>
      </c>
      <c r="P179" s="257">
        <f>IF($C$5&lt;3000,$AN$32*Bron!J168,$AN$32*Bron!O168)</f>
        <v>0</v>
      </c>
      <c r="Q179" s="257">
        <f>IF($C$5&lt;3000,$AN$31*Bron!K168,$AN$31*Bron!P168)</f>
        <v>805.14199999999994</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493</v>
      </c>
      <c r="E180" s="491" t="s">
        <v>691</v>
      </c>
      <c r="F180" s="492"/>
      <c r="G180" s="493"/>
      <c r="H180" s="146" t="s">
        <v>486</v>
      </c>
      <c r="I180" s="494" t="str">
        <f t="shared" si="177"/>
        <v>ons</v>
      </c>
      <c r="J180" s="495" t="s">
        <v>487</v>
      </c>
      <c r="K180" s="151">
        <v>0</v>
      </c>
      <c r="L180" s="256">
        <f>IF($C$5&lt;3000,(Bron!H169*$C$5/$C$6*0.5)+Bron!I169,(Bron!M169*$C$5/$C$6*0.5)+Bron!N169)</f>
        <v>352136.4</v>
      </c>
      <c r="M180" s="260"/>
      <c r="N180" s="496">
        <f t="shared" si="175"/>
        <v>77758.696400000015</v>
      </c>
      <c r="O180" s="497">
        <f t="shared" si="176"/>
        <v>4.5285790053445387</v>
      </c>
      <c r="P180" s="257"/>
      <c r="Q180" s="257">
        <f>IF($C$5&lt;3000,(+$C$5/$C$6*0.5*Bron!K169),(+$C$5/$C$6*0.5*Bron!P169))</f>
        <v>306136.60000000003</v>
      </c>
      <c r="R180" s="257">
        <f>IF($C$5&lt;3000,$AN$33*Bron!J169,$AN$33*Bron!O169)</f>
        <v>0</v>
      </c>
      <c r="S180" s="344" t="s">
        <v>460</v>
      </c>
      <c r="T180" s="258">
        <f t="shared" si="178"/>
        <v>0.125</v>
      </c>
      <c r="U180" s="259">
        <f t="shared" si="179"/>
        <v>44017.05</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c r="AU180" s="676">
        <f t="shared" si="188"/>
        <v>0</v>
      </c>
      <c r="AV180" s="677">
        <f t="shared" si="189"/>
        <v>0</v>
      </c>
      <c r="AW180" s="677">
        <f t="shared" si="224"/>
        <v>0</v>
      </c>
      <c r="AX180" s="678">
        <f t="shared" si="225"/>
        <v>0</v>
      </c>
      <c r="AY180" s="679">
        <f t="shared" si="226"/>
        <v>0</v>
      </c>
      <c r="AZ180" s="675"/>
      <c r="BA180" s="676">
        <f t="shared" si="190"/>
        <v>0</v>
      </c>
      <c r="BB180" s="677">
        <f t="shared" si="191"/>
        <v>0</v>
      </c>
      <c r="BC180" s="677">
        <f t="shared" si="227"/>
        <v>0</v>
      </c>
      <c r="BD180" s="678">
        <f t="shared" si="228"/>
        <v>0</v>
      </c>
      <c r="BE180" s="679">
        <f t="shared" si="229"/>
        <v>0</v>
      </c>
      <c r="BF180" s="675">
        <v>0.125</v>
      </c>
      <c r="BG180" s="676">
        <f t="shared" si="192"/>
        <v>44017.05</v>
      </c>
      <c r="BH180" s="677">
        <f t="shared" si="193"/>
        <v>0</v>
      </c>
      <c r="BI180" s="677">
        <f t="shared" si="230"/>
        <v>38267.075000000004</v>
      </c>
      <c r="BJ180" s="678">
        <f t="shared" si="231"/>
        <v>0</v>
      </c>
      <c r="BK180" s="679">
        <f t="shared" si="232"/>
        <v>9719.8370500000019</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hidden="1">
      <c r="B181" s="488">
        <v>137</v>
      </c>
      <c r="C181" s="489" t="s">
        <v>211</v>
      </c>
      <c r="D181" s="490" t="s">
        <v>493</v>
      </c>
      <c r="E181" s="491" t="s">
        <v>491</v>
      </c>
      <c r="F181" s="492"/>
      <c r="G181" s="493"/>
      <c r="H181" s="146" t="s">
        <v>97</v>
      </c>
      <c r="I181" s="494" t="str">
        <f t="shared" si="177"/>
        <v>n.v.t.</v>
      </c>
      <c r="J181" s="495" t="s">
        <v>487</v>
      </c>
      <c r="K181" s="151">
        <v>0</v>
      </c>
      <c r="L181" s="256">
        <f>IF($C$5&lt;3000,(Bron!H170*$C$5)+Bron!I170,(Bron!M170*$C$5)+Bron!N170)</f>
        <v>47586</v>
      </c>
      <c r="M181" s="260"/>
      <c r="N181" s="496">
        <f t="shared" si="175"/>
        <v>1887.7483199999999</v>
      </c>
      <c r="O181" s="497">
        <f t="shared" si="176"/>
        <v>25.20780948172159</v>
      </c>
      <c r="P181" s="257"/>
      <c r="Q181" s="257">
        <f>IF($C$5&lt;3000,$AN$31*Bron!K170,$AN$31*Bron!P170)</f>
        <v>7432.08</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hidden="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hidden="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hidden="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hidden="1">
      <c r="B185" s="488">
        <v>141</v>
      </c>
      <c r="C185" s="489" t="s">
        <v>336</v>
      </c>
      <c r="D185" s="490" t="s">
        <v>335</v>
      </c>
      <c r="E185" s="491" t="s">
        <v>337</v>
      </c>
      <c r="F185" s="492"/>
      <c r="G185" s="493"/>
      <c r="H185" s="146" t="s">
        <v>97</v>
      </c>
      <c r="I185" s="494" t="str">
        <f t="shared" si="177"/>
        <v>n.v.t.</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hidden="1">
      <c r="B186" s="488">
        <v>142</v>
      </c>
      <c r="C186" s="489" t="s">
        <v>336</v>
      </c>
      <c r="D186" s="490" t="s">
        <v>338</v>
      </c>
      <c r="E186" s="491" t="s">
        <v>428</v>
      </c>
      <c r="F186" s="492"/>
      <c r="G186" s="493"/>
      <c r="H186" s="146" t="s">
        <v>97</v>
      </c>
      <c r="I186" s="494" t="str">
        <f t="shared" si="177"/>
        <v>n.v.t.</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hidden="1">
      <c r="B187" s="488">
        <v>143</v>
      </c>
      <c r="C187" s="489" t="s">
        <v>336</v>
      </c>
      <c r="D187" s="490" t="s">
        <v>339</v>
      </c>
      <c r="E187" s="491" t="s">
        <v>340</v>
      </c>
      <c r="F187" s="492"/>
      <c r="G187" s="493"/>
      <c r="H187" s="146" t="s">
        <v>97</v>
      </c>
      <c r="I187" s="494" t="str">
        <f t="shared" si="177"/>
        <v>n.v.t.</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hidden="1">
      <c r="B188" s="488">
        <v>144</v>
      </c>
      <c r="C188" s="489" t="s">
        <v>336</v>
      </c>
      <c r="D188" s="490" t="s">
        <v>341</v>
      </c>
      <c r="E188" s="491" t="s">
        <v>342</v>
      </c>
      <c r="F188" s="492"/>
      <c r="G188" s="493"/>
      <c r="H188" s="146" t="s">
        <v>97</v>
      </c>
      <c r="I188" s="494" t="str">
        <f t="shared" si="177"/>
        <v>n.v.t.</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hidden="1">
      <c r="B189" s="488">
        <v>145</v>
      </c>
      <c r="C189" s="489" t="s">
        <v>336</v>
      </c>
      <c r="D189" s="490" t="s">
        <v>343</v>
      </c>
      <c r="E189" s="491" t="s">
        <v>429</v>
      </c>
      <c r="F189" s="492"/>
      <c r="G189" s="493"/>
      <c r="H189" s="146" t="s">
        <v>97</v>
      </c>
      <c r="I189" s="494" t="str">
        <f t="shared" si="177"/>
        <v>n.v.t.</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hidden="1">
      <c r="B190" s="488">
        <v>146</v>
      </c>
      <c r="C190" s="489" t="s">
        <v>336</v>
      </c>
      <c r="D190" s="490" t="s">
        <v>344</v>
      </c>
      <c r="E190" s="491" t="s">
        <v>345</v>
      </c>
      <c r="F190" s="492"/>
      <c r="G190" s="493"/>
      <c r="H190" s="146" t="s">
        <v>97</v>
      </c>
      <c r="I190" s="494" t="str">
        <f t="shared" si="177"/>
        <v>n.v.t.</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hidden="1">
      <c r="B191" s="488">
        <v>147</v>
      </c>
      <c r="C191" s="489" t="s">
        <v>336</v>
      </c>
      <c r="D191" s="490" t="s">
        <v>346</v>
      </c>
      <c r="E191" s="491" t="s">
        <v>430</v>
      </c>
      <c r="F191" s="492"/>
      <c r="G191" s="493"/>
      <c r="H191" s="146" t="s">
        <v>97</v>
      </c>
      <c r="I191" s="494" t="str">
        <f t="shared" si="177"/>
        <v>n.v.t.</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hidden="1">
      <c r="B192" s="488">
        <v>148</v>
      </c>
      <c r="C192" s="489" t="s">
        <v>336</v>
      </c>
      <c r="D192" s="490" t="s">
        <v>347</v>
      </c>
      <c r="E192" s="491" t="s">
        <v>431</v>
      </c>
      <c r="F192" s="492"/>
      <c r="G192" s="493"/>
      <c r="H192" s="146" t="s">
        <v>97</v>
      </c>
      <c r="I192" s="494" t="str">
        <f t="shared" si="177"/>
        <v>n.v.t.</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hidden="1">
      <c r="B193" s="488">
        <v>149</v>
      </c>
      <c r="C193" s="489" t="s">
        <v>336</v>
      </c>
      <c r="D193" s="490" t="s">
        <v>348</v>
      </c>
      <c r="E193" s="491" t="s">
        <v>349</v>
      </c>
      <c r="F193" s="492"/>
      <c r="G193" s="493"/>
      <c r="H193" s="146" t="s">
        <v>97</v>
      </c>
      <c r="I193" s="494" t="str">
        <f t="shared" si="177"/>
        <v>n.v.t.</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hidden="1">
      <c r="B194" s="488">
        <v>150</v>
      </c>
      <c r="C194" s="489" t="s">
        <v>351</v>
      </c>
      <c r="D194" s="490" t="s">
        <v>350</v>
      </c>
      <c r="E194" s="491" t="s">
        <v>432</v>
      </c>
      <c r="F194" s="492"/>
      <c r="G194" s="493"/>
      <c r="H194" s="146" t="s">
        <v>97</v>
      </c>
      <c r="I194" s="494" t="str">
        <f t="shared" si="177"/>
        <v>n.v.t.</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hidden="1">
      <c r="B195" s="488">
        <v>151</v>
      </c>
      <c r="C195" s="489" t="s">
        <v>351</v>
      </c>
      <c r="D195" s="490" t="s">
        <v>352</v>
      </c>
      <c r="E195" s="491" t="s">
        <v>353</v>
      </c>
      <c r="F195" s="492"/>
      <c r="G195" s="493"/>
      <c r="H195" s="146" t="s">
        <v>97</v>
      </c>
      <c r="I195" s="494" t="str">
        <f t="shared" si="177"/>
        <v>n.v.t.</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hidden="1">
      <c r="B196" s="488">
        <v>152</v>
      </c>
      <c r="C196" s="489" t="s">
        <v>351</v>
      </c>
      <c r="D196" s="490" t="s">
        <v>354</v>
      </c>
      <c r="E196" s="491" t="s">
        <v>355</v>
      </c>
      <c r="F196" s="492"/>
      <c r="G196" s="493"/>
      <c r="H196" s="146" t="s">
        <v>97</v>
      </c>
      <c r="I196" s="494" t="str">
        <f t="shared" si="177"/>
        <v>n.v.t.</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hidden="1">
      <c r="B197" s="488">
        <v>153</v>
      </c>
      <c r="C197" s="489" t="s">
        <v>351</v>
      </c>
      <c r="D197" s="490" t="s">
        <v>356</v>
      </c>
      <c r="E197" s="491" t="s">
        <v>357</v>
      </c>
      <c r="F197" s="492"/>
      <c r="G197" s="493"/>
      <c r="H197" s="146" t="s">
        <v>97</v>
      </c>
      <c r="I197" s="494" t="str">
        <f t="shared" si="177"/>
        <v>n.v.t.</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hidden="1">
      <c r="B198" s="488">
        <v>154</v>
      </c>
      <c r="C198" s="489" t="s">
        <v>351</v>
      </c>
      <c r="D198" s="490" t="s">
        <v>358</v>
      </c>
      <c r="E198" s="491" t="s">
        <v>359</v>
      </c>
      <c r="F198" s="492"/>
      <c r="G198" s="493"/>
      <c r="H198" s="146" t="s">
        <v>97</v>
      </c>
      <c r="I198" s="494" t="str">
        <f t="shared" si="177"/>
        <v>n.v.t.</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hidden="1">
      <c r="B199" s="488">
        <v>155</v>
      </c>
      <c r="C199" s="489" t="s">
        <v>351</v>
      </c>
      <c r="D199" s="490" t="s">
        <v>360</v>
      </c>
      <c r="E199" s="491" t="s">
        <v>450</v>
      </c>
      <c r="F199" s="492"/>
      <c r="G199" s="493"/>
      <c r="H199" s="146" t="s">
        <v>97</v>
      </c>
      <c r="I199" s="494" t="str">
        <f t="shared" si="177"/>
        <v>n.v.t.</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hidden="1">
      <c r="B200" s="488">
        <v>156</v>
      </c>
      <c r="C200" s="489" t="s">
        <v>351</v>
      </c>
      <c r="D200" s="490" t="s">
        <v>361</v>
      </c>
      <c r="E200" s="491" t="s">
        <v>433</v>
      </c>
      <c r="F200" s="492"/>
      <c r="G200" s="493"/>
      <c r="H200" s="146" t="s">
        <v>97</v>
      </c>
      <c r="I200" s="494" t="str">
        <f t="shared" si="177"/>
        <v>n.v.t.</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hidden="1">
      <c r="B201" s="488">
        <v>157</v>
      </c>
      <c r="C201" s="489" t="s">
        <v>351</v>
      </c>
      <c r="D201" s="490" t="s">
        <v>362</v>
      </c>
      <c r="E201" s="491" t="s">
        <v>434</v>
      </c>
      <c r="F201" s="492"/>
      <c r="G201" s="493"/>
      <c r="H201" s="146" t="s">
        <v>97</v>
      </c>
      <c r="I201" s="494" t="str">
        <f t="shared" si="177"/>
        <v>n.v.t.</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hidden="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hidden="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hidden="1">
      <c r="B204" s="488">
        <v>160</v>
      </c>
      <c r="C204" s="489" t="s">
        <v>368</v>
      </c>
      <c r="D204" s="490" t="s">
        <v>367</v>
      </c>
      <c r="E204" s="491" t="s">
        <v>369</v>
      </c>
      <c r="F204" s="492"/>
      <c r="G204" s="493"/>
      <c r="H204" s="146" t="s">
        <v>97</v>
      </c>
      <c r="I204" s="494" t="str">
        <f t="shared" si="177"/>
        <v>n.v.t.</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hidden="1">
      <c r="B205" s="488">
        <v>161</v>
      </c>
      <c r="C205" s="489" t="s">
        <v>368</v>
      </c>
      <c r="D205" s="490" t="s">
        <v>370</v>
      </c>
      <c r="E205" s="491" t="s">
        <v>371</v>
      </c>
      <c r="F205" s="492"/>
      <c r="G205" s="493"/>
      <c r="H205" s="146" t="s">
        <v>97</v>
      </c>
      <c r="I205" s="494" t="str">
        <f t="shared" si="177"/>
        <v>n.v.t.</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hidden="1">
      <c r="B206" s="488">
        <v>162</v>
      </c>
      <c r="C206" s="489" t="s">
        <v>368</v>
      </c>
      <c r="D206" s="490" t="s">
        <v>372</v>
      </c>
      <c r="E206" s="491" t="s">
        <v>435</v>
      </c>
      <c r="F206" s="492"/>
      <c r="G206" s="493"/>
      <c r="H206" s="146" t="s">
        <v>97</v>
      </c>
      <c r="I206" s="494" t="str">
        <f t="shared" si="177"/>
        <v>n.v.t.</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hidden="1">
      <c r="B207" s="488">
        <v>163</v>
      </c>
      <c r="C207" s="489" t="s">
        <v>439</v>
      </c>
      <c r="D207" s="490" t="s">
        <v>493</v>
      </c>
      <c r="E207" s="491" t="s">
        <v>451</v>
      </c>
      <c r="F207" s="492"/>
      <c r="G207" s="493"/>
      <c r="H207" s="146" t="s">
        <v>97</v>
      </c>
      <c r="I207" s="494" t="str">
        <f t="shared" si="177"/>
        <v>n.v.t.</v>
      </c>
      <c r="J207" s="495"/>
      <c r="K207" s="151">
        <v>0</v>
      </c>
      <c r="L207" s="256"/>
      <c r="M207" s="256">
        <f>IF($C$5&lt;3000,(Bron!H196*$C$5)+Bron!I196,(Bron!M196*$C$5)+Bron!N196)</f>
        <v>0</v>
      </c>
      <c r="N207" s="496">
        <f t="shared" si="260"/>
        <v>110.118652</v>
      </c>
      <c r="O207" s="497">
        <f t="shared" si="261"/>
        <v>0</v>
      </c>
      <c r="P207" s="257"/>
      <c r="Q207" s="257">
        <f>IF($C$5&lt;3000,$AN$31*Bron!K196,$AN$31*Bron!P196)</f>
        <v>433.53800000000001</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hidden="1">
      <c r="B208" s="488">
        <v>164</v>
      </c>
      <c r="C208" s="489" t="s">
        <v>439</v>
      </c>
      <c r="D208" s="490" t="s">
        <v>493</v>
      </c>
      <c r="E208" s="491" t="s">
        <v>452</v>
      </c>
      <c r="F208" s="492"/>
      <c r="G208" s="493"/>
      <c r="H208" s="146" t="s">
        <v>97</v>
      </c>
      <c r="I208" s="494" t="str">
        <f t="shared" si="177"/>
        <v>n.v.t.</v>
      </c>
      <c r="J208" s="495"/>
      <c r="K208" s="151">
        <v>0</v>
      </c>
      <c r="L208" s="256"/>
      <c r="M208" s="256">
        <f>IF($C$5&lt;3000,(Bron!H197*$C$5)+Bron!I197,(Bron!M197*$C$5)+Bron!N197)</f>
        <v>1586.2</v>
      </c>
      <c r="N208" s="496">
        <f t="shared" si="260"/>
        <v>173.04359600000001</v>
      </c>
      <c r="O208" s="497">
        <f t="shared" si="261"/>
        <v>9.1664761751714874</v>
      </c>
      <c r="P208" s="257"/>
      <c r="Q208" s="257">
        <f>IF($C$5&lt;3000,$AN$31*Bron!K197,$AN$31*Bron!P197)</f>
        <v>681.274</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hidden="1">
      <c r="B209" s="488">
        <v>165</v>
      </c>
      <c r="C209" s="489" t="s">
        <v>439</v>
      </c>
      <c r="D209" s="490" t="s">
        <v>493</v>
      </c>
      <c r="E209" s="491" t="s">
        <v>453</v>
      </c>
      <c r="F209" s="492"/>
      <c r="G209" s="493"/>
      <c r="H209" s="146" t="s">
        <v>97</v>
      </c>
      <c r="I209" s="494" t="str">
        <f t="shared" si="177"/>
        <v>n.v.t.</v>
      </c>
      <c r="J209" s="495"/>
      <c r="K209" s="151">
        <v>0</v>
      </c>
      <c r="L209" s="256"/>
      <c r="M209" s="256">
        <f>IF($C$5&lt;3000,(Bron!H198*$C$5)+Bron!I198,(Bron!M198*$C$5)+Bron!N198)</f>
        <v>2537.92</v>
      </c>
      <c r="N209" s="496">
        <f t="shared" si="260"/>
        <v>519.13078800000005</v>
      </c>
      <c r="O209" s="497">
        <f t="shared" si="261"/>
        <v>4.8887872934247927</v>
      </c>
      <c r="P209" s="257"/>
      <c r="Q209" s="257">
        <f>IF($C$5&lt;3000,$AN$31*Bron!K198,$AN$31*Bron!P198)</f>
        <v>2043.8220000000001</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hidden="1">
      <c r="B210" s="488">
        <v>166</v>
      </c>
      <c r="C210" s="489" t="s">
        <v>439</v>
      </c>
      <c r="D210" s="490" t="s">
        <v>493</v>
      </c>
      <c r="E210" s="491" t="s">
        <v>454</v>
      </c>
      <c r="F210" s="492"/>
      <c r="G210" s="493"/>
      <c r="H210" s="146" t="s">
        <v>97</v>
      </c>
      <c r="I210" s="494" t="str">
        <f t="shared" si="177"/>
        <v>n.v.t.</v>
      </c>
      <c r="J210" s="495"/>
      <c r="K210" s="151">
        <v>0</v>
      </c>
      <c r="L210" s="256"/>
      <c r="M210" s="256">
        <f>IF($C$5&lt;3000,(Bron!H199*$C$5)+Bron!I199,(Bron!M199*$C$5)+Bron!N199)</f>
        <v>0</v>
      </c>
      <c r="N210" s="496">
        <f t="shared" si="260"/>
        <v>707.90562</v>
      </c>
      <c r="O210" s="497">
        <f t="shared" si="261"/>
        <v>0</v>
      </c>
      <c r="P210" s="257"/>
      <c r="Q210" s="257">
        <f>IF($C$5&lt;3000,$AN$31*Bron!K199,$AN$31*Bron!P199)</f>
        <v>2787.0299999999997</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486</v>
      </c>
      <c r="I211" s="494" t="str">
        <f t="shared" si="177"/>
        <v>ons</v>
      </c>
      <c r="J211" s="495" t="s">
        <v>487</v>
      </c>
      <c r="K211" s="151">
        <v>0</v>
      </c>
      <c r="L211" s="256">
        <f>IF($C$5&lt;3000,(Bron!H200*$C$5)+Bron!I200,(Bron!M200*$C$5)+Bron!N200)</f>
        <v>41241.200000000004</v>
      </c>
      <c r="M211" s="256"/>
      <c r="N211" s="496">
        <f t="shared" si="260"/>
        <v>471.93707999999998</v>
      </c>
      <c r="O211" s="497">
        <f t="shared" si="261"/>
        <v>87.387072869968193</v>
      </c>
      <c r="P211" s="257"/>
      <c r="Q211" s="257">
        <f>IF($C$5&lt;3000,$AN$31*Bron!K200,$AN$31*Bron!P200)</f>
        <v>1858.02</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486</v>
      </c>
      <c r="I212" s="494" t="str">
        <f t="shared" si="177"/>
        <v>ons</v>
      </c>
      <c r="J212" s="495" t="s">
        <v>487</v>
      </c>
      <c r="K212" s="151">
        <v>1</v>
      </c>
      <c r="L212" s="256">
        <f>IF($C$5&lt;3000,(Bron!H201*$C$5)+Bron!I201,(Bron!M201*$C$5)+Bron!N201)</f>
        <v>152275.20000000001</v>
      </c>
      <c r="M212" s="256"/>
      <c r="N212" s="496">
        <f t="shared" si="260"/>
        <v>1101.18652</v>
      </c>
      <c r="O212" s="497">
        <f t="shared" si="261"/>
        <v>138.28284058544415</v>
      </c>
      <c r="P212" s="257"/>
      <c r="Q212" s="257">
        <f>IF($C$5&lt;3000,$AN$31*Bron!K201,$AN$31*Bron!P201)</f>
        <v>4335.38</v>
      </c>
      <c r="R212" s="257">
        <f>IF($C$5&lt;3000,$AN$33*Bron!J201,$AN$33*Bron!O201)</f>
        <v>0</v>
      </c>
      <c r="S212" s="344"/>
      <c r="T212" s="258">
        <f t="shared" si="178"/>
        <v>1</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hidden="1" customHeight="1">
      <c r="B213" s="488">
        <v>169</v>
      </c>
      <c r="C213" s="489" t="s">
        <v>581</v>
      </c>
      <c r="D213" s="490" t="s">
        <v>493</v>
      </c>
      <c r="E213" s="491" t="s">
        <v>582</v>
      </c>
      <c r="F213" s="492"/>
      <c r="G213" s="493"/>
      <c r="H213" s="146" t="s">
        <v>97</v>
      </c>
      <c r="I213" s="494" t="str">
        <f t="shared" si="177"/>
        <v>n.v.t.</v>
      </c>
      <c r="J213" s="495" t="s">
        <v>487</v>
      </c>
      <c r="K213" s="151">
        <v>0</v>
      </c>
      <c r="L213" s="256">
        <f>IF($C$5&lt;3000,(Bron!H202*$C$5)+Bron!I202,(Bron!M202*$C$5)+Bron!N202)</f>
        <v>1000</v>
      </c>
      <c r="M213" s="256"/>
      <c r="N213" s="496">
        <f t="shared" si="260"/>
        <v>471.93707999999998</v>
      </c>
      <c r="O213" s="497">
        <f t="shared" si="261"/>
        <v>2.118926531477459</v>
      </c>
      <c r="P213" s="257">
        <f>IF($C$5&lt;3000,$AN$32*Bron!J202,$AN$32*Bron!O202)</f>
        <v>0</v>
      </c>
      <c r="Q213" s="257">
        <f>IF($C$5&lt;3000,$AN$31*Bron!K202,$AN$31*Bron!P202)</f>
        <v>1858.02</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hidden="1" customHeight="1">
      <c r="B214" s="488">
        <v>170</v>
      </c>
      <c r="C214" s="489" t="s">
        <v>591</v>
      </c>
      <c r="D214" s="490" t="s">
        <v>493</v>
      </c>
      <c r="E214" s="491" t="s">
        <v>592</v>
      </c>
      <c r="F214" s="492"/>
      <c r="G214" s="493"/>
      <c r="H214" s="146" t="s">
        <v>97</v>
      </c>
      <c r="I214" s="494" t="str">
        <f t="shared" si="177"/>
        <v>n.v.t.</v>
      </c>
      <c r="J214" s="495" t="s">
        <v>487</v>
      </c>
      <c r="K214" s="151">
        <v>0</v>
      </c>
      <c r="L214" s="256">
        <f>IF($C$5&lt;3000,(Bron!H203*$C$5)+Bron!I203,(Bron!M203*$C$5)+Bron!N203)</f>
        <v>1110</v>
      </c>
      <c r="M214" s="256"/>
      <c r="N214" s="496">
        <f t="shared" si="260"/>
        <v>94.387416000000002</v>
      </c>
      <c r="O214" s="497">
        <f t="shared" si="261"/>
        <v>11.760042249699897</v>
      </c>
      <c r="P214" s="257"/>
      <c r="Q214" s="257">
        <f>IF($C$5&lt;3000,$AN$31*Bron!K203,$AN$31*Bron!P203)</f>
        <v>371.60399999999998</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hidden="1" customHeight="1">
      <c r="B215" s="488">
        <v>171</v>
      </c>
      <c r="C215" s="701" t="s">
        <v>591</v>
      </c>
      <c r="D215" s="702" t="s">
        <v>493</v>
      </c>
      <c r="E215" s="703" t="s">
        <v>593</v>
      </c>
      <c r="F215" s="704"/>
      <c r="G215" s="705"/>
      <c r="H215" s="706" t="s">
        <v>97</v>
      </c>
      <c r="I215" s="707" t="str">
        <f t="shared" si="177"/>
        <v>n.v.t.</v>
      </c>
      <c r="J215" s="708"/>
      <c r="K215" s="151">
        <v>0</v>
      </c>
      <c r="L215" s="709"/>
      <c r="M215" s="709">
        <f>IF($C$5&lt;3000,(Bron!H204*$C$5)+Bron!I204,(Bron!M204*$C$5)+Bron!N204)</f>
        <v>78</v>
      </c>
      <c r="N215" s="710">
        <f t="shared" si="260"/>
        <v>94.387416000000002</v>
      </c>
      <c r="O215" s="711">
        <f t="shared" si="261"/>
        <v>0.82638134727620893</v>
      </c>
      <c r="P215" s="712"/>
      <c r="Q215" s="712">
        <f>IF($C$5&lt;3000,$AN$31*Bron!K204,$AN$31*Bron!P204)</f>
        <v>371.60399999999998</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3605</v>
      </c>
      <c r="V221" s="541">
        <f>IF($C$12&lt;V219,0,IF(V219&lt;$C$11,0,$C$4))</f>
        <v>3605</v>
      </c>
      <c r="W221" s="542"/>
      <c r="X221" s="543"/>
      <c r="Y221" s="543"/>
      <c r="Z221" s="542"/>
      <c r="AA221" s="542"/>
      <c r="AB221" s="541">
        <f>IF($C$12&lt;AB219,0,IF(AB219&lt;$C$11,0,$C$4))</f>
        <v>3605</v>
      </c>
      <c r="AC221" s="542"/>
      <c r="AD221" s="543"/>
      <c r="AE221" s="543"/>
      <c r="AF221" s="542"/>
      <c r="AG221" s="542"/>
      <c r="AH221" s="541">
        <f>IF($C$12&lt;AH219,0,IF(AH219&lt;$C$11,0,$C$4))</f>
        <v>3605</v>
      </c>
      <c r="AI221" s="542"/>
      <c r="AJ221" s="543"/>
      <c r="AK221" s="543"/>
      <c r="AL221" s="542"/>
      <c r="AM221" s="542"/>
      <c r="AN221" s="541">
        <f>IF($C$12&lt;AN219,0,IF(AN219&lt;$C$11,0,$C$4))</f>
        <v>3605</v>
      </c>
      <c r="AO221" s="542"/>
      <c r="AP221" s="543"/>
      <c r="AQ221" s="543"/>
      <c r="AR221" s="542"/>
      <c r="AS221" s="542"/>
      <c r="AT221" s="541">
        <f>IF($C$12&lt;AT219,0,IF(AT219&lt;$C$11,0,$C$4))</f>
        <v>3605</v>
      </c>
      <c r="AU221" s="542"/>
      <c r="AV221" s="543"/>
      <c r="AW221" s="543"/>
      <c r="AX221" s="542"/>
      <c r="AY221" s="542"/>
      <c r="AZ221" s="541">
        <f>IF($C$12&lt;AZ219,0,IF(AZ219&lt;$C$11,0,$C$4))</f>
        <v>3605</v>
      </c>
      <c r="BA221" s="311"/>
      <c r="BB221" s="312"/>
      <c r="BC221" s="312"/>
      <c r="BD221" s="311"/>
      <c r="BE221" s="311"/>
      <c r="BF221" s="541">
        <f>IF($C$12&lt;BF219,0,IF(BF219&lt;$C$11,0,$C$4))</f>
        <v>3605</v>
      </c>
      <c r="BG221" s="311"/>
      <c r="BH221" s="312"/>
      <c r="BI221" s="312"/>
      <c r="BJ221" s="311"/>
      <c r="BK221" s="311"/>
      <c r="BL221" s="541">
        <f>IF($C$12&lt;BL219,0,IF(BL219&lt;$C$11,0,$C$4))</f>
        <v>3605</v>
      </c>
      <c r="BM221" s="311"/>
      <c r="BN221" s="312"/>
      <c r="BO221" s="312"/>
      <c r="BP221" s="311"/>
      <c r="BQ221" s="311"/>
      <c r="BR221" s="541">
        <f>IF($C$12&lt;BR219,0,IF(BR219&lt;$C$11,0,$C$4))</f>
        <v>3605</v>
      </c>
      <c r="BS221" s="542"/>
      <c r="BT221" s="543"/>
      <c r="BU221" s="543"/>
      <c r="BV221" s="542"/>
      <c r="BW221" s="542"/>
      <c r="BX221" s="541">
        <f>IF($C$12&lt;BX219,0,IF(BX219&lt;$C$11,0,$C$4))</f>
        <v>3605</v>
      </c>
      <c r="BY221" s="311"/>
      <c r="BZ221" s="312"/>
      <c r="CA221" s="312"/>
      <c r="CB221" s="311"/>
      <c r="CC221" s="311"/>
      <c r="CD221" s="541">
        <f>IF($C$12&lt;CD219,0,IF(CD219&lt;$C$11,0,$C$4))</f>
        <v>3605</v>
      </c>
      <c r="CE221" s="311"/>
      <c r="CF221" s="312"/>
      <c r="CG221" s="312"/>
      <c r="CH221" s="311"/>
      <c r="CI221" s="311"/>
      <c r="CJ221" s="541">
        <f>IF($C$12&lt;CJ219,0,IF(CJ219&lt;$C$11,0,$C$4))</f>
        <v>3605</v>
      </c>
      <c r="CK221" s="311"/>
      <c r="CL221" s="312"/>
      <c r="CM221" s="312"/>
      <c r="CN221" s="311"/>
      <c r="CO221" s="311"/>
      <c r="CP221" s="541">
        <f>IF($C$12&lt;CP219,0,IF(CP219&lt;$C$11,0,$C$4))</f>
        <v>3605</v>
      </c>
      <c r="CQ221" s="544"/>
      <c r="CR221" s="543"/>
      <c r="CS221" s="543"/>
      <c r="CT221" s="544"/>
      <c r="CU221" s="544"/>
      <c r="CV221" s="541">
        <f>IF($C$12&lt;CV219,0,IF(CV219&lt;$C$11,0,$C$4))</f>
        <v>3605</v>
      </c>
      <c r="CW221" s="544"/>
      <c r="CX221" s="543"/>
      <c r="CY221" s="543"/>
      <c r="CZ221" s="544"/>
      <c r="DA221" s="544"/>
      <c r="DB221" s="541">
        <f>IF($C$12&lt;DB219,0,IF(DB219&lt;$C$11,0,$C$4))</f>
        <v>3605</v>
      </c>
      <c r="DC221" s="311"/>
      <c r="DD221" s="312"/>
      <c r="DE221" s="312"/>
      <c r="DF221" s="311"/>
      <c r="DG221" s="311"/>
      <c r="DH221" s="541">
        <f>IF($C$12&lt;DH219,0,IF(DH219&lt;$C$11,0,$C$4))</f>
        <v>3605</v>
      </c>
      <c r="DI221" s="311"/>
      <c r="DJ221" s="312"/>
      <c r="DK221" s="312"/>
      <c r="DL221" s="311"/>
      <c r="DM221" s="311"/>
      <c r="DN221" s="541">
        <f>IF($C$12&lt;DN219,0,IF(DN219&lt;$C$11,0,$C$4))</f>
        <v>3605</v>
      </c>
      <c r="DO221" s="311"/>
      <c r="DP221" s="312"/>
      <c r="DQ221" s="312"/>
      <c r="DR221" s="311"/>
      <c r="DS221" s="311"/>
      <c r="DT221" s="541">
        <f>IF($C$12&lt;DT219,0,IF(DT219&lt;$C$11,0,$C$4))</f>
        <v>3605</v>
      </c>
      <c r="DU221" s="311"/>
      <c r="DV221" s="312"/>
      <c r="DW221" s="312"/>
      <c r="DX221" s="311"/>
      <c r="DY221" s="311"/>
      <c r="DZ221" s="541">
        <f>IF($C$12&lt;DZ219,0,IF(DZ219&lt;$C$11,0,$C$4))</f>
        <v>3605</v>
      </c>
      <c r="EA221" s="311"/>
      <c r="EB221" s="312"/>
      <c r="EC221" s="312"/>
      <c r="ED221" s="311"/>
      <c r="EE221" s="311"/>
      <c r="EF221" s="541">
        <f>IF($C$12&lt;EF219,0,IF(EF219&lt;$C$11,0,$C$4))</f>
        <v>3605</v>
      </c>
      <c r="EG221" s="311"/>
      <c r="EH221" s="312"/>
      <c r="EI221" s="312"/>
      <c r="EJ221" s="311"/>
      <c r="EK221" s="311"/>
      <c r="EL221" s="541">
        <f>IF($C$12&lt;EL219,0,IF(EL219&lt;$C$11,0,$C$4))</f>
        <v>3605</v>
      </c>
      <c r="EM221" s="311"/>
      <c r="EN221" s="312"/>
      <c r="EO221" s="312"/>
      <c r="EP221" s="311"/>
      <c r="EQ221" s="311"/>
      <c r="ER221" s="541">
        <f>IF($C$12&lt;ER219,0,IF(ER219&lt;$C$11,0,$C$4))</f>
        <v>3605</v>
      </c>
      <c r="ES221" s="311"/>
      <c r="ET221" s="312"/>
      <c r="EU221" s="312"/>
      <c r="EV221" s="311"/>
      <c r="EW221" s="311"/>
      <c r="EX221" s="541">
        <f>IF($C$12&lt;EX219,0,IF(EX219&lt;$C$11,0,$C$4))</f>
        <v>3605</v>
      </c>
      <c r="EY221" s="311"/>
      <c r="EZ221" s="312"/>
      <c r="FA221" s="312"/>
      <c r="FB221" s="311"/>
      <c r="FC221" s="311"/>
      <c r="FD221" s="541">
        <f>IF($C$12&lt;FD219,0,IF(FD219&lt;$C$11,0,$C$4))</f>
        <v>3605</v>
      </c>
      <c r="FE221" s="311"/>
      <c r="FF221" s="312"/>
      <c r="FG221" s="312"/>
      <c r="FH221" s="311"/>
      <c r="FI221" s="311"/>
      <c r="FJ221" s="541">
        <f>IF($C$12&lt;FJ219,0,IF(FJ219&lt;$C$11,0,$C$4))</f>
        <v>3605</v>
      </c>
      <c r="FK221" s="311"/>
      <c r="FL221" s="312"/>
      <c r="FM221" s="312"/>
      <c r="FN221" s="311"/>
      <c r="FO221" s="311"/>
      <c r="FP221" s="541">
        <f>IF($C$12&lt;FP219,0,IF(FP219&lt;$C$11,0,$C$4))</f>
        <v>3605</v>
      </c>
      <c r="FQ221" s="311"/>
      <c r="FR221" s="312"/>
      <c r="FS221" s="312"/>
      <c r="FT221" s="311"/>
      <c r="FU221" s="311"/>
      <c r="FV221" s="541">
        <f>IF($C$12&lt;FV219,0,IF(FV219&lt;$C$11,0,$C$4))</f>
        <v>3605</v>
      </c>
      <c r="FW221" s="311"/>
      <c r="FX221" s="312"/>
      <c r="FY221" s="312"/>
      <c r="FZ221" s="311"/>
      <c r="GA221" s="311"/>
      <c r="GB221" s="541">
        <f>IF($C$12&lt;GB219,0,IF(GB219&lt;$C$11,0,$C$4))</f>
        <v>3605</v>
      </c>
      <c r="GC221" s="311"/>
      <c r="GD221" s="312"/>
      <c r="GE221" s="312"/>
      <c r="GF221" s="311"/>
      <c r="GG221" s="311"/>
      <c r="GH221" s="541">
        <f>IF($C$12&lt;GH219,0,IF(GH219&lt;$C$11,0,$C$4))</f>
        <v>3605</v>
      </c>
      <c r="GI221" s="311"/>
      <c r="GJ221" s="312"/>
      <c r="GK221" s="312"/>
      <c r="GL221" s="311"/>
      <c r="GM221" s="311"/>
      <c r="GN221" s="541">
        <f>IF($C$12&lt;GN219,0,IF(GN219&lt;$C$11,0,$C$4))</f>
        <v>3605</v>
      </c>
      <c r="GO221" s="311"/>
      <c r="GP221" s="312"/>
      <c r="GQ221" s="312"/>
      <c r="GR221" s="311"/>
      <c r="GS221" s="311"/>
      <c r="GT221" s="541">
        <f>IF($C$12&lt;GT219,0,IF(GT219&lt;$C$11,0,$C$4))</f>
        <v>3605</v>
      </c>
      <c r="GU221" s="311"/>
      <c r="GV221" s="312"/>
      <c r="GW221" s="312"/>
      <c r="GX221" s="311"/>
      <c r="GY221" s="311"/>
      <c r="GZ221" s="545">
        <f>IF($C$12&lt;GZ219,0,IF(GZ219&lt;$C$11,0,$C$4))</f>
        <v>3605</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3172.4</v>
      </c>
      <c r="V222" s="551">
        <f>IF($C$12&lt;V219,0,IF(V219&lt;$C$11,0,$C$5))</f>
        <v>3172.4</v>
      </c>
      <c r="W222" s="552"/>
      <c r="X222" s="553"/>
      <c r="Y222" s="553"/>
      <c r="Z222" s="552"/>
      <c r="AA222" s="552"/>
      <c r="AB222" s="551">
        <f>IF($C$12&lt;AB219,0,IF(AB219&lt;$C$11,0,$C$5))</f>
        <v>3172.4</v>
      </c>
      <c r="AC222" s="313"/>
      <c r="AD222" s="314"/>
      <c r="AE222" s="314"/>
      <c r="AF222" s="313"/>
      <c r="AG222" s="313"/>
      <c r="AH222" s="551">
        <f>IF($C$12&lt;AH219,0,IF(AH219&lt;$C$11,0,$C$5))</f>
        <v>3172.4</v>
      </c>
      <c r="AI222" s="552"/>
      <c r="AJ222" s="553"/>
      <c r="AK222" s="553"/>
      <c r="AL222" s="552"/>
      <c r="AM222" s="552"/>
      <c r="AN222" s="551">
        <f>IF($C$12&lt;AN219,0,IF(AN219&lt;$C$11,0,$C$5))</f>
        <v>3172.4</v>
      </c>
      <c r="AO222" s="552"/>
      <c r="AP222" s="553"/>
      <c r="AQ222" s="553"/>
      <c r="AR222" s="552"/>
      <c r="AS222" s="552"/>
      <c r="AT222" s="551">
        <f>IF($C$12&lt;AT219,0,IF(AT219&lt;$C$11,0,$C$5))</f>
        <v>3172.4</v>
      </c>
      <c r="AU222" s="313"/>
      <c r="AV222" s="314"/>
      <c r="AW222" s="314"/>
      <c r="AX222" s="313"/>
      <c r="AY222" s="313"/>
      <c r="AZ222" s="551">
        <f>IF($C$12&lt;AZ219,0,IF(AZ219&lt;$C$11,0,$C$5))</f>
        <v>3172.4</v>
      </c>
      <c r="BA222" s="313"/>
      <c r="BB222" s="314"/>
      <c r="BC222" s="314"/>
      <c r="BD222" s="313"/>
      <c r="BE222" s="313"/>
      <c r="BF222" s="551">
        <f>IF($C$12&lt;BF219,0,IF(BF219&lt;$C$11,0,$C$5))</f>
        <v>3172.4</v>
      </c>
      <c r="BG222" s="313"/>
      <c r="BH222" s="314"/>
      <c r="BI222" s="314"/>
      <c r="BJ222" s="313"/>
      <c r="BK222" s="313"/>
      <c r="BL222" s="551">
        <f>IF($C$12&lt;BL219,0,IF(BL219&lt;$C$11,0,$C$5))</f>
        <v>3172.4</v>
      </c>
      <c r="BM222" s="313"/>
      <c r="BN222" s="314"/>
      <c r="BO222" s="314"/>
      <c r="BP222" s="313"/>
      <c r="BQ222" s="313"/>
      <c r="BR222" s="551">
        <f>IF($C$12&lt;BR219,0,IF(BR219&lt;$C$11,0,$C$5))</f>
        <v>3172.4</v>
      </c>
      <c r="BS222" s="313"/>
      <c r="BT222" s="314"/>
      <c r="BU222" s="314"/>
      <c r="BV222" s="313"/>
      <c r="BW222" s="313"/>
      <c r="BX222" s="551">
        <f>IF($C$12&lt;BX219,0,IF(BX219&lt;$C$11,0,$C$5))</f>
        <v>3172.4</v>
      </c>
      <c r="BY222" s="313"/>
      <c r="BZ222" s="314"/>
      <c r="CA222" s="314"/>
      <c r="CB222" s="313"/>
      <c r="CC222" s="313"/>
      <c r="CD222" s="551">
        <f>IF($C$12&lt;CD219,0,IF(CD219&lt;$C$11,0,$C$5))</f>
        <v>3172.4</v>
      </c>
      <c r="CE222" s="313"/>
      <c r="CF222" s="314"/>
      <c r="CG222" s="314"/>
      <c r="CH222" s="313"/>
      <c r="CI222" s="313"/>
      <c r="CJ222" s="551">
        <f>IF($C$12&lt;CJ219,0,IF(CJ219&lt;$C$11,0,$C$5))</f>
        <v>3172.4</v>
      </c>
      <c r="CK222" s="313"/>
      <c r="CL222" s="314"/>
      <c r="CM222" s="314"/>
      <c r="CN222" s="313"/>
      <c r="CO222" s="313"/>
      <c r="CP222" s="551">
        <f>IF($C$12&lt;CP219,0,IF(CP219&lt;$C$11,0,$C$5))</f>
        <v>3172.4</v>
      </c>
      <c r="CQ222" s="313"/>
      <c r="CR222" s="314"/>
      <c r="CS222" s="314"/>
      <c r="CT222" s="313"/>
      <c r="CU222" s="313"/>
      <c r="CV222" s="551">
        <f>IF($C$12&lt;CV219,0,IF(CV219&lt;$C$11,0,$C$5))</f>
        <v>3172.4</v>
      </c>
      <c r="CW222" s="554"/>
      <c r="CX222" s="553"/>
      <c r="CY222" s="553"/>
      <c r="CZ222" s="554"/>
      <c r="DA222" s="554"/>
      <c r="DB222" s="551">
        <f>IF($C$12&lt;DB219,0,IF(DB219&lt;$C$11,0,$C$5))</f>
        <v>3172.4</v>
      </c>
      <c r="DC222" s="313"/>
      <c r="DD222" s="314"/>
      <c r="DE222" s="314"/>
      <c r="DF222" s="313"/>
      <c r="DG222" s="313"/>
      <c r="DH222" s="551">
        <f>IF($C$12&lt;DH219,0,IF(DH219&lt;$C$11,0,$C$5))</f>
        <v>3172.4</v>
      </c>
      <c r="DI222" s="313"/>
      <c r="DJ222" s="314"/>
      <c r="DK222" s="314"/>
      <c r="DL222" s="313"/>
      <c r="DM222" s="313"/>
      <c r="DN222" s="551">
        <f>IF($C$12&lt;DN219,0,IF(DN219&lt;$C$11,0,$C$5))</f>
        <v>3172.4</v>
      </c>
      <c r="DO222" s="313"/>
      <c r="DP222" s="314"/>
      <c r="DQ222" s="314"/>
      <c r="DR222" s="313"/>
      <c r="DS222" s="313"/>
      <c r="DT222" s="551">
        <f>IF($C$12&lt;DT219,0,IF(DT219&lt;$C$11,0,$C$5))</f>
        <v>3172.4</v>
      </c>
      <c r="DU222" s="313"/>
      <c r="DV222" s="314"/>
      <c r="DW222" s="314"/>
      <c r="DX222" s="313"/>
      <c r="DY222" s="313"/>
      <c r="DZ222" s="551">
        <f>IF($C$12&lt;DZ219,0,IF(DZ219&lt;$C$11,0,$C$5))</f>
        <v>3172.4</v>
      </c>
      <c r="EA222" s="313"/>
      <c r="EB222" s="314"/>
      <c r="EC222" s="314"/>
      <c r="ED222" s="313"/>
      <c r="EE222" s="313"/>
      <c r="EF222" s="551">
        <f>IF($C$12&lt;EF219,0,IF(EF219&lt;$C$11,0,$C$5))</f>
        <v>3172.4</v>
      </c>
      <c r="EG222" s="313"/>
      <c r="EH222" s="314"/>
      <c r="EI222" s="314"/>
      <c r="EJ222" s="313"/>
      <c r="EK222" s="313"/>
      <c r="EL222" s="551">
        <f>IF($C$12&lt;EL219,0,IF(EL219&lt;$C$11,0,$C$5))</f>
        <v>3172.4</v>
      </c>
      <c r="EM222" s="313"/>
      <c r="EN222" s="314"/>
      <c r="EO222" s="314"/>
      <c r="EP222" s="313"/>
      <c r="EQ222" s="313"/>
      <c r="ER222" s="551">
        <f>IF($C$12&lt;ER219,0,IF(ER219&lt;$C$11,0,$C$5))</f>
        <v>3172.4</v>
      </c>
      <c r="ES222" s="313"/>
      <c r="ET222" s="314"/>
      <c r="EU222" s="314"/>
      <c r="EV222" s="313"/>
      <c r="EW222" s="313"/>
      <c r="EX222" s="551">
        <f>IF($C$12&lt;EX219,0,IF(EX219&lt;$C$11,0,$C$5))</f>
        <v>3172.4</v>
      </c>
      <c r="EY222" s="313"/>
      <c r="EZ222" s="314"/>
      <c r="FA222" s="314"/>
      <c r="FB222" s="313"/>
      <c r="FC222" s="313"/>
      <c r="FD222" s="551">
        <f>IF($C$12&lt;FD219,0,IF(FD219&lt;$C$11,0,$C$5))</f>
        <v>3172.4</v>
      </c>
      <c r="FE222" s="313"/>
      <c r="FF222" s="314"/>
      <c r="FG222" s="314"/>
      <c r="FH222" s="313"/>
      <c r="FI222" s="313"/>
      <c r="FJ222" s="551">
        <f>IF($C$12&lt;FJ219,0,IF(FJ219&lt;$C$11,0,$C$5))</f>
        <v>3172.4</v>
      </c>
      <c r="FK222" s="313"/>
      <c r="FL222" s="314"/>
      <c r="FM222" s="314"/>
      <c r="FN222" s="313"/>
      <c r="FO222" s="313"/>
      <c r="FP222" s="551">
        <f>IF($C$12&lt;FP219,0,IF(FP219&lt;$C$11,0,$C$5))</f>
        <v>3172.4</v>
      </c>
      <c r="FQ222" s="313"/>
      <c r="FR222" s="314"/>
      <c r="FS222" s="314"/>
      <c r="FT222" s="313"/>
      <c r="FU222" s="313"/>
      <c r="FV222" s="551">
        <f>IF($C$12&lt;FV219,0,IF(FV219&lt;$C$11,0,$C$5))</f>
        <v>3172.4</v>
      </c>
      <c r="FW222" s="313"/>
      <c r="FX222" s="314"/>
      <c r="FY222" s="314"/>
      <c r="FZ222" s="313"/>
      <c r="GA222" s="313"/>
      <c r="GB222" s="551">
        <f>IF($C$12&lt;GB219,0,IF(GB219&lt;$C$11,0,$C$5))</f>
        <v>3172.4</v>
      </c>
      <c r="GC222" s="313"/>
      <c r="GD222" s="314"/>
      <c r="GE222" s="314"/>
      <c r="GF222" s="313"/>
      <c r="GG222" s="313"/>
      <c r="GH222" s="551">
        <f>IF($C$12&lt;GH219,0,IF(GH219&lt;$C$11,0,$C$5))</f>
        <v>3172.4</v>
      </c>
      <c r="GI222" s="313"/>
      <c r="GJ222" s="314"/>
      <c r="GK222" s="314"/>
      <c r="GL222" s="313"/>
      <c r="GM222" s="313"/>
      <c r="GN222" s="551">
        <f>IF($C$12&lt;GN219,0,IF(GN219&lt;$C$11,0,$C$5))</f>
        <v>3172.4</v>
      </c>
      <c r="GO222" s="313"/>
      <c r="GP222" s="314"/>
      <c r="GQ222" s="314"/>
      <c r="GR222" s="313"/>
      <c r="GS222" s="313"/>
      <c r="GT222" s="551">
        <f>IF($C$12&lt;GT219,0,IF(GT219&lt;$C$11,0,$C$5))</f>
        <v>3172.4</v>
      </c>
      <c r="GU222" s="313"/>
      <c r="GV222" s="314"/>
      <c r="GW222" s="314"/>
      <c r="GX222" s="313"/>
      <c r="GY222" s="313"/>
      <c r="GZ222" s="555">
        <f>IF($C$12&lt;GZ219,0,IF(GZ219&lt;$C$11,0,$C$5))</f>
        <v>3172.4</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40131.212000000007</v>
      </c>
      <c r="AU223" s="311"/>
      <c r="AV223" s="312"/>
      <c r="AW223" s="312"/>
      <c r="AX223" s="311"/>
      <c r="AY223" s="311"/>
      <c r="AZ223" s="563">
        <f>SUM(BA44:BA216)</f>
        <v>82587.424000000014</v>
      </c>
      <c r="BA223" s="311"/>
      <c r="BB223" s="312"/>
      <c r="BC223" s="312"/>
      <c r="BD223" s="311"/>
      <c r="BE223" s="311"/>
      <c r="BF223" s="563">
        <f>SUM(BG44:BG216)</f>
        <v>84728.793999999994</v>
      </c>
      <c r="BG223" s="311"/>
      <c r="BH223" s="312"/>
      <c r="BI223" s="312"/>
      <c r="BJ223" s="311"/>
      <c r="BK223" s="311"/>
      <c r="BL223" s="563">
        <f>SUM(BM44:BM216)</f>
        <v>32463.504000000001</v>
      </c>
      <c r="BM223" s="311"/>
      <c r="BN223" s="312"/>
      <c r="BO223" s="312"/>
      <c r="BP223" s="311"/>
      <c r="BQ223" s="311"/>
      <c r="BR223" s="563">
        <f>SUM(BS44:BS216)</f>
        <v>29418</v>
      </c>
      <c r="BS223" s="311"/>
      <c r="BT223" s="312"/>
      <c r="BU223" s="312"/>
      <c r="BV223" s="311"/>
      <c r="BW223" s="311"/>
      <c r="BX223" s="563">
        <f>SUM(BY44:BY216)</f>
        <v>0</v>
      </c>
      <c r="BY223" s="311"/>
      <c r="BZ223" s="312"/>
      <c r="CA223" s="312"/>
      <c r="CB223" s="311"/>
      <c r="CC223" s="311"/>
      <c r="CD223" s="563">
        <f>SUM(CE44:CE216)</f>
        <v>0</v>
      </c>
      <c r="CE223" s="311"/>
      <c r="CF223" s="312"/>
      <c r="CG223" s="312"/>
      <c r="CH223" s="311"/>
      <c r="CI223" s="311"/>
      <c r="CJ223" s="563">
        <f>SUM(CK44:CK216)</f>
        <v>0</v>
      </c>
      <c r="CK223" s="311"/>
      <c r="CL223" s="312"/>
      <c r="CM223" s="312"/>
      <c r="CN223" s="311"/>
      <c r="CO223" s="311"/>
      <c r="CP223" s="563">
        <f>SUM(CQ44:CQ216)</f>
        <v>0</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0</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40131.212000000007</v>
      </c>
      <c r="AU224" s="574"/>
      <c r="AV224" s="575"/>
      <c r="AW224" s="575"/>
      <c r="AX224" s="574"/>
      <c r="AY224" s="574"/>
      <c r="AZ224" s="576">
        <f>AT224+AZ223</f>
        <v>122718.63600000003</v>
      </c>
      <c r="BA224" s="315"/>
      <c r="BB224" s="316"/>
      <c r="BC224" s="316"/>
      <c r="BD224" s="315"/>
      <c r="BE224" s="315"/>
      <c r="BF224" s="576">
        <f>AZ224+BF223</f>
        <v>207447.43000000002</v>
      </c>
      <c r="BG224" s="315"/>
      <c r="BH224" s="316"/>
      <c r="BI224" s="316"/>
      <c r="BJ224" s="315"/>
      <c r="BK224" s="315"/>
      <c r="BL224" s="576">
        <f>BF224+BL223</f>
        <v>239910.93400000001</v>
      </c>
      <c r="BM224" s="315"/>
      <c r="BN224" s="316"/>
      <c r="BO224" s="316"/>
      <c r="BP224" s="315"/>
      <c r="BQ224" s="315"/>
      <c r="BR224" s="576">
        <f>BL224+BR223</f>
        <v>269328.93400000001</v>
      </c>
      <c r="BS224" s="574"/>
      <c r="BT224" s="575"/>
      <c r="BU224" s="575"/>
      <c r="BV224" s="574"/>
      <c r="BW224" s="574"/>
      <c r="BX224" s="576">
        <f>BR224+BX223</f>
        <v>269328.93400000001</v>
      </c>
      <c r="BY224" s="315"/>
      <c r="BZ224" s="316"/>
      <c r="CA224" s="316"/>
      <c r="CB224" s="315"/>
      <c r="CC224" s="315"/>
      <c r="CD224" s="576">
        <f>BX224+CD223</f>
        <v>269328.93400000001</v>
      </c>
      <c r="CE224" s="315"/>
      <c r="CF224" s="316"/>
      <c r="CG224" s="316"/>
      <c r="CH224" s="315"/>
      <c r="CI224" s="315"/>
      <c r="CJ224" s="576">
        <f>CD224+CJ223</f>
        <v>269328.93400000001</v>
      </c>
      <c r="CK224" s="315"/>
      <c r="CL224" s="316"/>
      <c r="CM224" s="316"/>
      <c r="CN224" s="315"/>
      <c r="CO224" s="315"/>
      <c r="CP224" s="576">
        <f>CJ224+CP223</f>
        <v>269328.93400000001</v>
      </c>
      <c r="CQ224" s="577"/>
      <c r="CR224" s="575"/>
      <c r="CS224" s="575"/>
      <c r="CT224" s="577"/>
      <c r="CU224" s="577"/>
      <c r="CV224" s="576">
        <f>CP224+CV223</f>
        <v>269328.93400000001</v>
      </c>
      <c r="CW224" s="577"/>
      <c r="CX224" s="575"/>
      <c r="CY224" s="575"/>
      <c r="CZ224" s="577"/>
      <c r="DA224" s="577"/>
      <c r="DB224" s="576">
        <f>CV224+DB223</f>
        <v>269328.93400000001</v>
      </c>
      <c r="DC224" s="315"/>
      <c r="DD224" s="316"/>
      <c r="DE224" s="316"/>
      <c r="DF224" s="315"/>
      <c r="DG224" s="315"/>
      <c r="DH224" s="576">
        <f>DB224+DH223</f>
        <v>269328.93400000001</v>
      </c>
      <c r="DI224" s="315"/>
      <c r="DJ224" s="316"/>
      <c r="DK224" s="316"/>
      <c r="DL224" s="315"/>
      <c r="DM224" s="315"/>
      <c r="DN224" s="576">
        <f>DH224+DN223</f>
        <v>269328.93400000001</v>
      </c>
      <c r="DO224" s="315"/>
      <c r="DP224" s="316"/>
      <c r="DQ224" s="316"/>
      <c r="DR224" s="315"/>
      <c r="DS224" s="315"/>
      <c r="DT224" s="576">
        <f>DN224+DT223</f>
        <v>269328.93400000001</v>
      </c>
      <c r="DU224" s="315"/>
      <c r="DV224" s="316"/>
      <c r="DW224" s="316"/>
      <c r="DX224" s="315"/>
      <c r="DY224" s="315"/>
      <c r="DZ224" s="576">
        <f>DT224+DZ223</f>
        <v>269328.93400000001</v>
      </c>
      <c r="EA224" s="315"/>
      <c r="EB224" s="316"/>
      <c r="EC224" s="316"/>
      <c r="ED224" s="315"/>
      <c r="EE224" s="315"/>
      <c r="EF224" s="576">
        <f>DZ224+EF223</f>
        <v>269328.93400000001</v>
      </c>
      <c r="EG224" s="315"/>
      <c r="EH224" s="316"/>
      <c r="EI224" s="316"/>
      <c r="EJ224" s="315"/>
      <c r="EK224" s="315"/>
      <c r="EL224" s="576">
        <f>EF224+EL223</f>
        <v>269328.93400000001</v>
      </c>
      <c r="EM224" s="315"/>
      <c r="EN224" s="316"/>
      <c r="EO224" s="316"/>
      <c r="EP224" s="315"/>
      <c r="EQ224" s="315"/>
      <c r="ER224" s="576">
        <f>EL224+ER223</f>
        <v>269328.93400000001</v>
      </c>
      <c r="ES224" s="315"/>
      <c r="ET224" s="316"/>
      <c r="EU224" s="316"/>
      <c r="EV224" s="315"/>
      <c r="EW224" s="315"/>
      <c r="EX224" s="576">
        <f>ER224+EX223</f>
        <v>269328.93400000001</v>
      </c>
      <c r="EY224" s="315"/>
      <c r="EZ224" s="316"/>
      <c r="FA224" s="316"/>
      <c r="FB224" s="315"/>
      <c r="FC224" s="315"/>
      <c r="FD224" s="576">
        <f>EX224+FD223</f>
        <v>269328.93400000001</v>
      </c>
      <c r="FE224" s="315"/>
      <c r="FF224" s="316"/>
      <c r="FG224" s="316"/>
      <c r="FH224" s="315"/>
      <c r="FI224" s="315"/>
      <c r="FJ224" s="576">
        <f>FD224+FJ223</f>
        <v>269328.93400000001</v>
      </c>
      <c r="FK224" s="315"/>
      <c r="FL224" s="316"/>
      <c r="FM224" s="316"/>
      <c r="FN224" s="315"/>
      <c r="FO224" s="315"/>
      <c r="FP224" s="576">
        <f>FJ224+FP223</f>
        <v>269328.93400000001</v>
      </c>
      <c r="FQ224" s="315"/>
      <c r="FR224" s="316"/>
      <c r="FS224" s="316"/>
      <c r="FT224" s="315"/>
      <c r="FU224" s="315"/>
      <c r="FV224" s="576">
        <f>FP224+FV223</f>
        <v>269328.93400000001</v>
      </c>
      <c r="FW224" s="315"/>
      <c r="FX224" s="316"/>
      <c r="FY224" s="316"/>
      <c r="FZ224" s="315"/>
      <c r="GA224" s="315"/>
      <c r="GB224" s="576">
        <f>FV224+GB223</f>
        <v>269328.93400000001</v>
      </c>
      <c r="GC224" s="315"/>
      <c r="GD224" s="316"/>
      <c r="GE224" s="316"/>
      <c r="GF224" s="315"/>
      <c r="GG224" s="315"/>
      <c r="GH224" s="576">
        <f>GB224+GH223</f>
        <v>269328.93400000001</v>
      </c>
      <c r="GI224" s="315"/>
      <c r="GJ224" s="316"/>
      <c r="GK224" s="316"/>
      <c r="GL224" s="315"/>
      <c r="GM224" s="315"/>
      <c r="GN224" s="576">
        <f>GH224+GN223</f>
        <v>269328.93400000001</v>
      </c>
      <c r="GO224" s="315"/>
      <c r="GP224" s="316"/>
      <c r="GQ224" s="316"/>
      <c r="GR224" s="315"/>
      <c r="GS224" s="315"/>
      <c r="GT224" s="576">
        <f>GN224+GT223</f>
        <v>269328.93400000001</v>
      </c>
      <c r="GU224" s="315"/>
      <c r="GV224" s="316"/>
      <c r="GW224" s="316"/>
      <c r="GX224" s="315"/>
      <c r="GY224" s="315"/>
      <c r="GZ224" s="578">
        <f>GT224+GZ223</f>
        <v>269328.93400000001</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5536.5762186688562</v>
      </c>
      <c r="AU225" s="574"/>
      <c r="AV225" s="575"/>
      <c r="AW225" s="575"/>
      <c r="AX225" s="574"/>
      <c r="AY225" s="574"/>
      <c r="AZ225" s="576">
        <f>SUM(BE44:BE216)</f>
        <v>8359.8832194393563</v>
      </c>
      <c r="BA225" s="315"/>
      <c r="BB225" s="316"/>
      <c r="BC225" s="316"/>
      <c r="BD225" s="315"/>
      <c r="BE225" s="315"/>
      <c r="BF225" s="576">
        <f>SUM(BK44:BK216)</f>
        <v>16637.98363812593</v>
      </c>
      <c r="BG225" s="315"/>
      <c r="BH225" s="316"/>
      <c r="BI225" s="316"/>
      <c r="BJ225" s="315"/>
      <c r="BK225" s="315"/>
      <c r="BL225" s="576">
        <f>SUM(BQ44:BQ216)</f>
        <v>3500.6674881259278</v>
      </c>
      <c r="BM225" s="315"/>
      <c r="BN225" s="316"/>
      <c r="BO225" s="316"/>
      <c r="BP225" s="315"/>
      <c r="BQ225" s="315"/>
      <c r="BR225" s="576">
        <f>SUM(BW44:BW216)</f>
        <v>2792.2851144482138</v>
      </c>
      <c r="BS225" s="574"/>
      <c r="BT225" s="575"/>
      <c r="BU225" s="575"/>
      <c r="BV225" s="574"/>
      <c r="BW225" s="574"/>
      <c r="BX225" s="576">
        <f>SUM(CC44:CC216)</f>
        <v>0</v>
      </c>
      <c r="BY225" s="315"/>
      <c r="BZ225" s="316"/>
      <c r="CA225" s="316"/>
      <c r="CB225" s="315"/>
      <c r="CC225" s="315"/>
      <c r="CD225" s="576">
        <f>SUM(CI44:CI216)</f>
        <v>0</v>
      </c>
      <c r="CE225" s="315"/>
      <c r="CF225" s="316"/>
      <c r="CG225" s="316"/>
      <c r="CH225" s="315"/>
      <c r="CI225" s="315"/>
      <c r="CJ225" s="576">
        <f>SUM(CO44:CO216)</f>
        <v>0</v>
      </c>
      <c r="CK225" s="315"/>
      <c r="CL225" s="316"/>
      <c r="CM225" s="316"/>
      <c r="CN225" s="315"/>
      <c r="CO225" s="315"/>
      <c r="CP225" s="576">
        <f>SUM(CU44:CU216)</f>
        <v>0</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0</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5536.5762186688589</v>
      </c>
      <c r="AU226" s="552"/>
      <c r="AV226" s="553"/>
      <c r="AW226" s="553"/>
      <c r="AX226" s="552"/>
      <c r="AY226" s="552"/>
      <c r="AZ226" s="589">
        <f>AT226+AZ251</f>
        <v>19433.03565677708</v>
      </c>
      <c r="BA226" s="313"/>
      <c r="BB226" s="314"/>
      <c r="BC226" s="314"/>
      <c r="BD226" s="313"/>
      <c r="BE226" s="313"/>
      <c r="BF226" s="589">
        <f>AZ226+BF251</f>
        <v>49967.47873301123</v>
      </c>
      <c r="BG226" s="313"/>
      <c r="BH226" s="314"/>
      <c r="BI226" s="314"/>
      <c r="BJ226" s="313"/>
      <c r="BK226" s="313"/>
      <c r="BL226" s="589">
        <f>BF226+BL251</f>
        <v>84002.589297371305</v>
      </c>
      <c r="BM226" s="313"/>
      <c r="BN226" s="314"/>
      <c r="BO226" s="314"/>
      <c r="BP226" s="313"/>
      <c r="BQ226" s="313"/>
      <c r="BR226" s="589">
        <f>BL226+BR251</f>
        <v>120829.98497617959</v>
      </c>
      <c r="BS226" s="552"/>
      <c r="BT226" s="553"/>
      <c r="BU226" s="553"/>
      <c r="BV226" s="552"/>
      <c r="BW226" s="552"/>
      <c r="BX226" s="589">
        <f>BR226+BX251</f>
        <v>157657.38065498788</v>
      </c>
      <c r="BY226" s="313"/>
      <c r="BZ226" s="314"/>
      <c r="CA226" s="314"/>
      <c r="CB226" s="313"/>
      <c r="CC226" s="313"/>
      <c r="CD226" s="589">
        <f>BX226+CD251</f>
        <v>194484.77633379615</v>
      </c>
      <c r="CE226" s="313"/>
      <c r="CF226" s="314"/>
      <c r="CG226" s="314"/>
      <c r="CH226" s="313"/>
      <c r="CI226" s="313"/>
      <c r="CJ226" s="589">
        <f>CD226+CJ251</f>
        <v>231312.17201260442</v>
      </c>
      <c r="CK226" s="313"/>
      <c r="CL226" s="314"/>
      <c r="CM226" s="314"/>
      <c r="CN226" s="313"/>
      <c r="CO226" s="313"/>
      <c r="CP226" s="589">
        <f>CJ226+CP251</f>
        <v>268139.5676914127</v>
      </c>
      <c r="CQ226" s="554"/>
      <c r="CR226" s="553"/>
      <c r="CS226" s="553"/>
      <c r="CT226" s="554"/>
      <c r="CU226" s="554"/>
      <c r="CV226" s="589">
        <f>CP226+CV251</f>
        <v>304966.96337022097</v>
      </c>
      <c r="CW226" s="554"/>
      <c r="CX226" s="553"/>
      <c r="CY226" s="553"/>
      <c r="CZ226" s="554"/>
      <c r="DA226" s="554"/>
      <c r="DB226" s="589">
        <f>CV226+DB251</f>
        <v>341794.35904902924</v>
      </c>
      <c r="DC226" s="313"/>
      <c r="DD226" s="314"/>
      <c r="DE226" s="314"/>
      <c r="DF226" s="313"/>
      <c r="DG226" s="313"/>
      <c r="DH226" s="589">
        <f>DB226+DH251</f>
        <v>378621.75472783751</v>
      </c>
      <c r="DI226" s="313"/>
      <c r="DJ226" s="314"/>
      <c r="DK226" s="314"/>
      <c r="DL226" s="313"/>
      <c r="DM226" s="313"/>
      <c r="DN226" s="589">
        <f>DH226+DN251</f>
        <v>415449.15040664579</v>
      </c>
      <c r="DO226" s="313"/>
      <c r="DP226" s="314"/>
      <c r="DQ226" s="314"/>
      <c r="DR226" s="313"/>
      <c r="DS226" s="313"/>
      <c r="DT226" s="590">
        <f>DN226+DT251</f>
        <v>452276.54608545406</v>
      </c>
      <c r="DU226" s="313"/>
      <c r="DV226" s="314"/>
      <c r="DW226" s="314"/>
      <c r="DX226" s="313"/>
      <c r="DY226" s="313"/>
      <c r="DZ226" s="589">
        <f>DT226+DZ251</f>
        <v>489103.94176426233</v>
      </c>
      <c r="EA226" s="313"/>
      <c r="EB226" s="314"/>
      <c r="EC226" s="314"/>
      <c r="ED226" s="313"/>
      <c r="EE226" s="313"/>
      <c r="EF226" s="589">
        <f>DZ226+EF251</f>
        <v>525931.3374430706</v>
      </c>
      <c r="EG226" s="313"/>
      <c r="EH226" s="314"/>
      <c r="EI226" s="314"/>
      <c r="EJ226" s="313"/>
      <c r="EK226" s="313"/>
      <c r="EL226" s="589">
        <f>EF226+EL251</f>
        <v>562758.73312187893</v>
      </c>
      <c r="EM226" s="313"/>
      <c r="EN226" s="314"/>
      <c r="EO226" s="314"/>
      <c r="EP226" s="313"/>
      <c r="EQ226" s="313"/>
      <c r="ER226" s="589">
        <f>EL226+ER251</f>
        <v>599586.12880068726</v>
      </c>
      <c r="ES226" s="313"/>
      <c r="ET226" s="314"/>
      <c r="EU226" s="314"/>
      <c r="EV226" s="313"/>
      <c r="EW226" s="313"/>
      <c r="EX226" s="590">
        <f>ER226+EX251</f>
        <v>636413.52447949559</v>
      </c>
      <c r="EY226" s="313"/>
      <c r="EZ226" s="314"/>
      <c r="FA226" s="314"/>
      <c r="FB226" s="313"/>
      <c r="FC226" s="313"/>
      <c r="FD226" s="589">
        <f>EX226+FD251</f>
        <v>673240.92015830392</v>
      </c>
      <c r="FE226" s="313"/>
      <c r="FF226" s="314"/>
      <c r="FG226" s="314"/>
      <c r="FH226" s="313"/>
      <c r="FI226" s="313"/>
      <c r="FJ226" s="589">
        <f>FD226+FJ251</f>
        <v>710068.31583711226</v>
      </c>
      <c r="FK226" s="313"/>
      <c r="FL226" s="314"/>
      <c r="FM226" s="314"/>
      <c r="FN226" s="313"/>
      <c r="FO226" s="313"/>
      <c r="FP226" s="589">
        <f>FJ226+FP251</f>
        <v>746895.71151592059</v>
      </c>
      <c r="FQ226" s="313"/>
      <c r="FR226" s="314"/>
      <c r="FS226" s="314"/>
      <c r="FT226" s="313"/>
      <c r="FU226" s="313"/>
      <c r="FV226" s="589">
        <f>FP226+FV251</f>
        <v>783723.10719472892</v>
      </c>
      <c r="FW226" s="313"/>
      <c r="FX226" s="314"/>
      <c r="FY226" s="314"/>
      <c r="FZ226" s="313"/>
      <c r="GA226" s="313"/>
      <c r="GB226" s="590">
        <f>FV226+GB251</f>
        <v>820550.50287353725</v>
      </c>
      <c r="GC226" s="313"/>
      <c r="GD226" s="314"/>
      <c r="GE226" s="314"/>
      <c r="GF226" s="313"/>
      <c r="GG226" s="313"/>
      <c r="GH226" s="589">
        <f>GB226+GH251</f>
        <v>857377.89855234558</v>
      </c>
      <c r="GI226" s="313"/>
      <c r="GJ226" s="314"/>
      <c r="GK226" s="314"/>
      <c r="GL226" s="313"/>
      <c r="GM226" s="313"/>
      <c r="GN226" s="589">
        <f>GH226+GN251</f>
        <v>894205.29423115391</v>
      </c>
      <c r="GO226" s="313"/>
      <c r="GP226" s="314"/>
      <c r="GQ226" s="314"/>
      <c r="GR226" s="313"/>
      <c r="GS226" s="313"/>
      <c r="GT226" s="589">
        <f>GN226+GT251</f>
        <v>931032.68990996224</v>
      </c>
      <c r="GU226" s="313"/>
      <c r="GV226" s="314"/>
      <c r="GW226" s="314"/>
      <c r="GX226" s="313"/>
      <c r="GY226" s="313"/>
      <c r="GZ226" s="591">
        <f>GT226+GZ251</f>
        <v>967860.08558877057</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3808.4646404285709</v>
      </c>
      <c r="AU228" s="542"/>
      <c r="AV228" s="543"/>
      <c r="AW228" s="543"/>
      <c r="AX228" s="542"/>
      <c r="AY228" s="542"/>
      <c r="AZ228" s="541">
        <f>SUM(BC44:BC216)</f>
        <v>-1355.5270888214263</v>
      </c>
      <c r="BA228" s="311"/>
      <c r="BB228" s="312"/>
      <c r="BC228" s="312"/>
      <c r="BD228" s="311"/>
      <c r="BE228" s="311"/>
      <c r="BF228" s="541">
        <f>SUM(BI44:BI216)</f>
        <v>25214.28125246429</v>
      </c>
      <c r="BG228" s="311"/>
      <c r="BH228" s="312"/>
      <c r="BI228" s="312"/>
      <c r="BJ228" s="311"/>
      <c r="BK228" s="311"/>
      <c r="BL228" s="541">
        <f>SUM(BO44:BO216)</f>
        <v>-13052.793747535714</v>
      </c>
      <c r="BM228" s="311"/>
      <c r="BN228" s="312"/>
      <c r="BO228" s="312"/>
      <c r="BP228" s="311"/>
      <c r="BQ228" s="311"/>
      <c r="BR228" s="541">
        <f>SUM(BU44:BU216)</f>
        <v>-10192.237738392856</v>
      </c>
      <c r="BS228" s="542"/>
      <c r="BT228" s="543"/>
      <c r="BU228" s="543"/>
      <c r="BV228" s="542"/>
      <c r="BW228" s="542"/>
      <c r="BX228" s="541">
        <f>SUM(CA44:CA216)</f>
        <v>0</v>
      </c>
      <c r="BY228" s="311"/>
      <c r="BZ228" s="312"/>
      <c r="CA228" s="312"/>
      <c r="CB228" s="311"/>
      <c r="CC228" s="311"/>
      <c r="CD228" s="541">
        <f>SUM(CG44:CG216)</f>
        <v>0</v>
      </c>
      <c r="CE228" s="311"/>
      <c r="CF228" s="312"/>
      <c r="CG228" s="312"/>
      <c r="CH228" s="311"/>
      <c r="CI228" s="311"/>
      <c r="CJ228" s="541">
        <f>SUM(CM44:CM216)</f>
        <v>0</v>
      </c>
      <c r="CK228" s="311"/>
      <c r="CL228" s="312"/>
      <c r="CM228" s="312"/>
      <c r="CN228" s="311"/>
      <c r="CO228" s="311"/>
      <c r="CP228" s="541">
        <f>SUM(CS44:CS216)</f>
        <v>0</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0</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61934</v>
      </c>
      <c r="V229" s="604">
        <f>V$31</f>
        <v>61934</v>
      </c>
      <c r="W229" s="605"/>
      <c r="X229" s="606"/>
      <c r="Y229" s="606"/>
      <c r="Z229" s="605"/>
      <c r="AA229" s="605"/>
      <c r="AB229" s="604">
        <f>AB$31</f>
        <v>61934</v>
      </c>
      <c r="AC229" s="607"/>
      <c r="AD229" s="608"/>
      <c r="AE229" s="608"/>
      <c r="AF229" s="607"/>
      <c r="AG229" s="607"/>
      <c r="AH229" s="604">
        <f>AH$31</f>
        <v>61934</v>
      </c>
      <c r="AI229" s="605"/>
      <c r="AJ229" s="606"/>
      <c r="AK229" s="606"/>
      <c r="AL229" s="605"/>
      <c r="AM229" s="605"/>
      <c r="AN229" s="604">
        <f>AN$31</f>
        <v>61934</v>
      </c>
      <c r="AO229" s="439"/>
      <c r="AP229" s="530"/>
      <c r="AQ229" s="530"/>
      <c r="AR229" s="439"/>
      <c r="AS229" s="439"/>
      <c r="AT229" s="609">
        <f t="shared" ref="AT229:DE229" si="262">IF(AT222=0,0,IF(AT31&gt;0,AT31,AN229-AT228))</f>
        <v>58125.535359571426</v>
      </c>
      <c r="AU229" s="609">
        <f t="shared" si="262"/>
        <v>0</v>
      </c>
      <c r="AV229" s="609">
        <f t="shared" si="262"/>
        <v>0</v>
      </c>
      <c r="AW229" s="609">
        <f t="shared" si="262"/>
        <v>0</v>
      </c>
      <c r="AX229" s="609">
        <f t="shared" si="262"/>
        <v>0</v>
      </c>
      <c r="AY229" s="609">
        <f t="shared" si="262"/>
        <v>0</v>
      </c>
      <c r="AZ229" s="609">
        <f t="shared" si="262"/>
        <v>59481.062448392855</v>
      </c>
      <c r="BA229" s="609">
        <f t="shared" si="262"/>
        <v>0</v>
      </c>
      <c r="BB229" s="609">
        <f t="shared" si="262"/>
        <v>0</v>
      </c>
      <c r="BC229" s="609">
        <f t="shared" si="262"/>
        <v>0</v>
      </c>
      <c r="BD229" s="609">
        <f t="shared" si="262"/>
        <v>0</v>
      </c>
      <c r="BE229" s="609">
        <f t="shared" si="262"/>
        <v>0</v>
      </c>
      <c r="BF229" s="609">
        <f t="shared" si="262"/>
        <v>34266.781195928561</v>
      </c>
      <c r="BG229" s="609">
        <f t="shared" si="262"/>
        <v>0</v>
      </c>
      <c r="BH229" s="609">
        <f t="shared" si="262"/>
        <v>0</v>
      </c>
      <c r="BI229" s="609">
        <f t="shared" si="262"/>
        <v>0</v>
      </c>
      <c r="BJ229" s="609">
        <f t="shared" si="262"/>
        <v>0</v>
      </c>
      <c r="BK229" s="609">
        <f t="shared" si="262"/>
        <v>0</v>
      </c>
      <c r="BL229" s="609">
        <f t="shared" si="262"/>
        <v>47319.574943464278</v>
      </c>
      <c r="BM229" s="609">
        <f t="shared" si="262"/>
        <v>0</v>
      </c>
      <c r="BN229" s="609">
        <f t="shared" si="262"/>
        <v>0</v>
      </c>
      <c r="BO229" s="609">
        <f t="shared" si="262"/>
        <v>0</v>
      </c>
      <c r="BP229" s="609">
        <f t="shared" si="262"/>
        <v>0</v>
      </c>
      <c r="BQ229" s="609">
        <f t="shared" si="262"/>
        <v>0</v>
      </c>
      <c r="BR229" s="609">
        <f t="shared" si="262"/>
        <v>57511.812681857133</v>
      </c>
      <c r="BS229" s="609">
        <f t="shared" si="262"/>
        <v>0</v>
      </c>
      <c r="BT229" s="609">
        <f t="shared" si="262"/>
        <v>0</v>
      </c>
      <c r="BU229" s="609">
        <f t="shared" si="262"/>
        <v>0</v>
      </c>
      <c r="BV229" s="609">
        <f t="shared" si="262"/>
        <v>0</v>
      </c>
      <c r="BW229" s="609">
        <f t="shared" si="262"/>
        <v>0</v>
      </c>
      <c r="BX229" s="609">
        <f t="shared" si="262"/>
        <v>57511.812681857133</v>
      </c>
      <c r="BY229" s="609">
        <f t="shared" si="262"/>
        <v>0</v>
      </c>
      <c r="BZ229" s="609">
        <f t="shared" si="262"/>
        <v>0</v>
      </c>
      <c r="CA229" s="609">
        <f t="shared" si="262"/>
        <v>0</v>
      </c>
      <c r="CB229" s="609">
        <f t="shared" si="262"/>
        <v>0</v>
      </c>
      <c r="CC229" s="609">
        <f t="shared" si="262"/>
        <v>0</v>
      </c>
      <c r="CD229" s="609">
        <f t="shared" si="262"/>
        <v>57511.812681857133</v>
      </c>
      <c r="CE229" s="609">
        <f t="shared" si="262"/>
        <v>0</v>
      </c>
      <c r="CF229" s="609">
        <f t="shared" si="262"/>
        <v>0</v>
      </c>
      <c r="CG229" s="609">
        <f t="shared" si="262"/>
        <v>0</v>
      </c>
      <c r="CH229" s="609">
        <f t="shared" si="262"/>
        <v>0</v>
      </c>
      <c r="CI229" s="609">
        <f t="shared" si="262"/>
        <v>0</v>
      </c>
      <c r="CJ229" s="609">
        <f t="shared" si="262"/>
        <v>57511.812681857133</v>
      </c>
      <c r="CK229" s="609">
        <f t="shared" si="262"/>
        <v>0</v>
      </c>
      <c r="CL229" s="609">
        <f t="shared" si="262"/>
        <v>0</v>
      </c>
      <c r="CM229" s="609">
        <f t="shared" si="262"/>
        <v>0</v>
      </c>
      <c r="CN229" s="609">
        <f t="shared" si="262"/>
        <v>0</v>
      </c>
      <c r="CO229" s="609">
        <f t="shared" si="262"/>
        <v>0</v>
      </c>
      <c r="CP229" s="609">
        <f t="shared" si="262"/>
        <v>57511.812681857133</v>
      </c>
      <c r="CQ229" s="609">
        <f t="shared" si="262"/>
        <v>0</v>
      </c>
      <c r="CR229" s="609">
        <f t="shared" si="262"/>
        <v>0</v>
      </c>
      <c r="CS229" s="609">
        <f t="shared" si="262"/>
        <v>0</v>
      </c>
      <c r="CT229" s="609">
        <f t="shared" si="262"/>
        <v>0</v>
      </c>
      <c r="CU229" s="609">
        <f t="shared" si="262"/>
        <v>0</v>
      </c>
      <c r="CV229" s="609">
        <f t="shared" si="262"/>
        <v>57511.812681857133</v>
      </c>
      <c r="CW229" s="609">
        <f t="shared" si="262"/>
        <v>0</v>
      </c>
      <c r="CX229" s="609">
        <f t="shared" si="262"/>
        <v>0</v>
      </c>
      <c r="CY229" s="609">
        <f t="shared" si="262"/>
        <v>0</v>
      </c>
      <c r="CZ229" s="609">
        <f t="shared" si="262"/>
        <v>0</v>
      </c>
      <c r="DA229" s="609">
        <f t="shared" si="262"/>
        <v>0</v>
      </c>
      <c r="DB229" s="609">
        <f t="shared" si="262"/>
        <v>57511.812681857133</v>
      </c>
      <c r="DC229" s="609">
        <f t="shared" si="262"/>
        <v>0</v>
      </c>
      <c r="DD229" s="609">
        <f t="shared" si="262"/>
        <v>0</v>
      </c>
      <c r="DE229" s="609">
        <f t="shared" si="262"/>
        <v>0</v>
      </c>
      <c r="DF229" s="609">
        <f t="shared" ref="DF229:FQ229" si="263">IF(DF222=0,0,IF(DF31&gt;0,DF31,CZ229-DF228))</f>
        <v>0</v>
      </c>
      <c r="DG229" s="609">
        <f t="shared" si="263"/>
        <v>0</v>
      </c>
      <c r="DH229" s="609">
        <f t="shared" si="263"/>
        <v>57511.812681857133</v>
      </c>
      <c r="DI229" s="609">
        <f t="shared" si="263"/>
        <v>0</v>
      </c>
      <c r="DJ229" s="609">
        <f t="shared" si="263"/>
        <v>0</v>
      </c>
      <c r="DK229" s="609">
        <f t="shared" si="263"/>
        <v>0</v>
      </c>
      <c r="DL229" s="609">
        <f t="shared" si="263"/>
        <v>0</v>
      </c>
      <c r="DM229" s="609">
        <f t="shared" si="263"/>
        <v>0</v>
      </c>
      <c r="DN229" s="609">
        <f t="shared" si="263"/>
        <v>57511.812681857133</v>
      </c>
      <c r="DO229" s="609">
        <f t="shared" si="263"/>
        <v>0</v>
      </c>
      <c r="DP229" s="609">
        <f t="shared" si="263"/>
        <v>0</v>
      </c>
      <c r="DQ229" s="609">
        <f t="shared" si="263"/>
        <v>0</v>
      </c>
      <c r="DR229" s="609">
        <f t="shared" si="263"/>
        <v>0</v>
      </c>
      <c r="DS229" s="609">
        <f t="shared" si="263"/>
        <v>0</v>
      </c>
      <c r="DT229" s="609">
        <f t="shared" si="263"/>
        <v>57511.812681857133</v>
      </c>
      <c r="DU229" s="609">
        <f t="shared" si="263"/>
        <v>0</v>
      </c>
      <c r="DV229" s="609">
        <f t="shared" si="263"/>
        <v>0</v>
      </c>
      <c r="DW229" s="609">
        <f t="shared" si="263"/>
        <v>0</v>
      </c>
      <c r="DX229" s="609">
        <f t="shared" si="263"/>
        <v>0</v>
      </c>
      <c r="DY229" s="609">
        <f t="shared" si="263"/>
        <v>0</v>
      </c>
      <c r="DZ229" s="609">
        <f t="shared" si="263"/>
        <v>57511.812681857133</v>
      </c>
      <c r="EA229" s="609">
        <f t="shared" si="263"/>
        <v>0</v>
      </c>
      <c r="EB229" s="609">
        <f t="shared" si="263"/>
        <v>0</v>
      </c>
      <c r="EC229" s="609">
        <f t="shared" si="263"/>
        <v>0</v>
      </c>
      <c r="ED229" s="609">
        <f t="shared" si="263"/>
        <v>0</v>
      </c>
      <c r="EE229" s="609">
        <f t="shared" si="263"/>
        <v>0</v>
      </c>
      <c r="EF229" s="609">
        <f t="shared" si="263"/>
        <v>57511.812681857133</v>
      </c>
      <c r="EG229" s="609">
        <f t="shared" si="263"/>
        <v>0</v>
      </c>
      <c r="EH229" s="609">
        <f t="shared" si="263"/>
        <v>0</v>
      </c>
      <c r="EI229" s="609">
        <f t="shared" si="263"/>
        <v>0</v>
      </c>
      <c r="EJ229" s="609">
        <f t="shared" si="263"/>
        <v>0</v>
      </c>
      <c r="EK229" s="609">
        <f t="shared" si="263"/>
        <v>0</v>
      </c>
      <c r="EL229" s="609">
        <f t="shared" si="263"/>
        <v>57511.812681857133</v>
      </c>
      <c r="EM229" s="609">
        <f t="shared" si="263"/>
        <v>0</v>
      </c>
      <c r="EN229" s="609">
        <f t="shared" si="263"/>
        <v>0</v>
      </c>
      <c r="EO229" s="609">
        <f t="shared" si="263"/>
        <v>0</v>
      </c>
      <c r="EP229" s="609">
        <f t="shared" si="263"/>
        <v>0</v>
      </c>
      <c r="EQ229" s="609">
        <f t="shared" si="263"/>
        <v>0</v>
      </c>
      <c r="ER229" s="609">
        <f t="shared" si="263"/>
        <v>57511.812681857133</v>
      </c>
      <c r="ES229" s="609">
        <f t="shared" si="263"/>
        <v>0</v>
      </c>
      <c r="ET229" s="609">
        <f t="shared" si="263"/>
        <v>0</v>
      </c>
      <c r="EU229" s="609">
        <f t="shared" si="263"/>
        <v>0</v>
      </c>
      <c r="EV229" s="609">
        <f t="shared" si="263"/>
        <v>0</v>
      </c>
      <c r="EW229" s="609">
        <f t="shared" si="263"/>
        <v>0</v>
      </c>
      <c r="EX229" s="609">
        <f t="shared" si="263"/>
        <v>57511.812681857133</v>
      </c>
      <c r="EY229" s="609">
        <f t="shared" si="263"/>
        <v>0</v>
      </c>
      <c r="EZ229" s="609">
        <f t="shared" si="263"/>
        <v>0</v>
      </c>
      <c r="FA229" s="609">
        <f t="shared" si="263"/>
        <v>0</v>
      </c>
      <c r="FB229" s="609">
        <f t="shared" si="263"/>
        <v>0</v>
      </c>
      <c r="FC229" s="609">
        <f t="shared" si="263"/>
        <v>0</v>
      </c>
      <c r="FD229" s="609">
        <f t="shared" si="263"/>
        <v>57511.812681857133</v>
      </c>
      <c r="FE229" s="609">
        <f t="shared" si="263"/>
        <v>0</v>
      </c>
      <c r="FF229" s="609">
        <f t="shared" si="263"/>
        <v>0</v>
      </c>
      <c r="FG229" s="609">
        <f t="shared" si="263"/>
        <v>0</v>
      </c>
      <c r="FH229" s="609">
        <f t="shared" si="263"/>
        <v>0</v>
      </c>
      <c r="FI229" s="609">
        <f t="shared" si="263"/>
        <v>0</v>
      </c>
      <c r="FJ229" s="609">
        <f t="shared" si="263"/>
        <v>57511.812681857133</v>
      </c>
      <c r="FK229" s="609">
        <f t="shared" si="263"/>
        <v>0</v>
      </c>
      <c r="FL229" s="609">
        <f t="shared" si="263"/>
        <v>0</v>
      </c>
      <c r="FM229" s="609">
        <f t="shared" si="263"/>
        <v>0</v>
      </c>
      <c r="FN229" s="609">
        <f t="shared" si="263"/>
        <v>0</v>
      </c>
      <c r="FO229" s="609">
        <f t="shared" si="263"/>
        <v>0</v>
      </c>
      <c r="FP229" s="609">
        <f t="shared" si="263"/>
        <v>57511.812681857133</v>
      </c>
      <c r="FQ229" s="609">
        <f t="shared" si="263"/>
        <v>0</v>
      </c>
      <c r="FR229" s="609">
        <f t="shared" ref="FR229:GZ229" si="264">IF(FR222=0,0,IF(FR31&gt;0,FR31,FL229-FR228))</f>
        <v>0</v>
      </c>
      <c r="FS229" s="609">
        <f t="shared" si="264"/>
        <v>0</v>
      </c>
      <c r="FT229" s="609">
        <f t="shared" si="264"/>
        <v>0</v>
      </c>
      <c r="FU229" s="609">
        <f t="shared" si="264"/>
        <v>0</v>
      </c>
      <c r="FV229" s="609">
        <f t="shared" si="264"/>
        <v>57511.812681857133</v>
      </c>
      <c r="FW229" s="609">
        <f t="shared" si="264"/>
        <v>0</v>
      </c>
      <c r="FX229" s="609">
        <f t="shared" si="264"/>
        <v>0</v>
      </c>
      <c r="FY229" s="609">
        <f t="shared" si="264"/>
        <v>0</v>
      </c>
      <c r="FZ229" s="609">
        <f t="shared" si="264"/>
        <v>0</v>
      </c>
      <c r="GA229" s="609">
        <f t="shared" si="264"/>
        <v>0</v>
      </c>
      <c r="GB229" s="609">
        <f t="shared" si="264"/>
        <v>57511.812681857133</v>
      </c>
      <c r="GC229" s="609">
        <f t="shared" si="264"/>
        <v>0</v>
      </c>
      <c r="GD229" s="609">
        <f t="shared" si="264"/>
        <v>0</v>
      </c>
      <c r="GE229" s="609">
        <f t="shared" si="264"/>
        <v>0</v>
      </c>
      <c r="GF229" s="609">
        <f t="shared" si="264"/>
        <v>0</v>
      </c>
      <c r="GG229" s="609">
        <f t="shared" si="264"/>
        <v>0</v>
      </c>
      <c r="GH229" s="609">
        <f t="shared" si="264"/>
        <v>57511.812681857133</v>
      </c>
      <c r="GI229" s="609">
        <f t="shared" si="264"/>
        <v>0</v>
      </c>
      <c r="GJ229" s="609">
        <f t="shared" si="264"/>
        <v>0</v>
      </c>
      <c r="GK229" s="609">
        <f t="shared" si="264"/>
        <v>0</v>
      </c>
      <c r="GL229" s="609">
        <f t="shared" si="264"/>
        <v>0</v>
      </c>
      <c r="GM229" s="609">
        <f t="shared" si="264"/>
        <v>0</v>
      </c>
      <c r="GN229" s="609">
        <f t="shared" si="264"/>
        <v>57511.812681857133</v>
      </c>
      <c r="GO229" s="609">
        <f t="shared" si="264"/>
        <v>0</v>
      </c>
      <c r="GP229" s="609">
        <f t="shared" si="264"/>
        <v>0</v>
      </c>
      <c r="GQ229" s="609">
        <f t="shared" si="264"/>
        <v>0</v>
      </c>
      <c r="GR229" s="609">
        <f t="shared" si="264"/>
        <v>0</v>
      </c>
      <c r="GS229" s="609">
        <f t="shared" si="264"/>
        <v>0</v>
      </c>
      <c r="GT229" s="609">
        <f t="shared" si="264"/>
        <v>57511.812681857133</v>
      </c>
      <c r="GU229" s="609">
        <f t="shared" si="264"/>
        <v>0</v>
      </c>
      <c r="GV229" s="609">
        <f t="shared" si="264"/>
        <v>0</v>
      </c>
      <c r="GW229" s="609">
        <f t="shared" si="264"/>
        <v>0</v>
      </c>
      <c r="GX229" s="609">
        <f t="shared" si="264"/>
        <v>0</v>
      </c>
      <c r="GY229" s="609">
        <f t="shared" si="264"/>
        <v>0</v>
      </c>
      <c r="GZ229" s="609">
        <f t="shared" si="264"/>
        <v>57511.812681857133</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19.522758794603455</v>
      </c>
      <c r="V230" s="604">
        <f>(IF(V222=0,0,V229/V222))</f>
        <v>19.522758794603455</v>
      </c>
      <c r="W230" s="611"/>
      <c r="X230" s="612"/>
      <c r="Y230" s="612"/>
      <c r="Z230" s="611"/>
      <c r="AA230" s="611"/>
      <c r="AB230" s="604">
        <f>(IF(AB222=0,0,AB229/AB222))</f>
        <v>19.522758794603455</v>
      </c>
      <c r="AC230" s="611"/>
      <c r="AD230" s="612"/>
      <c r="AE230" s="612"/>
      <c r="AF230" s="611"/>
      <c r="AG230" s="611"/>
      <c r="AH230" s="604">
        <f>(IF(AH222=0,0,AH229/AH222))</f>
        <v>19.522758794603455</v>
      </c>
      <c r="AI230" s="611"/>
      <c r="AJ230" s="612"/>
      <c r="AK230" s="612"/>
      <c r="AL230" s="611"/>
      <c r="AM230" s="611"/>
      <c r="AN230" s="604">
        <f>(IF(AN222=0,0,AN229/AN222))</f>
        <v>19.522758794603455</v>
      </c>
      <c r="AO230" s="439"/>
      <c r="AP230" s="530"/>
      <c r="AQ230" s="530"/>
      <c r="AR230" s="439"/>
      <c r="AS230" s="439"/>
      <c r="AT230" s="609">
        <f>(IF(AT222=0,0,AT229/AT222))</f>
        <v>18.322259286209629</v>
      </c>
      <c r="AU230" s="574"/>
      <c r="AV230" s="575"/>
      <c r="AW230" s="575"/>
      <c r="AX230" s="574"/>
      <c r="AY230" s="574"/>
      <c r="AZ230" s="604">
        <f>(IF(AZ222=0,0,AZ229/AZ222))</f>
        <v>18.749546856762343</v>
      </c>
      <c r="BA230" s="315"/>
      <c r="BB230" s="316"/>
      <c r="BC230" s="316"/>
      <c r="BD230" s="315"/>
      <c r="BE230" s="315"/>
      <c r="BF230" s="604">
        <f>(IF(BF222=0,0,BF229/BF222))</f>
        <v>10.801532340161568</v>
      </c>
      <c r="BG230" s="315"/>
      <c r="BH230" s="316"/>
      <c r="BI230" s="316"/>
      <c r="BJ230" s="315"/>
      <c r="BK230" s="315"/>
      <c r="BL230" s="604">
        <f>(IF(BL222=0,0,BL229/BL222))</f>
        <v>14.916017823560798</v>
      </c>
      <c r="BM230" s="315"/>
      <c r="BN230" s="316"/>
      <c r="BO230" s="316"/>
      <c r="BP230" s="315"/>
      <c r="BQ230" s="315"/>
      <c r="BR230" s="604">
        <f>(IF(BR222=0,0,BR229/BR222))</f>
        <v>18.128802383639243</v>
      </c>
      <c r="BS230" s="574"/>
      <c r="BT230" s="575"/>
      <c r="BU230" s="575"/>
      <c r="BV230" s="574"/>
      <c r="BW230" s="574"/>
      <c r="BX230" s="604">
        <f>(IF(BX222=0,0,BX229/BX222))</f>
        <v>18.128802383639243</v>
      </c>
      <c r="BY230" s="315"/>
      <c r="BZ230" s="316"/>
      <c r="CA230" s="316"/>
      <c r="CB230" s="315"/>
      <c r="CC230" s="315"/>
      <c r="CD230" s="604">
        <f>(IF(CD222=0,0,CD229/CD222))</f>
        <v>18.128802383639243</v>
      </c>
      <c r="CE230" s="315"/>
      <c r="CF230" s="316"/>
      <c r="CG230" s="316"/>
      <c r="CH230" s="315"/>
      <c r="CI230" s="315"/>
      <c r="CJ230" s="604">
        <f>(IF(CJ222=0,0,CJ229/CJ222))</f>
        <v>18.128802383639243</v>
      </c>
      <c r="CK230" s="315"/>
      <c r="CL230" s="316"/>
      <c r="CM230" s="316"/>
      <c r="CN230" s="315"/>
      <c r="CO230" s="315"/>
      <c r="CP230" s="604">
        <f>(IF(CP222=0,0,CP229/CP222))</f>
        <v>18.128802383639243</v>
      </c>
      <c r="CQ230" s="577"/>
      <c r="CR230" s="575"/>
      <c r="CS230" s="575"/>
      <c r="CT230" s="577"/>
      <c r="CU230" s="577"/>
      <c r="CV230" s="604">
        <f>(IF(CV222=0,0,CV229/CV222))</f>
        <v>18.128802383639243</v>
      </c>
      <c r="CW230" s="577"/>
      <c r="CX230" s="575"/>
      <c r="CY230" s="575"/>
      <c r="CZ230" s="577"/>
      <c r="DA230" s="577"/>
      <c r="DB230" s="604">
        <f>(IF(DB222=0,0,DB229/DB222))</f>
        <v>18.128802383639243</v>
      </c>
      <c r="DC230" s="315"/>
      <c r="DD230" s="316"/>
      <c r="DE230" s="316"/>
      <c r="DF230" s="315"/>
      <c r="DG230" s="315"/>
      <c r="DH230" s="604">
        <f>(IF(DH222=0,0,DH229/DH222))</f>
        <v>18.128802383639243</v>
      </c>
      <c r="DI230" s="315"/>
      <c r="DJ230" s="316"/>
      <c r="DK230" s="316"/>
      <c r="DL230" s="315"/>
      <c r="DM230" s="315"/>
      <c r="DN230" s="604">
        <f>(IF(DN222=0,0,DN229/DN222))</f>
        <v>18.128802383639243</v>
      </c>
      <c r="DO230" s="315"/>
      <c r="DP230" s="316"/>
      <c r="DQ230" s="316"/>
      <c r="DR230" s="315"/>
      <c r="DS230" s="315"/>
      <c r="DT230" s="604">
        <f>(IF(DT222=0,0,DT229/DT222))</f>
        <v>18.128802383639243</v>
      </c>
      <c r="DU230" s="315"/>
      <c r="DV230" s="316"/>
      <c r="DW230" s="316"/>
      <c r="DX230" s="315"/>
      <c r="DY230" s="315"/>
      <c r="DZ230" s="604">
        <f>(IF(DZ222=0,0,DZ229/DZ222))</f>
        <v>18.128802383639243</v>
      </c>
      <c r="EA230" s="315"/>
      <c r="EB230" s="316"/>
      <c r="EC230" s="316"/>
      <c r="ED230" s="315"/>
      <c r="EE230" s="315"/>
      <c r="EF230" s="604">
        <f>(IF(EF222=0,0,EF229/EF222))</f>
        <v>18.128802383639243</v>
      </c>
      <c r="EG230" s="315"/>
      <c r="EH230" s="316"/>
      <c r="EI230" s="316"/>
      <c r="EJ230" s="315"/>
      <c r="EK230" s="315"/>
      <c r="EL230" s="604">
        <f>(IF(EL222=0,0,EL229/EL222))</f>
        <v>18.128802383639243</v>
      </c>
      <c r="EM230" s="315"/>
      <c r="EN230" s="316"/>
      <c r="EO230" s="316"/>
      <c r="EP230" s="315"/>
      <c r="EQ230" s="315"/>
      <c r="ER230" s="604">
        <f>(IF(ER222=0,0,ER229/ER222))</f>
        <v>18.128802383639243</v>
      </c>
      <c r="ES230" s="315"/>
      <c r="ET230" s="316"/>
      <c r="EU230" s="316"/>
      <c r="EV230" s="315"/>
      <c r="EW230" s="315"/>
      <c r="EX230" s="604">
        <f>(IF(EX222=0,0,EX229/EX222))</f>
        <v>18.128802383639243</v>
      </c>
      <c r="EY230" s="315"/>
      <c r="EZ230" s="316"/>
      <c r="FA230" s="316"/>
      <c r="FB230" s="315"/>
      <c r="FC230" s="315"/>
      <c r="FD230" s="604">
        <f>(IF(FD222=0,0,FD229/FD222))</f>
        <v>18.128802383639243</v>
      </c>
      <c r="FE230" s="315"/>
      <c r="FF230" s="316"/>
      <c r="FG230" s="316"/>
      <c r="FH230" s="315"/>
      <c r="FI230" s="315"/>
      <c r="FJ230" s="604">
        <f>(IF(FJ222=0,0,FJ229/FJ222))</f>
        <v>18.128802383639243</v>
      </c>
      <c r="FK230" s="315"/>
      <c r="FL230" s="316"/>
      <c r="FM230" s="316"/>
      <c r="FN230" s="315"/>
      <c r="FO230" s="315"/>
      <c r="FP230" s="604">
        <f>(IF(FP222=0,0,FP229/FP222))</f>
        <v>18.128802383639243</v>
      </c>
      <c r="FQ230" s="315"/>
      <c r="FR230" s="316"/>
      <c r="FS230" s="316"/>
      <c r="FT230" s="315"/>
      <c r="FU230" s="315"/>
      <c r="FV230" s="604">
        <f>(IF(FV222=0,0,FV229/FV222))</f>
        <v>18.128802383639243</v>
      </c>
      <c r="FW230" s="315"/>
      <c r="FX230" s="316"/>
      <c r="FY230" s="316"/>
      <c r="FZ230" s="315"/>
      <c r="GA230" s="315"/>
      <c r="GB230" s="604">
        <f>(IF(GB222=0,0,GB229/GB222))</f>
        <v>18.128802383639243</v>
      </c>
      <c r="GC230" s="315"/>
      <c r="GD230" s="316"/>
      <c r="GE230" s="316"/>
      <c r="GF230" s="315"/>
      <c r="GG230" s="315"/>
      <c r="GH230" s="604">
        <f>(IF(GH222=0,0,GH229/GH222))</f>
        <v>18.128802383639243</v>
      </c>
      <c r="GI230" s="315"/>
      <c r="GJ230" s="316"/>
      <c r="GK230" s="316"/>
      <c r="GL230" s="315"/>
      <c r="GM230" s="315"/>
      <c r="GN230" s="604">
        <f>(IF(GN222=0,0,GN229/GN222))</f>
        <v>18.128802383639243</v>
      </c>
      <c r="GO230" s="315"/>
      <c r="GP230" s="316"/>
      <c r="GQ230" s="316"/>
      <c r="GR230" s="315"/>
      <c r="GS230" s="315"/>
      <c r="GT230" s="604">
        <f>(IF(GT222=0,0,GT229/GT222))</f>
        <v>18.128802383639243</v>
      </c>
      <c r="GU230" s="315"/>
      <c r="GV230" s="316"/>
      <c r="GW230" s="316"/>
      <c r="GX230" s="315"/>
      <c r="GY230" s="315"/>
      <c r="GZ230" s="610">
        <f>(IF(GZ222=0,0,GZ229/GZ222))</f>
        <v>18.128802383639243</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3263.7330000000002</v>
      </c>
      <c r="AU231" s="315"/>
      <c r="AV231" s="316"/>
      <c r="AW231" s="316"/>
      <c r="AX231" s="315"/>
      <c r="AY231" s="315"/>
      <c r="AZ231" s="604">
        <f>SUM(BB44:BB216)</f>
        <v>6217.2764999999999</v>
      </c>
      <c r="BA231" s="315"/>
      <c r="BB231" s="316"/>
      <c r="BC231" s="316"/>
      <c r="BD231" s="315"/>
      <c r="BE231" s="315"/>
      <c r="BF231" s="604">
        <f>SUM(BH44:BH216)</f>
        <v>7309.6829999999991</v>
      </c>
      <c r="BG231" s="315"/>
      <c r="BH231" s="316"/>
      <c r="BI231" s="316"/>
      <c r="BJ231" s="315"/>
      <c r="BK231" s="315"/>
      <c r="BL231" s="604">
        <f>SUM(BN44:BN216)</f>
        <v>4868.6264999999994</v>
      </c>
      <c r="BM231" s="315"/>
      <c r="BN231" s="316"/>
      <c r="BO231" s="316"/>
      <c r="BP231" s="315"/>
      <c r="BQ231" s="315"/>
      <c r="BR231" s="604">
        <f>SUM(BT44:BT216)</f>
        <v>3843.6524999999997</v>
      </c>
      <c r="BS231" s="315"/>
      <c r="BT231" s="316"/>
      <c r="BU231" s="316"/>
      <c r="BV231" s="315"/>
      <c r="BW231" s="315"/>
      <c r="BX231" s="604">
        <f>SUM(BZ44:BZ216)</f>
        <v>0</v>
      </c>
      <c r="BY231" s="315"/>
      <c r="BZ231" s="316"/>
      <c r="CA231" s="316"/>
      <c r="CB231" s="315"/>
      <c r="CC231" s="315"/>
      <c r="CD231" s="604">
        <f>SUM(CF44:CF216)</f>
        <v>0</v>
      </c>
      <c r="CE231" s="315"/>
      <c r="CF231" s="316"/>
      <c r="CG231" s="316"/>
      <c r="CH231" s="315"/>
      <c r="CI231" s="315"/>
      <c r="CJ231" s="604">
        <f>SUM(CL44:CL216)</f>
        <v>0</v>
      </c>
      <c r="CK231" s="315"/>
      <c r="CL231" s="316"/>
      <c r="CM231" s="316"/>
      <c r="CN231" s="315"/>
      <c r="CO231" s="315"/>
      <c r="CP231" s="604">
        <f>SUM(CR44:CR216)</f>
        <v>0</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0</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26973</v>
      </c>
      <c r="V232" s="604">
        <f>V$32</f>
        <v>26973</v>
      </c>
      <c r="W232" s="605"/>
      <c r="X232" s="606"/>
      <c r="Y232" s="606"/>
      <c r="Z232" s="605"/>
      <c r="AA232" s="605"/>
      <c r="AB232" s="604">
        <f>AB$32</f>
        <v>26973</v>
      </c>
      <c r="AC232" s="605"/>
      <c r="AD232" s="606"/>
      <c r="AE232" s="606"/>
      <c r="AF232" s="605"/>
      <c r="AG232" s="605"/>
      <c r="AH232" s="604">
        <f>AH$32</f>
        <v>26973</v>
      </c>
      <c r="AI232" s="605"/>
      <c r="AJ232" s="606"/>
      <c r="AK232" s="606"/>
      <c r="AL232" s="605"/>
      <c r="AM232" s="605"/>
      <c r="AN232" s="604">
        <f>AN$32</f>
        <v>26973</v>
      </c>
      <c r="AO232" s="439"/>
      <c r="AP232" s="530"/>
      <c r="AQ232" s="530"/>
      <c r="AR232" s="439"/>
      <c r="AS232" s="439"/>
      <c r="AT232" s="609">
        <f t="shared" ref="AT232:DE232" si="265">IF(AT222=0,0,IF(AT32&gt;0,AT32,AN232-AT231))</f>
        <v>23709.267</v>
      </c>
      <c r="AU232" s="609">
        <f t="shared" si="265"/>
        <v>0</v>
      </c>
      <c r="AV232" s="609">
        <f t="shared" si="265"/>
        <v>0</v>
      </c>
      <c r="AW232" s="609">
        <f t="shared" si="265"/>
        <v>0</v>
      </c>
      <c r="AX232" s="609">
        <f t="shared" si="265"/>
        <v>0</v>
      </c>
      <c r="AY232" s="609">
        <f t="shared" si="265"/>
        <v>0</v>
      </c>
      <c r="AZ232" s="609">
        <f t="shared" si="265"/>
        <v>17491.9905</v>
      </c>
      <c r="BA232" s="609">
        <f t="shared" si="265"/>
        <v>0</v>
      </c>
      <c r="BB232" s="609">
        <f t="shared" si="265"/>
        <v>0</v>
      </c>
      <c r="BC232" s="609">
        <f t="shared" si="265"/>
        <v>0</v>
      </c>
      <c r="BD232" s="609">
        <f t="shared" si="265"/>
        <v>0</v>
      </c>
      <c r="BE232" s="609">
        <f t="shared" si="265"/>
        <v>0</v>
      </c>
      <c r="BF232" s="609">
        <f t="shared" si="265"/>
        <v>10182.307500000001</v>
      </c>
      <c r="BG232" s="609">
        <f t="shared" si="265"/>
        <v>0</v>
      </c>
      <c r="BH232" s="609">
        <f t="shared" si="265"/>
        <v>0</v>
      </c>
      <c r="BI232" s="609">
        <f t="shared" si="265"/>
        <v>0</v>
      </c>
      <c r="BJ232" s="609">
        <f t="shared" si="265"/>
        <v>0</v>
      </c>
      <c r="BK232" s="609">
        <f t="shared" si="265"/>
        <v>0</v>
      </c>
      <c r="BL232" s="609">
        <f t="shared" si="265"/>
        <v>5313.6810000000014</v>
      </c>
      <c r="BM232" s="609">
        <f t="shared" si="265"/>
        <v>0</v>
      </c>
      <c r="BN232" s="609">
        <f t="shared" si="265"/>
        <v>0</v>
      </c>
      <c r="BO232" s="609">
        <f t="shared" si="265"/>
        <v>0</v>
      </c>
      <c r="BP232" s="609">
        <f t="shared" si="265"/>
        <v>0</v>
      </c>
      <c r="BQ232" s="609">
        <f t="shared" si="265"/>
        <v>0</v>
      </c>
      <c r="BR232" s="609">
        <f t="shared" si="265"/>
        <v>1470.0285000000017</v>
      </c>
      <c r="BS232" s="609">
        <f t="shared" si="265"/>
        <v>0</v>
      </c>
      <c r="BT232" s="609">
        <f t="shared" si="265"/>
        <v>0</v>
      </c>
      <c r="BU232" s="609">
        <f t="shared" si="265"/>
        <v>0</v>
      </c>
      <c r="BV232" s="609">
        <f t="shared" si="265"/>
        <v>0</v>
      </c>
      <c r="BW232" s="609">
        <f t="shared" si="265"/>
        <v>0</v>
      </c>
      <c r="BX232" s="609">
        <f t="shared" si="265"/>
        <v>1470.0285000000017</v>
      </c>
      <c r="BY232" s="609">
        <f t="shared" si="265"/>
        <v>0</v>
      </c>
      <c r="BZ232" s="609">
        <f t="shared" si="265"/>
        <v>0</v>
      </c>
      <c r="CA232" s="609">
        <f t="shared" si="265"/>
        <v>0</v>
      </c>
      <c r="CB232" s="609">
        <f t="shared" si="265"/>
        <v>0</v>
      </c>
      <c r="CC232" s="609">
        <f t="shared" si="265"/>
        <v>0</v>
      </c>
      <c r="CD232" s="609">
        <f t="shared" si="265"/>
        <v>1470.0285000000017</v>
      </c>
      <c r="CE232" s="609">
        <f t="shared" si="265"/>
        <v>0</v>
      </c>
      <c r="CF232" s="609">
        <f t="shared" si="265"/>
        <v>0</v>
      </c>
      <c r="CG232" s="609">
        <f t="shared" si="265"/>
        <v>0</v>
      </c>
      <c r="CH232" s="609">
        <f t="shared" si="265"/>
        <v>0</v>
      </c>
      <c r="CI232" s="609">
        <f t="shared" si="265"/>
        <v>0</v>
      </c>
      <c r="CJ232" s="609">
        <f t="shared" si="265"/>
        <v>1470.0285000000017</v>
      </c>
      <c r="CK232" s="609">
        <f t="shared" si="265"/>
        <v>0</v>
      </c>
      <c r="CL232" s="609">
        <f t="shared" si="265"/>
        <v>0</v>
      </c>
      <c r="CM232" s="609">
        <f t="shared" si="265"/>
        <v>0</v>
      </c>
      <c r="CN232" s="609">
        <f t="shared" si="265"/>
        <v>0</v>
      </c>
      <c r="CO232" s="609">
        <f t="shared" si="265"/>
        <v>0</v>
      </c>
      <c r="CP232" s="609">
        <f t="shared" si="265"/>
        <v>1470.0285000000017</v>
      </c>
      <c r="CQ232" s="609">
        <f t="shared" si="265"/>
        <v>0</v>
      </c>
      <c r="CR232" s="609">
        <f t="shared" si="265"/>
        <v>0</v>
      </c>
      <c r="CS232" s="609">
        <f t="shared" si="265"/>
        <v>0</v>
      </c>
      <c r="CT232" s="609">
        <f t="shared" si="265"/>
        <v>0</v>
      </c>
      <c r="CU232" s="609">
        <f t="shared" si="265"/>
        <v>0</v>
      </c>
      <c r="CV232" s="609">
        <f t="shared" si="265"/>
        <v>1470.0285000000017</v>
      </c>
      <c r="CW232" s="609">
        <f t="shared" si="265"/>
        <v>0</v>
      </c>
      <c r="CX232" s="609">
        <f t="shared" si="265"/>
        <v>0</v>
      </c>
      <c r="CY232" s="609">
        <f t="shared" si="265"/>
        <v>0</v>
      </c>
      <c r="CZ232" s="609">
        <f t="shared" si="265"/>
        <v>0</v>
      </c>
      <c r="DA232" s="609">
        <f t="shared" si="265"/>
        <v>0</v>
      </c>
      <c r="DB232" s="609">
        <f t="shared" si="265"/>
        <v>1470.0285000000017</v>
      </c>
      <c r="DC232" s="609">
        <f t="shared" si="265"/>
        <v>0</v>
      </c>
      <c r="DD232" s="609">
        <f t="shared" si="265"/>
        <v>0</v>
      </c>
      <c r="DE232" s="609">
        <f t="shared" si="265"/>
        <v>0</v>
      </c>
      <c r="DF232" s="609">
        <f t="shared" ref="DF232:FQ232" si="266">IF(DF222=0,0,IF(DF32&gt;0,DF32,CZ232-DF231))</f>
        <v>0</v>
      </c>
      <c r="DG232" s="609">
        <f t="shared" si="266"/>
        <v>0</v>
      </c>
      <c r="DH232" s="609">
        <f t="shared" si="266"/>
        <v>1470.0285000000017</v>
      </c>
      <c r="DI232" s="609">
        <f t="shared" si="266"/>
        <v>0</v>
      </c>
      <c r="DJ232" s="609">
        <f t="shared" si="266"/>
        <v>0</v>
      </c>
      <c r="DK232" s="609">
        <f t="shared" si="266"/>
        <v>0</v>
      </c>
      <c r="DL232" s="609">
        <f t="shared" si="266"/>
        <v>0</v>
      </c>
      <c r="DM232" s="609">
        <f t="shared" si="266"/>
        <v>0</v>
      </c>
      <c r="DN232" s="609">
        <f t="shared" si="266"/>
        <v>1470.0285000000017</v>
      </c>
      <c r="DO232" s="609">
        <f t="shared" si="266"/>
        <v>0</v>
      </c>
      <c r="DP232" s="609">
        <f t="shared" si="266"/>
        <v>0</v>
      </c>
      <c r="DQ232" s="609">
        <f t="shared" si="266"/>
        <v>0</v>
      </c>
      <c r="DR232" s="609">
        <f t="shared" si="266"/>
        <v>0</v>
      </c>
      <c r="DS232" s="609">
        <f t="shared" si="266"/>
        <v>0</v>
      </c>
      <c r="DT232" s="609">
        <f t="shared" si="266"/>
        <v>1470.0285000000017</v>
      </c>
      <c r="DU232" s="609">
        <f t="shared" si="266"/>
        <v>0</v>
      </c>
      <c r="DV232" s="609">
        <f t="shared" si="266"/>
        <v>0</v>
      </c>
      <c r="DW232" s="609">
        <f t="shared" si="266"/>
        <v>0</v>
      </c>
      <c r="DX232" s="609">
        <f t="shared" si="266"/>
        <v>0</v>
      </c>
      <c r="DY232" s="609">
        <f t="shared" si="266"/>
        <v>0</v>
      </c>
      <c r="DZ232" s="609">
        <f t="shared" si="266"/>
        <v>1470.0285000000017</v>
      </c>
      <c r="EA232" s="609">
        <f t="shared" si="266"/>
        <v>0</v>
      </c>
      <c r="EB232" s="609">
        <f t="shared" si="266"/>
        <v>0</v>
      </c>
      <c r="EC232" s="609">
        <f t="shared" si="266"/>
        <v>0</v>
      </c>
      <c r="ED232" s="609">
        <f t="shared" si="266"/>
        <v>0</v>
      </c>
      <c r="EE232" s="609">
        <f t="shared" si="266"/>
        <v>0</v>
      </c>
      <c r="EF232" s="609">
        <f t="shared" si="266"/>
        <v>1470.0285000000017</v>
      </c>
      <c r="EG232" s="609">
        <f t="shared" si="266"/>
        <v>0</v>
      </c>
      <c r="EH232" s="609">
        <f t="shared" si="266"/>
        <v>0</v>
      </c>
      <c r="EI232" s="609">
        <f t="shared" si="266"/>
        <v>0</v>
      </c>
      <c r="EJ232" s="609">
        <f t="shared" si="266"/>
        <v>0</v>
      </c>
      <c r="EK232" s="609">
        <f t="shared" si="266"/>
        <v>0</v>
      </c>
      <c r="EL232" s="609">
        <f t="shared" si="266"/>
        <v>1470.0285000000017</v>
      </c>
      <c r="EM232" s="609">
        <f t="shared" si="266"/>
        <v>0</v>
      </c>
      <c r="EN232" s="609">
        <f t="shared" si="266"/>
        <v>0</v>
      </c>
      <c r="EO232" s="609">
        <f t="shared" si="266"/>
        <v>0</v>
      </c>
      <c r="EP232" s="609">
        <f t="shared" si="266"/>
        <v>0</v>
      </c>
      <c r="EQ232" s="609">
        <f t="shared" si="266"/>
        <v>0</v>
      </c>
      <c r="ER232" s="609">
        <f t="shared" si="266"/>
        <v>1470.0285000000017</v>
      </c>
      <c r="ES232" s="609">
        <f t="shared" si="266"/>
        <v>0</v>
      </c>
      <c r="ET232" s="609">
        <f t="shared" si="266"/>
        <v>0</v>
      </c>
      <c r="EU232" s="609">
        <f t="shared" si="266"/>
        <v>0</v>
      </c>
      <c r="EV232" s="609">
        <f t="shared" si="266"/>
        <v>0</v>
      </c>
      <c r="EW232" s="609">
        <f t="shared" si="266"/>
        <v>0</v>
      </c>
      <c r="EX232" s="609">
        <f t="shared" si="266"/>
        <v>1470.0285000000017</v>
      </c>
      <c r="EY232" s="609">
        <f t="shared" si="266"/>
        <v>0</v>
      </c>
      <c r="EZ232" s="609">
        <f t="shared" si="266"/>
        <v>0</v>
      </c>
      <c r="FA232" s="609">
        <f t="shared" si="266"/>
        <v>0</v>
      </c>
      <c r="FB232" s="609">
        <f t="shared" si="266"/>
        <v>0</v>
      </c>
      <c r="FC232" s="609">
        <f t="shared" si="266"/>
        <v>0</v>
      </c>
      <c r="FD232" s="609">
        <f t="shared" si="266"/>
        <v>1470.0285000000017</v>
      </c>
      <c r="FE232" s="609">
        <f t="shared" si="266"/>
        <v>0</v>
      </c>
      <c r="FF232" s="609">
        <f t="shared" si="266"/>
        <v>0</v>
      </c>
      <c r="FG232" s="609">
        <f t="shared" si="266"/>
        <v>0</v>
      </c>
      <c r="FH232" s="609">
        <f t="shared" si="266"/>
        <v>0</v>
      </c>
      <c r="FI232" s="609">
        <f t="shared" si="266"/>
        <v>0</v>
      </c>
      <c r="FJ232" s="609">
        <f t="shared" si="266"/>
        <v>1470.0285000000017</v>
      </c>
      <c r="FK232" s="609">
        <f t="shared" si="266"/>
        <v>0</v>
      </c>
      <c r="FL232" s="609">
        <f t="shared" si="266"/>
        <v>0</v>
      </c>
      <c r="FM232" s="609">
        <f t="shared" si="266"/>
        <v>0</v>
      </c>
      <c r="FN232" s="609">
        <f t="shared" si="266"/>
        <v>0</v>
      </c>
      <c r="FO232" s="609">
        <f t="shared" si="266"/>
        <v>0</v>
      </c>
      <c r="FP232" s="609">
        <f t="shared" si="266"/>
        <v>1470.0285000000017</v>
      </c>
      <c r="FQ232" s="609">
        <f t="shared" si="266"/>
        <v>0</v>
      </c>
      <c r="FR232" s="609">
        <f t="shared" ref="FR232:GZ232" si="267">IF(FR222=0,0,IF(FR32&gt;0,FR32,FL232-FR231))</f>
        <v>0</v>
      </c>
      <c r="FS232" s="609">
        <f t="shared" si="267"/>
        <v>0</v>
      </c>
      <c r="FT232" s="609">
        <f t="shared" si="267"/>
        <v>0</v>
      </c>
      <c r="FU232" s="609">
        <f t="shared" si="267"/>
        <v>0</v>
      </c>
      <c r="FV232" s="609">
        <f t="shared" si="267"/>
        <v>1470.0285000000017</v>
      </c>
      <c r="FW232" s="609">
        <f t="shared" si="267"/>
        <v>0</v>
      </c>
      <c r="FX232" s="609">
        <f t="shared" si="267"/>
        <v>0</v>
      </c>
      <c r="FY232" s="609">
        <f t="shared" si="267"/>
        <v>0</v>
      </c>
      <c r="FZ232" s="609">
        <f t="shared" si="267"/>
        <v>0</v>
      </c>
      <c r="GA232" s="609">
        <f t="shared" si="267"/>
        <v>0</v>
      </c>
      <c r="GB232" s="609">
        <f t="shared" si="267"/>
        <v>1470.0285000000017</v>
      </c>
      <c r="GC232" s="609">
        <f t="shared" si="267"/>
        <v>0</v>
      </c>
      <c r="GD232" s="609">
        <f t="shared" si="267"/>
        <v>0</v>
      </c>
      <c r="GE232" s="609">
        <f t="shared" si="267"/>
        <v>0</v>
      </c>
      <c r="GF232" s="609">
        <f t="shared" si="267"/>
        <v>0</v>
      </c>
      <c r="GG232" s="609">
        <f t="shared" si="267"/>
        <v>0</v>
      </c>
      <c r="GH232" s="609">
        <f t="shared" si="267"/>
        <v>1470.0285000000017</v>
      </c>
      <c r="GI232" s="609">
        <f t="shared" si="267"/>
        <v>0</v>
      </c>
      <c r="GJ232" s="609">
        <f t="shared" si="267"/>
        <v>0</v>
      </c>
      <c r="GK232" s="609">
        <f t="shared" si="267"/>
        <v>0</v>
      </c>
      <c r="GL232" s="609">
        <f t="shared" si="267"/>
        <v>0</v>
      </c>
      <c r="GM232" s="609">
        <f t="shared" si="267"/>
        <v>0</v>
      </c>
      <c r="GN232" s="609">
        <f t="shared" si="267"/>
        <v>1470.0285000000017</v>
      </c>
      <c r="GO232" s="609">
        <f t="shared" si="267"/>
        <v>0</v>
      </c>
      <c r="GP232" s="609">
        <f t="shared" si="267"/>
        <v>0</v>
      </c>
      <c r="GQ232" s="609">
        <f t="shared" si="267"/>
        <v>0</v>
      </c>
      <c r="GR232" s="609">
        <f t="shared" si="267"/>
        <v>0</v>
      </c>
      <c r="GS232" s="609">
        <f t="shared" si="267"/>
        <v>0</v>
      </c>
      <c r="GT232" s="609">
        <f t="shared" si="267"/>
        <v>1470.0285000000017</v>
      </c>
      <c r="GU232" s="609">
        <f t="shared" si="267"/>
        <v>0</v>
      </c>
      <c r="GV232" s="609">
        <f t="shared" si="267"/>
        <v>0</v>
      </c>
      <c r="GW232" s="609">
        <f t="shared" si="267"/>
        <v>0</v>
      </c>
      <c r="GX232" s="609">
        <f t="shared" si="267"/>
        <v>0</v>
      </c>
      <c r="GY232" s="609">
        <f t="shared" si="267"/>
        <v>0</v>
      </c>
      <c r="GZ232" s="609">
        <f t="shared" si="267"/>
        <v>1470.0285000000017</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8.5023956625898371</v>
      </c>
      <c r="V233" s="623">
        <f>(IF(V222=0,0,V232/V222))</f>
        <v>8.5023956625898371</v>
      </c>
      <c r="W233" s="624"/>
      <c r="X233" s="624"/>
      <c r="Y233" s="624"/>
      <c r="Z233" s="624"/>
      <c r="AA233" s="624"/>
      <c r="AB233" s="623">
        <f>(IF(AB222=0,0,AB232/AB222))</f>
        <v>8.5023956625898371</v>
      </c>
      <c r="AC233" s="625"/>
      <c r="AD233" s="625"/>
      <c r="AE233" s="625"/>
      <c r="AF233" s="625"/>
      <c r="AG233" s="625"/>
      <c r="AH233" s="623">
        <f>(IF(AH222=0,0,AH232/AH222))</f>
        <v>8.5023956625898371</v>
      </c>
      <c r="AI233" s="624"/>
      <c r="AJ233" s="624"/>
      <c r="AK233" s="624"/>
      <c r="AL233" s="624"/>
      <c r="AM233" s="624"/>
      <c r="AN233" s="623">
        <f>(IF(AN222=0,0,AN232/AN222))</f>
        <v>8.5023956625898371</v>
      </c>
      <c r="AO233" s="626"/>
      <c r="AP233" s="626"/>
      <c r="AQ233" s="626"/>
      <c r="AR233" s="626"/>
      <c r="AS233" s="626"/>
      <c r="AT233" s="627">
        <f>(IF(AT222=0,0,AT232/AT222))</f>
        <v>7.4736057874164672</v>
      </c>
      <c r="AU233" s="317"/>
      <c r="AV233" s="317"/>
      <c r="AW233" s="317"/>
      <c r="AX233" s="317"/>
      <c r="AY233" s="317"/>
      <c r="AZ233" s="623">
        <f>(IF(AZ222=0,0,AZ232/AZ222))</f>
        <v>5.5138035871895097</v>
      </c>
      <c r="BA233" s="317"/>
      <c r="BB233" s="317"/>
      <c r="BC233" s="317"/>
      <c r="BD233" s="317"/>
      <c r="BE233" s="317"/>
      <c r="BF233" s="623">
        <f>(IF(BF222=0,0,BF232/BF222))</f>
        <v>3.2096543626276639</v>
      </c>
      <c r="BG233" s="317"/>
      <c r="BH233" s="317"/>
      <c r="BI233" s="317"/>
      <c r="BJ233" s="317"/>
      <c r="BK233" s="317"/>
      <c r="BL233" s="623">
        <f>(IF(BL222=0,0,BL232/BL222))</f>
        <v>1.6749719455301983</v>
      </c>
      <c r="BM233" s="317"/>
      <c r="BN233" s="317"/>
      <c r="BO233" s="317"/>
      <c r="BP233" s="317"/>
      <c r="BQ233" s="317"/>
      <c r="BR233" s="623">
        <f>(IF(BR222=0,0,BR232/BR222))</f>
        <v>0.46338056361114666</v>
      </c>
      <c r="BS233" s="317"/>
      <c r="BT233" s="317"/>
      <c r="BU233" s="317"/>
      <c r="BV233" s="317"/>
      <c r="BW233" s="317"/>
      <c r="BX233" s="623">
        <f>(IF(BX222=0,0,BX232/BX222))</f>
        <v>0.46338056361114666</v>
      </c>
      <c r="BY233" s="317"/>
      <c r="BZ233" s="317"/>
      <c r="CA233" s="317"/>
      <c r="CB233" s="317"/>
      <c r="CC233" s="317"/>
      <c r="CD233" s="623">
        <f>(IF(CD222=0,0,CD232/CD222))</f>
        <v>0.46338056361114666</v>
      </c>
      <c r="CE233" s="317"/>
      <c r="CF233" s="317"/>
      <c r="CG233" s="317"/>
      <c r="CH233" s="317"/>
      <c r="CI233" s="317"/>
      <c r="CJ233" s="623">
        <f>(IF(CJ222=0,0,CJ232/CJ222))</f>
        <v>0.46338056361114666</v>
      </c>
      <c r="CK233" s="317"/>
      <c r="CL233" s="317"/>
      <c r="CM233" s="317"/>
      <c r="CN233" s="317"/>
      <c r="CO233" s="317"/>
      <c r="CP233" s="623">
        <f>(IF(CP222=0,0,CP232/CP222))</f>
        <v>0.46338056361114666</v>
      </c>
      <c r="CQ233" s="317"/>
      <c r="CR233" s="317"/>
      <c r="CS233" s="317"/>
      <c r="CT233" s="317"/>
      <c r="CU233" s="317"/>
      <c r="CV233" s="623">
        <f>(IF(CV222=0,0,CV232/CV222))</f>
        <v>0.46338056361114666</v>
      </c>
      <c r="CW233" s="628"/>
      <c r="CX233" s="629"/>
      <c r="CY233" s="629"/>
      <c r="CZ233" s="628"/>
      <c r="DA233" s="628"/>
      <c r="DB233" s="623">
        <f>(IF(DB222=0,0,DB232/DB222))</f>
        <v>0.46338056361114666</v>
      </c>
      <c r="DC233" s="317"/>
      <c r="DD233" s="317"/>
      <c r="DE233" s="317"/>
      <c r="DF233" s="317"/>
      <c r="DG233" s="317"/>
      <c r="DH233" s="623">
        <f>(IF(DH222=0,0,DH232/DH222))</f>
        <v>0.46338056361114666</v>
      </c>
      <c r="DI233" s="317"/>
      <c r="DJ233" s="317"/>
      <c r="DK233" s="317"/>
      <c r="DL233" s="317"/>
      <c r="DM233" s="317"/>
      <c r="DN233" s="623">
        <f>(IF(DN222=0,0,DN232/DN222))</f>
        <v>0.46338056361114666</v>
      </c>
      <c r="DO233" s="317"/>
      <c r="DP233" s="317"/>
      <c r="DQ233" s="317"/>
      <c r="DR233" s="317"/>
      <c r="DS233" s="317"/>
      <c r="DT233" s="623">
        <f>(IF(DT222=0,0,DT232/DT222))</f>
        <v>0.46338056361114666</v>
      </c>
      <c r="DU233" s="317"/>
      <c r="DV233" s="317"/>
      <c r="DW233" s="317"/>
      <c r="DX233" s="317"/>
      <c r="DY233" s="317"/>
      <c r="DZ233" s="623">
        <f>(IF(DZ222=0,0,DZ232/DZ222))</f>
        <v>0.46338056361114666</v>
      </c>
      <c r="EA233" s="317"/>
      <c r="EB233" s="317"/>
      <c r="EC233" s="317"/>
      <c r="ED233" s="317"/>
      <c r="EE233" s="317"/>
      <c r="EF233" s="623">
        <f>(IF(EF222=0,0,EF232/EF222))</f>
        <v>0.46338056361114666</v>
      </c>
      <c r="EG233" s="317"/>
      <c r="EH233" s="317"/>
      <c r="EI233" s="317"/>
      <c r="EJ233" s="317"/>
      <c r="EK233" s="317"/>
      <c r="EL233" s="623">
        <f>(IF(EL222=0,0,EL232/EL222))</f>
        <v>0.46338056361114666</v>
      </c>
      <c r="EM233" s="317"/>
      <c r="EN233" s="317"/>
      <c r="EO233" s="317"/>
      <c r="EP233" s="317"/>
      <c r="EQ233" s="317"/>
      <c r="ER233" s="623">
        <f>(IF(ER222=0,0,ER232/ER222))</f>
        <v>0.46338056361114666</v>
      </c>
      <c r="ES233" s="317"/>
      <c r="ET233" s="317"/>
      <c r="EU233" s="317"/>
      <c r="EV233" s="317"/>
      <c r="EW233" s="317"/>
      <c r="EX233" s="623">
        <f>(IF(EX222=0,0,EX232/EX222))</f>
        <v>0.46338056361114666</v>
      </c>
      <c r="EY233" s="317"/>
      <c r="EZ233" s="317"/>
      <c r="FA233" s="317"/>
      <c r="FB233" s="317"/>
      <c r="FC233" s="317"/>
      <c r="FD233" s="623">
        <f>(IF(FD222=0,0,FD232/FD222))</f>
        <v>0.46338056361114666</v>
      </c>
      <c r="FE233" s="317"/>
      <c r="FF233" s="317"/>
      <c r="FG233" s="317"/>
      <c r="FH233" s="317"/>
      <c r="FI233" s="317"/>
      <c r="FJ233" s="623">
        <f>(IF(FJ222=0,0,FJ232/FJ222))</f>
        <v>0.46338056361114666</v>
      </c>
      <c r="FK233" s="317"/>
      <c r="FL233" s="317"/>
      <c r="FM233" s="317"/>
      <c r="FN233" s="317"/>
      <c r="FO233" s="317"/>
      <c r="FP233" s="623">
        <f>(IF(FP222=0,0,FP232/FP222))</f>
        <v>0.46338056361114666</v>
      </c>
      <c r="FQ233" s="317"/>
      <c r="FR233" s="317"/>
      <c r="FS233" s="317"/>
      <c r="FT233" s="317"/>
      <c r="FU233" s="317"/>
      <c r="FV233" s="623">
        <f>(IF(FV222=0,0,FV232/FV222))</f>
        <v>0.46338056361114666</v>
      </c>
      <c r="FW233" s="317"/>
      <c r="FX233" s="317"/>
      <c r="FY233" s="317"/>
      <c r="FZ233" s="317"/>
      <c r="GA233" s="317"/>
      <c r="GB233" s="623">
        <f>(IF(GB222=0,0,GB232/GB222))</f>
        <v>0.46338056361114666</v>
      </c>
      <c r="GC233" s="317"/>
      <c r="GD233" s="317"/>
      <c r="GE233" s="317"/>
      <c r="GF233" s="317"/>
      <c r="GG233" s="317"/>
      <c r="GH233" s="623">
        <f>(IF(GH222=0,0,GH232/GH222))</f>
        <v>0.46338056361114666</v>
      </c>
      <c r="GI233" s="317"/>
      <c r="GJ233" s="317"/>
      <c r="GK233" s="317"/>
      <c r="GL233" s="317"/>
      <c r="GM233" s="317"/>
      <c r="GN233" s="623">
        <f>(IF(GN222=0,0,GN232/GN222))</f>
        <v>0.46338056361114666</v>
      </c>
      <c r="GO233" s="317"/>
      <c r="GP233" s="317"/>
      <c r="GQ233" s="317"/>
      <c r="GR233" s="317"/>
      <c r="GS233" s="317"/>
      <c r="GT233" s="623">
        <f>(IF(GT222=0,0,GT232/GT222))</f>
        <v>0.46338056361114666</v>
      </c>
      <c r="GU233" s="317"/>
      <c r="GV233" s="317"/>
      <c r="GW233" s="317"/>
      <c r="GX233" s="317"/>
      <c r="GY233" s="317"/>
      <c r="GZ233" s="630">
        <f>(IF(GZ222=0,0,GZ232/GZ222))</f>
        <v>0.46338056361114666</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0</v>
      </c>
      <c r="AU234" s="604">
        <f t="shared" si="268"/>
        <v>5536.5762186688562</v>
      </c>
      <c r="AV234" s="604">
        <f t="shared" si="268"/>
        <v>4.45</v>
      </c>
      <c r="AW234" s="604">
        <f t="shared" si="268"/>
        <v>82587.424000000014</v>
      </c>
      <c r="AX234" s="604">
        <f t="shared" si="268"/>
        <v>6217.2764999999999</v>
      </c>
      <c r="AY234" s="604">
        <f t="shared" si="268"/>
        <v>-1355.5270888214263</v>
      </c>
      <c r="AZ234" s="604">
        <f t="shared" si="268"/>
        <v>0</v>
      </c>
      <c r="BA234" s="604">
        <f t="shared" si="268"/>
        <v>8359.8832194393563</v>
      </c>
      <c r="BB234" s="604">
        <f t="shared" si="268"/>
        <v>3.5750000000000002</v>
      </c>
      <c r="BC234" s="604">
        <f t="shared" si="268"/>
        <v>84728.793999999994</v>
      </c>
      <c r="BD234" s="604">
        <f t="shared" si="268"/>
        <v>7309.6829999999991</v>
      </c>
      <c r="BE234" s="604">
        <f t="shared" si="268"/>
        <v>25214.28125246429</v>
      </c>
      <c r="BF234" s="604">
        <f t="shared" si="268"/>
        <v>0</v>
      </c>
      <c r="BG234" s="604">
        <f t="shared" si="268"/>
        <v>16637.98363812593</v>
      </c>
      <c r="BH234" s="604">
        <f t="shared" si="268"/>
        <v>0.45</v>
      </c>
      <c r="BI234" s="604">
        <f t="shared" si="268"/>
        <v>32463.504000000001</v>
      </c>
      <c r="BJ234" s="604">
        <f t="shared" si="268"/>
        <v>4868.6264999999994</v>
      </c>
      <c r="BK234" s="604">
        <f t="shared" si="268"/>
        <v>-13052.793747535714</v>
      </c>
      <c r="BL234" s="604">
        <f t="shared" si="268"/>
        <v>0</v>
      </c>
      <c r="BM234" s="604">
        <f t="shared" si="268"/>
        <v>3500.6674881259278</v>
      </c>
      <c r="BN234" s="604">
        <f t="shared" si="268"/>
        <v>0.25</v>
      </c>
      <c r="BO234" s="604">
        <f t="shared" si="268"/>
        <v>29418</v>
      </c>
      <c r="BP234" s="604">
        <f t="shared" si="268"/>
        <v>3843.6524999999997</v>
      </c>
      <c r="BQ234" s="604">
        <f t="shared" si="268"/>
        <v>-10192.237738392856</v>
      </c>
      <c r="BR234" s="604">
        <f t="shared" si="268"/>
        <v>0</v>
      </c>
      <c r="BS234" s="604">
        <f t="shared" si="268"/>
        <v>2792.2851144482138</v>
      </c>
      <c r="BT234" s="604">
        <f t="shared" si="268"/>
        <v>0</v>
      </c>
      <c r="BU234" s="604">
        <f t="shared" si="268"/>
        <v>0</v>
      </c>
      <c r="BV234" s="604">
        <f t="shared" si="268"/>
        <v>0</v>
      </c>
      <c r="BW234" s="604">
        <f t="shared" si="268"/>
        <v>0</v>
      </c>
      <c r="BX234" s="604">
        <f t="shared" si="268"/>
        <v>0</v>
      </c>
      <c r="BY234" s="604">
        <f t="shared" si="268"/>
        <v>0</v>
      </c>
      <c r="BZ234" s="604">
        <f t="shared" si="268"/>
        <v>0</v>
      </c>
      <c r="CA234" s="604">
        <f t="shared" si="268"/>
        <v>0</v>
      </c>
      <c r="CB234" s="604">
        <f t="shared" si="268"/>
        <v>0</v>
      </c>
      <c r="CC234" s="604">
        <f t="shared" si="268"/>
        <v>0</v>
      </c>
      <c r="CD234" s="604">
        <f t="shared" si="268"/>
        <v>0</v>
      </c>
      <c r="CE234" s="604">
        <f t="shared" si="268"/>
        <v>0</v>
      </c>
      <c r="CF234" s="604">
        <f t="shared" si="268"/>
        <v>0</v>
      </c>
      <c r="CG234" s="604">
        <f t="shared" si="268"/>
        <v>0</v>
      </c>
      <c r="CH234" s="604">
        <f t="shared" si="268"/>
        <v>0</v>
      </c>
      <c r="CI234" s="604">
        <f t="shared" si="268"/>
        <v>0</v>
      </c>
      <c r="CJ234" s="604">
        <f t="shared" si="268"/>
        <v>0</v>
      </c>
      <c r="CK234" s="604">
        <f t="shared" si="268"/>
        <v>0</v>
      </c>
      <c r="CL234" s="604">
        <f t="shared" si="268"/>
        <v>0</v>
      </c>
      <c r="CM234" s="604">
        <f t="shared" si="268"/>
        <v>0</v>
      </c>
      <c r="CN234" s="604">
        <f t="shared" si="268"/>
        <v>0</v>
      </c>
      <c r="CO234" s="604">
        <f t="shared" si="268"/>
        <v>0</v>
      </c>
      <c r="CP234" s="604">
        <f t="shared" si="268"/>
        <v>0</v>
      </c>
      <c r="CQ234" s="604">
        <f t="shared" si="268"/>
        <v>0</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v>
      </c>
      <c r="DQ234" s="604">
        <f t="shared" si="269"/>
        <v>0</v>
      </c>
      <c r="DR234" s="604">
        <f t="shared" si="269"/>
        <v>0</v>
      </c>
      <c r="DS234" s="604">
        <f t="shared" si="269"/>
        <v>0</v>
      </c>
      <c r="DT234" s="604">
        <f t="shared" si="269"/>
        <v>0</v>
      </c>
      <c r="DU234" s="604">
        <f t="shared" si="269"/>
        <v>0</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0</v>
      </c>
      <c r="V235" s="634">
        <f>V$33</f>
        <v>0</v>
      </c>
      <c r="W235" s="605"/>
      <c r="X235" s="606"/>
      <c r="Y235" s="606"/>
      <c r="Z235" s="605"/>
      <c r="AA235" s="605"/>
      <c r="AB235" s="634">
        <f>AB$33</f>
        <v>0</v>
      </c>
      <c r="AC235" s="607"/>
      <c r="AD235" s="608"/>
      <c r="AE235" s="608"/>
      <c r="AF235" s="607"/>
      <c r="AG235" s="607"/>
      <c r="AH235" s="634">
        <f>AH$33</f>
        <v>0</v>
      </c>
      <c r="AI235" s="605"/>
      <c r="AJ235" s="606"/>
      <c r="AK235" s="606"/>
      <c r="AL235" s="605"/>
      <c r="AM235" s="605"/>
      <c r="AN235" s="634">
        <f>AN$33</f>
        <v>0</v>
      </c>
      <c r="AO235" s="439"/>
      <c r="AP235" s="530"/>
      <c r="AQ235" s="530"/>
      <c r="AR235" s="439"/>
      <c r="AS235" s="439"/>
      <c r="AT235" s="634">
        <f t="shared" ref="AT235:DE235" si="271">IF(AT222=0,0,IF(AT33&gt;0,AT33,IF(AN235=0,0,IF(AN235&lt;AT242,0,AN235-AT234+AX44))))</f>
        <v>0</v>
      </c>
      <c r="AU235" s="634">
        <f t="shared" si="271"/>
        <v>0</v>
      </c>
      <c r="AV235" s="634">
        <f t="shared" si="271"/>
        <v>0</v>
      </c>
      <c r="AW235" s="634">
        <f t="shared" si="271"/>
        <v>0</v>
      </c>
      <c r="AX235" s="634">
        <f t="shared" si="271"/>
        <v>0</v>
      </c>
      <c r="AY235" s="634">
        <f t="shared" si="271"/>
        <v>0</v>
      </c>
      <c r="AZ235" s="634">
        <f t="shared" si="271"/>
        <v>0</v>
      </c>
      <c r="BA235" s="634">
        <f t="shared" si="271"/>
        <v>0</v>
      </c>
      <c r="BB235" s="634">
        <f t="shared" si="271"/>
        <v>0</v>
      </c>
      <c r="BC235" s="634">
        <f t="shared" si="271"/>
        <v>0</v>
      </c>
      <c r="BD235" s="634">
        <f t="shared" si="271"/>
        <v>0</v>
      </c>
      <c r="BE235" s="634">
        <f t="shared" si="271"/>
        <v>0</v>
      </c>
      <c r="BF235" s="634">
        <f t="shared" si="271"/>
        <v>0</v>
      </c>
      <c r="BG235" s="634">
        <f t="shared" si="271"/>
        <v>0</v>
      </c>
      <c r="BH235" s="634">
        <f t="shared" si="271"/>
        <v>0</v>
      </c>
      <c r="BI235" s="634">
        <f t="shared" si="271"/>
        <v>0</v>
      </c>
      <c r="BJ235" s="634">
        <f t="shared" si="271"/>
        <v>0</v>
      </c>
      <c r="BK235" s="634">
        <f t="shared" si="271"/>
        <v>0</v>
      </c>
      <c r="BL235" s="634">
        <f t="shared" si="271"/>
        <v>0</v>
      </c>
      <c r="BM235" s="634">
        <f t="shared" si="271"/>
        <v>0</v>
      </c>
      <c r="BN235" s="634">
        <f t="shared" si="271"/>
        <v>0</v>
      </c>
      <c r="BO235" s="634">
        <f t="shared" si="271"/>
        <v>0</v>
      </c>
      <c r="BP235" s="634">
        <f t="shared" si="271"/>
        <v>0</v>
      </c>
      <c r="BQ235" s="634">
        <f t="shared" si="271"/>
        <v>0</v>
      </c>
      <c r="BR235" s="634">
        <f t="shared" si="271"/>
        <v>0</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v>
      </c>
      <c r="V236" s="604">
        <f>(IF(V222=0,0,V235/V222))</f>
        <v>0</v>
      </c>
      <c r="W236" s="574"/>
      <c r="X236" s="575"/>
      <c r="Y236" s="575"/>
      <c r="Z236" s="574"/>
      <c r="AA236" s="574"/>
      <c r="AB236" s="604">
        <f>(IF(AB222=0,0,AB235/AB222))</f>
        <v>0</v>
      </c>
      <c r="AC236" s="574"/>
      <c r="AD236" s="575"/>
      <c r="AE236" s="575"/>
      <c r="AF236" s="574"/>
      <c r="AG236" s="574"/>
      <c r="AH236" s="604">
        <f>(IF(AH222=0,0,AH235/AH222))</f>
        <v>0</v>
      </c>
      <c r="AI236" s="574"/>
      <c r="AJ236" s="575"/>
      <c r="AK236" s="575"/>
      <c r="AL236" s="574"/>
      <c r="AM236" s="574"/>
      <c r="AN236" s="604">
        <f>(IF(AN222=0,0,AN235/AN222))</f>
        <v>0</v>
      </c>
      <c r="AO236" s="439"/>
      <c r="AP236" s="530"/>
      <c r="AQ236" s="530"/>
      <c r="AR236" s="439"/>
      <c r="AS236" s="439"/>
      <c r="AT236" s="609">
        <f>(IF(AT222=0,0,AT235/AT222))</f>
        <v>0</v>
      </c>
      <c r="AU236" s="574"/>
      <c r="AV236" s="575"/>
      <c r="AW236" s="575"/>
      <c r="AX236" s="574"/>
      <c r="AY236" s="574"/>
      <c r="AZ236" s="604">
        <f>(IF(AZ222=0,0,AZ235/AZ222))</f>
        <v>0</v>
      </c>
      <c r="BA236" s="315"/>
      <c r="BB236" s="316"/>
      <c r="BC236" s="316"/>
      <c r="BD236" s="315"/>
      <c r="BE236" s="315"/>
      <c r="BF236" s="604">
        <f>(IF(BF222=0,0,BF235/BF222))</f>
        <v>0</v>
      </c>
      <c r="BG236" s="315"/>
      <c r="BH236" s="316"/>
      <c r="BI236" s="316"/>
      <c r="BJ236" s="315"/>
      <c r="BK236" s="315"/>
      <c r="BL236" s="604">
        <f>(IF(BL222=0,0,BL235/BL222))</f>
        <v>0</v>
      </c>
      <c r="BM236" s="315"/>
      <c r="BN236" s="316"/>
      <c r="BO236" s="316"/>
      <c r="BP236" s="315"/>
      <c r="BQ236" s="315"/>
      <c r="BR236" s="604">
        <f>(IF(BR222=0,0,BR235/BR222))</f>
        <v>0</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325891.77799999999</v>
      </c>
      <c r="V237" s="604">
        <f>V34</f>
        <v>325891.77799999999</v>
      </c>
      <c r="W237" s="574"/>
      <c r="X237" s="575"/>
      <c r="Y237" s="575"/>
      <c r="Z237" s="574"/>
      <c r="AA237" s="574"/>
      <c r="AB237" s="604">
        <f>AB34</f>
        <v>325891.77799999999</v>
      </c>
      <c r="AC237" s="315"/>
      <c r="AD237" s="316"/>
      <c r="AE237" s="316"/>
      <c r="AF237" s="315"/>
      <c r="AG237" s="315"/>
      <c r="AH237" s="604">
        <f>AH34</f>
        <v>325891.77799999999</v>
      </c>
      <c r="AI237" s="574"/>
      <c r="AJ237" s="575"/>
      <c r="AK237" s="575"/>
      <c r="AL237" s="574"/>
      <c r="AM237" s="574"/>
      <c r="AN237" s="604">
        <f>AN34</f>
        <v>325891.77799999999</v>
      </c>
      <c r="AO237" s="439"/>
      <c r="AP237" s="530"/>
      <c r="AQ237" s="530"/>
      <c r="AR237" s="439"/>
      <c r="AS237" s="439"/>
      <c r="AT237" s="604">
        <f t="shared" ref="AT237:BK237" si="274">AT229+(AT232*9.786)+(AT235*278)+(AT242*278)</f>
        <v>290144.42222157144</v>
      </c>
      <c r="AU237" s="604">
        <f t="shared" si="274"/>
        <v>0</v>
      </c>
      <c r="AV237" s="604">
        <f t="shared" si="274"/>
        <v>0</v>
      </c>
      <c r="AW237" s="604">
        <f t="shared" si="274"/>
        <v>0</v>
      </c>
      <c r="AX237" s="604">
        <f t="shared" si="274"/>
        <v>0</v>
      </c>
      <c r="AY237" s="604">
        <f t="shared" si="274"/>
        <v>0</v>
      </c>
      <c r="AZ237" s="604">
        <f t="shared" si="274"/>
        <v>230657.68148139285</v>
      </c>
      <c r="BA237" s="604">
        <f t="shared" si="274"/>
        <v>0</v>
      </c>
      <c r="BB237" s="604">
        <f t="shared" si="274"/>
        <v>0</v>
      </c>
      <c r="BC237" s="604">
        <f t="shared" si="274"/>
        <v>0</v>
      </c>
      <c r="BD237" s="604">
        <f t="shared" si="274"/>
        <v>0</v>
      </c>
      <c r="BE237" s="604">
        <f t="shared" si="274"/>
        <v>0</v>
      </c>
      <c r="BF237" s="604">
        <f t="shared" si="274"/>
        <v>133910.84239092856</v>
      </c>
      <c r="BG237" s="604">
        <f t="shared" si="274"/>
        <v>0</v>
      </c>
      <c r="BH237" s="604">
        <f t="shared" si="274"/>
        <v>0</v>
      </c>
      <c r="BI237" s="604">
        <f t="shared" si="274"/>
        <v>0</v>
      </c>
      <c r="BJ237" s="604">
        <f t="shared" si="274"/>
        <v>0</v>
      </c>
      <c r="BK237" s="604">
        <f t="shared" si="274"/>
        <v>0</v>
      </c>
      <c r="BL237" s="604">
        <f>BL229+(BL232*9.786)+(BL235*278)+(BL242*278)</f>
        <v>99319.257209464296</v>
      </c>
      <c r="BM237" s="604">
        <f t="shared" ref="BM237:DX237" si="275">BM229+(BM232*9.786)+(BM235*278)+(BM242*278)</f>
        <v>0</v>
      </c>
      <c r="BN237" s="604">
        <f t="shared" si="275"/>
        <v>0</v>
      </c>
      <c r="BO237" s="604">
        <f t="shared" si="275"/>
        <v>0</v>
      </c>
      <c r="BP237" s="604">
        <f t="shared" si="275"/>
        <v>0</v>
      </c>
      <c r="BQ237" s="604">
        <f t="shared" si="275"/>
        <v>0</v>
      </c>
      <c r="BR237" s="604">
        <f t="shared" si="275"/>
        <v>71897.511582857143</v>
      </c>
      <c r="BS237" s="604">
        <f t="shared" si="275"/>
        <v>0</v>
      </c>
      <c r="BT237" s="604">
        <f t="shared" si="275"/>
        <v>0</v>
      </c>
      <c r="BU237" s="604">
        <f t="shared" si="275"/>
        <v>0</v>
      </c>
      <c r="BV237" s="604">
        <f t="shared" si="275"/>
        <v>0</v>
      </c>
      <c r="BW237" s="604">
        <f t="shared" si="275"/>
        <v>0</v>
      </c>
      <c r="BX237" s="604">
        <f t="shared" si="275"/>
        <v>71897.511582857143</v>
      </c>
      <c r="BY237" s="604">
        <f t="shared" si="275"/>
        <v>0</v>
      </c>
      <c r="BZ237" s="604">
        <f t="shared" si="275"/>
        <v>0</v>
      </c>
      <c r="CA237" s="604">
        <f t="shared" si="275"/>
        <v>0</v>
      </c>
      <c r="CB237" s="604">
        <f t="shared" si="275"/>
        <v>0</v>
      </c>
      <c r="CC237" s="604">
        <f t="shared" si="275"/>
        <v>0</v>
      </c>
      <c r="CD237" s="604">
        <f t="shared" si="275"/>
        <v>71897.511582857143</v>
      </c>
      <c r="CE237" s="604">
        <f t="shared" si="275"/>
        <v>0</v>
      </c>
      <c r="CF237" s="604">
        <f t="shared" si="275"/>
        <v>0</v>
      </c>
      <c r="CG237" s="604">
        <f t="shared" si="275"/>
        <v>0</v>
      </c>
      <c r="CH237" s="604">
        <f t="shared" si="275"/>
        <v>0</v>
      </c>
      <c r="CI237" s="604">
        <f t="shared" si="275"/>
        <v>0</v>
      </c>
      <c r="CJ237" s="604">
        <f t="shared" si="275"/>
        <v>71897.511582857143</v>
      </c>
      <c r="CK237" s="604">
        <f t="shared" si="275"/>
        <v>0</v>
      </c>
      <c r="CL237" s="604">
        <f t="shared" si="275"/>
        <v>0</v>
      </c>
      <c r="CM237" s="604">
        <f t="shared" si="275"/>
        <v>0</v>
      </c>
      <c r="CN237" s="604">
        <f t="shared" si="275"/>
        <v>0</v>
      </c>
      <c r="CO237" s="604">
        <f t="shared" si="275"/>
        <v>0</v>
      </c>
      <c r="CP237" s="604">
        <f t="shared" si="275"/>
        <v>71897.511582857143</v>
      </c>
      <c r="CQ237" s="604">
        <f t="shared" si="275"/>
        <v>0</v>
      </c>
      <c r="CR237" s="604">
        <f t="shared" si="275"/>
        <v>0</v>
      </c>
      <c r="CS237" s="604">
        <f t="shared" si="275"/>
        <v>0</v>
      </c>
      <c r="CT237" s="604">
        <f t="shared" si="275"/>
        <v>0</v>
      </c>
      <c r="CU237" s="604">
        <f t="shared" si="275"/>
        <v>0</v>
      </c>
      <c r="CV237" s="604">
        <f t="shared" si="275"/>
        <v>71897.511582857143</v>
      </c>
      <c r="CW237" s="604">
        <f t="shared" si="275"/>
        <v>0</v>
      </c>
      <c r="CX237" s="604">
        <f t="shared" si="275"/>
        <v>0</v>
      </c>
      <c r="CY237" s="604">
        <f t="shared" si="275"/>
        <v>0</v>
      </c>
      <c r="CZ237" s="604">
        <f t="shared" si="275"/>
        <v>0</v>
      </c>
      <c r="DA237" s="604">
        <f t="shared" si="275"/>
        <v>0</v>
      </c>
      <c r="DB237" s="604">
        <f t="shared" si="275"/>
        <v>71897.511582857143</v>
      </c>
      <c r="DC237" s="604">
        <f t="shared" si="275"/>
        <v>0</v>
      </c>
      <c r="DD237" s="604">
        <f t="shared" si="275"/>
        <v>0</v>
      </c>
      <c r="DE237" s="604">
        <f t="shared" si="275"/>
        <v>0</v>
      </c>
      <c r="DF237" s="604">
        <f t="shared" si="275"/>
        <v>0</v>
      </c>
      <c r="DG237" s="604">
        <f t="shared" si="275"/>
        <v>0</v>
      </c>
      <c r="DH237" s="604">
        <f t="shared" si="275"/>
        <v>71897.511582857143</v>
      </c>
      <c r="DI237" s="604">
        <f t="shared" si="275"/>
        <v>0</v>
      </c>
      <c r="DJ237" s="604">
        <f t="shared" si="275"/>
        <v>0</v>
      </c>
      <c r="DK237" s="604">
        <f t="shared" si="275"/>
        <v>0</v>
      </c>
      <c r="DL237" s="604">
        <f t="shared" si="275"/>
        <v>0</v>
      </c>
      <c r="DM237" s="604">
        <f t="shared" si="275"/>
        <v>0</v>
      </c>
      <c r="DN237" s="604">
        <f t="shared" si="275"/>
        <v>71897.511582857143</v>
      </c>
      <c r="DO237" s="604">
        <f t="shared" si="275"/>
        <v>0</v>
      </c>
      <c r="DP237" s="604">
        <f t="shared" si="275"/>
        <v>0</v>
      </c>
      <c r="DQ237" s="604">
        <f t="shared" si="275"/>
        <v>0</v>
      </c>
      <c r="DR237" s="604">
        <f t="shared" si="275"/>
        <v>0</v>
      </c>
      <c r="DS237" s="604">
        <f t="shared" si="275"/>
        <v>0</v>
      </c>
      <c r="DT237" s="604">
        <f t="shared" si="275"/>
        <v>71897.511582857143</v>
      </c>
      <c r="DU237" s="604">
        <f t="shared" si="275"/>
        <v>0</v>
      </c>
      <c r="DV237" s="604">
        <f t="shared" si="275"/>
        <v>0</v>
      </c>
      <c r="DW237" s="604">
        <f t="shared" si="275"/>
        <v>0</v>
      </c>
      <c r="DX237" s="604">
        <f t="shared" si="275"/>
        <v>0</v>
      </c>
      <c r="DY237" s="604">
        <f t="shared" ref="DY237:GJ237" si="276">DY229+(DY232*9.786)+(DY235*278)+(DY242*278)</f>
        <v>0</v>
      </c>
      <c r="DZ237" s="604">
        <f t="shared" si="276"/>
        <v>71897.511582857143</v>
      </c>
      <c r="EA237" s="604">
        <f t="shared" si="276"/>
        <v>0</v>
      </c>
      <c r="EB237" s="604">
        <f t="shared" si="276"/>
        <v>0</v>
      </c>
      <c r="EC237" s="604">
        <f t="shared" si="276"/>
        <v>0</v>
      </c>
      <c r="ED237" s="604">
        <f t="shared" si="276"/>
        <v>0</v>
      </c>
      <c r="EE237" s="604">
        <f t="shared" si="276"/>
        <v>0</v>
      </c>
      <c r="EF237" s="604">
        <f t="shared" si="276"/>
        <v>71897.511582857143</v>
      </c>
      <c r="EG237" s="604">
        <f t="shared" si="276"/>
        <v>0</v>
      </c>
      <c r="EH237" s="604">
        <f t="shared" si="276"/>
        <v>0</v>
      </c>
      <c r="EI237" s="604">
        <f t="shared" si="276"/>
        <v>0</v>
      </c>
      <c r="EJ237" s="604">
        <f t="shared" si="276"/>
        <v>0</v>
      </c>
      <c r="EK237" s="604">
        <f t="shared" si="276"/>
        <v>0</v>
      </c>
      <c r="EL237" s="604">
        <f t="shared" si="276"/>
        <v>71897.511582857143</v>
      </c>
      <c r="EM237" s="604">
        <f t="shared" si="276"/>
        <v>0</v>
      </c>
      <c r="EN237" s="604">
        <f t="shared" si="276"/>
        <v>0</v>
      </c>
      <c r="EO237" s="604">
        <f t="shared" si="276"/>
        <v>0</v>
      </c>
      <c r="EP237" s="604">
        <f t="shared" si="276"/>
        <v>0</v>
      </c>
      <c r="EQ237" s="604">
        <f t="shared" si="276"/>
        <v>0</v>
      </c>
      <c r="ER237" s="604">
        <f t="shared" si="276"/>
        <v>71897.511582857143</v>
      </c>
      <c r="ES237" s="604">
        <f t="shared" si="276"/>
        <v>0</v>
      </c>
      <c r="ET237" s="604">
        <f t="shared" si="276"/>
        <v>0</v>
      </c>
      <c r="EU237" s="604">
        <f t="shared" si="276"/>
        <v>0</v>
      </c>
      <c r="EV237" s="604">
        <f t="shared" si="276"/>
        <v>0</v>
      </c>
      <c r="EW237" s="604">
        <f t="shared" si="276"/>
        <v>0</v>
      </c>
      <c r="EX237" s="604">
        <f t="shared" si="276"/>
        <v>71897.511582857143</v>
      </c>
      <c r="EY237" s="604">
        <f t="shared" si="276"/>
        <v>0</v>
      </c>
      <c r="EZ237" s="604">
        <f t="shared" si="276"/>
        <v>0</v>
      </c>
      <c r="FA237" s="604">
        <f t="shared" si="276"/>
        <v>0</v>
      </c>
      <c r="FB237" s="604">
        <f t="shared" si="276"/>
        <v>0</v>
      </c>
      <c r="FC237" s="604">
        <f t="shared" si="276"/>
        <v>0</v>
      </c>
      <c r="FD237" s="604">
        <f t="shared" si="276"/>
        <v>71897.511582857143</v>
      </c>
      <c r="FE237" s="604">
        <f t="shared" si="276"/>
        <v>0</v>
      </c>
      <c r="FF237" s="604">
        <f t="shared" si="276"/>
        <v>0</v>
      </c>
      <c r="FG237" s="604">
        <f t="shared" si="276"/>
        <v>0</v>
      </c>
      <c r="FH237" s="604">
        <f t="shared" si="276"/>
        <v>0</v>
      </c>
      <c r="FI237" s="604">
        <f t="shared" si="276"/>
        <v>0</v>
      </c>
      <c r="FJ237" s="604">
        <f t="shared" si="276"/>
        <v>71897.511582857143</v>
      </c>
      <c r="FK237" s="604">
        <f t="shared" si="276"/>
        <v>0</v>
      </c>
      <c r="FL237" s="604">
        <f t="shared" si="276"/>
        <v>0</v>
      </c>
      <c r="FM237" s="604">
        <f t="shared" si="276"/>
        <v>0</v>
      </c>
      <c r="FN237" s="604">
        <f t="shared" si="276"/>
        <v>0</v>
      </c>
      <c r="FO237" s="604">
        <f t="shared" si="276"/>
        <v>0</v>
      </c>
      <c r="FP237" s="604">
        <f t="shared" si="276"/>
        <v>71897.511582857143</v>
      </c>
      <c r="FQ237" s="604">
        <f t="shared" si="276"/>
        <v>0</v>
      </c>
      <c r="FR237" s="604">
        <f t="shared" si="276"/>
        <v>0</v>
      </c>
      <c r="FS237" s="604">
        <f t="shared" si="276"/>
        <v>0</v>
      </c>
      <c r="FT237" s="604">
        <f t="shared" si="276"/>
        <v>0</v>
      </c>
      <c r="FU237" s="604">
        <f t="shared" si="276"/>
        <v>0</v>
      </c>
      <c r="FV237" s="604">
        <f t="shared" si="276"/>
        <v>71897.511582857143</v>
      </c>
      <c r="FW237" s="604">
        <f t="shared" si="276"/>
        <v>0</v>
      </c>
      <c r="FX237" s="604">
        <f t="shared" si="276"/>
        <v>0</v>
      </c>
      <c r="FY237" s="604">
        <f t="shared" si="276"/>
        <v>0</v>
      </c>
      <c r="FZ237" s="604">
        <f t="shared" si="276"/>
        <v>0</v>
      </c>
      <c r="GA237" s="604">
        <f t="shared" si="276"/>
        <v>0</v>
      </c>
      <c r="GB237" s="604">
        <f t="shared" si="276"/>
        <v>71897.511582857143</v>
      </c>
      <c r="GC237" s="604">
        <f t="shared" si="276"/>
        <v>0</v>
      </c>
      <c r="GD237" s="604">
        <f t="shared" si="276"/>
        <v>0</v>
      </c>
      <c r="GE237" s="604">
        <f t="shared" si="276"/>
        <v>0</v>
      </c>
      <c r="GF237" s="604">
        <f t="shared" si="276"/>
        <v>0</v>
      </c>
      <c r="GG237" s="604">
        <f t="shared" si="276"/>
        <v>0</v>
      </c>
      <c r="GH237" s="604">
        <f t="shared" si="276"/>
        <v>71897.511582857143</v>
      </c>
      <c r="GI237" s="604">
        <f t="shared" si="276"/>
        <v>0</v>
      </c>
      <c r="GJ237" s="604">
        <f t="shared" si="276"/>
        <v>0</v>
      </c>
      <c r="GK237" s="604">
        <f t="shared" ref="GK237:GZ237" si="277">GK229+(GK232*9.786)+(GK235*278)+(GK242*278)</f>
        <v>0</v>
      </c>
      <c r="GL237" s="604">
        <f t="shared" si="277"/>
        <v>0</v>
      </c>
      <c r="GM237" s="604">
        <f t="shared" si="277"/>
        <v>0</v>
      </c>
      <c r="GN237" s="604">
        <f t="shared" si="277"/>
        <v>71897.511582857143</v>
      </c>
      <c r="GO237" s="604">
        <f t="shared" si="277"/>
        <v>0</v>
      </c>
      <c r="GP237" s="604">
        <f t="shared" si="277"/>
        <v>0</v>
      </c>
      <c r="GQ237" s="604">
        <f t="shared" si="277"/>
        <v>0</v>
      </c>
      <c r="GR237" s="604">
        <f t="shared" si="277"/>
        <v>0</v>
      </c>
      <c r="GS237" s="604">
        <f t="shared" si="277"/>
        <v>0</v>
      </c>
      <c r="GT237" s="604">
        <f t="shared" si="277"/>
        <v>71897.511582857143</v>
      </c>
      <c r="GU237" s="604">
        <f t="shared" si="277"/>
        <v>0</v>
      </c>
      <c r="GV237" s="604">
        <f t="shared" si="277"/>
        <v>0</v>
      </c>
      <c r="GW237" s="604">
        <f t="shared" si="277"/>
        <v>0</v>
      </c>
      <c r="GX237" s="604">
        <f t="shared" si="277"/>
        <v>0</v>
      </c>
      <c r="GY237" s="604">
        <f t="shared" si="277"/>
        <v>0</v>
      </c>
      <c r="GZ237" s="604">
        <f t="shared" si="277"/>
        <v>71897.511582857143</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102.7272027487076</v>
      </c>
      <c r="V238" s="551">
        <f>IF(V222=0,0,V237/V222)</f>
        <v>102.7272027487076</v>
      </c>
      <c r="W238" s="552"/>
      <c r="X238" s="553"/>
      <c r="Y238" s="553"/>
      <c r="Z238" s="552"/>
      <c r="AA238" s="552"/>
      <c r="AB238" s="551">
        <f>IF(AB222=0,0,AB237/AB222)</f>
        <v>102.7272027487076</v>
      </c>
      <c r="AC238" s="552"/>
      <c r="AD238" s="553"/>
      <c r="AE238" s="553"/>
      <c r="AF238" s="552"/>
      <c r="AG238" s="552"/>
      <c r="AH238" s="551">
        <f>IF(AH222=0,0,AH237/AH222)</f>
        <v>102.7272027487076</v>
      </c>
      <c r="AI238" s="552"/>
      <c r="AJ238" s="553"/>
      <c r="AK238" s="553"/>
      <c r="AL238" s="552"/>
      <c r="AM238" s="552"/>
      <c r="AN238" s="551">
        <f>IF(AN222=0,0,AN237/AN222)</f>
        <v>102.7272027487076</v>
      </c>
      <c r="AO238" s="586"/>
      <c r="AP238" s="587"/>
      <c r="AQ238" s="587"/>
      <c r="AR238" s="586"/>
      <c r="AS238" s="586"/>
      <c r="AT238" s="550">
        <f>IF(AT222=0,0,AT237/AT222)</f>
        <v>91.458965521867171</v>
      </c>
      <c r="AU238" s="313"/>
      <c r="AV238" s="314"/>
      <c r="AW238" s="314"/>
      <c r="AX238" s="313"/>
      <c r="AY238" s="313"/>
      <c r="AZ238" s="551">
        <f>IF(AZ222=0,0,AZ237/AZ222)</f>
        <v>72.707628760998873</v>
      </c>
      <c r="BA238" s="313"/>
      <c r="BB238" s="314"/>
      <c r="BC238" s="314"/>
      <c r="BD238" s="313"/>
      <c r="BE238" s="313"/>
      <c r="BF238" s="551">
        <f>IF(BF222=0,0,BF237/BF222)</f>
        <v>42.211209932835885</v>
      </c>
      <c r="BG238" s="313"/>
      <c r="BH238" s="314"/>
      <c r="BI238" s="314"/>
      <c r="BJ238" s="313"/>
      <c r="BK238" s="313"/>
      <c r="BL238" s="551">
        <f>IF(BL222=0,0,BL237/BL222)</f>
        <v>31.307293282519321</v>
      </c>
      <c r="BM238" s="313"/>
      <c r="BN238" s="314"/>
      <c r="BO238" s="314"/>
      <c r="BP238" s="313"/>
      <c r="BQ238" s="313"/>
      <c r="BR238" s="551">
        <f>IF(BR222=0,0,BR237/BR222)</f>
        <v>22.66344457913792</v>
      </c>
      <c r="BS238" s="552"/>
      <c r="BT238" s="553"/>
      <c r="BU238" s="553"/>
      <c r="BV238" s="552"/>
      <c r="BW238" s="552"/>
      <c r="BX238" s="551">
        <f>IF(BX222=0,0,BX237/BX222)</f>
        <v>22.66344457913792</v>
      </c>
      <c r="BY238" s="313"/>
      <c r="BZ238" s="314"/>
      <c r="CA238" s="314"/>
      <c r="CB238" s="313"/>
      <c r="CC238" s="313"/>
      <c r="CD238" s="551">
        <f>IF(CD222=0,0,CD237/CD222)</f>
        <v>22.66344457913792</v>
      </c>
      <c r="CE238" s="313"/>
      <c r="CF238" s="314"/>
      <c r="CG238" s="314"/>
      <c r="CH238" s="313"/>
      <c r="CI238" s="313"/>
      <c r="CJ238" s="551">
        <f>IF(CJ222=0,0,CJ237/CJ222)</f>
        <v>22.66344457913792</v>
      </c>
      <c r="CK238" s="313"/>
      <c r="CL238" s="314"/>
      <c r="CM238" s="314"/>
      <c r="CN238" s="313"/>
      <c r="CO238" s="313"/>
      <c r="CP238" s="551">
        <f>IF(CP222=0,0,CP237/CP222)</f>
        <v>22.66344457913792</v>
      </c>
      <c r="CQ238" s="554"/>
      <c r="CR238" s="553"/>
      <c r="CS238" s="553"/>
      <c r="CT238" s="554"/>
      <c r="CU238" s="554"/>
      <c r="CV238" s="551">
        <f>IF(CV222=0,0,CV237/CV222)</f>
        <v>22.66344457913792</v>
      </c>
      <c r="CW238" s="554"/>
      <c r="CX238" s="553"/>
      <c r="CY238" s="553"/>
      <c r="CZ238" s="554"/>
      <c r="DA238" s="554"/>
      <c r="DB238" s="551">
        <f>IF(DB222=0,0,DB237/DB222)</f>
        <v>22.66344457913792</v>
      </c>
      <c r="DC238" s="313"/>
      <c r="DD238" s="314"/>
      <c r="DE238" s="314"/>
      <c r="DF238" s="313"/>
      <c r="DG238" s="313"/>
      <c r="DH238" s="551">
        <f>IF(DH222=0,0,DH237/DH222)</f>
        <v>22.66344457913792</v>
      </c>
      <c r="DI238" s="313"/>
      <c r="DJ238" s="314"/>
      <c r="DK238" s="314"/>
      <c r="DL238" s="313"/>
      <c r="DM238" s="313"/>
      <c r="DN238" s="551">
        <f>IF(DN222=0,0,DN237/DN222)</f>
        <v>22.66344457913792</v>
      </c>
      <c r="DO238" s="313"/>
      <c r="DP238" s="314"/>
      <c r="DQ238" s="314"/>
      <c r="DR238" s="313"/>
      <c r="DS238" s="313"/>
      <c r="DT238" s="551">
        <f>IF(DT222=0,0,DT237/DT222)</f>
        <v>22.66344457913792</v>
      </c>
      <c r="DU238" s="313"/>
      <c r="DV238" s="314"/>
      <c r="DW238" s="314"/>
      <c r="DX238" s="313"/>
      <c r="DY238" s="313"/>
      <c r="DZ238" s="551">
        <f>IF(DZ222=0,0,DZ237/DZ222)</f>
        <v>22.66344457913792</v>
      </c>
      <c r="EA238" s="313"/>
      <c r="EB238" s="314"/>
      <c r="EC238" s="314"/>
      <c r="ED238" s="313"/>
      <c r="EE238" s="313"/>
      <c r="EF238" s="551">
        <f>IF(EF222=0,0,EF237/EF222)</f>
        <v>22.66344457913792</v>
      </c>
      <c r="EG238" s="313"/>
      <c r="EH238" s="314"/>
      <c r="EI238" s="314"/>
      <c r="EJ238" s="313"/>
      <c r="EK238" s="313"/>
      <c r="EL238" s="551">
        <f>IF(EL222=0,0,EL237/EL222)</f>
        <v>22.66344457913792</v>
      </c>
      <c r="EM238" s="313"/>
      <c r="EN238" s="314"/>
      <c r="EO238" s="314"/>
      <c r="EP238" s="313"/>
      <c r="EQ238" s="313"/>
      <c r="ER238" s="551">
        <f>IF(ER222=0,0,ER237/ER222)</f>
        <v>22.66344457913792</v>
      </c>
      <c r="ES238" s="313"/>
      <c r="ET238" s="314"/>
      <c r="EU238" s="314"/>
      <c r="EV238" s="313"/>
      <c r="EW238" s="313"/>
      <c r="EX238" s="551">
        <f>IF(EX222=0,0,EX237/EX222)</f>
        <v>22.66344457913792</v>
      </c>
      <c r="EY238" s="313"/>
      <c r="EZ238" s="314"/>
      <c r="FA238" s="314"/>
      <c r="FB238" s="313"/>
      <c r="FC238" s="313"/>
      <c r="FD238" s="551">
        <f>IF(FD222=0,0,FD237/FD222)</f>
        <v>22.66344457913792</v>
      </c>
      <c r="FE238" s="313"/>
      <c r="FF238" s="314"/>
      <c r="FG238" s="314"/>
      <c r="FH238" s="313"/>
      <c r="FI238" s="313"/>
      <c r="FJ238" s="551">
        <f>IF(FJ222=0,0,FJ237/FJ222)</f>
        <v>22.66344457913792</v>
      </c>
      <c r="FK238" s="313"/>
      <c r="FL238" s="314"/>
      <c r="FM238" s="314"/>
      <c r="FN238" s="313"/>
      <c r="FO238" s="313"/>
      <c r="FP238" s="551">
        <f>IF(FP222=0,0,FP237/FP222)</f>
        <v>22.66344457913792</v>
      </c>
      <c r="FQ238" s="313"/>
      <c r="FR238" s="314"/>
      <c r="FS238" s="314"/>
      <c r="FT238" s="313"/>
      <c r="FU238" s="313"/>
      <c r="FV238" s="551">
        <f>IF(FV222=0,0,FV237/FV222)</f>
        <v>22.66344457913792</v>
      </c>
      <c r="FW238" s="313"/>
      <c r="FX238" s="314"/>
      <c r="FY238" s="314"/>
      <c r="FZ238" s="313"/>
      <c r="GA238" s="313"/>
      <c r="GB238" s="551">
        <f>IF(GB222=0,0,GB237/GB222)</f>
        <v>22.66344457913792</v>
      </c>
      <c r="GC238" s="313"/>
      <c r="GD238" s="314"/>
      <c r="GE238" s="314"/>
      <c r="GF238" s="313"/>
      <c r="GG238" s="313"/>
      <c r="GH238" s="551">
        <f>IF(GH222=0,0,GH237/GH222)</f>
        <v>22.66344457913792</v>
      </c>
      <c r="GI238" s="313"/>
      <c r="GJ238" s="314"/>
      <c r="GK238" s="314"/>
      <c r="GL238" s="313"/>
      <c r="GM238" s="313"/>
      <c r="GN238" s="551">
        <f>IF(GN222=0,0,GN237/GN222)</f>
        <v>22.66344457913792</v>
      </c>
      <c r="GO238" s="313"/>
      <c r="GP238" s="314"/>
      <c r="GQ238" s="314"/>
      <c r="GR238" s="313"/>
      <c r="GS238" s="313"/>
      <c r="GT238" s="551">
        <f>IF(GT222=0,0,GT237/GT222)</f>
        <v>22.66344457913792</v>
      </c>
      <c r="GU238" s="313"/>
      <c r="GV238" s="314"/>
      <c r="GW238" s="314"/>
      <c r="GX238" s="313"/>
      <c r="GY238" s="313"/>
      <c r="GZ238" s="555">
        <f>IF(GZ222=0,0,GZ237/GZ222)</f>
        <v>22.66344457913792</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0</v>
      </c>
      <c r="AU240" s="542"/>
      <c r="AV240" s="543"/>
      <c r="AW240" s="543"/>
      <c r="AX240" s="542"/>
      <c r="AY240" s="542"/>
      <c r="AZ240" s="541">
        <f>IF(AZ222=0,0,AT240+SUMIF($S44:$S216,"ja",BC44:BC216))</f>
        <v>0</v>
      </c>
      <c r="BA240" s="311"/>
      <c r="BB240" s="312"/>
      <c r="BC240" s="312"/>
      <c r="BD240" s="311"/>
      <c r="BE240" s="311"/>
      <c r="BF240" s="541">
        <f>IF(BF222=0,0,AZ240+SUMIF($S44:$S216,"ja",BI44:BI216))</f>
        <v>38267.075000000004</v>
      </c>
      <c r="BG240" s="311"/>
      <c r="BH240" s="312"/>
      <c r="BI240" s="312"/>
      <c r="BJ240" s="311"/>
      <c r="BK240" s="311"/>
      <c r="BL240" s="541">
        <f>IF(BL222=0,0,BF240+SUMIF($S44:$S216,"ja",BO44:BO216))</f>
        <v>38267.075000000004</v>
      </c>
      <c r="BM240" s="311"/>
      <c r="BN240" s="312"/>
      <c r="BO240" s="312"/>
      <c r="BP240" s="311"/>
      <c r="BQ240" s="311"/>
      <c r="BR240" s="541">
        <f>IF(BR222=0,0,BL240+SUMIF($S44:$S216,"ja",BU44:BU216))</f>
        <v>38267.075000000004</v>
      </c>
      <c r="BS240" s="542"/>
      <c r="BT240" s="543"/>
      <c r="BU240" s="543"/>
      <c r="BV240" s="542"/>
      <c r="BW240" s="542"/>
      <c r="BX240" s="541">
        <f>IF(BX222=0,0,BR240+SUMIF($S44:$S216,"ja",CA44:CA216))</f>
        <v>38267.075000000004</v>
      </c>
      <c r="BY240" s="311"/>
      <c r="BZ240" s="312"/>
      <c r="CA240" s="312"/>
      <c r="CB240" s="311"/>
      <c r="CC240" s="311"/>
      <c r="CD240" s="541">
        <f>IF(CD222=0,0,BX240+SUMIF($S44:$S216,"ja",CG44:CG216))</f>
        <v>38267.075000000004</v>
      </c>
      <c r="CE240" s="311"/>
      <c r="CF240" s="312"/>
      <c r="CG240" s="312"/>
      <c r="CH240" s="311"/>
      <c r="CI240" s="311"/>
      <c r="CJ240" s="541">
        <f>IF(CJ222=0,0,CD240+SUMIF($S44:$S216,"ja",CM44:CM216))</f>
        <v>38267.075000000004</v>
      </c>
      <c r="CK240" s="311"/>
      <c r="CL240" s="312"/>
      <c r="CM240" s="312"/>
      <c r="CN240" s="311"/>
      <c r="CO240" s="311"/>
      <c r="CP240" s="541">
        <f>IF(CP222=0,0,CJ240+SUMIF($S44:$S216,"ja",CS44:CS216))</f>
        <v>38267.075000000004</v>
      </c>
      <c r="CQ240" s="544"/>
      <c r="CR240" s="543"/>
      <c r="CS240" s="543"/>
      <c r="CT240" s="544"/>
      <c r="CU240" s="544"/>
      <c r="CV240" s="541">
        <f>IF(CV222=0,0,CP240+SUMIF($S44:$S216,"ja",CY44:CY216))</f>
        <v>38267.075000000004</v>
      </c>
      <c r="CW240" s="544"/>
      <c r="CX240" s="543"/>
      <c r="CY240" s="543"/>
      <c r="CZ240" s="544"/>
      <c r="DA240" s="544"/>
      <c r="DB240" s="541">
        <f>IF(DB222=0,0,CV240+SUMIF($S44:$S216,"ja",DE44:DE216))</f>
        <v>38267.075000000004</v>
      </c>
      <c r="DC240" s="311"/>
      <c r="DD240" s="312"/>
      <c r="DE240" s="312"/>
      <c r="DF240" s="311"/>
      <c r="DG240" s="311"/>
      <c r="DH240" s="541">
        <f>IF(DH222=0,0,DB240+SUMIF($S44:$S216,"ja",DK44:DK216))</f>
        <v>38267.075000000004</v>
      </c>
      <c r="DI240" s="311"/>
      <c r="DJ240" s="312"/>
      <c r="DK240" s="312"/>
      <c r="DL240" s="311"/>
      <c r="DM240" s="311"/>
      <c r="DN240" s="541">
        <f>IF(DN222=0,0,DH240+SUMIF($S44:$S216,"ja",DQ44:DQ216))</f>
        <v>38267.075000000004</v>
      </c>
      <c r="DO240" s="311"/>
      <c r="DP240" s="312"/>
      <c r="DQ240" s="312"/>
      <c r="DR240" s="311"/>
      <c r="DS240" s="311"/>
      <c r="DT240" s="541">
        <f>IF(DT222=0,0,DN240+SUMIF($S44:$S216,"ja",DW44:DW216))</f>
        <v>38267.075000000004</v>
      </c>
      <c r="DU240" s="311"/>
      <c r="DV240" s="312"/>
      <c r="DW240" s="312"/>
      <c r="DX240" s="311"/>
      <c r="DY240" s="311"/>
      <c r="DZ240" s="541">
        <f>IF(DZ222=0,0,DT240+SUMIF($S44:$S216,"ja",EC44:EC216))</f>
        <v>38267.075000000004</v>
      </c>
      <c r="EA240" s="311"/>
      <c r="EB240" s="312"/>
      <c r="EC240" s="312"/>
      <c r="ED240" s="311"/>
      <c r="EE240" s="311"/>
      <c r="EF240" s="541">
        <f>IF(EF222=0,0,DZ240+SUMIF($S44:$S216,"ja",EI44:EI216))</f>
        <v>38267.075000000004</v>
      </c>
      <c r="EG240" s="311"/>
      <c r="EH240" s="312"/>
      <c r="EI240" s="312"/>
      <c r="EJ240" s="311"/>
      <c r="EK240" s="311"/>
      <c r="EL240" s="541">
        <f>IF(EL222=0,0,EF240+SUMIF($S44:$S216,"ja",EO44:EO216))</f>
        <v>38267.075000000004</v>
      </c>
      <c r="EM240" s="311"/>
      <c r="EN240" s="312"/>
      <c r="EO240" s="312"/>
      <c r="EP240" s="311"/>
      <c r="EQ240" s="311"/>
      <c r="ER240" s="541">
        <f>IF(ER222=0,0,EL240+SUMIF($S44:$S216,"ja",EU44:EU216))</f>
        <v>38267.075000000004</v>
      </c>
      <c r="ES240" s="311"/>
      <c r="ET240" s="312"/>
      <c r="EU240" s="312"/>
      <c r="EV240" s="311"/>
      <c r="EW240" s="311"/>
      <c r="EX240" s="541">
        <f>IF(EX222=0,0,ER240+SUMIF($S44:$S216,"ja",FA44:FA216))</f>
        <v>38267.075000000004</v>
      </c>
      <c r="EY240" s="311"/>
      <c r="EZ240" s="312"/>
      <c r="FA240" s="312"/>
      <c r="FB240" s="311"/>
      <c r="FC240" s="311"/>
      <c r="FD240" s="541">
        <f>IF(FD222=0,0,EX240+SUMIF($S44:$S216,"ja",FG44:FG216))</f>
        <v>38267.075000000004</v>
      </c>
      <c r="FE240" s="311"/>
      <c r="FF240" s="312"/>
      <c r="FG240" s="312"/>
      <c r="FH240" s="311"/>
      <c r="FI240" s="311"/>
      <c r="FJ240" s="541">
        <f>IF(FJ222=0,0,FD240+SUMIF($S44:$S216,"ja",FM44:FM216))</f>
        <v>38267.075000000004</v>
      </c>
      <c r="FK240" s="311"/>
      <c r="FL240" s="312"/>
      <c r="FM240" s="312"/>
      <c r="FN240" s="311"/>
      <c r="FO240" s="311"/>
      <c r="FP240" s="541">
        <f>IF(FP222=0,0,FJ240+SUMIF($S44:$S216,"ja",FS44:FS216))</f>
        <v>38267.075000000004</v>
      </c>
      <c r="FQ240" s="311"/>
      <c r="FR240" s="312"/>
      <c r="FS240" s="312"/>
      <c r="FT240" s="311"/>
      <c r="FU240" s="311"/>
      <c r="FV240" s="541">
        <f>IF(FV222=0,0,FP240+SUMIF($S44:$S216,"ja",FY44:FY216))</f>
        <v>38267.075000000004</v>
      </c>
      <c r="FW240" s="311"/>
      <c r="FX240" s="312"/>
      <c r="FY240" s="312"/>
      <c r="FZ240" s="311"/>
      <c r="GA240" s="311"/>
      <c r="GB240" s="541">
        <f>IF(GB222=0,0,FV240+SUMIF($S44:$S216,"ja",GE44:GE216))</f>
        <v>38267.075000000004</v>
      </c>
      <c r="GC240" s="311"/>
      <c r="GD240" s="312"/>
      <c r="GE240" s="312"/>
      <c r="GF240" s="311"/>
      <c r="GG240" s="311"/>
      <c r="GH240" s="541">
        <f>IF(GH222=0,0,GB240+SUMIF($S44:$S216,"ja",GK44:GK216))</f>
        <v>38267.075000000004</v>
      </c>
      <c r="GI240" s="311"/>
      <c r="GJ240" s="312"/>
      <c r="GK240" s="312"/>
      <c r="GL240" s="311"/>
      <c r="GM240" s="311"/>
      <c r="GN240" s="541">
        <f>IF(GN222=0,0,GH240+SUMIF($S44:$S216,"ja",GQ44:GQ216))</f>
        <v>38267.075000000004</v>
      </c>
      <c r="GO240" s="311"/>
      <c r="GP240" s="312"/>
      <c r="GQ240" s="312"/>
      <c r="GR240" s="311"/>
      <c r="GS240" s="311"/>
      <c r="GT240" s="541">
        <f>IF(GT222=0,0,GN240+SUMIF($S44:$S216,"ja",GW44:GW216))</f>
        <v>38267.075000000004</v>
      </c>
      <c r="GU240" s="311"/>
      <c r="GV240" s="312"/>
      <c r="GW240" s="312"/>
      <c r="GX240" s="311"/>
      <c r="GY240" s="311"/>
      <c r="GZ240" s="545">
        <f>IF(GZ222=0,0,GT240+SUMIF($S44:$S216,"ja",HC44:HC216))</f>
        <v>38267.075000000004</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0</v>
      </c>
      <c r="AU241" s="317"/>
      <c r="AV241" s="317"/>
      <c r="AW241" s="317"/>
      <c r="AX241" s="317"/>
      <c r="AY241" s="317"/>
      <c r="AZ241" s="623">
        <f>(IF(AZ222=0,0,AZ240/AZ222))</f>
        <v>0</v>
      </c>
      <c r="BA241" s="317"/>
      <c r="BB241" s="317"/>
      <c r="BC241" s="317"/>
      <c r="BD241" s="317"/>
      <c r="BE241" s="317"/>
      <c r="BF241" s="623">
        <f>(IF(BF222=0,0,BF240/BF222))</f>
        <v>12.062500000000002</v>
      </c>
      <c r="BG241" s="317"/>
      <c r="BH241" s="317"/>
      <c r="BI241" s="317"/>
      <c r="BJ241" s="317"/>
      <c r="BK241" s="317"/>
      <c r="BL241" s="623">
        <f>(IF(BL222=0,0,BL240/BL222))</f>
        <v>12.062500000000002</v>
      </c>
      <c r="BM241" s="317"/>
      <c r="BN241" s="317"/>
      <c r="BO241" s="317"/>
      <c r="BP241" s="317"/>
      <c r="BQ241" s="317"/>
      <c r="BR241" s="623">
        <f>(IF(BR222=0,0,BR240/BR222))</f>
        <v>12.062500000000002</v>
      </c>
      <c r="BS241" s="317"/>
      <c r="BT241" s="317"/>
      <c r="BU241" s="317"/>
      <c r="BV241" s="317"/>
      <c r="BW241" s="317"/>
      <c r="BX241" s="623">
        <f>(IF(BX222=0,0,BX240/BX222))</f>
        <v>12.062500000000002</v>
      </c>
      <c r="BY241" s="317"/>
      <c r="BZ241" s="317"/>
      <c r="CA241" s="317"/>
      <c r="CB241" s="317"/>
      <c r="CC241" s="317"/>
      <c r="CD241" s="623">
        <f>(IF(CD222=0,0,CD240/CD222))</f>
        <v>12.062500000000002</v>
      </c>
      <c r="CE241" s="317"/>
      <c r="CF241" s="317"/>
      <c r="CG241" s="317"/>
      <c r="CH241" s="317"/>
      <c r="CI241" s="317"/>
      <c r="CJ241" s="623">
        <f>(IF(CJ222=0,0,CJ240/CJ222))</f>
        <v>12.062500000000002</v>
      </c>
      <c r="CK241" s="317"/>
      <c r="CL241" s="317"/>
      <c r="CM241" s="317"/>
      <c r="CN241" s="317"/>
      <c r="CO241" s="317"/>
      <c r="CP241" s="623">
        <f>(IF(CP222=0,0,CP240/CP222))</f>
        <v>12.062500000000002</v>
      </c>
      <c r="CQ241" s="317"/>
      <c r="CR241" s="317"/>
      <c r="CS241" s="317"/>
      <c r="CT241" s="317"/>
      <c r="CU241" s="317"/>
      <c r="CV241" s="623">
        <f>(IF(CV222=0,0,CV240/CV222))</f>
        <v>12.062500000000002</v>
      </c>
      <c r="CW241" s="628"/>
      <c r="CX241" s="629"/>
      <c r="CY241" s="629"/>
      <c r="CZ241" s="628"/>
      <c r="DA241" s="628"/>
      <c r="DB241" s="623">
        <f>(IF(DB222=0,0,DB240/DB222))</f>
        <v>12.062500000000002</v>
      </c>
      <c r="DC241" s="317"/>
      <c r="DD241" s="317"/>
      <c r="DE241" s="317"/>
      <c r="DF241" s="317"/>
      <c r="DG241" s="317"/>
      <c r="DH241" s="623">
        <f>(IF(DH222=0,0,DH240/DH222))</f>
        <v>12.062500000000002</v>
      </c>
      <c r="DI241" s="317"/>
      <c r="DJ241" s="317"/>
      <c r="DK241" s="317"/>
      <c r="DL241" s="317"/>
      <c r="DM241" s="317"/>
      <c r="DN241" s="623">
        <f>(IF(DN222=0,0,DN240/DN222))</f>
        <v>12.062500000000002</v>
      </c>
      <c r="DO241" s="317"/>
      <c r="DP241" s="317"/>
      <c r="DQ241" s="317"/>
      <c r="DR241" s="317"/>
      <c r="DS241" s="317"/>
      <c r="DT241" s="623">
        <f>(IF(DT222=0,0,DT240/DT222))</f>
        <v>12.062500000000002</v>
      </c>
      <c r="DU241" s="317"/>
      <c r="DV241" s="317"/>
      <c r="DW241" s="317"/>
      <c r="DX241" s="317"/>
      <c r="DY241" s="317"/>
      <c r="DZ241" s="623">
        <f>(IF(DZ222=0,0,DZ240/DZ222))</f>
        <v>12.062500000000002</v>
      </c>
      <c r="EA241" s="317"/>
      <c r="EB241" s="317"/>
      <c r="EC241" s="317"/>
      <c r="ED241" s="317"/>
      <c r="EE241" s="317"/>
      <c r="EF241" s="623">
        <f>(IF(EF222=0,0,EF240/EF222))</f>
        <v>12.062500000000002</v>
      </c>
      <c r="EG241" s="317"/>
      <c r="EH241" s="317"/>
      <c r="EI241" s="317"/>
      <c r="EJ241" s="317"/>
      <c r="EK241" s="317"/>
      <c r="EL241" s="623">
        <f>(IF(EL222=0,0,EL240/EL222))</f>
        <v>12.062500000000002</v>
      </c>
      <c r="EM241" s="317"/>
      <c r="EN241" s="317"/>
      <c r="EO241" s="317"/>
      <c r="EP241" s="317"/>
      <c r="EQ241" s="317"/>
      <c r="ER241" s="623">
        <f>(IF(ER222=0,0,ER240/ER222))</f>
        <v>12.062500000000002</v>
      </c>
      <c r="ES241" s="317"/>
      <c r="ET241" s="317"/>
      <c r="EU241" s="317"/>
      <c r="EV241" s="317"/>
      <c r="EW241" s="317"/>
      <c r="EX241" s="623">
        <f>(IF(EX222=0,0,EX240/EX222))</f>
        <v>12.062500000000002</v>
      </c>
      <c r="EY241" s="317"/>
      <c r="EZ241" s="317"/>
      <c r="FA241" s="317"/>
      <c r="FB241" s="317"/>
      <c r="FC241" s="317"/>
      <c r="FD241" s="623">
        <f>(IF(FD222=0,0,FD240/FD222))</f>
        <v>12.062500000000002</v>
      </c>
      <c r="FE241" s="317"/>
      <c r="FF241" s="317"/>
      <c r="FG241" s="317"/>
      <c r="FH241" s="317"/>
      <c r="FI241" s="317"/>
      <c r="FJ241" s="623">
        <f>(IF(FJ222=0,0,FJ240/FJ222))</f>
        <v>12.062500000000002</v>
      </c>
      <c r="FK241" s="317"/>
      <c r="FL241" s="317"/>
      <c r="FM241" s="317"/>
      <c r="FN241" s="317"/>
      <c r="FO241" s="317"/>
      <c r="FP241" s="623">
        <f>(IF(FP222=0,0,FP240/FP222))</f>
        <v>12.062500000000002</v>
      </c>
      <c r="FQ241" s="317"/>
      <c r="FR241" s="317"/>
      <c r="FS241" s="317"/>
      <c r="FT241" s="317"/>
      <c r="FU241" s="317"/>
      <c r="FV241" s="623">
        <f>(IF(FV222=0,0,FV240/FV222))</f>
        <v>12.062500000000002</v>
      </c>
      <c r="FW241" s="317"/>
      <c r="FX241" s="317"/>
      <c r="FY241" s="317"/>
      <c r="FZ241" s="317"/>
      <c r="GA241" s="317"/>
      <c r="GB241" s="623">
        <f>(IF(GB222=0,0,GB240/GB222))</f>
        <v>12.062500000000002</v>
      </c>
      <c r="GC241" s="317"/>
      <c r="GD241" s="317"/>
      <c r="GE241" s="317"/>
      <c r="GF241" s="317"/>
      <c r="GG241" s="317"/>
      <c r="GH241" s="623">
        <f>(IF(GH222=0,0,GH240/GH222))</f>
        <v>12.062500000000002</v>
      </c>
      <c r="GI241" s="317"/>
      <c r="GJ241" s="317"/>
      <c r="GK241" s="317"/>
      <c r="GL241" s="317"/>
      <c r="GM241" s="317"/>
      <c r="GN241" s="623">
        <f>(IF(GN222=0,0,GN240/GN222))</f>
        <v>12.062500000000002</v>
      </c>
      <c r="GO241" s="317"/>
      <c r="GP241" s="317"/>
      <c r="GQ241" s="317"/>
      <c r="GR241" s="317"/>
      <c r="GS241" s="317"/>
      <c r="GT241" s="623">
        <f>(IF(GT222=0,0,GT240/GT222))</f>
        <v>12.062500000000002</v>
      </c>
      <c r="GU241" s="317"/>
      <c r="GV241" s="317"/>
      <c r="GW241" s="317"/>
      <c r="GX241" s="317"/>
      <c r="GY241" s="317"/>
      <c r="GZ241" s="630">
        <f>(IF(GZ222=0,0,GZ240/GZ222))</f>
        <v>12.062500000000002</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0</v>
      </c>
      <c r="BY242" s="609">
        <f t="shared" si="278"/>
        <v>0</v>
      </c>
      <c r="BZ242" s="609">
        <f t="shared" si="278"/>
        <v>0</v>
      </c>
      <c r="CA242" s="609">
        <f t="shared" si="278"/>
        <v>0</v>
      </c>
      <c r="CB242" s="609">
        <f t="shared" si="278"/>
        <v>0</v>
      </c>
      <c r="CC242" s="609">
        <f t="shared" si="278"/>
        <v>0</v>
      </c>
      <c r="CD242" s="609">
        <f t="shared" si="278"/>
        <v>0</v>
      </c>
      <c r="CE242" s="609">
        <f t="shared" si="278"/>
        <v>0</v>
      </c>
      <c r="CF242" s="609">
        <f t="shared" si="278"/>
        <v>0</v>
      </c>
      <c r="CG242" s="609">
        <f t="shared" si="278"/>
        <v>0</v>
      </c>
      <c r="CH242" s="609">
        <f t="shared" si="278"/>
        <v>0</v>
      </c>
      <c r="CI242" s="609">
        <f t="shared" si="278"/>
        <v>0</v>
      </c>
      <c r="CJ242" s="609">
        <f t="shared" si="278"/>
        <v>0</v>
      </c>
      <c r="CK242" s="609">
        <f t="shared" si="278"/>
        <v>0</v>
      </c>
      <c r="CL242" s="609">
        <f t="shared" si="278"/>
        <v>0</v>
      </c>
      <c r="CM242" s="609">
        <f t="shared" si="278"/>
        <v>0</v>
      </c>
      <c r="CN242" s="609">
        <f t="shared" si="278"/>
        <v>0</v>
      </c>
      <c r="CO242" s="609">
        <f t="shared" si="278"/>
        <v>0</v>
      </c>
      <c r="CP242" s="609">
        <f t="shared" si="278"/>
        <v>0</v>
      </c>
      <c r="CQ242" s="609">
        <f t="shared" si="278"/>
        <v>0</v>
      </c>
      <c r="CR242" s="609">
        <f t="shared" si="278"/>
        <v>0</v>
      </c>
      <c r="CS242" s="609">
        <f t="shared" si="278"/>
        <v>0</v>
      </c>
      <c r="CT242" s="609">
        <f t="shared" si="278"/>
        <v>0</v>
      </c>
      <c r="CU242" s="609">
        <f t="shared" si="278"/>
        <v>0</v>
      </c>
      <c r="CV242" s="609">
        <f t="shared" si="278"/>
        <v>0</v>
      </c>
      <c r="CW242" s="609">
        <f t="shared" si="278"/>
        <v>0</v>
      </c>
      <c r="CX242" s="609">
        <f t="shared" si="278"/>
        <v>0</v>
      </c>
      <c r="CY242" s="609">
        <f t="shared" si="278"/>
        <v>0</v>
      </c>
      <c r="CZ242" s="609">
        <f t="shared" si="278"/>
        <v>0</v>
      </c>
      <c r="DA242" s="609">
        <f t="shared" si="278"/>
        <v>0</v>
      </c>
      <c r="DB242" s="609">
        <f t="shared" si="278"/>
        <v>0</v>
      </c>
      <c r="DC242" s="609">
        <f t="shared" si="278"/>
        <v>0</v>
      </c>
      <c r="DD242" s="609">
        <f t="shared" si="278"/>
        <v>0</v>
      </c>
      <c r="DE242" s="609">
        <f t="shared" si="278"/>
        <v>0</v>
      </c>
      <c r="DF242" s="609">
        <f t="shared" ref="DF242:FQ242" si="279">IF(DF222=0,0,IF(DF44&gt;0,-DJ44,IF(CZ242&gt;0,CZ242,0)))</f>
        <v>0</v>
      </c>
      <c r="DG242" s="609">
        <f t="shared" si="279"/>
        <v>0</v>
      </c>
      <c r="DH242" s="609">
        <f t="shared" si="279"/>
        <v>0</v>
      </c>
      <c r="DI242" s="609">
        <f t="shared" si="279"/>
        <v>0</v>
      </c>
      <c r="DJ242" s="609">
        <f t="shared" si="279"/>
        <v>0</v>
      </c>
      <c r="DK242" s="609">
        <f t="shared" si="279"/>
        <v>0</v>
      </c>
      <c r="DL242" s="609">
        <f t="shared" si="279"/>
        <v>0</v>
      </c>
      <c r="DM242" s="609">
        <f t="shared" si="279"/>
        <v>0</v>
      </c>
      <c r="DN242" s="609">
        <f t="shared" si="279"/>
        <v>0</v>
      </c>
      <c r="DO242" s="609">
        <f t="shared" si="279"/>
        <v>0</v>
      </c>
      <c r="DP242" s="609">
        <f t="shared" si="279"/>
        <v>0</v>
      </c>
      <c r="DQ242" s="609">
        <f t="shared" si="279"/>
        <v>0</v>
      </c>
      <c r="DR242" s="609">
        <f t="shared" si="279"/>
        <v>0</v>
      </c>
      <c r="DS242" s="609">
        <f t="shared" si="279"/>
        <v>0</v>
      </c>
      <c r="DT242" s="609">
        <f t="shared" si="279"/>
        <v>0</v>
      </c>
      <c r="DU242" s="609">
        <f t="shared" si="279"/>
        <v>0</v>
      </c>
      <c r="DV242" s="609">
        <f t="shared" si="279"/>
        <v>0</v>
      </c>
      <c r="DW242" s="609">
        <f t="shared" si="279"/>
        <v>0</v>
      </c>
      <c r="DX242" s="609">
        <f t="shared" si="279"/>
        <v>0</v>
      </c>
      <c r="DY242" s="609">
        <f t="shared" si="279"/>
        <v>0</v>
      </c>
      <c r="DZ242" s="609">
        <f t="shared" si="279"/>
        <v>0</v>
      </c>
      <c r="EA242" s="609">
        <f t="shared" si="279"/>
        <v>0</v>
      </c>
      <c r="EB242" s="609">
        <f t="shared" si="279"/>
        <v>0</v>
      </c>
      <c r="EC242" s="609">
        <f t="shared" si="279"/>
        <v>0</v>
      </c>
      <c r="ED242" s="609">
        <f t="shared" si="279"/>
        <v>0</v>
      </c>
      <c r="EE242" s="609">
        <f t="shared" si="279"/>
        <v>0</v>
      </c>
      <c r="EF242" s="609">
        <f t="shared" si="279"/>
        <v>0</v>
      </c>
      <c r="EG242" s="609">
        <f t="shared" si="279"/>
        <v>0</v>
      </c>
      <c r="EH242" s="609">
        <f t="shared" si="279"/>
        <v>0</v>
      </c>
      <c r="EI242" s="609">
        <f t="shared" si="279"/>
        <v>0</v>
      </c>
      <c r="EJ242" s="609">
        <f t="shared" si="279"/>
        <v>0</v>
      </c>
      <c r="EK242" s="609">
        <f t="shared" si="279"/>
        <v>0</v>
      </c>
      <c r="EL242" s="609">
        <f t="shared" si="279"/>
        <v>0</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v>
      </c>
      <c r="BY243" s="651">
        <f t="shared" si="281"/>
        <v>0</v>
      </c>
      <c r="BZ243" s="651">
        <f t="shared" si="281"/>
        <v>0</v>
      </c>
      <c r="CA243" s="651">
        <f t="shared" si="281"/>
        <v>0</v>
      </c>
      <c r="CB243" s="651">
        <f t="shared" si="281"/>
        <v>0</v>
      </c>
      <c r="CC243" s="651">
        <f t="shared" si="281"/>
        <v>0</v>
      </c>
      <c r="CD243" s="651">
        <f t="shared" si="281"/>
        <v>0</v>
      </c>
      <c r="CE243" s="651">
        <f t="shared" si="281"/>
        <v>0</v>
      </c>
      <c r="CF243" s="651">
        <f t="shared" si="281"/>
        <v>0</v>
      </c>
      <c r="CG243" s="651">
        <f t="shared" si="281"/>
        <v>0</v>
      </c>
      <c r="CH243" s="651">
        <f t="shared" si="281"/>
        <v>0</v>
      </c>
      <c r="CI243" s="651">
        <f t="shared" si="281"/>
        <v>0</v>
      </c>
      <c r="CJ243" s="651">
        <f t="shared" si="281"/>
        <v>0</v>
      </c>
      <c r="CK243" s="651">
        <f t="shared" si="281"/>
        <v>0</v>
      </c>
      <c r="CL243" s="651">
        <f t="shared" si="281"/>
        <v>0</v>
      </c>
      <c r="CM243" s="651">
        <f t="shared" si="281"/>
        <v>0</v>
      </c>
      <c r="CN243" s="651">
        <f t="shared" si="281"/>
        <v>0</v>
      </c>
      <c r="CO243" s="651">
        <f t="shared" si="281"/>
        <v>0</v>
      </c>
      <c r="CP243" s="651">
        <f t="shared" si="281"/>
        <v>0</v>
      </c>
      <c r="CQ243" s="651">
        <f t="shared" si="281"/>
        <v>0</v>
      </c>
      <c r="CR243" s="651">
        <f t="shared" si="281"/>
        <v>0</v>
      </c>
      <c r="CS243" s="651">
        <f t="shared" si="281"/>
        <v>0</v>
      </c>
      <c r="CT243" s="651">
        <f t="shared" si="281"/>
        <v>0</v>
      </c>
      <c r="CU243" s="651">
        <f t="shared" si="281"/>
        <v>0</v>
      </c>
      <c r="CV243" s="651">
        <f t="shared" si="281"/>
        <v>0</v>
      </c>
      <c r="CW243" s="651">
        <f t="shared" si="281"/>
        <v>0</v>
      </c>
      <c r="CX243" s="651">
        <f t="shared" si="281"/>
        <v>0</v>
      </c>
      <c r="CY243" s="651">
        <f t="shared" si="281"/>
        <v>0</v>
      </c>
      <c r="CZ243" s="651">
        <f t="shared" si="281"/>
        <v>0</v>
      </c>
      <c r="DA243" s="651">
        <f t="shared" si="281"/>
        <v>0</v>
      </c>
      <c r="DB243" s="651">
        <f t="shared" si="281"/>
        <v>0</v>
      </c>
      <c r="DC243" s="651">
        <f t="shared" si="281"/>
        <v>0</v>
      </c>
      <c r="DD243" s="651">
        <f t="shared" si="281"/>
        <v>0</v>
      </c>
      <c r="DE243" s="651">
        <f t="shared" si="281"/>
        <v>0</v>
      </c>
      <c r="DF243" s="651">
        <f t="shared" si="281"/>
        <v>0</v>
      </c>
      <c r="DG243" s="651">
        <f t="shared" ref="DG243:FR243" si="282">IF(DG222=0,0,DG242/DG222)</f>
        <v>0</v>
      </c>
      <c r="DH243" s="651">
        <f t="shared" si="282"/>
        <v>0</v>
      </c>
      <c r="DI243" s="651">
        <f t="shared" si="282"/>
        <v>0</v>
      </c>
      <c r="DJ243" s="651">
        <f t="shared" si="282"/>
        <v>0</v>
      </c>
      <c r="DK243" s="651">
        <f t="shared" si="282"/>
        <v>0</v>
      </c>
      <c r="DL243" s="651">
        <f t="shared" si="282"/>
        <v>0</v>
      </c>
      <c r="DM243" s="651">
        <f t="shared" si="282"/>
        <v>0</v>
      </c>
      <c r="DN243" s="651">
        <f t="shared" si="282"/>
        <v>0</v>
      </c>
      <c r="DO243" s="651">
        <f t="shared" si="282"/>
        <v>0</v>
      </c>
      <c r="DP243" s="651">
        <f t="shared" si="282"/>
        <v>0</v>
      </c>
      <c r="DQ243" s="651">
        <f t="shared" si="282"/>
        <v>0</v>
      </c>
      <c r="DR243" s="651">
        <f t="shared" si="282"/>
        <v>0</v>
      </c>
      <c r="DS243" s="651">
        <f t="shared" si="282"/>
        <v>0</v>
      </c>
      <c r="DT243" s="651">
        <f t="shared" si="282"/>
        <v>0</v>
      </c>
      <c r="DU243" s="651">
        <f t="shared" si="282"/>
        <v>0</v>
      </c>
      <c r="DV243" s="651">
        <f t="shared" si="282"/>
        <v>0</v>
      </c>
      <c r="DW243" s="651">
        <f t="shared" si="282"/>
        <v>0</v>
      </c>
      <c r="DX243" s="651">
        <f t="shared" si="282"/>
        <v>0</v>
      </c>
      <c r="DY243" s="651">
        <f t="shared" si="282"/>
        <v>0</v>
      </c>
      <c r="DZ243" s="651">
        <f t="shared" si="282"/>
        <v>0</v>
      </c>
      <c r="EA243" s="651">
        <f t="shared" si="282"/>
        <v>0</v>
      </c>
      <c r="EB243" s="651">
        <f t="shared" si="282"/>
        <v>0</v>
      </c>
      <c r="EC243" s="651">
        <f t="shared" si="282"/>
        <v>0</v>
      </c>
      <c r="ED243" s="651">
        <f t="shared" si="282"/>
        <v>0</v>
      </c>
      <c r="EE243" s="651">
        <f t="shared" si="282"/>
        <v>0</v>
      </c>
      <c r="EF243" s="651">
        <f t="shared" si="282"/>
        <v>0</v>
      </c>
      <c r="EG243" s="651">
        <f t="shared" si="282"/>
        <v>0</v>
      </c>
      <c r="EH243" s="651">
        <f t="shared" si="282"/>
        <v>0</v>
      </c>
      <c r="EI243" s="651">
        <f t="shared" si="282"/>
        <v>0</v>
      </c>
      <c r="EJ243" s="651">
        <f t="shared" si="282"/>
        <v>0</v>
      </c>
      <c r="EK243" s="651">
        <f t="shared" si="282"/>
        <v>0</v>
      </c>
      <c r="EL243" s="651">
        <f t="shared" si="282"/>
        <v>0</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325891.77799999999</v>
      </c>
      <c r="V244" s="654">
        <f>V38</f>
        <v>325891.77799999999</v>
      </c>
      <c r="W244" s="605"/>
      <c r="X244" s="606"/>
      <c r="Y244" s="606"/>
      <c r="Z244" s="605"/>
      <c r="AA244" s="605"/>
      <c r="AB244" s="654">
        <f>AB38</f>
        <v>325891.77799999999</v>
      </c>
      <c r="AC244" s="607"/>
      <c r="AD244" s="608"/>
      <c r="AE244" s="608"/>
      <c r="AF244" s="607"/>
      <c r="AG244" s="607"/>
      <c r="AH244" s="654">
        <f>AH38</f>
        <v>325891.77799999999</v>
      </c>
      <c r="AI244" s="605"/>
      <c r="AJ244" s="606"/>
      <c r="AK244" s="606"/>
      <c r="AL244" s="605"/>
      <c r="AM244" s="605"/>
      <c r="AN244" s="654">
        <f>AN38</f>
        <v>325891.77799999999</v>
      </c>
      <c r="AO244" s="439"/>
      <c r="AP244" s="530"/>
      <c r="AQ244" s="530"/>
      <c r="AR244" s="439"/>
      <c r="AS244" s="439"/>
      <c r="AT244" s="609">
        <f>AT229+(AT232*9.786)+(AT235*278)+(AT242*278)+AT240</f>
        <v>290144.42222157144</v>
      </c>
      <c r="AU244" s="609">
        <f t="shared" ref="AU244:DF244" si="284">AU229+(AU232*9.786)+(AU235*278)+(AU242*278)+AU240</f>
        <v>0</v>
      </c>
      <c r="AV244" s="609">
        <f t="shared" si="284"/>
        <v>0</v>
      </c>
      <c r="AW244" s="609">
        <f t="shared" si="284"/>
        <v>0</v>
      </c>
      <c r="AX244" s="609">
        <f t="shared" si="284"/>
        <v>0</v>
      </c>
      <c r="AY244" s="609">
        <f t="shared" si="284"/>
        <v>0</v>
      </c>
      <c r="AZ244" s="609">
        <f t="shared" si="284"/>
        <v>230657.68148139285</v>
      </c>
      <c r="BA244" s="609">
        <f t="shared" si="284"/>
        <v>0</v>
      </c>
      <c r="BB244" s="609">
        <f t="shared" si="284"/>
        <v>0</v>
      </c>
      <c r="BC244" s="609">
        <f t="shared" si="284"/>
        <v>0</v>
      </c>
      <c r="BD244" s="609">
        <f t="shared" si="284"/>
        <v>0</v>
      </c>
      <c r="BE244" s="609">
        <f t="shared" si="284"/>
        <v>0</v>
      </c>
      <c r="BF244" s="609">
        <f t="shared" si="284"/>
        <v>172177.91739092857</v>
      </c>
      <c r="BG244" s="609">
        <f t="shared" si="284"/>
        <v>0</v>
      </c>
      <c r="BH244" s="609">
        <f t="shared" si="284"/>
        <v>0</v>
      </c>
      <c r="BI244" s="609">
        <f t="shared" si="284"/>
        <v>0</v>
      </c>
      <c r="BJ244" s="609">
        <f t="shared" si="284"/>
        <v>0</v>
      </c>
      <c r="BK244" s="609">
        <f t="shared" si="284"/>
        <v>0</v>
      </c>
      <c r="BL244" s="609">
        <f t="shared" si="284"/>
        <v>137586.33220946431</v>
      </c>
      <c r="BM244" s="609">
        <f t="shared" si="284"/>
        <v>0</v>
      </c>
      <c r="BN244" s="609">
        <f t="shared" si="284"/>
        <v>0</v>
      </c>
      <c r="BO244" s="609">
        <f t="shared" si="284"/>
        <v>0</v>
      </c>
      <c r="BP244" s="609">
        <f t="shared" si="284"/>
        <v>0</v>
      </c>
      <c r="BQ244" s="609">
        <f t="shared" si="284"/>
        <v>0</v>
      </c>
      <c r="BR244" s="609">
        <f t="shared" si="284"/>
        <v>110164.58658285716</v>
      </c>
      <c r="BS244" s="609">
        <f t="shared" si="284"/>
        <v>0</v>
      </c>
      <c r="BT244" s="609">
        <f t="shared" si="284"/>
        <v>0</v>
      </c>
      <c r="BU244" s="609">
        <f t="shared" si="284"/>
        <v>0</v>
      </c>
      <c r="BV244" s="609">
        <f t="shared" si="284"/>
        <v>0</v>
      </c>
      <c r="BW244" s="609">
        <f t="shared" si="284"/>
        <v>0</v>
      </c>
      <c r="BX244" s="609">
        <f t="shared" si="284"/>
        <v>110164.58658285716</v>
      </c>
      <c r="BY244" s="609">
        <f t="shared" si="284"/>
        <v>0</v>
      </c>
      <c r="BZ244" s="609">
        <f t="shared" si="284"/>
        <v>0</v>
      </c>
      <c r="CA244" s="609">
        <f t="shared" si="284"/>
        <v>0</v>
      </c>
      <c r="CB244" s="609">
        <f t="shared" si="284"/>
        <v>0</v>
      </c>
      <c r="CC244" s="609">
        <f t="shared" si="284"/>
        <v>0</v>
      </c>
      <c r="CD244" s="609">
        <f t="shared" si="284"/>
        <v>110164.58658285716</v>
      </c>
      <c r="CE244" s="609">
        <f t="shared" si="284"/>
        <v>0</v>
      </c>
      <c r="CF244" s="609">
        <f t="shared" si="284"/>
        <v>0</v>
      </c>
      <c r="CG244" s="609">
        <f t="shared" si="284"/>
        <v>0</v>
      </c>
      <c r="CH244" s="609">
        <f t="shared" si="284"/>
        <v>0</v>
      </c>
      <c r="CI244" s="609">
        <f t="shared" si="284"/>
        <v>0</v>
      </c>
      <c r="CJ244" s="609">
        <f t="shared" si="284"/>
        <v>110164.58658285716</v>
      </c>
      <c r="CK244" s="609">
        <f t="shared" si="284"/>
        <v>0</v>
      </c>
      <c r="CL244" s="609">
        <f t="shared" si="284"/>
        <v>0</v>
      </c>
      <c r="CM244" s="609">
        <f t="shared" si="284"/>
        <v>0</v>
      </c>
      <c r="CN244" s="609">
        <f t="shared" si="284"/>
        <v>0</v>
      </c>
      <c r="CO244" s="609">
        <f t="shared" si="284"/>
        <v>0</v>
      </c>
      <c r="CP244" s="609">
        <f t="shared" si="284"/>
        <v>110164.58658285716</v>
      </c>
      <c r="CQ244" s="609">
        <f t="shared" si="284"/>
        <v>0</v>
      </c>
      <c r="CR244" s="609">
        <f t="shared" si="284"/>
        <v>0</v>
      </c>
      <c r="CS244" s="609">
        <f t="shared" si="284"/>
        <v>0</v>
      </c>
      <c r="CT244" s="609">
        <f t="shared" si="284"/>
        <v>0</v>
      </c>
      <c r="CU244" s="609">
        <f t="shared" si="284"/>
        <v>0</v>
      </c>
      <c r="CV244" s="609">
        <f t="shared" si="284"/>
        <v>110164.58658285716</v>
      </c>
      <c r="CW244" s="609">
        <f t="shared" si="284"/>
        <v>0</v>
      </c>
      <c r="CX244" s="609">
        <f t="shared" si="284"/>
        <v>0</v>
      </c>
      <c r="CY244" s="609">
        <f t="shared" si="284"/>
        <v>0</v>
      </c>
      <c r="CZ244" s="609">
        <f t="shared" si="284"/>
        <v>0</v>
      </c>
      <c r="DA244" s="609">
        <f t="shared" si="284"/>
        <v>0</v>
      </c>
      <c r="DB244" s="609">
        <f t="shared" si="284"/>
        <v>110164.58658285716</v>
      </c>
      <c r="DC244" s="609">
        <f t="shared" si="284"/>
        <v>0</v>
      </c>
      <c r="DD244" s="609">
        <f t="shared" si="284"/>
        <v>0</v>
      </c>
      <c r="DE244" s="609">
        <f t="shared" si="284"/>
        <v>0</v>
      </c>
      <c r="DF244" s="609">
        <f t="shared" si="284"/>
        <v>0</v>
      </c>
      <c r="DG244" s="609">
        <f t="shared" ref="DG244:FR244" si="285">DG229+(DG232*9.786)+(DG235*278)+(DG242*278)+DG240</f>
        <v>0</v>
      </c>
      <c r="DH244" s="609">
        <f t="shared" si="285"/>
        <v>110164.58658285716</v>
      </c>
      <c r="DI244" s="609">
        <f t="shared" si="285"/>
        <v>0</v>
      </c>
      <c r="DJ244" s="609">
        <f t="shared" si="285"/>
        <v>0</v>
      </c>
      <c r="DK244" s="609">
        <f t="shared" si="285"/>
        <v>0</v>
      </c>
      <c r="DL244" s="609">
        <f t="shared" si="285"/>
        <v>0</v>
      </c>
      <c r="DM244" s="609">
        <f t="shared" si="285"/>
        <v>0</v>
      </c>
      <c r="DN244" s="609">
        <f t="shared" si="285"/>
        <v>110164.58658285716</v>
      </c>
      <c r="DO244" s="609">
        <f t="shared" si="285"/>
        <v>0</v>
      </c>
      <c r="DP244" s="609">
        <f t="shared" si="285"/>
        <v>0</v>
      </c>
      <c r="DQ244" s="609">
        <f t="shared" si="285"/>
        <v>0</v>
      </c>
      <c r="DR244" s="609">
        <f t="shared" si="285"/>
        <v>0</v>
      </c>
      <c r="DS244" s="609">
        <f t="shared" si="285"/>
        <v>0</v>
      </c>
      <c r="DT244" s="609">
        <f t="shared" si="285"/>
        <v>110164.58658285716</v>
      </c>
      <c r="DU244" s="609">
        <f t="shared" si="285"/>
        <v>0</v>
      </c>
      <c r="DV244" s="609">
        <f t="shared" si="285"/>
        <v>0</v>
      </c>
      <c r="DW244" s="609">
        <f t="shared" si="285"/>
        <v>0</v>
      </c>
      <c r="DX244" s="609">
        <f t="shared" si="285"/>
        <v>0</v>
      </c>
      <c r="DY244" s="609">
        <f t="shared" si="285"/>
        <v>0</v>
      </c>
      <c r="DZ244" s="609">
        <f t="shared" si="285"/>
        <v>110164.58658285716</v>
      </c>
      <c r="EA244" s="609">
        <f t="shared" si="285"/>
        <v>0</v>
      </c>
      <c r="EB244" s="609">
        <f t="shared" si="285"/>
        <v>0</v>
      </c>
      <c r="EC244" s="609">
        <f t="shared" si="285"/>
        <v>0</v>
      </c>
      <c r="ED244" s="609">
        <f t="shared" si="285"/>
        <v>0</v>
      </c>
      <c r="EE244" s="609">
        <f t="shared" si="285"/>
        <v>0</v>
      </c>
      <c r="EF244" s="609">
        <f t="shared" si="285"/>
        <v>110164.58658285716</v>
      </c>
      <c r="EG244" s="609">
        <f t="shared" si="285"/>
        <v>0</v>
      </c>
      <c r="EH244" s="609">
        <f t="shared" si="285"/>
        <v>0</v>
      </c>
      <c r="EI244" s="609">
        <f t="shared" si="285"/>
        <v>0</v>
      </c>
      <c r="EJ244" s="609">
        <f t="shared" si="285"/>
        <v>0</v>
      </c>
      <c r="EK244" s="609">
        <f t="shared" si="285"/>
        <v>0</v>
      </c>
      <c r="EL244" s="609">
        <f t="shared" si="285"/>
        <v>110164.58658285716</v>
      </c>
      <c r="EM244" s="609">
        <f t="shared" si="285"/>
        <v>0</v>
      </c>
      <c r="EN244" s="609">
        <f t="shared" si="285"/>
        <v>0</v>
      </c>
      <c r="EO244" s="609">
        <f t="shared" si="285"/>
        <v>0</v>
      </c>
      <c r="EP244" s="609">
        <f t="shared" si="285"/>
        <v>0</v>
      </c>
      <c r="EQ244" s="609">
        <f t="shared" si="285"/>
        <v>0</v>
      </c>
      <c r="ER244" s="609">
        <f t="shared" si="285"/>
        <v>110164.58658285716</v>
      </c>
      <c r="ES244" s="609">
        <f t="shared" si="285"/>
        <v>0</v>
      </c>
      <c r="ET244" s="609">
        <f t="shared" si="285"/>
        <v>0</v>
      </c>
      <c r="EU244" s="609">
        <f t="shared" si="285"/>
        <v>0</v>
      </c>
      <c r="EV244" s="609">
        <f t="shared" si="285"/>
        <v>0</v>
      </c>
      <c r="EW244" s="609">
        <f t="shared" si="285"/>
        <v>0</v>
      </c>
      <c r="EX244" s="609">
        <f t="shared" si="285"/>
        <v>110164.58658285716</v>
      </c>
      <c r="EY244" s="609">
        <f t="shared" si="285"/>
        <v>0</v>
      </c>
      <c r="EZ244" s="609">
        <f t="shared" si="285"/>
        <v>0</v>
      </c>
      <c r="FA244" s="609">
        <f t="shared" si="285"/>
        <v>0</v>
      </c>
      <c r="FB244" s="609">
        <f t="shared" si="285"/>
        <v>0</v>
      </c>
      <c r="FC244" s="609">
        <f t="shared" si="285"/>
        <v>0</v>
      </c>
      <c r="FD244" s="609">
        <f t="shared" si="285"/>
        <v>110164.58658285716</v>
      </c>
      <c r="FE244" s="609">
        <f t="shared" si="285"/>
        <v>0</v>
      </c>
      <c r="FF244" s="609">
        <f t="shared" si="285"/>
        <v>0</v>
      </c>
      <c r="FG244" s="609">
        <f t="shared" si="285"/>
        <v>0</v>
      </c>
      <c r="FH244" s="609">
        <f t="shared" si="285"/>
        <v>0</v>
      </c>
      <c r="FI244" s="609">
        <f t="shared" si="285"/>
        <v>0</v>
      </c>
      <c r="FJ244" s="609">
        <f t="shared" si="285"/>
        <v>110164.58658285716</v>
      </c>
      <c r="FK244" s="609">
        <f t="shared" si="285"/>
        <v>0</v>
      </c>
      <c r="FL244" s="609">
        <f t="shared" si="285"/>
        <v>0</v>
      </c>
      <c r="FM244" s="609">
        <f t="shared" si="285"/>
        <v>0</v>
      </c>
      <c r="FN244" s="609">
        <f t="shared" si="285"/>
        <v>0</v>
      </c>
      <c r="FO244" s="609">
        <f t="shared" si="285"/>
        <v>0</v>
      </c>
      <c r="FP244" s="609">
        <f t="shared" si="285"/>
        <v>110164.58658285716</v>
      </c>
      <c r="FQ244" s="609">
        <f t="shared" si="285"/>
        <v>0</v>
      </c>
      <c r="FR244" s="609">
        <f t="shared" si="285"/>
        <v>0</v>
      </c>
      <c r="FS244" s="609">
        <f t="shared" ref="FS244:GZ244" si="286">FS229+(FS232*9.786)+(FS235*278)+(FS242*278)+FS240</f>
        <v>0</v>
      </c>
      <c r="FT244" s="609">
        <f t="shared" si="286"/>
        <v>0</v>
      </c>
      <c r="FU244" s="609">
        <f t="shared" si="286"/>
        <v>0</v>
      </c>
      <c r="FV244" s="609">
        <f t="shared" si="286"/>
        <v>110164.58658285716</v>
      </c>
      <c r="FW244" s="609">
        <f t="shared" si="286"/>
        <v>0</v>
      </c>
      <c r="FX244" s="609">
        <f t="shared" si="286"/>
        <v>0</v>
      </c>
      <c r="FY244" s="609">
        <f t="shared" si="286"/>
        <v>0</v>
      </c>
      <c r="FZ244" s="609">
        <f t="shared" si="286"/>
        <v>0</v>
      </c>
      <c r="GA244" s="609">
        <f t="shared" si="286"/>
        <v>0</v>
      </c>
      <c r="GB244" s="609">
        <f t="shared" si="286"/>
        <v>110164.58658285716</v>
      </c>
      <c r="GC244" s="609">
        <f t="shared" si="286"/>
        <v>0</v>
      </c>
      <c r="GD244" s="609">
        <f t="shared" si="286"/>
        <v>0</v>
      </c>
      <c r="GE244" s="609">
        <f t="shared" si="286"/>
        <v>0</v>
      </c>
      <c r="GF244" s="609">
        <f t="shared" si="286"/>
        <v>0</v>
      </c>
      <c r="GG244" s="609">
        <f t="shared" si="286"/>
        <v>0</v>
      </c>
      <c r="GH244" s="609">
        <f t="shared" si="286"/>
        <v>110164.58658285716</v>
      </c>
      <c r="GI244" s="609">
        <f t="shared" si="286"/>
        <v>0</v>
      </c>
      <c r="GJ244" s="609">
        <f t="shared" si="286"/>
        <v>0</v>
      </c>
      <c r="GK244" s="609">
        <f t="shared" si="286"/>
        <v>0</v>
      </c>
      <c r="GL244" s="609">
        <f t="shared" si="286"/>
        <v>0</v>
      </c>
      <c r="GM244" s="609">
        <f t="shared" si="286"/>
        <v>0</v>
      </c>
      <c r="GN244" s="609">
        <f t="shared" si="286"/>
        <v>110164.58658285716</v>
      </c>
      <c r="GO244" s="609">
        <f t="shared" si="286"/>
        <v>0</v>
      </c>
      <c r="GP244" s="609">
        <f t="shared" si="286"/>
        <v>0</v>
      </c>
      <c r="GQ244" s="609">
        <f t="shared" si="286"/>
        <v>0</v>
      </c>
      <c r="GR244" s="609">
        <f t="shared" si="286"/>
        <v>0</v>
      </c>
      <c r="GS244" s="609">
        <f t="shared" si="286"/>
        <v>0</v>
      </c>
      <c r="GT244" s="609">
        <f t="shared" si="286"/>
        <v>110164.58658285716</v>
      </c>
      <c r="GU244" s="609">
        <f t="shared" si="286"/>
        <v>0</v>
      </c>
      <c r="GV244" s="609">
        <f t="shared" si="286"/>
        <v>0</v>
      </c>
      <c r="GW244" s="609">
        <f t="shared" si="286"/>
        <v>0</v>
      </c>
      <c r="GX244" s="609">
        <f t="shared" si="286"/>
        <v>0</v>
      </c>
      <c r="GY244" s="609">
        <f t="shared" si="286"/>
        <v>0</v>
      </c>
      <c r="GZ244" s="609">
        <f t="shared" si="286"/>
        <v>110164.58658285716</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102.7272027487076</v>
      </c>
      <c r="V245" s="551">
        <f>IF(V222=0,0,V244/V222)</f>
        <v>102.7272027487076</v>
      </c>
      <c r="W245" s="552"/>
      <c r="X245" s="553"/>
      <c r="Y245" s="553"/>
      <c r="Z245" s="552"/>
      <c r="AA245" s="552"/>
      <c r="AB245" s="551">
        <f>IF(AB222=0,0,AB244/AB222)</f>
        <v>102.7272027487076</v>
      </c>
      <c r="AC245" s="552"/>
      <c r="AD245" s="553"/>
      <c r="AE245" s="553"/>
      <c r="AF245" s="552"/>
      <c r="AG245" s="552"/>
      <c r="AH245" s="551">
        <f>IF(AH222=0,0,AH244/AH222)</f>
        <v>102.7272027487076</v>
      </c>
      <c r="AI245" s="552"/>
      <c r="AJ245" s="553"/>
      <c r="AK245" s="553"/>
      <c r="AL245" s="552"/>
      <c r="AM245" s="552"/>
      <c r="AN245" s="551">
        <f>IF(AN222=0,0,AN244/AN222)</f>
        <v>102.7272027487076</v>
      </c>
      <c r="AO245" s="586"/>
      <c r="AP245" s="587"/>
      <c r="AQ245" s="587"/>
      <c r="AR245" s="586"/>
      <c r="AS245" s="586"/>
      <c r="AT245" s="637">
        <f>IF(AT222=0,0,AT244/AT222)</f>
        <v>91.458965521867171</v>
      </c>
      <c r="AU245" s="313"/>
      <c r="AV245" s="314"/>
      <c r="AW245" s="314"/>
      <c r="AX245" s="313"/>
      <c r="AY245" s="313"/>
      <c r="AZ245" s="551">
        <f>IF(AZ222=0,0,AZ244/AZ222)</f>
        <v>72.707628760998873</v>
      </c>
      <c r="BA245" s="313"/>
      <c r="BB245" s="314"/>
      <c r="BC245" s="314"/>
      <c r="BD245" s="313"/>
      <c r="BE245" s="313"/>
      <c r="BF245" s="551">
        <f>IF(BF222=0,0,BF244/BF222)</f>
        <v>54.273709932835885</v>
      </c>
      <c r="BG245" s="313"/>
      <c r="BH245" s="314"/>
      <c r="BI245" s="314"/>
      <c r="BJ245" s="313"/>
      <c r="BK245" s="313"/>
      <c r="BL245" s="551">
        <f>IF(BL222=0,0,BL244/BL222)</f>
        <v>43.369793282519325</v>
      </c>
      <c r="BM245" s="313"/>
      <c r="BN245" s="314"/>
      <c r="BO245" s="314"/>
      <c r="BP245" s="313"/>
      <c r="BQ245" s="313"/>
      <c r="BR245" s="551">
        <f>IF(BR222=0,0,BR244/BR222)</f>
        <v>34.725944579137924</v>
      </c>
      <c r="BS245" s="552"/>
      <c r="BT245" s="553"/>
      <c r="BU245" s="553"/>
      <c r="BV245" s="552"/>
      <c r="BW245" s="552"/>
      <c r="BX245" s="551">
        <f>IF(BX222=0,0,BX244/BX222)</f>
        <v>34.725944579137924</v>
      </c>
      <c r="BY245" s="313"/>
      <c r="BZ245" s="314"/>
      <c r="CA245" s="314"/>
      <c r="CB245" s="313"/>
      <c r="CC245" s="313"/>
      <c r="CD245" s="551">
        <f>IF(CD222=0,0,CD244/CD222)</f>
        <v>34.725944579137924</v>
      </c>
      <c r="CE245" s="313"/>
      <c r="CF245" s="314"/>
      <c r="CG245" s="314"/>
      <c r="CH245" s="313"/>
      <c r="CI245" s="313"/>
      <c r="CJ245" s="551">
        <f>IF(CJ222=0,0,CJ244/CJ222)</f>
        <v>34.725944579137924</v>
      </c>
      <c r="CK245" s="313"/>
      <c r="CL245" s="314"/>
      <c r="CM245" s="314"/>
      <c r="CN245" s="313"/>
      <c r="CO245" s="313"/>
      <c r="CP245" s="551">
        <f>IF(CP222=0,0,CP244/CP222)</f>
        <v>34.725944579137924</v>
      </c>
      <c r="CQ245" s="554"/>
      <c r="CR245" s="553"/>
      <c r="CS245" s="553"/>
      <c r="CT245" s="554"/>
      <c r="CU245" s="554"/>
      <c r="CV245" s="551">
        <f>IF(CV222=0,0,CV244/CV222)</f>
        <v>34.725944579137924</v>
      </c>
      <c r="CW245" s="554"/>
      <c r="CX245" s="553"/>
      <c r="CY245" s="553"/>
      <c r="CZ245" s="554"/>
      <c r="DA245" s="554"/>
      <c r="DB245" s="551">
        <f>IF(DB222=0,0,DB244/DB222)</f>
        <v>34.725944579137924</v>
      </c>
      <c r="DC245" s="313"/>
      <c r="DD245" s="314"/>
      <c r="DE245" s="314"/>
      <c r="DF245" s="313"/>
      <c r="DG245" s="313"/>
      <c r="DH245" s="551">
        <f>IF(DH222=0,0,DH244/DH222)</f>
        <v>34.725944579137924</v>
      </c>
      <c r="DI245" s="313"/>
      <c r="DJ245" s="314"/>
      <c r="DK245" s="314"/>
      <c r="DL245" s="313"/>
      <c r="DM245" s="313"/>
      <c r="DN245" s="551">
        <f>IF(DN222=0,0,DN244/DN222)</f>
        <v>34.725944579137924</v>
      </c>
      <c r="DO245" s="313"/>
      <c r="DP245" s="314"/>
      <c r="DQ245" s="314"/>
      <c r="DR245" s="313"/>
      <c r="DS245" s="313"/>
      <c r="DT245" s="551">
        <f>IF(DT222=0,0,DT244/DT222)</f>
        <v>34.725944579137924</v>
      </c>
      <c r="DU245" s="313"/>
      <c r="DV245" s="314"/>
      <c r="DW245" s="314"/>
      <c r="DX245" s="313"/>
      <c r="DY245" s="313"/>
      <c r="DZ245" s="551">
        <f>IF(DZ222=0,0,DZ244/DZ222)</f>
        <v>34.725944579137924</v>
      </c>
      <c r="EA245" s="313"/>
      <c r="EB245" s="314"/>
      <c r="EC245" s="314"/>
      <c r="ED245" s="313"/>
      <c r="EE245" s="313"/>
      <c r="EF245" s="551">
        <f>IF(EF222=0,0,EF244/EF222)</f>
        <v>34.725944579137924</v>
      </c>
      <c r="EG245" s="313"/>
      <c r="EH245" s="314"/>
      <c r="EI245" s="314"/>
      <c r="EJ245" s="313"/>
      <c r="EK245" s="313"/>
      <c r="EL245" s="551">
        <f>IF(EL222=0,0,EL244/EL222)</f>
        <v>34.725944579137924</v>
      </c>
      <c r="EM245" s="313"/>
      <c r="EN245" s="314"/>
      <c r="EO245" s="314"/>
      <c r="EP245" s="313"/>
      <c r="EQ245" s="313"/>
      <c r="ER245" s="551">
        <f>IF(ER222=0,0,ER244/ER222)</f>
        <v>34.725944579137924</v>
      </c>
      <c r="ES245" s="313"/>
      <c r="ET245" s="314"/>
      <c r="EU245" s="314"/>
      <c r="EV245" s="313"/>
      <c r="EW245" s="313"/>
      <c r="EX245" s="551">
        <f>IF(EX222=0,0,EX244/EX222)</f>
        <v>34.725944579137924</v>
      </c>
      <c r="EY245" s="313"/>
      <c r="EZ245" s="314"/>
      <c r="FA245" s="314"/>
      <c r="FB245" s="313"/>
      <c r="FC245" s="313"/>
      <c r="FD245" s="551">
        <f>IF(FD222=0,0,FD244/FD222)</f>
        <v>34.725944579137924</v>
      </c>
      <c r="FE245" s="313"/>
      <c r="FF245" s="314"/>
      <c r="FG245" s="314"/>
      <c r="FH245" s="313"/>
      <c r="FI245" s="313"/>
      <c r="FJ245" s="551">
        <f>IF(FJ222=0,0,FJ244/FJ222)</f>
        <v>34.725944579137924</v>
      </c>
      <c r="FK245" s="313"/>
      <c r="FL245" s="314"/>
      <c r="FM245" s="314"/>
      <c r="FN245" s="313"/>
      <c r="FO245" s="313"/>
      <c r="FP245" s="551">
        <f>IF(FP222=0,0,FP244/FP222)</f>
        <v>34.725944579137924</v>
      </c>
      <c r="FQ245" s="313"/>
      <c r="FR245" s="314"/>
      <c r="FS245" s="314"/>
      <c r="FT245" s="313"/>
      <c r="FU245" s="313"/>
      <c r="FV245" s="551">
        <f>IF(FV222=0,0,FV244/FV222)</f>
        <v>34.725944579137924</v>
      </c>
      <c r="FW245" s="313"/>
      <c r="FX245" s="314"/>
      <c r="FY245" s="314"/>
      <c r="FZ245" s="313"/>
      <c r="GA245" s="313"/>
      <c r="GB245" s="551">
        <f>IF(GB222=0,0,GB244/GB222)</f>
        <v>34.725944579137924</v>
      </c>
      <c r="GC245" s="313"/>
      <c r="GD245" s="314"/>
      <c r="GE245" s="314"/>
      <c r="GF245" s="313"/>
      <c r="GG245" s="313"/>
      <c r="GH245" s="551">
        <f>IF(GH222=0,0,GH244/GH222)</f>
        <v>34.725944579137924</v>
      </c>
      <c r="GI245" s="313"/>
      <c r="GJ245" s="314"/>
      <c r="GK245" s="314"/>
      <c r="GL245" s="313"/>
      <c r="GM245" s="313"/>
      <c r="GN245" s="551">
        <f>IF(GN222=0,0,GN244/GN222)</f>
        <v>34.725944579137924</v>
      </c>
      <c r="GO245" s="313"/>
      <c r="GP245" s="314"/>
      <c r="GQ245" s="314"/>
      <c r="GR245" s="313"/>
      <c r="GS245" s="313"/>
      <c r="GT245" s="551">
        <f>IF(GT222=0,0,GT244/GT222)</f>
        <v>34.725944579137924</v>
      </c>
      <c r="GU245" s="313"/>
      <c r="GV245" s="314"/>
      <c r="GW245" s="314"/>
      <c r="GX245" s="313"/>
      <c r="GY245" s="313"/>
      <c r="GZ245" s="555">
        <f>IF(GZ222=0,0,GZ244/GZ222)</f>
        <v>34.725944579137924</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15731.236000000001</v>
      </c>
      <c r="V247" s="541">
        <f>V229*$C18</f>
        <v>15731.236000000001</v>
      </c>
      <c r="W247" s="542"/>
      <c r="X247" s="543"/>
      <c r="Y247" s="543"/>
      <c r="Z247" s="542"/>
      <c r="AA247" s="542"/>
      <c r="AB247" s="541">
        <f>AB229*$C18</f>
        <v>15731.236000000001</v>
      </c>
      <c r="AC247" s="542"/>
      <c r="AD247" s="543"/>
      <c r="AE247" s="543"/>
      <c r="AF247" s="542"/>
      <c r="AG247" s="542"/>
      <c r="AH247" s="541">
        <f>AH229*$C18</f>
        <v>15731.236000000001</v>
      </c>
      <c r="AI247" s="542"/>
      <c r="AJ247" s="543"/>
      <c r="AK247" s="543"/>
      <c r="AL247" s="542"/>
      <c r="AM247" s="542"/>
      <c r="AN247" s="541">
        <f>AN229*$C18</f>
        <v>15731.236000000001</v>
      </c>
      <c r="AO247" s="560"/>
      <c r="AP247" s="561"/>
      <c r="AQ247" s="561"/>
      <c r="AR247" s="560"/>
      <c r="AS247" s="560"/>
      <c r="AT247" s="540">
        <f>AT229*$C18</f>
        <v>14763.885981331143</v>
      </c>
      <c r="AU247" s="311"/>
      <c r="AV247" s="312"/>
      <c r="AW247" s="312"/>
      <c r="AX247" s="311"/>
      <c r="AY247" s="311"/>
      <c r="AZ247" s="541">
        <f>AZ229*$C18</f>
        <v>15108.189861891786</v>
      </c>
      <c r="BA247" s="311"/>
      <c r="BB247" s="312"/>
      <c r="BC247" s="312"/>
      <c r="BD247" s="311"/>
      <c r="BE247" s="311"/>
      <c r="BF247" s="541">
        <f>BF229*$C18</f>
        <v>8703.7624237658547</v>
      </c>
      <c r="BG247" s="311"/>
      <c r="BH247" s="312"/>
      <c r="BI247" s="312"/>
      <c r="BJ247" s="311"/>
      <c r="BK247" s="311"/>
      <c r="BL247" s="541">
        <f>BL229*$C18</f>
        <v>12019.172035639927</v>
      </c>
      <c r="BM247" s="311"/>
      <c r="BN247" s="312"/>
      <c r="BO247" s="312"/>
      <c r="BP247" s="311"/>
      <c r="BQ247" s="311"/>
      <c r="BR247" s="541">
        <f>BR229*$C18</f>
        <v>14608.000421191711</v>
      </c>
      <c r="BS247" s="542"/>
      <c r="BT247" s="543"/>
      <c r="BU247" s="543"/>
      <c r="BV247" s="542"/>
      <c r="BW247" s="542"/>
      <c r="BX247" s="541">
        <f>BX229*$C18</f>
        <v>14608.000421191711</v>
      </c>
      <c r="BY247" s="311"/>
      <c r="BZ247" s="312"/>
      <c r="CA247" s="312"/>
      <c r="CB247" s="311"/>
      <c r="CC247" s="311"/>
      <c r="CD247" s="541">
        <f>CD229*$C18</f>
        <v>14608.000421191711</v>
      </c>
      <c r="CE247" s="311"/>
      <c r="CF247" s="312"/>
      <c r="CG247" s="312"/>
      <c r="CH247" s="311"/>
      <c r="CI247" s="311"/>
      <c r="CJ247" s="541">
        <f>CJ229*$C18</f>
        <v>14608.000421191711</v>
      </c>
      <c r="CK247" s="311"/>
      <c r="CL247" s="312"/>
      <c r="CM247" s="312"/>
      <c r="CN247" s="311"/>
      <c r="CO247" s="311"/>
      <c r="CP247" s="541">
        <f>CP229*$C18</f>
        <v>14608.000421191711</v>
      </c>
      <c r="CQ247" s="544"/>
      <c r="CR247" s="543"/>
      <c r="CS247" s="543"/>
      <c r="CT247" s="544"/>
      <c r="CU247" s="544"/>
      <c r="CV247" s="541">
        <f>CV229*$C18</f>
        <v>14608.000421191711</v>
      </c>
      <c r="CW247" s="544"/>
      <c r="CX247" s="543"/>
      <c r="CY247" s="543"/>
      <c r="CZ247" s="544"/>
      <c r="DA247" s="544"/>
      <c r="DB247" s="541">
        <f>DB229*$C18</f>
        <v>14608.000421191711</v>
      </c>
      <c r="DC247" s="311"/>
      <c r="DD247" s="312"/>
      <c r="DE247" s="312"/>
      <c r="DF247" s="311"/>
      <c r="DG247" s="311"/>
      <c r="DH247" s="541">
        <f>DH229*$C18</f>
        <v>14608.000421191711</v>
      </c>
      <c r="DI247" s="311"/>
      <c r="DJ247" s="312"/>
      <c r="DK247" s="312"/>
      <c r="DL247" s="311"/>
      <c r="DM247" s="311"/>
      <c r="DN247" s="541">
        <f>DN229*$C18</f>
        <v>14608.000421191711</v>
      </c>
      <c r="DO247" s="311"/>
      <c r="DP247" s="312"/>
      <c r="DQ247" s="312"/>
      <c r="DR247" s="311"/>
      <c r="DS247" s="311"/>
      <c r="DT247" s="541">
        <f>DT229*$C18</f>
        <v>14608.000421191711</v>
      </c>
      <c r="DU247" s="311"/>
      <c r="DV247" s="312"/>
      <c r="DW247" s="312"/>
      <c r="DX247" s="311"/>
      <c r="DY247" s="311"/>
      <c r="DZ247" s="541">
        <f>DZ229*$C18</f>
        <v>14608.000421191711</v>
      </c>
      <c r="EA247" s="311"/>
      <c r="EB247" s="312"/>
      <c r="EC247" s="312"/>
      <c r="ED247" s="311"/>
      <c r="EE247" s="311"/>
      <c r="EF247" s="541">
        <f>EF229*$C18</f>
        <v>14608.000421191711</v>
      </c>
      <c r="EG247" s="311"/>
      <c r="EH247" s="312"/>
      <c r="EI247" s="312"/>
      <c r="EJ247" s="311"/>
      <c r="EK247" s="311"/>
      <c r="EL247" s="541">
        <f>EL229*$C18</f>
        <v>14608.000421191711</v>
      </c>
      <c r="EM247" s="311"/>
      <c r="EN247" s="312"/>
      <c r="EO247" s="312"/>
      <c r="EP247" s="311"/>
      <c r="EQ247" s="311"/>
      <c r="ER247" s="541">
        <f>ER229*$C18</f>
        <v>14608.000421191711</v>
      </c>
      <c r="ES247" s="311"/>
      <c r="ET247" s="312"/>
      <c r="EU247" s="312"/>
      <c r="EV247" s="311"/>
      <c r="EW247" s="311"/>
      <c r="EX247" s="541">
        <f>EX229*$C18</f>
        <v>14608.000421191711</v>
      </c>
      <c r="EY247" s="311"/>
      <c r="EZ247" s="312"/>
      <c r="FA247" s="312"/>
      <c r="FB247" s="311"/>
      <c r="FC247" s="311"/>
      <c r="FD247" s="541">
        <f>FD229*$C18</f>
        <v>14608.000421191711</v>
      </c>
      <c r="FE247" s="311"/>
      <c r="FF247" s="312"/>
      <c r="FG247" s="312"/>
      <c r="FH247" s="311"/>
      <c r="FI247" s="311"/>
      <c r="FJ247" s="541">
        <f>FJ229*$C18</f>
        <v>14608.000421191711</v>
      </c>
      <c r="FK247" s="311"/>
      <c r="FL247" s="312"/>
      <c r="FM247" s="312"/>
      <c r="FN247" s="311"/>
      <c r="FO247" s="311"/>
      <c r="FP247" s="541">
        <f>FP229*$C18</f>
        <v>14608.000421191711</v>
      </c>
      <c r="FQ247" s="311"/>
      <c r="FR247" s="312"/>
      <c r="FS247" s="312"/>
      <c r="FT247" s="311"/>
      <c r="FU247" s="311"/>
      <c r="FV247" s="541">
        <f>FV229*$C18</f>
        <v>14608.000421191711</v>
      </c>
      <c r="FW247" s="311"/>
      <c r="FX247" s="312"/>
      <c r="FY247" s="312"/>
      <c r="FZ247" s="311"/>
      <c r="GA247" s="311"/>
      <c r="GB247" s="541">
        <f>GB229*$C18</f>
        <v>14608.000421191711</v>
      </c>
      <c r="GC247" s="311"/>
      <c r="GD247" s="312"/>
      <c r="GE247" s="312"/>
      <c r="GF247" s="311"/>
      <c r="GG247" s="311"/>
      <c r="GH247" s="541">
        <f>GH229*$C18</f>
        <v>14608.000421191711</v>
      </c>
      <c r="GI247" s="311"/>
      <c r="GJ247" s="312"/>
      <c r="GK247" s="312"/>
      <c r="GL247" s="311"/>
      <c r="GM247" s="311"/>
      <c r="GN247" s="541">
        <f>GN229*$C18</f>
        <v>14608.000421191711</v>
      </c>
      <c r="GO247" s="311"/>
      <c r="GP247" s="312"/>
      <c r="GQ247" s="312"/>
      <c r="GR247" s="311"/>
      <c r="GS247" s="311"/>
      <c r="GT247" s="541">
        <f>GT229*$C18</f>
        <v>14608.000421191711</v>
      </c>
      <c r="GU247" s="311"/>
      <c r="GV247" s="312"/>
      <c r="GW247" s="312"/>
      <c r="GX247" s="311"/>
      <c r="GY247" s="311"/>
      <c r="GZ247" s="545">
        <f>GZ229*$C18</f>
        <v>14608.000421191711</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37762.199999999997</v>
      </c>
      <c r="V248" s="604">
        <f>V232*$C19</f>
        <v>37762.199999999997</v>
      </c>
      <c r="W248" s="574"/>
      <c r="X248" s="575"/>
      <c r="Y248" s="575"/>
      <c r="Z248" s="574"/>
      <c r="AA248" s="574"/>
      <c r="AB248" s="604">
        <f>AB232*$C19</f>
        <v>37762.199999999997</v>
      </c>
      <c r="AC248" s="315"/>
      <c r="AD248" s="316"/>
      <c r="AE248" s="316"/>
      <c r="AF248" s="315"/>
      <c r="AG248" s="315"/>
      <c r="AH248" s="604">
        <f>AH232*$C19</f>
        <v>37762.199999999997</v>
      </c>
      <c r="AI248" s="574"/>
      <c r="AJ248" s="575"/>
      <c r="AK248" s="575"/>
      <c r="AL248" s="574"/>
      <c r="AM248" s="574"/>
      <c r="AN248" s="604">
        <f>AN232*$C19</f>
        <v>37762.199999999997</v>
      </c>
      <c r="AO248" s="439"/>
      <c r="AP248" s="530"/>
      <c r="AQ248" s="530"/>
      <c r="AR248" s="439"/>
      <c r="AS248" s="439"/>
      <c r="AT248" s="609">
        <f>AT232*$C19</f>
        <v>33192.9738</v>
      </c>
      <c r="AU248" s="315"/>
      <c r="AV248" s="316"/>
      <c r="AW248" s="316"/>
      <c r="AX248" s="315"/>
      <c r="AY248" s="315"/>
      <c r="AZ248" s="604">
        <f>AZ232*$C19</f>
        <v>24488.786699999997</v>
      </c>
      <c r="BA248" s="315"/>
      <c r="BB248" s="316"/>
      <c r="BC248" s="316"/>
      <c r="BD248" s="315"/>
      <c r="BE248" s="315"/>
      <c r="BF248" s="604">
        <f>BF232*$C19</f>
        <v>14255.2305</v>
      </c>
      <c r="BG248" s="315"/>
      <c r="BH248" s="316"/>
      <c r="BI248" s="316"/>
      <c r="BJ248" s="315"/>
      <c r="BK248" s="315"/>
      <c r="BL248" s="604">
        <f>BL232*$C19</f>
        <v>7439.1534000000011</v>
      </c>
      <c r="BM248" s="315"/>
      <c r="BN248" s="316"/>
      <c r="BO248" s="316"/>
      <c r="BP248" s="315"/>
      <c r="BQ248" s="315"/>
      <c r="BR248" s="604">
        <f>BR232*$C19</f>
        <v>2058.0399000000025</v>
      </c>
      <c r="BS248" s="315"/>
      <c r="BT248" s="316"/>
      <c r="BU248" s="316"/>
      <c r="BV248" s="315"/>
      <c r="BW248" s="315"/>
      <c r="BX248" s="604">
        <f>BX232*$C19</f>
        <v>2058.0399000000025</v>
      </c>
      <c r="BY248" s="315"/>
      <c r="BZ248" s="316"/>
      <c r="CA248" s="316"/>
      <c r="CB248" s="315"/>
      <c r="CC248" s="315"/>
      <c r="CD248" s="604">
        <f>CD232*$C19</f>
        <v>2058.0399000000025</v>
      </c>
      <c r="CE248" s="315"/>
      <c r="CF248" s="316"/>
      <c r="CG248" s="316"/>
      <c r="CH248" s="315"/>
      <c r="CI248" s="315"/>
      <c r="CJ248" s="604">
        <f>CJ232*$C19</f>
        <v>2058.0399000000025</v>
      </c>
      <c r="CK248" s="315"/>
      <c r="CL248" s="316"/>
      <c r="CM248" s="316"/>
      <c r="CN248" s="315"/>
      <c r="CO248" s="315"/>
      <c r="CP248" s="604">
        <f>CP232*$C19</f>
        <v>2058.0399000000025</v>
      </c>
      <c r="CQ248" s="315"/>
      <c r="CR248" s="316"/>
      <c r="CS248" s="316"/>
      <c r="CT248" s="315"/>
      <c r="CU248" s="315"/>
      <c r="CV248" s="604">
        <f>CV232*$C19</f>
        <v>2058.0399000000025</v>
      </c>
      <c r="CW248" s="577"/>
      <c r="CX248" s="575"/>
      <c r="CY248" s="575"/>
      <c r="CZ248" s="577"/>
      <c r="DA248" s="577"/>
      <c r="DB248" s="604">
        <f>DB232*$C19</f>
        <v>2058.0399000000025</v>
      </c>
      <c r="DC248" s="315"/>
      <c r="DD248" s="316"/>
      <c r="DE248" s="316"/>
      <c r="DF248" s="315"/>
      <c r="DG248" s="315"/>
      <c r="DH248" s="604">
        <f>DH232*$C19</f>
        <v>2058.0399000000025</v>
      </c>
      <c r="DI248" s="315"/>
      <c r="DJ248" s="316"/>
      <c r="DK248" s="316"/>
      <c r="DL248" s="315"/>
      <c r="DM248" s="315"/>
      <c r="DN248" s="604">
        <f>DN232*$C19</f>
        <v>2058.0399000000025</v>
      </c>
      <c r="DO248" s="315"/>
      <c r="DP248" s="316"/>
      <c r="DQ248" s="316"/>
      <c r="DR248" s="315"/>
      <c r="DS248" s="315"/>
      <c r="DT248" s="604">
        <f>DT232*$C19</f>
        <v>2058.0399000000025</v>
      </c>
      <c r="DU248" s="315"/>
      <c r="DV248" s="316"/>
      <c r="DW248" s="316"/>
      <c r="DX248" s="315"/>
      <c r="DY248" s="315"/>
      <c r="DZ248" s="604">
        <f>DZ232*$C19</f>
        <v>2058.0399000000025</v>
      </c>
      <c r="EA248" s="315"/>
      <c r="EB248" s="316"/>
      <c r="EC248" s="316"/>
      <c r="ED248" s="315"/>
      <c r="EE248" s="315"/>
      <c r="EF248" s="604">
        <f>EF232*$C19</f>
        <v>2058.0399000000025</v>
      </c>
      <c r="EG248" s="315"/>
      <c r="EH248" s="316"/>
      <c r="EI248" s="316"/>
      <c r="EJ248" s="315"/>
      <c r="EK248" s="315"/>
      <c r="EL248" s="604">
        <f>EL232*$C19</f>
        <v>2058.0399000000025</v>
      </c>
      <c r="EM248" s="315"/>
      <c r="EN248" s="316"/>
      <c r="EO248" s="316"/>
      <c r="EP248" s="315"/>
      <c r="EQ248" s="315"/>
      <c r="ER248" s="604">
        <f>ER232*$C19</f>
        <v>2058.0399000000025</v>
      </c>
      <c r="ES248" s="315"/>
      <c r="ET248" s="316"/>
      <c r="EU248" s="316"/>
      <c r="EV248" s="315"/>
      <c r="EW248" s="315"/>
      <c r="EX248" s="604">
        <f>EX232*$C19</f>
        <v>2058.0399000000025</v>
      </c>
      <c r="EY248" s="315"/>
      <c r="EZ248" s="316"/>
      <c r="FA248" s="316"/>
      <c r="FB248" s="315"/>
      <c r="FC248" s="315"/>
      <c r="FD248" s="604">
        <f>FD232*$C19</f>
        <v>2058.0399000000025</v>
      </c>
      <c r="FE248" s="315"/>
      <c r="FF248" s="316"/>
      <c r="FG248" s="316"/>
      <c r="FH248" s="315"/>
      <c r="FI248" s="315"/>
      <c r="FJ248" s="604">
        <f>FJ232*$C19</f>
        <v>2058.0399000000025</v>
      </c>
      <c r="FK248" s="315"/>
      <c r="FL248" s="316"/>
      <c r="FM248" s="316"/>
      <c r="FN248" s="315"/>
      <c r="FO248" s="315"/>
      <c r="FP248" s="604">
        <f>FP232*$C19</f>
        <v>2058.0399000000025</v>
      </c>
      <c r="FQ248" s="315"/>
      <c r="FR248" s="316"/>
      <c r="FS248" s="316"/>
      <c r="FT248" s="315"/>
      <c r="FU248" s="315"/>
      <c r="FV248" s="604">
        <f>FV232*$C19</f>
        <v>2058.0399000000025</v>
      </c>
      <c r="FW248" s="315"/>
      <c r="FX248" s="316"/>
      <c r="FY248" s="316"/>
      <c r="FZ248" s="315"/>
      <c r="GA248" s="315"/>
      <c r="GB248" s="604">
        <f>GB232*$C19</f>
        <v>2058.0399000000025</v>
      </c>
      <c r="GC248" s="315"/>
      <c r="GD248" s="316"/>
      <c r="GE248" s="316"/>
      <c r="GF248" s="315"/>
      <c r="GG248" s="315"/>
      <c r="GH248" s="604">
        <f>GH232*$C19</f>
        <v>2058.0399000000025</v>
      </c>
      <c r="GI248" s="315"/>
      <c r="GJ248" s="316"/>
      <c r="GK248" s="316"/>
      <c r="GL248" s="315"/>
      <c r="GM248" s="315"/>
      <c r="GN248" s="604">
        <f>GN232*$C19</f>
        <v>2058.0399000000025</v>
      </c>
      <c r="GO248" s="315"/>
      <c r="GP248" s="316"/>
      <c r="GQ248" s="316"/>
      <c r="GR248" s="315"/>
      <c r="GS248" s="315"/>
      <c r="GT248" s="604">
        <f>GT232*$C19</f>
        <v>2058.0399000000025</v>
      </c>
      <c r="GU248" s="315"/>
      <c r="GV248" s="316"/>
      <c r="GW248" s="316"/>
      <c r="GX248" s="315"/>
      <c r="GY248" s="315"/>
      <c r="GZ248" s="610">
        <f>GZ232*$C19</f>
        <v>2058.0399000000025</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0</v>
      </c>
      <c r="V249" s="604">
        <f>V235*$C20</f>
        <v>0</v>
      </c>
      <c r="W249" s="574"/>
      <c r="X249" s="575"/>
      <c r="Y249" s="575"/>
      <c r="Z249" s="574"/>
      <c r="AA249" s="574"/>
      <c r="AB249" s="604">
        <f>AB235*$C20</f>
        <v>0</v>
      </c>
      <c r="AC249" s="574"/>
      <c r="AD249" s="575"/>
      <c r="AE249" s="575"/>
      <c r="AF249" s="574"/>
      <c r="AG249" s="574"/>
      <c r="AH249" s="604">
        <f>AH235*$C20</f>
        <v>0</v>
      </c>
      <c r="AI249" s="574"/>
      <c r="AJ249" s="575"/>
      <c r="AK249" s="575"/>
      <c r="AL249" s="574"/>
      <c r="AM249" s="574"/>
      <c r="AN249" s="604">
        <f>AN235*$C20</f>
        <v>0</v>
      </c>
      <c r="AO249" s="439"/>
      <c r="AP249" s="530"/>
      <c r="AQ249" s="530"/>
      <c r="AR249" s="439"/>
      <c r="AS249" s="439"/>
      <c r="AT249" s="609">
        <f t="shared" ref="AT249:DE249" si="287">(AT235+AT242)*$C20</f>
        <v>0</v>
      </c>
      <c r="AU249" s="609">
        <f t="shared" si="287"/>
        <v>0</v>
      </c>
      <c r="AV249" s="609">
        <f t="shared" si="287"/>
        <v>0</v>
      </c>
      <c r="AW249" s="609">
        <f t="shared" si="287"/>
        <v>0</v>
      </c>
      <c r="AX249" s="609">
        <f t="shared" si="287"/>
        <v>0</v>
      </c>
      <c r="AY249" s="609">
        <f t="shared" si="287"/>
        <v>0</v>
      </c>
      <c r="AZ249" s="609">
        <f t="shared" si="287"/>
        <v>0</v>
      </c>
      <c r="BA249" s="609">
        <f t="shared" si="287"/>
        <v>0</v>
      </c>
      <c r="BB249" s="609">
        <f t="shared" si="287"/>
        <v>0</v>
      </c>
      <c r="BC249" s="609">
        <f t="shared" si="287"/>
        <v>0</v>
      </c>
      <c r="BD249" s="609">
        <f t="shared" si="287"/>
        <v>0</v>
      </c>
      <c r="BE249" s="609">
        <f t="shared" si="287"/>
        <v>0</v>
      </c>
      <c r="BF249" s="609">
        <f t="shared" si="287"/>
        <v>0</v>
      </c>
      <c r="BG249" s="609">
        <f t="shared" si="287"/>
        <v>0</v>
      </c>
      <c r="BH249" s="609">
        <f t="shared" si="287"/>
        <v>0</v>
      </c>
      <c r="BI249" s="609">
        <f t="shared" si="287"/>
        <v>0</v>
      </c>
      <c r="BJ249" s="609">
        <f t="shared" si="287"/>
        <v>0</v>
      </c>
      <c r="BK249" s="609">
        <f t="shared" si="287"/>
        <v>0</v>
      </c>
      <c r="BL249" s="609">
        <f t="shared" si="287"/>
        <v>0</v>
      </c>
      <c r="BM249" s="609">
        <f t="shared" si="287"/>
        <v>0</v>
      </c>
      <c r="BN249" s="609">
        <f t="shared" si="287"/>
        <v>0</v>
      </c>
      <c r="BO249" s="609">
        <f t="shared" si="287"/>
        <v>0</v>
      </c>
      <c r="BP249" s="609">
        <f t="shared" si="287"/>
        <v>0</v>
      </c>
      <c r="BQ249" s="609">
        <f t="shared" si="287"/>
        <v>0</v>
      </c>
      <c r="BR249" s="609">
        <f t="shared" si="287"/>
        <v>0</v>
      </c>
      <c r="BS249" s="609">
        <f t="shared" si="287"/>
        <v>0</v>
      </c>
      <c r="BT249" s="609">
        <f t="shared" si="287"/>
        <v>0</v>
      </c>
      <c r="BU249" s="609">
        <f t="shared" si="287"/>
        <v>0</v>
      </c>
      <c r="BV249" s="609">
        <f t="shared" si="287"/>
        <v>0</v>
      </c>
      <c r="BW249" s="609">
        <f t="shared" si="287"/>
        <v>0</v>
      </c>
      <c r="BX249" s="609">
        <f t="shared" si="287"/>
        <v>0</v>
      </c>
      <c r="BY249" s="609">
        <f t="shared" si="287"/>
        <v>0</v>
      </c>
      <c r="BZ249" s="609">
        <f t="shared" si="287"/>
        <v>0</v>
      </c>
      <c r="CA249" s="609">
        <f t="shared" si="287"/>
        <v>0</v>
      </c>
      <c r="CB249" s="609">
        <f t="shared" si="287"/>
        <v>0</v>
      </c>
      <c r="CC249" s="609">
        <f t="shared" si="287"/>
        <v>0</v>
      </c>
      <c r="CD249" s="609">
        <f t="shared" si="287"/>
        <v>0</v>
      </c>
      <c r="CE249" s="609">
        <f t="shared" si="287"/>
        <v>0</v>
      </c>
      <c r="CF249" s="609">
        <f t="shared" si="287"/>
        <v>0</v>
      </c>
      <c r="CG249" s="609">
        <f t="shared" si="287"/>
        <v>0</v>
      </c>
      <c r="CH249" s="609">
        <f t="shared" si="287"/>
        <v>0</v>
      </c>
      <c r="CI249" s="609">
        <f t="shared" si="287"/>
        <v>0</v>
      </c>
      <c r="CJ249" s="609">
        <f t="shared" si="287"/>
        <v>0</v>
      </c>
      <c r="CK249" s="609">
        <f t="shared" si="287"/>
        <v>0</v>
      </c>
      <c r="CL249" s="609">
        <f t="shared" si="287"/>
        <v>0</v>
      </c>
      <c r="CM249" s="609">
        <f t="shared" si="287"/>
        <v>0</v>
      </c>
      <c r="CN249" s="609">
        <f t="shared" si="287"/>
        <v>0</v>
      </c>
      <c r="CO249" s="609">
        <f t="shared" si="287"/>
        <v>0</v>
      </c>
      <c r="CP249" s="609">
        <f t="shared" si="287"/>
        <v>0</v>
      </c>
      <c r="CQ249" s="609">
        <f t="shared" si="287"/>
        <v>0</v>
      </c>
      <c r="CR249" s="609">
        <f t="shared" si="287"/>
        <v>0</v>
      </c>
      <c r="CS249" s="609">
        <f t="shared" si="287"/>
        <v>0</v>
      </c>
      <c r="CT249" s="609">
        <f t="shared" si="287"/>
        <v>0</v>
      </c>
      <c r="CU249" s="609">
        <f t="shared" si="287"/>
        <v>0</v>
      </c>
      <c r="CV249" s="609">
        <f t="shared" si="287"/>
        <v>0</v>
      </c>
      <c r="CW249" s="609">
        <f t="shared" si="287"/>
        <v>0</v>
      </c>
      <c r="CX249" s="609">
        <f t="shared" si="287"/>
        <v>0</v>
      </c>
      <c r="CY249" s="609">
        <f t="shared" si="287"/>
        <v>0</v>
      </c>
      <c r="CZ249" s="609">
        <f t="shared" si="287"/>
        <v>0</v>
      </c>
      <c r="DA249" s="609">
        <f t="shared" si="287"/>
        <v>0</v>
      </c>
      <c r="DB249" s="609">
        <f t="shared" si="287"/>
        <v>0</v>
      </c>
      <c r="DC249" s="609">
        <f t="shared" si="287"/>
        <v>0</v>
      </c>
      <c r="DD249" s="609">
        <f t="shared" si="287"/>
        <v>0</v>
      </c>
      <c r="DE249" s="609">
        <f t="shared" si="287"/>
        <v>0</v>
      </c>
      <c r="DF249" s="609">
        <f t="shared" ref="DF249:FQ249" si="288">(DF235+DF242)*$C20</f>
        <v>0</v>
      </c>
      <c r="DG249" s="609">
        <f t="shared" si="288"/>
        <v>0</v>
      </c>
      <c r="DH249" s="609">
        <f t="shared" si="288"/>
        <v>0</v>
      </c>
      <c r="DI249" s="609">
        <f t="shared" si="288"/>
        <v>0</v>
      </c>
      <c r="DJ249" s="609">
        <f t="shared" si="288"/>
        <v>0</v>
      </c>
      <c r="DK249" s="609">
        <f t="shared" si="288"/>
        <v>0</v>
      </c>
      <c r="DL249" s="609">
        <f t="shared" si="288"/>
        <v>0</v>
      </c>
      <c r="DM249" s="609">
        <f t="shared" si="288"/>
        <v>0</v>
      </c>
      <c r="DN249" s="609">
        <f t="shared" si="288"/>
        <v>0</v>
      </c>
      <c r="DO249" s="609">
        <f t="shared" si="288"/>
        <v>0</v>
      </c>
      <c r="DP249" s="609">
        <f t="shared" si="288"/>
        <v>0</v>
      </c>
      <c r="DQ249" s="609">
        <f t="shared" si="288"/>
        <v>0</v>
      </c>
      <c r="DR249" s="609">
        <f t="shared" si="288"/>
        <v>0</v>
      </c>
      <c r="DS249" s="609">
        <f t="shared" si="288"/>
        <v>0</v>
      </c>
      <c r="DT249" s="609">
        <f t="shared" si="288"/>
        <v>0</v>
      </c>
      <c r="DU249" s="609">
        <f t="shared" si="288"/>
        <v>0</v>
      </c>
      <c r="DV249" s="609">
        <f t="shared" si="288"/>
        <v>0</v>
      </c>
      <c r="DW249" s="609">
        <f t="shared" si="288"/>
        <v>0</v>
      </c>
      <c r="DX249" s="609">
        <f t="shared" si="288"/>
        <v>0</v>
      </c>
      <c r="DY249" s="609">
        <f t="shared" si="288"/>
        <v>0</v>
      </c>
      <c r="DZ249" s="609">
        <f t="shared" si="288"/>
        <v>0</v>
      </c>
      <c r="EA249" s="609">
        <f t="shared" si="288"/>
        <v>0</v>
      </c>
      <c r="EB249" s="609">
        <f t="shared" si="288"/>
        <v>0</v>
      </c>
      <c r="EC249" s="609">
        <f t="shared" si="288"/>
        <v>0</v>
      </c>
      <c r="ED249" s="609">
        <f t="shared" si="288"/>
        <v>0</v>
      </c>
      <c r="EE249" s="609">
        <f t="shared" si="288"/>
        <v>0</v>
      </c>
      <c r="EF249" s="609">
        <f t="shared" si="288"/>
        <v>0</v>
      </c>
      <c r="EG249" s="609">
        <f t="shared" si="288"/>
        <v>0</v>
      </c>
      <c r="EH249" s="609">
        <f t="shared" si="288"/>
        <v>0</v>
      </c>
      <c r="EI249" s="609">
        <f t="shared" si="288"/>
        <v>0</v>
      </c>
      <c r="EJ249" s="609">
        <f t="shared" si="288"/>
        <v>0</v>
      </c>
      <c r="EK249" s="609">
        <f t="shared" si="288"/>
        <v>0</v>
      </c>
      <c r="EL249" s="609">
        <f t="shared" si="288"/>
        <v>0</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53493.436000000002</v>
      </c>
      <c r="V250" s="604">
        <f>SUM(V247:V249)</f>
        <v>53493.436000000002</v>
      </c>
      <c r="W250" s="611"/>
      <c r="X250" s="612"/>
      <c r="Y250" s="612"/>
      <c r="Z250" s="611"/>
      <c r="AA250" s="611"/>
      <c r="AB250" s="604">
        <f>SUM(AB247:AB249)</f>
        <v>53493.436000000002</v>
      </c>
      <c r="AC250" s="659"/>
      <c r="AD250" s="660"/>
      <c r="AE250" s="660"/>
      <c r="AF250" s="659"/>
      <c r="AG250" s="659"/>
      <c r="AH250" s="604">
        <f>SUM(AH247:AH249)</f>
        <v>53493.436000000002</v>
      </c>
      <c r="AI250" s="611"/>
      <c r="AJ250" s="612"/>
      <c r="AK250" s="612"/>
      <c r="AL250" s="611"/>
      <c r="AM250" s="611"/>
      <c r="AN250" s="604">
        <f>SUM(AN247:AN249)</f>
        <v>53493.436000000002</v>
      </c>
      <c r="AO250" s="439"/>
      <c r="AP250" s="530"/>
      <c r="AQ250" s="530"/>
      <c r="AR250" s="439"/>
      <c r="AS250" s="439"/>
      <c r="AT250" s="609">
        <f>SUM(AT247:AT249)</f>
        <v>47956.859781331143</v>
      </c>
      <c r="AU250" s="315"/>
      <c r="AV250" s="316"/>
      <c r="AW250" s="316"/>
      <c r="AX250" s="315"/>
      <c r="AY250" s="315"/>
      <c r="AZ250" s="604">
        <f>SUM(AZ247:AZ249)</f>
        <v>39596.976561891781</v>
      </c>
      <c r="BA250" s="315"/>
      <c r="BB250" s="316"/>
      <c r="BC250" s="316"/>
      <c r="BD250" s="315"/>
      <c r="BE250" s="315"/>
      <c r="BF250" s="604">
        <f>SUM(BF247:BF249)</f>
        <v>22958.992923765854</v>
      </c>
      <c r="BG250" s="315"/>
      <c r="BH250" s="316"/>
      <c r="BI250" s="316"/>
      <c r="BJ250" s="315"/>
      <c r="BK250" s="315"/>
      <c r="BL250" s="604">
        <f>SUM(BL247:BL249)</f>
        <v>19458.325435639927</v>
      </c>
      <c r="BM250" s="315"/>
      <c r="BN250" s="316"/>
      <c r="BO250" s="316"/>
      <c r="BP250" s="315"/>
      <c r="BQ250" s="315"/>
      <c r="BR250" s="604">
        <f>SUM(BR247:BR249)</f>
        <v>16666.040321191715</v>
      </c>
      <c r="BS250" s="315"/>
      <c r="BT250" s="316"/>
      <c r="BU250" s="316"/>
      <c r="BV250" s="315"/>
      <c r="BW250" s="315"/>
      <c r="BX250" s="604">
        <f>SUM(BX247:BX249)</f>
        <v>16666.040321191715</v>
      </c>
      <c r="BY250" s="315"/>
      <c r="BZ250" s="316"/>
      <c r="CA250" s="316"/>
      <c r="CB250" s="315"/>
      <c r="CC250" s="315"/>
      <c r="CD250" s="604">
        <f>SUM(CD247:CD249)</f>
        <v>16666.040321191715</v>
      </c>
      <c r="CE250" s="315"/>
      <c r="CF250" s="316"/>
      <c r="CG250" s="316"/>
      <c r="CH250" s="315"/>
      <c r="CI250" s="315"/>
      <c r="CJ250" s="604">
        <f>SUM(CJ247:CJ249)</f>
        <v>16666.040321191715</v>
      </c>
      <c r="CK250" s="315"/>
      <c r="CL250" s="316"/>
      <c r="CM250" s="316"/>
      <c r="CN250" s="315"/>
      <c r="CO250" s="315"/>
      <c r="CP250" s="604">
        <f>SUM(CP247:CP249)</f>
        <v>16666.040321191715</v>
      </c>
      <c r="CQ250" s="315"/>
      <c r="CR250" s="316"/>
      <c r="CS250" s="316"/>
      <c r="CT250" s="315"/>
      <c r="CU250" s="315"/>
      <c r="CV250" s="604">
        <f>SUM(CV247:CV249)</f>
        <v>16666.040321191715</v>
      </c>
      <c r="CW250" s="577"/>
      <c r="CX250" s="575"/>
      <c r="CY250" s="575"/>
      <c r="CZ250" s="577"/>
      <c r="DA250" s="577"/>
      <c r="DB250" s="604">
        <f>SUM(DB247:DB249)</f>
        <v>16666.040321191715</v>
      </c>
      <c r="DC250" s="315"/>
      <c r="DD250" s="316"/>
      <c r="DE250" s="316"/>
      <c r="DF250" s="315"/>
      <c r="DG250" s="315"/>
      <c r="DH250" s="604">
        <f>SUM(DH247:DH249)</f>
        <v>16666.040321191715</v>
      </c>
      <c r="DI250" s="315"/>
      <c r="DJ250" s="316"/>
      <c r="DK250" s="316"/>
      <c r="DL250" s="315"/>
      <c r="DM250" s="315"/>
      <c r="DN250" s="604">
        <f>SUM(DN247:DN249)</f>
        <v>16666.040321191715</v>
      </c>
      <c r="DO250" s="315"/>
      <c r="DP250" s="316"/>
      <c r="DQ250" s="316"/>
      <c r="DR250" s="315"/>
      <c r="DS250" s="315"/>
      <c r="DT250" s="604">
        <f>SUM(DT247:DT249)</f>
        <v>16666.040321191715</v>
      </c>
      <c r="DU250" s="315"/>
      <c r="DV250" s="316"/>
      <c r="DW250" s="316"/>
      <c r="DX250" s="315"/>
      <c r="DY250" s="315"/>
      <c r="DZ250" s="604">
        <f>SUM(DZ247:DZ249)</f>
        <v>16666.040321191715</v>
      </c>
      <c r="EA250" s="315"/>
      <c r="EB250" s="316"/>
      <c r="EC250" s="316"/>
      <c r="ED250" s="315"/>
      <c r="EE250" s="315"/>
      <c r="EF250" s="604">
        <f>SUM(EF247:EF249)</f>
        <v>16666.040321191715</v>
      </c>
      <c r="EG250" s="315"/>
      <c r="EH250" s="316"/>
      <c r="EI250" s="316"/>
      <c r="EJ250" s="315"/>
      <c r="EK250" s="315"/>
      <c r="EL250" s="604">
        <f>SUM(EL247:EL249)</f>
        <v>16666.040321191715</v>
      </c>
      <c r="EM250" s="315"/>
      <c r="EN250" s="316"/>
      <c r="EO250" s="316"/>
      <c r="EP250" s="315"/>
      <c r="EQ250" s="315"/>
      <c r="ER250" s="604">
        <f>SUM(ER247:ER249)</f>
        <v>16666.040321191715</v>
      </c>
      <c r="ES250" s="315"/>
      <c r="ET250" s="316"/>
      <c r="EU250" s="316"/>
      <c r="EV250" s="315"/>
      <c r="EW250" s="315"/>
      <c r="EX250" s="604">
        <f>SUM(EX247:EX249)</f>
        <v>16666.040321191715</v>
      </c>
      <c r="EY250" s="315"/>
      <c r="EZ250" s="316"/>
      <c r="FA250" s="316"/>
      <c r="FB250" s="315"/>
      <c r="FC250" s="315"/>
      <c r="FD250" s="604">
        <f>SUM(FD247:FD249)</f>
        <v>16666.040321191715</v>
      </c>
      <c r="FE250" s="315"/>
      <c r="FF250" s="316"/>
      <c r="FG250" s="316"/>
      <c r="FH250" s="315"/>
      <c r="FI250" s="315"/>
      <c r="FJ250" s="604">
        <f>SUM(FJ247:FJ249)</f>
        <v>16666.040321191715</v>
      </c>
      <c r="FK250" s="315"/>
      <c r="FL250" s="316"/>
      <c r="FM250" s="316"/>
      <c r="FN250" s="315"/>
      <c r="FO250" s="315"/>
      <c r="FP250" s="604">
        <f>SUM(FP247:FP249)</f>
        <v>16666.040321191715</v>
      </c>
      <c r="FQ250" s="315"/>
      <c r="FR250" s="316"/>
      <c r="FS250" s="316"/>
      <c r="FT250" s="315"/>
      <c r="FU250" s="315"/>
      <c r="FV250" s="604">
        <f>SUM(FV247:FV249)</f>
        <v>16666.040321191715</v>
      </c>
      <c r="FW250" s="315"/>
      <c r="FX250" s="316"/>
      <c r="FY250" s="316"/>
      <c r="FZ250" s="315"/>
      <c r="GA250" s="315"/>
      <c r="GB250" s="604">
        <f>SUM(GB247:GB249)</f>
        <v>16666.040321191715</v>
      </c>
      <c r="GC250" s="315"/>
      <c r="GD250" s="316"/>
      <c r="GE250" s="316"/>
      <c r="GF250" s="315"/>
      <c r="GG250" s="315"/>
      <c r="GH250" s="604">
        <f>SUM(GH247:GH249)</f>
        <v>16666.040321191715</v>
      </c>
      <c r="GI250" s="315"/>
      <c r="GJ250" s="316"/>
      <c r="GK250" s="316"/>
      <c r="GL250" s="315"/>
      <c r="GM250" s="315"/>
      <c r="GN250" s="604">
        <f>SUM(GN247:GN249)</f>
        <v>16666.040321191715</v>
      </c>
      <c r="GO250" s="315"/>
      <c r="GP250" s="316"/>
      <c r="GQ250" s="316"/>
      <c r="GR250" s="315"/>
      <c r="GS250" s="315"/>
      <c r="GT250" s="604">
        <f>SUM(GT247:GT249)</f>
        <v>16666.040321191715</v>
      </c>
      <c r="GU250" s="315"/>
      <c r="GV250" s="316"/>
      <c r="GW250" s="316"/>
      <c r="GX250" s="315"/>
      <c r="GY250" s="315"/>
      <c r="GZ250" s="610">
        <f>SUM(GZ247:GZ249)</f>
        <v>16666.040321191715</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5536.5762186688589</v>
      </c>
      <c r="AU251" s="552"/>
      <c r="AV251" s="553"/>
      <c r="AW251" s="553"/>
      <c r="AX251" s="552"/>
      <c r="AY251" s="552"/>
      <c r="AZ251" s="551">
        <f>IF(AZ222=0,0,$AN$250-AZ250)</f>
        <v>13896.459438108221</v>
      </c>
      <c r="BA251" s="313"/>
      <c r="BB251" s="314"/>
      <c r="BC251" s="314"/>
      <c r="BD251" s="313"/>
      <c r="BE251" s="313"/>
      <c r="BF251" s="551">
        <f>IF(BF222=0,0,$AN$250-BF250)</f>
        <v>30534.443076234147</v>
      </c>
      <c r="BG251" s="313"/>
      <c r="BH251" s="314"/>
      <c r="BI251" s="314"/>
      <c r="BJ251" s="313"/>
      <c r="BK251" s="313"/>
      <c r="BL251" s="551">
        <f>IF(BL222=0,0,$AN$250-BL250)</f>
        <v>34035.110564360075</v>
      </c>
      <c r="BM251" s="313"/>
      <c r="BN251" s="314"/>
      <c r="BO251" s="314"/>
      <c r="BP251" s="313"/>
      <c r="BQ251" s="313"/>
      <c r="BR251" s="551">
        <f>IF(BR222=0,0,$AN$250-BR250)</f>
        <v>36827.395678808287</v>
      </c>
      <c r="BS251" s="552"/>
      <c r="BT251" s="553"/>
      <c r="BU251" s="553"/>
      <c r="BV251" s="552"/>
      <c r="BW251" s="552"/>
      <c r="BX251" s="551">
        <f>IF(BX222=0,0,$AN$250-BX250)</f>
        <v>36827.395678808287</v>
      </c>
      <c r="BY251" s="313"/>
      <c r="BZ251" s="314"/>
      <c r="CA251" s="314"/>
      <c r="CB251" s="313"/>
      <c r="CC251" s="313"/>
      <c r="CD251" s="551">
        <f>IF(CD222=0,0,$AN$250-CD250)</f>
        <v>36827.395678808287</v>
      </c>
      <c r="CE251" s="313"/>
      <c r="CF251" s="314"/>
      <c r="CG251" s="314"/>
      <c r="CH251" s="313"/>
      <c r="CI251" s="313"/>
      <c r="CJ251" s="551">
        <f>IF(CJ222=0,0,$AN$250-CJ250)</f>
        <v>36827.395678808287</v>
      </c>
      <c r="CK251" s="313"/>
      <c r="CL251" s="314"/>
      <c r="CM251" s="314"/>
      <c r="CN251" s="313"/>
      <c r="CO251" s="313"/>
      <c r="CP251" s="551">
        <f>IF(CP222=0,0,$AN$250-CP250)</f>
        <v>36827.395678808287</v>
      </c>
      <c r="CQ251" s="554"/>
      <c r="CR251" s="553"/>
      <c r="CS251" s="553"/>
      <c r="CT251" s="554"/>
      <c r="CU251" s="554"/>
      <c r="CV251" s="551">
        <f>IF(CV222=0,0,$AN$250-CV250)</f>
        <v>36827.395678808287</v>
      </c>
      <c r="CW251" s="554"/>
      <c r="CX251" s="553"/>
      <c r="CY251" s="553"/>
      <c r="CZ251" s="554"/>
      <c r="DA251" s="554"/>
      <c r="DB251" s="551">
        <f>IF(DB222=0,0,$AN$250-DB250)</f>
        <v>36827.395678808287</v>
      </c>
      <c r="DC251" s="313"/>
      <c r="DD251" s="314"/>
      <c r="DE251" s="314"/>
      <c r="DF251" s="313"/>
      <c r="DG251" s="313"/>
      <c r="DH251" s="551">
        <f>IF(DH222=0,0,$AN$250-DH250)</f>
        <v>36827.395678808287</v>
      </c>
      <c r="DI251" s="313"/>
      <c r="DJ251" s="314"/>
      <c r="DK251" s="314"/>
      <c r="DL251" s="313"/>
      <c r="DM251" s="313"/>
      <c r="DN251" s="551">
        <f>IF(DN222=0,0,$AN$250-DN250)</f>
        <v>36827.395678808287</v>
      </c>
      <c r="DO251" s="313"/>
      <c r="DP251" s="314"/>
      <c r="DQ251" s="314"/>
      <c r="DR251" s="313"/>
      <c r="DS251" s="313"/>
      <c r="DT251" s="551">
        <f>IF(DT222=0,0,$AN$250-DT250)</f>
        <v>36827.395678808287</v>
      </c>
      <c r="DU251" s="313"/>
      <c r="DV251" s="314"/>
      <c r="DW251" s="314"/>
      <c r="DX251" s="313"/>
      <c r="DY251" s="313"/>
      <c r="DZ251" s="551">
        <f>IF(DZ222=0,0,$AN$250-DZ250)</f>
        <v>36827.395678808287</v>
      </c>
      <c r="EA251" s="313"/>
      <c r="EB251" s="314"/>
      <c r="EC251" s="314"/>
      <c r="ED251" s="313"/>
      <c r="EE251" s="313"/>
      <c r="EF251" s="551">
        <f>IF(EF222=0,0,$AN$250-EF250)</f>
        <v>36827.395678808287</v>
      </c>
      <c r="EG251" s="313"/>
      <c r="EH251" s="314"/>
      <c r="EI251" s="314"/>
      <c r="EJ251" s="313"/>
      <c r="EK251" s="313"/>
      <c r="EL251" s="551">
        <f>IF(EL222=0,0,$AN$250-EL250)</f>
        <v>36827.395678808287</v>
      </c>
      <c r="EM251" s="313"/>
      <c r="EN251" s="314"/>
      <c r="EO251" s="314"/>
      <c r="EP251" s="313"/>
      <c r="EQ251" s="313"/>
      <c r="ER251" s="551">
        <f>IF(ER222=0,0,$AN$250-ER250)</f>
        <v>36827.395678808287</v>
      </c>
      <c r="ES251" s="313"/>
      <c r="ET251" s="314"/>
      <c r="EU251" s="314"/>
      <c r="EV251" s="313"/>
      <c r="EW251" s="313"/>
      <c r="EX251" s="551">
        <f>IF(EX222=0,0,$AN$250-EX250)</f>
        <v>36827.395678808287</v>
      </c>
      <c r="EY251" s="313"/>
      <c r="EZ251" s="314"/>
      <c r="FA251" s="314"/>
      <c r="FB251" s="313"/>
      <c r="FC251" s="313"/>
      <c r="FD251" s="551">
        <f>IF(FD222=0,0,$AN$250-FD250)</f>
        <v>36827.395678808287</v>
      </c>
      <c r="FE251" s="313"/>
      <c r="FF251" s="314"/>
      <c r="FG251" s="314"/>
      <c r="FH251" s="313"/>
      <c r="FI251" s="313"/>
      <c r="FJ251" s="551">
        <f>IF(FJ222=0,0,$AN$250-FJ250)</f>
        <v>36827.395678808287</v>
      </c>
      <c r="FK251" s="313"/>
      <c r="FL251" s="314"/>
      <c r="FM251" s="314"/>
      <c r="FN251" s="313"/>
      <c r="FO251" s="313"/>
      <c r="FP251" s="551">
        <f>IF(FP222=0,0,$AN$250-FP250)</f>
        <v>36827.395678808287</v>
      </c>
      <c r="FQ251" s="313"/>
      <c r="FR251" s="314"/>
      <c r="FS251" s="314"/>
      <c r="FT251" s="313"/>
      <c r="FU251" s="313"/>
      <c r="FV251" s="551">
        <f>IF(FV222=0,0,$AN$250-FV250)</f>
        <v>36827.395678808287</v>
      </c>
      <c r="FW251" s="313"/>
      <c r="FX251" s="314"/>
      <c r="FY251" s="314"/>
      <c r="FZ251" s="313"/>
      <c r="GA251" s="313"/>
      <c r="GB251" s="551">
        <f>IF(GB222=0,0,$AN$250-GB250)</f>
        <v>36827.395678808287</v>
      </c>
      <c r="GC251" s="313"/>
      <c r="GD251" s="314"/>
      <c r="GE251" s="314"/>
      <c r="GF251" s="313"/>
      <c r="GG251" s="313"/>
      <c r="GH251" s="551">
        <f>IF(GH222=0,0,$AN$250-GH250)</f>
        <v>36827.395678808287</v>
      </c>
      <c r="GI251" s="313"/>
      <c r="GJ251" s="314"/>
      <c r="GK251" s="314"/>
      <c r="GL251" s="313"/>
      <c r="GM251" s="313"/>
      <c r="GN251" s="551">
        <f>IF(GN222=0,0,$AN$250-GN250)</f>
        <v>36827.395678808287</v>
      </c>
      <c r="GO251" s="313"/>
      <c r="GP251" s="314"/>
      <c r="GQ251" s="314"/>
      <c r="GR251" s="313"/>
      <c r="GS251" s="313"/>
      <c r="GT251" s="551">
        <f>IF(GT222=0,0,$AN$250-GT250)</f>
        <v>36827.395678808287</v>
      </c>
      <c r="GU251" s="313"/>
      <c r="GV251" s="314"/>
      <c r="GW251" s="314"/>
      <c r="GX251" s="313"/>
      <c r="GY251" s="313"/>
      <c r="GZ251" s="555">
        <f>IF(GZ222=0,0,$AN$250-GZ250)</f>
        <v>36827.395678808287</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88.765051999999997</v>
      </c>
      <c r="V253" s="541">
        <f>(V229*CO2factorElektriciteit+V232*CO2factorAardgas+(V235-V242)*CO2factorWarmte)/1000</f>
        <v>88.765051999999997</v>
      </c>
      <c r="W253" s="542"/>
      <c r="X253" s="543"/>
      <c r="Y253" s="543"/>
      <c r="Z253" s="542"/>
      <c r="AA253" s="542"/>
      <c r="AB253" s="541">
        <f>(AB229*CO2factorElektriciteit+AB232*CO2factorAardgas+(AB235-AB242)*CO2factorWarmte)/1000</f>
        <v>88.765051999999997</v>
      </c>
      <c r="AC253" s="542"/>
      <c r="AD253" s="543"/>
      <c r="AE253" s="543"/>
      <c r="AF253" s="542"/>
      <c r="AG253" s="542"/>
      <c r="AH253" s="541">
        <f>(AH229*CO2factorElektriciteit+AH232*CO2factorAardgas+(AH235-AH242)*CO2factorWarmte)/1000</f>
        <v>88.765051999999997</v>
      </c>
      <c r="AI253" s="542"/>
      <c r="AJ253" s="543"/>
      <c r="AK253" s="543"/>
      <c r="AL253" s="542"/>
      <c r="AM253" s="542"/>
      <c r="AN253" s="541">
        <f>(AN229*CO2factorElektriciteit+AN232*CO2factorAardgas+(AN235-AN242)*CO2factorWarmte)/1000</f>
        <v>88.765051999999997</v>
      </c>
      <c r="AO253" s="560"/>
      <c r="AP253" s="561"/>
      <c r="AQ253" s="561"/>
      <c r="AR253" s="560"/>
      <c r="AS253" s="560"/>
      <c r="AT253" s="642">
        <f>(AT229*CO2factorElektriciteit+AT232*CO2factorAardgas+(AT235-AT242)*CO2factorWarmte)/1000</f>
        <v>79.952023023055858</v>
      </c>
      <c r="AU253" s="542"/>
      <c r="AV253" s="543"/>
      <c r="AW253" s="543"/>
      <c r="AX253" s="542"/>
      <c r="AY253" s="542"/>
      <c r="AZ253" s="541">
        <f>(AZ229*CO2factorElektriciteit+AZ232*CO2factorAardgas+(AZ235-AZ242)*CO2factorWarmte)/1000</f>
        <v>67.666855805509456</v>
      </c>
      <c r="BA253" s="311"/>
      <c r="BB253" s="312"/>
      <c r="BC253" s="312"/>
      <c r="BD253" s="311"/>
      <c r="BE253" s="311"/>
      <c r="BF253" s="541">
        <f>(BF229*CO2factorElektriciteit+BF232*CO2factorAardgas+(BF235-BF242)*CO2factorWarmte)/1000</f>
        <v>39.202549240470638</v>
      </c>
      <c r="BG253" s="311"/>
      <c r="BH253" s="312"/>
      <c r="BI253" s="312"/>
      <c r="BJ253" s="311"/>
      <c r="BK253" s="311"/>
      <c r="BL253" s="541">
        <f>(BL229*CO2factorElektriciteit+BL232*CO2factorAardgas+(BL235-BL242)*CO2factorWarmte)/1000</f>
        <v>35.853730985431824</v>
      </c>
      <c r="BM253" s="311"/>
      <c r="BN253" s="312"/>
      <c r="BO253" s="312"/>
      <c r="BP253" s="311"/>
      <c r="BQ253" s="311"/>
      <c r="BR253" s="541">
        <f>(BR229*CO2factorElektriciteit+BR232*CO2factorAardgas+(BR235-BR242)*CO2factorWarmte)/1000</f>
        <v>33.151037597611285</v>
      </c>
      <c r="BS253" s="542"/>
      <c r="BT253" s="543"/>
      <c r="BU253" s="543"/>
      <c r="BV253" s="542"/>
      <c r="BW253" s="542"/>
      <c r="BX253" s="541">
        <f>(BX229*CO2factorElektriciteit+BX232*CO2factorAardgas+(BX235-BX242)*CO2factorWarmte)/1000</f>
        <v>33.151037597611285</v>
      </c>
      <c r="BY253" s="311"/>
      <c r="BZ253" s="312"/>
      <c r="CA253" s="312"/>
      <c r="CB253" s="311"/>
      <c r="CC253" s="311"/>
      <c r="CD253" s="541">
        <f>(CD229*CO2factorElektriciteit+CD232*CO2factorAardgas+(CD235-CD242)*CO2factorWarmte)/1000</f>
        <v>33.151037597611285</v>
      </c>
      <c r="CE253" s="311"/>
      <c r="CF253" s="312"/>
      <c r="CG253" s="312"/>
      <c r="CH253" s="311"/>
      <c r="CI253" s="311"/>
      <c r="CJ253" s="541">
        <f>(CJ229*CO2factorElektriciteit+CJ232*CO2factorAardgas+(CJ235-CJ242)*CO2factorWarmte)/1000</f>
        <v>33.151037597611285</v>
      </c>
      <c r="CK253" s="311"/>
      <c r="CL253" s="312"/>
      <c r="CM253" s="312"/>
      <c r="CN253" s="311"/>
      <c r="CO253" s="311"/>
      <c r="CP253" s="541">
        <f>(CP229*CO2factorElektriciteit+CP232*CO2factorAardgas+(CP235-CP242)*CO2factorWarmte)/1000</f>
        <v>33.151037597611285</v>
      </c>
      <c r="CQ253" s="544"/>
      <c r="CR253" s="543"/>
      <c r="CS253" s="543"/>
      <c r="CT253" s="544"/>
      <c r="CU253" s="544"/>
      <c r="CV253" s="541">
        <f>(CV229*CO2factorElektriciteit+CV232*CO2factorAardgas+(CV235-CV242)*CO2factorWarmte)/1000</f>
        <v>33.151037597611285</v>
      </c>
      <c r="CW253" s="544"/>
      <c r="CX253" s="543"/>
      <c r="CY253" s="543"/>
      <c r="CZ253" s="544"/>
      <c r="DA253" s="544"/>
      <c r="DB253" s="541">
        <f>(DB229*CO2factorElektriciteit+DB232*CO2factorAardgas+(DB235-DB242)*CO2factorWarmte)/1000</f>
        <v>33.151037597611285</v>
      </c>
      <c r="DC253" s="311"/>
      <c r="DD253" s="312"/>
      <c r="DE253" s="312"/>
      <c r="DF253" s="311"/>
      <c r="DG253" s="311"/>
      <c r="DH253" s="541">
        <f>(DH229*CO2factorElektriciteit+DH232*CO2factorAardgas+(DH235-DH242)*CO2factorWarmte)/1000</f>
        <v>33.151037597611285</v>
      </c>
      <c r="DI253" s="311"/>
      <c r="DJ253" s="312"/>
      <c r="DK253" s="312"/>
      <c r="DL253" s="311"/>
      <c r="DM253" s="311"/>
      <c r="DN253" s="541">
        <f>(DN229*CO2factorElektriciteit+DN232*CO2factorAardgas+(DN235-DN242)*CO2factorWarmte)/1000</f>
        <v>33.151037597611285</v>
      </c>
      <c r="DO253" s="311"/>
      <c r="DP253" s="312"/>
      <c r="DQ253" s="312"/>
      <c r="DR253" s="311"/>
      <c r="DS253" s="311"/>
      <c r="DT253" s="541">
        <f>(DT229*CO2factorElektriciteit+DT232*CO2factorAardgas+(DT235-DT242)*CO2factorWarmte)/1000</f>
        <v>33.151037597611285</v>
      </c>
      <c r="DU253" s="311"/>
      <c r="DV253" s="312"/>
      <c r="DW253" s="312"/>
      <c r="DX253" s="311"/>
      <c r="DY253" s="311"/>
      <c r="DZ253" s="541">
        <f>(DZ229*CO2factorElektriciteit+DZ232*CO2factorAardgas+(DZ235-DZ242)*CO2factorWarmte)/1000</f>
        <v>33.151037597611285</v>
      </c>
      <c r="EA253" s="311"/>
      <c r="EB253" s="312"/>
      <c r="EC253" s="312"/>
      <c r="ED253" s="311"/>
      <c r="EE253" s="311"/>
      <c r="EF253" s="541">
        <f>(EF229*CO2factorElektriciteit+EF232*CO2factorAardgas+(EF235-EF242)*CO2factorWarmte)/1000</f>
        <v>33.151037597611285</v>
      </c>
      <c r="EG253" s="311"/>
      <c r="EH253" s="312"/>
      <c r="EI253" s="312"/>
      <c r="EJ253" s="311"/>
      <c r="EK253" s="311"/>
      <c r="EL253" s="541">
        <f>(EL229*CO2factorElektriciteit+EL232*CO2factorAardgas+(EL235-EL242)*CO2factorWarmte)/1000</f>
        <v>33.151037597611285</v>
      </c>
      <c r="EM253" s="311"/>
      <c r="EN253" s="312"/>
      <c r="EO253" s="312"/>
      <c r="EP253" s="311"/>
      <c r="EQ253" s="311"/>
      <c r="ER253" s="541">
        <f>(ER229*CO2factorElektriciteit+ER232*CO2factorAardgas+(ER235-ER242)*CO2factorWarmte)/1000</f>
        <v>33.151037597611285</v>
      </c>
      <c r="ES253" s="311"/>
      <c r="ET253" s="312"/>
      <c r="EU253" s="312"/>
      <c r="EV253" s="311"/>
      <c r="EW253" s="311"/>
      <c r="EX253" s="541">
        <f>(EX229*CO2factorElektriciteit+EX232*CO2factorAardgas+(EX235-EX242)*CO2factorWarmte)/1000</f>
        <v>33.151037597611285</v>
      </c>
      <c r="EY253" s="311"/>
      <c r="EZ253" s="312"/>
      <c r="FA253" s="312"/>
      <c r="FB253" s="311"/>
      <c r="FC253" s="311"/>
      <c r="FD253" s="541">
        <f>(FD229*CO2factorElektriciteit+FD232*CO2factorAardgas+(FD235-FD242)*CO2factorWarmte)/1000</f>
        <v>33.151037597611285</v>
      </c>
      <c r="FE253" s="311"/>
      <c r="FF253" s="312"/>
      <c r="FG253" s="312"/>
      <c r="FH253" s="311"/>
      <c r="FI253" s="311"/>
      <c r="FJ253" s="541">
        <f>(FJ229*CO2factorElektriciteit+FJ232*CO2factorAardgas+(FJ235-FJ242)*CO2factorWarmte)/1000</f>
        <v>33.151037597611285</v>
      </c>
      <c r="FK253" s="311"/>
      <c r="FL253" s="312"/>
      <c r="FM253" s="312"/>
      <c r="FN253" s="311"/>
      <c r="FO253" s="311"/>
      <c r="FP253" s="541">
        <f>(FP229*CO2factorElektriciteit+FP232*CO2factorAardgas+(FP235-FP242)*CO2factorWarmte)/1000</f>
        <v>33.151037597611285</v>
      </c>
      <c r="FQ253" s="311"/>
      <c r="FR253" s="312"/>
      <c r="FS253" s="312"/>
      <c r="FT253" s="311"/>
      <c r="FU253" s="311"/>
      <c r="FV253" s="541">
        <f>(FV229*CO2factorElektriciteit+FV232*CO2factorAardgas+(FV235-FV242)*CO2factorWarmte)/1000</f>
        <v>33.151037597611285</v>
      </c>
      <c r="FW253" s="311"/>
      <c r="FX253" s="312"/>
      <c r="FY253" s="312"/>
      <c r="FZ253" s="311"/>
      <c r="GA253" s="311"/>
      <c r="GB253" s="541">
        <f>(GB229*CO2factorElektriciteit+GB232*CO2factorAardgas+(GB235-GB242)*CO2factorWarmte)/1000</f>
        <v>33.151037597611285</v>
      </c>
      <c r="GC253" s="311"/>
      <c r="GD253" s="312"/>
      <c r="GE253" s="312"/>
      <c r="GF253" s="311"/>
      <c r="GG253" s="311"/>
      <c r="GH253" s="541">
        <f>(GH229*CO2factorElektriciteit+GH232*CO2factorAardgas+(GH235-GH242)*CO2factorWarmte)/1000</f>
        <v>33.151037597611285</v>
      </c>
      <c r="GI253" s="311"/>
      <c r="GJ253" s="312"/>
      <c r="GK253" s="312"/>
      <c r="GL253" s="311"/>
      <c r="GM253" s="311"/>
      <c r="GN253" s="541">
        <f>(GN229*CO2factorElektriciteit+GN232*CO2factorAardgas+(GN235-GN242)*CO2factorWarmte)/1000</f>
        <v>33.151037597611285</v>
      </c>
      <c r="GO253" s="311"/>
      <c r="GP253" s="312"/>
      <c r="GQ253" s="312"/>
      <c r="GR253" s="311"/>
      <c r="GS253" s="311"/>
      <c r="GT253" s="541">
        <f>(GT229*CO2factorElektriciteit+GT232*CO2factorAardgas+(GT235-GT242)*CO2factorWarmte)/1000</f>
        <v>33.151037597611285</v>
      </c>
      <c r="GU253" s="311"/>
      <c r="GV253" s="312"/>
      <c r="GW253" s="312"/>
      <c r="GX253" s="311"/>
      <c r="GY253" s="311"/>
      <c r="GZ253" s="545">
        <f>(GZ229*CO2factorElektriciteit+GZ232*CO2factorAardgas+(GZ235-GZ242)*CO2factorWarmte)/1000</f>
        <v>33.151037597611285</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27.980409784390364</v>
      </c>
      <c r="V254" s="634">
        <f>IF(V222=0,0,(V253*1000)/V222)</f>
        <v>27.980409784390364</v>
      </c>
      <c r="W254" s="574"/>
      <c r="X254" s="575"/>
      <c r="Y254" s="575"/>
      <c r="Z254" s="574"/>
      <c r="AA254" s="574"/>
      <c r="AB254" s="634">
        <f>IF(AB222=0,0,(AB253*1000)/AB222)</f>
        <v>27.980409784390364</v>
      </c>
      <c r="AC254" s="315"/>
      <c r="AD254" s="316"/>
      <c r="AE254" s="316"/>
      <c r="AF254" s="315"/>
      <c r="AG254" s="315"/>
      <c r="AH254" s="634">
        <f>IF(AH222=0,0,(AH253*1000)/AH222)</f>
        <v>27.980409784390364</v>
      </c>
      <c r="AI254" s="574"/>
      <c r="AJ254" s="575"/>
      <c r="AK254" s="575"/>
      <c r="AL254" s="574"/>
      <c r="AM254" s="574"/>
      <c r="AN254" s="634">
        <f>IF(AN222=0,0,(AN253*1000)/AN222)</f>
        <v>27.980409784390364</v>
      </c>
      <c r="AO254" s="439"/>
      <c r="AP254" s="530"/>
      <c r="AQ254" s="530"/>
      <c r="AR254" s="439"/>
      <c r="AS254" s="439"/>
      <c r="AT254" s="633">
        <f>IF(AT222=0,0,(AT253*1000)/AT222)</f>
        <v>25.202377702388048</v>
      </c>
      <c r="AU254" s="315"/>
      <c r="AV254" s="316"/>
      <c r="AW254" s="316"/>
      <c r="AX254" s="315"/>
      <c r="AY254" s="315"/>
      <c r="AZ254" s="634">
        <f>IF(AZ222=0,0,(AZ253*1000)/AZ222)</f>
        <v>21.329862503312778</v>
      </c>
      <c r="BA254" s="315"/>
      <c r="BB254" s="316"/>
      <c r="BC254" s="316"/>
      <c r="BD254" s="315"/>
      <c r="BE254" s="315"/>
      <c r="BF254" s="634">
        <f>IF(BF222=0,0,(BF253*1000)/BF222)</f>
        <v>12.357379031796317</v>
      </c>
      <c r="BG254" s="315"/>
      <c r="BH254" s="316"/>
      <c r="BI254" s="316"/>
      <c r="BJ254" s="315"/>
      <c r="BK254" s="315"/>
      <c r="BL254" s="634">
        <f>IF(BL222=0,0,(BL253*1000)/BL222)</f>
        <v>11.301768687880413</v>
      </c>
      <c r="BM254" s="315"/>
      <c r="BN254" s="316"/>
      <c r="BO254" s="316"/>
      <c r="BP254" s="315"/>
      <c r="BQ254" s="315"/>
      <c r="BR254" s="634">
        <f>IF(BR222=0,0,(BR253*1000)/BR222)</f>
        <v>10.44982902459062</v>
      </c>
      <c r="BS254" s="315"/>
      <c r="BT254" s="316"/>
      <c r="BU254" s="316"/>
      <c r="BV254" s="315"/>
      <c r="BW254" s="315"/>
      <c r="BX254" s="634">
        <f>IF(BX222=0,0,(BX253*1000)/BX222)</f>
        <v>10.44982902459062</v>
      </c>
      <c r="BY254" s="315"/>
      <c r="BZ254" s="316"/>
      <c r="CA254" s="316"/>
      <c r="CB254" s="315"/>
      <c r="CC254" s="315"/>
      <c r="CD254" s="634">
        <f>IF(CD222=0,0,(CD253*1000)/CD222)</f>
        <v>10.44982902459062</v>
      </c>
      <c r="CE254" s="315"/>
      <c r="CF254" s="316"/>
      <c r="CG254" s="316"/>
      <c r="CH254" s="315"/>
      <c r="CI254" s="315"/>
      <c r="CJ254" s="634">
        <f>IF(CJ222=0,0,(CJ253*1000)/CJ222)</f>
        <v>10.44982902459062</v>
      </c>
      <c r="CK254" s="315"/>
      <c r="CL254" s="316"/>
      <c r="CM254" s="316"/>
      <c r="CN254" s="315"/>
      <c r="CO254" s="315"/>
      <c r="CP254" s="634">
        <f>IF(CP222=0,0,(CP253*1000)/CP222)</f>
        <v>10.44982902459062</v>
      </c>
      <c r="CQ254" s="315"/>
      <c r="CR254" s="316"/>
      <c r="CS254" s="316"/>
      <c r="CT254" s="315"/>
      <c r="CU254" s="315"/>
      <c r="CV254" s="634">
        <f>IF(CV222=0,0,(CV253*1000)/CV222)</f>
        <v>10.44982902459062</v>
      </c>
      <c r="CW254" s="577"/>
      <c r="CX254" s="575"/>
      <c r="CY254" s="575"/>
      <c r="CZ254" s="577"/>
      <c r="DA254" s="577"/>
      <c r="DB254" s="634">
        <f>IF(DB222=0,0,(DB253*1000)/DB222)</f>
        <v>10.44982902459062</v>
      </c>
      <c r="DC254" s="315"/>
      <c r="DD254" s="316"/>
      <c r="DE254" s="316"/>
      <c r="DF254" s="315"/>
      <c r="DG254" s="315"/>
      <c r="DH254" s="634">
        <f>IF(DH222=0,0,(DH253*1000)/DH222)</f>
        <v>10.44982902459062</v>
      </c>
      <c r="DI254" s="315"/>
      <c r="DJ254" s="316"/>
      <c r="DK254" s="316"/>
      <c r="DL254" s="315"/>
      <c r="DM254" s="315"/>
      <c r="DN254" s="634">
        <f>IF(DN222=0,0,(DN253*1000)/DN222)</f>
        <v>10.44982902459062</v>
      </c>
      <c r="DO254" s="315"/>
      <c r="DP254" s="316"/>
      <c r="DQ254" s="316"/>
      <c r="DR254" s="315"/>
      <c r="DS254" s="315"/>
      <c r="DT254" s="634">
        <f>IF(DT222=0,0,(DT253*1000)/DT222)</f>
        <v>10.44982902459062</v>
      </c>
      <c r="DU254" s="315"/>
      <c r="DV254" s="316"/>
      <c r="DW254" s="316"/>
      <c r="DX254" s="315"/>
      <c r="DY254" s="315"/>
      <c r="DZ254" s="634">
        <f>IF(DZ222=0,0,(DZ253*1000)/DZ222)</f>
        <v>10.44982902459062</v>
      </c>
      <c r="EA254" s="315"/>
      <c r="EB254" s="316"/>
      <c r="EC254" s="316"/>
      <c r="ED254" s="315"/>
      <c r="EE254" s="315"/>
      <c r="EF254" s="634">
        <f>IF(EF222=0,0,(EF253*1000)/EF222)</f>
        <v>10.44982902459062</v>
      </c>
      <c r="EG254" s="315"/>
      <c r="EH254" s="316"/>
      <c r="EI254" s="316"/>
      <c r="EJ254" s="315"/>
      <c r="EK254" s="315"/>
      <c r="EL254" s="634">
        <f>IF(EL222=0,0,(EL253*1000)/EL222)</f>
        <v>10.44982902459062</v>
      </c>
      <c r="EM254" s="315"/>
      <c r="EN254" s="316"/>
      <c r="EO254" s="316"/>
      <c r="EP254" s="315"/>
      <c r="EQ254" s="315"/>
      <c r="ER254" s="634">
        <f>IF(ER222=0,0,(ER253*1000)/ER222)</f>
        <v>10.44982902459062</v>
      </c>
      <c r="ES254" s="315"/>
      <c r="ET254" s="316"/>
      <c r="EU254" s="316"/>
      <c r="EV254" s="315"/>
      <c r="EW254" s="315"/>
      <c r="EX254" s="634">
        <f>IF(EX222=0,0,(EX253*1000)/EX222)</f>
        <v>10.44982902459062</v>
      </c>
      <c r="EY254" s="315"/>
      <c r="EZ254" s="316"/>
      <c r="FA254" s="316"/>
      <c r="FB254" s="315"/>
      <c r="FC254" s="315"/>
      <c r="FD254" s="634">
        <f>IF(FD222=0,0,(FD253*1000)/FD222)</f>
        <v>10.44982902459062</v>
      </c>
      <c r="FE254" s="315"/>
      <c r="FF254" s="316"/>
      <c r="FG254" s="316"/>
      <c r="FH254" s="315"/>
      <c r="FI254" s="315"/>
      <c r="FJ254" s="634">
        <f>IF(FJ222=0,0,(FJ253*1000)/FJ222)</f>
        <v>10.44982902459062</v>
      </c>
      <c r="FK254" s="315"/>
      <c r="FL254" s="316"/>
      <c r="FM254" s="316"/>
      <c r="FN254" s="315"/>
      <c r="FO254" s="315"/>
      <c r="FP254" s="634">
        <f>IF(FP222=0,0,(FP253*1000)/FP222)</f>
        <v>10.44982902459062</v>
      </c>
      <c r="FQ254" s="315"/>
      <c r="FR254" s="316"/>
      <c r="FS254" s="316"/>
      <c r="FT254" s="315"/>
      <c r="FU254" s="315"/>
      <c r="FV254" s="634">
        <f>IF(FV222=0,0,(FV253*1000)/FV222)</f>
        <v>10.44982902459062</v>
      </c>
      <c r="FW254" s="315"/>
      <c r="FX254" s="316"/>
      <c r="FY254" s="316"/>
      <c r="FZ254" s="315"/>
      <c r="GA254" s="315"/>
      <c r="GB254" s="634">
        <f>IF(GB222=0,0,(GB253*1000)/GB222)</f>
        <v>10.44982902459062</v>
      </c>
      <c r="GC254" s="315"/>
      <c r="GD254" s="316"/>
      <c r="GE254" s="316"/>
      <c r="GF254" s="315"/>
      <c r="GG254" s="315"/>
      <c r="GH254" s="634">
        <f>IF(GH222=0,0,(GH253*1000)/GH222)</f>
        <v>10.44982902459062</v>
      </c>
      <c r="GI254" s="315"/>
      <c r="GJ254" s="316"/>
      <c r="GK254" s="316"/>
      <c r="GL254" s="315"/>
      <c r="GM254" s="315"/>
      <c r="GN254" s="634">
        <f>IF(GN222=0,0,(GN253*1000)/GN222)</f>
        <v>10.44982902459062</v>
      </c>
      <c r="GO254" s="315"/>
      <c r="GP254" s="316"/>
      <c r="GQ254" s="316"/>
      <c r="GR254" s="315"/>
      <c r="GS254" s="315"/>
      <c r="GT254" s="634">
        <f>IF(GT222=0,0,(GT253*1000)/GT222)</f>
        <v>10.44982902459062</v>
      </c>
      <c r="GU254" s="315"/>
      <c r="GV254" s="316"/>
      <c r="GW254" s="316"/>
      <c r="GX254" s="315"/>
      <c r="GY254" s="315"/>
      <c r="GZ254" s="666">
        <f>IF(GZ222=0,0,(GZ253*1000)/GZ222)</f>
        <v>10.44982902459062</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0</v>
      </c>
      <c r="W255" s="668">
        <f t="shared" si="290"/>
        <v>0</v>
      </c>
      <c r="X255" s="668">
        <f t="shared" si="290"/>
        <v>0</v>
      </c>
      <c r="Y255" s="668">
        <f t="shared" si="290"/>
        <v>0</v>
      </c>
      <c r="Z255" s="668">
        <f t="shared" si="290"/>
        <v>0</v>
      </c>
      <c r="AA255" s="668">
        <f t="shared" si="290"/>
        <v>0</v>
      </c>
      <c r="AB255" s="668">
        <f t="shared" si="290"/>
        <v>0</v>
      </c>
      <c r="AC255" s="668">
        <f t="shared" si="290"/>
        <v>0</v>
      </c>
      <c r="AD255" s="668">
        <f t="shared" si="290"/>
        <v>0</v>
      </c>
      <c r="AE255" s="668">
        <f t="shared" si="290"/>
        <v>0</v>
      </c>
      <c r="AF255" s="668">
        <f t="shared" si="290"/>
        <v>0</v>
      </c>
      <c r="AG255" s="668">
        <f t="shared" si="290"/>
        <v>0</v>
      </c>
      <c r="AH255" s="668">
        <f t="shared" si="290"/>
        <v>0</v>
      </c>
      <c r="AI255" s="668">
        <f t="shared" si="290"/>
        <v>0</v>
      </c>
      <c r="AJ255" s="668">
        <f t="shared" si="290"/>
        <v>0</v>
      </c>
      <c r="AK255" s="668">
        <f t="shared" si="290"/>
        <v>0</v>
      </c>
      <c r="AL255" s="668">
        <f t="shared" si="290"/>
        <v>0</v>
      </c>
      <c r="AM255" s="668">
        <f t="shared" si="290"/>
        <v>0</v>
      </c>
      <c r="AN255" s="668">
        <f t="shared" si="290"/>
        <v>0</v>
      </c>
      <c r="AO255" s="668">
        <f t="shared" si="290"/>
        <v>0</v>
      </c>
      <c r="AP255" s="668">
        <f t="shared" si="290"/>
        <v>0</v>
      </c>
      <c r="AQ255" s="668">
        <f t="shared" si="290"/>
        <v>0</v>
      </c>
      <c r="AR255" s="668">
        <f t="shared" si="290"/>
        <v>0</v>
      </c>
      <c r="AS255" s="668">
        <f t="shared" si="290"/>
        <v>0</v>
      </c>
      <c r="AT255" s="668">
        <f t="shared" si="290"/>
        <v>-9.9284896233082121E-2</v>
      </c>
      <c r="AU255" s="668">
        <f t="shared" si="290"/>
        <v>0</v>
      </c>
      <c r="AV255" s="668">
        <f t="shared" si="290"/>
        <v>0</v>
      </c>
      <c r="AW255" s="668">
        <f t="shared" si="290"/>
        <v>0</v>
      </c>
      <c r="AX255" s="668">
        <f t="shared" si="290"/>
        <v>0</v>
      </c>
      <c r="AY255" s="668">
        <f t="shared" si="290"/>
        <v>0</v>
      </c>
      <c r="AZ255" s="668">
        <f t="shared" si="290"/>
        <v>-0.23768584278518246</v>
      </c>
      <c r="BA255" s="668">
        <f t="shared" ref="BA255:CF255" si="291">IF(BA222=0,0,IF(CO2_2018=0,0,(BA253/$U$253)-1))</f>
        <v>0</v>
      </c>
      <c r="BB255" s="668">
        <f t="shared" si="291"/>
        <v>0</v>
      </c>
      <c r="BC255" s="668">
        <f t="shared" si="291"/>
        <v>0</v>
      </c>
      <c r="BD255" s="668">
        <f t="shared" si="291"/>
        <v>0</v>
      </c>
      <c r="BE255" s="668">
        <f t="shared" si="291"/>
        <v>0</v>
      </c>
      <c r="BF255" s="668">
        <f t="shared" si="291"/>
        <v>-0.55835603813457313</v>
      </c>
      <c r="BG255" s="668">
        <f t="shared" si="291"/>
        <v>0</v>
      </c>
      <c r="BH255" s="668">
        <f t="shared" si="291"/>
        <v>0</v>
      </c>
      <c r="BI255" s="668">
        <f t="shared" si="291"/>
        <v>0</v>
      </c>
      <c r="BJ255" s="668">
        <f t="shared" si="291"/>
        <v>0</v>
      </c>
      <c r="BK255" s="668">
        <f t="shared" si="291"/>
        <v>0</v>
      </c>
      <c r="BL255" s="668">
        <f t="shared" si="291"/>
        <v>-0.59608280311228989</v>
      </c>
      <c r="BM255" s="668">
        <f t="shared" si="291"/>
        <v>0</v>
      </c>
      <c r="BN255" s="668">
        <f t="shared" si="291"/>
        <v>0</v>
      </c>
      <c r="BO255" s="668">
        <f t="shared" si="291"/>
        <v>0</v>
      </c>
      <c r="BP255" s="668">
        <f t="shared" si="291"/>
        <v>0</v>
      </c>
      <c r="BQ255" s="668">
        <f t="shared" si="291"/>
        <v>0</v>
      </c>
      <c r="BR255" s="668">
        <f t="shared" si="291"/>
        <v>-0.62653052242214335</v>
      </c>
      <c r="BS255" s="668">
        <f t="shared" si="291"/>
        <v>0</v>
      </c>
      <c r="BT255" s="668">
        <f t="shared" si="291"/>
        <v>0</v>
      </c>
      <c r="BU255" s="668">
        <f t="shared" si="291"/>
        <v>0</v>
      </c>
      <c r="BV255" s="668">
        <f t="shared" si="291"/>
        <v>0</v>
      </c>
      <c r="BW255" s="668">
        <f t="shared" si="291"/>
        <v>0</v>
      </c>
      <c r="BX255" s="668">
        <f t="shared" si="291"/>
        <v>-0.62653052242214335</v>
      </c>
      <c r="BY255" s="668">
        <f t="shared" si="291"/>
        <v>0</v>
      </c>
      <c r="BZ255" s="668">
        <f t="shared" si="291"/>
        <v>0</v>
      </c>
      <c r="CA255" s="668">
        <f t="shared" si="291"/>
        <v>0</v>
      </c>
      <c r="CB255" s="668">
        <f t="shared" si="291"/>
        <v>0</v>
      </c>
      <c r="CC255" s="668">
        <f t="shared" si="291"/>
        <v>0</v>
      </c>
      <c r="CD255" s="668">
        <f t="shared" si="291"/>
        <v>-0.62653052242214335</v>
      </c>
      <c r="CE255" s="668">
        <f t="shared" si="291"/>
        <v>0</v>
      </c>
      <c r="CF255" s="668">
        <f t="shared" si="291"/>
        <v>0</v>
      </c>
      <c r="CG255" s="668">
        <f t="shared" ref="CG255:DL255" si="292">IF(CG222=0,0,IF(CO2_2018=0,0,(CG253/$U$253)-1))</f>
        <v>0</v>
      </c>
      <c r="CH255" s="668">
        <f t="shared" si="292"/>
        <v>0</v>
      </c>
      <c r="CI255" s="668">
        <f t="shared" si="292"/>
        <v>0</v>
      </c>
      <c r="CJ255" s="668">
        <f t="shared" si="292"/>
        <v>-0.62653052242214335</v>
      </c>
      <c r="CK255" s="668">
        <f t="shared" si="292"/>
        <v>0</v>
      </c>
      <c r="CL255" s="668">
        <f t="shared" si="292"/>
        <v>0</v>
      </c>
      <c r="CM255" s="668">
        <f t="shared" si="292"/>
        <v>0</v>
      </c>
      <c r="CN255" s="668">
        <f t="shared" si="292"/>
        <v>0</v>
      </c>
      <c r="CO255" s="668">
        <f t="shared" si="292"/>
        <v>0</v>
      </c>
      <c r="CP255" s="668">
        <f t="shared" si="292"/>
        <v>-0.62653052242214335</v>
      </c>
      <c r="CQ255" s="668">
        <f t="shared" si="292"/>
        <v>0</v>
      </c>
      <c r="CR255" s="668">
        <f t="shared" si="292"/>
        <v>0</v>
      </c>
      <c r="CS255" s="668">
        <f t="shared" si="292"/>
        <v>0</v>
      </c>
      <c r="CT255" s="668">
        <f t="shared" si="292"/>
        <v>0</v>
      </c>
      <c r="CU255" s="668">
        <f t="shared" si="292"/>
        <v>0</v>
      </c>
      <c r="CV255" s="668">
        <f t="shared" si="292"/>
        <v>-0.62653052242214335</v>
      </c>
      <c r="CW255" s="668">
        <f t="shared" si="292"/>
        <v>0</v>
      </c>
      <c r="CX255" s="668">
        <f t="shared" si="292"/>
        <v>0</v>
      </c>
      <c r="CY255" s="668">
        <f t="shared" si="292"/>
        <v>0</v>
      </c>
      <c r="CZ255" s="668">
        <f t="shared" si="292"/>
        <v>0</v>
      </c>
      <c r="DA255" s="668">
        <f t="shared" si="292"/>
        <v>0</v>
      </c>
      <c r="DB255" s="668">
        <f t="shared" si="292"/>
        <v>-0.62653052242214335</v>
      </c>
      <c r="DC255" s="668">
        <f t="shared" si="292"/>
        <v>0</v>
      </c>
      <c r="DD255" s="668">
        <f t="shared" si="292"/>
        <v>0</v>
      </c>
      <c r="DE255" s="668">
        <f t="shared" si="292"/>
        <v>0</v>
      </c>
      <c r="DF255" s="668">
        <f t="shared" si="292"/>
        <v>0</v>
      </c>
      <c r="DG255" s="668">
        <f t="shared" si="292"/>
        <v>0</v>
      </c>
      <c r="DH255" s="668">
        <f t="shared" si="292"/>
        <v>-0.62653052242214335</v>
      </c>
      <c r="DI255" s="668">
        <f t="shared" si="292"/>
        <v>0</v>
      </c>
      <c r="DJ255" s="668">
        <f t="shared" si="292"/>
        <v>0</v>
      </c>
      <c r="DK255" s="668">
        <f t="shared" si="292"/>
        <v>0</v>
      </c>
      <c r="DL255" s="668">
        <f t="shared" si="292"/>
        <v>0</v>
      </c>
      <c r="DM255" s="668">
        <f t="shared" ref="DM255:ER255" si="293">IF(DM222=0,0,IF(CO2_2018=0,0,(DM253/$U$253)-1))</f>
        <v>0</v>
      </c>
      <c r="DN255" s="668">
        <f t="shared" si="293"/>
        <v>-0.62653052242214335</v>
      </c>
      <c r="DO255" s="668">
        <f t="shared" si="293"/>
        <v>0</v>
      </c>
      <c r="DP255" s="668">
        <f t="shared" si="293"/>
        <v>0</v>
      </c>
      <c r="DQ255" s="668">
        <f t="shared" si="293"/>
        <v>0</v>
      </c>
      <c r="DR255" s="668">
        <f t="shared" si="293"/>
        <v>0</v>
      </c>
      <c r="DS255" s="668">
        <f t="shared" si="293"/>
        <v>0</v>
      </c>
      <c r="DT255" s="668">
        <f t="shared" si="293"/>
        <v>-0.62653052242214335</v>
      </c>
      <c r="DU255" s="668">
        <f t="shared" si="293"/>
        <v>0</v>
      </c>
      <c r="DV255" s="668">
        <f t="shared" si="293"/>
        <v>0</v>
      </c>
      <c r="DW255" s="668">
        <f t="shared" si="293"/>
        <v>0</v>
      </c>
      <c r="DX255" s="668">
        <f t="shared" si="293"/>
        <v>0</v>
      </c>
      <c r="DY255" s="668">
        <f t="shared" si="293"/>
        <v>0</v>
      </c>
      <c r="DZ255" s="668">
        <f t="shared" si="293"/>
        <v>-0.62653052242214335</v>
      </c>
      <c r="EA255" s="668">
        <f t="shared" si="293"/>
        <v>0</v>
      </c>
      <c r="EB255" s="668">
        <f t="shared" si="293"/>
        <v>0</v>
      </c>
      <c r="EC255" s="668">
        <f t="shared" si="293"/>
        <v>0</v>
      </c>
      <c r="ED255" s="668">
        <f t="shared" si="293"/>
        <v>0</v>
      </c>
      <c r="EE255" s="668">
        <f t="shared" si="293"/>
        <v>0</v>
      </c>
      <c r="EF255" s="668">
        <f t="shared" si="293"/>
        <v>-0.62653052242214335</v>
      </c>
      <c r="EG255" s="668">
        <f t="shared" si="293"/>
        <v>0</v>
      </c>
      <c r="EH255" s="668">
        <f t="shared" si="293"/>
        <v>0</v>
      </c>
      <c r="EI255" s="668">
        <f t="shared" si="293"/>
        <v>0</v>
      </c>
      <c r="EJ255" s="668">
        <f t="shared" si="293"/>
        <v>0</v>
      </c>
      <c r="EK255" s="668">
        <f t="shared" si="293"/>
        <v>0</v>
      </c>
      <c r="EL255" s="668">
        <f t="shared" si="293"/>
        <v>-0.62653052242214335</v>
      </c>
      <c r="EM255" s="668">
        <f t="shared" si="293"/>
        <v>0</v>
      </c>
      <c r="EN255" s="668">
        <f t="shared" si="293"/>
        <v>0</v>
      </c>
      <c r="EO255" s="668">
        <f t="shared" si="293"/>
        <v>0</v>
      </c>
      <c r="EP255" s="668">
        <f t="shared" si="293"/>
        <v>0</v>
      </c>
      <c r="EQ255" s="668">
        <f t="shared" si="293"/>
        <v>0</v>
      </c>
      <c r="ER255" s="668">
        <f t="shared" si="293"/>
        <v>-0.62653052242214335</v>
      </c>
      <c r="ES255" s="668">
        <f t="shared" ref="ES255:FX255" si="294">IF(ES222=0,0,IF(CO2_2018=0,0,(ES253/$U$253)-1))</f>
        <v>0</v>
      </c>
      <c r="ET255" s="668">
        <f t="shared" si="294"/>
        <v>0</v>
      </c>
      <c r="EU255" s="668">
        <f t="shared" si="294"/>
        <v>0</v>
      </c>
      <c r="EV255" s="668">
        <f t="shared" si="294"/>
        <v>0</v>
      </c>
      <c r="EW255" s="668">
        <f t="shared" si="294"/>
        <v>0</v>
      </c>
      <c r="EX255" s="668">
        <f t="shared" si="294"/>
        <v>-0.62653052242214335</v>
      </c>
      <c r="EY255" s="668">
        <f t="shared" si="294"/>
        <v>0</v>
      </c>
      <c r="EZ255" s="668">
        <f t="shared" si="294"/>
        <v>0</v>
      </c>
      <c r="FA255" s="668">
        <f t="shared" si="294"/>
        <v>0</v>
      </c>
      <c r="FB255" s="668">
        <f t="shared" si="294"/>
        <v>0</v>
      </c>
      <c r="FC255" s="668">
        <f t="shared" si="294"/>
        <v>0</v>
      </c>
      <c r="FD255" s="668">
        <f t="shared" si="294"/>
        <v>-0.62653052242214335</v>
      </c>
      <c r="FE255" s="668">
        <f t="shared" si="294"/>
        <v>0</v>
      </c>
      <c r="FF255" s="668">
        <f t="shared" si="294"/>
        <v>0</v>
      </c>
      <c r="FG255" s="668">
        <f t="shared" si="294"/>
        <v>0</v>
      </c>
      <c r="FH255" s="668">
        <f t="shared" si="294"/>
        <v>0</v>
      </c>
      <c r="FI255" s="668">
        <f t="shared" si="294"/>
        <v>0</v>
      </c>
      <c r="FJ255" s="668">
        <f t="shared" si="294"/>
        <v>-0.62653052242214335</v>
      </c>
      <c r="FK255" s="668">
        <f t="shared" si="294"/>
        <v>0</v>
      </c>
      <c r="FL255" s="668">
        <f t="shared" si="294"/>
        <v>0</v>
      </c>
      <c r="FM255" s="668">
        <f t="shared" si="294"/>
        <v>0</v>
      </c>
      <c r="FN255" s="668">
        <f t="shared" si="294"/>
        <v>0</v>
      </c>
      <c r="FO255" s="668">
        <f t="shared" si="294"/>
        <v>0</v>
      </c>
      <c r="FP255" s="668">
        <f t="shared" si="294"/>
        <v>-0.62653052242214335</v>
      </c>
      <c r="FQ255" s="668">
        <f t="shared" si="294"/>
        <v>0</v>
      </c>
      <c r="FR255" s="668">
        <f t="shared" si="294"/>
        <v>0</v>
      </c>
      <c r="FS255" s="668">
        <f t="shared" si="294"/>
        <v>0</v>
      </c>
      <c r="FT255" s="668">
        <f t="shared" si="294"/>
        <v>0</v>
      </c>
      <c r="FU255" s="668">
        <f t="shared" si="294"/>
        <v>0</v>
      </c>
      <c r="FV255" s="668">
        <f t="shared" si="294"/>
        <v>-0.62653052242214335</v>
      </c>
      <c r="FW255" s="668">
        <f t="shared" si="294"/>
        <v>0</v>
      </c>
      <c r="FX255" s="668">
        <f t="shared" si="294"/>
        <v>0</v>
      </c>
      <c r="FY255" s="668">
        <f t="shared" ref="FY255:GZ255" si="295">IF(FY222=0,0,IF(CO2_2018=0,0,(FY253/$U$253)-1))</f>
        <v>0</v>
      </c>
      <c r="FZ255" s="668">
        <f t="shared" si="295"/>
        <v>0</v>
      </c>
      <c r="GA255" s="668">
        <f t="shared" si="295"/>
        <v>0</v>
      </c>
      <c r="GB255" s="668">
        <f t="shared" si="295"/>
        <v>-0.62653052242214335</v>
      </c>
      <c r="GC255" s="668">
        <f t="shared" si="295"/>
        <v>0</v>
      </c>
      <c r="GD255" s="668">
        <f t="shared" si="295"/>
        <v>0</v>
      </c>
      <c r="GE255" s="668">
        <f t="shared" si="295"/>
        <v>0</v>
      </c>
      <c r="GF255" s="668">
        <f t="shared" si="295"/>
        <v>0</v>
      </c>
      <c r="GG255" s="668">
        <f t="shared" si="295"/>
        <v>0</v>
      </c>
      <c r="GH255" s="668">
        <f t="shared" si="295"/>
        <v>-0.62653052242214335</v>
      </c>
      <c r="GI255" s="668">
        <f t="shared" si="295"/>
        <v>0</v>
      </c>
      <c r="GJ255" s="668">
        <f t="shared" si="295"/>
        <v>0</v>
      </c>
      <c r="GK255" s="668">
        <f t="shared" si="295"/>
        <v>0</v>
      </c>
      <c r="GL255" s="668">
        <f t="shared" si="295"/>
        <v>0</v>
      </c>
      <c r="GM255" s="668">
        <f t="shared" si="295"/>
        <v>0</v>
      </c>
      <c r="GN255" s="668">
        <f t="shared" si="295"/>
        <v>-0.62653052242214335</v>
      </c>
      <c r="GO255" s="668">
        <f t="shared" si="295"/>
        <v>0</v>
      </c>
      <c r="GP255" s="668">
        <f t="shared" si="295"/>
        <v>0</v>
      </c>
      <c r="GQ255" s="668">
        <f t="shared" si="295"/>
        <v>0</v>
      </c>
      <c r="GR255" s="668">
        <f t="shared" si="295"/>
        <v>0</v>
      </c>
      <c r="GS255" s="668">
        <f t="shared" si="295"/>
        <v>0</v>
      </c>
      <c r="GT255" s="668">
        <f t="shared" si="295"/>
        <v>-0.62653052242214335</v>
      </c>
      <c r="GU255" s="668">
        <f t="shared" si="295"/>
        <v>0</v>
      </c>
      <c r="GV255" s="668">
        <f t="shared" si="295"/>
        <v>0</v>
      </c>
      <c r="GW255" s="668">
        <f t="shared" si="295"/>
        <v>0</v>
      </c>
      <c r="GX255" s="668">
        <f t="shared" si="295"/>
        <v>0</v>
      </c>
      <c r="GY255" s="668">
        <f t="shared" si="295"/>
        <v>0</v>
      </c>
      <c r="GZ255" s="668">
        <f t="shared" si="295"/>
        <v>-0.62653052242214335</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filterColumn colId="6">
      <filters>
        <filter val="i"/>
      </filters>
    </filterColumn>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169" priority="7">
      <formula>LEN(TRIM(C12))=0</formula>
    </cfRule>
  </conditionalFormatting>
  <conditionalFormatting sqref="C15">
    <cfRule type="containsBlanks" dxfId="168" priority="6">
      <formula>LEN(TRIM(C15))=0</formula>
    </cfRule>
  </conditionalFormatting>
  <conditionalFormatting sqref="C29">
    <cfRule type="expression" dxfId="167" priority="5">
      <formula>$C$28="Ja"</formula>
    </cfRule>
  </conditionalFormatting>
  <conditionalFormatting sqref="C44:G215">
    <cfRule type="expression" dxfId="166" priority="51">
      <formula>$H44="x"</formula>
    </cfRule>
  </conditionalFormatting>
  <conditionalFormatting sqref="D29">
    <cfRule type="expression" dxfId="165" priority="14">
      <formula>$C$28="Ja"</formula>
    </cfRule>
  </conditionalFormatting>
  <conditionalFormatting sqref="D43:E43">
    <cfRule type="expression" dxfId="164" priority="72">
      <formula>$C$12&lt;K$219</formula>
    </cfRule>
  </conditionalFormatting>
  <conditionalFormatting sqref="E1">
    <cfRule type="containsText" dxfId="163" priority="52" operator="containsText" text="Let">
      <formula>NOT(ISERROR(SEARCH("Let",E1)))</formula>
    </cfRule>
  </conditionalFormatting>
  <conditionalFormatting sqref="E218:I218">
    <cfRule type="expression" dxfId="162" priority="66">
      <formula>#REF!=0</formula>
    </cfRule>
  </conditionalFormatting>
  <conditionalFormatting sqref="H42">
    <cfRule type="expression" dxfId="161" priority="71">
      <formula>$C$12&lt;L$219</formula>
    </cfRule>
  </conditionalFormatting>
  <conditionalFormatting sqref="H44:H215">
    <cfRule type="containsText" dxfId="158" priority="58" operator="containsText" text="x">
      <formula>NOT(ISERROR(SEARCH("x",H44)))</formula>
    </cfRule>
  </conditionalFormatting>
  <conditionalFormatting sqref="I42:I43">
    <cfRule type="expression" dxfId="157" priority="68">
      <formula>$C$12&lt;N$219</formula>
    </cfRule>
  </conditionalFormatting>
  <conditionalFormatting sqref="I45:GZ215">
    <cfRule type="expression" dxfId="156" priority="74">
      <formula>$H45="x"</formula>
    </cfRule>
  </conditionalFormatting>
  <conditionalFormatting sqref="I44:HE44">
    <cfRule type="expression" dxfId="155" priority="60">
      <formula>$H44="x"</formula>
    </cfRule>
  </conditionalFormatting>
  <conditionalFormatting sqref="J218">
    <cfRule type="expression" dxfId="154" priority="63">
      <formula>#REF!=0</formula>
    </cfRule>
  </conditionalFormatting>
  <conditionalFormatting sqref="K42:K43 N42:N43 P42:S43">
    <cfRule type="expression" dxfId="153" priority="67">
      <formula>$C$12&lt;#REF!</formula>
    </cfRule>
  </conditionalFormatting>
  <conditionalFormatting sqref="M42:M43 C43">
    <cfRule type="expression" dxfId="152" priority="69">
      <formula>$C$12&lt;K$219</formula>
    </cfRule>
  </conditionalFormatting>
  <conditionalFormatting sqref="O42:O43">
    <cfRule type="expression" dxfId="151" priority="70">
      <formula>$C$12&lt;Q$219</formula>
    </cfRule>
  </conditionalFormatting>
  <conditionalFormatting sqref="T44:T215">
    <cfRule type="cellIs" dxfId="150" priority="62" operator="equal">
      <formula>1</formula>
    </cfRule>
    <cfRule type="cellIs" dxfId="149" priority="73" operator="greaterThan">
      <formula>1</formula>
    </cfRule>
  </conditionalFormatting>
  <conditionalFormatting sqref="U229:V229 AB229 AH229 AN229 AT229:GZ229 U232:V232 AB232 AH232 AN232 AT232:GZ232 U235:V235 AB235 AH235 AN235 AT235:GZ235">
    <cfRule type="cellIs" dxfId="148" priority="53" operator="lessThan">
      <formula>0</formula>
    </cfRule>
  </conditionalFormatting>
  <conditionalFormatting sqref="U31:CJ33">
    <cfRule type="expression" dxfId="147" priority="3">
      <formula>YEAR(TODAY())=U$30+1</formula>
    </cfRule>
    <cfRule type="expression" dxfId="146" priority="4">
      <formula>YEAR(TODAY())&gt;U$30</formula>
    </cfRule>
  </conditionalFormatting>
  <conditionalFormatting sqref="U37:CJ37">
    <cfRule type="expression" dxfId="145" priority="1">
      <formula>YEAR(TODAY())=U$30+1</formula>
    </cfRule>
    <cfRule type="expression" dxfId="144" priority="2">
      <formula>YEAR(TODAY())&gt;U$30</formula>
    </cfRule>
  </conditionalFormatting>
  <conditionalFormatting sqref="V44:GZ215">
    <cfRule type="expression" dxfId="143" priority="11">
      <formula>V$219&lt;$C$11</formula>
    </cfRule>
    <cfRule type="expression" dxfId="142" priority="9">
      <formula>V$219&gt;$C$12</formula>
    </cfRule>
  </conditionalFormatting>
  <conditionalFormatting sqref="V44:HE44 V45:GZ215">
    <cfRule type="expression" dxfId="141" priority="8">
      <formula>YEAR(TODAY())&gt;V$42</formula>
    </cfRule>
    <cfRule type="notContainsBlanks" dxfId="140" priority="12">
      <formula>LEN(TRIM(V44))&gt;0</formula>
    </cfRule>
  </conditionalFormatting>
  <conditionalFormatting sqref="CQ36:CU37">
    <cfRule type="expression" dxfId="139" priority="54">
      <formula>YEAR(TODAY())=CQ$42</formula>
    </cfRule>
    <cfRule type="expression" dxfId="138" priority="55">
      <formula>YEAR(TODAY())&lt;CQ$42</formula>
    </cfRule>
  </conditionalFormatting>
  <conditionalFormatting sqref="HA45:HE215">
    <cfRule type="notContainsBlanks" dxfId="137" priority="16">
      <formula>LEN(TRIM(HA45))&gt;0</formula>
    </cfRule>
    <cfRule type="expression" dxfId="136" priority="17">
      <formula>$H45="x"</formula>
    </cfRule>
  </conditionalFormatting>
  <dataValidations count="27">
    <dataValidation type="whole" errorStyle="warning" operator="lessThan" showInputMessage="1" showErrorMessage="1" errorTitle="Let op!" error="U heeft deze maatregel al elders ingepland. Weet u zeker dat u deze maatregel nógmaals wilt uitvoeren? " sqref="HF46:HF66 HF218" xr:uid="{3460B7DD-73E7-46E2-8A05-59C5C2C8F228}">
      <formula1>1</formula1>
    </dataValidation>
    <dataValidation type="whole" operator="notEqual" showErrorMessage="1" errorTitle="Let op!" error="U heeft deze maatregel al elders ingepland. Weet u zeker dat u deze maatregel nógmaals wilt uitvoeren? " sqref="HF43:HF45" xr:uid="{76651929-2A63-44D0-9CB7-441466C6E6E0}">
      <formula1>1</formula1>
    </dataValidation>
    <dataValidation allowBlank="1" showInputMessage="1" showErrorMessage="1" prompt="Alleen wijzigen als dit afwijkt van de rest van de organisatie! Voor de gehele organisatie kunt u de energieprijs wijzigen in het Dashboard. " sqref="C18:C20" xr:uid="{F5CAE9A0-EA92-4333-B3F8-68F5DF9AE5E4}"/>
    <dataValidation allowBlank="1" sqref="U218:GY218 HA218:HE218" xr:uid="{15538B8D-9488-4047-9B27-D083C630D6AB}"/>
    <dataValidation type="list" showInputMessage="1" showErrorMessage="1" error="Kies een jaar tussen 2018 en 2050. " prompt="Kies een jaar tussen '2018' en '2050 of later'. " sqref="C12" xr:uid="{18341A32-9B5C-4D6B-94EB-F0580E9BEC26}">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DC0D5201-8B85-4534-A583-520F544EF9A8}">
      <formula1>0</formula1>
    </dataValidation>
    <dataValidation type="list" showInputMessage="1" showErrorMessage="1" error="Kies een jaar tussen 2018 en 2050 of laat leeg. " sqref="C11" xr:uid="{C84F4B4B-ACAA-4471-A399-BC6C8F9F750A}">
      <formula1>$HL$2:$HL$34</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A23FF15A-AFC0-4942-A1E8-B5CCBEC1A0C2}">
      <formula1>$GZ$233&gt;0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38C0EF9B-9AA1-415D-B97E-3ED6D041EC71}">
      <formula1>$HL$1</formula1>
    </dataValidation>
    <dataValidation type="decimal" operator="greaterThan" allowBlank="1" showInputMessage="1" showErrorMessage="1" errorTitle="Ongeldige invoer" error="Je probeert iets anders dan een (komma)getal in te voeren. Dat kan niet. " sqref="HA45:HE215 V45:AS215" xr:uid="{49F1A6B3-B1F8-48EF-8F8B-2B4012631576}">
      <formula1>0</formula1>
    </dataValidation>
    <dataValidation type="list" showDropDown="1" showInputMessage="1" showErrorMessage="1" error="Maak een keuze tussen 'Eigendom' of 'Huur'." prompt="Maak een keuze tussen 'Eigendom' of 'Huur'." sqref="C15" xr:uid="{5936E040-B298-4915-81FB-7F4A96B0E60D}">
      <formula1>$HK$8:$HK$9</formula1>
    </dataValidation>
    <dataValidation allowBlank="1" showInputMessage="1" showErrorMessage="1" prompt="Hier komt automatisch de beheerder die op het starttabblad genoteerd staat. Je kunt dit overschrijven. " sqref="C37" xr:uid="{008F9B2C-EC25-4D2E-837D-9CF6F603E56A}"/>
    <dataValidation allowBlank="1" showInputMessage="1" showErrorMessage="1" prompt="1234AA zonder spatie" sqref="C31" xr:uid="{248068E7-1219-4A38-BF99-FB3CBFFB058F}"/>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E8681855-4787-4226-BFDA-91CE00BE17D4}">
      <formula1>$HL$1:$HM$1</formula1>
    </dataValidation>
    <dataValidation type="textLength" operator="lessThanOrEqual" showInputMessage="1" showErrorMessage="1" error="Typ alleen het energielabel (G t/m A++++)" sqref="C16" xr:uid="{D8E3FC17-C444-4C4C-B98B-7F92F7EFA90C}">
      <formula1>6</formula1>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56AF111A-65BC-4CE8-985C-D89AD918344F}">
      <formula1>0</formula1>
      <formula2>2030</formula2>
    </dataValidation>
    <dataValidation type="whole" allowBlank="1" showInputMessage="1" showErrorMessage="1" error="Vul een geheel getal in." sqref="C4:C5" xr:uid="{751B75E8-17C6-4C56-8B13-62A5E211747C}">
      <formula1>0</formula1>
      <formula2>10000000</formula2>
    </dataValidation>
    <dataValidation type="list" operator="greaterThan" showDropDown="1" showInputMessage="1" showErrorMessage="1" error="Typ &quot;Ja&quot; of &quot;Nee&quot;." prompt="Kies 'Ja' of 'Nee'." sqref="C10 C28" xr:uid="{F6EC609D-17E6-40DF-B331-65301821991E}">
      <formula1>$HL$1:$HM$1</formula1>
    </dataValidation>
    <dataValidation type="list" operator="greaterThan" showDropDown="1" showInputMessage="1" showErrorMessage="1" error=" Typ 'brons', 'zilver' of 'goud'." prompt="Maak een keuze tussen brons, zilver of goud." sqref="C29" xr:uid="{52B01D28-2154-4773-9B39-34D2FC3CF61C}">
      <formula1>$HK$10:$HK$12</formula1>
    </dataValidation>
    <dataValidation allowBlank="1" showInputMessage="1" showErrorMessage="1" prompt="Dit is nodig als je de tool wilt gebruiken voor de informatieplicht. Met het e-mailadres en telefoonnummer wordt verder niets gedaan." sqref="C38:D39" xr:uid="{5E0EA0FB-D20B-4B6E-A0F1-5E85028FF40C}"/>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E77E5368-EDC1-490A-A526-3032A97FF65B}">
      <formula1>AND($GZ$229&gt;-1,$GZ$232&gt;-1,$GZ$235&gt;-1)</formula1>
    </dataValidation>
    <dataValidation allowBlank="1" showInputMessage="1" showErrorMessage="1" prompt="Vul de reductie aardgas in als je overstapt van een aardgasbron naar een duurzaam warmtenet. Laat de reductie warmte (cel R44) leeg." sqref="P44" xr:uid="{205D6989-25C1-4496-8671-944FBDE55CBA}"/>
    <dataValidation allowBlank="1" showInputMessage="1" showErrorMessage="1" prompt="Vul de reductie warmte in als het warmtenet waarop je aangesloten zit volledig duurzaam wordt. Laat de reductie aardgas (cel P44) leeg. " sqref="R44" xr:uid="{2C7D29CD-D8AC-49DE-9A2D-274FC24981AB}"/>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7ED25350-AB37-4662-8990-6472F256359D}">
      <formula1>AND($GZ$229&gt;-1,$GZ$232&gt;-1,$GZ$235&gt;-1)</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3E184A53-F525-460B-B404-388F6498976B}">
      <formula1>$HK$3:$HK$6</formula1>
    </dataValidation>
    <dataValidation type="list" operator="equal" allowBlank="1" showDropDown="1" showInputMessage="1" showErrorMessage="1" errorTitle="Ongeldige invoer" error="Kies voor &quot;ja&quot; (direct uitvoeren) of laat de cel leeg." sqref="J44:J217" xr:uid="{43BC743A-FE61-40EE-B687-791D60FDCF55}">
      <formula1>$HK$7</formula1>
    </dataValidation>
    <dataValidation type="decimal" allowBlank="1" showInputMessage="1" showErrorMessage="1" sqref="C6" xr:uid="{3BCDF1F7-0535-4B84-8ABB-AA1ECCC12172}">
      <formula1>0</formula1>
      <formula2>9999</formula2>
    </dataValidation>
  </dataValidations>
  <pageMargins left="0.7" right="0.7" top="0.75" bottom="0.75" header="0.3" footer="0.3"/>
  <pageSetup paperSize="8" scale="12"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30875588-1E71-4C6F-97D8-10FE507D6B6E}">
            <xm:f>NOT(ISERROR(SEARCH("h",H44)))</xm:f>
            <xm:f>"h"</xm:f>
            <x14:dxf>
              <font>
                <color rgb="FFFDFDFF"/>
              </font>
              <fill>
                <patternFill>
                  <bgColor rgb="FF546A7B"/>
                </patternFill>
              </fill>
            </x14:dxf>
          </x14:cfRule>
          <x14:cfRule type="containsText" priority="59" operator="containsText" id="{94C90758-B168-4FD0-8C1A-16BAFB2495F5}">
            <xm:f>NOT(ISERROR(SEARCH("v",H44)))</xm:f>
            <xm:f>"v"</xm:f>
            <x14:dxf>
              <font>
                <color rgb="FFFDFDFF"/>
              </font>
              <fill>
                <patternFill>
                  <bgColor rgb="FF393D3F"/>
                </patternFill>
              </fill>
            </x14:dxf>
          </x14:cfRule>
          <xm:sqref>H44:H215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E4694-7222-4217-99A1-2DB0610DC549}">
  <sheetPr codeName="Blad37" filterMode="1">
    <tabColor rgb="FFC9E0E1"/>
    <pageSetUpPr fitToPage="1"/>
  </sheetPr>
  <dimension ref="A1:HS261"/>
  <sheetViews>
    <sheetView zoomScale="55" zoomScaleNormal="55" workbookViewId="0">
      <selection activeCell="C4" sqref="C4"/>
    </sheetView>
  </sheetViews>
  <sheetFormatPr defaultColWidth="9.140625" defaultRowHeight="15"/>
  <cols>
    <col min="1" max="1" width="2.28515625" style="55" customWidth="1"/>
    <col min="2" max="2" width="5.85546875" style="7" customWidth="1"/>
    <col min="3" max="3" width="28.7109375" style="63" customWidth="1"/>
    <col min="4" max="4" width="7.5703125" style="7" customWidth="1"/>
    <col min="5" max="5" width="60.5703125" style="7" customWidth="1"/>
    <col min="6" max="6" width="9.42578125" style="7" customWidth="1"/>
    <col min="7" max="7" width="35.5703125" style="7" customWidth="1"/>
    <col min="8" max="8" width="7.5703125" style="7" customWidth="1"/>
    <col min="9" max="9" width="14.7109375" style="7" customWidth="1"/>
    <col min="10" max="10" width="6.85546875" style="7" customWidth="1"/>
    <col min="11" max="11" width="9.140625" style="7" customWidth="1"/>
    <col min="12" max="12" width="16" style="7" customWidth="1"/>
    <col min="13" max="13" width="17.28515625" style="7" customWidth="1"/>
    <col min="14" max="14" width="16.5703125" style="7" customWidth="1"/>
    <col min="15" max="15" width="6.28515625" style="7" customWidth="1"/>
    <col min="16" max="16" width="12.5703125" style="7" customWidth="1"/>
    <col min="17" max="17" width="12.85546875" style="7" customWidth="1"/>
    <col min="18" max="18" width="11.85546875" style="7" customWidth="1"/>
    <col min="19" max="19" width="5.140625" style="7" customWidth="1"/>
    <col min="20" max="20" width="9" style="7" customWidth="1"/>
    <col min="21" max="21" width="17.28515625" style="7" customWidth="1"/>
    <col min="22" max="22" width="15" style="7" customWidth="1"/>
    <col min="23" max="23" width="14.28515625" style="7" hidden="1" customWidth="1"/>
    <col min="24" max="25" width="9.7109375" style="109" hidden="1" customWidth="1"/>
    <col min="26" max="26" width="11" style="7" hidden="1" customWidth="1"/>
    <col min="27" max="27" width="13.5703125" style="7" hidden="1" customWidth="1"/>
    <col min="28" max="28" width="14.85546875" style="7" customWidth="1"/>
    <col min="29" max="31" width="11.85546875" style="7" hidden="1" customWidth="1"/>
    <col min="32" max="32" width="4.7109375" style="7" hidden="1" customWidth="1"/>
    <col min="33" max="33" width="7.5703125" style="7" hidden="1" customWidth="1"/>
    <col min="34" max="34" width="14.85546875" style="7" customWidth="1"/>
    <col min="35" max="35" width="8.28515625" style="7" hidden="1" customWidth="1"/>
    <col min="36" max="37" width="7.140625" style="7" hidden="1" customWidth="1"/>
    <col min="38" max="38" width="4.7109375" style="7" hidden="1" customWidth="1"/>
    <col min="39" max="39" width="10.5703125" style="7" hidden="1" customWidth="1"/>
    <col min="40" max="40" width="14" style="7" customWidth="1"/>
    <col min="41" max="41" width="8.85546875" style="7" hidden="1" customWidth="1"/>
    <col min="42" max="43" width="7" style="7" hidden="1" customWidth="1"/>
    <col min="44" max="44" width="4.7109375" style="7" hidden="1" customWidth="1"/>
    <col min="45" max="45" width="11.28515625" style="7" hidden="1" customWidth="1"/>
    <col min="46" max="46" width="12.7109375" style="7" customWidth="1"/>
    <col min="47" max="47" width="10" style="7" hidden="1" customWidth="1"/>
    <col min="48" max="48" width="6" style="7" hidden="1" customWidth="1"/>
    <col min="49" max="49" width="9.7109375" style="7" hidden="1" customWidth="1"/>
    <col min="50" max="50" width="12" style="7" hidden="1" customWidth="1"/>
    <col min="51" max="51" width="11.85546875" style="7" hidden="1" customWidth="1"/>
    <col min="52" max="52" width="14.28515625" style="7" customWidth="1"/>
    <col min="53" max="55" width="6.42578125" style="7" hidden="1" customWidth="1"/>
    <col min="56" max="56" width="4.85546875" style="7" hidden="1" customWidth="1"/>
    <col min="57" max="57" width="9" style="7" hidden="1" customWidth="1"/>
    <col min="58" max="58" width="12.7109375" style="7" customWidth="1"/>
    <col min="59" max="59" width="9.5703125" style="7" hidden="1" customWidth="1"/>
    <col min="60" max="61" width="8" style="7" hidden="1" customWidth="1"/>
    <col min="62" max="62" width="4.7109375" style="7" hidden="1" customWidth="1"/>
    <col min="63" max="63" width="9.140625" style="7" hidden="1" customWidth="1"/>
    <col min="64" max="64" width="12.7109375" style="7" customWidth="1"/>
    <col min="65" max="65" width="9" style="7" hidden="1" customWidth="1"/>
    <col min="66" max="67" width="4.5703125" style="7" hidden="1" customWidth="1"/>
    <col min="68" max="68" width="4.7109375" style="7" hidden="1" customWidth="1"/>
    <col min="69" max="69" width="9" style="7" hidden="1" customWidth="1"/>
    <col min="70" max="70" width="12.7109375" style="7" customWidth="1"/>
    <col min="71" max="71" width="10.42578125" style="7" hidden="1" customWidth="1"/>
    <col min="72" max="72" width="10.7109375" style="7" hidden="1" customWidth="1"/>
    <col min="73" max="73" width="7.85546875" style="7" hidden="1" customWidth="1"/>
    <col min="74" max="74" width="4.7109375" style="7" hidden="1" customWidth="1"/>
    <col min="75" max="75" width="10.42578125" style="7" hidden="1" customWidth="1"/>
    <col min="76" max="76" width="12.7109375" style="7" customWidth="1"/>
    <col min="77" max="79" width="7.42578125" style="7" hidden="1" customWidth="1"/>
    <col min="80" max="80" width="4.7109375" style="7" hidden="1" customWidth="1"/>
    <col min="81" max="81" width="12.28515625" style="7" hidden="1" customWidth="1"/>
    <col min="82" max="82" width="12.7109375" style="7" customWidth="1"/>
    <col min="83" max="85" width="7" style="7" hidden="1" customWidth="1"/>
    <col min="86" max="86" width="4.7109375" style="7" hidden="1" customWidth="1"/>
    <col min="87" max="87" width="9.140625" style="7" hidden="1" customWidth="1"/>
    <col min="88" max="88" width="12.7109375" style="7" customWidth="1"/>
    <col min="89" max="91" width="7.85546875" style="7" hidden="1" customWidth="1"/>
    <col min="92" max="92" width="7" style="7" hidden="1" customWidth="1"/>
    <col min="93" max="93" width="7.7109375" style="7" hidden="1" customWidth="1"/>
    <col min="94" max="94" width="12.7109375" style="63" customWidth="1"/>
    <col min="95" max="99" width="10.5703125" style="63" hidden="1" customWidth="1"/>
    <col min="100" max="100" width="0.85546875" style="63" customWidth="1"/>
    <col min="101" max="104" width="10.5703125" style="63" hidden="1" customWidth="1"/>
    <col min="105" max="105" width="13.28515625" style="63" hidden="1" customWidth="1"/>
    <col min="106" max="106" width="0.85546875" style="63" customWidth="1"/>
    <col min="107" max="110" width="10.5703125" style="63" hidden="1" customWidth="1"/>
    <col min="111" max="111" width="11.5703125" style="63" hidden="1" customWidth="1"/>
    <col min="112" max="112" width="0.85546875" style="63" customWidth="1"/>
    <col min="113" max="117" width="10.5703125" style="63" hidden="1" customWidth="1"/>
    <col min="118" max="118" width="0.85546875" style="63" customWidth="1"/>
    <col min="119" max="123" width="10.5703125" style="63" hidden="1" customWidth="1"/>
    <col min="124" max="124" width="12.7109375" style="63" customWidth="1"/>
    <col min="125" max="129" width="5.7109375" style="63" hidden="1" customWidth="1"/>
    <col min="130" max="130" width="0.85546875" style="63" customWidth="1"/>
    <col min="131" max="135" width="5.7109375" style="63" hidden="1" customWidth="1"/>
    <col min="136" max="136" width="0.85546875" style="63" customWidth="1"/>
    <col min="137" max="141" width="5.7109375" style="63" hidden="1" customWidth="1"/>
    <col min="142" max="142" width="0.85546875" style="63" customWidth="1"/>
    <col min="143" max="143" width="6.140625" style="63" hidden="1" customWidth="1"/>
    <col min="144" max="147" width="5.7109375" style="63" hidden="1" customWidth="1"/>
    <col min="148" max="148" width="0.85546875" style="63" customWidth="1"/>
    <col min="149" max="153" width="5.7109375" style="63" hidden="1" customWidth="1"/>
    <col min="154" max="154" width="12.7109375" style="63" customWidth="1"/>
    <col min="155" max="155" width="6.140625" style="63" hidden="1" customWidth="1"/>
    <col min="156" max="159" width="5.7109375" style="63" hidden="1" customWidth="1"/>
    <col min="160" max="160" width="0.85546875" style="63" customWidth="1"/>
    <col min="161" max="165" width="5.7109375" style="63" hidden="1" customWidth="1"/>
    <col min="166" max="166" width="0.85546875" style="63" customWidth="1"/>
    <col min="167" max="171" width="5.7109375" style="63" hidden="1" customWidth="1"/>
    <col min="172" max="172" width="0.85546875" style="63" customWidth="1"/>
    <col min="173" max="177" width="5.7109375" style="63" hidden="1" customWidth="1"/>
    <col min="178" max="178" width="0.85546875" style="63" customWidth="1"/>
    <col min="179" max="183" width="5.7109375" style="63" hidden="1" customWidth="1"/>
    <col min="184" max="184" width="12.7109375" style="63" customWidth="1"/>
    <col min="185" max="185" width="6" style="63" hidden="1" customWidth="1"/>
    <col min="186" max="189" width="5.7109375" style="63" hidden="1" customWidth="1"/>
    <col min="190" max="190" width="0.85546875" style="63" customWidth="1"/>
    <col min="191" max="191" width="6.140625" style="63" hidden="1" customWidth="1"/>
    <col min="192" max="195" width="5.7109375" style="63" hidden="1" customWidth="1"/>
    <col min="196" max="196" width="0.85546875" style="63" customWidth="1"/>
    <col min="197" max="197" width="8" style="63" hidden="1" customWidth="1"/>
    <col min="198" max="201" width="5.7109375" style="63" hidden="1" customWidth="1"/>
    <col min="202" max="202" width="0.85546875" style="63" customWidth="1"/>
    <col min="203" max="203" width="7" style="63" hidden="1" customWidth="1"/>
    <col min="204" max="206" width="5.7109375" style="63" hidden="1" customWidth="1"/>
    <col min="207" max="207" width="5.5703125" style="63" hidden="1" customWidth="1"/>
    <col min="208" max="208" width="0.85546875" style="63" customWidth="1"/>
    <col min="209" max="209" width="12" style="7" hidden="1" customWidth="1"/>
    <col min="210" max="211" width="5.7109375" style="7" hidden="1" customWidth="1"/>
    <col min="212" max="212" width="12.85546875" style="7" hidden="1" customWidth="1"/>
    <col min="213" max="213" width="7.42578125" style="7" hidden="1" customWidth="1"/>
    <col min="214" max="214" width="3.5703125" style="7" customWidth="1"/>
    <col min="215" max="215" width="3.42578125" style="7" customWidth="1"/>
    <col min="216" max="216" width="0" style="7" hidden="1" customWidth="1"/>
    <col min="217" max="217" width="0.85546875" style="7" customWidth="1"/>
    <col min="218" max="218" width="2.28515625" style="7" customWidth="1"/>
    <col min="219" max="219" width="13.7109375" style="7" hidden="1" customWidth="1"/>
    <col min="220" max="221" width="9.140625" style="7" hidden="1" customWidth="1"/>
    <col min="222" max="222" width="9.140625" style="7"/>
    <col min="223" max="223" width="7.5703125" style="7" customWidth="1"/>
    <col min="224" max="16384" width="9.140625" style="7"/>
  </cols>
  <sheetData>
    <row r="1" spans="1:222" ht="23.25" customHeight="1">
      <c r="A1" s="239"/>
      <c r="B1" s="391"/>
      <c r="C1" s="391"/>
      <c r="D1" s="391"/>
      <c r="E1" s="392">
        <f ca="1">IFERROR(AH1,"Let op! De naam van dit tabblad komt niet overeen met een van de opgegeven locaties in het tabblad 'Cijfers'! Wijzig de naam van dit tabblad in de overzichtsbalk onderin het scherm.")</f>
        <v>2</v>
      </c>
      <c r="F1" s="391"/>
      <c r="G1" s="391"/>
      <c r="H1" s="391"/>
      <c r="I1" s="391"/>
      <c r="K1" s="391"/>
      <c r="L1" s="391"/>
      <c r="M1" s="391"/>
      <c r="N1" s="391"/>
      <c r="O1" s="391"/>
      <c r="P1" s="391"/>
      <c r="Q1" s="391"/>
      <c r="R1" s="391"/>
      <c r="S1" s="391"/>
      <c r="T1" s="391"/>
      <c r="U1" s="391"/>
      <c r="V1" s="391"/>
      <c r="W1" s="391"/>
      <c r="X1" s="391"/>
      <c r="Y1" s="391"/>
      <c r="Z1" s="391"/>
      <c r="AA1" s="391"/>
      <c r="AB1" s="391"/>
      <c r="AC1" s="393"/>
      <c r="AD1" s="393"/>
      <c r="AE1" s="393"/>
      <c r="AF1" s="393"/>
      <c r="AG1" s="393"/>
      <c r="AH1" s="392">
        <f ca="1">MATCH(E2,Cijfers!D5:D54,0)</f>
        <v>2</v>
      </c>
      <c r="AI1" s="393"/>
      <c r="AJ1" s="393"/>
      <c r="AK1" s="393"/>
      <c r="AL1" s="393"/>
      <c r="AM1" s="393"/>
      <c r="AN1" s="394" t="s">
        <v>138</v>
      </c>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68" t="s">
        <v>139</v>
      </c>
      <c r="HL1" s="7" t="s">
        <v>436</v>
      </c>
      <c r="HM1" s="7" t="s">
        <v>437</v>
      </c>
    </row>
    <row r="2" spans="1:222" ht="52.5" customHeight="1">
      <c r="A2" s="239"/>
      <c r="B2" s="395"/>
      <c r="C2" s="396" t="s">
        <v>376</v>
      </c>
      <c r="D2" s="395"/>
      <c r="E2" s="397" t="str">
        <f ca="1">MID(CELL("bestandsnaam",D1),SEARCH("]",CELL("bestandsnaam",D1))+1,100)</f>
        <v>Locatie2</v>
      </c>
      <c r="F2" s="395"/>
      <c r="G2" s="395"/>
      <c r="H2" s="395"/>
      <c r="I2" s="395"/>
      <c r="J2" s="398"/>
      <c r="K2" s="395"/>
      <c r="L2" s="395"/>
      <c r="M2" s="395"/>
      <c r="N2" s="395"/>
      <c r="O2" s="395"/>
      <c r="P2" s="395"/>
      <c r="Q2" s="395"/>
      <c r="R2" s="395"/>
      <c r="S2" s="395"/>
      <c r="T2" s="753" t="s">
        <v>834</v>
      </c>
      <c r="U2" s="395"/>
      <c r="V2" s="395"/>
      <c r="W2" s="395"/>
      <c r="X2" s="395"/>
      <c r="Y2" s="395"/>
      <c r="Z2" s="395"/>
      <c r="AA2" s="395"/>
      <c r="AB2" s="395"/>
      <c r="AC2" s="399"/>
      <c r="AD2" s="399"/>
      <c r="AE2" s="399"/>
      <c r="AF2" s="399"/>
      <c r="AG2" s="399"/>
      <c r="AH2" s="400"/>
      <c r="AI2" s="399"/>
      <c r="AJ2" s="399"/>
      <c r="AK2" s="399"/>
      <c r="AL2" s="399"/>
      <c r="AM2" s="399"/>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t="s">
        <v>138</v>
      </c>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68" t="s">
        <v>140</v>
      </c>
      <c r="HL2" s="7">
        <v>2018</v>
      </c>
    </row>
    <row r="3" spans="1:222" ht="27.95" customHeight="1" thickBot="1">
      <c r="A3" s="341"/>
      <c r="B3" s="262"/>
      <c r="C3" s="262"/>
      <c r="D3" s="262"/>
      <c r="E3" s="262"/>
      <c r="F3" s="262"/>
      <c r="G3" s="262"/>
      <c r="H3" s="262"/>
      <c r="I3" s="262"/>
      <c r="J3" s="401"/>
      <c r="K3" s="262"/>
      <c r="L3" s="262"/>
      <c r="M3" s="262"/>
      <c r="N3" s="262"/>
      <c r="O3" s="262"/>
      <c r="P3" s="262"/>
      <c r="Q3" s="262"/>
      <c r="R3" s="262"/>
      <c r="S3" s="262"/>
      <c r="T3" s="262"/>
      <c r="U3" s="262"/>
      <c r="V3" s="262"/>
      <c r="W3" s="262"/>
      <c r="X3" s="262"/>
      <c r="Y3" s="262"/>
      <c r="Z3" s="262"/>
      <c r="AA3" s="262"/>
      <c r="AB3" s="262"/>
      <c r="AC3" s="402"/>
      <c r="AD3" s="402"/>
      <c r="AE3" s="402"/>
      <c r="AF3" s="402"/>
      <c r="AG3" s="402"/>
      <c r="AH3" s="403"/>
      <c r="AI3" s="402"/>
      <c r="AJ3" s="402"/>
      <c r="AK3" s="402"/>
      <c r="AL3" s="402"/>
      <c r="AM3" s="402"/>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5"/>
      <c r="CW3" s="404"/>
      <c r="CX3" s="404"/>
      <c r="CY3" s="404"/>
      <c r="CZ3" s="404"/>
      <c r="DA3" s="404"/>
      <c r="DB3" s="405"/>
      <c r="DC3" s="404"/>
      <c r="DD3" s="404"/>
      <c r="DE3" s="404"/>
      <c r="DF3" s="404"/>
      <c r="DG3" s="404"/>
      <c r="DH3" s="405"/>
      <c r="DI3" s="404"/>
      <c r="DJ3" s="404"/>
      <c r="DK3" s="404"/>
      <c r="DL3" s="404"/>
      <c r="DM3" s="404"/>
      <c r="DN3" s="405"/>
      <c r="DO3" s="404"/>
      <c r="DP3" s="404"/>
      <c r="DQ3" s="404"/>
      <c r="DR3" s="404"/>
      <c r="DS3" s="404"/>
      <c r="DT3" s="405"/>
      <c r="DU3" s="404"/>
      <c r="DV3" s="404"/>
      <c r="DW3" s="404"/>
      <c r="DX3" s="404"/>
      <c r="DY3" s="404"/>
      <c r="DZ3" s="405"/>
      <c r="EA3" s="404"/>
      <c r="EB3" s="404"/>
      <c r="EC3" s="404"/>
      <c r="ED3" s="404"/>
      <c r="EE3" s="404"/>
      <c r="EF3" s="405"/>
      <c r="EG3" s="404"/>
      <c r="EH3" s="404"/>
      <c r="EI3" s="404"/>
      <c r="EJ3" s="404"/>
      <c r="EK3" s="404"/>
      <c r="EL3" s="405"/>
      <c r="EM3" s="404"/>
      <c r="EN3" s="404"/>
      <c r="EO3" s="404"/>
      <c r="EP3" s="404"/>
      <c r="EQ3" s="404"/>
      <c r="ER3" s="405"/>
      <c r="ES3" s="404"/>
      <c r="ET3" s="404"/>
      <c r="EU3" s="404"/>
      <c r="EV3" s="404"/>
      <c r="EW3" s="404"/>
      <c r="EX3" s="405"/>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5"/>
      <c r="HG3" s="405"/>
      <c r="HH3" s="404"/>
      <c r="HI3" s="405"/>
      <c r="HJ3" s="405"/>
      <c r="HK3" s="68" t="s">
        <v>482</v>
      </c>
      <c r="HL3" s="7">
        <v>2019</v>
      </c>
      <c r="HN3" s="406"/>
    </row>
    <row r="4" spans="1:222" ht="24.95" customHeight="1" thickTop="1">
      <c r="B4" s="9"/>
      <c r="C4" s="11">
        <v>2584</v>
      </c>
      <c r="D4" s="263" t="s">
        <v>394</v>
      </c>
      <c r="E4" s="264"/>
      <c r="F4" s="265"/>
      <c r="G4" s="407"/>
      <c r="H4" s="407"/>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408"/>
      <c r="EA4" s="339"/>
      <c r="EB4" s="339"/>
      <c r="EC4" s="339"/>
      <c r="ED4" s="339"/>
      <c r="EE4" s="339"/>
      <c r="EF4" s="408"/>
      <c r="EG4" s="339"/>
      <c r="EH4" s="339"/>
      <c r="EI4" s="339"/>
      <c r="EJ4" s="339"/>
      <c r="EK4" s="339"/>
      <c r="EL4" s="408"/>
      <c r="EM4" s="339"/>
      <c r="EN4" s="339"/>
      <c r="EO4" s="339"/>
      <c r="EP4" s="339"/>
      <c r="EQ4" s="339"/>
      <c r="ER4" s="408"/>
      <c r="ES4" s="339"/>
      <c r="ET4" s="339"/>
      <c r="EU4" s="339"/>
      <c r="EV4" s="339"/>
      <c r="EW4" s="339"/>
      <c r="EX4" s="408"/>
      <c r="EY4" s="339"/>
      <c r="EZ4" s="339"/>
      <c r="FA4" s="339"/>
      <c r="FB4" s="339"/>
      <c r="FC4" s="339"/>
      <c r="FD4" s="408"/>
      <c r="FE4" s="339"/>
      <c r="FF4" s="339"/>
      <c r="FG4" s="339"/>
      <c r="FH4" s="339"/>
      <c r="FI4" s="339"/>
      <c r="FJ4" s="408"/>
      <c r="FK4" s="339"/>
      <c r="FL4" s="339"/>
      <c r="FM4" s="339"/>
      <c r="FN4" s="339"/>
      <c r="FO4" s="339"/>
      <c r="FP4" s="408"/>
      <c r="FQ4" s="339"/>
      <c r="FR4" s="339"/>
      <c r="FS4" s="339"/>
      <c r="FT4" s="339"/>
      <c r="FU4" s="339"/>
      <c r="FV4" s="408"/>
      <c r="FW4" s="339"/>
      <c r="FX4" s="339"/>
      <c r="FY4" s="339"/>
      <c r="FZ4" s="339"/>
      <c r="GA4" s="339"/>
      <c r="GB4" s="408"/>
      <c r="GC4" s="339"/>
      <c r="GD4" s="339"/>
      <c r="GE4" s="339"/>
      <c r="GF4" s="339"/>
      <c r="GG4" s="339"/>
      <c r="GH4" s="408"/>
      <c r="GI4" s="339"/>
      <c r="GJ4" s="339"/>
      <c r="GK4" s="339"/>
      <c r="GL4" s="339"/>
      <c r="GM4" s="339"/>
      <c r="GN4" s="408"/>
      <c r="GO4" s="339"/>
      <c r="GP4" s="339"/>
      <c r="GQ4" s="339"/>
      <c r="GR4" s="339"/>
      <c r="GS4" s="339"/>
      <c r="GT4" s="408"/>
      <c r="GU4" s="339"/>
      <c r="GV4" s="339"/>
      <c r="GW4" s="339"/>
      <c r="GX4" s="339"/>
      <c r="GY4" s="339"/>
      <c r="GZ4" s="408"/>
      <c r="HA4" s="339"/>
      <c r="HB4" s="339"/>
      <c r="HC4" s="339"/>
      <c r="HD4" s="339"/>
      <c r="HE4" s="339"/>
      <c r="HF4" s="408"/>
      <c r="HG4" s="408"/>
      <c r="HH4" s="408"/>
      <c r="HI4" s="408"/>
      <c r="HJ4" s="9"/>
      <c r="HK4" s="409" t="s">
        <v>483</v>
      </c>
      <c r="HL4" s="7">
        <v>2020</v>
      </c>
    </row>
    <row r="5" spans="1:222" ht="24.95" customHeight="1">
      <c r="B5" s="9"/>
      <c r="C5" s="11">
        <f>IF(C4&lt;3000,C4*0.84,C4*0.88)</f>
        <v>2170.56</v>
      </c>
      <c r="D5" s="263" t="s">
        <v>395</v>
      </c>
      <c r="E5" s="267"/>
      <c r="F5" s="266"/>
      <c r="G5" s="410"/>
      <c r="H5" s="410"/>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408"/>
      <c r="EA5" s="339"/>
      <c r="EB5" s="339"/>
      <c r="EC5" s="339"/>
      <c r="ED5" s="339"/>
      <c r="EE5" s="339"/>
      <c r="EF5" s="408"/>
      <c r="EG5" s="339"/>
      <c r="EH5" s="339"/>
      <c r="EI5" s="339"/>
      <c r="EJ5" s="339"/>
      <c r="EK5" s="339"/>
      <c r="EL5" s="408"/>
      <c r="EM5" s="339"/>
      <c r="EN5" s="339"/>
      <c r="EO5" s="339"/>
      <c r="EP5" s="339"/>
      <c r="EQ5" s="339"/>
      <c r="ER5" s="408"/>
      <c r="ES5" s="339"/>
      <c r="ET5" s="339"/>
      <c r="EU5" s="339"/>
      <c r="EV5" s="339"/>
      <c r="EW5" s="339"/>
      <c r="EX5" s="408"/>
      <c r="EY5" s="339"/>
      <c r="EZ5" s="339"/>
      <c r="FA5" s="339"/>
      <c r="FB5" s="339"/>
      <c r="FC5" s="339"/>
      <c r="FD5" s="408"/>
      <c r="FE5" s="339"/>
      <c r="FF5" s="339"/>
      <c r="FG5" s="339"/>
      <c r="FH5" s="339"/>
      <c r="FI5" s="339"/>
      <c r="FJ5" s="408"/>
      <c r="FK5" s="339"/>
      <c r="FL5" s="339"/>
      <c r="FM5" s="339"/>
      <c r="FN5" s="339"/>
      <c r="FO5" s="339"/>
      <c r="FP5" s="408"/>
      <c r="FQ5" s="339"/>
      <c r="FR5" s="339"/>
      <c r="FS5" s="339"/>
      <c r="FT5" s="339"/>
      <c r="FU5" s="339"/>
      <c r="FV5" s="408"/>
      <c r="FW5" s="339"/>
      <c r="FX5" s="339"/>
      <c r="FY5" s="339"/>
      <c r="FZ5" s="339"/>
      <c r="GA5" s="339"/>
      <c r="GB5" s="408"/>
      <c r="GC5" s="339"/>
      <c r="GD5" s="339"/>
      <c r="GE5" s="339"/>
      <c r="GF5" s="339"/>
      <c r="GG5" s="339"/>
      <c r="GH5" s="408"/>
      <c r="GI5" s="339"/>
      <c r="GJ5" s="339"/>
      <c r="GK5" s="339"/>
      <c r="GL5" s="339"/>
      <c r="GM5" s="339"/>
      <c r="GN5" s="408"/>
      <c r="GO5" s="339"/>
      <c r="GP5" s="339"/>
      <c r="GQ5" s="339"/>
      <c r="GR5" s="339"/>
      <c r="GS5" s="339"/>
      <c r="GT5" s="408"/>
      <c r="GU5" s="339"/>
      <c r="GV5" s="339"/>
      <c r="GW5" s="339"/>
      <c r="GX5" s="339"/>
      <c r="GY5" s="339"/>
      <c r="GZ5" s="408"/>
      <c r="HA5" s="339"/>
      <c r="HB5" s="339"/>
      <c r="HC5" s="339"/>
      <c r="HD5" s="339"/>
      <c r="HE5" s="339"/>
      <c r="HF5" s="408"/>
      <c r="HG5" s="408"/>
      <c r="HH5" s="408"/>
      <c r="HI5" s="408"/>
      <c r="HJ5" s="9"/>
      <c r="HK5" s="409" t="s">
        <v>484</v>
      </c>
      <c r="HL5" s="7">
        <v>2021</v>
      </c>
    </row>
    <row r="6" spans="1:222" ht="24.95" customHeight="1">
      <c r="B6" s="9"/>
      <c r="C6" s="764">
        <v>2</v>
      </c>
      <c r="D6" s="263" t="s">
        <v>393</v>
      </c>
      <c r="E6" s="268"/>
      <c r="F6" s="268"/>
      <c r="G6" s="411"/>
      <c r="H6" s="411"/>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408"/>
      <c r="EA6" s="339"/>
      <c r="EB6" s="339"/>
      <c r="EC6" s="339"/>
      <c r="ED6" s="339"/>
      <c r="EE6" s="339"/>
      <c r="EF6" s="408"/>
      <c r="EG6" s="339"/>
      <c r="EH6" s="339"/>
      <c r="EI6" s="339"/>
      <c r="EJ6" s="339"/>
      <c r="EK6" s="339"/>
      <c r="EL6" s="408"/>
      <c r="EM6" s="339"/>
      <c r="EN6" s="339"/>
      <c r="EO6" s="339"/>
      <c r="EP6" s="339"/>
      <c r="EQ6" s="339"/>
      <c r="ER6" s="408"/>
      <c r="ES6" s="339"/>
      <c r="ET6" s="339"/>
      <c r="EU6" s="339"/>
      <c r="EV6" s="339"/>
      <c r="EW6" s="339"/>
      <c r="EX6" s="408"/>
      <c r="EY6" s="339"/>
      <c r="EZ6" s="339"/>
      <c r="FA6" s="339"/>
      <c r="FB6" s="339"/>
      <c r="FC6" s="339"/>
      <c r="FD6" s="408"/>
      <c r="FE6" s="339"/>
      <c r="FF6" s="339"/>
      <c r="FG6" s="339"/>
      <c r="FH6" s="339"/>
      <c r="FI6" s="339"/>
      <c r="FJ6" s="408"/>
      <c r="FK6" s="339"/>
      <c r="FL6" s="339"/>
      <c r="FM6" s="339"/>
      <c r="FN6" s="339"/>
      <c r="FO6" s="339"/>
      <c r="FP6" s="408"/>
      <c r="FQ6" s="339"/>
      <c r="FR6" s="339"/>
      <c r="FS6" s="339"/>
      <c r="FT6" s="339"/>
      <c r="FU6" s="339"/>
      <c r="FV6" s="408"/>
      <c r="FW6" s="339"/>
      <c r="FX6" s="339"/>
      <c r="FY6" s="339"/>
      <c r="FZ6" s="339"/>
      <c r="GA6" s="339"/>
      <c r="GB6" s="408"/>
      <c r="GC6" s="339"/>
      <c r="GD6" s="339"/>
      <c r="GE6" s="339"/>
      <c r="GF6" s="339"/>
      <c r="GG6" s="339"/>
      <c r="GH6" s="408"/>
      <c r="GI6" s="339"/>
      <c r="GJ6" s="339"/>
      <c r="GK6" s="339"/>
      <c r="GL6" s="339"/>
      <c r="GM6" s="339"/>
      <c r="GN6" s="408"/>
      <c r="GO6" s="339"/>
      <c r="GP6" s="339"/>
      <c r="GQ6" s="339"/>
      <c r="GR6" s="339"/>
      <c r="GS6" s="339"/>
      <c r="GT6" s="408"/>
      <c r="GU6" s="339"/>
      <c r="GV6" s="339"/>
      <c r="GW6" s="339"/>
      <c r="GX6" s="339"/>
      <c r="GY6" s="339"/>
      <c r="GZ6" s="408"/>
      <c r="HA6" s="339"/>
      <c r="HB6" s="339"/>
      <c r="HC6" s="339"/>
      <c r="HD6" s="339"/>
      <c r="HE6" s="339"/>
      <c r="HF6" s="408"/>
      <c r="HG6" s="408"/>
      <c r="HH6" s="408"/>
      <c r="HI6" s="408"/>
      <c r="HJ6" s="9"/>
      <c r="HK6" s="412" t="s">
        <v>485</v>
      </c>
      <c r="HL6" s="7">
        <v>2022</v>
      </c>
    </row>
    <row r="7" spans="1:222" ht="24.95" customHeight="1">
      <c r="B7" s="9"/>
      <c r="C7" s="334">
        <v>1</v>
      </c>
      <c r="D7" s="263" t="s">
        <v>668</v>
      </c>
      <c r="E7" s="268"/>
      <c r="F7" s="268"/>
      <c r="G7" s="411"/>
      <c r="H7" s="411"/>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408"/>
      <c r="EA7" s="339"/>
      <c r="EB7" s="339"/>
      <c r="EC7" s="339"/>
      <c r="ED7" s="339"/>
      <c r="EE7" s="339"/>
      <c r="EF7" s="408"/>
      <c r="EG7" s="339"/>
      <c r="EH7" s="339"/>
      <c r="EI7" s="339"/>
      <c r="EJ7" s="339"/>
      <c r="EK7" s="339"/>
      <c r="EL7" s="408"/>
      <c r="EM7" s="339"/>
      <c r="EN7" s="339"/>
      <c r="EO7" s="339"/>
      <c r="EP7" s="339"/>
      <c r="EQ7" s="339"/>
      <c r="ER7" s="408"/>
      <c r="ES7" s="339"/>
      <c r="ET7" s="339"/>
      <c r="EU7" s="339"/>
      <c r="EV7" s="339"/>
      <c r="EW7" s="339"/>
      <c r="EX7" s="408"/>
      <c r="EY7" s="339"/>
      <c r="EZ7" s="339"/>
      <c r="FA7" s="339"/>
      <c r="FB7" s="339"/>
      <c r="FC7" s="339"/>
      <c r="FD7" s="408"/>
      <c r="FE7" s="339"/>
      <c r="FF7" s="339"/>
      <c r="FG7" s="339"/>
      <c r="FH7" s="339"/>
      <c r="FI7" s="339"/>
      <c r="FJ7" s="408"/>
      <c r="FK7" s="339"/>
      <c r="FL7" s="339"/>
      <c r="FM7" s="339"/>
      <c r="FN7" s="339"/>
      <c r="FO7" s="339"/>
      <c r="FP7" s="408"/>
      <c r="FQ7" s="339"/>
      <c r="FR7" s="339"/>
      <c r="FS7" s="339"/>
      <c r="FT7" s="339"/>
      <c r="FU7" s="339"/>
      <c r="FV7" s="408"/>
      <c r="FW7" s="339"/>
      <c r="FX7" s="339"/>
      <c r="FY7" s="339"/>
      <c r="FZ7" s="339"/>
      <c r="GA7" s="339"/>
      <c r="GB7" s="408"/>
      <c r="GC7" s="339"/>
      <c r="GD7" s="339"/>
      <c r="GE7" s="339"/>
      <c r="GF7" s="339"/>
      <c r="GG7" s="339"/>
      <c r="GH7" s="408"/>
      <c r="GI7" s="339"/>
      <c r="GJ7" s="339"/>
      <c r="GK7" s="339"/>
      <c r="GL7" s="339"/>
      <c r="GM7" s="339"/>
      <c r="GN7" s="408"/>
      <c r="GO7" s="339"/>
      <c r="GP7" s="339"/>
      <c r="GQ7" s="339"/>
      <c r="GR7" s="339"/>
      <c r="GS7" s="339"/>
      <c r="GT7" s="408"/>
      <c r="GU7" s="339"/>
      <c r="GV7" s="339"/>
      <c r="GW7" s="339"/>
      <c r="GX7" s="339"/>
      <c r="GY7" s="339"/>
      <c r="GZ7" s="408"/>
      <c r="HA7" s="339"/>
      <c r="HB7" s="339"/>
      <c r="HC7" s="339"/>
      <c r="HD7" s="339"/>
      <c r="HE7" s="339"/>
      <c r="HF7" s="408"/>
      <c r="HG7" s="408"/>
      <c r="HH7" s="408"/>
      <c r="HI7" s="408"/>
      <c r="HJ7" s="9"/>
      <c r="HK7" s="7" t="s">
        <v>460</v>
      </c>
      <c r="HL7" s="7">
        <v>2023</v>
      </c>
      <c r="HM7" s="413"/>
    </row>
    <row r="8" spans="1:222" ht="5.0999999999999996" customHeight="1">
      <c r="B8" s="267"/>
      <c r="C8" s="267"/>
      <c r="D8" s="267"/>
      <c r="E8" s="267"/>
      <c r="F8" s="268"/>
      <c r="G8" s="411"/>
      <c r="H8" s="411"/>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408"/>
      <c r="EA8" s="339"/>
      <c r="EB8" s="339"/>
      <c r="EC8" s="339"/>
      <c r="ED8" s="339"/>
      <c r="EE8" s="339"/>
      <c r="EF8" s="408"/>
      <c r="EG8" s="339"/>
      <c r="EH8" s="339"/>
      <c r="EI8" s="339"/>
      <c r="EJ8" s="339"/>
      <c r="EK8" s="339"/>
      <c r="EL8" s="408"/>
      <c r="EM8" s="339"/>
      <c r="EN8" s="339"/>
      <c r="EO8" s="339"/>
      <c r="EP8" s="339"/>
      <c r="EQ8" s="339"/>
      <c r="ER8" s="408"/>
      <c r="ES8" s="339"/>
      <c r="ET8" s="339"/>
      <c r="EU8" s="339"/>
      <c r="EV8" s="339"/>
      <c r="EW8" s="339"/>
      <c r="EX8" s="408"/>
      <c r="EY8" s="339"/>
      <c r="EZ8" s="339"/>
      <c r="FA8" s="339"/>
      <c r="FB8" s="339"/>
      <c r="FC8" s="339"/>
      <c r="FD8" s="408"/>
      <c r="FE8" s="339"/>
      <c r="FF8" s="339"/>
      <c r="FG8" s="339"/>
      <c r="FH8" s="339"/>
      <c r="FI8" s="339"/>
      <c r="FJ8" s="408"/>
      <c r="FK8" s="339"/>
      <c r="FL8" s="339"/>
      <c r="FM8" s="339"/>
      <c r="FN8" s="339"/>
      <c r="FO8" s="339"/>
      <c r="FP8" s="408"/>
      <c r="FQ8" s="339"/>
      <c r="FR8" s="339"/>
      <c r="FS8" s="339"/>
      <c r="FT8" s="339"/>
      <c r="FU8" s="339"/>
      <c r="FV8" s="408"/>
      <c r="FW8" s="339"/>
      <c r="FX8" s="339"/>
      <c r="FY8" s="339"/>
      <c r="FZ8" s="339"/>
      <c r="GA8" s="339"/>
      <c r="GB8" s="408"/>
      <c r="GC8" s="339"/>
      <c r="GD8" s="339"/>
      <c r="GE8" s="339"/>
      <c r="GF8" s="339"/>
      <c r="GG8" s="339"/>
      <c r="GH8" s="408"/>
      <c r="GI8" s="339"/>
      <c r="GJ8" s="339"/>
      <c r="GK8" s="339"/>
      <c r="GL8" s="339"/>
      <c r="GM8" s="339"/>
      <c r="GN8" s="408"/>
      <c r="GO8" s="339"/>
      <c r="GP8" s="339"/>
      <c r="GQ8" s="339"/>
      <c r="GR8" s="339"/>
      <c r="GS8" s="339"/>
      <c r="GT8" s="408"/>
      <c r="GU8" s="339"/>
      <c r="GV8" s="339"/>
      <c r="GW8" s="339"/>
      <c r="GX8" s="339"/>
      <c r="GY8" s="339"/>
      <c r="GZ8" s="408"/>
      <c r="HA8" s="339"/>
      <c r="HB8" s="339"/>
      <c r="HC8" s="339"/>
      <c r="HD8" s="339"/>
      <c r="HE8" s="339"/>
      <c r="HF8" s="408"/>
      <c r="HG8" s="408"/>
      <c r="HH8" s="408"/>
      <c r="HI8" s="408"/>
      <c r="HJ8" s="9"/>
      <c r="HK8" s="7" t="s">
        <v>619</v>
      </c>
      <c r="HL8" s="68">
        <v>2024</v>
      </c>
      <c r="HM8" s="413"/>
    </row>
    <row r="9" spans="1:222" ht="24.95" customHeight="1">
      <c r="B9" s="9"/>
      <c r="C9" s="12">
        <v>1985</v>
      </c>
      <c r="D9" s="263" t="s">
        <v>392</v>
      </c>
      <c r="E9" s="9"/>
      <c r="F9" s="268"/>
      <c r="G9" s="411"/>
      <c r="H9" s="411"/>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408"/>
      <c r="EA9" s="339"/>
      <c r="EB9" s="339"/>
      <c r="EC9" s="339"/>
      <c r="ED9" s="339"/>
      <c r="EE9" s="339"/>
      <c r="EF9" s="408"/>
      <c r="EG9" s="339"/>
      <c r="EH9" s="339"/>
      <c r="EI9" s="339"/>
      <c r="EJ9" s="339"/>
      <c r="EK9" s="339"/>
      <c r="EL9" s="408"/>
      <c r="EM9" s="339"/>
      <c r="EN9" s="339"/>
      <c r="EO9" s="339"/>
      <c r="EP9" s="339"/>
      <c r="EQ9" s="339"/>
      <c r="ER9" s="408"/>
      <c r="ES9" s="339"/>
      <c r="ET9" s="339"/>
      <c r="EU9" s="339"/>
      <c r="EV9" s="339"/>
      <c r="EW9" s="339"/>
      <c r="EX9" s="408"/>
      <c r="EY9" s="339"/>
      <c r="EZ9" s="339"/>
      <c r="FA9" s="339"/>
      <c r="FB9" s="339"/>
      <c r="FC9" s="339"/>
      <c r="FD9" s="408"/>
      <c r="FE9" s="339"/>
      <c r="FF9" s="339"/>
      <c r="FG9" s="339"/>
      <c r="FH9" s="339"/>
      <c r="FI9" s="339"/>
      <c r="FJ9" s="408"/>
      <c r="FK9" s="339"/>
      <c r="FL9" s="339"/>
      <c r="FM9" s="339"/>
      <c r="FN9" s="339"/>
      <c r="FO9" s="339"/>
      <c r="FP9" s="408"/>
      <c r="FQ9" s="339"/>
      <c r="FR9" s="339"/>
      <c r="FS9" s="339"/>
      <c r="FT9" s="339"/>
      <c r="FU9" s="339"/>
      <c r="FV9" s="408"/>
      <c r="FW9" s="339"/>
      <c r="FX9" s="339"/>
      <c r="FY9" s="339"/>
      <c r="FZ9" s="339"/>
      <c r="GA9" s="339"/>
      <c r="GB9" s="408"/>
      <c r="GC9" s="339"/>
      <c r="GD9" s="339"/>
      <c r="GE9" s="339"/>
      <c r="GF9" s="339"/>
      <c r="GG9" s="339"/>
      <c r="GH9" s="408"/>
      <c r="GI9" s="339"/>
      <c r="GJ9" s="339"/>
      <c r="GK9" s="339"/>
      <c r="GL9" s="339"/>
      <c r="GM9" s="339"/>
      <c r="GN9" s="408"/>
      <c r="GO9" s="339"/>
      <c r="GP9" s="339"/>
      <c r="GQ9" s="339"/>
      <c r="GR9" s="339"/>
      <c r="GS9" s="339"/>
      <c r="GT9" s="408"/>
      <c r="GU9" s="339"/>
      <c r="GV9" s="339"/>
      <c r="GW9" s="339"/>
      <c r="GX9" s="339"/>
      <c r="GY9" s="339"/>
      <c r="GZ9" s="408"/>
      <c r="HA9" s="339"/>
      <c r="HB9" s="339"/>
      <c r="HC9" s="339"/>
      <c r="HD9" s="339"/>
      <c r="HE9" s="339"/>
      <c r="HF9" s="408"/>
      <c r="HG9" s="408"/>
      <c r="HH9" s="408"/>
      <c r="HI9" s="408"/>
      <c r="HJ9" s="414"/>
      <c r="HK9" s="7" t="s">
        <v>618</v>
      </c>
      <c r="HL9" s="7">
        <v>2025</v>
      </c>
      <c r="HM9" s="415"/>
      <c r="HN9" s="415"/>
    </row>
    <row r="10" spans="1:222" ht="24.95" customHeight="1">
      <c r="B10" s="9"/>
      <c r="C10" s="11" t="s">
        <v>667</v>
      </c>
      <c r="D10" s="263" t="s">
        <v>675</v>
      </c>
      <c r="E10" s="264"/>
      <c r="F10" s="268"/>
      <c r="G10" s="411"/>
      <c r="H10" s="411"/>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408"/>
      <c r="EA10" s="339"/>
      <c r="EB10" s="339"/>
      <c r="EC10" s="339"/>
      <c r="ED10" s="339"/>
      <c r="EE10" s="339"/>
      <c r="EF10" s="408"/>
      <c r="EG10" s="339"/>
      <c r="EH10" s="339"/>
      <c r="EI10" s="339"/>
      <c r="EJ10" s="339"/>
      <c r="EK10" s="339"/>
      <c r="EL10" s="408"/>
      <c r="EM10" s="339"/>
      <c r="EN10" s="339"/>
      <c r="EO10" s="339"/>
      <c r="EP10" s="339"/>
      <c r="EQ10" s="339"/>
      <c r="ER10" s="408"/>
      <c r="ES10" s="339"/>
      <c r="ET10" s="339"/>
      <c r="EU10" s="339"/>
      <c r="EV10" s="339"/>
      <c r="EW10" s="339"/>
      <c r="EX10" s="408"/>
      <c r="EY10" s="339"/>
      <c r="EZ10" s="339"/>
      <c r="FA10" s="339"/>
      <c r="FB10" s="339"/>
      <c r="FC10" s="339"/>
      <c r="FD10" s="408"/>
      <c r="FE10" s="339"/>
      <c r="FF10" s="339"/>
      <c r="FG10" s="339"/>
      <c r="FH10" s="339"/>
      <c r="FI10" s="339"/>
      <c r="FJ10" s="408"/>
      <c r="FK10" s="339"/>
      <c r="FL10" s="339"/>
      <c r="FM10" s="339"/>
      <c r="FN10" s="339"/>
      <c r="FO10" s="339"/>
      <c r="FP10" s="408"/>
      <c r="FQ10" s="339"/>
      <c r="FR10" s="339"/>
      <c r="FS10" s="339"/>
      <c r="FT10" s="339"/>
      <c r="FU10" s="339"/>
      <c r="FV10" s="408"/>
      <c r="FW10" s="339"/>
      <c r="FX10" s="339"/>
      <c r="FY10" s="339"/>
      <c r="FZ10" s="339"/>
      <c r="GA10" s="339"/>
      <c r="GB10" s="408"/>
      <c r="GC10" s="339"/>
      <c r="GD10" s="339"/>
      <c r="GE10" s="339"/>
      <c r="GF10" s="339"/>
      <c r="GG10" s="339"/>
      <c r="GH10" s="408"/>
      <c r="GI10" s="339"/>
      <c r="GJ10" s="339"/>
      <c r="GK10" s="339"/>
      <c r="GL10" s="339"/>
      <c r="GM10" s="339"/>
      <c r="GN10" s="408"/>
      <c r="GO10" s="339"/>
      <c r="GP10" s="339"/>
      <c r="GQ10" s="339"/>
      <c r="GR10" s="339"/>
      <c r="GS10" s="339"/>
      <c r="GT10" s="408"/>
      <c r="GU10" s="339"/>
      <c r="GV10" s="339"/>
      <c r="GW10" s="339"/>
      <c r="GX10" s="339"/>
      <c r="GY10" s="339"/>
      <c r="GZ10" s="408"/>
      <c r="HA10" s="339"/>
      <c r="HB10" s="339"/>
      <c r="HC10" s="339"/>
      <c r="HD10" s="339"/>
      <c r="HE10" s="339"/>
      <c r="HF10" s="408"/>
      <c r="HG10" s="408"/>
      <c r="HH10" s="408"/>
      <c r="HI10" s="408"/>
      <c r="HJ10" s="414"/>
      <c r="HK10" s="7" t="s">
        <v>671</v>
      </c>
      <c r="HL10" s="415">
        <v>2026</v>
      </c>
      <c r="HM10" s="415"/>
      <c r="HN10" s="415"/>
    </row>
    <row r="11" spans="1:222" ht="24.95" customHeight="1">
      <c r="B11" s="9"/>
      <c r="C11" s="12"/>
      <c r="D11" s="263" t="s">
        <v>669</v>
      </c>
      <c r="E11" s="268"/>
      <c r="F11" s="268"/>
      <c r="G11" s="411"/>
      <c r="H11" s="411"/>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408"/>
      <c r="EA11" s="339"/>
      <c r="EB11" s="339"/>
      <c r="EC11" s="339"/>
      <c r="ED11" s="339"/>
      <c r="EE11" s="339"/>
      <c r="EF11" s="408"/>
      <c r="EG11" s="339"/>
      <c r="EH11" s="339"/>
      <c r="EI11" s="339"/>
      <c r="EJ11" s="339"/>
      <c r="EK11" s="339"/>
      <c r="EL11" s="408"/>
      <c r="EM11" s="339"/>
      <c r="EN11" s="339"/>
      <c r="EO11" s="339"/>
      <c r="EP11" s="339"/>
      <c r="EQ11" s="339"/>
      <c r="ER11" s="408"/>
      <c r="ES11" s="339"/>
      <c r="ET11" s="339"/>
      <c r="EU11" s="339"/>
      <c r="EV11" s="339"/>
      <c r="EW11" s="339"/>
      <c r="EX11" s="408"/>
      <c r="EY11" s="339"/>
      <c r="EZ11" s="339"/>
      <c r="FA11" s="339"/>
      <c r="FB11" s="339"/>
      <c r="FC11" s="339"/>
      <c r="FD11" s="408"/>
      <c r="FE11" s="339"/>
      <c r="FF11" s="339"/>
      <c r="FG11" s="339"/>
      <c r="FH11" s="339"/>
      <c r="FI11" s="339"/>
      <c r="FJ11" s="408"/>
      <c r="FK11" s="339"/>
      <c r="FL11" s="339"/>
      <c r="FM11" s="339"/>
      <c r="FN11" s="339"/>
      <c r="FO11" s="339"/>
      <c r="FP11" s="408"/>
      <c r="FQ11" s="339"/>
      <c r="FR11" s="339"/>
      <c r="FS11" s="339"/>
      <c r="FT11" s="339"/>
      <c r="FU11" s="339"/>
      <c r="FV11" s="408"/>
      <c r="FW11" s="339"/>
      <c r="FX11" s="339"/>
      <c r="FY11" s="339"/>
      <c r="FZ11" s="339"/>
      <c r="GA11" s="339"/>
      <c r="GB11" s="408"/>
      <c r="GC11" s="339"/>
      <c r="GD11" s="339"/>
      <c r="GE11" s="339"/>
      <c r="GF11" s="339"/>
      <c r="GG11" s="339"/>
      <c r="GH11" s="408"/>
      <c r="GI11" s="339"/>
      <c r="GJ11" s="339"/>
      <c r="GK11" s="339"/>
      <c r="GL11" s="339"/>
      <c r="GM11" s="339"/>
      <c r="GN11" s="408"/>
      <c r="GO11" s="339"/>
      <c r="GP11" s="339"/>
      <c r="GQ11" s="339"/>
      <c r="GR11" s="339"/>
      <c r="GS11" s="339"/>
      <c r="GT11" s="408"/>
      <c r="GU11" s="339"/>
      <c r="GV11" s="339"/>
      <c r="GW11" s="339"/>
      <c r="GX11" s="339"/>
      <c r="GY11" s="339"/>
      <c r="GZ11" s="408"/>
      <c r="HA11" s="339"/>
      <c r="HB11" s="339"/>
      <c r="HC11" s="339"/>
      <c r="HD11" s="339"/>
      <c r="HE11" s="339"/>
      <c r="HF11" s="408"/>
      <c r="HG11" s="408"/>
      <c r="HH11" s="408"/>
      <c r="HI11" s="408"/>
      <c r="HJ11" s="414"/>
      <c r="HK11" s="7" t="s">
        <v>672</v>
      </c>
      <c r="HL11" s="68">
        <v>2027</v>
      </c>
      <c r="HM11" s="350"/>
      <c r="HN11" s="350"/>
    </row>
    <row r="12" spans="1:222" ht="24.95" customHeight="1">
      <c r="B12" s="9"/>
      <c r="C12" s="12">
        <v>2039</v>
      </c>
      <c r="D12" s="263" t="s">
        <v>130</v>
      </c>
      <c r="E12" s="267"/>
      <c r="F12" s="268"/>
      <c r="G12" s="411"/>
      <c r="H12" s="411"/>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408"/>
      <c r="EA12" s="339"/>
      <c r="EB12" s="339"/>
      <c r="EC12" s="339"/>
      <c r="ED12" s="339"/>
      <c r="EE12" s="339"/>
      <c r="EF12" s="408"/>
      <c r="EG12" s="339"/>
      <c r="EH12" s="339"/>
      <c r="EI12" s="339"/>
      <c r="EJ12" s="339"/>
      <c r="EK12" s="339"/>
      <c r="EL12" s="408"/>
      <c r="EM12" s="339"/>
      <c r="EN12" s="339"/>
      <c r="EO12" s="339"/>
      <c r="EP12" s="339"/>
      <c r="EQ12" s="339"/>
      <c r="ER12" s="408"/>
      <c r="ES12" s="339"/>
      <c r="ET12" s="339"/>
      <c r="EU12" s="339"/>
      <c r="EV12" s="339"/>
      <c r="EW12" s="339"/>
      <c r="EX12" s="408"/>
      <c r="EY12" s="339"/>
      <c r="EZ12" s="339"/>
      <c r="FA12" s="339"/>
      <c r="FB12" s="339"/>
      <c r="FC12" s="339"/>
      <c r="FD12" s="408"/>
      <c r="FE12" s="339"/>
      <c r="FF12" s="339"/>
      <c r="FG12" s="339"/>
      <c r="FH12" s="339"/>
      <c r="FI12" s="339"/>
      <c r="FJ12" s="408"/>
      <c r="FK12" s="339"/>
      <c r="FL12" s="339"/>
      <c r="FM12" s="339"/>
      <c r="FN12" s="339"/>
      <c r="FO12" s="339"/>
      <c r="FP12" s="408"/>
      <c r="FQ12" s="339"/>
      <c r="FR12" s="339"/>
      <c r="FS12" s="339"/>
      <c r="FT12" s="339"/>
      <c r="FU12" s="339"/>
      <c r="FV12" s="408"/>
      <c r="FW12" s="339"/>
      <c r="FX12" s="339"/>
      <c r="FY12" s="339"/>
      <c r="FZ12" s="339"/>
      <c r="GA12" s="339"/>
      <c r="GB12" s="408"/>
      <c r="GC12" s="339"/>
      <c r="GD12" s="339"/>
      <c r="GE12" s="339"/>
      <c r="GF12" s="339"/>
      <c r="GG12" s="339"/>
      <c r="GH12" s="408"/>
      <c r="GI12" s="339"/>
      <c r="GJ12" s="339"/>
      <c r="GK12" s="339"/>
      <c r="GL12" s="339"/>
      <c r="GM12" s="339"/>
      <c r="GN12" s="408"/>
      <c r="GO12" s="339"/>
      <c r="GP12" s="339"/>
      <c r="GQ12" s="339"/>
      <c r="GR12" s="339"/>
      <c r="GS12" s="339"/>
      <c r="GT12" s="408"/>
      <c r="GU12" s="339"/>
      <c r="GV12" s="339"/>
      <c r="GW12" s="339"/>
      <c r="GX12" s="339"/>
      <c r="GY12" s="339"/>
      <c r="GZ12" s="408"/>
      <c r="HA12" s="339"/>
      <c r="HB12" s="339"/>
      <c r="HC12" s="339"/>
      <c r="HD12" s="339"/>
      <c r="HE12" s="339"/>
      <c r="HF12" s="408"/>
      <c r="HG12" s="408"/>
      <c r="HH12" s="408"/>
      <c r="HI12" s="408"/>
      <c r="HJ12" s="414"/>
      <c r="HK12" s="68" t="s">
        <v>673</v>
      </c>
      <c r="HL12" s="68">
        <v>2028</v>
      </c>
      <c r="HM12" s="350"/>
      <c r="HN12" s="350"/>
    </row>
    <row r="13" spans="1:222" ht="5.0999999999999996" customHeight="1">
      <c r="B13" s="9"/>
      <c r="C13" s="9"/>
      <c r="D13" s="9"/>
      <c r="E13" s="264"/>
      <c r="F13" s="268"/>
      <c r="G13" s="411"/>
      <c r="H13" s="411"/>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408"/>
      <c r="EA13" s="339"/>
      <c r="EB13" s="339"/>
      <c r="EC13" s="339"/>
      <c r="ED13" s="339"/>
      <c r="EE13" s="339"/>
      <c r="EF13" s="408"/>
      <c r="EG13" s="339"/>
      <c r="EH13" s="339"/>
      <c r="EI13" s="339"/>
      <c r="EJ13" s="339"/>
      <c r="EK13" s="339"/>
      <c r="EL13" s="408"/>
      <c r="EM13" s="339"/>
      <c r="EN13" s="339"/>
      <c r="EO13" s="339"/>
      <c r="EP13" s="339"/>
      <c r="EQ13" s="339"/>
      <c r="ER13" s="408"/>
      <c r="ES13" s="339"/>
      <c r="ET13" s="339"/>
      <c r="EU13" s="339"/>
      <c r="EV13" s="339"/>
      <c r="EW13" s="339"/>
      <c r="EX13" s="408"/>
      <c r="EY13" s="339"/>
      <c r="EZ13" s="339"/>
      <c r="FA13" s="339"/>
      <c r="FB13" s="339"/>
      <c r="FC13" s="339"/>
      <c r="FD13" s="408"/>
      <c r="FE13" s="339"/>
      <c r="FF13" s="339"/>
      <c r="FG13" s="339"/>
      <c r="FH13" s="339"/>
      <c r="FI13" s="339"/>
      <c r="FJ13" s="408"/>
      <c r="FK13" s="339"/>
      <c r="FL13" s="339"/>
      <c r="FM13" s="339"/>
      <c r="FN13" s="339"/>
      <c r="FO13" s="339"/>
      <c r="FP13" s="408"/>
      <c r="FQ13" s="339"/>
      <c r="FR13" s="339"/>
      <c r="FS13" s="339"/>
      <c r="FT13" s="339"/>
      <c r="FU13" s="339"/>
      <c r="FV13" s="408"/>
      <c r="FW13" s="339"/>
      <c r="FX13" s="339"/>
      <c r="FY13" s="339"/>
      <c r="FZ13" s="339"/>
      <c r="GA13" s="339"/>
      <c r="GB13" s="408"/>
      <c r="GC13" s="339"/>
      <c r="GD13" s="339"/>
      <c r="GE13" s="339"/>
      <c r="GF13" s="339"/>
      <c r="GG13" s="339"/>
      <c r="GH13" s="408"/>
      <c r="GI13" s="339"/>
      <c r="GJ13" s="339"/>
      <c r="GK13" s="339"/>
      <c r="GL13" s="339"/>
      <c r="GM13" s="339"/>
      <c r="GN13" s="408"/>
      <c r="GO13" s="339"/>
      <c r="GP13" s="339"/>
      <c r="GQ13" s="339"/>
      <c r="GR13" s="339"/>
      <c r="GS13" s="339"/>
      <c r="GT13" s="408"/>
      <c r="GU13" s="339"/>
      <c r="GV13" s="339"/>
      <c r="GW13" s="339"/>
      <c r="GX13" s="339"/>
      <c r="GY13" s="339"/>
      <c r="GZ13" s="408"/>
      <c r="HA13" s="339"/>
      <c r="HB13" s="339"/>
      <c r="HC13" s="339"/>
      <c r="HD13" s="339"/>
      <c r="HE13" s="339"/>
      <c r="HF13" s="408"/>
      <c r="HG13" s="408"/>
      <c r="HH13" s="408"/>
      <c r="HI13" s="408"/>
      <c r="HJ13" s="414"/>
      <c r="HL13" s="68">
        <v>2029</v>
      </c>
      <c r="HM13" s="350"/>
      <c r="HN13" s="350"/>
    </row>
    <row r="14" spans="1:222" ht="24.95" customHeight="1">
      <c r="B14" s="268"/>
      <c r="C14" s="11" t="str">
        <f>IF(OR((AN31+AN37)&gt;50000,AN32&gt;25000,AN33&gt;781),"Ja","Nee")</f>
        <v>Ja</v>
      </c>
      <c r="D14" s="263" t="s">
        <v>666</v>
      </c>
      <c r="E14" s="268"/>
      <c r="F14" s="268"/>
      <c r="G14" s="411"/>
      <c r="H14" s="411"/>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408"/>
      <c r="EA14" s="339"/>
      <c r="EB14" s="339"/>
      <c r="EC14" s="339"/>
      <c r="ED14" s="339"/>
      <c r="EE14" s="339"/>
      <c r="EF14" s="408"/>
      <c r="EG14" s="339"/>
      <c r="EH14" s="339"/>
      <c r="EI14" s="339"/>
      <c r="EJ14" s="339"/>
      <c r="EK14" s="339"/>
      <c r="EL14" s="408"/>
      <c r="EM14" s="339"/>
      <c r="EN14" s="339"/>
      <c r="EO14" s="339"/>
      <c r="EP14" s="339"/>
      <c r="EQ14" s="339"/>
      <c r="ER14" s="408"/>
      <c r="ES14" s="339"/>
      <c r="ET14" s="339"/>
      <c r="EU14" s="339"/>
      <c r="EV14" s="339"/>
      <c r="EW14" s="339"/>
      <c r="EX14" s="408"/>
      <c r="EY14" s="339"/>
      <c r="EZ14" s="339"/>
      <c r="FA14" s="339"/>
      <c r="FB14" s="339"/>
      <c r="FC14" s="339"/>
      <c r="FD14" s="408"/>
      <c r="FE14" s="339"/>
      <c r="FF14" s="339"/>
      <c r="FG14" s="339"/>
      <c r="FH14" s="339"/>
      <c r="FI14" s="339"/>
      <c r="FJ14" s="408"/>
      <c r="FK14" s="339"/>
      <c r="FL14" s="339"/>
      <c r="FM14" s="339"/>
      <c r="FN14" s="339"/>
      <c r="FO14" s="339"/>
      <c r="FP14" s="408"/>
      <c r="FQ14" s="339"/>
      <c r="FR14" s="339"/>
      <c r="FS14" s="339"/>
      <c r="FT14" s="339"/>
      <c r="FU14" s="339"/>
      <c r="FV14" s="408"/>
      <c r="FW14" s="339"/>
      <c r="FX14" s="339"/>
      <c r="FY14" s="339"/>
      <c r="FZ14" s="339"/>
      <c r="GA14" s="339"/>
      <c r="GB14" s="408"/>
      <c r="GC14" s="339"/>
      <c r="GD14" s="339"/>
      <c r="GE14" s="339"/>
      <c r="GF14" s="339"/>
      <c r="GG14" s="339"/>
      <c r="GH14" s="408"/>
      <c r="GI14" s="339"/>
      <c r="GJ14" s="339"/>
      <c r="GK14" s="339"/>
      <c r="GL14" s="339"/>
      <c r="GM14" s="339"/>
      <c r="GN14" s="408"/>
      <c r="GO14" s="339"/>
      <c r="GP14" s="339"/>
      <c r="GQ14" s="339"/>
      <c r="GR14" s="339"/>
      <c r="GS14" s="339"/>
      <c r="GT14" s="408"/>
      <c r="GU14" s="339"/>
      <c r="GV14" s="339"/>
      <c r="GW14" s="339"/>
      <c r="GX14" s="339"/>
      <c r="GY14" s="339"/>
      <c r="GZ14" s="408"/>
      <c r="HA14" s="339"/>
      <c r="HB14" s="339"/>
      <c r="HC14" s="339"/>
      <c r="HD14" s="339"/>
      <c r="HE14" s="339"/>
      <c r="HF14" s="408"/>
      <c r="HG14" s="408"/>
      <c r="HH14" s="408"/>
      <c r="HI14" s="408"/>
      <c r="HJ14" s="414"/>
      <c r="HK14" s="416"/>
      <c r="HL14" s="68">
        <v>2030</v>
      </c>
      <c r="HM14" s="350"/>
      <c r="HN14" s="350"/>
    </row>
    <row r="15" spans="1:222" ht="24.95" customHeight="1">
      <c r="B15" s="9"/>
      <c r="C15" s="12" t="s">
        <v>851</v>
      </c>
      <c r="D15" s="263" t="s">
        <v>131</v>
      </c>
      <c r="E15" s="268"/>
      <c r="F15" s="268"/>
      <c r="G15" s="411"/>
      <c r="H15" s="411"/>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408"/>
      <c r="EA15" s="339"/>
      <c r="EB15" s="339"/>
      <c r="EC15" s="339"/>
      <c r="ED15" s="339"/>
      <c r="EE15" s="339"/>
      <c r="EF15" s="408"/>
      <c r="EG15" s="339"/>
      <c r="EH15" s="339"/>
      <c r="EI15" s="339"/>
      <c r="EJ15" s="339"/>
      <c r="EK15" s="339"/>
      <c r="EL15" s="408"/>
      <c r="EM15" s="339"/>
      <c r="EN15" s="339"/>
      <c r="EO15" s="339"/>
      <c r="EP15" s="339"/>
      <c r="EQ15" s="339"/>
      <c r="ER15" s="408"/>
      <c r="ES15" s="339"/>
      <c r="ET15" s="339"/>
      <c r="EU15" s="339"/>
      <c r="EV15" s="339"/>
      <c r="EW15" s="339"/>
      <c r="EX15" s="408"/>
      <c r="EY15" s="339"/>
      <c r="EZ15" s="339"/>
      <c r="FA15" s="339"/>
      <c r="FB15" s="339"/>
      <c r="FC15" s="339"/>
      <c r="FD15" s="408"/>
      <c r="FE15" s="339"/>
      <c r="FF15" s="339"/>
      <c r="FG15" s="339"/>
      <c r="FH15" s="339"/>
      <c r="FI15" s="339"/>
      <c r="FJ15" s="408"/>
      <c r="FK15" s="339"/>
      <c r="FL15" s="339"/>
      <c r="FM15" s="339"/>
      <c r="FN15" s="339"/>
      <c r="FO15" s="339"/>
      <c r="FP15" s="408"/>
      <c r="FQ15" s="339"/>
      <c r="FR15" s="339"/>
      <c r="FS15" s="339"/>
      <c r="FT15" s="339"/>
      <c r="FU15" s="339"/>
      <c r="FV15" s="408"/>
      <c r="FW15" s="339"/>
      <c r="FX15" s="339"/>
      <c r="FY15" s="339"/>
      <c r="FZ15" s="339"/>
      <c r="GA15" s="339"/>
      <c r="GB15" s="408"/>
      <c r="GC15" s="339"/>
      <c r="GD15" s="339"/>
      <c r="GE15" s="339"/>
      <c r="GF15" s="339"/>
      <c r="GG15" s="339"/>
      <c r="GH15" s="408"/>
      <c r="GI15" s="339"/>
      <c r="GJ15" s="339"/>
      <c r="GK15" s="339"/>
      <c r="GL15" s="339"/>
      <c r="GM15" s="339"/>
      <c r="GN15" s="408"/>
      <c r="GO15" s="339"/>
      <c r="GP15" s="339"/>
      <c r="GQ15" s="339"/>
      <c r="GR15" s="339"/>
      <c r="GS15" s="339"/>
      <c r="GT15" s="408"/>
      <c r="GU15" s="339"/>
      <c r="GV15" s="339"/>
      <c r="GW15" s="339"/>
      <c r="GX15" s="339"/>
      <c r="GY15" s="339"/>
      <c r="GZ15" s="408"/>
      <c r="HA15" s="339"/>
      <c r="HB15" s="339"/>
      <c r="HC15" s="339"/>
      <c r="HD15" s="339"/>
      <c r="HE15" s="339"/>
      <c r="HF15" s="408"/>
      <c r="HG15" s="408"/>
      <c r="HH15" s="408"/>
      <c r="HI15" s="408"/>
      <c r="HJ15" s="414"/>
      <c r="HK15" s="417"/>
      <c r="HL15" s="68">
        <v>2031</v>
      </c>
      <c r="HM15" s="350"/>
      <c r="HN15" s="350"/>
    </row>
    <row r="16" spans="1:222" ht="25.5" customHeight="1">
      <c r="B16" s="264"/>
      <c r="C16" s="11"/>
      <c r="D16" s="263" t="s">
        <v>555</v>
      </c>
      <c r="E16" s="9"/>
      <c r="F16" s="268"/>
      <c r="G16" s="411"/>
      <c r="H16" s="411"/>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408"/>
      <c r="EA16" s="339"/>
      <c r="EB16" s="339"/>
      <c r="EC16" s="339"/>
      <c r="ED16" s="339"/>
      <c r="EE16" s="339"/>
      <c r="EF16" s="408"/>
      <c r="EG16" s="339"/>
      <c r="EH16" s="339"/>
      <c r="EI16" s="339"/>
      <c r="EJ16" s="339"/>
      <c r="EK16" s="339"/>
      <c r="EL16" s="408"/>
      <c r="EM16" s="339"/>
      <c r="EN16" s="339"/>
      <c r="EO16" s="339"/>
      <c r="EP16" s="339"/>
      <c r="EQ16" s="339"/>
      <c r="ER16" s="408"/>
      <c r="ES16" s="339"/>
      <c r="ET16" s="339"/>
      <c r="EU16" s="339"/>
      <c r="EV16" s="339"/>
      <c r="EW16" s="339"/>
      <c r="EX16" s="408"/>
      <c r="EY16" s="339"/>
      <c r="EZ16" s="339"/>
      <c r="FA16" s="339"/>
      <c r="FB16" s="339"/>
      <c r="FC16" s="339"/>
      <c r="FD16" s="408"/>
      <c r="FE16" s="339"/>
      <c r="FF16" s="339"/>
      <c r="FG16" s="339"/>
      <c r="FH16" s="339"/>
      <c r="FI16" s="339"/>
      <c r="FJ16" s="408"/>
      <c r="FK16" s="339"/>
      <c r="FL16" s="339"/>
      <c r="FM16" s="339"/>
      <c r="FN16" s="339"/>
      <c r="FO16" s="339"/>
      <c r="FP16" s="408"/>
      <c r="FQ16" s="339"/>
      <c r="FR16" s="339"/>
      <c r="FS16" s="339"/>
      <c r="FT16" s="339"/>
      <c r="FU16" s="339"/>
      <c r="FV16" s="408"/>
      <c r="FW16" s="339"/>
      <c r="FX16" s="339"/>
      <c r="FY16" s="339"/>
      <c r="FZ16" s="339"/>
      <c r="GA16" s="339"/>
      <c r="GB16" s="408"/>
      <c r="GC16" s="339"/>
      <c r="GD16" s="339"/>
      <c r="GE16" s="339"/>
      <c r="GF16" s="339"/>
      <c r="GG16" s="339"/>
      <c r="GH16" s="408"/>
      <c r="GI16" s="339"/>
      <c r="GJ16" s="339"/>
      <c r="GK16" s="339"/>
      <c r="GL16" s="339"/>
      <c r="GM16" s="339"/>
      <c r="GN16" s="408"/>
      <c r="GO16" s="339"/>
      <c r="GP16" s="339"/>
      <c r="GQ16" s="339"/>
      <c r="GR16" s="339"/>
      <c r="GS16" s="339"/>
      <c r="GT16" s="408"/>
      <c r="GU16" s="339"/>
      <c r="GV16" s="339"/>
      <c r="GW16" s="339"/>
      <c r="GX16" s="339"/>
      <c r="GY16" s="339"/>
      <c r="GZ16" s="408"/>
      <c r="HA16" s="339"/>
      <c r="HB16" s="339"/>
      <c r="HC16" s="339"/>
      <c r="HD16" s="339"/>
      <c r="HE16" s="339"/>
      <c r="HF16" s="408"/>
      <c r="HG16" s="408"/>
      <c r="HH16" s="408"/>
      <c r="HI16" s="408"/>
      <c r="HJ16" s="414"/>
      <c r="HK16" s="417"/>
      <c r="HL16" s="68">
        <v>2032</v>
      </c>
      <c r="HM16" s="350"/>
      <c r="HN16" s="350"/>
    </row>
    <row r="17" spans="2:227" ht="5.0999999999999996" customHeight="1">
      <c r="B17" s="264"/>
      <c r="C17" s="264"/>
      <c r="D17" s="264"/>
      <c r="E17" s="264"/>
      <c r="F17" s="270"/>
      <c r="G17" s="418"/>
      <c r="H17" s="41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408"/>
      <c r="EA17" s="339"/>
      <c r="EB17" s="339"/>
      <c r="EC17" s="339"/>
      <c r="ED17" s="339"/>
      <c r="EE17" s="339"/>
      <c r="EF17" s="408"/>
      <c r="EG17" s="339"/>
      <c r="EH17" s="339"/>
      <c r="EI17" s="339"/>
      <c r="EJ17" s="339"/>
      <c r="EK17" s="339"/>
      <c r="EL17" s="408"/>
      <c r="EM17" s="339"/>
      <c r="EN17" s="339"/>
      <c r="EO17" s="339"/>
      <c r="EP17" s="339"/>
      <c r="EQ17" s="339"/>
      <c r="ER17" s="408"/>
      <c r="ES17" s="339"/>
      <c r="ET17" s="339"/>
      <c r="EU17" s="339"/>
      <c r="EV17" s="339"/>
      <c r="EW17" s="339"/>
      <c r="EX17" s="408"/>
      <c r="EY17" s="339"/>
      <c r="EZ17" s="339"/>
      <c r="FA17" s="339"/>
      <c r="FB17" s="339"/>
      <c r="FC17" s="339"/>
      <c r="FD17" s="408"/>
      <c r="FE17" s="339"/>
      <c r="FF17" s="339"/>
      <c r="FG17" s="339"/>
      <c r="FH17" s="339"/>
      <c r="FI17" s="339"/>
      <c r="FJ17" s="408"/>
      <c r="FK17" s="339"/>
      <c r="FL17" s="339"/>
      <c r="FM17" s="339"/>
      <c r="FN17" s="339"/>
      <c r="FO17" s="339"/>
      <c r="FP17" s="408"/>
      <c r="FQ17" s="339"/>
      <c r="FR17" s="339"/>
      <c r="FS17" s="339"/>
      <c r="FT17" s="339"/>
      <c r="FU17" s="339"/>
      <c r="FV17" s="408"/>
      <c r="FW17" s="339"/>
      <c r="FX17" s="339"/>
      <c r="FY17" s="339"/>
      <c r="FZ17" s="339"/>
      <c r="GA17" s="339"/>
      <c r="GB17" s="408"/>
      <c r="GC17" s="339"/>
      <c r="GD17" s="339"/>
      <c r="GE17" s="339"/>
      <c r="GF17" s="339"/>
      <c r="GG17" s="339"/>
      <c r="GH17" s="408"/>
      <c r="GI17" s="339"/>
      <c r="GJ17" s="339"/>
      <c r="GK17" s="339"/>
      <c r="GL17" s="339"/>
      <c r="GM17" s="339"/>
      <c r="GN17" s="408"/>
      <c r="GO17" s="339"/>
      <c r="GP17" s="339"/>
      <c r="GQ17" s="339"/>
      <c r="GR17" s="339"/>
      <c r="GS17" s="339"/>
      <c r="GT17" s="408"/>
      <c r="GU17" s="339"/>
      <c r="GV17" s="339"/>
      <c r="GW17" s="339"/>
      <c r="GX17" s="339"/>
      <c r="GY17" s="339"/>
      <c r="GZ17" s="408"/>
      <c r="HA17" s="339"/>
      <c r="HB17" s="339"/>
      <c r="HC17" s="339"/>
      <c r="HD17" s="339"/>
      <c r="HE17" s="339"/>
      <c r="HF17" s="408"/>
      <c r="HG17" s="408"/>
      <c r="HH17" s="408"/>
      <c r="HI17" s="408"/>
      <c r="HJ17" s="414"/>
      <c r="HK17" s="416"/>
      <c r="HL17" s="68">
        <v>2033</v>
      </c>
      <c r="HM17" s="350"/>
      <c r="HN17" s="350"/>
    </row>
    <row r="18" spans="2:227" ht="24.95" customHeight="1">
      <c r="B18" s="264"/>
      <c r="C18" s="274">
        <f>Elektriciteitsprijs</f>
        <v>0.254</v>
      </c>
      <c r="D18" s="271" t="s">
        <v>396</v>
      </c>
      <c r="E18" s="264"/>
      <c r="F18" s="268"/>
      <c r="G18" s="411"/>
      <c r="H18" s="411"/>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408"/>
      <c r="EA18" s="339"/>
      <c r="EB18" s="339"/>
      <c r="EC18" s="339"/>
      <c r="ED18" s="339"/>
      <c r="EE18" s="339"/>
      <c r="EF18" s="408"/>
      <c r="EG18" s="339"/>
      <c r="EH18" s="339"/>
      <c r="EI18" s="339"/>
      <c r="EJ18" s="339"/>
      <c r="EK18" s="339"/>
      <c r="EL18" s="408"/>
      <c r="EM18" s="339"/>
      <c r="EN18" s="339"/>
      <c r="EO18" s="339"/>
      <c r="EP18" s="339"/>
      <c r="EQ18" s="339"/>
      <c r="ER18" s="408"/>
      <c r="ES18" s="339"/>
      <c r="ET18" s="339"/>
      <c r="EU18" s="339"/>
      <c r="EV18" s="339"/>
      <c r="EW18" s="339"/>
      <c r="EX18" s="408"/>
      <c r="EY18" s="339"/>
      <c r="EZ18" s="339"/>
      <c r="FA18" s="339"/>
      <c r="FB18" s="339"/>
      <c r="FC18" s="339"/>
      <c r="FD18" s="408"/>
      <c r="FE18" s="339"/>
      <c r="FF18" s="339"/>
      <c r="FG18" s="339"/>
      <c r="FH18" s="339"/>
      <c r="FI18" s="339"/>
      <c r="FJ18" s="408"/>
      <c r="FK18" s="339"/>
      <c r="FL18" s="339"/>
      <c r="FM18" s="339"/>
      <c r="FN18" s="339"/>
      <c r="FO18" s="339"/>
      <c r="FP18" s="408"/>
      <c r="FQ18" s="339"/>
      <c r="FR18" s="339"/>
      <c r="FS18" s="339"/>
      <c r="FT18" s="339"/>
      <c r="FU18" s="339"/>
      <c r="FV18" s="408"/>
      <c r="FW18" s="339"/>
      <c r="FX18" s="339"/>
      <c r="FY18" s="339"/>
      <c r="FZ18" s="339"/>
      <c r="GA18" s="339"/>
      <c r="GB18" s="408"/>
      <c r="GC18" s="339"/>
      <c r="GD18" s="339"/>
      <c r="GE18" s="339"/>
      <c r="GF18" s="339"/>
      <c r="GG18" s="339"/>
      <c r="GH18" s="408"/>
      <c r="GI18" s="339"/>
      <c r="GJ18" s="339"/>
      <c r="GK18" s="339"/>
      <c r="GL18" s="339"/>
      <c r="GM18" s="339"/>
      <c r="GN18" s="408"/>
      <c r="GO18" s="339"/>
      <c r="GP18" s="339"/>
      <c r="GQ18" s="339"/>
      <c r="GR18" s="339"/>
      <c r="GS18" s="339"/>
      <c r="GT18" s="408"/>
      <c r="GU18" s="339"/>
      <c r="GV18" s="339"/>
      <c r="GW18" s="339"/>
      <c r="GX18" s="339"/>
      <c r="GY18" s="339"/>
      <c r="GZ18" s="408"/>
      <c r="HA18" s="339"/>
      <c r="HB18" s="339"/>
      <c r="HC18" s="339"/>
      <c r="HD18" s="339"/>
      <c r="HE18" s="339"/>
      <c r="HF18" s="408"/>
      <c r="HG18" s="408"/>
      <c r="HH18" s="408"/>
      <c r="HI18" s="408"/>
      <c r="HJ18" s="414"/>
      <c r="HK18" s="419"/>
      <c r="HL18" s="68">
        <v>2034</v>
      </c>
      <c r="HM18" s="350"/>
      <c r="HN18" s="350"/>
    </row>
    <row r="19" spans="2:227" ht="24.95" customHeight="1">
      <c r="B19" s="9"/>
      <c r="C19" s="274">
        <f>Aardgasprijs</f>
        <v>1.4</v>
      </c>
      <c r="D19" s="271" t="s">
        <v>397</v>
      </c>
      <c r="E19" s="269"/>
      <c r="F19" s="270"/>
      <c r="G19" s="418"/>
      <c r="H19" s="41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408"/>
      <c r="EA19" s="339"/>
      <c r="EB19" s="339"/>
      <c r="EC19" s="339"/>
      <c r="ED19" s="339"/>
      <c r="EE19" s="339"/>
      <c r="EF19" s="408"/>
      <c r="EG19" s="339"/>
      <c r="EH19" s="339"/>
      <c r="EI19" s="339"/>
      <c r="EJ19" s="339"/>
      <c r="EK19" s="339"/>
      <c r="EL19" s="408"/>
      <c r="EM19" s="339"/>
      <c r="EN19" s="339"/>
      <c r="EO19" s="339"/>
      <c r="EP19" s="339"/>
      <c r="EQ19" s="339"/>
      <c r="ER19" s="408"/>
      <c r="ES19" s="339"/>
      <c r="ET19" s="339"/>
      <c r="EU19" s="339"/>
      <c r="EV19" s="339"/>
      <c r="EW19" s="339"/>
      <c r="EX19" s="408"/>
      <c r="EY19" s="339"/>
      <c r="EZ19" s="339"/>
      <c r="FA19" s="339"/>
      <c r="FB19" s="339"/>
      <c r="FC19" s="339"/>
      <c r="FD19" s="408"/>
      <c r="FE19" s="339"/>
      <c r="FF19" s="339"/>
      <c r="FG19" s="339"/>
      <c r="FH19" s="339"/>
      <c r="FI19" s="339"/>
      <c r="FJ19" s="408"/>
      <c r="FK19" s="339"/>
      <c r="FL19" s="339"/>
      <c r="FM19" s="339"/>
      <c r="FN19" s="339"/>
      <c r="FO19" s="339"/>
      <c r="FP19" s="408"/>
      <c r="FQ19" s="339"/>
      <c r="FR19" s="339"/>
      <c r="FS19" s="339"/>
      <c r="FT19" s="339"/>
      <c r="FU19" s="339"/>
      <c r="FV19" s="408"/>
      <c r="FW19" s="339"/>
      <c r="FX19" s="339"/>
      <c r="FY19" s="339"/>
      <c r="FZ19" s="339"/>
      <c r="GA19" s="339"/>
      <c r="GB19" s="408"/>
      <c r="GC19" s="339"/>
      <c r="GD19" s="339"/>
      <c r="GE19" s="339"/>
      <c r="GF19" s="339"/>
      <c r="GG19" s="339"/>
      <c r="GH19" s="408"/>
      <c r="GI19" s="339"/>
      <c r="GJ19" s="339"/>
      <c r="GK19" s="339"/>
      <c r="GL19" s="339"/>
      <c r="GM19" s="339"/>
      <c r="GN19" s="408"/>
      <c r="GO19" s="339"/>
      <c r="GP19" s="339"/>
      <c r="GQ19" s="339"/>
      <c r="GR19" s="339"/>
      <c r="GS19" s="339"/>
      <c r="GT19" s="408"/>
      <c r="GU19" s="339"/>
      <c r="GV19" s="339"/>
      <c r="GW19" s="339"/>
      <c r="GX19" s="339"/>
      <c r="GY19" s="339"/>
      <c r="GZ19" s="408"/>
      <c r="HA19" s="339"/>
      <c r="HB19" s="339"/>
      <c r="HC19" s="339"/>
      <c r="HD19" s="339"/>
      <c r="HE19" s="339"/>
      <c r="HF19" s="408"/>
      <c r="HG19" s="408"/>
      <c r="HH19" s="408"/>
      <c r="HI19" s="408"/>
      <c r="HJ19" s="414"/>
      <c r="HK19" s="420"/>
      <c r="HL19" s="68">
        <v>2035</v>
      </c>
      <c r="HM19" s="350"/>
      <c r="HN19" s="350"/>
    </row>
    <row r="20" spans="2:227" ht="29.25" customHeight="1">
      <c r="B20" s="9"/>
      <c r="C20" s="274">
        <f>Warmteprijs</f>
        <v>49.6</v>
      </c>
      <c r="D20" s="263" t="s">
        <v>398</v>
      </c>
      <c r="E20" s="270"/>
      <c r="F20" s="270"/>
      <c r="G20" s="418"/>
      <c r="H20" s="41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408"/>
      <c r="EA20" s="339"/>
      <c r="EB20" s="339"/>
      <c r="EC20" s="339"/>
      <c r="ED20" s="339"/>
      <c r="EE20" s="339"/>
      <c r="EF20" s="408"/>
      <c r="EG20" s="339"/>
      <c r="EH20" s="339"/>
      <c r="EI20" s="339"/>
      <c r="EJ20" s="339"/>
      <c r="EK20" s="339"/>
      <c r="EL20" s="408"/>
      <c r="EM20" s="339"/>
      <c r="EN20" s="339"/>
      <c r="EO20" s="339"/>
      <c r="EP20" s="339"/>
      <c r="EQ20" s="339"/>
      <c r="ER20" s="408"/>
      <c r="ES20" s="339"/>
      <c r="ET20" s="339"/>
      <c r="EU20" s="339"/>
      <c r="EV20" s="339"/>
      <c r="EW20" s="339"/>
      <c r="EX20" s="408"/>
      <c r="EY20" s="339"/>
      <c r="EZ20" s="339"/>
      <c r="FA20" s="339"/>
      <c r="FB20" s="339"/>
      <c r="FC20" s="339"/>
      <c r="FD20" s="408"/>
      <c r="FE20" s="339"/>
      <c r="FF20" s="339"/>
      <c r="FG20" s="339"/>
      <c r="FH20" s="339"/>
      <c r="FI20" s="339"/>
      <c r="FJ20" s="408"/>
      <c r="FK20" s="339"/>
      <c r="FL20" s="339"/>
      <c r="FM20" s="339"/>
      <c r="FN20" s="339"/>
      <c r="FO20" s="339"/>
      <c r="FP20" s="408"/>
      <c r="FQ20" s="339"/>
      <c r="FR20" s="339"/>
      <c r="FS20" s="339"/>
      <c r="FT20" s="339"/>
      <c r="FU20" s="339"/>
      <c r="FV20" s="408"/>
      <c r="FW20" s="339"/>
      <c r="FX20" s="339"/>
      <c r="FY20" s="339"/>
      <c r="FZ20" s="339"/>
      <c r="GA20" s="339"/>
      <c r="GB20" s="408"/>
      <c r="GC20" s="339"/>
      <c r="GD20" s="339"/>
      <c r="GE20" s="339"/>
      <c r="GF20" s="339"/>
      <c r="GG20" s="339"/>
      <c r="GH20" s="408"/>
      <c r="GI20" s="339"/>
      <c r="GJ20" s="339"/>
      <c r="GK20" s="339"/>
      <c r="GL20" s="339"/>
      <c r="GM20" s="339"/>
      <c r="GN20" s="408"/>
      <c r="GO20" s="339"/>
      <c r="GP20" s="339"/>
      <c r="GQ20" s="339"/>
      <c r="GR20" s="339"/>
      <c r="GS20" s="339"/>
      <c r="GT20" s="408"/>
      <c r="GU20" s="339"/>
      <c r="GV20" s="339"/>
      <c r="GW20" s="339"/>
      <c r="GX20" s="339"/>
      <c r="GY20" s="339"/>
      <c r="GZ20" s="408"/>
      <c r="HA20" s="339"/>
      <c r="HB20" s="339"/>
      <c r="HC20" s="339"/>
      <c r="HD20" s="339"/>
      <c r="HE20" s="339"/>
      <c r="HF20" s="408"/>
      <c r="HG20" s="408"/>
      <c r="HH20" s="408"/>
      <c r="HI20" s="408"/>
      <c r="HJ20" s="414"/>
      <c r="HK20" s="68"/>
      <c r="HL20" s="68">
        <v>2036</v>
      </c>
      <c r="HM20" s="350"/>
      <c r="HN20" s="350"/>
    </row>
    <row r="21" spans="2:227" ht="8.25" customHeight="1">
      <c r="B21" s="9"/>
      <c r="C21" s="421"/>
      <c r="D21" s="9"/>
      <c r="E21" s="9"/>
      <c r="F21" s="270"/>
      <c r="G21" s="418"/>
      <c r="H21" s="41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408"/>
      <c r="EA21" s="339"/>
      <c r="EB21" s="339"/>
      <c r="EC21" s="339"/>
      <c r="ED21" s="339"/>
      <c r="EE21" s="339"/>
      <c r="EF21" s="408"/>
      <c r="EG21" s="339"/>
      <c r="EH21" s="339"/>
      <c r="EI21" s="339"/>
      <c r="EJ21" s="339"/>
      <c r="EK21" s="339"/>
      <c r="EL21" s="408"/>
      <c r="EM21" s="339"/>
      <c r="EN21" s="339"/>
      <c r="EO21" s="339"/>
      <c r="EP21" s="339"/>
      <c r="EQ21" s="339"/>
      <c r="ER21" s="408"/>
      <c r="ES21" s="339"/>
      <c r="ET21" s="339"/>
      <c r="EU21" s="339"/>
      <c r="EV21" s="339"/>
      <c r="EW21" s="339"/>
      <c r="EX21" s="408"/>
      <c r="EY21" s="339"/>
      <c r="EZ21" s="339"/>
      <c r="FA21" s="339"/>
      <c r="FB21" s="339"/>
      <c r="FC21" s="339"/>
      <c r="FD21" s="408"/>
      <c r="FE21" s="339"/>
      <c r="FF21" s="339"/>
      <c r="FG21" s="339"/>
      <c r="FH21" s="339"/>
      <c r="FI21" s="339"/>
      <c r="FJ21" s="408"/>
      <c r="FK21" s="339"/>
      <c r="FL21" s="339"/>
      <c r="FM21" s="339"/>
      <c r="FN21" s="339"/>
      <c r="FO21" s="339"/>
      <c r="FP21" s="408"/>
      <c r="FQ21" s="339"/>
      <c r="FR21" s="339"/>
      <c r="FS21" s="339"/>
      <c r="FT21" s="339"/>
      <c r="FU21" s="339"/>
      <c r="FV21" s="408"/>
      <c r="FW21" s="339"/>
      <c r="FX21" s="339"/>
      <c r="FY21" s="339"/>
      <c r="FZ21" s="339"/>
      <c r="GA21" s="339"/>
      <c r="GB21" s="408"/>
      <c r="GC21" s="339"/>
      <c r="GD21" s="339"/>
      <c r="GE21" s="339"/>
      <c r="GF21" s="339"/>
      <c r="GG21" s="339"/>
      <c r="GH21" s="408"/>
      <c r="GI21" s="339"/>
      <c r="GJ21" s="339"/>
      <c r="GK21" s="339"/>
      <c r="GL21" s="339"/>
      <c r="GM21" s="339"/>
      <c r="GN21" s="408"/>
      <c r="GO21" s="339"/>
      <c r="GP21" s="339"/>
      <c r="GQ21" s="339"/>
      <c r="GR21" s="339"/>
      <c r="GS21" s="339"/>
      <c r="GT21" s="408"/>
      <c r="GU21" s="339"/>
      <c r="GV21" s="339"/>
      <c r="GW21" s="339"/>
      <c r="GX21" s="339"/>
      <c r="GY21" s="339"/>
      <c r="GZ21" s="408"/>
      <c r="HA21" s="339"/>
      <c r="HB21" s="339"/>
      <c r="HC21" s="339"/>
      <c r="HD21" s="339"/>
      <c r="HE21" s="339"/>
      <c r="HF21" s="408"/>
      <c r="HG21" s="408"/>
      <c r="HH21" s="408"/>
      <c r="HI21" s="408"/>
      <c r="HJ21" s="414"/>
      <c r="HK21" s="68"/>
      <c r="HL21" s="68">
        <v>2037</v>
      </c>
      <c r="HM21" s="350"/>
      <c r="HN21" s="350"/>
    </row>
    <row r="22" spans="2:227" ht="10.5" customHeight="1">
      <c r="B22" s="9"/>
      <c r="C22" s="9"/>
      <c r="D22" s="9"/>
      <c r="E22" s="270"/>
      <c r="F22" s="270"/>
      <c r="G22" s="418"/>
      <c r="H22" s="41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408"/>
      <c r="EA22" s="339"/>
      <c r="EB22" s="339"/>
      <c r="EC22" s="339"/>
      <c r="ED22" s="339"/>
      <c r="EE22" s="339"/>
      <c r="EF22" s="408"/>
      <c r="EG22" s="339"/>
      <c r="EH22" s="339"/>
      <c r="EI22" s="339"/>
      <c r="EJ22" s="339"/>
      <c r="EK22" s="339"/>
      <c r="EL22" s="408"/>
      <c r="EM22" s="339"/>
      <c r="EN22" s="339"/>
      <c r="EO22" s="339"/>
      <c r="EP22" s="339"/>
      <c r="EQ22" s="339"/>
      <c r="ER22" s="408"/>
      <c r="ES22" s="339"/>
      <c r="ET22" s="339"/>
      <c r="EU22" s="339"/>
      <c r="EV22" s="339"/>
      <c r="EW22" s="339"/>
      <c r="EX22" s="408"/>
      <c r="EY22" s="339"/>
      <c r="EZ22" s="339"/>
      <c r="FA22" s="339"/>
      <c r="FB22" s="339"/>
      <c r="FC22" s="339"/>
      <c r="FD22" s="408"/>
      <c r="FE22" s="339"/>
      <c r="FF22" s="339"/>
      <c r="FG22" s="339"/>
      <c r="FH22" s="339"/>
      <c r="FI22" s="339"/>
      <c r="FJ22" s="408"/>
      <c r="FK22" s="339"/>
      <c r="FL22" s="339"/>
      <c r="FM22" s="339"/>
      <c r="FN22" s="339"/>
      <c r="FO22" s="339"/>
      <c r="FP22" s="408"/>
      <c r="FQ22" s="339"/>
      <c r="FR22" s="339"/>
      <c r="FS22" s="339"/>
      <c r="FT22" s="339"/>
      <c r="FU22" s="339"/>
      <c r="FV22" s="408"/>
      <c r="FW22" s="339"/>
      <c r="FX22" s="339"/>
      <c r="FY22" s="339"/>
      <c r="FZ22" s="339"/>
      <c r="GA22" s="339"/>
      <c r="GB22" s="408"/>
      <c r="GC22" s="339"/>
      <c r="GD22" s="339"/>
      <c r="GE22" s="339"/>
      <c r="GF22" s="339"/>
      <c r="GG22" s="339"/>
      <c r="GH22" s="408"/>
      <c r="GI22" s="339"/>
      <c r="GJ22" s="339"/>
      <c r="GK22" s="339"/>
      <c r="GL22" s="339"/>
      <c r="GM22" s="339"/>
      <c r="GN22" s="408"/>
      <c r="GO22" s="339"/>
      <c r="GP22" s="339"/>
      <c r="GQ22" s="339"/>
      <c r="GR22" s="339"/>
      <c r="GS22" s="339"/>
      <c r="GT22" s="408"/>
      <c r="GU22" s="339"/>
      <c r="GV22" s="339"/>
      <c r="GW22" s="339"/>
      <c r="GX22" s="339"/>
      <c r="GY22" s="339"/>
      <c r="GZ22" s="408"/>
      <c r="HA22" s="339"/>
      <c r="HB22" s="339"/>
      <c r="HC22" s="339"/>
      <c r="HD22" s="339"/>
      <c r="HE22" s="339"/>
      <c r="HF22" s="408"/>
      <c r="HG22" s="408"/>
      <c r="HH22" s="408"/>
      <c r="HI22" s="408"/>
      <c r="HJ22" s="414"/>
      <c r="HK22" s="68"/>
      <c r="HL22" s="68">
        <v>2038</v>
      </c>
      <c r="HM22" s="350"/>
      <c r="HN22" s="350"/>
    </row>
    <row r="23" spans="2:227" ht="10.5" customHeight="1">
      <c r="B23" s="9"/>
      <c r="C23" s="9"/>
      <c r="D23" s="9"/>
      <c r="E23" s="345" t="s">
        <v>17</v>
      </c>
      <c r="F23" s="270"/>
      <c r="G23" s="418"/>
      <c r="H23" s="41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408"/>
      <c r="EA23" s="339"/>
      <c r="EB23" s="339"/>
      <c r="EC23" s="339"/>
      <c r="ED23" s="339"/>
      <c r="EE23" s="339"/>
      <c r="EF23" s="408"/>
      <c r="EG23" s="339"/>
      <c r="EH23" s="339"/>
      <c r="EI23" s="339"/>
      <c r="EJ23" s="339"/>
      <c r="EK23" s="339"/>
      <c r="EL23" s="408"/>
      <c r="EM23" s="339"/>
      <c r="EN23" s="339"/>
      <c r="EO23" s="339"/>
      <c r="EP23" s="339"/>
      <c r="EQ23" s="339"/>
      <c r="ER23" s="408"/>
      <c r="ES23" s="339"/>
      <c r="ET23" s="339"/>
      <c r="EU23" s="339"/>
      <c r="EV23" s="339"/>
      <c r="EW23" s="339"/>
      <c r="EX23" s="408"/>
      <c r="EY23" s="339"/>
      <c r="EZ23" s="339"/>
      <c r="FA23" s="339"/>
      <c r="FB23" s="339"/>
      <c r="FC23" s="339"/>
      <c r="FD23" s="408"/>
      <c r="FE23" s="339"/>
      <c r="FF23" s="339"/>
      <c r="FG23" s="339"/>
      <c r="FH23" s="339"/>
      <c r="FI23" s="339"/>
      <c r="FJ23" s="408"/>
      <c r="FK23" s="339"/>
      <c r="FL23" s="339"/>
      <c r="FM23" s="339"/>
      <c r="FN23" s="339"/>
      <c r="FO23" s="339"/>
      <c r="FP23" s="408"/>
      <c r="FQ23" s="339"/>
      <c r="FR23" s="339"/>
      <c r="FS23" s="339"/>
      <c r="FT23" s="339"/>
      <c r="FU23" s="339"/>
      <c r="FV23" s="408"/>
      <c r="FW23" s="339"/>
      <c r="FX23" s="339"/>
      <c r="FY23" s="339"/>
      <c r="FZ23" s="339"/>
      <c r="GA23" s="339"/>
      <c r="GB23" s="408"/>
      <c r="GC23" s="339"/>
      <c r="GD23" s="339"/>
      <c r="GE23" s="339"/>
      <c r="GF23" s="339"/>
      <c r="GG23" s="339"/>
      <c r="GH23" s="408"/>
      <c r="GI23" s="339"/>
      <c r="GJ23" s="339"/>
      <c r="GK23" s="339"/>
      <c r="GL23" s="339"/>
      <c r="GM23" s="339"/>
      <c r="GN23" s="408"/>
      <c r="GO23" s="339"/>
      <c r="GP23" s="339"/>
      <c r="GQ23" s="339"/>
      <c r="GR23" s="339"/>
      <c r="GS23" s="339"/>
      <c r="GT23" s="408"/>
      <c r="GU23" s="339"/>
      <c r="GV23" s="339"/>
      <c r="GW23" s="339"/>
      <c r="GX23" s="339"/>
      <c r="GY23" s="339"/>
      <c r="GZ23" s="408"/>
      <c r="HA23" s="339"/>
      <c r="HB23" s="339"/>
      <c r="HC23" s="339"/>
      <c r="HD23" s="339"/>
      <c r="HE23" s="339"/>
      <c r="HF23" s="408"/>
      <c r="HG23" s="408"/>
      <c r="HH23" s="408"/>
      <c r="HI23" s="408"/>
      <c r="HJ23" s="414"/>
      <c r="HK23" s="68"/>
      <c r="HL23" s="68">
        <v>2039</v>
      </c>
      <c r="HM23" s="350"/>
      <c r="HN23" s="350"/>
    </row>
    <row r="24" spans="2:227" ht="21.75" customHeight="1">
      <c r="B24" s="9"/>
      <c r="C24" s="335" t="s">
        <v>677</v>
      </c>
      <c r="D24" s="9"/>
      <c r="E24" s="270"/>
      <c r="F24" s="270"/>
      <c r="G24" s="418"/>
      <c r="H24" s="152"/>
      <c r="I24" s="339"/>
      <c r="J24" s="339"/>
      <c r="K24" s="339"/>
      <c r="L24" s="339"/>
      <c r="M24" s="339"/>
      <c r="N24" s="339"/>
      <c r="O24" s="339"/>
      <c r="P24" s="339"/>
      <c r="Q24" s="339"/>
      <c r="R24" s="339"/>
      <c r="S24" s="339"/>
      <c r="T24" s="339"/>
      <c r="U24" s="288" t="s">
        <v>628</v>
      </c>
      <c r="V24" s="422">
        <f>aardgasinkoop_2050</f>
        <v>0</v>
      </c>
      <c r="W24" s="339"/>
      <c r="X24" s="339"/>
      <c r="Y24" s="339"/>
      <c r="Z24" s="339"/>
      <c r="AA24" s="339"/>
      <c r="AB24" s="287" t="s">
        <v>631</v>
      </c>
      <c r="AC24" s="339"/>
      <c r="AD24" s="339"/>
      <c r="AE24" s="339"/>
      <c r="AF24" s="339"/>
      <c r="AG24" s="339"/>
      <c r="AH24" s="339"/>
      <c r="AI24" s="339"/>
      <c r="AJ24" s="339"/>
      <c r="AK24" s="339"/>
      <c r="AL24" s="339"/>
      <c r="AM24" s="339"/>
      <c r="AN24" s="288"/>
      <c r="AO24" s="339"/>
      <c r="AP24" s="339"/>
      <c r="AQ24" s="339"/>
      <c r="AR24" s="339"/>
      <c r="AS24" s="339"/>
      <c r="AT24" s="288" t="s">
        <v>628</v>
      </c>
      <c r="AU24" s="423"/>
      <c r="AV24" s="423"/>
      <c r="AW24" s="423"/>
      <c r="AX24" s="423"/>
      <c r="AY24" s="423"/>
      <c r="AZ24" s="424">
        <f>Elekverbruik_2050</f>
        <v>0</v>
      </c>
      <c r="BA24" s="339"/>
      <c r="BB24" s="339"/>
      <c r="BC24" s="339"/>
      <c r="BD24" s="339"/>
      <c r="BE24" s="339"/>
      <c r="BF24" s="287" t="s">
        <v>630</v>
      </c>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288" t="s">
        <v>628</v>
      </c>
      <c r="CE24" s="339"/>
      <c r="CF24" s="339"/>
      <c r="CG24" s="339"/>
      <c r="CH24" s="339"/>
      <c r="CI24" s="339"/>
      <c r="CJ24" s="425">
        <f>GZ235+Duurzamewarmte_2050</f>
        <v>0</v>
      </c>
      <c r="CK24" s="339"/>
      <c r="CL24" s="339"/>
      <c r="CM24" s="339"/>
      <c r="CN24" s="339"/>
      <c r="CO24" s="339"/>
      <c r="CP24" s="287" t="s">
        <v>629</v>
      </c>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408"/>
      <c r="EA24" s="339"/>
      <c r="EB24" s="339"/>
      <c r="EC24" s="339"/>
      <c r="ED24" s="339"/>
      <c r="EE24" s="339"/>
      <c r="EF24" s="408"/>
      <c r="EG24" s="339"/>
      <c r="EH24" s="339"/>
      <c r="EI24" s="339"/>
      <c r="EJ24" s="339"/>
      <c r="EK24" s="339"/>
      <c r="EL24" s="408"/>
      <c r="EM24" s="339"/>
      <c r="EN24" s="339"/>
      <c r="EO24" s="339"/>
      <c r="EP24" s="339"/>
      <c r="EQ24" s="339"/>
      <c r="ER24" s="408"/>
      <c r="ES24" s="339"/>
      <c r="ET24" s="339"/>
      <c r="EU24" s="339"/>
      <c r="EV24" s="339"/>
      <c r="EW24" s="339"/>
      <c r="EX24" s="408"/>
      <c r="EY24" s="339"/>
      <c r="EZ24" s="339"/>
      <c r="FA24" s="339"/>
      <c r="FB24" s="339"/>
      <c r="FC24" s="339"/>
      <c r="FD24" s="408"/>
      <c r="FE24" s="339"/>
      <c r="FF24" s="339"/>
      <c r="FG24" s="339"/>
      <c r="FH24" s="339"/>
      <c r="FI24" s="339"/>
      <c r="FJ24" s="408"/>
      <c r="FK24" s="339"/>
      <c r="FL24" s="339"/>
      <c r="FM24" s="339"/>
      <c r="FN24" s="339"/>
      <c r="FO24" s="339"/>
      <c r="FP24" s="408"/>
      <c r="FQ24" s="339"/>
      <c r="FR24" s="339"/>
      <c r="FS24" s="339"/>
      <c r="FT24" s="339"/>
      <c r="FU24" s="339"/>
      <c r="FV24" s="408"/>
      <c r="FW24" s="339"/>
      <c r="FX24" s="339"/>
      <c r="FY24" s="339"/>
      <c r="FZ24" s="339"/>
      <c r="GA24" s="339"/>
      <c r="GB24" s="408"/>
      <c r="GC24" s="339"/>
      <c r="GD24" s="339"/>
      <c r="GE24" s="339"/>
      <c r="GF24" s="339"/>
      <c r="GG24" s="339"/>
      <c r="GH24" s="408"/>
      <c r="GI24" s="339"/>
      <c r="GJ24" s="339"/>
      <c r="GK24" s="339"/>
      <c r="GL24" s="339"/>
      <c r="GM24" s="339"/>
      <c r="GN24" s="408"/>
      <c r="GO24" s="339"/>
      <c r="GP24" s="339"/>
      <c r="GQ24" s="339"/>
      <c r="GR24" s="339"/>
      <c r="GS24" s="339"/>
      <c r="GT24" s="408"/>
      <c r="GU24" s="339"/>
      <c r="GV24" s="339"/>
      <c r="GW24" s="339"/>
      <c r="GX24" s="339"/>
      <c r="GY24" s="339"/>
      <c r="GZ24" s="408"/>
      <c r="HA24" s="339"/>
      <c r="HB24" s="339"/>
      <c r="HC24" s="339"/>
      <c r="HD24" s="339"/>
      <c r="HE24" s="339"/>
      <c r="HF24" s="408"/>
      <c r="HG24" s="408"/>
      <c r="HH24" s="408"/>
      <c r="HI24" s="408"/>
      <c r="HJ24" s="414"/>
      <c r="HK24" s="68"/>
      <c r="HL24" s="68">
        <v>2040</v>
      </c>
      <c r="HM24" s="350"/>
      <c r="HN24" s="350"/>
    </row>
    <row r="25" spans="2:227" ht="4.5" customHeight="1">
      <c r="B25" s="9"/>
      <c r="C25" s="270"/>
      <c r="D25" s="270"/>
      <c r="E25" s="270"/>
      <c r="F25" s="270"/>
      <c r="G25" s="418"/>
      <c r="H25" s="153"/>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408"/>
      <c r="EA25" s="339"/>
      <c r="EB25" s="339"/>
      <c r="EC25" s="339"/>
      <c r="ED25" s="339"/>
      <c r="EE25" s="339"/>
      <c r="EF25" s="408"/>
      <c r="EG25" s="339"/>
      <c r="EH25" s="339"/>
      <c r="EI25" s="339"/>
      <c r="EJ25" s="339"/>
      <c r="EK25" s="339"/>
      <c r="EL25" s="408"/>
      <c r="EM25" s="339"/>
      <c r="EN25" s="339"/>
      <c r="EO25" s="339"/>
      <c r="EP25" s="339"/>
      <c r="EQ25" s="339"/>
      <c r="ER25" s="408"/>
      <c r="ES25" s="339"/>
      <c r="ET25" s="339"/>
      <c r="EU25" s="339"/>
      <c r="EV25" s="339"/>
      <c r="EW25" s="339"/>
      <c r="EX25" s="408"/>
      <c r="EY25" s="339"/>
      <c r="EZ25" s="339"/>
      <c r="FA25" s="339"/>
      <c r="FB25" s="339"/>
      <c r="FC25" s="339"/>
      <c r="FD25" s="408"/>
      <c r="FE25" s="339"/>
      <c r="FF25" s="339"/>
      <c r="FG25" s="339"/>
      <c r="FH25" s="339"/>
      <c r="FI25" s="339"/>
      <c r="FJ25" s="408"/>
      <c r="FK25" s="339"/>
      <c r="FL25" s="339"/>
      <c r="FM25" s="339"/>
      <c r="FN25" s="339"/>
      <c r="FO25" s="339"/>
      <c r="FP25" s="408"/>
      <c r="FQ25" s="339"/>
      <c r="FR25" s="339"/>
      <c r="FS25" s="339"/>
      <c r="FT25" s="339"/>
      <c r="FU25" s="339"/>
      <c r="FV25" s="408"/>
      <c r="FW25" s="339"/>
      <c r="FX25" s="339"/>
      <c r="FY25" s="339"/>
      <c r="FZ25" s="339"/>
      <c r="GA25" s="339"/>
      <c r="GB25" s="408"/>
      <c r="GC25" s="339"/>
      <c r="GD25" s="339"/>
      <c r="GE25" s="339"/>
      <c r="GF25" s="339"/>
      <c r="GG25" s="339"/>
      <c r="GH25" s="408"/>
      <c r="GI25" s="339"/>
      <c r="GJ25" s="339"/>
      <c r="GK25" s="339"/>
      <c r="GL25" s="339"/>
      <c r="GM25" s="339"/>
      <c r="GN25" s="408"/>
      <c r="GO25" s="339"/>
      <c r="GP25" s="339"/>
      <c r="GQ25" s="339"/>
      <c r="GR25" s="339"/>
      <c r="GS25" s="339"/>
      <c r="GT25" s="408"/>
      <c r="GU25" s="339"/>
      <c r="GV25" s="339"/>
      <c r="GW25" s="339"/>
      <c r="GX25" s="339"/>
      <c r="GY25" s="339"/>
      <c r="GZ25" s="408"/>
      <c r="HA25" s="339"/>
      <c r="HB25" s="339"/>
      <c r="HC25" s="339"/>
      <c r="HD25" s="339"/>
      <c r="HE25" s="339"/>
      <c r="HF25" s="408"/>
      <c r="HG25" s="408"/>
      <c r="HH25" s="408"/>
      <c r="HI25" s="408"/>
      <c r="HJ25" s="414"/>
      <c r="HK25" s="68"/>
      <c r="HL25" s="68">
        <v>2041</v>
      </c>
      <c r="HM25" s="68"/>
      <c r="HN25" s="68"/>
      <c r="HO25" s="68"/>
      <c r="HP25" s="68"/>
    </row>
    <row r="26" spans="2:227" ht="4.5" customHeight="1">
      <c r="B26" s="9"/>
      <c r="C26" s="270"/>
      <c r="D26" s="270"/>
      <c r="E26" s="270"/>
      <c r="F26" s="270"/>
      <c r="G26" s="418"/>
      <c r="H26" s="152"/>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408"/>
      <c r="EA26" s="339"/>
      <c r="EB26" s="339"/>
      <c r="EC26" s="339"/>
      <c r="ED26" s="339"/>
      <c r="EE26" s="339"/>
      <c r="EF26" s="408"/>
      <c r="EG26" s="339"/>
      <c r="EH26" s="339"/>
      <c r="EI26" s="339"/>
      <c r="EJ26" s="339"/>
      <c r="EK26" s="339"/>
      <c r="EL26" s="408"/>
      <c r="EM26" s="339"/>
      <c r="EN26" s="339"/>
      <c r="EO26" s="339"/>
      <c r="EP26" s="339"/>
      <c r="EQ26" s="339"/>
      <c r="ER26" s="408"/>
      <c r="ES26" s="339"/>
      <c r="ET26" s="339"/>
      <c r="EU26" s="339"/>
      <c r="EV26" s="339"/>
      <c r="EW26" s="339"/>
      <c r="EX26" s="408"/>
      <c r="EY26" s="339"/>
      <c r="EZ26" s="339"/>
      <c r="FA26" s="339"/>
      <c r="FB26" s="339"/>
      <c r="FC26" s="339"/>
      <c r="FD26" s="408"/>
      <c r="FE26" s="339"/>
      <c r="FF26" s="339"/>
      <c r="FG26" s="339"/>
      <c r="FH26" s="339"/>
      <c r="FI26" s="339"/>
      <c r="FJ26" s="408"/>
      <c r="FK26" s="339"/>
      <c r="FL26" s="339"/>
      <c r="FM26" s="339"/>
      <c r="FN26" s="339"/>
      <c r="FO26" s="339"/>
      <c r="FP26" s="408"/>
      <c r="FQ26" s="339"/>
      <c r="FR26" s="339"/>
      <c r="FS26" s="339"/>
      <c r="FT26" s="339"/>
      <c r="FU26" s="339"/>
      <c r="FV26" s="408"/>
      <c r="FW26" s="339"/>
      <c r="FX26" s="339"/>
      <c r="FY26" s="339"/>
      <c r="FZ26" s="339"/>
      <c r="GA26" s="339"/>
      <c r="GB26" s="408"/>
      <c r="GC26" s="339"/>
      <c r="GD26" s="339"/>
      <c r="GE26" s="339"/>
      <c r="GF26" s="339"/>
      <c r="GG26" s="339"/>
      <c r="GH26" s="408"/>
      <c r="GI26" s="339"/>
      <c r="GJ26" s="339"/>
      <c r="GK26" s="339"/>
      <c r="GL26" s="339"/>
      <c r="GM26" s="339"/>
      <c r="GN26" s="408"/>
      <c r="GO26" s="339"/>
      <c r="GP26" s="339"/>
      <c r="GQ26" s="339"/>
      <c r="GR26" s="339"/>
      <c r="GS26" s="339"/>
      <c r="GT26" s="408"/>
      <c r="GU26" s="339"/>
      <c r="GV26" s="339"/>
      <c r="GW26" s="339"/>
      <c r="GX26" s="339"/>
      <c r="GY26" s="339"/>
      <c r="GZ26" s="408"/>
      <c r="HA26" s="339"/>
      <c r="HB26" s="339"/>
      <c r="HC26" s="339"/>
      <c r="HD26" s="339"/>
      <c r="HE26" s="339"/>
      <c r="HF26" s="408"/>
      <c r="HG26" s="408"/>
      <c r="HH26" s="408"/>
      <c r="HI26" s="408"/>
      <c r="HJ26" s="414"/>
      <c r="HK26" s="426"/>
      <c r="HL26" s="68">
        <v>2042</v>
      </c>
      <c r="HM26" s="427"/>
      <c r="HN26" s="68"/>
      <c r="HO26" s="68"/>
      <c r="HP26" s="68"/>
      <c r="HQ26" s="68"/>
      <c r="HR26" s="68"/>
      <c r="HS26" s="68"/>
    </row>
    <row r="27" spans="2:227" ht="23.25" customHeight="1">
      <c r="B27" s="9"/>
      <c r="C27" s="334"/>
      <c r="D27" s="263" t="s">
        <v>676</v>
      </c>
      <c r="E27" s="270"/>
      <c r="F27" s="270"/>
      <c r="G27" s="418"/>
      <c r="H27" s="153"/>
      <c r="I27" s="339"/>
      <c r="J27" s="339"/>
      <c r="K27" s="339"/>
      <c r="L27" s="428"/>
      <c r="M27" s="42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408"/>
      <c r="EA27" s="339"/>
      <c r="EB27" s="339"/>
      <c r="EC27" s="339"/>
      <c r="ED27" s="339"/>
      <c r="EE27" s="339"/>
      <c r="EF27" s="408"/>
      <c r="EG27" s="339"/>
      <c r="EH27" s="339"/>
      <c r="EI27" s="339"/>
      <c r="EJ27" s="339"/>
      <c r="EK27" s="339"/>
      <c r="EL27" s="408"/>
      <c r="EM27" s="339"/>
      <c r="EN27" s="339"/>
      <c r="EO27" s="339"/>
      <c r="EP27" s="339"/>
      <c r="EQ27" s="339"/>
      <c r="ER27" s="408"/>
      <c r="ES27" s="339"/>
      <c r="ET27" s="339"/>
      <c r="EU27" s="339"/>
      <c r="EV27" s="339"/>
      <c r="EW27" s="339"/>
      <c r="EX27" s="408"/>
      <c r="EY27" s="339"/>
      <c r="EZ27" s="339"/>
      <c r="FA27" s="339"/>
      <c r="FB27" s="339"/>
      <c r="FC27" s="339"/>
      <c r="FD27" s="408"/>
      <c r="FE27" s="339"/>
      <c r="FF27" s="339"/>
      <c r="FG27" s="339"/>
      <c r="FH27" s="339"/>
      <c r="FI27" s="339"/>
      <c r="FJ27" s="408"/>
      <c r="FK27" s="339"/>
      <c r="FL27" s="339"/>
      <c r="FM27" s="339"/>
      <c r="FN27" s="339"/>
      <c r="FO27" s="339"/>
      <c r="FP27" s="408"/>
      <c r="FQ27" s="339"/>
      <c r="FR27" s="339"/>
      <c r="FS27" s="339"/>
      <c r="FT27" s="339"/>
      <c r="FU27" s="339"/>
      <c r="FV27" s="408"/>
      <c r="FW27" s="339"/>
      <c r="FX27" s="339"/>
      <c r="FY27" s="339"/>
      <c r="FZ27" s="339"/>
      <c r="GA27" s="339"/>
      <c r="GB27" s="408"/>
      <c r="GC27" s="339"/>
      <c r="GD27" s="339"/>
      <c r="GE27" s="339"/>
      <c r="GF27" s="339"/>
      <c r="GG27" s="339"/>
      <c r="GH27" s="408"/>
      <c r="GI27" s="339"/>
      <c r="GJ27" s="339"/>
      <c r="GK27" s="339"/>
      <c r="GL27" s="339"/>
      <c r="GM27" s="339"/>
      <c r="GN27" s="408"/>
      <c r="GO27" s="339"/>
      <c r="GP27" s="339"/>
      <c r="GQ27" s="339"/>
      <c r="GR27" s="339"/>
      <c r="GS27" s="339"/>
      <c r="GT27" s="408"/>
      <c r="GU27" s="339"/>
      <c r="GV27" s="339"/>
      <c r="GW27" s="339"/>
      <c r="GX27" s="339"/>
      <c r="GY27" s="339"/>
      <c r="GZ27" s="408"/>
      <c r="HA27" s="339"/>
      <c r="HB27" s="339"/>
      <c r="HC27" s="339"/>
      <c r="HD27" s="339"/>
      <c r="HE27" s="339"/>
      <c r="HF27" s="408"/>
      <c r="HG27" s="408"/>
      <c r="HH27" s="408"/>
      <c r="HI27" s="408"/>
      <c r="HJ27" s="414"/>
      <c r="HK27" s="430"/>
      <c r="HL27" s="68">
        <v>2043</v>
      </c>
      <c r="HM27" s="431"/>
      <c r="HN27" s="68"/>
      <c r="HO27" s="68"/>
      <c r="HP27" s="68"/>
      <c r="HQ27" s="68"/>
      <c r="HR27" s="68"/>
      <c r="HS27" s="68"/>
    </row>
    <row r="28" spans="2:227" ht="24.75" customHeight="1">
      <c r="B28" s="9"/>
      <c r="C28" s="333" t="s">
        <v>487</v>
      </c>
      <c r="D28" s="263" t="s">
        <v>617</v>
      </c>
      <c r="E28" s="270"/>
      <c r="F28" s="270"/>
      <c r="G28" s="418"/>
      <c r="H28" s="153"/>
      <c r="I28" s="339"/>
      <c r="J28" s="339"/>
      <c r="K28" s="339"/>
      <c r="L28" s="432"/>
      <c r="M28" s="433"/>
      <c r="N28" s="339"/>
      <c r="O28" s="339"/>
      <c r="P28" s="432"/>
      <c r="Q28" s="433"/>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408"/>
      <c r="EA28" s="339"/>
      <c r="EB28" s="339"/>
      <c r="EC28" s="339"/>
      <c r="ED28" s="339"/>
      <c r="EE28" s="339"/>
      <c r="EF28" s="408"/>
      <c r="EG28" s="339"/>
      <c r="EH28" s="339"/>
      <c r="EI28" s="339"/>
      <c r="EJ28" s="339"/>
      <c r="EK28" s="339"/>
      <c r="EL28" s="408"/>
      <c r="EM28" s="339"/>
      <c r="EN28" s="339"/>
      <c r="EO28" s="339"/>
      <c r="EP28" s="339"/>
      <c r="EQ28" s="339"/>
      <c r="ER28" s="408"/>
      <c r="ES28" s="339"/>
      <c r="ET28" s="339"/>
      <c r="EU28" s="339"/>
      <c r="EV28" s="339"/>
      <c r="EW28" s="339"/>
      <c r="EX28" s="408"/>
      <c r="EY28" s="339"/>
      <c r="EZ28" s="339"/>
      <c r="FA28" s="339"/>
      <c r="FB28" s="339"/>
      <c r="FC28" s="339"/>
      <c r="FD28" s="408"/>
      <c r="FE28" s="339"/>
      <c r="FF28" s="339"/>
      <c r="FG28" s="339"/>
      <c r="FH28" s="339"/>
      <c r="FI28" s="339"/>
      <c r="FJ28" s="408"/>
      <c r="FK28" s="339"/>
      <c r="FL28" s="339"/>
      <c r="FM28" s="339"/>
      <c r="FN28" s="339"/>
      <c r="FO28" s="339"/>
      <c r="FP28" s="408"/>
      <c r="FQ28" s="339"/>
      <c r="FR28" s="339"/>
      <c r="FS28" s="339"/>
      <c r="FT28" s="339"/>
      <c r="FU28" s="339"/>
      <c r="FV28" s="408"/>
      <c r="FW28" s="339"/>
      <c r="FX28" s="339"/>
      <c r="FY28" s="339"/>
      <c r="FZ28" s="339"/>
      <c r="GA28" s="339"/>
      <c r="GB28" s="408"/>
      <c r="GC28" s="339"/>
      <c r="GD28" s="339"/>
      <c r="GE28" s="339"/>
      <c r="GF28" s="339"/>
      <c r="GG28" s="339"/>
      <c r="GH28" s="408"/>
      <c r="GI28" s="339"/>
      <c r="GJ28" s="339"/>
      <c r="GK28" s="339"/>
      <c r="GL28" s="339"/>
      <c r="GM28" s="339"/>
      <c r="GN28" s="408"/>
      <c r="GO28" s="339"/>
      <c r="GP28" s="339"/>
      <c r="GQ28" s="339"/>
      <c r="GR28" s="339"/>
      <c r="GS28" s="339"/>
      <c r="GT28" s="408"/>
      <c r="GU28" s="339"/>
      <c r="GV28" s="339"/>
      <c r="GW28" s="339"/>
      <c r="GX28" s="339"/>
      <c r="GY28" s="339"/>
      <c r="GZ28" s="408"/>
      <c r="HA28" s="339"/>
      <c r="HB28" s="339"/>
      <c r="HC28" s="339"/>
      <c r="HD28" s="339"/>
      <c r="HE28" s="339"/>
      <c r="HF28" s="408"/>
      <c r="HG28" s="408"/>
      <c r="HH28" s="408"/>
      <c r="HI28" s="408"/>
      <c r="HJ28" s="414"/>
      <c r="HK28" s="434"/>
      <c r="HL28" s="68">
        <v>2044</v>
      </c>
      <c r="HM28" s="435"/>
      <c r="HN28" s="68"/>
      <c r="HO28" s="68"/>
      <c r="HP28" s="68"/>
      <c r="HQ28" s="68"/>
      <c r="HR28" s="68"/>
      <c r="HS28" s="68"/>
    </row>
    <row r="29" spans="2:227" ht="27.75" customHeight="1">
      <c r="B29" s="9"/>
      <c r="C29" s="331" t="s">
        <v>671</v>
      </c>
      <c r="D29" s="332" t="s">
        <v>674</v>
      </c>
      <c r="E29" s="270"/>
      <c r="F29" s="270"/>
      <c r="G29" s="418"/>
      <c r="H29" s="152"/>
      <c r="I29" s="339"/>
      <c r="J29" s="339"/>
      <c r="K29" s="339"/>
      <c r="L29" s="436"/>
      <c r="M29" s="437"/>
      <c r="N29" s="339"/>
      <c r="O29" s="339"/>
      <c r="P29" s="428"/>
      <c r="Q29" s="42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408"/>
      <c r="EA29" s="339"/>
      <c r="EB29" s="339"/>
      <c r="EC29" s="339"/>
      <c r="ED29" s="339"/>
      <c r="EE29" s="339"/>
      <c r="EF29" s="408"/>
      <c r="EG29" s="339"/>
      <c r="EH29" s="339"/>
      <c r="EI29" s="339"/>
      <c r="EJ29" s="339"/>
      <c r="EK29" s="339"/>
      <c r="EL29" s="408"/>
      <c r="EM29" s="339"/>
      <c r="EN29" s="339"/>
      <c r="EO29" s="339"/>
      <c r="EP29" s="339"/>
      <c r="EQ29" s="339"/>
      <c r="ER29" s="408"/>
      <c r="ES29" s="339"/>
      <c r="ET29" s="339"/>
      <c r="EU29" s="339"/>
      <c r="EV29" s="339"/>
      <c r="EW29" s="339"/>
      <c r="EX29" s="408"/>
      <c r="EY29" s="339"/>
      <c r="EZ29" s="339"/>
      <c r="FA29" s="339"/>
      <c r="FB29" s="339"/>
      <c r="FC29" s="339"/>
      <c r="FD29" s="408"/>
      <c r="FE29" s="339"/>
      <c r="FF29" s="339"/>
      <c r="FG29" s="339"/>
      <c r="FH29" s="339"/>
      <c r="FI29" s="339"/>
      <c r="FJ29" s="408"/>
      <c r="FK29" s="339"/>
      <c r="FL29" s="339"/>
      <c r="FM29" s="339"/>
      <c r="FN29" s="339"/>
      <c r="FO29" s="339"/>
      <c r="FP29" s="408"/>
      <c r="FQ29" s="339"/>
      <c r="FR29" s="339"/>
      <c r="FS29" s="339"/>
      <c r="FT29" s="339"/>
      <c r="FU29" s="339"/>
      <c r="FV29" s="408"/>
      <c r="FW29" s="339"/>
      <c r="FX29" s="339"/>
      <c r="FY29" s="339"/>
      <c r="FZ29" s="339"/>
      <c r="GA29" s="339"/>
      <c r="GB29" s="408"/>
      <c r="GC29" s="339"/>
      <c r="GD29" s="339"/>
      <c r="GE29" s="339"/>
      <c r="GF29" s="339"/>
      <c r="GG29" s="339"/>
      <c r="GH29" s="408"/>
      <c r="GI29" s="339"/>
      <c r="GJ29" s="339"/>
      <c r="GK29" s="339"/>
      <c r="GL29" s="339"/>
      <c r="GM29" s="339"/>
      <c r="GN29" s="408"/>
      <c r="GO29" s="339"/>
      <c r="GP29" s="339"/>
      <c r="GQ29" s="339"/>
      <c r="GR29" s="339"/>
      <c r="GS29" s="339"/>
      <c r="GT29" s="408"/>
      <c r="GU29" s="339"/>
      <c r="GV29" s="339"/>
      <c r="GW29" s="339"/>
      <c r="GX29" s="339"/>
      <c r="GY29" s="339"/>
      <c r="GZ29" s="408"/>
      <c r="HA29" s="339"/>
      <c r="HB29" s="339"/>
      <c r="HC29" s="339"/>
      <c r="HD29" s="339"/>
      <c r="HE29" s="339"/>
      <c r="HF29" s="408"/>
      <c r="HG29" s="408"/>
      <c r="HH29" s="408"/>
      <c r="HI29" s="408"/>
      <c r="HJ29" s="414"/>
      <c r="HK29" s="68"/>
      <c r="HL29" s="68">
        <v>2045</v>
      </c>
      <c r="HM29" s="438"/>
      <c r="HN29" s="68"/>
      <c r="HO29" s="68"/>
      <c r="HP29" s="68"/>
      <c r="HQ29" s="68"/>
      <c r="HR29" s="68"/>
      <c r="HS29" s="68"/>
    </row>
    <row r="30" spans="2:227" ht="24.95" customHeight="1">
      <c r="B30" s="9"/>
      <c r="C30" s="336" t="s">
        <v>704</v>
      </c>
      <c r="D30" s="9"/>
      <c r="E30" s="346" t="s">
        <v>17</v>
      </c>
      <c r="F30" s="270"/>
      <c r="G30" s="418"/>
      <c r="H30" s="153"/>
      <c r="I30" s="339"/>
      <c r="J30" s="339"/>
      <c r="K30" s="339"/>
      <c r="L30" s="439"/>
      <c r="M30" s="440"/>
      <c r="N30" s="339"/>
      <c r="O30" s="339"/>
      <c r="P30" s="436"/>
      <c r="Q30" s="437"/>
      <c r="R30" s="339"/>
      <c r="S30" s="339"/>
      <c r="T30" s="339"/>
      <c r="U30" s="441">
        <v>2018</v>
      </c>
      <c r="V30" s="441">
        <v>2019</v>
      </c>
      <c r="W30" s="442"/>
      <c r="X30" s="442"/>
      <c r="Y30" s="442"/>
      <c r="Z30" s="442"/>
      <c r="AA30" s="442"/>
      <c r="AB30" s="441">
        <v>2020</v>
      </c>
      <c r="AC30" s="442"/>
      <c r="AD30" s="442"/>
      <c r="AE30" s="442"/>
      <c r="AF30" s="442"/>
      <c r="AG30" s="442"/>
      <c r="AH30" s="441">
        <v>2021</v>
      </c>
      <c r="AI30" s="442"/>
      <c r="AJ30" s="442"/>
      <c r="AK30" s="442"/>
      <c r="AL30" s="442"/>
      <c r="AM30" s="442"/>
      <c r="AN30" s="441">
        <v>2022</v>
      </c>
      <c r="AO30" s="442"/>
      <c r="AP30" s="442"/>
      <c r="AQ30" s="442"/>
      <c r="AR30" s="442"/>
      <c r="AS30" s="442"/>
      <c r="AT30" s="441">
        <v>2023</v>
      </c>
      <c r="AU30" s="442"/>
      <c r="AV30" s="442"/>
      <c r="AW30" s="442"/>
      <c r="AX30" s="442"/>
      <c r="AY30" s="442"/>
      <c r="AZ30" s="441">
        <v>2024</v>
      </c>
      <c r="BA30" s="442"/>
      <c r="BB30" s="442"/>
      <c r="BC30" s="442"/>
      <c r="BD30" s="442"/>
      <c r="BE30" s="442"/>
      <c r="BF30" s="441">
        <v>2025</v>
      </c>
      <c r="BG30" s="442"/>
      <c r="BH30" s="442"/>
      <c r="BI30" s="442"/>
      <c r="BJ30" s="442"/>
      <c r="BK30" s="442"/>
      <c r="BL30" s="441">
        <v>2026</v>
      </c>
      <c r="BM30" s="442"/>
      <c r="BN30" s="442"/>
      <c r="BO30" s="442"/>
      <c r="BP30" s="442"/>
      <c r="BQ30" s="442"/>
      <c r="BR30" s="441">
        <v>2027</v>
      </c>
      <c r="BS30" s="442"/>
      <c r="BT30" s="442"/>
      <c r="BU30" s="442"/>
      <c r="BV30" s="442"/>
      <c r="BW30" s="442"/>
      <c r="BX30" s="441">
        <v>2028</v>
      </c>
      <c r="BY30" s="442"/>
      <c r="BZ30" s="442"/>
      <c r="CA30" s="442"/>
      <c r="CB30" s="442"/>
      <c r="CC30" s="442"/>
      <c r="CD30" s="441">
        <v>2029</v>
      </c>
      <c r="CE30" s="442"/>
      <c r="CF30" s="442"/>
      <c r="CG30" s="442"/>
      <c r="CH30" s="442"/>
      <c r="CI30" s="442"/>
      <c r="CJ30" s="441">
        <v>2030</v>
      </c>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408"/>
      <c r="EA30" s="339"/>
      <c r="EB30" s="339"/>
      <c r="EC30" s="339"/>
      <c r="ED30" s="339"/>
      <c r="EE30" s="339"/>
      <c r="EF30" s="408"/>
      <c r="EG30" s="339"/>
      <c r="EH30" s="339"/>
      <c r="EI30" s="339"/>
      <c r="EJ30" s="339"/>
      <c r="EK30" s="339"/>
      <c r="EL30" s="408"/>
      <c r="EM30" s="339"/>
      <c r="EN30" s="339"/>
      <c r="EO30" s="339"/>
      <c r="EP30" s="339"/>
      <c r="EQ30" s="339"/>
      <c r="ER30" s="408"/>
      <c r="ES30" s="339"/>
      <c r="ET30" s="339"/>
      <c r="EU30" s="339"/>
      <c r="EV30" s="339"/>
      <c r="EW30" s="339"/>
      <c r="EX30" s="408"/>
      <c r="EY30" s="339"/>
      <c r="EZ30" s="339"/>
      <c r="FA30" s="339"/>
      <c r="FB30" s="339"/>
      <c r="FC30" s="339"/>
      <c r="FD30" s="408"/>
      <c r="FE30" s="339"/>
      <c r="FF30" s="339"/>
      <c r="FG30" s="339"/>
      <c r="FH30" s="339"/>
      <c r="FI30" s="339"/>
      <c r="FJ30" s="408"/>
      <c r="FK30" s="339"/>
      <c r="FL30" s="339"/>
      <c r="FM30" s="339"/>
      <c r="FN30" s="339"/>
      <c r="FO30" s="339"/>
      <c r="FP30" s="408"/>
      <c r="FQ30" s="339"/>
      <c r="FR30" s="339"/>
      <c r="FS30" s="339"/>
      <c r="FT30" s="339"/>
      <c r="FU30" s="339"/>
      <c r="FV30" s="408"/>
      <c r="FW30" s="339"/>
      <c r="FX30" s="339"/>
      <c r="FY30" s="339"/>
      <c r="FZ30" s="339"/>
      <c r="GA30" s="339"/>
      <c r="GB30" s="408"/>
      <c r="GC30" s="339"/>
      <c r="GD30" s="339"/>
      <c r="GE30" s="339"/>
      <c r="GF30" s="339"/>
      <c r="GG30" s="339"/>
      <c r="GH30" s="408"/>
      <c r="GI30" s="339"/>
      <c r="GJ30" s="339"/>
      <c r="GK30" s="339"/>
      <c r="GL30" s="339"/>
      <c r="GM30" s="339"/>
      <c r="GN30" s="408"/>
      <c r="GO30" s="339"/>
      <c r="GP30" s="339"/>
      <c r="GQ30" s="339"/>
      <c r="GR30" s="339"/>
      <c r="GS30" s="339"/>
      <c r="GT30" s="408"/>
      <c r="GU30" s="339"/>
      <c r="GV30" s="339"/>
      <c r="GW30" s="339"/>
      <c r="GX30" s="339"/>
      <c r="GY30" s="339"/>
      <c r="GZ30" s="408"/>
      <c r="HA30" s="339"/>
      <c r="HB30" s="339"/>
      <c r="HC30" s="339"/>
      <c r="HD30" s="339"/>
      <c r="HE30" s="339"/>
      <c r="HF30" s="408"/>
      <c r="HG30" s="408"/>
      <c r="HH30" s="408"/>
      <c r="HI30" s="408"/>
      <c r="HJ30" s="414"/>
      <c r="HK30" s="68"/>
      <c r="HL30" s="68">
        <v>2046</v>
      </c>
      <c r="HM30" s="68"/>
      <c r="HN30" s="68"/>
      <c r="HO30" s="68"/>
      <c r="HP30" s="68"/>
      <c r="HQ30" s="68"/>
      <c r="HR30" s="68"/>
      <c r="HS30" s="68"/>
    </row>
    <row r="31" spans="2:227" ht="23.25">
      <c r="B31" s="9"/>
      <c r="C31" s="673"/>
      <c r="D31" s="263" t="s">
        <v>657</v>
      </c>
      <c r="E31" s="270"/>
      <c r="F31" s="270"/>
      <c r="G31" s="418"/>
      <c r="H31" s="153"/>
      <c r="I31" s="339"/>
      <c r="J31" s="339"/>
      <c r="K31" s="339"/>
      <c r="L31" s="339"/>
      <c r="M31" s="339"/>
      <c r="N31" s="339"/>
      <c r="O31" s="339"/>
      <c r="P31" s="439"/>
      <c r="Q31" s="443"/>
      <c r="R31" s="444"/>
      <c r="S31" s="339"/>
      <c r="T31" s="445" t="s">
        <v>655</v>
      </c>
      <c r="U31" s="767">
        <v>190958</v>
      </c>
      <c r="V31" s="767">
        <v>190958</v>
      </c>
      <c r="W31" s="767"/>
      <c r="X31" s="767"/>
      <c r="Y31" s="767"/>
      <c r="Z31" s="767"/>
      <c r="AA31" s="767"/>
      <c r="AB31" s="767">
        <v>190958</v>
      </c>
      <c r="AC31" s="767"/>
      <c r="AD31" s="767"/>
      <c r="AE31" s="767"/>
      <c r="AF31" s="767"/>
      <c r="AG31" s="767"/>
      <c r="AH31" s="767">
        <v>190958</v>
      </c>
      <c r="AI31" s="767"/>
      <c r="AJ31" s="767"/>
      <c r="AK31" s="767"/>
      <c r="AL31" s="767"/>
      <c r="AM31" s="767"/>
      <c r="AN31" s="767">
        <v>190958</v>
      </c>
      <c r="AO31" s="348"/>
      <c r="AP31" s="348"/>
      <c r="AQ31" s="348"/>
      <c r="AR31" s="348"/>
      <c r="AS31" s="348"/>
      <c r="AT31" s="347"/>
      <c r="AU31" s="348"/>
      <c r="AV31" s="348"/>
      <c r="AW31" s="348"/>
      <c r="AX31" s="348"/>
      <c r="AY31" s="348"/>
      <c r="AZ31" s="347"/>
      <c r="BA31" s="348"/>
      <c r="BB31" s="348"/>
      <c r="BC31" s="348"/>
      <c r="BD31" s="348"/>
      <c r="BE31" s="348"/>
      <c r="BF31" s="347"/>
      <c r="BG31" s="348"/>
      <c r="BH31" s="348"/>
      <c r="BI31" s="348"/>
      <c r="BJ31" s="348"/>
      <c r="BK31" s="348"/>
      <c r="BL31" s="347"/>
      <c r="BM31" s="348"/>
      <c r="BN31" s="348"/>
      <c r="BO31" s="348"/>
      <c r="BP31" s="348"/>
      <c r="BQ31" s="348"/>
      <c r="BR31" s="347"/>
      <c r="BS31" s="348"/>
      <c r="BT31" s="348"/>
      <c r="BU31" s="348"/>
      <c r="BV31" s="348"/>
      <c r="BW31" s="348"/>
      <c r="BX31" s="347"/>
      <c r="BY31" s="348"/>
      <c r="BZ31" s="348"/>
      <c r="CA31" s="348"/>
      <c r="CB31" s="348"/>
      <c r="CC31" s="348"/>
      <c r="CD31" s="347"/>
      <c r="CE31" s="348"/>
      <c r="CF31" s="348"/>
      <c r="CG31" s="348"/>
      <c r="CH31" s="348"/>
      <c r="CI31" s="348"/>
      <c r="CJ31" s="347"/>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408"/>
      <c r="EA31" s="339"/>
      <c r="EB31" s="339"/>
      <c r="EC31" s="339"/>
      <c r="ED31" s="339"/>
      <c r="EE31" s="339"/>
      <c r="EF31" s="408"/>
      <c r="EG31" s="339"/>
      <c r="EH31" s="339"/>
      <c r="EI31" s="339"/>
      <c r="EJ31" s="339"/>
      <c r="EK31" s="339"/>
      <c r="EL31" s="408"/>
      <c r="EM31" s="339"/>
      <c r="EN31" s="339"/>
      <c r="EO31" s="339"/>
      <c r="EP31" s="339"/>
      <c r="EQ31" s="339"/>
      <c r="ER31" s="408"/>
      <c r="ES31" s="339"/>
      <c r="ET31" s="339"/>
      <c r="EU31" s="339"/>
      <c r="EV31" s="339"/>
      <c r="EW31" s="339"/>
      <c r="EX31" s="408"/>
      <c r="EY31" s="339"/>
      <c r="EZ31" s="339"/>
      <c r="FA31" s="339"/>
      <c r="FB31" s="339"/>
      <c r="FC31" s="339"/>
      <c r="FD31" s="408"/>
      <c r="FE31" s="339"/>
      <c r="FF31" s="339"/>
      <c r="FG31" s="339"/>
      <c r="FH31" s="339"/>
      <c r="FI31" s="339"/>
      <c r="FJ31" s="408"/>
      <c r="FK31" s="339"/>
      <c r="FL31" s="339"/>
      <c r="FM31" s="339"/>
      <c r="FN31" s="339"/>
      <c r="FO31" s="339"/>
      <c r="FP31" s="408"/>
      <c r="FQ31" s="339"/>
      <c r="FR31" s="339"/>
      <c r="FS31" s="339"/>
      <c r="FT31" s="339"/>
      <c r="FU31" s="339"/>
      <c r="FV31" s="408"/>
      <c r="FW31" s="339"/>
      <c r="FX31" s="339"/>
      <c r="FY31" s="339"/>
      <c r="FZ31" s="339"/>
      <c r="GA31" s="339"/>
      <c r="GB31" s="408"/>
      <c r="GC31" s="339"/>
      <c r="GD31" s="339"/>
      <c r="GE31" s="339"/>
      <c r="GF31" s="339"/>
      <c r="GG31" s="339"/>
      <c r="GH31" s="408"/>
      <c r="GI31" s="339"/>
      <c r="GJ31" s="339"/>
      <c r="GK31" s="339"/>
      <c r="GL31" s="339"/>
      <c r="GM31" s="339"/>
      <c r="GN31" s="408"/>
      <c r="GO31" s="339"/>
      <c r="GP31" s="339"/>
      <c r="GQ31" s="339"/>
      <c r="GR31" s="339"/>
      <c r="GS31" s="339"/>
      <c r="GT31" s="408"/>
      <c r="GU31" s="339"/>
      <c r="GV31" s="339"/>
      <c r="GW31" s="339"/>
      <c r="GX31" s="339"/>
      <c r="GY31" s="339"/>
      <c r="GZ31" s="408"/>
      <c r="HA31" s="339"/>
      <c r="HB31" s="339"/>
      <c r="HC31" s="339"/>
      <c r="HD31" s="339"/>
      <c r="HE31" s="339"/>
      <c r="HF31" s="408"/>
      <c r="HG31" s="408"/>
      <c r="HH31" s="408"/>
      <c r="HI31" s="408"/>
      <c r="HJ31" s="414"/>
      <c r="HK31" s="68"/>
      <c r="HL31" s="68">
        <v>2047</v>
      </c>
      <c r="HM31" s="68"/>
      <c r="HN31" s="68"/>
      <c r="HO31" s="68"/>
      <c r="HP31" s="68"/>
      <c r="HQ31" s="68"/>
      <c r="HR31" s="68"/>
      <c r="HS31" s="68"/>
    </row>
    <row r="32" spans="2:227" ht="23.25">
      <c r="B32" s="9"/>
      <c r="C32" s="673"/>
      <c r="D32" s="263" t="s">
        <v>670</v>
      </c>
      <c r="E32" s="270"/>
      <c r="F32" s="270"/>
      <c r="G32" s="418"/>
      <c r="H32" s="152"/>
      <c r="I32" s="339"/>
      <c r="J32" s="339"/>
      <c r="K32" s="339"/>
      <c r="L32" s="339"/>
      <c r="M32" s="339"/>
      <c r="N32" s="339"/>
      <c r="O32" s="339"/>
      <c r="P32" s="339"/>
      <c r="Q32" s="339"/>
      <c r="R32" s="339"/>
      <c r="S32" s="339"/>
      <c r="T32" s="446" t="s">
        <v>644</v>
      </c>
      <c r="U32" s="767">
        <v>0</v>
      </c>
      <c r="V32" s="767"/>
      <c r="W32" s="767"/>
      <c r="X32" s="767"/>
      <c r="Y32" s="767"/>
      <c r="Z32" s="767"/>
      <c r="AA32" s="767"/>
      <c r="AB32" s="767"/>
      <c r="AC32" s="767"/>
      <c r="AD32" s="767"/>
      <c r="AE32" s="767"/>
      <c r="AF32" s="767"/>
      <c r="AG32" s="767"/>
      <c r="AH32" s="767"/>
      <c r="AI32" s="767"/>
      <c r="AJ32" s="767"/>
      <c r="AK32" s="767"/>
      <c r="AL32" s="767"/>
      <c r="AM32" s="767"/>
      <c r="AN32" s="767"/>
      <c r="AO32" s="348"/>
      <c r="AP32" s="348"/>
      <c r="AQ32" s="348"/>
      <c r="AR32" s="348"/>
      <c r="AS32" s="348"/>
      <c r="AT32" s="347"/>
      <c r="AU32" s="348"/>
      <c r="AV32" s="348"/>
      <c r="AW32" s="348"/>
      <c r="AX32" s="348"/>
      <c r="AY32" s="348"/>
      <c r="AZ32" s="347"/>
      <c r="BA32" s="348"/>
      <c r="BB32" s="348"/>
      <c r="BC32" s="348"/>
      <c r="BD32" s="348"/>
      <c r="BE32" s="348"/>
      <c r="BF32" s="347"/>
      <c r="BG32" s="348"/>
      <c r="BH32" s="348"/>
      <c r="BI32" s="348"/>
      <c r="BJ32" s="348"/>
      <c r="BK32" s="348"/>
      <c r="BL32" s="347"/>
      <c r="BM32" s="348"/>
      <c r="BN32" s="348"/>
      <c r="BO32" s="348"/>
      <c r="BP32" s="348"/>
      <c r="BQ32" s="348"/>
      <c r="BR32" s="347"/>
      <c r="BS32" s="348"/>
      <c r="BT32" s="348"/>
      <c r="BU32" s="348"/>
      <c r="BV32" s="348"/>
      <c r="BW32" s="348"/>
      <c r="BX32" s="347"/>
      <c r="BY32" s="348"/>
      <c r="BZ32" s="348"/>
      <c r="CA32" s="348"/>
      <c r="CB32" s="348"/>
      <c r="CC32" s="348"/>
      <c r="CD32" s="347"/>
      <c r="CE32" s="348"/>
      <c r="CF32" s="348"/>
      <c r="CG32" s="348"/>
      <c r="CH32" s="348"/>
      <c r="CI32" s="348"/>
      <c r="CJ32" s="347"/>
      <c r="CK32" s="339"/>
      <c r="CL32" s="339"/>
      <c r="CM32" s="339"/>
      <c r="CN32" s="339"/>
      <c r="CO32" s="339"/>
      <c r="CP32" s="339"/>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339"/>
      <c r="DU32" s="339"/>
      <c r="DV32" s="339"/>
      <c r="DW32" s="339"/>
      <c r="DX32" s="339"/>
      <c r="DY32" s="339"/>
      <c r="DZ32" s="408"/>
      <c r="EA32" s="339"/>
      <c r="EB32" s="339"/>
      <c r="EC32" s="339"/>
      <c r="ED32" s="339"/>
      <c r="EE32" s="339"/>
      <c r="EF32" s="408"/>
      <c r="EG32" s="339"/>
      <c r="EH32" s="339"/>
      <c r="EI32" s="339"/>
      <c r="EJ32" s="339"/>
      <c r="EK32" s="339"/>
      <c r="EL32" s="408"/>
      <c r="EM32" s="339"/>
      <c r="EN32" s="339"/>
      <c r="EO32" s="339"/>
      <c r="EP32" s="339"/>
      <c r="EQ32" s="339"/>
      <c r="ER32" s="408"/>
      <c r="ES32" s="339"/>
      <c r="ET32" s="339"/>
      <c r="EU32" s="339"/>
      <c r="EV32" s="339"/>
      <c r="EW32" s="339"/>
      <c r="EX32" s="408"/>
      <c r="EY32" s="339"/>
      <c r="EZ32" s="339"/>
      <c r="FA32" s="339"/>
      <c r="FB32" s="339"/>
      <c r="FC32" s="339"/>
      <c r="FD32" s="408"/>
      <c r="FE32" s="339"/>
      <c r="FF32" s="339"/>
      <c r="FG32" s="339"/>
      <c r="FH32" s="339"/>
      <c r="FI32" s="339"/>
      <c r="FJ32" s="408"/>
      <c r="FK32" s="339"/>
      <c r="FL32" s="339"/>
      <c r="FM32" s="339"/>
      <c r="FN32" s="339"/>
      <c r="FO32" s="339"/>
      <c r="FP32" s="408"/>
      <c r="FQ32" s="339"/>
      <c r="FR32" s="339"/>
      <c r="FS32" s="339"/>
      <c r="FT32" s="339"/>
      <c r="FU32" s="339"/>
      <c r="FV32" s="408"/>
      <c r="FW32" s="339"/>
      <c r="FX32" s="339"/>
      <c r="FY32" s="339"/>
      <c r="FZ32" s="339"/>
      <c r="GA32" s="339"/>
      <c r="GB32" s="408"/>
      <c r="GC32" s="339"/>
      <c r="GD32" s="339"/>
      <c r="GE32" s="339"/>
      <c r="GF32" s="339"/>
      <c r="GG32" s="339"/>
      <c r="GH32" s="408"/>
      <c r="GI32" s="339"/>
      <c r="GJ32" s="339"/>
      <c r="GK32" s="339"/>
      <c r="GL32" s="339"/>
      <c r="GM32" s="339"/>
      <c r="GN32" s="408"/>
      <c r="GO32" s="339"/>
      <c r="GP32" s="339"/>
      <c r="GQ32" s="339"/>
      <c r="GR32" s="339"/>
      <c r="GS32" s="339"/>
      <c r="GT32" s="408"/>
      <c r="GU32" s="339"/>
      <c r="GV32" s="339"/>
      <c r="GW32" s="339"/>
      <c r="GX32" s="339"/>
      <c r="GY32" s="339"/>
      <c r="GZ32" s="408"/>
      <c r="HA32" s="339"/>
      <c r="HB32" s="339"/>
      <c r="HC32" s="339"/>
      <c r="HD32" s="339"/>
      <c r="HE32" s="339"/>
      <c r="HF32" s="408"/>
      <c r="HG32" s="408"/>
      <c r="HH32" s="408"/>
      <c r="HI32" s="408"/>
      <c r="HJ32" s="414"/>
      <c r="HK32" s="426"/>
      <c r="HL32" s="68">
        <v>2048</v>
      </c>
      <c r="HM32" s="427"/>
      <c r="HN32" s="68"/>
      <c r="HO32" s="68"/>
      <c r="HP32" s="68"/>
      <c r="HQ32" s="68"/>
      <c r="HR32" s="68"/>
      <c r="HS32" s="68"/>
    </row>
    <row r="33" spans="1:227" ht="24.75" customHeight="1">
      <c r="B33" s="9"/>
      <c r="C33" s="673"/>
      <c r="D33" s="263" t="s">
        <v>658</v>
      </c>
      <c r="E33" s="270"/>
      <c r="F33" s="270"/>
      <c r="G33" s="418"/>
      <c r="H33" s="154"/>
      <c r="I33" s="339"/>
      <c r="J33" s="339"/>
      <c r="K33" s="339"/>
      <c r="L33" s="339"/>
      <c r="M33" s="339"/>
      <c r="N33" s="339"/>
      <c r="O33" s="339"/>
      <c r="P33" s="339"/>
      <c r="Q33" s="339"/>
      <c r="R33" s="339"/>
      <c r="S33" s="339"/>
      <c r="T33" s="448" t="s">
        <v>646</v>
      </c>
      <c r="U33" s="767">
        <v>817.72</v>
      </c>
      <c r="V33" s="767">
        <v>818</v>
      </c>
      <c r="W33" s="767"/>
      <c r="X33" s="767"/>
      <c r="Y33" s="767"/>
      <c r="Z33" s="767"/>
      <c r="AA33" s="767"/>
      <c r="AB33" s="767">
        <v>818</v>
      </c>
      <c r="AC33" s="767"/>
      <c r="AD33" s="767"/>
      <c r="AE33" s="767"/>
      <c r="AF33" s="767"/>
      <c r="AG33" s="767"/>
      <c r="AH33" s="767">
        <v>818</v>
      </c>
      <c r="AI33" s="767"/>
      <c r="AJ33" s="767"/>
      <c r="AK33" s="767"/>
      <c r="AL33" s="767"/>
      <c r="AM33" s="767"/>
      <c r="AN33" s="767">
        <v>818</v>
      </c>
      <c r="AO33" s="347"/>
      <c r="AP33" s="347"/>
      <c r="AQ33" s="347"/>
      <c r="AR33" s="347"/>
      <c r="AS33" s="347"/>
      <c r="AT33" s="347"/>
      <c r="AU33" s="348"/>
      <c r="AV33" s="348"/>
      <c r="AW33" s="348"/>
      <c r="AX33" s="348"/>
      <c r="AY33" s="348"/>
      <c r="AZ33" s="347"/>
      <c r="BA33" s="348"/>
      <c r="BB33" s="348"/>
      <c r="BC33" s="348"/>
      <c r="BD33" s="348"/>
      <c r="BE33" s="348"/>
      <c r="BF33" s="347"/>
      <c r="BG33" s="348"/>
      <c r="BH33" s="348"/>
      <c r="BI33" s="348"/>
      <c r="BJ33" s="348"/>
      <c r="BK33" s="348"/>
      <c r="BL33" s="347"/>
      <c r="BM33" s="348"/>
      <c r="BN33" s="348"/>
      <c r="BO33" s="348"/>
      <c r="BP33" s="348"/>
      <c r="BQ33" s="348"/>
      <c r="BR33" s="347"/>
      <c r="BS33" s="348"/>
      <c r="BT33" s="348"/>
      <c r="BU33" s="348"/>
      <c r="BV33" s="348"/>
      <c r="BW33" s="348"/>
      <c r="BX33" s="347"/>
      <c r="BY33" s="348"/>
      <c r="BZ33" s="348"/>
      <c r="CA33" s="348"/>
      <c r="CB33" s="348"/>
      <c r="CC33" s="348"/>
      <c r="CD33" s="347"/>
      <c r="CE33" s="348"/>
      <c r="CF33" s="348"/>
      <c r="CG33" s="348"/>
      <c r="CH33" s="348"/>
      <c r="CI33" s="348"/>
      <c r="CJ33" s="347"/>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408"/>
      <c r="EA33" s="339"/>
      <c r="EB33" s="339"/>
      <c r="EC33" s="339"/>
      <c r="ED33" s="339"/>
      <c r="EE33" s="339"/>
      <c r="EF33" s="408"/>
      <c r="EG33" s="339"/>
      <c r="EH33" s="339"/>
      <c r="EI33" s="339"/>
      <c r="EJ33" s="339"/>
      <c r="EK33" s="339"/>
      <c r="EL33" s="408"/>
      <c r="EM33" s="339"/>
      <c r="EN33" s="339"/>
      <c r="EO33" s="339"/>
      <c r="EP33" s="339"/>
      <c r="EQ33" s="339"/>
      <c r="ER33" s="408"/>
      <c r="ES33" s="339"/>
      <c r="ET33" s="339"/>
      <c r="EU33" s="339"/>
      <c r="EV33" s="339"/>
      <c r="EW33" s="339"/>
      <c r="EX33" s="408"/>
      <c r="EY33" s="339"/>
      <c r="EZ33" s="339"/>
      <c r="FA33" s="339"/>
      <c r="FB33" s="339"/>
      <c r="FC33" s="339"/>
      <c r="FD33" s="408"/>
      <c r="FE33" s="339"/>
      <c r="FF33" s="339"/>
      <c r="FG33" s="339"/>
      <c r="FH33" s="339"/>
      <c r="FI33" s="339"/>
      <c r="FJ33" s="408"/>
      <c r="FK33" s="339"/>
      <c r="FL33" s="339"/>
      <c r="FM33" s="339"/>
      <c r="FN33" s="339"/>
      <c r="FO33" s="339"/>
      <c r="FP33" s="408"/>
      <c r="FQ33" s="339"/>
      <c r="FR33" s="339"/>
      <c r="FS33" s="339"/>
      <c r="FT33" s="339"/>
      <c r="FU33" s="339"/>
      <c r="FV33" s="408"/>
      <c r="FW33" s="339"/>
      <c r="FX33" s="339"/>
      <c r="FY33" s="339"/>
      <c r="FZ33" s="339"/>
      <c r="GA33" s="339"/>
      <c r="GB33" s="408"/>
      <c r="GC33" s="339"/>
      <c r="GD33" s="339"/>
      <c r="GE33" s="339"/>
      <c r="GF33" s="339"/>
      <c r="GG33" s="339"/>
      <c r="GH33" s="408"/>
      <c r="GI33" s="339"/>
      <c r="GJ33" s="339"/>
      <c r="GK33" s="339"/>
      <c r="GL33" s="339"/>
      <c r="GM33" s="339"/>
      <c r="GN33" s="408"/>
      <c r="GO33" s="339"/>
      <c r="GP33" s="339"/>
      <c r="GQ33" s="339"/>
      <c r="GR33" s="339"/>
      <c r="GS33" s="339"/>
      <c r="GT33" s="408"/>
      <c r="GU33" s="339"/>
      <c r="GV33" s="339"/>
      <c r="GW33" s="339"/>
      <c r="GX33" s="339"/>
      <c r="GY33" s="339"/>
      <c r="GZ33" s="408"/>
      <c r="HA33" s="339"/>
      <c r="HB33" s="339"/>
      <c r="HC33" s="339"/>
      <c r="HD33" s="339"/>
      <c r="HE33" s="339"/>
      <c r="HF33" s="408"/>
      <c r="HG33" s="408"/>
      <c r="HH33" s="408"/>
      <c r="HI33" s="408"/>
      <c r="HJ33" s="414"/>
      <c r="HK33" s="430"/>
      <c r="HL33" s="68">
        <v>2049</v>
      </c>
      <c r="HM33" s="431"/>
      <c r="HN33" s="68"/>
      <c r="HO33" s="68"/>
      <c r="HP33" s="68"/>
      <c r="HQ33" s="68"/>
      <c r="HR33" s="68"/>
      <c r="HS33" s="68"/>
    </row>
    <row r="34" spans="1:227" ht="24.75" customHeight="1">
      <c r="B34" s="9"/>
      <c r="C34" s="673" t="s">
        <v>661</v>
      </c>
      <c r="D34" s="263" t="s">
        <v>660</v>
      </c>
      <c r="E34" s="272"/>
      <c r="F34" s="270"/>
      <c r="G34" s="418"/>
      <c r="H34" s="154"/>
      <c r="I34" s="339"/>
      <c r="J34" s="339"/>
      <c r="K34" s="339"/>
      <c r="L34" s="339"/>
      <c r="M34" s="339"/>
      <c r="N34" s="339"/>
      <c r="O34" s="339"/>
      <c r="P34" s="339"/>
      <c r="Q34" s="339"/>
      <c r="R34" s="339"/>
      <c r="S34" s="339"/>
      <c r="T34" s="449" t="s">
        <v>634</v>
      </c>
      <c r="U34" s="756">
        <f>U31+(U32*9.786)+(U33*278)</f>
        <v>418284.16000000003</v>
      </c>
      <c r="V34" s="756">
        <f t="shared" ref="V34:CG34" si="0">V31+(V32*9.786)+(V33*278)</f>
        <v>418362</v>
      </c>
      <c r="W34" s="756">
        <f t="shared" si="0"/>
        <v>0</v>
      </c>
      <c r="X34" s="756">
        <f t="shared" si="0"/>
        <v>0</v>
      </c>
      <c r="Y34" s="756">
        <f t="shared" si="0"/>
        <v>0</v>
      </c>
      <c r="Z34" s="756">
        <f t="shared" si="0"/>
        <v>0</v>
      </c>
      <c r="AA34" s="756">
        <f t="shared" si="0"/>
        <v>0</v>
      </c>
      <c r="AB34" s="756">
        <f t="shared" si="0"/>
        <v>418362</v>
      </c>
      <c r="AC34" s="756">
        <f t="shared" si="0"/>
        <v>0</v>
      </c>
      <c r="AD34" s="756">
        <f t="shared" si="0"/>
        <v>0</v>
      </c>
      <c r="AE34" s="756">
        <f t="shared" si="0"/>
        <v>0</v>
      </c>
      <c r="AF34" s="756">
        <f t="shared" si="0"/>
        <v>0</v>
      </c>
      <c r="AG34" s="756">
        <f t="shared" si="0"/>
        <v>0</v>
      </c>
      <c r="AH34" s="756">
        <f t="shared" si="0"/>
        <v>418362</v>
      </c>
      <c r="AI34" s="756">
        <f t="shared" si="0"/>
        <v>0</v>
      </c>
      <c r="AJ34" s="756">
        <f t="shared" si="0"/>
        <v>0</v>
      </c>
      <c r="AK34" s="756">
        <f t="shared" si="0"/>
        <v>0</v>
      </c>
      <c r="AL34" s="756">
        <f t="shared" si="0"/>
        <v>0</v>
      </c>
      <c r="AM34" s="756">
        <f t="shared" si="0"/>
        <v>0</v>
      </c>
      <c r="AN34" s="756">
        <f t="shared" si="0"/>
        <v>418362</v>
      </c>
      <c r="AO34" s="756">
        <f t="shared" si="0"/>
        <v>0</v>
      </c>
      <c r="AP34" s="756">
        <f t="shared" si="0"/>
        <v>0</v>
      </c>
      <c r="AQ34" s="756">
        <f t="shared" si="0"/>
        <v>0</v>
      </c>
      <c r="AR34" s="756">
        <f t="shared" si="0"/>
        <v>0</v>
      </c>
      <c r="AS34" s="756">
        <f t="shared" si="0"/>
        <v>0</v>
      </c>
      <c r="AT34" s="756">
        <f t="shared" si="0"/>
        <v>0</v>
      </c>
      <c r="AU34" s="756">
        <f t="shared" si="0"/>
        <v>0</v>
      </c>
      <c r="AV34" s="756">
        <f t="shared" si="0"/>
        <v>0</v>
      </c>
      <c r="AW34" s="756">
        <f t="shared" si="0"/>
        <v>0</v>
      </c>
      <c r="AX34" s="756">
        <f t="shared" si="0"/>
        <v>0</v>
      </c>
      <c r="AY34" s="756">
        <f t="shared" si="0"/>
        <v>0</v>
      </c>
      <c r="AZ34" s="756">
        <f t="shared" si="0"/>
        <v>0</v>
      </c>
      <c r="BA34" s="756">
        <f t="shared" si="0"/>
        <v>0</v>
      </c>
      <c r="BB34" s="756">
        <f t="shared" si="0"/>
        <v>0</v>
      </c>
      <c r="BC34" s="756">
        <f t="shared" si="0"/>
        <v>0</v>
      </c>
      <c r="BD34" s="756">
        <f t="shared" si="0"/>
        <v>0</v>
      </c>
      <c r="BE34" s="756">
        <f t="shared" si="0"/>
        <v>0</v>
      </c>
      <c r="BF34" s="756">
        <f t="shared" si="0"/>
        <v>0</v>
      </c>
      <c r="BG34" s="756">
        <f t="shared" si="0"/>
        <v>0</v>
      </c>
      <c r="BH34" s="756">
        <f t="shared" si="0"/>
        <v>0</v>
      </c>
      <c r="BI34" s="756">
        <f t="shared" si="0"/>
        <v>0</v>
      </c>
      <c r="BJ34" s="756">
        <f t="shared" si="0"/>
        <v>0</v>
      </c>
      <c r="BK34" s="756">
        <f t="shared" si="0"/>
        <v>0</v>
      </c>
      <c r="BL34" s="756">
        <f t="shared" si="0"/>
        <v>0</v>
      </c>
      <c r="BM34" s="756">
        <f t="shared" si="0"/>
        <v>0</v>
      </c>
      <c r="BN34" s="756">
        <f t="shared" si="0"/>
        <v>0</v>
      </c>
      <c r="BO34" s="756">
        <f t="shared" si="0"/>
        <v>0</v>
      </c>
      <c r="BP34" s="756">
        <f t="shared" si="0"/>
        <v>0</v>
      </c>
      <c r="BQ34" s="756">
        <f t="shared" si="0"/>
        <v>0</v>
      </c>
      <c r="BR34" s="756">
        <f t="shared" si="0"/>
        <v>0</v>
      </c>
      <c r="BS34" s="756">
        <f t="shared" si="0"/>
        <v>0</v>
      </c>
      <c r="BT34" s="756">
        <f t="shared" si="0"/>
        <v>0</v>
      </c>
      <c r="BU34" s="756">
        <f t="shared" si="0"/>
        <v>0</v>
      </c>
      <c r="BV34" s="756">
        <f t="shared" si="0"/>
        <v>0</v>
      </c>
      <c r="BW34" s="756">
        <f t="shared" si="0"/>
        <v>0</v>
      </c>
      <c r="BX34" s="756">
        <f t="shared" si="0"/>
        <v>0</v>
      </c>
      <c r="BY34" s="756">
        <f t="shared" si="0"/>
        <v>0</v>
      </c>
      <c r="BZ34" s="756">
        <f t="shared" si="0"/>
        <v>0</v>
      </c>
      <c r="CA34" s="756">
        <f t="shared" si="0"/>
        <v>0</v>
      </c>
      <c r="CB34" s="756">
        <f t="shared" si="0"/>
        <v>0</v>
      </c>
      <c r="CC34" s="756">
        <f t="shared" si="0"/>
        <v>0</v>
      </c>
      <c r="CD34" s="756">
        <f t="shared" si="0"/>
        <v>0</v>
      </c>
      <c r="CE34" s="756">
        <f t="shared" si="0"/>
        <v>0</v>
      </c>
      <c r="CF34" s="756">
        <f t="shared" si="0"/>
        <v>0</v>
      </c>
      <c r="CG34" s="756">
        <f t="shared" si="0"/>
        <v>0</v>
      </c>
      <c r="CH34" s="756">
        <f>CH31+(CH32*9.786)+(CH33*278)</f>
        <v>0</v>
      </c>
      <c r="CI34" s="756">
        <f>CI31+(CI32*9.786)+(CI33*278)</f>
        <v>0</v>
      </c>
      <c r="CJ34" s="756">
        <f>CJ31+(CJ32*9.786)+(CJ33*278)</f>
        <v>0</v>
      </c>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408"/>
      <c r="EA34" s="339"/>
      <c r="EB34" s="339"/>
      <c r="EC34" s="339"/>
      <c r="ED34" s="339"/>
      <c r="EE34" s="339"/>
      <c r="EF34" s="408"/>
      <c r="EG34" s="339"/>
      <c r="EH34" s="339"/>
      <c r="EI34" s="339"/>
      <c r="EJ34" s="339"/>
      <c r="EK34" s="339"/>
      <c r="EL34" s="408"/>
      <c r="EM34" s="339"/>
      <c r="EN34" s="339"/>
      <c r="EO34" s="339"/>
      <c r="EP34" s="339"/>
      <c r="EQ34" s="339"/>
      <c r="ER34" s="408"/>
      <c r="ES34" s="339"/>
      <c r="ET34" s="339"/>
      <c r="EU34" s="339"/>
      <c r="EV34" s="339"/>
      <c r="EW34" s="339"/>
      <c r="EX34" s="408"/>
      <c r="EY34" s="339"/>
      <c r="EZ34" s="339"/>
      <c r="FA34" s="339"/>
      <c r="FB34" s="339"/>
      <c r="FC34" s="339"/>
      <c r="FD34" s="408"/>
      <c r="FE34" s="339"/>
      <c r="FF34" s="339"/>
      <c r="FG34" s="339"/>
      <c r="FH34" s="339"/>
      <c r="FI34" s="339"/>
      <c r="FJ34" s="408"/>
      <c r="FK34" s="339"/>
      <c r="FL34" s="339"/>
      <c r="FM34" s="339"/>
      <c r="FN34" s="339"/>
      <c r="FO34" s="339"/>
      <c r="FP34" s="408"/>
      <c r="FQ34" s="339"/>
      <c r="FR34" s="339"/>
      <c r="FS34" s="339"/>
      <c r="FT34" s="339"/>
      <c r="FU34" s="339"/>
      <c r="FV34" s="408"/>
      <c r="FW34" s="339"/>
      <c r="FX34" s="339"/>
      <c r="FY34" s="339"/>
      <c r="FZ34" s="339"/>
      <c r="GA34" s="339"/>
      <c r="GB34" s="408"/>
      <c r="GC34" s="339"/>
      <c r="GD34" s="339"/>
      <c r="GE34" s="339"/>
      <c r="GF34" s="339"/>
      <c r="GG34" s="339"/>
      <c r="GH34" s="408"/>
      <c r="GI34" s="339"/>
      <c r="GJ34" s="339"/>
      <c r="GK34" s="339"/>
      <c r="GL34" s="339"/>
      <c r="GM34" s="339"/>
      <c r="GN34" s="408"/>
      <c r="GO34" s="339"/>
      <c r="GP34" s="339"/>
      <c r="GQ34" s="339"/>
      <c r="GR34" s="339"/>
      <c r="GS34" s="339"/>
      <c r="GT34" s="408"/>
      <c r="GU34" s="339"/>
      <c r="GV34" s="339"/>
      <c r="GW34" s="339"/>
      <c r="GX34" s="339"/>
      <c r="GY34" s="339"/>
      <c r="GZ34" s="408"/>
      <c r="HA34" s="339"/>
      <c r="HB34" s="339"/>
      <c r="HC34" s="339"/>
      <c r="HD34" s="339"/>
      <c r="HE34" s="339"/>
      <c r="HF34" s="408"/>
      <c r="HG34" s="408"/>
      <c r="HH34" s="408"/>
      <c r="HI34" s="408"/>
      <c r="HJ34" s="414"/>
      <c r="HK34" s="434"/>
      <c r="HL34" s="68" t="s">
        <v>92</v>
      </c>
      <c r="HM34" s="435"/>
      <c r="HN34" s="68"/>
      <c r="HO34" s="68"/>
      <c r="HP34" s="68"/>
      <c r="HQ34" s="68"/>
      <c r="HR34" s="68"/>
      <c r="HS34" s="68"/>
    </row>
    <row r="35" spans="1:227" ht="23.25" customHeight="1">
      <c r="B35" s="9"/>
      <c r="C35" s="674" t="str">
        <f>START!F14</f>
        <v>[0000 0000]</v>
      </c>
      <c r="D35" s="263" t="s">
        <v>659</v>
      </c>
      <c r="E35" s="272"/>
      <c r="F35" s="270"/>
      <c r="G35" s="418"/>
      <c r="H35" s="152"/>
      <c r="I35" s="339"/>
      <c r="J35" s="339"/>
      <c r="K35" s="339"/>
      <c r="L35" s="339"/>
      <c r="M35" s="339"/>
      <c r="N35" s="339"/>
      <c r="O35" s="339"/>
      <c r="P35" s="339"/>
      <c r="Q35" s="339"/>
      <c r="R35" s="339"/>
      <c r="S35" s="339"/>
      <c r="T35" s="449" t="s">
        <v>495</v>
      </c>
      <c r="U35" s="757">
        <f t="shared" ref="U35:AN35" si="1">IF(U222=0,0,U34/U222)</f>
        <v>192.70794633642933</v>
      </c>
      <c r="V35" s="757">
        <f t="shared" si="1"/>
        <v>192.7438080495356</v>
      </c>
      <c r="W35" s="757">
        <f t="shared" si="1"/>
        <v>0</v>
      </c>
      <c r="X35" s="757">
        <f t="shared" si="1"/>
        <v>0</v>
      </c>
      <c r="Y35" s="757">
        <f t="shared" si="1"/>
        <v>0</v>
      </c>
      <c r="Z35" s="757">
        <f t="shared" si="1"/>
        <v>0</v>
      </c>
      <c r="AA35" s="757">
        <f t="shared" si="1"/>
        <v>0</v>
      </c>
      <c r="AB35" s="757">
        <f t="shared" si="1"/>
        <v>192.7438080495356</v>
      </c>
      <c r="AC35" s="757">
        <f t="shared" si="1"/>
        <v>0</v>
      </c>
      <c r="AD35" s="757">
        <f t="shared" si="1"/>
        <v>0</v>
      </c>
      <c r="AE35" s="757">
        <f t="shared" si="1"/>
        <v>0</v>
      </c>
      <c r="AF35" s="757">
        <f t="shared" si="1"/>
        <v>0</v>
      </c>
      <c r="AG35" s="757">
        <f t="shared" si="1"/>
        <v>0</v>
      </c>
      <c r="AH35" s="757">
        <f t="shared" si="1"/>
        <v>192.7438080495356</v>
      </c>
      <c r="AI35" s="757">
        <f t="shared" si="1"/>
        <v>0</v>
      </c>
      <c r="AJ35" s="757">
        <f t="shared" si="1"/>
        <v>0</v>
      </c>
      <c r="AK35" s="757">
        <f t="shared" si="1"/>
        <v>0</v>
      </c>
      <c r="AL35" s="757">
        <f t="shared" si="1"/>
        <v>0</v>
      </c>
      <c r="AM35" s="757">
        <f t="shared" si="1"/>
        <v>0</v>
      </c>
      <c r="AN35" s="757">
        <f t="shared" si="1"/>
        <v>192.7438080495356</v>
      </c>
      <c r="AO35" s="757"/>
      <c r="AP35" s="757"/>
      <c r="AQ35" s="757"/>
      <c r="AR35" s="757"/>
      <c r="AS35" s="757"/>
      <c r="AT35" s="757">
        <f t="shared" ref="AT35:CJ35" si="2">IF(AT222=0,0,AT34/AT222)</f>
        <v>0</v>
      </c>
      <c r="AU35" s="757">
        <f t="shared" si="2"/>
        <v>0</v>
      </c>
      <c r="AV35" s="757">
        <f t="shared" si="2"/>
        <v>0</v>
      </c>
      <c r="AW35" s="757">
        <f t="shared" si="2"/>
        <v>0</v>
      </c>
      <c r="AX35" s="757">
        <f t="shared" si="2"/>
        <v>0</v>
      </c>
      <c r="AY35" s="757">
        <f t="shared" si="2"/>
        <v>0</v>
      </c>
      <c r="AZ35" s="757">
        <f t="shared" si="2"/>
        <v>0</v>
      </c>
      <c r="BA35" s="757">
        <f t="shared" si="2"/>
        <v>0</v>
      </c>
      <c r="BB35" s="757">
        <f t="shared" si="2"/>
        <v>0</v>
      </c>
      <c r="BC35" s="757">
        <f t="shared" si="2"/>
        <v>0</v>
      </c>
      <c r="BD35" s="757">
        <f t="shared" si="2"/>
        <v>0</v>
      </c>
      <c r="BE35" s="757">
        <f t="shared" si="2"/>
        <v>0</v>
      </c>
      <c r="BF35" s="757">
        <f t="shared" si="2"/>
        <v>0</v>
      </c>
      <c r="BG35" s="757">
        <f t="shared" si="2"/>
        <v>0</v>
      </c>
      <c r="BH35" s="757">
        <f t="shared" si="2"/>
        <v>0</v>
      </c>
      <c r="BI35" s="757">
        <f t="shared" si="2"/>
        <v>0</v>
      </c>
      <c r="BJ35" s="757">
        <f t="shared" si="2"/>
        <v>0</v>
      </c>
      <c r="BK35" s="757">
        <f t="shared" si="2"/>
        <v>0</v>
      </c>
      <c r="BL35" s="757">
        <f t="shared" si="2"/>
        <v>0</v>
      </c>
      <c r="BM35" s="757">
        <f t="shared" si="2"/>
        <v>0</v>
      </c>
      <c r="BN35" s="757">
        <f t="shared" si="2"/>
        <v>0</v>
      </c>
      <c r="BO35" s="757">
        <f t="shared" si="2"/>
        <v>0</v>
      </c>
      <c r="BP35" s="757">
        <f t="shared" si="2"/>
        <v>0</v>
      </c>
      <c r="BQ35" s="757">
        <f t="shared" si="2"/>
        <v>0</v>
      </c>
      <c r="BR35" s="757">
        <f t="shared" si="2"/>
        <v>0</v>
      </c>
      <c r="BS35" s="757">
        <f t="shared" si="2"/>
        <v>0</v>
      </c>
      <c r="BT35" s="757">
        <f t="shared" si="2"/>
        <v>0</v>
      </c>
      <c r="BU35" s="757">
        <f t="shared" si="2"/>
        <v>0</v>
      </c>
      <c r="BV35" s="757">
        <f t="shared" si="2"/>
        <v>0</v>
      </c>
      <c r="BW35" s="757">
        <f t="shared" si="2"/>
        <v>0</v>
      </c>
      <c r="BX35" s="757">
        <f t="shared" si="2"/>
        <v>0</v>
      </c>
      <c r="BY35" s="757">
        <f t="shared" si="2"/>
        <v>0</v>
      </c>
      <c r="BZ35" s="757">
        <f t="shared" si="2"/>
        <v>0</v>
      </c>
      <c r="CA35" s="757">
        <f t="shared" si="2"/>
        <v>0</v>
      </c>
      <c r="CB35" s="757">
        <f t="shared" si="2"/>
        <v>0</v>
      </c>
      <c r="CC35" s="757">
        <f t="shared" si="2"/>
        <v>0</v>
      </c>
      <c r="CD35" s="757">
        <f t="shared" si="2"/>
        <v>0</v>
      </c>
      <c r="CE35" s="757">
        <f t="shared" si="2"/>
        <v>0</v>
      </c>
      <c r="CF35" s="757">
        <f t="shared" si="2"/>
        <v>0</v>
      </c>
      <c r="CG35" s="757">
        <f t="shared" si="2"/>
        <v>0</v>
      </c>
      <c r="CH35" s="757">
        <f t="shared" si="2"/>
        <v>0</v>
      </c>
      <c r="CI35" s="757">
        <f t="shared" si="2"/>
        <v>0</v>
      </c>
      <c r="CJ35" s="757">
        <f t="shared" si="2"/>
        <v>0</v>
      </c>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408"/>
      <c r="EA35" s="339"/>
      <c r="EB35" s="339"/>
      <c r="EC35" s="339"/>
      <c r="ED35" s="339"/>
      <c r="EE35" s="339"/>
      <c r="EF35" s="408"/>
      <c r="EG35" s="339"/>
      <c r="EH35" s="339"/>
      <c r="EI35" s="339"/>
      <c r="EJ35" s="339"/>
      <c r="EK35" s="339"/>
      <c r="EL35" s="408"/>
      <c r="EM35" s="339"/>
      <c r="EN35" s="339"/>
      <c r="EO35" s="339"/>
      <c r="EP35" s="339"/>
      <c r="EQ35" s="339"/>
      <c r="ER35" s="408"/>
      <c r="ES35" s="339"/>
      <c r="ET35" s="339"/>
      <c r="EU35" s="339"/>
      <c r="EV35" s="339"/>
      <c r="EW35" s="339"/>
      <c r="EX35" s="408"/>
      <c r="EY35" s="339"/>
      <c r="EZ35" s="339"/>
      <c r="FA35" s="339"/>
      <c r="FB35" s="339"/>
      <c r="FC35" s="339"/>
      <c r="FD35" s="408"/>
      <c r="FE35" s="339"/>
      <c r="FF35" s="339"/>
      <c r="FG35" s="339"/>
      <c r="FH35" s="339"/>
      <c r="FI35" s="339"/>
      <c r="FJ35" s="408"/>
      <c r="FK35" s="339"/>
      <c r="FL35" s="339"/>
      <c r="FM35" s="339"/>
      <c r="FN35" s="339"/>
      <c r="FO35" s="339"/>
      <c r="FP35" s="408"/>
      <c r="FQ35" s="339"/>
      <c r="FR35" s="339"/>
      <c r="FS35" s="339"/>
      <c r="FT35" s="339"/>
      <c r="FU35" s="339"/>
      <c r="FV35" s="408"/>
      <c r="FW35" s="339"/>
      <c r="FX35" s="339"/>
      <c r="FY35" s="339"/>
      <c r="FZ35" s="339"/>
      <c r="GA35" s="339"/>
      <c r="GB35" s="408"/>
      <c r="GC35" s="339"/>
      <c r="GD35" s="339"/>
      <c r="GE35" s="339"/>
      <c r="GF35" s="339"/>
      <c r="GG35" s="339"/>
      <c r="GH35" s="408"/>
      <c r="GI35" s="339"/>
      <c r="GJ35" s="339"/>
      <c r="GK35" s="339"/>
      <c r="GL35" s="339"/>
      <c r="GM35" s="339"/>
      <c r="GN35" s="408"/>
      <c r="GO35" s="339"/>
      <c r="GP35" s="339"/>
      <c r="GQ35" s="339"/>
      <c r="GR35" s="339"/>
      <c r="GS35" s="339"/>
      <c r="GT35" s="408"/>
      <c r="GU35" s="339"/>
      <c r="GV35" s="339"/>
      <c r="GW35" s="339"/>
      <c r="GX35" s="339"/>
      <c r="GY35" s="339"/>
      <c r="GZ35" s="408"/>
      <c r="HA35" s="339"/>
      <c r="HB35" s="339"/>
      <c r="HC35" s="339"/>
      <c r="HD35" s="339"/>
      <c r="HE35" s="339"/>
      <c r="HF35" s="408"/>
      <c r="HG35" s="408"/>
      <c r="HH35" s="408"/>
      <c r="HI35" s="408"/>
      <c r="HJ35" s="414"/>
      <c r="HK35" s="450"/>
      <c r="HL35" s="450"/>
      <c r="HM35" s="438"/>
      <c r="HN35" s="68"/>
      <c r="HO35" s="68"/>
      <c r="HP35" s="68"/>
      <c r="HQ35" s="68"/>
      <c r="HR35" s="68"/>
      <c r="HS35" s="68"/>
    </row>
    <row r="36" spans="1:227" ht="7.5" customHeight="1">
      <c r="B36" s="9"/>
      <c r="C36" s="272"/>
      <c r="D36" s="272"/>
      <c r="E36" s="272"/>
      <c r="F36" s="270"/>
      <c r="G36" s="418"/>
      <c r="H36" s="155"/>
      <c r="I36" s="339"/>
      <c r="J36" s="339"/>
      <c r="K36" s="339"/>
      <c r="L36" s="339"/>
      <c r="M36" s="339"/>
      <c r="N36" s="339"/>
      <c r="O36" s="339"/>
      <c r="P36" s="339"/>
      <c r="Q36" s="339"/>
      <c r="R36" s="339"/>
      <c r="S36" s="339"/>
      <c r="T36" s="339"/>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339"/>
      <c r="CL36" s="339"/>
      <c r="CM36" s="339"/>
      <c r="CN36" s="339"/>
      <c r="CO36" s="339"/>
      <c r="CP36" s="339"/>
      <c r="CQ36" s="175"/>
      <c r="CR36" s="175"/>
      <c r="CS36" s="175"/>
      <c r="CT36" s="175"/>
      <c r="CU36" s="175"/>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408"/>
      <c r="EA36" s="339"/>
      <c r="EB36" s="339"/>
      <c r="EC36" s="339"/>
      <c r="ED36" s="339"/>
      <c r="EE36" s="339"/>
      <c r="EF36" s="408"/>
      <c r="EG36" s="339"/>
      <c r="EH36" s="339"/>
      <c r="EI36" s="339"/>
      <c r="EJ36" s="339"/>
      <c r="EK36" s="339"/>
      <c r="EL36" s="408"/>
      <c r="EM36" s="339"/>
      <c r="EN36" s="339"/>
      <c r="EO36" s="339"/>
      <c r="EP36" s="339"/>
      <c r="EQ36" s="339"/>
      <c r="ER36" s="408"/>
      <c r="ES36" s="339"/>
      <c r="ET36" s="339"/>
      <c r="EU36" s="339"/>
      <c r="EV36" s="339"/>
      <c r="EW36" s="339"/>
      <c r="EX36" s="408"/>
      <c r="EY36" s="339"/>
      <c r="EZ36" s="339"/>
      <c r="FA36" s="339"/>
      <c r="FB36" s="339"/>
      <c r="FC36" s="339"/>
      <c r="FD36" s="408"/>
      <c r="FE36" s="339"/>
      <c r="FF36" s="339"/>
      <c r="FG36" s="339"/>
      <c r="FH36" s="339"/>
      <c r="FI36" s="339"/>
      <c r="FJ36" s="408"/>
      <c r="FK36" s="339"/>
      <c r="FL36" s="339"/>
      <c r="FM36" s="339"/>
      <c r="FN36" s="339"/>
      <c r="FO36" s="339"/>
      <c r="FP36" s="408"/>
      <c r="FQ36" s="339"/>
      <c r="FR36" s="339"/>
      <c r="FS36" s="339"/>
      <c r="FT36" s="339"/>
      <c r="FU36" s="339"/>
      <c r="FV36" s="408"/>
      <c r="FW36" s="339"/>
      <c r="FX36" s="339"/>
      <c r="FY36" s="339"/>
      <c r="FZ36" s="339"/>
      <c r="GA36" s="339"/>
      <c r="GB36" s="408"/>
      <c r="GC36" s="339"/>
      <c r="GD36" s="339"/>
      <c r="GE36" s="339"/>
      <c r="GF36" s="339"/>
      <c r="GG36" s="339"/>
      <c r="GH36" s="408"/>
      <c r="GI36" s="339"/>
      <c r="GJ36" s="339"/>
      <c r="GK36" s="339"/>
      <c r="GL36" s="339"/>
      <c r="GM36" s="339"/>
      <c r="GN36" s="408"/>
      <c r="GO36" s="339"/>
      <c r="GP36" s="339"/>
      <c r="GQ36" s="339"/>
      <c r="GR36" s="339"/>
      <c r="GS36" s="339"/>
      <c r="GT36" s="408"/>
      <c r="GU36" s="339"/>
      <c r="GV36" s="339"/>
      <c r="GW36" s="339"/>
      <c r="GX36" s="339"/>
      <c r="GY36" s="339"/>
      <c r="GZ36" s="408"/>
      <c r="HA36" s="339"/>
      <c r="HB36" s="339"/>
      <c r="HC36" s="339"/>
      <c r="HD36" s="339"/>
      <c r="HE36" s="339"/>
      <c r="HF36" s="408"/>
      <c r="HG36" s="408"/>
      <c r="HH36" s="408"/>
      <c r="HI36" s="408"/>
      <c r="HJ36" s="414"/>
      <c r="HK36" s="450"/>
      <c r="HL36" s="450"/>
      <c r="HM36" s="68"/>
      <c r="HN36" s="68"/>
      <c r="HO36" s="68"/>
      <c r="HP36" s="68"/>
      <c r="HQ36" s="68"/>
      <c r="HR36" s="68"/>
      <c r="HS36" s="68"/>
    </row>
    <row r="37" spans="1:227" ht="27.75" customHeight="1">
      <c r="B37" s="9"/>
      <c r="C37" s="826" t="str">
        <f>START!F16</f>
        <v>[Achternaam, voorletters]</v>
      </c>
      <c r="D37" s="827"/>
      <c r="E37" s="263" t="s">
        <v>664</v>
      </c>
      <c r="F37" s="270"/>
      <c r="G37" s="418"/>
      <c r="H37" s="155"/>
      <c r="I37" s="339"/>
      <c r="J37" s="339"/>
      <c r="K37" s="339"/>
      <c r="L37" s="339"/>
      <c r="M37" s="339"/>
      <c r="N37" s="339"/>
      <c r="O37" s="339"/>
      <c r="P37" s="339"/>
      <c r="Q37" s="339"/>
      <c r="R37" s="339"/>
      <c r="S37" s="339"/>
      <c r="T37" s="452" t="s">
        <v>627</v>
      </c>
      <c r="U37" s="767">
        <v>0</v>
      </c>
      <c r="V37" s="767"/>
      <c r="W37" s="767"/>
      <c r="X37" s="767"/>
      <c r="Y37" s="767"/>
      <c r="Z37" s="767"/>
      <c r="AA37" s="767"/>
      <c r="AB37" s="767"/>
      <c r="AC37" s="767"/>
      <c r="AD37" s="767"/>
      <c r="AE37" s="767"/>
      <c r="AF37" s="767"/>
      <c r="AG37" s="767"/>
      <c r="AH37" s="767"/>
      <c r="AI37" s="767"/>
      <c r="AJ37" s="767"/>
      <c r="AK37" s="767"/>
      <c r="AL37" s="767"/>
      <c r="AM37" s="767"/>
      <c r="AN37" s="767"/>
      <c r="AO37" s="348"/>
      <c r="AP37" s="348"/>
      <c r="AQ37" s="348"/>
      <c r="AR37" s="348"/>
      <c r="AS37" s="348"/>
      <c r="AT37" s="347"/>
      <c r="AU37" s="348"/>
      <c r="AV37" s="348"/>
      <c r="AW37" s="348"/>
      <c r="AX37" s="348"/>
      <c r="AY37" s="348"/>
      <c r="AZ37" s="347"/>
      <c r="BA37" s="348"/>
      <c r="BB37" s="348"/>
      <c r="BC37" s="348"/>
      <c r="BD37" s="348"/>
      <c r="BE37" s="348"/>
      <c r="BF37" s="347"/>
      <c r="BG37" s="348"/>
      <c r="BH37" s="348"/>
      <c r="BI37" s="348"/>
      <c r="BJ37" s="348"/>
      <c r="BK37" s="348"/>
      <c r="BL37" s="347"/>
      <c r="BM37" s="348"/>
      <c r="BN37" s="348"/>
      <c r="BO37" s="348"/>
      <c r="BP37" s="348"/>
      <c r="BQ37" s="348"/>
      <c r="BR37" s="347"/>
      <c r="BS37" s="348"/>
      <c r="BT37" s="348"/>
      <c r="BU37" s="348"/>
      <c r="BV37" s="348"/>
      <c r="BW37" s="348"/>
      <c r="BX37" s="347"/>
      <c r="BY37" s="348"/>
      <c r="BZ37" s="348"/>
      <c r="CA37" s="348"/>
      <c r="CB37" s="348"/>
      <c r="CC37" s="348"/>
      <c r="CD37" s="347"/>
      <c r="CE37" s="348"/>
      <c r="CF37" s="348"/>
      <c r="CG37" s="348"/>
      <c r="CH37" s="348"/>
      <c r="CI37" s="348"/>
      <c r="CJ37" s="347"/>
      <c r="CK37" s="339"/>
      <c r="CL37" s="339"/>
      <c r="CM37" s="339"/>
      <c r="CN37" s="339"/>
      <c r="CO37" s="339"/>
      <c r="CP37" s="339"/>
      <c r="CQ37" s="175"/>
      <c r="CR37" s="175"/>
      <c r="CS37" s="175"/>
      <c r="CT37" s="175"/>
      <c r="CU37" s="175"/>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408"/>
      <c r="EA37" s="339"/>
      <c r="EB37" s="339"/>
      <c r="EC37" s="339"/>
      <c r="ED37" s="339"/>
      <c r="EE37" s="339"/>
      <c r="EF37" s="408"/>
      <c r="EG37" s="339"/>
      <c r="EH37" s="339"/>
      <c r="EI37" s="339"/>
      <c r="EJ37" s="339"/>
      <c r="EK37" s="339"/>
      <c r="EL37" s="408"/>
      <c r="EM37" s="339"/>
      <c r="EN37" s="339"/>
      <c r="EO37" s="339"/>
      <c r="EP37" s="339"/>
      <c r="EQ37" s="339"/>
      <c r="ER37" s="408"/>
      <c r="ES37" s="339"/>
      <c r="ET37" s="339"/>
      <c r="EU37" s="339"/>
      <c r="EV37" s="339"/>
      <c r="EW37" s="339"/>
      <c r="EX37" s="408"/>
      <c r="EY37" s="339"/>
      <c r="EZ37" s="339"/>
      <c r="FA37" s="339"/>
      <c r="FB37" s="339"/>
      <c r="FC37" s="339"/>
      <c r="FD37" s="408"/>
      <c r="FE37" s="339"/>
      <c r="FF37" s="339"/>
      <c r="FG37" s="339"/>
      <c r="FH37" s="339"/>
      <c r="FI37" s="339"/>
      <c r="FJ37" s="408"/>
      <c r="FK37" s="339"/>
      <c r="FL37" s="339"/>
      <c r="FM37" s="339"/>
      <c r="FN37" s="339"/>
      <c r="FO37" s="339"/>
      <c r="FP37" s="408"/>
      <c r="FQ37" s="339"/>
      <c r="FR37" s="339"/>
      <c r="FS37" s="339"/>
      <c r="FT37" s="339"/>
      <c r="FU37" s="339"/>
      <c r="FV37" s="408"/>
      <c r="FW37" s="339"/>
      <c r="FX37" s="339"/>
      <c r="FY37" s="339"/>
      <c r="FZ37" s="339"/>
      <c r="GA37" s="339"/>
      <c r="GB37" s="408"/>
      <c r="GC37" s="339"/>
      <c r="GD37" s="339"/>
      <c r="GE37" s="339"/>
      <c r="GF37" s="339"/>
      <c r="GG37" s="339"/>
      <c r="GH37" s="408"/>
      <c r="GI37" s="339"/>
      <c r="GJ37" s="339"/>
      <c r="GK37" s="339"/>
      <c r="GL37" s="339"/>
      <c r="GM37" s="339"/>
      <c r="GN37" s="408"/>
      <c r="GO37" s="339"/>
      <c r="GP37" s="339"/>
      <c r="GQ37" s="339"/>
      <c r="GR37" s="339"/>
      <c r="GS37" s="339"/>
      <c r="GT37" s="408"/>
      <c r="GU37" s="339"/>
      <c r="GV37" s="339"/>
      <c r="GW37" s="339"/>
      <c r="GX37" s="339"/>
      <c r="GY37" s="339"/>
      <c r="GZ37" s="408"/>
      <c r="HA37" s="339"/>
      <c r="HB37" s="339"/>
      <c r="HC37" s="339"/>
      <c r="HD37" s="339"/>
      <c r="HE37" s="339"/>
      <c r="HF37" s="408"/>
      <c r="HG37" s="408"/>
      <c r="HH37" s="408"/>
      <c r="HI37" s="408"/>
      <c r="HJ37" s="414"/>
      <c r="HK37" s="450"/>
      <c r="HL37" s="450"/>
      <c r="HM37" s="68"/>
      <c r="HN37" s="68"/>
      <c r="HO37" s="68"/>
      <c r="HP37" s="68"/>
      <c r="HQ37" s="68"/>
      <c r="HR37" s="68"/>
      <c r="HS37" s="68"/>
    </row>
    <row r="38" spans="1:227" ht="24.95" customHeight="1">
      <c r="B38" s="9"/>
      <c r="C38" s="826" t="str">
        <f>START!F18</f>
        <v>[E-mailadres]</v>
      </c>
      <c r="D38" s="827"/>
      <c r="E38" s="263" t="s">
        <v>663</v>
      </c>
      <c r="F38" s="270"/>
      <c r="G38" s="418"/>
      <c r="H38" s="155"/>
      <c r="I38" s="339"/>
      <c r="J38" s="339"/>
      <c r="K38" s="339"/>
      <c r="L38" s="339"/>
      <c r="M38" s="339"/>
      <c r="N38" s="339"/>
      <c r="O38" s="339"/>
      <c r="P38" s="339"/>
      <c r="Q38" s="339"/>
      <c r="R38" s="339"/>
      <c r="S38" s="339"/>
      <c r="T38" s="449" t="s">
        <v>494</v>
      </c>
      <c r="U38" s="756">
        <f>U31+(U32*9.786)+(U33*278)+U37</f>
        <v>418284.16000000003</v>
      </c>
      <c r="V38" s="756">
        <f t="shared" ref="V38:CG38" si="3">V31+(V32*9.786)+(V33*278)+V37</f>
        <v>418362</v>
      </c>
      <c r="W38" s="756">
        <f t="shared" si="3"/>
        <v>0</v>
      </c>
      <c r="X38" s="756">
        <f t="shared" si="3"/>
        <v>0</v>
      </c>
      <c r="Y38" s="756">
        <f t="shared" si="3"/>
        <v>0</v>
      </c>
      <c r="Z38" s="756">
        <f t="shared" si="3"/>
        <v>0</v>
      </c>
      <c r="AA38" s="756">
        <f t="shared" si="3"/>
        <v>0</v>
      </c>
      <c r="AB38" s="756">
        <f t="shared" si="3"/>
        <v>418362</v>
      </c>
      <c r="AC38" s="756">
        <f t="shared" si="3"/>
        <v>0</v>
      </c>
      <c r="AD38" s="756">
        <f t="shared" si="3"/>
        <v>0</v>
      </c>
      <c r="AE38" s="756">
        <f t="shared" si="3"/>
        <v>0</v>
      </c>
      <c r="AF38" s="756">
        <f t="shared" si="3"/>
        <v>0</v>
      </c>
      <c r="AG38" s="756">
        <f t="shared" si="3"/>
        <v>0</v>
      </c>
      <c r="AH38" s="756">
        <f t="shared" si="3"/>
        <v>418362</v>
      </c>
      <c r="AI38" s="756">
        <f t="shared" si="3"/>
        <v>0</v>
      </c>
      <c r="AJ38" s="756">
        <f t="shared" si="3"/>
        <v>0</v>
      </c>
      <c r="AK38" s="756">
        <f t="shared" si="3"/>
        <v>0</v>
      </c>
      <c r="AL38" s="756">
        <f t="shared" si="3"/>
        <v>0</v>
      </c>
      <c r="AM38" s="756">
        <f t="shared" si="3"/>
        <v>0</v>
      </c>
      <c r="AN38" s="756">
        <f t="shared" si="3"/>
        <v>418362</v>
      </c>
      <c r="AO38" s="756">
        <f t="shared" si="3"/>
        <v>0</v>
      </c>
      <c r="AP38" s="756">
        <f t="shared" si="3"/>
        <v>0</v>
      </c>
      <c r="AQ38" s="756">
        <f t="shared" si="3"/>
        <v>0</v>
      </c>
      <c r="AR38" s="756">
        <f t="shared" si="3"/>
        <v>0</v>
      </c>
      <c r="AS38" s="756">
        <f t="shared" si="3"/>
        <v>0</v>
      </c>
      <c r="AT38" s="756">
        <f t="shared" si="3"/>
        <v>0</v>
      </c>
      <c r="AU38" s="756">
        <f t="shared" si="3"/>
        <v>0</v>
      </c>
      <c r="AV38" s="756">
        <f t="shared" si="3"/>
        <v>0</v>
      </c>
      <c r="AW38" s="756">
        <f t="shared" si="3"/>
        <v>0</v>
      </c>
      <c r="AX38" s="756">
        <f t="shared" si="3"/>
        <v>0</v>
      </c>
      <c r="AY38" s="756">
        <f t="shared" si="3"/>
        <v>0</v>
      </c>
      <c r="AZ38" s="756">
        <f t="shared" si="3"/>
        <v>0</v>
      </c>
      <c r="BA38" s="756">
        <f t="shared" si="3"/>
        <v>0</v>
      </c>
      <c r="BB38" s="756">
        <f t="shared" si="3"/>
        <v>0</v>
      </c>
      <c r="BC38" s="756">
        <f t="shared" si="3"/>
        <v>0</v>
      </c>
      <c r="BD38" s="756">
        <f t="shared" si="3"/>
        <v>0</v>
      </c>
      <c r="BE38" s="756">
        <f t="shared" si="3"/>
        <v>0</v>
      </c>
      <c r="BF38" s="756">
        <f t="shared" si="3"/>
        <v>0</v>
      </c>
      <c r="BG38" s="756">
        <f t="shared" si="3"/>
        <v>0</v>
      </c>
      <c r="BH38" s="756">
        <f t="shared" si="3"/>
        <v>0</v>
      </c>
      <c r="BI38" s="756">
        <f t="shared" si="3"/>
        <v>0</v>
      </c>
      <c r="BJ38" s="756">
        <f t="shared" si="3"/>
        <v>0</v>
      </c>
      <c r="BK38" s="756">
        <f t="shared" si="3"/>
        <v>0</v>
      </c>
      <c r="BL38" s="756">
        <f t="shared" si="3"/>
        <v>0</v>
      </c>
      <c r="BM38" s="756">
        <f t="shared" si="3"/>
        <v>0</v>
      </c>
      <c r="BN38" s="756">
        <f t="shared" si="3"/>
        <v>0</v>
      </c>
      <c r="BO38" s="756">
        <f t="shared" si="3"/>
        <v>0</v>
      </c>
      <c r="BP38" s="756">
        <f t="shared" si="3"/>
        <v>0</v>
      </c>
      <c r="BQ38" s="756">
        <f t="shared" si="3"/>
        <v>0</v>
      </c>
      <c r="BR38" s="756">
        <f t="shared" si="3"/>
        <v>0</v>
      </c>
      <c r="BS38" s="756">
        <f t="shared" si="3"/>
        <v>0</v>
      </c>
      <c r="BT38" s="756">
        <f t="shared" si="3"/>
        <v>0</v>
      </c>
      <c r="BU38" s="756">
        <f t="shared" si="3"/>
        <v>0</v>
      </c>
      <c r="BV38" s="756">
        <f t="shared" si="3"/>
        <v>0</v>
      </c>
      <c r="BW38" s="756">
        <f t="shared" si="3"/>
        <v>0</v>
      </c>
      <c r="BX38" s="756">
        <f t="shared" si="3"/>
        <v>0</v>
      </c>
      <c r="BY38" s="756">
        <f t="shared" si="3"/>
        <v>0</v>
      </c>
      <c r="BZ38" s="756">
        <f t="shared" si="3"/>
        <v>0</v>
      </c>
      <c r="CA38" s="756">
        <f t="shared" si="3"/>
        <v>0</v>
      </c>
      <c r="CB38" s="756">
        <f t="shared" si="3"/>
        <v>0</v>
      </c>
      <c r="CC38" s="756">
        <f t="shared" si="3"/>
        <v>0</v>
      </c>
      <c r="CD38" s="756">
        <f t="shared" si="3"/>
        <v>0</v>
      </c>
      <c r="CE38" s="756">
        <f t="shared" si="3"/>
        <v>0</v>
      </c>
      <c r="CF38" s="756">
        <f t="shared" si="3"/>
        <v>0</v>
      </c>
      <c r="CG38" s="756">
        <f t="shared" si="3"/>
        <v>0</v>
      </c>
      <c r="CH38" s="756">
        <f>CH31+(CH32*9.786)+(CH33*278)+CH37</f>
        <v>0</v>
      </c>
      <c r="CI38" s="756">
        <f>CI31+(CI32*9.786)+(CI33*278)+CI37</f>
        <v>0</v>
      </c>
      <c r="CJ38" s="756">
        <f>CJ31+(CJ32*9.786)+(CJ33*278)+CJ37</f>
        <v>0</v>
      </c>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408"/>
      <c r="EA38" s="339"/>
      <c r="EB38" s="339"/>
      <c r="EC38" s="339"/>
      <c r="ED38" s="339"/>
      <c r="EE38" s="339"/>
      <c r="EF38" s="408"/>
      <c r="EG38" s="339"/>
      <c r="EH38" s="339"/>
      <c r="EI38" s="339"/>
      <c r="EJ38" s="339"/>
      <c r="EK38" s="339"/>
      <c r="EL38" s="408"/>
      <c r="EM38" s="339"/>
      <c r="EN38" s="339"/>
      <c r="EO38" s="339"/>
      <c r="EP38" s="339"/>
      <c r="EQ38" s="339"/>
      <c r="ER38" s="408"/>
      <c r="ES38" s="339"/>
      <c r="ET38" s="339"/>
      <c r="EU38" s="339"/>
      <c r="EV38" s="339"/>
      <c r="EW38" s="339"/>
      <c r="EX38" s="408"/>
      <c r="EY38" s="339"/>
      <c r="EZ38" s="339"/>
      <c r="FA38" s="339"/>
      <c r="FB38" s="339"/>
      <c r="FC38" s="339"/>
      <c r="FD38" s="408"/>
      <c r="FE38" s="339"/>
      <c r="FF38" s="339"/>
      <c r="FG38" s="339"/>
      <c r="FH38" s="339"/>
      <c r="FI38" s="339"/>
      <c r="FJ38" s="408"/>
      <c r="FK38" s="339"/>
      <c r="FL38" s="339"/>
      <c r="FM38" s="339"/>
      <c r="FN38" s="339"/>
      <c r="FO38" s="339"/>
      <c r="FP38" s="408"/>
      <c r="FQ38" s="339"/>
      <c r="FR38" s="339"/>
      <c r="FS38" s="339"/>
      <c r="FT38" s="339"/>
      <c r="FU38" s="339"/>
      <c r="FV38" s="408"/>
      <c r="FW38" s="339"/>
      <c r="FX38" s="339"/>
      <c r="FY38" s="339"/>
      <c r="FZ38" s="339"/>
      <c r="GA38" s="339"/>
      <c r="GB38" s="408"/>
      <c r="GC38" s="339"/>
      <c r="GD38" s="339"/>
      <c r="GE38" s="339"/>
      <c r="GF38" s="339"/>
      <c r="GG38" s="339"/>
      <c r="GH38" s="408"/>
      <c r="GI38" s="339"/>
      <c r="GJ38" s="339"/>
      <c r="GK38" s="339"/>
      <c r="GL38" s="339"/>
      <c r="GM38" s="339"/>
      <c r="GN38" s="408"/>
      <c r="GO38" s="339"/>
      <c r="GP38" s="339"/>
      <c r="GQ38" s="339"/>
      <c r="GR38" s="339"/>
      <c r="GS38" s="339"/>
      <c r="GT38" s="408"/>
      <c r="GU38" s="339"/>
      <c r="GV38" s="339"/>
      <c r="GW38" s="339"/>
      <c r="GX38" s="339"/>
      <c r="GY38" s="339"/>
      <c r="GZ38" s="408"/>
      <c r="HA38" s="339"/>
      <c r="HB38" s="339"/>
      <c r="HC38" s="339"/>
      <c r="HD38" s="339"/>
      <c r="HE38" s="339"/>
      <c r="HF38" s="408"/>
      <c r="HG38" s="408"/>
      <c r="HH38" s="408"/>
      <c r="HI38" s="408"/>
      <c r="HJ38" s="414"/>
      <c r="HK38" s="450"/>
      <c r="HL38" s="450"/>
      <c r="HM38" s="68"/>
      <c r="HN38" s="68"/>
    </row>
    <row r="39" spans="1:227" ht="23.25" customHeight="1">
      <c r="B39" s="9"/>
      <c r="C39" s="826" t="str">
        <f>START!F20</f>
        <v>[Telefoonnummer]</v>
      </c>
      <c r="D39" s="827"/>
      <c r="E39" s="263" t="s">
        <v>665</v>
      </c>
      <c r="F39" s="270"/>
      <c r="G39" s="418"/>
      <c r="H39" s="453"/>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408"/>
      <c r="EA39" s="339"/>
      <c r="EB39" s="339"/>
      <c r="EC39" s="339"/>
      <c r="ED39" s="339"/>
      <c r="EE39" s="339"/>
      <c r="EF39" s="408"/>
      <c r="EG39" s="339"/>
      <c r="EH39" s="339"/>
      <c r="EI39" s="339"/>
      <c r="EJ39" s="339"/>
      <c r="EK39" s="339"/>
      <c r="EL39" s="408"/>
      <c r="EM39" s="339"/>
      <c r="EN39" s="339"/>
      <c r="EO39" s="339"/>
      <c r="EP39" s="339"/>
      <c r="EQ39" s="339"/>
      <c r="ER39" s="408"/>
      <c r="ES39" s="339"/>
      <c r="ET39" s="339"/>
      <c r="EU39" s="339"/>
      <c r="EV39" s="339"/>
      <c r="EW39" s="339"/>
      <c r="EX39" s="408"/>
      <c r="EY39" s="339"/>
      <c r="EZ39" s="339"/>
      <c r="FA39" s="339"/>
      <c r="FB39" s="339"/>
      <c r="FC39" s="339"/>
      <c r="FD39" s="408"/>
      <c r="FE39" s="339"/>
      <c r="FF39" s="339"/>
      <c r="FG39" s="339"/>
      <c r="FH39" s="339"/>
      <c r="FI39" s="339"/>
      <c r="FJ39" s="408"/>
      <c r="FK39" s="339"/>
      <c r="FL39" s="339"/>
      <c r="FM39" s="339"/>
      <c r="FN39" s="339"/>
      <c r="FO39" s="339"/>
      <c r="FP39" s="408"/>
      <c r="FQ39" s="339"/>
      <c r="FR39" s="339"/>
      <c r="FS39" s="339"/>
      <c r="FT39" s="339"/>
      <c r="FU39" s="339"/>
      <c r="FV39" s="408"/>
      <c r="FW39" s="339"/>
      <c r="FX39" s="339"/>
      <c r="FY39" s="339"/>
      <c r="FZ39" s="339"/>
      <c r="GA39" s="339"/>
      <c r="GB39" s="408"/>
      <c r="GC39" s="339"/>
      <c r="GD39" s="339"/>
      <c r="GE39" s="339"/>
      <c r="GF39" s="339"/>
      <c r="GG39" s="339"/>
      <c r="GH39" s="408"/>
      <c r="GI39" s="339"/>
      <c r="GJ39" s="339"/>
      <c r="GK39" s="339"/>
      <c r="GL39" s="339"/>
      <c r="GM39" s="339"/>
      <c r="GN39" s="408"/>
      <c r="GO39" s="339"/>
      <c r="GP39" s="339"/>
      <c r="GQ39" s="339"/>
      <c r="GR39" s="339"/>
      <c r="GS39" s="339"/>
      <c r="GT39" s="408"/>
      <c r="GU39" s="339"/>
      <c r="GV39" s="339"/>
      <c r="GW39" s="339"/>
      <c r="GX39" s="339"/>
      <c r="GY39" s="339"/>
      <c r="GZ39" s="408"/>
      <c r="HA39" s="339"/>
      <c r="HB39" s="339"/>
      <c r="HC39" s="339"/>
      <c r="HD39" s="339"/>
      <c r="HE39" s="339"/>
      <c r="HF39" s="408"/>
      <c r="HG39" s="408"/>
      <c r="HH39" s="408"/>
      <c r="HI39" s="408"/>
      <c r="HJ39" s="414"/>
      <c r="HK39" s="450"/>
      <c r="HL39" s="450"/>
      <c r="HM39" s="68"/>
      <c r="HN39" s="68"/>
    </row>
    <row r="40" spans="1:227" ht="42.75" customHeight="1">
      <c r="B40" s="9"/>
      <c r="C40" s="273"/>
      <c r="D40" s="273"/>
      <c r="E40" s="273"/>
      <c r="F40" s="273"/>
      <c r="G40" s="454"/>
      <c r="H40" s="454"/>
      <c r="I40" s="408"/>
      <c r="J40" s="408"/>
      <c r="K40" s="408"/>
      <c r="L40" s="408"/>
      <c r="M40" s="408"/>
      <c r="N40" s="408"/>
      <c r="O40" s="408"/>
      <c r="P40" s="408"/>
      <c r="Q40" s="408"/>
      <c r="R40" s="408"/>
      <c r="S40" s="408"/>
      <c r="T40" s="408"/>
      <c r="U40" s="455"/>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c r="CI40" s="408"/>
      <c r="CJ40" s="408"/>
      <c r="CK40" s="408"/>
      <c r="CL40" s="408"/>
      <c r="CM40" s="408"/>
      <c r="CN40" s="408"/>
      <c r="CO40" s="408"/>
      <c r="CP40" s="408"/>
      <c r="CQ40" s="408"/>
      <c r="CR40" s="408"/>
      <c r="CS40" s="408"/>
      <c r="CT40" s="408"/>
      <c r="CU40" s="408"/>
      <c r="CV40" s="408"/>
      <c r="CW40" s="408"/>
      <c r="CX40" s="408"/>
      <c r="CY40" s="408"/>
      <c r="CZ40" s="408"/>
      <c r="DA40" s="408"/>
      <c r="DB40" s="408"/>
      <c r="DC40" s="408"/>
      <c r="DD40" s="408"/>
      <c r="DE40" s="408"/>
      <c r="DF40" s="408"/>
      <c r="DG40" s="408"/>
      <c r="DH40" s="408"/>
      <c r="DI40" s="408"/>
      <c r="DJ40" s="408"/>
      <c r="DK40" s="408"/>
      <c r="DL40" s="408"/>
      <c r="DM40" s="408"/>
      <c r="DN40" s="408"/>
      <c r="DO40" s="408"/>
      <c r="DP40" s="408"/>
      <c r="DQ40" s="408"/>
      <c r="DR40" s="408"/>
      <c r="DS40" s="408"/>
      <c r="DT40" s="408"/>
      <c r="DU40" s="408"/>
      <c r="DV40" s="408"/>
      <c r="DW40" s="408"/>
      <c r="DX40" s="408"/>
      <c r="DY40" s="408"/>
      <c r="DZ40" s="408"/>
      <c r="EA40" s="339"/>
      <c r="EB40" s="339"/>
      <c r="EC40" s="339"/>
      <c r="ED40" s="339"/>
      <c r="EE40" s="339"/>
      <c r="EF40" s="408"/>
      <c r="EG40" s="339"/>
      <c r="EH40" s="339"/>
      <c r="EI40" s="339"/>
      <c r="EJ40" s="339"/>
      <c r="EK40" s="339"/>
      <c r="EL40" s="408"/>
      <c r="EM40" s="339"/>
      <c r="EN40" s="339"/>
      <c r="EO40" s="339"/>
      <c r="EP40" s="339"/>
      <c r="EQ40" s="339"/>
      <c r="ER40" s="408"/>
      <c r="ES40" s="339"/>
      <c r="ET40" s="339"/>
      <c r="EU40" s="339"/>
      <c r="EV40" s="339"/>
      <c r="EW40" s="339"/>
      <c r="EX40" s="408"/>
      <c r="EY40" s="339"/>
      <c r="EZ40" s="339"/>
      <c r="FA40" s="339"/>
      <c r="FB40" s="339"/>
      <c r="FC40" s="339"/>
      <c r="FD40" s="408"/>
      <c r="FE40" s="339"/>
      <c r="FF40" s="339"/>
      <c r="FG40" s="339"/>
      <c r="FH40" s="339"/>
      <c r="FI40" s="339"/>
      <c r="FJ40" s="408"/>
      <c r="FK40" s="339"/>
      <c r="FL40" s="339"/>
      <c r="FM40" s="339"/>
      <c r="FN40" s="339"/>
      <c r="FO40" s="339"/>
      <c r="FP40" s="408"/>
      <c r="FQ40" s="339"/>
      <c r="FR40" s="339"/>
      <c r="FS40" s="339"/>
      <c r="FT40" s="339"/>
      <c r="FU40" s="339"/>
      <c r="FV40" s="408"/>
      <c r="FW40" s="339"/>
      <c r="FX40" s="339"/>
      <c r="FY40" s="339"/>
      <c r="FZ40" s="339"/>
      <c r="GA40" s="339"/>
      <c r="GB40" s="408"/>
      <c r="GC40" s="339"/>
      <c r="GD40" s="339"/>
      <c r="GE40" s="339"/>
      <c r="GF40" s="339"/>
      <c r="GG40" s="339"/>
      <c r="GH40" s="408"/>
      <c r="GI40" s="339"/>
      <c r="GJ40" s="339"/>
      <c r="GK40" s="339"/>
      <c r="GL40" s="339"/>
      <c r="GM40" s="339"/>
      <c r="GN40" s="408"/>
      <c r="GO40" s="339"/>
      <c r="GP40" s="339"/>
      <c r="GQ40" s="339"/>
      <c r="GR40" s="339"/>
      <c r="GS40" s="339"/>
      <c r="GT40" s="408"/>
      <c r="GU40" s="339"/>
      <c r="GV40" s="339"/>
      <c r="GW40" s="339"/>
      <c r="GX40" s="339"/>
      <c r="GY40" s="339"/>
      <c r="GZ40" s="408"/>
      <c r="HA40" s="339"/>
      <c r="HB40" s="339"/>
      <c r="HC40" s="339"/>
      <c r="HD40" s="339"/>
      <c r="HE40" s="339"/>
      <c r="HF40" s="408"/>
      <c r="HG40" s="408"/>
      <c r="HH40" s="408"/>
      <c r="HI40" s="408"/>
      <c r="HJ40" s="414"/>
      <c r="HK40" s="450"/>
      <c r="HL40" s="450"/>
      <c r="HM40" s="68"/>
      <c r="HN40" s="68"/>
    </row>
    <row r="41" spans="1:227" ht="8.25" customHeight="1">
      <c r="B41" s="9"/>
      <c r="C41" s="456"/>
      <c r="D41" s="456"/>
      <c r="E41" s="456"/>
      <c r="F41" s="456"/>
      <c r="G41" s="456"/>
      <c r="H41" s="456"/>
      <c r="I41" s="456"/>
      <c r="J41" s="456"/>
      <c r="K41" s="456"/>
      <c r="L41" s="456"/>
      <c r="M41" s="456"/>
      <c r="N41" s="456"/>
      <c r="O41" s="456"/>
      <c r="P41" s="456"/>
      <c r="Q41" s="457" t="s">
        <v>96</v>
      </c>
      <c r="R41" s="456" t="s">
        <v>96</v>
      </c>
      <c r="S41" s="456"/>
      <c r="T41" s="456"/>
      <c r="U41" s="456" t="s">
        <v>96</v>
      </c>
      <c r="V41" s="456"/>
      <c r="W41" s="456"/>
      <c r="X41" s="458"/>
      <c r="Y41" s="458"/>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60"/>
      <c r="EB41" s="460"/>
      <c r="EC41" s="460"/>
      <c r="ED41" s="460"/>
      <c r="EE41" s="460"/>
      <c r="EF41" s="459"/>
      <c r="EG41" s="460"/>
      <c r="EH41" s="460"/>
      <c r="EI41" s="460"/>
      <c r="EJ41" s="460"/>
      <c r="EK41" s="460"/>
      <c r="EL41" s="459"/>
      <c r="EM41" s="460"/>
      <c r="EN41" s="460"/>
      <c r="EO41" s="460"/>
      <c r="EP41" s="460"/>
      <c r="EQ41" s="460"/>
      <c r="ER41" s="459"/>
      <c r="ES41" s="460"/>
      <c r="ET41" s="460"/>
      <c r="EU41" s="460"/>
      <c r="EV41" s="460"/>
      <c r="EW41" s="460"/>
      <c r="EX41" s="459"/>
      <c r="EY41" s="460"/>
      <c r="EZ41" s="460"/>
      <c r="FA41" s="460"/>
      <c r="FB41" s="460"/>
      <c r="FC41" s="460"/>
      <c r="FD41" s="459"/>
      <c r="FE41" s="460"/>
      <c r="FF41" s="460"/>
      <c r="FG41" s="460"/>
      <c r="FH41" s="460"/>
      <c r="FI41" s="460"/>
      <c r="FJ41" s="459"/>
      <c r="FK41" s="460"/>
      <c r="FL41" s="460"/>
      <c r="FM41" s="460"/>
      <c r="FN41" s="460"/>
      <c r="FO41" s="460"/>
      <c r="FP41" s="459"/>
      <c r="FQ41" s="460"/>
      <c r="FR41" s="460"/>
      <c r="FS41" s="460"/>
      <c r="FT41" s="460"/>
      <c r="FU41" s="460"/>
      <c r="FV41" s="459"/>
      <c r="FW41" s="460"/>
      <c r="FX41" s="460"/>
      <c r="FY41" s="460"/>
      <c r="FZ41" s="460"/>
      <c r="GA41" s="460"/>
      <c r="GB41" s="459"/>
      <c r="GC41" s="460"/>
      <c r="GD41" s="460"/>
      <c r="GE41" s="460"/>
      <c r="GF41" s="460"/>
      <c r="GG41" s="460"/>
      <c r="GH41" s="459"/>
      <c r="GI41" s="460"/>
      <c r="GJ41" s="460"/>
      <c r="GK41" s="460"/>
      <c r="GL41" s="460"/>
      <c r="GM41" s="460"/>
      <c r="GN41" s="459"/>
      <c r="GO41" s="460"/>
      <c r="GP41" s="460"/>
      <c r="GQ41" s="460"/>
      <c r="GR41" s="460"/>
      <c r="GS41" s="460"/>
      <c r="GT41" s="459"/>
      <c r="GU41" s="460"/>
      <c r="GV41" s="460"/>
      <c r="GW41" s="460"/>
      <c r="GX41" s="460"/>
      <c r="GY41" s="460"/>
      <c r="GZ41" s="459"/>
      <c r="HA41" s="460"/>
      <c r="HB41" s="460"/>
      <c r="HC41" s="460"/>
      <c r="HD41" s="460"/>
      <c r="HE41" s="460"/>
      <c r="HF41" s="459"/>
      <c r="HG41" s="459"/>
      <c r="HH41" s="461"/>
      <c r="HI41" s="456"/>
      <c r="HJ41" s="414"/>
      <c r="HK41" s="450"/>
      <c r="HL41" s="450"/>
      <c r="HM41" s="350"/>
      <c r="HN41" s="350"/>
      <c r="HO41" s="7" t="s">
        <v>17</v>
      </c>
    </row>
    <row r="42" spans="1:227" ht="135.75" customHeight="1">
      <c r="A42" s="342"/>
      <c r="B42" s="238" t="s">
        <v>134</v>
      </c>
      <c r="C42" s="19" t="s">
        <v>147</v>
      </c>
      <c r="D42" s="17" t="s">
        <v>133</v>
      </c>
      <c r="E42" s="828" t="s">
        <v>148</v>
      </c>
      <c r="F42" s="828"/>
      <c r="G42" s="158"/>
      <c r="H42" s="462" t="s">
        <v>16</v>
      </c>
      <c r="I42" s="463" t="s">
        <v>132</v>
      </c>
      <c r="J42" s="464" t="s">
        <v>459</v>
      </c>
      <c r="K42" s="462" t="s">
        <v>93</v>
      </c>
      <c r="L42" s="465" t="s">
        <v>733</v>
      </c>
      <c r="M42" s="465" t="s">
        <v>734</v>
      </c>
      <c r="N42" s="462" t="s">
        <v>732</v>
      </c>
      <c r="O42" s="462" t="s">
        <v>39</v>
      </c>
      <c r="P42" s="462" t="s">
        <v>438</v>
      </c>
      <c r="Q42" s="462" t="s">
        <v>32</v>
      </c>
      <c r="R42" s="462" t="s">
        <v>736</v>
      </c>
      <c r="S42" s="18" t="s">
        <v>508</v>
      </c>
      <c r="T42" s="466" t="s">
        <v>488</v>
      </c>
      <c r="U42" s="464" t="s">
        <v>129</v>
      </c>
      <c r="V42" s="463">
        <v>2019</v>
      </c>
      <c r="W42" s="467" t="s">
        <v>8</v>
      </c>
      <c r="X42" s="468" t="s">
        <v>19</v>
      </c>
      <c r="Y42" s="468" t="s">
        <v>20</v>
      </c>
      <c r="Z42" s="467" t="s">
        <v>128</v>
      </c>
      <c r="AA42" s="467" t="s">
        <v>10</v>
      </c>
      <c r="AB42" s="462">
        <v>2020</v>
      </c>
      <c r="AC42" s="467" t="s">
        <v>8</v>
      </c>
      <c r="AD42" s="468" t="s">
        <v>19</v>
      </c>
      <c r="AE42" s="468" t="s">
        <v>20</v>
      </c>
      <c r="AF42" s="467" t="s">
        <v>128</v>
      </c>
      <c r="AG42" s="467" t="s">
        <v>10</v>
      </c>
      <c r="AH42" s="462">
        <v>2021</v>
      </c>
      <c r="AI42" s="467" t="s">
        <v>8</v>
      </c>
      <c r="AJ42" s="468" t="s">
        <v>19</v>
      </c>
      <c r="AK42" s="468" t="s">
        <v>20</v>
      </c>
      <c r="AL42" s="467" t="s">
        <v>128</v>
      </c>
      <c r="AM42" s="467" t="s">
        <v>10</v>
      </c>
      <c r="AN42" s="462">
        <v>2022</v>
      </c>
      <c r="AO42" s="467" t="s">
        <v>8</v>
      </c>
      <c r="AP42" s="468" t="s">
        <v>19</v>
      </c>
      <c r="AQ42" s="468" t="s">
        <v>20</v>
      </c>
      <c r="AR42" s="467" t="s">
        <v>128</v>
      </c>
      <c r="AS42" s="467" t="s">
        <v>10</v>
      </c>
      <c r="AT42" s="462">
        <v>2023</v>
      </c>
      <c r="AU42" s="467" t="s">
        <v>8</v>
      </c>
      <c r="AV42" s="468" t="s">
        <v>19</v>
      </c>
      <c r="AW42" s="468" t="s">
        <v>20</v>
      </c>
      <c r="AX42" s="467" t="s">
        <v>128</v>
      </c>
      <c r="AY42" s="467" t="s">
        <v>10</v>
      </c>
      <c r="AZ42" s="462">
        <v>2024</v>
      </c>
      <c r="BA42" s="467" t="s">
        <v>8</v>
      </c>
      <c r="BB42" s="468" t="s">
        <v>19</v>
      </c>
      <c r="BC42" s="468" t="s">
        <v>20</v>
      </c>
      <c r="BD42" s="467" t="s">
        <v>128</v>
      </c>
      <c r="BE42" s="467" t="s">
        <v>10</v>
      </c>
      <c r="BF42" s="462">
        <v>2025</v>
      </c>
      <c r="BG42" s="467" t="s">
        <v>8</v>
      </c>
      <c r="BH42" s="468" t="s">
        <v>19</v>
      </c>
      <c r="BI42" s="468" t="s">
        <v>20</v>
      </c>
      <c r="BJ42" s="467" t="s">
        <v>128</v>
      </c>
      <c r="BK42" s="467" t="s">
        <v>10</v>
      </c>
      <c r="BL42" s="462">
        <v>2026</v>
      </c>
      <c r="BM42" s="467" t="s">
        <v>8</v>
      </c>
      <c r="BN42" s="468" t="s">
        <v>19</v>
      </c>
      <c r="BO42" s="468" t="s">
        <v>20</v>
      </c>
      <c r="BP42" s="467" t="s">
        <v>128</v>
      </c>
      <c r="BQ42" s="467" t="s">
        <v>10</v>
      </c>
      <c r="BR42" s="462">
        <v>2027</v>
      </c>
      <c r="BS42" s="467" t="s">
        <v>8</v>
      </c>
      <c r="BT42" s="468" t="s">
        <v>19</v>
      </c>
      <c r="BU42" s="468" t="s">
        <v>20</v>
      </c>
      <c r="BV42" s="467" t="s">
        <v>128</v>
      </c>
      <c r="BW42" s="467" t="s">
        <v>10</v>
      </c>
      <c r="BX42" s="462">
        <v>2028</v>
      </c>
      <c r="BY42" s="467" t="s">
        <v>8</v>
      </c>
      <c r="BZ42" s="468" t="s">
        <v>19</v>
      </c>
      <c r="CA42" s="468" t="s">
        <v>20</v>
      </c>
      <c r="CB42" s="467" t="s">
        <v>128</v>
      </c>
      <c r="CC42" s="467" t="s">
        <v>10</v>
      </c>
      <c r="CD42" s="469">
        <v>2029</v>
      </c>
      <c r="CE42" s="467" t="s">
        <v>8</v>
      </c>
      <c r="CF42" s="468" t="s">
        <v>19</v>
      </c>
      <c r="CG42" s="468" t="s">
        <v>20</v>
      </c>
      <c r="CH42" s="467" t="s">
        <v>128</v>
      </c>
      <c r="CI42" s="467" t="s">
        <v>10</v>
      </c>
      <c r="CJ42" s="466">
        <v>2030</v>
      </c>
      <c r="CK42" s="467" t="s">
        <v>8</v>
      </c>
      <c r="CL42" s="468" t="s">
        <v>19</v>
      </c>
      <c r="CM42" s="468" t="s">
        <v>20</v>
      </c>
      <c r="CN42" s="467" t="s">
        <v>128</v>
      </c>
      <c r="CO42" s="467" t="s">
        <v>10</v>
      </c>
      <c r="CP42" s="469" t="s">
        <v>102</v>
      </c>
      <c r="CQ42" s="467" t="s">
        <v>8</v>
      </c>
      <c r="CR42" s="468" t="s">
        <v>19</v>
      </c>
      <c r="CS42" s="468" t="s">
        <v>20</v>
      </c>
      <c r="CT42" s="467" t="s">
        <v>128</v>
      </c>
      <c r="CU42" s="467" t="s">
        <v>10</v>
      </c>
      <c r="CV42" s="470">
        <v>2032</v>
      </c>
      <c r="CW42" s="470"/>
      <c r="CX42" s="470"/>
      <c r="CY42" s="470"/>
      <c r="CZ42" s="470"/>
      <c r="DA42" s="470"/>
      <c r="DB42" s="470">
        <v>2033</v>
      </c>
      <c r="DC42" s="470"/>
      <c r="DD42" s="470"/>
      <c r="DE42" s="470"/>
      <c r="DF42" s="470"/>
      <c r="DG42" s="470"/>
      <c r="DH42" s="470">
        <v>2034</v>
      </c>
      <c r="DI42" s="470"/>
      <c r="DJ42" s="470"/>
      <c r="DK42" s="470"/>
      <c r="DL42" s="470"/>
      <c r="DM42" s="470"/>
      <c r="DN42" s="470">
        <v>2035</v>
      </c>
      <c r="DO42" s="471" t="s">
        <v>8</v>
      </c>
      <c r="DP42" s="472" t="s">
        <v>19</v>
      </c>
      <c r="DQ42" s="472" t="s">
        <v>20</v>
      </c>
      <c r="DR42" s="471" t="s">
        <v>9</v>
      </c>
      <c r="DS42" s="471" t="s">
        <v>11</v>
      </c>
      <c r="DT42" s="469" t="s">
        <v>101</v>
      </c>
      <c r="DU42" s="467" t="s">
        <v>8</v>
      </c>
      <c r="DV42" s="468" t="s">
        <v>19</v>
      </c>
      <c r="DW42" s="468" t="s">
        <v>20</v>
      </c>
      <c r="DX42" s="467" t="s">
        <v>128</v>
      </c>
      <c r="DY42" s="467" t="s">
        <v>10</v>
      </c>
      <c r="DZ42" s="470">
        <v>2037</v>
      </c>
      <c r="EA42" s="470"/>
      <c r="EB42" s="470"/>
      <c r="EC42" s="470"/>
      <c r="ED42" s="470"/>
      <c r="EE42" s="470"/>
      <c r="EF42" s="470">
        <v>2038</v>
      </c>
      <c r="EG42" s="470"/>
      <c r="EH42" s="470"/>
      <c r="EI42" s="470"/>
      <c r="EJ42" s="470"/>
      <c r="EK42" s="470"/>
      <c r="EL42" s="470">
        <v>2039</v>
      </c>
      <c r="EM42" s="470"/>
      <c r="EN42" s="470"/>
      <c r="EO42" s="470"/>
      <c r="EP42" s="470"/>
      <c r="EQ42" s="470"/>
      <c r="ER42" s="470">
        <v>2040</v>
      </c>
      <c r="ES42" s="469"/>
      <c r="ET42" s="469"/>
      <c r="EU42" s="469"/>
      <c r="EV42" s="469"/>
      <c r="EW42" s="469"/>
      <c r="EX42" s="469" t="s">
        <v>100</v>
      </c>
      <c r="EY42" s="467" t="s">
        <v>8</v>
      </c>
      <c r="EZ42" s="468" t="s">
        <v>19</v>
      </c>
      <c r="FA42" s="468" t="s">
        <v>20</v>
      </c>
      <c r="FB42" s="467" t="s">
        <v>128</v>
      </c>
      <c r="FC42" s="467" t="s">
        <v>10</v>
      </c>
      <c r="FD42" s="470">
        <v>2042</v>
      </c>
      <c r="FE42" s="470"/>
      <c r="FF42" s="470"/>
      <c r="FG42" s="470"/>
      <c r="FH42" s="470"/>
      <c r="FI42" s="470"/>
      <c r="FJ42" s="470">
        <v>2043</v>
      </c>
      <c r="FK42" s="470"/>
      <c r="FL42" s="470"/>
      <c r="FM42" s="470"/>
      <c r="FN42" s="470"/>
      <c r="FO42" s="470"/>
      <c r="FP42" s="470">
        <v>2044</v>
      </c>
      <c r="FQ42" s="470"/>
      <c r="FR42" s="470"/>
      <c r="FS42" s="470"/>
      <c r="FT42" s="470"/>
      <c r="FU42" s="470"/>
      <c r="FV42" s="470">
        <v>2045</v>
      </c>
      <c r="FW42" s="473"/>
      <c r="FX42" s="473"/>
      <c r="FY42" s="473"/>
      <c r="FZ42" s="473"/>
      <c r="GA42" s="473"/>
      <c r="GB42" s="474" t="s">
        <v>99</v>
      </c>
      <c r="GC42" s="467" t="s">
        <v>8</v>
      </c>
      <c r="GD42" s="468" t="s">
        <v>19</v>
      </c>
      <c r="GE42" s="468" t="s">
        <v>20</v>
      </c>
      <c r="GF42" s="467" t="s">
        <v>128</v>
      </c>
      <c r="GG42" s="467" t="s">
        <v>10</v>
      </c>
      <c r="GH42" s="475">
        <v>2047</v>
      </c>
      <c r="GI42" s="476"/>
      <c r="GJ42" s="477"/>
      <c r="GK42" s="477"/>
      <c r="GL42" s="477"/>
      <c r="GM42" s="477"/>
      <c r="GN42" s="478">
        <v>2048</v>
      </c>
      <c r="GO42" s="475"/>
      <c r="GP42" s="475"/>
      <c r="GQ42" s="475"/>
      <c r="GR42" s="475"/>
      <c r="GS42" s="475"/>
      <c r="GT42" s="475">
        <v>2049</v>
      </c>
      <c r="GU42" s="475"/>
      <c r="GV42" s="475"/>
      <c r="GW42" s="475"/>
      <c r="GX42" s="475"/>
      <c r="GY42" s="475"/>
      <c r="GZ42" s="475">
        <v>2050</v>
      </c>
      <c r="HA42" s="479"/>
      <c r="HB42" s="479"/>
      <c r="HC42" s="479"/>
      <c r="HD42" s="479"/>
      <c r="HE42" s="479"/>
      <c r="HF42" s="479"/>
      <c r="HG42" s="479"/>
      <c r="HH42" s="479"/>
      <c r="HI42" s="479"/>
      <c r="HJ42" s="479"/>
      <c r="HK42" s="450"/>
      <c r="HL42" s="450"/>
      <c r="HM42" s="350"/>
      <c r="HN42" s="350"/>
    </row>
    <row r="43" spans="1:227" ht="16.5" customHeight="1">
      <c r="B43" s="480"/>
      <c r="C43" s="481"/>
      <c r="D43" s="482"/>
      <c r="E43" s="829"/>
      <c r="F43" s="829"/>
      <c r="G43" s="829"/>
      <c r="H43" s="482"/>
      <c r="I43" s="483"/>
      <c r="J43" s="483"/>
      <c r="K43" s="483"/>
      <c r="L43" s="483"/>
      <c r="M43" s="483"/>
      <c r="N43" s="483"/>
      <c r="O43" s="483"/>
      <c r="P43" s="483"/>
      <c r="Q43" s="483"/>
      <c r="R43" s="483"/>
      <c r="S43" s="483"/>
      <c r="T43" s="483"/>
      <c r="U43" s="483"/>
      <c r="V43" s="483"/>
      <c r="W43" s="484"/>
      <c r="X43" s="485"/>
      <c r="Y43" s="485"/>
      <c r="Z43" s="484"/>
      <c r="AA43" s="484"/>
      <c r="AB43" s="483"/>
      <c r="AC43" s="484"/>
      <c r="AD43" s="485"/>
      <c r="AE43" s="485"/>
      <c r="AF43" s="484"/>
      <c r="AG43" s="484"/>
      <c r="AH43" s="483"/>
      <c r="AI43" s="484"/>
      <c r="AJ43" s="485"/>
      <c r="AK43" s="485"/>
      <c r="AL43" s="484"/>
      <c r="AM43" s="484"/>
      <c r="AN43" s="483"/>
      <c r="AO43" s="484"/>
      <c r="AP43" s="485"/>
      <c r="AQ43" s="485"/>
      <c r="AR43" s="484"/>
      <c r="AS43" s="484"/>
      <c r="AT43" s="483"/>
      <c r="AU43" s="484"/>
      <c r="AV43" s="485"/>
      <c r="AW43" s="485"/>
      <c r="AX43" s="484"/>
      <c r="AY43" s="484"/>
      <c r="AZ43" s="483"/>
      <c r="BA43" s="484"/>
      <c r="BB43" s="485"/>
      <c r="BC43" s="485"/>
      <c r="BD43" s="484"/>
      <c r="BE43" s="484"/>
      <c r="BF43" s="483"/>
      <c r="BG43" s="484"/>
      <c r="BH43" s="485"/>
      <c r="BI43" s="485"/>
      <c r="BJ43" s="484"/>
      <c r="BK43" s="484"/>
      <c r="BL43" s="483"/>
      <c r="BM43" s="484"/>
      <c r="BN43" s="485"/>
      <c r="BO43" s="485"/>
      <c r="BP43" s="484"/>
      <c r="BQ43" s="484"/>
      <c r="BR43" s="483"/>
      <c r="BS43" s="484"/>
      <c r="BT43" s="485"/>
      <c r="BU43" s="485"/>
      <c r="BV43" s="484"/>
      <c r="BW43" s="484"/>
      <c r="BX43" s="483"/>
      <c r="BY43" s="484"/>
      <c r="BZ43" s="485"/>
      <c r="CA43" s="485"/>
      <c r="CB43" s="484"/>
      <c r="CC43" s="484"/>
      <c r="CD43" s="483"/>
      <c r="CE43" s="484"/>
      <c r="CF43" s="485"/>
      <c r="CG43" s="485"/>
      <c r="CH43" s="484"/>
      <c r="CI43" s="484"/>
      <c r="CJ43" s="483"/>
      <c r="CK43" s="484"/>
      <c r="CL43" s="485"/>
      <c r="CM43" s="485"/>
      <c r="CN43" s="484"/>
      <c r="CO43" s="484"/>
      <c r="CP43" s="483"/>
      <c r="CQ43" s="484"/>
      <c r="CR43" s="485"/>
      <c r="CS43" s="485"/>
      <c r="CT43" s="484"/>
      <c r="CU43" s="484"/>
      <c r="CV43" s="483"/>
      <c r="CW43" s="483"/>
      <c r="CX43" s="483"/>
      <c r="CY43" s="483"/>
      <c r="CZ43" s="483"/>
      <c r="DA43" s="483"/>
      <c r="DB43" s="483"/>
      <c r="DC43" s="483"/>
      <c r="DD43" s="483"/>
      <c r="DE43" s="483"/>
      <c r="DF43" s="483"/>
      <c r="DG43" s="483"/>
      <c r="DH43" s="483"/>
      <c r="DI43" s="483"/>
      <c r="DJ43" s="483"/>
      <c r="DK43" s="483"/>
      <c r="DL43" s="483"/>
      <c r="DM43" s="483"/>
      <c r="DN43" s="483"/>
      <c r="DO43" s="484"/>
      <c r="DP43" s="485"/>
      <c r="DQ43" s="485"/>
      <c r="DR43" s="484"/>
      <c r="DS43" s="484"/>
      <c r="DT43" s="483"/>
      <c r="DU43" s="484"/>
      <c r="DV43" s="485"/>
      <c r="DW43" s="485"/>
      <c r="DX43" s="484"/>
      <c r="DY43" s="484"/>
      <c r="DZ43" s="483"/>
      <c r="EA43" s="483"/>
      <c r="EB43" s="483"/>
      <c r="EC43" s="483"/>
      <c r="ED43" s="483"/>
      <c r="EE43" s="483"/>
      <c r="EF43" s="483"/>
      <c r="EG43" s="483"/>
      <c r="EH43" s="483"/>
      <c r="EI43" s="483"/>
      <c r="EJ43" s="483"/>
      <c r="EK43" s="483"/>
      <c r="EL43" s="483"/>
      <c r="EM43" s="483"/>
      <c r="EN43" s="483"/>
      <c r="EO43" s="483"/>
      <c r="EP43" s="483"/>
      <c r="EQ43" s="483"/>
      <c r="ER43" s="483"/>
      <c r="ES43" s="483"/>
      <c r="ET43" s="483"/>
      <c r="EU43" s="483"/>
      <c r="EV43" s="483"/>
      <c r="EW43" s="483"/>
      <c r="EX43" s="483"/>
      <c r="EY43" s="484"/>
      <c r="EZ43" s="485"/>
      <c r="FA43" s="485"/>
      <c r="FB43" s="484"/>
      <c r="FC43" s="484"/>
      <c r="FD43" s="483"/>
      <c r="FE43" s="483"/>
      <c r="FF43" s="483"/>
      <c r="FG43" s="483"/>
      <c r="FH43" s="483"/>
      <c r="FI43" s="483"/>
      <c r="FJ43" s="483"/>
      <c r="FK43" s="483"/>
      <c r="FL43" s="483"/>
      <c r="FM43" s="483"/>
      <c r="FN43" s="483"/>
      <c r="FO43" s="483"/>
      <c r="FP43" s="483"/>
      <c r="FQ43" s="483"/>
      <c r="FR43" s="483"/>
      <c r="FS43" s="483"/>
      <c r="FT43" s="483"/>
      <c r="FU43" s="483"/>
      <c r="FV43" s="483"/>
      <c r="FW43" s="483"/>
      <c r="FX43" s="483"/>
      <c r="FY43" s="483"/>
      <c r="FZ43" s="483"/>
      <c r="GA43" s="483"/>
      <c r="GB43" s="483"/>
      <c r="GC43" s="484"/>
      <c r="GD43" s="485"/>
      <c r="GE43" s="485"/>
      <c r="GF43" s="484"/>
      <c r="GG43" s="484"/>
      <c r="GH43" s="486"/>
      <c r="GI43" s="486"/>
      <c r="GJ43" s="486"/>
      <c r="GK43" s="486"/>
      <c r="GL43" s="486"/>
      <c r="GM43" s="486"/>
      <c r="GN43" s="487"/>
      <c r="GO43" s="487"/>
      <c r="GP43" s="487"/>
      <c r="GQ43" s="487"/>
      <c r="GR43" s="487"/>
      <c r="GS43" s="487"/>
      <c r="GT43" s="487"/>
      <c r="GU43" s="487"/>
      <c r="GV43" s="487"/>
      <c r="GW43" s="487"/>
      <c r="GX43" s="487"/>
      <c r="GY43" s="487"/>
      <c r="GZ43" s="487"/>
      <c r="HA43" s="487"/>
      <c r="HB43" s="487"/>
      <c r="HC43" s="487"/>
      <c r="HD43" s="487"/>
      <c r="HE43" s="487"/>
      <c r="HF43" s="8"/>
      <c r="HG43" s="487"/>
      <c r="HH43" s="487"/>
      <c r="HI43" s="487"/>
      <c r="HJ43" s="8"/>
      <c r="HK43" s="350"/>
      <c r="HL43" s="350"/>
      <c r="HM43" s="350"/>
      <c r="HN43" s="350"/>
    </row>
    <row r="44" spans="1:227" ht="26.25" customHeight="1">
      <c r="B44" s="488">
        <v>0</v>
      </c>
      <c r="C44" s="489" t="s">
        <v>440</v>
      </c>
      <c r="D44" s="490" t="s">
        <v>493</v>
      </c>
      <c r="E44" s="491" t="s">
        <v>457</v>
      </c>
      <c r="F44" s="492"/>
      <c r="G44" s="493"/>
      <c r="H44" s="146" t="s">
        <v>486</v>
      </c>
      <c r="I44" s="494" t="str">
        <f t="shared" ref="I44:I107" si="4">IF(H44="X","n.v.t.",IF(H44="I","ons",IF(H44="V","verhuurder",IF(H44="H","huurder",""))))</f>
        <v>ons</v>
      </c>
      <c r="J44" s="495"/>
      <c r="K44" s="151">
        <v>0</v>
      </c>
      <c r="L44" s="256"/>
      <c r="M44" s="256">
        <f>IF($C$5&lt;3000,(Bron!H33*$C$5)+Bron!I33,(Bron!M33*$C$5)+Bron!N33)</f>
        <v>0</v>
      </c>
      <c r="N44" s="496"/>
      <c r="O44" s="497" t="str">
        <f t="shared" ref="O44:O89" si="5">IF(N44=0,"",(L44+M44)/N44)</f>
        <v/>
      </c>
      <c r="P44" s="257"/>
      <c r="Q44" s="257"/>
      <c r="R44" s="257">
        <v>711</v>
      </c>
      <c r="S44" s="344"/>
      <c r="T44" s="258">
        <f t="shared" ref="T44:T107" si="6">K44+V44+AB44+AH44+AN44+AT44+AZ44+BF44+BL44+BR44+BX44+CD44+CJ44+CP44+CV44+DB44+DH44+DN44+DT44+DZ44+EF44+EL44+ER44+EX44+FD44+FJ44+FP44+FV44+GB44+GH44+GN44+GT44+GZ44</f>
        <v>1</v>
      </c>
      <c r="U44" s="259">
        <f t="shared" ref="U44:U107" si="7">W44+AC44+AI44+AO44+AU44+BA44+BG44+BM44+BS44+BY44+CE44+CK44+CQ44+DU44+EY44+GC44</f>
        <v>0</v>
      </c>
      <c r="V44" s="675"/>
      <c r="W44" s="676">
        <f t="shared" ref="W44:W107" si="8">+V44*($L44+$M44)</f>
        <v>0</v>
      </c>
      <c r="X44" s="677">
        <f t="shared" ref="X44:X107" si="9">$P44*V44</f>
        <v>0</v>
      </c>
      <c r="Y44" s="677"/>
      <c r="Z44" s="678">
        <f>V44*((-$P44/32)-$R44)</f>
        <v>0</v>
      </c>
      <c r="AA44" s="679"/>
      <c r="AB44" s="675"/>
      <c r="AC44" s="676">
        <f t="shared" ref="AC44:AC107" si="10">+AB44*($L44+$M44)</f>
        <v>0</v>
      </c>
      <c r="AD44" s="677">
        <f t="shared" ref="AD44:AD107" si="11">$P44*AB44</f>
        <v>0</v>
      </c>
      <c r="AE44" s="677"/>
      <c r="AF44" s="678">
        <f>AB44*((-$P44/32)-$R44)</f>
        <v>0</v>
      </c>
      <c r="AG44" s="679"/>
      <c r="AH44" s="675"/>
      <c r="AI44" s="676">
        <f t="shared" ref="AI44:AI107" si="12">+AH44*($L44+$M44)</f>
        <v>0</v>
      </c>
      <c r="AJ44" s="677">
        <f t="shared" ref="AJ44:AJ107" si="13">$P44*AH44</f>
        <v>0</v>
      </c>
      <c r="AK44" s="677"/>
      <c r="AL44" s="678">
        <f>AH44*((-$P44/32)-$R44)</f>
        <v>0</v>
      </c>
      <c r="AM44" s="679"/>
      <c r="AN44" s="675"/>
      <c r="AO44" s="676">
        <f t="shared" ref="AO44:AO107" si="14">+AN44*($L44+$M44)</f>
        <v>0</v>
      </c>
      <c r="AP44" s="677">
        <f t="shared" ref="AP44:AP107" si="15">$P44*AN44</f>
        <v>0</v>
      </c>
      <c r="AQ44" s="677"/>
      <c r="AR44" s="678">
        <f>AN44*((-$P44/32)-$R44)</f>
        <v>0</v>
      </c>
      <c r="AS44" s="679"/>
      <c r="AT44" s="675"/>
      <c r="AU44" s="676">
        <f t="shared" ref="AU44:AU107" si="16">+AT44*($L44+$M44)</f>
        <v>0</v>
      </c>
      <c r="AV44" s="677">
        <f t="shared" ref="AV44:AV107" si="17">$P44*AT44</f>
        <v>0</v>
      </c>
      <c r="AW44" s="677"/>
      <c r="AX44" s="678">
        <f>AT44*((-$P44/32)-$R44)</f>
        <v>0</v>
      </c>
      <c r="AY44" s="679"/>
      <c r="AZ44" s="675"/>
      <c r="BA44" s="676">
        <f t="shared" ref="BA44:BA107" si="18">+AZ44*($L44+$M44)</f>
        <v>0</v>
      </c>
      <c r="BB44" s="677">
        <f t="shared" ref="BB44:BB107" si="19">$P44*AZ44</f>
        <v>0</v>
      </c>
      <c r="BC44" s="677"/>
      <c r="BD44" s="678">
        <f>AZ44*((-$P44/32)-$R44)</f>
        <v>0</v>
      </c>
      <c r="BE44" s="679"/>
      <c r="BF44" s="675"/>
      <c r="BG44" s="676">
        <f t="shared" ref="BG44:BG107" si="20">+BF44*($L44+$M44)</f>
        <v>0</v>
      </c>
      <c r="BH44" s="677">
        <f t="shared" ref="BH44:BH107" si="21">$P44*BF44</f>
        <v>0</v>
      </c>
      <c r="BI44" s="677"/>
      <c r="BJ44" s="678">
        <f>BF44*((-$P44/32)-$R44)</f>
        <v>0</v>
      </c>
      <c r="BK44" s="679"/>
      <c r="BL44" s="675"/>
      <c r="BM44" s="676">
        <f t="shared" ref="BM44:BM107" si="22">+BL44*($L44+$M44)</f>
        <v>0</v>
      </c>
      <c r="BN44" s="677">
        <f t="shared" ref="BN44:BN107" si="23">$P44*BL44</f>
        <v>0</v>
      </c>
      <c r="BO44" s="677"/>
      <c r="BP44" s="678">
        <f>BL44*((-$P44/32)-$R44)</f>
        <v>0</v>
      </c>
      <c r="BQ44" s="679"/>
      <c r="BR44" s="675"/>
      <c r="BS44" s="676">
        <f t="shared" ref="BS44:BS107" si="24">+BR44*($L44+$M44)</f>
        <v>0</v>
      </c>
      <c r="BT44" s="677">
        <f t="shared" ref="BT44:BT107" si="25">$P44*BR44</f>
        <v>0</v>
      </c>
      <c r="BU44" s="677"/>
      <c r="BV44" s="678">
        <f>BR44*((-$P44/32)-$R44)</f>
        <v>0</v>
      </c>
      <c r="BW44" s="679"/>
      <c r="BX44" s="675">
        <v>1</v>
      </c>
      <c r="BY44" s="676">
        <f t="shared" ref="BY44:BY107" si="26">+BX44*($L44+$M44)</f>
        <v>0</v>
      </c>
      <c r="BZ44" s="677">
        <f t="shared" ref="BZ44:BZ107" si="27">$P44*BX44</f>
        <v>0</v>
      </c>
      <c r="CA44" s="677"/>
      <c r="CB44" s="678">
        <f>BX44*((-$P44/32)-$R44)</f>
        <v>-711</v>
      </c>
      <c r="CC44" s="679"/>
      <c r="CD44" s="675"/>
      <c r="CE44" s="676">
        <f t="shared" ref="CE44:CE107" si="28">+CD44*($L44+$M44)</f>
        <v>0</v>
      </c>
      <c r="CF44" s="677">
        <f t="shared" ref="CF44:CF107" si="29">$P44*CD44</f>
        <v>0</v>
      </c>
      <c r="CG44" s="677"/>
      <c r="CH44" s="678">
        <f>CD44*((-$P44/32)-$R44)</f>
        <v>0</v>
      </c>
      <c r="CI44" s="679"/>
      <c r="CJ44" s="675"/>
      <c r="CK44" s="676">
        <f t="shared" ref="CK44:CK107" si="30">+CJ44*($L44+$M44)</f>
        <v>0</v>
      </c>
      <c r="CL44" s="677">
        <f t="shared" ref="CL44:CL107" si="31">$P44*CJ44</f>
        <v>0</v>
      </c>
      <c r="CM44" s="677"/>
      <c r="CN44" s="678">
        <f>CJ44*((-$P44/32)-$R44)</f>
        <v>0</v>
      </c>
      <c r="CO44" s="679"/>
      <c r="CP44" s="675"/>
      <c r="CQ44" s="676">
        <f t="shared" ref="CQ44:CQ107" si="32">+CP44*($L44+$M44)</f>
        <v>0</v>
      </c>
      <c r="CR44" s="677">
        <f t="shared" ref="CR44:CR107" si="33">$P44*CP44</f>
        <v>0</v>
      </c>
      <c r="CS44" s="677"/>
      <c r="CT44" s="678">
        <f>CP44*((-$P44/32)-$R44)</f>
        <v>0</v>
      </c>
      <c r="CU44" s="679"/>
      <c r="CV44" s="680"/>
      <c r="CW44" s="681"/>
      <c r="CX44" s="682"/>
      <c r="CY44" s="682"/>
      <c r="CZ44" s="683"/>
      <c r="DA44" s="684"/>
      <c r="DB44" s="680"/>
      <c r="DC44" s="681"/>
      <c r="DD44" s="682"/>
      <c r="DE44" s="682"/>
      <c r="DF44" s="683"/>
      <c r="DG44" s="684"/>
      <c r="DH44" s="680"/>
      <c r="DI44" s="681"/>
      <c r="DJ44" s="682"/>
      <c r="DK44" s="682"/>
      <c r="DL44" s="683"/>
      <c r="DM44" s="684"/>
      <c r="DN44" s="680"/>
      <c r="DO44" s="676">
        <f>+DN44*($L44+$M44)</f>
        <v>0</v>
      </c>
      <c r="DP44" s="677">
        <f>$P44*DN44</f>
        <v>0</v>
      </c>
      <c r="DQ44" s="677"/>
      <c r="DR44" s="678">
        <f>DN44*((-$P44/32)-$R44)</f>
        <v>0</v>
      </c>
      <c r="DS44" s="679"/>
      <c r="DT44" s="675"/>
      <c r="DU44" s="676">
        <f t="shared" ref="DU44:DU107" si="34">+DT44*($L44+$M44)</f>
        <v>0</v>
      </c>
      <c r="DV44" s="677">
        <f t="shared" ref="DV44:DV107" si="35">$P44*DT44</f>
        <v>0</v>
      </c>
      <c r="DW44" s="677"/>
      <c r="DX44" s="678">
        <f>DT44*((-$P44/32)-$R44)</f>
        <v>0</v>
      </c>
      <c r="DY44" s="679"/>
      <c r="DZ44" s="680"/>
      <c r="EA44" s="681"/>
      <c r="EB44" s="682"/>
      <c r="EC44" s="682"/>
      <c r="ED44" s="683"/>
      <c r="EE44" s="684"/>
      <c r="EF44" s="680"/>
      <c r="EG44" s="681"/>
      <c r="EH44" s="682"/>
      <c r="EI44" s="682"/>
      <c r="EJ44" s="683"/>
      <c r="EK44" s="684"/>
      <c r="EL44" s="680"/>
      <c r="EM44" s="681"/>
      <c r="EN44" s="682"/>
      <c r="EO44" s="682"/>
      <c r="EP44" s="683"/>
      <c r="EQ44" s="684"/>
      <c r="ER44" s="680"/>
      <c r="ES44" s="676">
        <f>+ER44*($L44+$M44)</f>
        <v>0</v>
      </c>
      <c r="ET44" s="677">
        <f>$P44*ER44</f>
        <v>0</v>
      </c>
      <c r="EU44" s="677"/>
      <c r="EV44" s="678">
        <f>ER44*((-$P44/32)-$R44)</f>
        <v>0</v>
      </c>
      <c r="EW44" s="679"/>
      <c r="EX44" s="675"/>
      <c r="EY44" s="676">
        <f t="shared" ref="EY44:EY107" si="36">+EX44*($L44+$M44)</f>
        <v>0</v>
      </c>
      <c r="EZ44" s="677">
        <f t="shared" ref="EZ44:EZ107" si="37">$P44*EX44</f>
        <v>0</v>
      </c>
      <c r="FA44" s="677"/>
      <c r="FB44" s="678">
        <f>EX44*((-$P44/32)-$R44)</f>
        <v>0</v>
      </c>
      <c r="FC44" s="679"/>
      <c r="FD44" s="680"/>
      <c r="FE44" s="681"/>
      <c r="FF44" s="682"/>
      <c r="FG44" s="682"/>
      <c r="FH44" s="683"/>
      <c r="FI44" s="684"/>
      <c r="FJ44" s="680"/>
      <c r="FK44" s="681"/>
      <c r="FL44" s="682"/>
      <c r="FM44" s="682"/>
      <c r="FN44" s="683"/>
      <c r="FO44" s="684"/>
      <c r="FP44" s="680"/>
      <c r="FQ44" s="681"/>
      <c r="FR44" s="682"/>
      <c r="FS44" s="682"/>
      <c r="FT44" s="683"/>
      <c r="FU44" s="684"/>
      <c r="FV44" s="680"/>
      <c r="FW44" s="676">
        <f>+FV44*($L44+$M44)</f>
        <v>0</v>
      </c>
      <c r="FX44" s="677">
        <f>$P44*FV44</f>
        <v>0</v>
      </c>
      <c r="FY44" s="677"/>
      <c r="FZ44" s="678">
        <f>FV44*((-$P44/32)-$R44)</f>
        <v>0</v>
      </c>
      <c r="GA44" s="679"/>
      <c r="GB44" s="675"/>
      <c r="GC44" s="676">
        <f t="shared" ref="GC44:GC107" si="38">+GB44*($L44+$M44)</f>
        <v>0</v>
      </c>
      <c r="GD44" s="677">
        <f t="shared" ref="GD44:GD107" si="39">$P44*GB44</f>
        <v>0</v>
      </c>
      <c r="GE44" s="677"/>
      <c r="GF44" s="678">
        <f>GB44*((-$P44/32)-$R44)</f>
        <v>0</v>
      </c>
      <c r="GG44" s="679"/>
      <c r="GH44" s="680"/>
      <c r="GI44" s="681"/>
      <c r="GJ44" s="682"/>
      <c r="GK44" s="682"/>
      <c r="GL44" s="683"/>
      <c r="GM44" s="684"/>
      <c r="GN44" s="680"/>
      <c r="GO44" s="681"/>
      <c r="GP44" s="682"/>
      <c r="GQ44" s="682"/>
      <c r="GR44" s="683"/>
      <c r="GS44" s="684"/>
      <c r="GT44" s="680"/>
      <c r="GU44" s="681"/>
      <c r="GV44" s="682"/>
      <c r="GW44" s="682"/>
      <c r="GX44" s="683"/>
      <c r="GY44" s="684"/>
      <c r="GZ44" s="680"/>
      <c r="HA44" s="498">
        <f>+GZ44*($L44+$M44)</f>
        <v>0</v>
      </c>
      <c r="HB44" s="499">
        <f>$P44*GZ44</f>
        <v>0</v>
      </c>
      <c r="HC44" s="499"/>
      <c r="HD44" s="500">
        <f>GZ44*((-$P44/32)-$R44)</f>
        <v>0</v>
      </c>
      <c r="HE44" s="501"/>
      <c r="HF44" s="8"/>
      <c r="HG44" s="502"/>
      <c r="HH44" s="502"/>
      <c r="HI44" s="502">
        <f t="shared" ref="HI44:HI66" si="40">IF(AND(T44=0,T44&lt;&gt;""),1,0)</f>
        <v>0</v>
      </c>
      <c r="HJ44" s="8"/>
    </row>
    <row r="45" spans="1:227" ht="26.25" hidden="1" customHeight="1">
      <c r="B45" s="488">
        <v>1</v>
      </c>
      <c r="C45" s="489" t="s">
        <v>142</v>
      </c>
      <c r="D45" s="490" t="s">
        <v>141</v>
      </c>
      <c r="E45" s="491" t="s">
        <v>143</v>
      </c>
      <c r="F45" s="492"/>
      <c r="G45" s="493"/>
      <c r="H45" s="146" t="s">
        <v>97</v>
      </c>
      <c r="I45" s="494" t="str">
        <f t="shared" si="4"/>
        <v>n.v.t.</v>
      </c>
      <c r="J45" s="495" t="s">
        <v>487</v>
      </c>
      <c r="K45" s="151">
        <v>0</v>
      </c>
      <c r="L45" s="256">
        <f>IF($C$5&lt;3000,(Bron!H34*$C$5)+Bron!I34,(Bron!M34*$C$5)+Bron!N34)</f>
        <v>0</v>
      </c>
      <c r="M45" s="256"/>
      <c r="N45" s="496">
        <f t="shared" ref="N45:N89" si="41">($C$19*P45)+($C$18*Q45)+($C$20*R45)</f>
        <v>0</v>
      </c>
      <c r="O45" s="497" t="str">
        <f t="shared" si="5"/>
        <v/>
      </c>
      <c r="P45" s="257">
        <f>IF($C$5&lt;3000,$AN$32*Bron!J34,$AN$32*Bron!O34)</f>
        <v>0</v>
      </c>
      <c r="Q45" s="257">
        <f>IF($C$5&lt;3000,$AN$31*Bron!K34,$AN$31*Bron!P34)</f>
        <v>0</v>
      </c>
      <c r="R45" s="257">
        <f>IF($C$5&lt;3000,$AN$33*Bron!J34,$AN$33*Bron!O34)</f>
        <v>0</v>
      </c>
      <c r="S45" s="344"/>
      <c r="T45" s="258">
        <f t="shared" si="6"/>
        <v>0</v>
      </c>
      <c r="U45" s="259">
        <f t="shared" si="7"/>
        <v>0</v>
      </c>
      <c r="V45" s="675"/>
      <c r="W45" s="676">
        <f t="shared" si="8"/>
        <v>0</v>
      </c>
      <c r="X45" s="677">
        <f t="shared" si="9"/>
        <v>0</v>
      </c>
      <c r="Y45" s="677">
        <f t="shared" ref="Y45:Y108" si="42">$Q45*V45</f>
        <v>0</v>
      </c>
      <c r="Z45" s="678">
        <f t="shared" ref="Z45:Z108" si="43">+V45*$R45</f>
        <v>0</v>
      </c>
      <c r="AA45" s="679">
        <f t="shared" ref="AA45:AA108" si="44">V45*$N45</f>
        <v>0</v>
      </c>
      <c r="AB45" s="675"/>
      <c r="AC45" s="676">
        <f t="shared" si="10"/>
        <v>0</v>
      </c>
      <c r="AD45" s="677">
        <f t="shared" si="11"/>
        <v>0</v>
      </c>
      <c r="AE45" s="677">
        <f t="shared" ref="AE45:AE108" si="45">$Q45*AB45</f>
        <v>0</v>
      </c>
      <c r="AF45" s="678">
        <f t="shared" ref="AF45:AF108" si="46">+AB45*$R45</f>
        <v>0</v>
      </c>
      <c r="AG45" s="679">
        <f t="shared" ref="AG45:AG108" si="47">AB45*$N45</f>
        <v>0</v>
      </c>
      <c r="AH45" s="675"/>
      <c r="AI45" s="676">
        <f t="shared" si="12"/>
        <v>0</v>
      </c>
      <c r="AJ45" s="677">
        <f t="shared" si="13"/>
        <v>0</v>
      </c>
      <c r="AK45" s="677">
        <f t="shared" ref="AK45:AK108" si="48">$Q45*AH45</f>
        <v>0</v>
      </c>
      <c r="AL45" s="678">
        <f t="shared" ref="AL45:AL108" si="49">+AH45*$R45</f>
        <v>0</v>
      </c>
      <c r="AM45" s="679">
        <f t="shared" ref="AM45:AM108" si="50">AH45*$N45</f>
        <v>0</v>
      </c>
      <c r="AN45" s="675"/>
      <c r="AO45" s="676">
        <f t="shared" si="14"/>
        <v>0</v>
      </c>
      <c r="AP45" s="677">
        <f t="shared" si="15"/>
        <v>0</v>
      </c>
      <c r="AQ45" s="677">
        <f t="shared" ref="AQ45:AQ108" si="51">$Q45*AN45</f>
        <v>0</v>
      </c>
      <c r="AR45" s="678">
        <f t="shared" ref="AR45:AR108" si="52">+AN45*$R45</f>
        <v>0</v>
      </c>
      <c r="AS45" s="679">
        <f t="shared" ref="AS45:AS108" si="53">AN45*$N45</f>
        <v>0</v>
      </c>
      <c r="AT45" s="675"/>
      <c r="AU45" s="676">
        <f t="shared" si="16"/>
        <v>0</v>
      </c>
      <c r="AV45" s="677">
        <f t="shared" si="17"/>
        <v>0</v>
      </c>
      <c r="AW45" s="677">
        <f t="shared" ref="AW45:AW108" si="54">$Q45*AT45</f>
        <v>0</v>
      </c>
      <c r="AX45" s="678">
        <f t="shared" ref="AX45:AX108" si="55">+AT45*$R45</f>
        <v>0</v>
      </c>
      <c r="AY45" s="679">
        <f t="shared" ref="AY45:AY108" si="56">AT45*$N45</f>
        <v>0</v>
      </c>
      <c r="AZ45" s="675"/>
      <c r="BA45" s="676">
        <f t="shared" si="18"/>
        <v>0</v>
      </c>
      <c r="BB45" s="677">
        <f t="shared" si="19"/>
        <v>0</v>
      </c>
      <c r="BC45" s="677">
        <f t="shared" ref="BC45:BC108" si="57">$Q45*AZ45</f>
        <v>0</v>
      </c>
      <c r="BD45" s="678">
        <f t="shared" ref="BD45:BD108" si="58">+AZ45*$R45</f>
        <v>0</v>
      </c>
      <c r="BE45" s="679">
        <f t="shared" ref="BE45:BE108" si="59">AZ45*$N45</f>
        <v>0</v>
      </c>
      <c r="BF45" s="675"/>
      <c r="BG45" s="676">
        <f t="shared" si="20"/>
        <v>0</v>
      </c>
      <c r="BH45" s="677">
        <f t="shared" si="21"/>
        <v>0</v>
      </c>
      <c r="BI45" s="677">
        <f t="shared" ref="BI45:BI108" si="60">$Q45*BF45</f>
        <v>0</v>
      </c>
      <c r="BJ45" s="678">
        <f t="shared" ref="BJ45:BJ108" si="61">+BF45*$R45</f>
        <v>0</v>
      </c>
      <c r="BK45" s="679">
        <f t="shared" ref="BK45:BK108" si="62">BF45*$N45</f>
        <v>0</v>
      </c>
      <c r="BL45" s="675"/>
      <c r="BM45" s="676">
        <f t="shared" si="22"/>
        <v>0</v>
      </c>
      <c r="BN45" s="677">
        <f t="shared" si="23"/>
        <v>0</v>
      </c>
      <c r="BO45" s="677">
        <f t="shared" ref="BO45:BO108" si="63">$Q45*BL45</f>
        <v>0</v>
      </c>
      <c r="BP45" s="678">
        <f t="shared" ref="BP45:BP108" si="64">+BL45*$R45</f>
        <v>0</v>
      </c>
      <c r="BQ45" s="679">
        <f t="shared" ref="BQ45:BQ108" si="65">BL45*$N45</f>
        <v>0</v>
      </c>
      <c r="BR45" s="675"/>
      <c r="BS45" s="676">
        <f t="shared" si="24"/>
        <v>0</v>
      </c>
      <c r="BT45" s="677">
        <f t="shared" si="25"/>
        <v>0</v>
      </c>
      <c r="BU45" s="677">
        <f t="shared" ref="BU45:BU108" si="66">$Q45*BR45</f>
        <v>0</v>
      </c>
      <c r="BV45" s="678">
        <f t="shared" ref="BV45:BV108" si="67">+BR45*$R45</f>
        <v>0</v>
      </c>
      <c r="BW45" s="679">
        <f t="shared" ref="BW45:BW108" si="68">BR45*$N45</f>
        <v>0</v>
      </c>
      <c r="BX45" s="675"/>
      <c r="BY45" s="676">
        <f t="shared" si="26"/>
        <v>0</v>
      </c>
      <c r="BZ45" s="677">
        <f t="shared" si="27"/>
        <v>0</v>
      </c>
      <c r="CA45" s="677">
        <f t="shared" ref="CA45:CA108" si="69">$Q45*BX45</f>
        <v>0</v>
      </c>
      <c r="CB45" s="678">
        <f t="shared" ref="CB45:CB108" si="70">+BX45*$R45</f>
        <v>0</v>
      </c>
      <c r="CC45" s="679">
        <f t="shared" ref="CC45:CC108" si="71">BX45*$N45</f>
        <v>0</v>
      </c>
      <c r="CD45" s="675"/>
      <c r="CE45" s="676">
        <f t="shared" si="28"/>
        <v>0</v>
      </c>
      <c r="CF45" s="677">
        <f t="shared" si="29"/>
        <v>0</v>
      </c>
      <c r="CG45" s="677">
        <f t="shared" ref="CG45:CG108" si="72">$Q45*CD45</f>
        <v>0</v>
      </c>
      <c r="CH45" s="678">
        <f t="shared" ref="CH45:CH108" si="73">+CD45*$R45</f>
        <v>0</v>
      </c>
      <c r="CI45" s="679">
        <f t="shared" ref="CI45:CI108" si="74">CD45*$N45</f>
        <v>0</v>
      </c>
      <c r="CJ45" s="675"/>
      <c r="CK45" s="676">
        <f t="shared" si="30"/>
        <v>0</v>
      </c>
      <c r="CL45" s="677">
        <f t="shared" si="31"/>
        <v>0</v>
      </c>
      <c r="CM45" s="677">
        <f t="shared" ref="CM45:CM108" si="75">$Q45*CJ45</f>
        <v>0</v>
      </c>
      <c r="CN45" s="678">
        <f t="shared" ref="CN45:CN108" si="76">+CJ45*$R45</f>
        <v>0</v>
      </c>
      <c r="CO45" s="679">
        <f t="shared" ref="CO45:CO108" si="77">CJ45*$N45</f>
        <v>0</v>
      </c>
      <c r="CP45" s="675"/>
      <c r="CQ45" s="676">
        <f t="shared" si="32"/>
        <v>0</v>
      </c>
      <c r="CR45" s="677">
        <f t="shared" si="33"/>
        <v>0</v>
      </c>
      <c r="CS45" s="677">
        <f t="shared" ref="CS45:CS108" si="78">$Q45*CP45</f>
        <v>0</v>
      </c>
      <c r="CT45" s="678">
        <f t="shared" ref="CT45:CT108" si="79">+CP45*$R45</f>
        <v>0</v>
      </c>
      <c r="CU45" s="679">
        <f t="shared" ref="CU45:CU108" si="80">CP45*$N45</f>
        <v>0</v>
      </c>
      <c r="CV45" s="680"/>
      <c r="CW45" s="681"/>
      <c r="CX45" s="682"/>
      <c r="CY45" s="682"/>
      <c r="CZ45" s="683"/>
      <c r="DA45" s="684"/>
      <c r="DB45" s="680"/>
      <c r="DC45" s="681"/>
      <c r="DD45" s="682"/>
      <c r="DE45" s="682"/>
      <c r="DF45" s="683"/>
      <c r="DG45" s="684"/>
      <c r="DH45" s="680"/>
      <c r="DI45" s="681"/>
      <c r="DJ45" s="682"/>
      <c r="DK45" s="682"/>
      <c r="DL45" s="683"/>
      <c r="DM45" s="684"/>
      <c r="DN45" s="680"/>
      <c r="DO45" s="681"/>
      <c r="DP45" s="682"/>
      <c r="DQ45" s="682"/>
      <c r="DR45" s="683"/>
      <c r="DS45" s="684"/>
      <c r="DT45" s="675"/>
      <c r="DU45" s="676">
        <f t="shared" si="34"/>
        <v>0</v>
      </c>
      <c r="DV45" s="677">
        <f t="shared" si="35"/>
        <v>0</v>
      </c>
      <c r="DW45" s="677">
        <f t="shared" ref="DW45:DW108" si="81">$Q45*DT45</f>
        <v>0</v>
      </c>
      <c r="DX45" s="678">
        <f t="shared" ref="DX45:DX108" si="82">+DT45*$R45</f>
        <v>0</v>
      </c>
      <c r="DY45" s="679">
        <f t="shared" ref="DY45:DY108" si="83">DT45*$N45</f>
        <v>0</v>
      </c>
      <c r="DZ45" s="680"/>
      <c r="EA45" s="681"/>
      <c r="EB45" s="682"/>
      <c r="EC45" s="682"/>
      <c r="ED45" s="683"/>
      <c r="EE45" s="684"/>
      <c r="EF45" s="680"/>
      <c r="EG45" s="681"/>
      <c r="EH45" s="682"/>
      <c r="EI45" s="682"/>
      <c r="EJ45" s="683"/>
      <c r="EK45" s="684"/>
      <c r="EL45" s="680"/>
      <c r="EM45" s="681"/>
      <c r="EN45" s="682"/>
      <c r="EO45" s="682"/>
      <c r="EP45" s="683"/>
      <c r="EQ45" s="684"/>
      <c r="ER45" s="680"/>
      <c r="ES45" s="681"/>
      <c r="ET45" s="682"/>
      <c r="EU45" s="682"/>
      <c r="EV45" s="683"/>
      <c r="EW45" s="684"/>
      <c r="EX45" s="675"/>
      <c r="EY45" s="676">
        <f t="shared" si="36"/>
        <v>0</v>
      </c>
      <c r="EZ45" s="677">
        <f t="shared" si="37"/>
        <v>0</v>
      </c>
      <c r="FA45" s="677">
        <f t="shared" ref="FA45:FA108" si="84">$Q45*EX45</f>
        <v>0</v>
      </c>
      <c r="FB45" s="678">
        <f t="shared" ref="FB45:FB108" si="85">+EX45*$R45</f>
        <v>0</v>
      </c>
      <c r="FC45" s="679">
        <f t="shared" ref="FC45:FC108" si="86">EX45*$N45</f>
        <v>0</v>
      </c>
      <c r="FD45" s="680"/>
      <c r="FE45" s="681"/>
      <c r="FF45" s="682"/>
      <c r="FG45" s="682"/>
      <c r="FH45" s="683"/>
      <c r="FI45" s="684"/>
      <c r="FJ45" s="680"/>
      <c r="FK45" s="681"/>
      <c r="FL45" s="682"/>
      <c r="FM45" s="682"/>
      <c r="FN45" s="683"/>
      <c r="FO45" s="684"/>
      <c r="FP45" s="680"/>
      <c r="FQ45" s="681"/>
      <c r="FR45" s="682"/>
      <c r="FS45" s="682"/>
      <c r="FT45" s="683"/>
      <c r="FU45" s="684"/>
      <c r="FV45" s="680"/>
      <c r="FW45" s="681"/>
      <c r="FX45" s="682"/>
      <c r="FY45" s="682"/>
      <c r="FZ45" s="683"/>
      <c r="GA45" s="684"/>
      <c r="GB45" s="675"/>
      <c r="GC45" s="676">
        <f t="shared" si="38"/>
        <v>0</v>
      </c>
      <c r="GD45" s="677">
        <f t="shared" si="39"/>
        <v>0</v>
      </c>
      <c r="GE45" s="677">
        <f t="shared" ref="GE45:GE108" si="87">$Q45*GB45</f>
        <v>0</v>
      </c>
      <c r="GF45" s="678">
        <f t="shared" ref="GF45:GF108" si="88">+GB45*$R45</f>
        <v>0</v>
      </c>
      <c r="GG45" s="679">
        <f t="shared" ref="GG45:GG108" si="89">GB45*$N45</f>
        <v>0</v>
      </c>
      <c r="GH45" s="680"/>
      <c r="GI45" s="681"/>
      <c r="GJ45" s="682"/>
      <c r="GK45" s="682"/>
      <c r="GL45" s="683"/>
      <c r="GM45" s="684"/>
      <c r="GN45" s="680"/>
      <c r="GO45" s="681"/>
      <c r="GP45" s="682"/>
      <c r="GQ45" s="682"/>
      <c r="GR45" s="683"/>
      <c r="GS45" s="684"/>
      <c r="GT45" s="680"/>
      <c r="GU45" s="681"/>
      <c r="GV45" s="682"/>
      <c r="GW45" s="682"/>
      <c r="GX45" s="683"/>
      <c r="GY45" s="684"/>
      <c r="GZ45" s="680"/>
      <c r="HA45" s="147"/>
      <c r="HB45" s="148"/>
      <c r="HC45" s="148"/>
      <c r="HD45" s="149"/>
      <c r="HE45" s="150"/>
      <c r="HF45" s="8"/>
      <c r="HG45" s="502"/>
      <c r="HH45" s="502"/>
      <c r="HI45" s="502">
        <f t="shared" si="40"/>
        <v>1</v>
      </c>
      <c r="HJ45" s="8"/>
    </row>
    <row r="46" spans="1:227" ht="26.25" hidden="1">
      <c r="B46" s="488">
        <v>2</v>
      </c>
      <c r="C46" s="489" t="s">
        <v>142</v>
      </c>
      <c r="D46" s="490" t="s">
        <v>144</v>
      </c>
      <c r="E46" s="491" t="s">
        <v>403</v>
      </c>
      <c r="F46" s="492"/>
      <c r="G46" s="493"/>
      <c r="H46" s="146" t="s">
        <v>97</v>
      </c>
      <c r="I46" s="494" t="str">
        <f t="shared" si="4"/>
        <v>n.v.t.</v>
      </c>
      <c r="J46" s="495" t="s">
        <v>487</v>
      </c>
      <c r="K46" s="151">
        <v>0</v>
      </c>
      <c r="L46" s="256">
        <f>IF($C$5&lt;3000,(Bron!H35*$C$5)+Bron!I35,(Bron!M35*$C$5)+Bron!N35)</f>
        <v>0</v>
      </c>
      <c r="M46" s="256"/>
      <c r="N46" s="496">
        <f t="shared" si="41"/>
        <v>0</v>
      </c>
      <c r="O46" s="497" t="str">
        <f t="shared" si="5"/>
        <v/>
      </c>
      <c r="P46" s="257">
        <f>IF($C$5&lt;3000,$AN$32*Bron!J35,$AN$32*Bron!O35)</f>
        <v>0</v>
      </c>
      <c r="Q46" s="257">
        <f>IF($C$5&lt;3000,$AN$31*Bron!K35,$AN$31*Bron!P35)</f>
        <v>0</v>
      </c>
      <c r="R46" s="257">
        <f>IF($C$5&lt;3000,$AN$33*Bron!J35,$AN$33*Bron!O35)</f>
        <v>0</v>
      </c>
      <c r="S46" s="344"/>
      <c r="T46" s="258">
        <f t="shared" si="6"/>
        <v>0</v>
      </c>
      <c r="U46" s="259">
        <f t="shared" si="7"/>
        <v>0</v>
      </c>
      <c r="V46" s="675"/>
      <c r="W46" s="676">
        <f t="shared" si="8"/>
        <v>0</v>
      </c>
      <c r="X46" s="677">
        <f t="shared" si="9"/>
        <v>0</v>
      </c>
      <c r="Y46" s="677">
        <f t="shared" si="42"/>
        <v>0</v>
      </c>
      <c r="Z46" s="678">
        <f t="shared" si="43"/>
        <v>0</v>
      </c>
      <c r="AA46" s="679">
        <f t="shared" si="44"/>
        <v>0</v>
      </c>
      <c r="AB46" s="675"/>
      <c r="AC46" s="676">
        <f t="shared" si="10"/>
        <v>0</v>
      </c>
      <c r="AD46" s="677">
        <f t="shared" si="11"/>
        <v>0</v>
      </c>
      <c r="AE46" s="677">
        <f t="shared" si="45"/>
        <v>0</v>
      </c>
      <c r="AF46" s="678">
        <f t="shared" si="46"/>
        <v>0</v>
      </c>
      <c r="AG46" s="679">
        <f t="shared" si="47"/>
        <v>0</v>
      </c>
      <c r="AH46" s="675"/>
      <c r="AI46" s="676">
        <f t="shared" si="12"/>
        <v>0</v>
      </c>
      <c r="AJ46" s="677">
        <f t="shared" si="13"/>
        <v>0</v>
      </c>
      <c r="AK46" s="677">
        <f t="shared" si="48"/>
        <v>0</v>
      </c>
      <c r="AL46" s="678">
        <f t="shared" si="49"/>
        <v>0</v>
      </c>
      <c r="AM46" s="679">
        <f t="shared" si="50"/>
        <v>0</v>
      </c>
      <c r="AN46" s="675"/>
      <c r="AO46" s="676">
        <f t="shared" si="14"/>
        <v>0</v>
      </c>
      <c r="AP46" s="677">
        <f t="shared" si="15"/>
        <v>0</v>
      </c>
      <c r="AQ46" s="677">
        <f t="shared" si="51"/>
        <v>0</v>
      </c>
      <c r="AR46" s="678">
        <f t="shared" si="52"/>
        <v>0</v>
      </c>
      <c r="AS46" s="679">
        <f t="shared" si="53"/>
        <v>0</v>
      </c>
      <c r="AT46" s="675"/>
      <c r="AU46" s="676">
        <f t="shared" si="16"/>
        <v>0</v>
      </c>
      <c r="AV46" s="677">
        <f t="shared" si="17"/>
        <v>0</v>
      </c>
      <c r="AW46" s="677">
        <f t="shared" si="54"/>
        <v>0</v>
      </c>
      <c r="AX46" s="678">
        <f t="shared" si="55"/>
        <v>0</v>
      </c>
      <c r="AY46" s="679">
        <f t="shared" si="56"/>
        <v>0</v>
      </c>
      <c r="AZ46" s="675"/>
      <c r="BA46" s="676">
        <f t="shared" si="18"/>
        <v>0</v>
      </c>
      <c r="BB46" s="677">
        <f t="shared" si="19"/>
        <v>0</v>
      </c>
      <c r="BC46" s="677">
        <f t="shared" si="57"/>
        <v>0</v>
      </c>
      <c r="BD46" s="678">
        <f t="shared" si="58"/>
        <v>0</v>
      </c>
      <c r="BE46" s="679">
        <f t="shared" si="59"/>
        <v>0</v>
      </c>
      <c r="BF46" s="675"/>
      <c r="BG46" s="676">
        <f t="shared" si="20"/>
        <v>0</v>
      </c>
      <c r="BH46" s="677">
        <f t="shared" si="21"/>
        <v>0</v>
      </c>
      <c r="BI46" s="677">
        <f t="shared" si="60"/>
        <v>0</v>
      </c>
      <c r="BJ46" s="678">
        <f t="shared" si="61"/>
        <v>0</v>
      </c>
      <c r="BK46" s="679">
        <f t="shared" si="62"/>
        <v>0</v>
      </c>
      <c r="BL46" s="675"/>
      <c r="BM46" s="676">
        <f t="shared" si="22"/>
        <v>0</v>
      </c>
      <c r="BN46" s="677">
        <f t="shared" si="23"/>
        <v>0</v>
      </c>
      <c r="BO46" s="677">
        <f t="shared" si="63"/>
        <v>0</v>
      </c>
      <c r="BP46" s="678">
        <f t="shared" si="64"/>
        <v>0</v>
      </c>
      <c r="BQ46" s="679">
        <f t="shared" si="65"/>
        <v>0</v>
      </c>
      <c r="BR46" s="675"/>
      <c r="BS46" s="676">
        <f t="shared" si="24"/>
        <v>0</v>
      </c>
      <c r="BT46" s="677">
        <f t="shared" si="25"/>
        <v>0</v>
      </c>
      <c r="BU46" s="677">
        <f t="shared" si="66"/>
        <v>0</v>
      </c>
      <c r="BV46" s="678">
        <f t="shared" si="67"/>
        <v>0</v>
      </c>
      <c r="BW46" s="679">
        <f t="shared" si="68"/>
        <v>0</v>
      </c>
      <c r="BX46" s="675"/>
      <c r="BY46" s="676">
        <f t="shared" si="26"/>
        <v>0</v>
      </c>
      <c r="BZ46" s="677">
        <f t="shared" si="27"/>
        <v>0</v>
      </c>
      <c r="CA46" s="677">
        <f t="shared" si="69"/>
        <v>0</v>
      </c>
      <c r="CB46" s="678">
        <f t="shared" si="70"/>
        <v>0</v>
      </c>
      <c r="CC46" s="679">
        <f t="shared" si="71"/>
        <v>0</v>
      </c>
      <c r="CD46" s="675"/>
      <c r="CE46" s="676">
        <f t="shared" si="28"/>
        <v>0</v>
      </c>
      <c r="CF46" s="677">
        <f t="shared" si="29"/>
        <v>0</v>
      </c>
      <c r="CG46" s="677">
        <f t="shared" si="72"/>
        <v>0</v>
      </c>
      <c r="CH46" s="678">
        <f t="shared" si="73"/>
        <v>0</v>
      </c>
      <c r="CI46" s="679">
        <f t="shared" si="74"/>
        <v>0</v>
      </c>
      <c r="CJ46" s="675"/>
      <c r="CK46" s="676">
        <f t="shared" si="30"/>
        <v>0</v>
      </c>
      <c r="CL46" s="677">
        <f t="shared" si="31"/>
        <v>0</v>
      </c>
      <c r="CM46" s="677">
        <f t="shared" si="75"/>
        <v>0</v>
      </c>
      <c r="CN46" s="678">
        <f t="shared" si="76"/>
        <v>0</v>
      </c>
      <c r="CO46" s="679">
        <f t="shared" si="77"/>
        <v>0</v>
      </c>
      <c r="CP46" s="675"/>
      <c r="CQ46" s="676">
        <f t="shared" si="32"/>
        <v>0</v>
      </c>
      <c r="CR46" s="677">
        <f t="shared" si="33"/>
        <v>0</v>
      </c>
      <c r="CS46" s="677">
        <f t="shared" si="78"/>
        <v>0</v>
      </c>
      <c r="CT46" s="678">
        <f t="shared" si="79"/>
        <v>0</v>
      </c>
      <c r="CU46" s="679">
        <f t="shared" si="80"/>
        <v>0</v>
      </c>
      <c r="CV46" s="680"/>
      <c r="CW46" s="681"/>
      <c r="CX46" s="682"/>
      <c r="CY46" s="682"/>
      <c r="CZ46" s="683"/>
      <c r="DA46" s="684"/>
      <c r="DB46" s="680"/>
      <c r="DC46" s="681"/>
      <c r="DD46" s="682"/>
      <c r="DE46" s="682"/>
      <c r="DF46" s="683"/>
      <c r="DG46" s="684"/>
      <c r="DH46" s="680"/>
      <c r="DI46" s="681"/>
      <c r="DJ46" s="682"/>
      <c r="DK46" s="682"/>
      <c r="DL46" s="683"/>
      <c r="DM46" s="684"/>
      <c r="DN46" s="680"/>
      <c r="DO46" s="681"/>
      <c r="DP46" s="682"/>
      <c r="DQ46" s="682"/>
      <c r="DR46" s="683"/>
      <c r="DS46" s="684"/>
      <c r="DT46" s="675"/>
      <c r="DU46" s="676">
        <f t="shared" si="34"/>
        <v>0</v>
      </c>
      <c r="DV46" s="677">
        <f t="shared" si="35"/>
        <v>0</v>
      </c>
      <c r="DW46" s="677">
        <f t="shared" si="81"/>
        <v>0</v>
      </c>
      <c r="DX46" s="678">
        <f t="shared" si="82"/>
        <v>0</v>
      </c>
      <c r="DY46" s="679">
        <f t="shared" si="83"/>
        <v>0</v>
      </c>
      <c r="DZ46" s="680"/>
      <c r="EA46" s="681"/>
      <c r="EB46" s="682"/>
      <c r="EC46" s="682"/>
      <c r="ED46" s="683"/>
      <c r="EE46" s="684"/>
      <c r="EF46" s="680"/>
      <c r="EG46" s="681"/>
      <c r="EH46" s="682"/>
      <c r="EI46" s="682"/>
      <c r="EJ46" s="683"/>
      <c r="EK46" s="684"/>
      <c r="EL46" s="680"/>
      <c r="EM46" s="681"/>
      <c r="EN46" s="682"/>
      <c r="EO46" s="682"/>
      <c r="EP46" s="683"/>
      <c r="EQ46" s="684"/>
      <c r="ER46" s="680"/>
      <c r="ES46" s="681"/>
      <c r="ET46" s="682"/>
      <c r="EU46" s="682"/>
      <c r="EV46" s="683"/>
      <c r="EW46" s="684"/>
      <c r="EX46" s="675"/>
      <c r="EY46" s="676">
        <f t="shared" si="36"/>
        <v>0</v>
      </c>
      <c r="EZ46" s="677">
        <f t="shared" si="37"/>
        <v>0</v>
      </c>
      <c r="FA46" s="677">
        <f t="shared" si="84"/>
        <v>0</v>
      </c>
      <c r="FB46" s="678">
        <f t="shared" si="85"/>
        <v>0</v>
      </c>
      <c r="FC46" s="679">
        <f t="shared" si="86"/>
        <v>0</v>
      </c>
      <c r="FD46" s="680"/>
      <c r="FE46" s="681"/>
      <c r="FF46" s="682"/>
      <c r="FG46" s="682"/>
      <c r="FH46" s="683"/>
      <c r="FI46" s="684"/>
      <c r="FJ46" s="680"/>
      <c r="FK46" s="681"/>
      <c r="FL46" s="682"/>
      <c r="FM46" s="682"/>
      <c r="FN46" s="683"/>
      <c r="FO46" s="684"/>
      <c r="FP46" s="680"/>
      <c r="FQ46" s="681"/>
      <c r="FR46" s="682"/>
      <c r="FS46" s="682"/>
      <c r="FT46" s="683"/>
      <c r="FU46" s="684"/>
      <c r="FV46" s="680"/>
      <c r="FW46" s="681"/>
      <c r="FX46" s="682"/>
      <c r="FY46" s="682"/>
      <c r="FZ46" s="683"/>
      <c r="GA46" s="684"/>
      <c r="GB46" s="675"/>
      <c r="GC46" s="676">
        <f t="shared" si="38"/>
        <v>0</v>
      </c>
      <c r="GD46" s="677">
        <f t="shared" si="39"/>
        <v>0</v>
      </c>
      <c r="GE46" s="677">
        <f t="shared" si="87"/>
        <v>0</v>
      </c>
      <c r="GF46" s="678">
        <f t="shared" si="88"/>
        <v>0</v>
      </c>
      <c r="GG46" s="679">
        <f t="shared" si="89"/>
        <v>0</v>
      </c>
      <c r="GH46" s="680"/>
      <c r="GI46" s="681"/>
      <c r="GJ46" s="682"/>
      <c r="GK46" s="682"/>
      <c r="GL46" s="683"/>
      <c r="GM46" s="684"/>
      <c r="GN46" s="680"/>
      <c r="GO46" s="681"/>
      <c r="GP46" s="682"/>
      <c r="GQ46" s="682"/>
      <c r="GR46" s="683"/>
      <c r="GS46" s="684"/>
      <c r="GT46" s="680"/>
      <c r="GU46" s="681"/>
      <c r="GV46" s="682"/>
      <c r="GW46" s="682"/>
      <c r="GX46" s="683"/>
      <c r="GY46" s="684"/>
      <c r="GZ46" s="680"/>
      <c r="HA46" s="147"/>
      <c r="HB46" s="148"/>
      <c r="HC46" s="148"/>
      <c r="HD46" s="149"/>
      <c r="HE46" s="150"/>
      <c r="HF46" s="8"/>
      <c r="HG46" s="502"/>
      <c r="HH46" s="502"/>
      <c r="HI46" s="502">
        <f t="shared" si="40"/>
        <v>1</v>
      </c>
      <c r="HJ46" s="8"/>
      <c r="HL46" s="503"/>
    </row>
    <row r="47" spans="1:227" ht="21" hidden="1">
      <c r="B47" s="488">
        <v>3</v>
      </c>
      <c r="C47" s="489" t="s">
        <v>142</v>
      </c>
      <c r="D47" s="490" t="s">
        <v>5</v>
      </c>
      <c r="E47" s="491" t="s">
        <v>145</v>
      </c>
      <c r="F47" s="492"/>
      <c r="G47" s="493"/>
      <c r="H47" s="146" t="s">
        <v>97</v>
      </c>
      <c r="I47" s="494" t="str">
        <f t="shared" si="4"/>
        <v>n.v.t.</v>
      </c>
      <c r="J47" s="495" t="s">
        <v>487</v>
      </c>
      <c r="K47" s="151">
        <v>0</v>
      </c>
      <c r="L47" s="256">
        <f>IF($C$5&lt;3000,(Bron!H36*$C$5)+Bron!I36,(Bron!M36*$C$5)+Bron!N36)</f>
        <v>0</v>
      </c>
      <c r="M47" s="256"/>
      <c r="N47" s="496">
        <f t="shared" si="41"/>
        <v>0</v>
      </c>
      <c r="O47" s="497" t="str">
        <f t="shared" si="5"/>
        <v/>
      </c>
      <c r="P47" s="257">
        <f>IF($C$5&lt;3000,$AN$32*Bron!J36,$AN$32*Bron!O36)</f>
        <v>0</v>
      </c>
      <c r="Q47" s="257">
        <f>IF($C$5&lt;3000,$AN$31*Bron!K36,$AN$31*Bron!P36)</f>
        <v>0</v>
      </c>
      <c r="R47" s="257">
        <f>IF($C$5&lt;3000,$AN$33*Bron!J36,$AN$33*Bron!O36)</f>
        <v>0</v>
      </c>
      <c r="S47" s="344"/>
      <c r="T47" s="258">
        <f t="shared" si="6"/>
        <v>0</v>
      </c>
      <c r="U47" s="259">
        <f t="shared" si="7"/>
        <v>0</v>
      </c>
      <c r="V47" s="675"/>
      <c r="W47" s="676">
        <f t="shared" si="8"/>
        <v>0</v>
      </c>
      <c r="X47" s="677">
        <f t="shared" si="9"/>
        <v>0</v>
      </c>
      <c r="Y47" s="677">
        <f t="shared" si="42"/>
        <v>0</v>
      </c>
      <c r="Z47" s="678">
        <f t="shared" si="43"/>
        <v>0</v>
      </c>
      <c r="AA47" s="679">
        <f t="shared" si="44"/>
        <v>0</v>
      </c>
      <c r="AB47" s="675"/>
      <c r="AC47" s="676">
        <f t="shared" si="10"/>
        <v>0</v>
      </c>
      <c r="AD47" s="677">
        <f t="shared" si="11"/>
        <v>0</v>
      </c>
      <c r="AE47" s="677">
        <f t="shared" si="45"/>
        <v>0</v>
      </c>
      <c r="AF47" s="678">
        <f t="shared" si="46"/>
        <v>0</v>
      </c>
      <c r="AG47" s="679">
        <f t="shared" si="47"/>
        <v>0</v>
      </c>
      <c r="AH47" s="675"/>
      <c r="AI47" s="676">
        <f t="shared" si="12"/>
        <v>0</v>
      </c>
      <c r="AJ47" s="677">
        <f t="shared" si="13"/>
        <v>0</v>
      </c>
      <c r="AK47" s="677">
        <f t="shared" si="48"/>
        <v>0</v>
      </c>
      <c r="AL47" s="678">
        <f t="shared" si="49"/>
        <v>0</v>
      </c>
      <c r="AM47" s="679">
        <f t="shared" si="50"/>
        <v>0</v>
      </c>
      <c r="AN47" s="675"/>
      <c r="AO47" s="676">
        <f t="shared" si="14"/>
        <v>0</v>
      </c>
      <c r="AP47" s="677">
        <f t="shared" si="15"/>
        <v>0</v>
      </c>
      <c r="AQ47" s="677">
        <f t="shared" si="51"/>
        <v>0</v>
      </c>
      <c r="AR47" s="678">
        <f t="shared" si="52"/>
        <v>0</v>
      </c>
      <c r="AS47" s="679">
        <f t="shared" si="53"/>
        <v>0</v>
      </c>
      <c r="AT47" s="675"/>
      <c r="AU47" s="676">
        <f t="shared" si="16"/>
        <v>0</v>
      </c>
      <c r="AV47" s="677">
        <f t="shared" si="17"/>
        <v>0</v>
      </c>
      <c r="AW47" s="677">
        <f t="shared" si="54"/>
        <v>0</v>
      </c>
      <c r="AX47" s="678">
        <f t="shared" si="55"/>
        <v>0</v>
      </c>
      <c r="AY47" s="679">
        <f t="shared" si="56"/>
        <v>0</v>
      </c>
      <c r="AZ47" s="675"/>
      <c r="BA47" s="676">
        <f t="shared" si="18"/>
        <v>0</v>
      </c>
      <c r="BB47" s="677">
        <f t="shared" si="19"/>
        <v>0</v>
      </c>
      <c r="BC47" s="677">
        <f t="shared" si="57"/>
        <v>0</v>
      </c>
      <c r="BD47" s="678">
        <f t="shared" si="58"/>
        <v>0</v>
      </c>
      <c r="BE47" s="679">
        <f t="shared" si="59"/>
        <v>0</v>
      </c>
      <c r="BF47" s="675"/>
      <c r="BG47" s="676">
        <f t="shared" si="20"/>
        <v>0</v>
      </c>
      <c r="BH47" s="677">
        <f t="shared" si="21"/>
        <v>0</v>
      </c>
      <c r="BI47" s="677">
        <f t="shared" si="60"/>
        <v>0</v>
      </c>
      <c r="BJ47" s="678">
        <f t="shared" si="61"/>
        <v>0</v>
      </c>
      <c r="BK47" s="679">
        <f t="shared" si="62"/>
        <v>0</v>
      </c>
      <c r="BL47" s="675"/>
      <c r="BM47" s="676">
        <f t="shared" si="22"/>
        <v>0</v>
      </c>
      <c r="BN47" s="677">
        <f t="shared" si="23"/>
        <v>0</v>
      </c>
      <c r="BO47" s="677">
        <f t="shared" si="63"/>
        <v>0</v>
      </c>
      <c r="BP47" s="678">
        <f t="shared" si="64"/>
        <v>0</v>
      </c>
      <c r="BQ47" s="679">
        <f t="shared" si="65"/>
        <v>0</v>
      </c>
      <c r="BR47" s="675"/>
      <c r="BS47" s="676">
        <f t="shared" si="24"/>
        <v>0</v>
      </c>
      <c r="BT47" s="677">
        <f t="shared" si="25"/>
        <v>0</v>
      </c>
      <c r="BU47" s="677">
        <f t="shared" si="66"/>
        <v>0</v>
      </c>
      <c r="BV47" s="678">
        <f t="shared" si="67"/>
        <v>0</v>
      </c>
      <c r="BW47" s="679">
        <f t="shared" si="68"/>
        <v>0</v>
      </c>
      <c r="BX47" s="675"/>
      <c r="BY47" s="676">
        <f t="shared" si="26"/>
        <v>0</v>
      </c>
      <c r="BZ47" s="677">
        <f t="shared" si="27"/>
        <v>0</v>
      </c>
      <c r="CA47" s="677">
        <f t="shared" si="69"/>
        <v>0</v>
      </c>
      <c r="CB47" s="678">
        <f t="shared" si="70"/>
        <v>0</v>
      </c>
      <c r="CC47" s="679">
        <f t="shared" si="71"/>
        <v>0</v>
      </c>
      <c r="CD47" s="675"/>
      <c r="CE47" s="676">
        <f t="shared" si="28"/>
        <v>0</v>
      </c>
      <c r="CF47" s="677">
        <f t="shared" si="29"/>
        <v>0</v>
      </c>
      <c r="CG47" s="677">
        <f t="shared" si="72"/>
        <v>0</v>
      </c>
      <c r="CH47" s="678">
        <f t="shared" si="73"/>
        <v>0</v>
      </c>
      <c r="CI47" s="679">
        <f t="shared" si="74"/>
        <v>0</v>
      </c>
      <c r="CJ47" s="675"/>
      <c r="CK47" s="676">
        <f t="shared" si="30"/>
        <v>0</v>
      </c>
      <c r="CL47" s="677">
        <f t="shared" si="31"/>
        <v>0</v>
      </c>
      <c r="CM47" s="677">
        <f t="shared" si="75"/>
        <v>0</v>
      </c>
      <c r="CN47" s="678">
        <f t="shared" si="76"/>
        <v>0</v>
      </c>
      <c r="CO47" s="679">
        <f t="shared" si="77"/>
        <v>0</v>
      </c>
      <c r="CP47" s="675"/>
      <c r="CQ47" s="676">
        <f t="shared" si="32"/>
        <v>0</v>
      </c>
      <c r="CR47" s="677">
        <f t="shared" si="33"/>
        <v>0</v>
      </c>
      <c r="CS47" s="677">
        <f t="shared" si="78"/>
        <v>0</v>
      </c>
      <c r="CT47" s="678">
        <f t="shared" si="79"/>
        <v>0</v>
      </c>
      <c r="CU47" s="679">
        <f t="shared" si="80"/>
        <v>0</v>
      </c>
      <c r="CV47" s="680"/>
      <c r="CW47" s="681"/>
      <c r="CX47" s="682"/>
      <c r="CY47" s="682"/>
      <c r="CZ47" s="683"/>
      <c r="DA47" s="684"/>
      <c r="DB47" s="680"/>
      <c r="DC47" s="681"/>
      <c r="DD47" s="682"/>
      <c r="DE47" s="682"/>
      <c r="DF47" s="683"/>
      <c r="DG47" s="684"/>
      <c r="DH47" s="680"/>
      <c r="DI47" s="681"/>
      <c r="DJ47" s="682"/>
      <c r="DK47" s="682"/>
      <c r="DL47" s="683"/>
      <c r="DM47" s="684"/>
      <c r="DN47" s="680"/>
      <c r="DO47" s="681"/>
      <c r="DP47" s="682"/>
      <c r="DQ47" s="682"/>
      <c r="DR47" s="683"/>
      <c r="DS47" s="684"/>
      <c r="DT47" s="675"/>
      <c r="DU47" s="676">
        <f t="shared" si="34"/>
        <v>0</v>
      </c>
      <c r="DV47" s="677">
        <f t="shared" si="35"/>
        <v>0</v>
      </c>
      <c r="DW47" s="677">
        <f t="shared" si="81"/>
        <v>0</v>
      </c>
      <c r="DX47" s="678">
        <f t="shared" si="82"/>
        <v>0</v>
      </c>
      <c r="DY47" s="679">
        <f t="shared" si="83"/>
        <v>0</v>
      </c>
      <c r="DZ47" s="680"/>
      <c r="EA47" s="681"/>
      <c r="EB47" s="682"/>
      <c r="EC47" s="682"/>
      <c r="ED47" s="683"/>
      <c r="EE47" s="684"/>
      <c r="EF47" s="680"/>
      <c r="EG47" s="681"/>
      <c r="EH47" s="682"/>
      <c r="EI47" s="682"/>
      <c r="EJ47" s="683"/>
      <c r="EK47" s="684"/>
      <c r="EL47" s="680"/>
      <c r="EM47" s="681"/>
      <c r="EN47" s="682"/>
      <c r="EO47" s="682"/>
      <c r="EP47" s="683"/>
      <c r="EQ47" s="684"/>
      <c r="ER47" s="680"/>
      <c r="ES47" s="681"/>
      <c r="ET47" s="682"/>
      <c r="EU47" s="682"/>
      <c r="EV47" s="683"/>
      <c r="EW47" s="684"/>
      <c r="EX47" s="675"/>
      <c r="EY47" s="676">
        <f t="shared" si="36"/>
        <v>0</v>
      </c>
      <c r="EZ47" s="677">
        <f t="shared" si="37"/>
        <v>0</v>
      </c>
      <c r="FA47" s="677">
        <f t="shared" si="84"/>
        <v>0</v>
      </c>
      <c r="FB47" s="678">
        <f t="shared" si="85"/>
        <v>0</v>
      </c>
      <c r="FC47" s="679">
        <f t="shared" si="86"/>
        <v>0</v>
      </c>
      <c r="FD47" s="680"/>
      <c r="FE47" s="681"/>
      <c r="FF47" s="682"/>
      <c r="FG47" s="682"/>
      <c r="FH47" s="683"/>
      <c r="FI47" s="684"/>
      <c r="FJ47" s="680"/>
      <c r="FK47" s="681"/>
      <c r="FL47" s="682"/>
      <c r="FM47" s="682"/>
      <c r="FN47" s="683"/>
      <c r="FO47" s="684"/>
      <c r="FP47" s="680"/>
      <c r="FQ47" s="681"/>
      <c r="FR47" s="682"/>
      <c r="FS47" s="682"/>
      <c r="FT47" s="683"/>
      <c r="FU47" s="684"/>
      <c r="FV47" s="680"/>
      <c r="FW47" s="681"/>
      <c r="FX47" s="682"/>
      <c r="FY47" s="682"/>
      <c r="FZ47" s="683"/>
      <c r="GA47" s="684"/>
      <c r="GB47" s="675"/>
      <c r="GC47" s="676">
        <f t="shared" si="38"/>
        <v>0</v>
      </c>
      <c r="GD47" s="677">
        <f t="shared" si="39"/>
        <v>0</v>
      </c>
      <c r="GE47" s="677">
        <f t="shared" si="87"/>
        <v>0</v>
      </c>
      <c r="GF47" s="678">
        <f t="shared" si="88"/>
        <v>0</v>
      </c>
      <c r="GG47" s="679">
        <f t="shared" si="89"/>
        <v>0</v>
      </c>
      <c r="GH47" s="680"/>
      <c r="GI47" s="681"/>
      <c r="GJ47" s="682"/>
      <c r="GK47" s="682"/>
      <c r="GL47" s="683"/>
      <c r="GM47" s="684"/>
      <c r="GN47" s="680"/>
      <c r="GO47" s="681"/>
      <c r="GP47" s="682"/>
      <c r="GQ47" s="682"/>
      <c r="GR47" s="683"/>
      <c r="GS47" s="684"/>
      <c r="GT47" s="680"/>
      <c r="GU47" s="681"/>
      <c r="GV47" s="682"/>
      <c r="GW47" s="682"/>
      <c r="GX47" s="683"/>
      <c r="GY47" s="684"/>
      <c r="GZ47" s="680"/>
      <c r="HA47" s="147"/>
      <c r="HB47" s="148"/>
      <c r="HC47" s="148"/>
      <c r="HD47" s="149"/>
      <c r="HE47" s="150"/>
      <c r="HF47" s="8"/>
      <c r="HG47" s="502"/>
      <c r="HH47" s="502"/>
      <c r="HI47" s="502">
        <f t="shared" si="40"/>
        <v>1</v>
      </c>
      <c r="HJ47" s="8"/>
    </row>
    <row r="48" spans="1:227" ht="21" hidden="1">
      <c r="B48" s="488">
        <v>4</v>
      </c>
      <c r="C48" s="489" t="s">
        <v>142</v>
      </c>
      <c r="D48" s="490" t="s">
        <v>6</v>
      </c>
      <c r="E48" s="491" t="s">
        <v>146</v>
      </c>
      <c r="F48" s="504"/>
      <c r="G48" s="505"/>
      <c r="H48" s="146" t="s">
        <v>97</v>
      </c>
      <c r="I48" s="494" t="str">
        <f t="shared" si="4"/>
        <v>n.v.t.</v>
      </c>
      <c r="J48" s="495" t="s">
        <v>487</v>
      </c>
      <c r="K48" s="151">
        <v>0</v>
      </c>
      <c r="L48" s="256">
        <f>IF($C$5&lt;3000,(Bron!H37*$C$5)+Bron!I37,(Bron!M37*$C$5)+Bron!N37)</f>
        <v>0</v>
      </c>
      <c r="M48" s="256"/>
      <c r="N48" s="496">
        <f t="shared" si="41"/>
        <v>0</v>
      </c>
      <c r="O48" s="497" t="str">
        <f t="shared" si="5"/>
        <v/>
      </c>
      <c r="P48" s="257">
        <f>IF($C$5&lt;3000,$AN$32*Bron!J37,$AN$32*Bron!O37)</f>
        <v>0</v>
      </c>
      <c r="Q48" s="257">
        <f>IF($C$5&lt;3000,$AN$31*Bron!K37,$AN$31*Bron!P37)</f>
        <v>0</v>
      </c>
      <c r="R48" s="257">
        <f>IF($C$5&lt;3000,$AN$33*Bron!J37,$AN$33*Bron!O37)</f>
        <v>0</v>
      </c>
      <c r="S48" s="344"/>
      <c r="T48" s="258">
        <f t="shared" si="6"/>
        <v>0</v>
      </c>
      <c r="U48" s="259">
        <f t="shared" si="7"/>
        <v>0</v>
      </c>
      <c r="V48" s="675"/>
      <c r="W48" s="676">
        <f t="shared" si="8"/>
        <v>0</v>
      </c>
      <c r="X48" s="677">
        <f t="shared" si="9"/>
        <v>0</v>
      </c>
      <c r="Y48" s="677">
        <f t="shared" si="42"/>
        <v>0</v>
      </c>
      <c r="Z48" s="678">
        <f t="shared" si="43"/>
        <v>0</v>
      </c>
      <c r="AA48" s="679">
        <f t="shared" si="44"/>
        <v>0</v>
      </c>
      <c r="AB48" s="675"/>
      <c r="AC48" s="676">
        <f t="shared" si="10"/>
        <v>0</v>
      </c>
      <c r="AD48" s="677">
        <f t="shared" si="11"/>
        <v>0</v>
      </c>
      <c r="AE48" s="677">
        <f t="shared" si="45"/>
        <v>0</v>
      </c>
      <c r="AF48" s="678">
        <f t="shared" si="46"/>
        <v>0</v>
      </c>
      <c r="AG48" s="679">
        <f t="shared" si="47"/>
        <v>0</v>
      </c>
      <c r="AH48" s="675"/>
      <c r="AI48" s="676">
        <f t="shared" si="12"/>
        <v>0</v>
      </c>
      <c r="AJ48" s="677">
        <f t="shared" si="13"/>
        <v>0</v>
      </c>
      <c r="AK48" s="677">
        <f t="shared" si="48"/>
        <v>0</v>
      </c>
      <c r="AL48" s="678">
        <f t="shared" si="49"/>
        <v>0</v>
      </c>
      <c r="AM48" s="679">
        <f t="shared" si="50"/>
        <v>0</v>
      </c>
      <c r="AN48" s="675"/>
      <c r="AO48" s="676">
        <f t="shared" si="14"/>
        <v>0</v>
      </c>
      <c r="AP48" s="677">
        <f t="shared" si="15"/>
        <v>0</v>
      </c>
      <c r="AQ48" s="677">
        <f t="shared" si="51"/>
        <v>0</v>
      </c>
      <c r="AR48" s="678">
        <f t="shared" si="52"/>
        <v>0</v>
      </c>
      <c r="AS48" s="679">
        <f t="shared" si="53"/>
        <v>0</v>
      </c>
      <c r="AT48" s="675"/>
      <c r="AU48" s="676">
        <f t="shared" si="16"/>
        <v>0</v>
      </c>
      <c r="AV48" s="677">
        <f t="shared" si="17"/>
        <v>0</v>
      </c>
      <c r="AW48" s="677">
        <f t="shared" si="54"/>
        <v>0</v>
      </c>
      <c r="AX48" s="678">
        <f t="shared" si="55"/>
        <v>0</v>
      </c>
      <c r="AY48" s="679">
        <f t="shared" si="56"/>
        <v>0</v>
      </c>
      <c r="AZ48" s="675"/>
      <c r="BA48" s="676">
        <f t="shared" si="18"/>
        <v>0</v>
      </c>
      <c r="BB48" s="677">
        <f t="shared" si="19"/>
        <v>0</v>
      </c>
      <c r="BC48" s="677">
        <f t="shared" si="57"/>
        <v>0</v>
      </c>
      <c r="BD48" s="678">
        <f t="shared" si="58"/>
        <v>0</v>
      </c>
      <c r="BE48" s="679">
        <f t="shared" si="59"/>
        <v>0</v>
      </c>
      <c r="BF48" s="675"/>
      <c r="BG48" s="676">
        <f t="shared" si="20"/>
        <v>0</v>
      </c>
      <c r="BH48" s="677">
        <f t="shared" si="21"/>
        <v>0</v>
      </c>
      <c r="BI48" s="677">
        <f t="shared" si="60"/>
        <v>0</v>
      </c>
      <c r="BJ48" s="678">
        <f t="shared" si="61"/>
        <v>0</v>
      </c>
      <c r="BK48" s="679">
        <f t="shared" si="62"/>
        <v>0</v>
      </c>
      <c r="BL48" s="675"/>
      <c r="BM48" s="676">
        <f t="shared" si="22"/>
        <v>0</v>
      </c>
      <c r="BN48" s="677">
        <f t="shared" si="23"/>
        <v>0</v>
      </c>
      <c r="BO48" s="677">
        <f t="shared" si="63"/>
        <v>0</v>
      </c>
      <c r="BP48" s="678">
        <f t="shared" si="64"/>
        <v>0</v>
      </c>
      <c r="BQ48" s="679">
        <f t="shared" si="65"/>
        <v>0</v>
      </c>
      <c r="BR48" s="675"/>
      <c r="BS48" s="676">
        <f t="shared" si="24"/>
        <v>0</v>
      </c>
      <c r="BT48" s="677">
        <f t="shared" si="25"/>
        <v>0</v>
      </c>
      <c r="BU48" s="677">
        <f t="shared" si="66"/>
        <v>0</v>
      </c>
      <c r="BV48" s="678">
        <f t="shared" si="67"/>
        <v>0</v>
      </c>
      <c r="BW48" s="679">
        <f t="shared" si="68"/>
        <v>0</v>
      </c>
      <c r="BX48" s="675"/>
      <c r="BY48" s="676">
        <f t="shared" si="26"/>
        <v>0</v>
      </c>
      <c r="BZ48" s="677">
        <f t="shared" si="27"/>
        <v>0</v>
      </c>
      <c r="CA48" s="677">
        <f t="shared" si="69"/>
        <v>0</v>
      </c>
      <c r="CB48" s="678">
        <f t="shared" si="70"/>
        <v>0</v>
      </c>
      <c r="CC48" s="679">
        <f t="shared" si="71"/>
        <v>0</v>
      </c>
      <c r="CD48" s="675"/>
      <c r="CE48" s="676">
        <f t="shared" si="28"/>
        <v>0</v>
      </c>
      <c r="CF48" s="677">
        <f t="shared" si="29"/>
        <v>0</v>
      </c>
      <c r="CG48" s="677">
        <f t="shared" si="72"/>
        <v>0</v>
      </c>
      <c r="CH48" s="678">
        <f t="shared" si="73"/>
        <v>0</v>
      </c>
      <c r="CI48" s="679">
        <f t="shared" si="74"/>
        <v>0</v>
      </c>
      <c r="CJ48" s="675"/>
      <c r="CK48" s="676">
        <f t="shared" si="30"/>
        <v>0</v>
      </c>
      <c r="CL48" s="677">
        <f t="shared" si="31"/>
        <v>0</v>
      </c>
      <c r="CM48" s="677">
        <f t="shared" si="75"/>
        <v>0</v>
      </c>
      <c r="CN48" s="678">
        <f t="shared" si="76"/>
        <v>0</v>
      </c>
      <c r="CO48" s="679">
        <f t="shared" si="77"/>
        <v>0</v>
      </c>
      <c r="CP48" s="675"/>
      <c r="CQ48" s="676">
        <f t="shared" si="32"/>
        <v>0</v>
      </c>
      <c r="CR48" s="677">
        <f t="shared" si="33"/>
        <v>0</v>
      </c>
      <c r="CS48" s="677">
        <f t="shared" si="78"/>
        <v>0</v>
      </c>
      <c r="CT48" s="678">
        <f t="shared" si="79"/>
        <v>0</v>
      </c>
      <c r="CU48" s="679">
        <f t="shared" si="80"/>
        <v>0</v>
      </c>
      <c r="CV48" s="680"/>
      <c r="CW48" s="681"/>
      <c r="CX48" s="682"/>
      <c r="CY48" s="682"/>
      <c r="CZ48" s="683"/>
      <c r="DA48" s="684"/>
      <c r="DB48" s="680"/>
      <c r="DC48" s="681"/>
      <c r="DD48" s="682"/>
      <c r="DE48" s="682"/>
      <c r="DF48" s="683"/>
      <c r="DG48" s="684"/>
      <c r="DH48" s="680"/>
      <c r="DI48" s="681"/>
      <c r="DJ48" s="682"/>
      <c r="DK48" s="682"/>
      <c r="DL48" s="683"/>
      <c r="DM48" s="684"/>
      <c r="DN48" s="680"/>
      <c r="DO48" s="681"/>
      <c r="DP48" s="682"/>
      <c r="DQ48" s="682"/>
      <c r="DR48" s="683"/>
      <c r="DS48" s="684"/>
      <c r="DT48" s="675"/>
      <c r="DU48" s="676">
        <f t="shared" si="34"/>
        <v>0</v>
      </c>
      <c r="DV48" s="677">
        <f t="shared" si="35"/>
        <v>0</v>
      </c>
      <c r="DW48" s="677">
        <f t="shared" si="81"/>
        <v>0</v>
      </c>
      <c r="DX48" s="678">
        <f t="shared" si="82"/>
        <v>0</v>
      </c>
      <c r="DY48" s="679">
        <f t="shared" si="83"/>
        <v>0</v>
      </c>
      <c r="DZ48" s="680"/>
      <c r="EA48" s="681"/>
      <c r="EB48" s="682"/>
      <c r="EC48" s="682"/>
      <c r="ED48" s="683"/>
      <c r="EE48" s="684"/>
      <c r="EF48" s="680"/>
      <c r="EG48" s="681"/>
      <c r="EH48" s="682"/>
      <c r="EI48" s="682"/>
      <c r="EJ48" s="683"/>
      <c r="EK48" s="684"/>
      <c r="EL48" s="680"/>
      <c r="EM48" s="681"/>
      <c r="EN48" s="682"/>
      <c r="EO48" s="682"/>
      <c r="EP48" s="683"/>
      <c r="EQ48" s="684"/>
      <c r="ER48" s="680"/>
      <c r="ES48" s="681"/>
      <c r="ET48" s="682"/>
      <c r="EU48" s="682"/>
      <c r="EV48" s="683"/>
      <c r="EW48" s="684"/>
      <c r="EX48" s="675"/>
      <c r="EY48" s="676">
        <f t="shared" si="36"/>
        <v>0</v>
      </c>
      <c r="EZ48" s="677">
        <f t="shared" si="37"/>
        <v>0</v>
      </c>
      <c r="FA48" s="677">
        <f t="shared" si="84"/>
        <v>0</v>
      </c>
      <c r="FB48" s="678">
        <f t="shared" si="85"/>
        <v>0</v>
      </c>
      <c r="FC48" s="679">
        <f t="shared" si="86"/>
        <v>0</v>
      </c>
      <c r="FD48" s="680"/>
      <c r="FE48" s="681"/>
      <c r="FF48" s="682"/>
      <c r="FG48" s="682"/>
      <c r="FH48" s="683"/>
      <c r="FI48" s="684"/>
      <c r="FJ48" s="680"/>
      <c r="FK48" s="681"/>
      <c r="FL48" s="682"/>
      <c r="FM48" s="682"/>
      <c r="FN48" s="683"/>
      <c r="FO48" s="684"/>
      <c r="FP48" s="680"/>
      <c r="FQ48" s="681"/>
      <c r="FR48" s="682"/>
      <c r="FS48" s="682"/>
      <c r="FT48" s="683"/>
      <c r="FU48" s="684"/>
      <c r="FV48" s="680"/>
      <c r="FW48" s="681"/>
      <c r="FX48" s="682"/>
      <c r="FY48" s="682"/>
      <c r="FZ48" s="683"/>
      <c r="GA48" s="684"/>
      <c r="GB48" s="675"/>
      <c r="GC48" s="676">
        <f t="shared" si="38"/>
        <v>0</v>
      </c>
      <c r="GD48" s="677">
        <f t="shared" si="39"/>
        <v>0</v>
      </c>
      <c r="GE48" s="677">
        <f t="shared" si="87"/>
        <v>0</v>
      </c>
      <c r="GF48" s="678">
        <f t="shared" si="88"/>
        <v>0</v>
      </c>
      <c r="GG48" s="679">
        <f t="shared" si="89"/>
        <v>0</v>
      </c>
      <c r="GH48" s="680"/>
      <c r="GI48" s="681"/>
      <c r="GJ48" s="682"/>
      <c r="GK48" s="682"/>
      <c r="GL48" s="683"/>
      <c r="GM48" s="684"/>
      <c r="GN48" s="680"/>
      <c r="GO48" s="681"/>
      <c r="GP48" s="682"/>
      <c r="GQ48" s="682"/>
      <c r="GR48" s="683"/>
      <c r="GS48" s="684"/>
      <c r="GT48" s="680"/>
      <c r="GU48" s="681"/>
      <c r="GV48" s="682"/>
      <c r="GW48" s="682"/>
      <c r="GX48" s="683"/>
      <c r="GY48" s="684"/>
      <c r="GZ48" s="680"/>
      <c r="HA48" s="147"/>
      <c r="HB48" s="148"/>
      <c r="HC48" s="148"/>
      <c r="HD48" s="149"/>
      <c r="HE48" s="150"/>
      <c r="HF48" s="8"/>
      <c r="HG48" s="502"/>
      <c r="HH48" s="502"/>
      <c r="HI48" s="502">
        <f t="shared" si="40"/>
        <v>1</v>
      </c>
      <c r="HJ48" s="8"/>
    </row>
    <row r="49" spans="2:218" ht="21" hidden="1">
      <c r="B49" s="488">
        <v>5</v>
      </c>
      <c r="C49" s="489" t="s">
        <v>142</v>
      </c>
      <c r="D49" s="490" t="s">
        <v>292</v>
      </c>
      <c r="E49" s="491" t="s">
        <v>293</v>
      </c>
      <c r="F49" s="492"/>
      <c r="G49" s="493"/>
      <c r="H49" s="146" t="s">
        <v>97</v>
      </c>
      <c r="I49" s="494" t="str">
        <f t="shared" si="4"/>
        <v>n.v.t.</v>
      </c>
      <c r="J49" s="495" t="s">
        <v>487</v>
      </c>
      <c r="K49" s="151">
        <v>0</v>
      </c>
      <c r="L49" s="256">
        <f>IF($C$5&lt;3000,(Bron!H38*$C$5)+Bron!I38,(Bron!M38*$C$5)+Bron!N38)</f>
        <v>0</v>
      </c>
      <c r="M49" s="256"/>
      <c r="N49" s="496">
        <f t="shared" si="41"/>
        <v>0</v>
      </c>
      <c r="O49" s="497" t="str">
        <f t="shared" si="5"/>
        <v/>
      </c>
      <c r="P49" s="257">
        <f>IF($C$5&lt;3000,$AN$32*Bron!J38,$AN$32*Bron!O38)</f>
        <v>0</v>
      </c>
      <c r="Q49" s="257">
        <f>IF($C$5&lt;3000,$AN$31*Bron!K38,$AN$31*Bron!P38)</f>
        <v>0</v>
      </c>
      <c r="R49" s="257">
        <f>IF($C$5&lt;3000,$AN$33*Bron!J38,$AN$33*Bron!O38)</f>
        <v>0</v>
      </c>
      <c r="S49" s="344"/>
      <c r="T49" s="258">
        <f t="shared" si="6"/>
        <v>0</v>
      </c>
      <c r="U49" s="259">
        <f t="shared" si="7"/>
        <v>0</v>
      </c>
      <c r="V49" s="675"/>
      <c r="W49" s="676">
        <f t="shared" si="8"/>
        <v>0</v>
      </c>
      <c r="X49" s="677">
        <f t="shared" si="9"/>
        <v>0</v>
      </c>
      <c r="Y49" s="677">
        <f t="shared" si="42"/>
        <v>0</v>
      </c>
      <c r="Z49" s="678">
        <f t="shared" si="43"/>
        <v>0</v>
      </c>
      <c r="AA49" s="679">
        <f t="shared" si="44"/>
        <v>0</v>
      </c>
      <c r="AB49" s="675"/>
      <c r="AC49" s="676">
        <f t="shared" si="10"/>
        <v>0</v>
      </c>
      <c r="AD49" s="677">
        <f t="shared" si="11"/>
        <v>0</v>
      </c>
      <c r="AE49" s="677">
        <f t="shared" si="45"/>
        <v>0</v>
      </c>
      <c r="AF49" s="678">
        <f t="shared" si="46"/>
        <v>0</v>
      </c>
      <c r="AG49" s="679">
        <f t="shared" si="47"/>
        <v>0</v>
      </c>
      <c r="AH49" s="675"/>
      <c r="AI49" s="676">
        <f t="shared" si="12"/>
        <v>0</v>
      </c>
      <c r="AJ49" s="677">
        <f t="shared" si="13"/>
        <v>0</v>
      </c>
      <c r="AK49" s="677">
        <f t="shared" si="48"/>
        <v>0</v>
      </c>
      <c r="AL49" s="678">
        <f t="shared" si="49"/>
        <v>0</v>
      </c>
      <c r="AM49" s="679">
        <f t="shared" si="50"/>
        <v>0</v>
      </c>
      <c r="AN49" s="675"/>
      <c r="AO49" s="676">
        <f t="shared" si="14"/>
        <v>0</v>
      </c>
      <c r="AP49" s="677">
        <f t="shared" si="15"/>
        <v>0</v>
      </c>
      <c r="AQ49" s="677">
        <f t="shared" si="51"/>
        <v>0</v>
      </c>
      <c r="AR49" s="678">
        <f t="shared" si="52"/>
        <v>0</v>
      </c>
      <c r="AS49" s="679">
        <f t="shared" si="53"/>
        <v>0</v>
      </c>
      <c r="AT49" s="675"/>
      <c r="AU49" s="676">
        <f t="shared" si="16"/>
        <v>0</v>
      </c>
      <c r="AV49" s="677">
        <f t="shared" si="17"/>
        <v>0</v>
      </c>
      <c r="AW49" s="677">
        <f t="shared" si="54"/>
        <v>0</v>
      </c>
      <c r="AX49" s="678">
        <f t="shared" si="55"/>
        <v>0</v>
      </c>
      <c r="AY49" s="679">
        <f t="shared" si="56"/>
        <v>0</v>
      </c>
      <c r="AZ49" s="675"/>
      <c r="BA49" s="676">
        <f t="shared" si="18"/>
        <v>0</v>
      </c>
      <c r="BB49" s="677">
        <f t="shared" si="19"/>
        <v>0</v>
      </c>
      <c r="BC49" s="677">
        <f t="shared" si="57"/>
        <v>0</v>
      </c>
      <c r="BD49" s="678">
        <f t="shared" si="58"/>
        <v>0</v>
      </c>
      <c r="BE49" s="679">
        <f t="shared" si="59"/>
        <v>0</v>
      </c>
      <c r="BF49" s="675"/>
      <c r="BG49" s="676">
        <f t="shared" si="20"/>
        <v>0</v>
      </c>
      <c r="BH49" s="677">
        <f t="shared" si="21"/>
        <v>0</v>
      </c>
      <c r="BI49" s="677">
        <f t="shared" si="60"/>
        <v>0</v>
      </c>
      <c r="BJ49" s="678">
        <f t="shared" si="61"/>
        <v>0</v>
      </c>
      <c r="BK49" s="679">
        <f t="shared" si="62"/>
        <v>0</v>
      </c>
      <c r="BL49" s="675"/>
      <c r="BM49" s="676">
        <f t="shared" si="22"/>
        <v>0</v>
      </c>
      <c r="BN49" s="677">
        <f t="shared" si="23"/>
        <v>0</v>
      </c>
      <c r="BO49" s="677">
        <f t="shared" si="63"/>
        <v>0</v>
      </c>
      <c r="BP49" s="678">
        <f t="shared" si="64"/>
        <v>0</v>
      </c>
      <c r="BQ49" s="679">
        <f t="shared" si="65"/>
        <v>0</v>
      </c>
      <c r="BR49" s="675"/>
      <c r="BS49" s="676">
        <f t="shared" si="24"/>
        <v>0</v>
      </c>
      <c r="BT49" s="677">
        <f t="shared" si="25"/>
        <v>0</v>
      </c>
      <c r="BU49" s="677">
        <f t="shared" si="66"/>
        <v>0</v>
      </c>
      <c r="BV49" s="678">
        <f t="shared" si="67"/>
        <v>0</v>
      </c>
      <c r="BW49" s="679">
        <f t="shared" si="68"/>
        <v>0</v>
      </c>
      <c r="BX49" s="675"/>
      <c r="BY49" s="676">
        <f t="shared" si="26"/>
        <v>0</v>
      </c>
      <c r="BZ49" s="677">
        <f t="shared" si="27"/>
        <v>0</v>
      </c>
      <c r="CA49" s="677">
        <f t="shared" si="69"/>
        <v>0</v>
      </c>
      <c r="CB49" s="678">
        <f t="shared" si="70"/>
        <v>0</v>
      </c>
      <c r="CC49" s="679">
        <f t="shared" si="71"/>
        <v>0</v>
      </c>
      <c r="CD49" s="675"/>
      <c r="CE49" s="676">
        <f t="shared" si="28"/>
        <v>0</v>
      </c>
      <c r="CF49" s="677">
        <f t="shared" si="29"/>
        <v>0</v>
      </c>
      <c r="CG49" s="677">
        <f t="shared" si="72"/>
        <v>0</v>
      </c>
      <c r="CH49" s="678">
        <f t="shared" si="73"/>
        <v>0</v>
      </c>
      <c r="CI49" s="679">
        <f t="shared" si="74"/>
        <v>0</v>
      </c>
      <c r="CJ49" s="675"/>
      <c r="CK49" s="676">
        <f t="shared" si="30"/>
        <v>0</v>
      </c>
      <c r="CL49" s="677">
        <f t="shared" si="31"/>
        <v>0</v>
      </c>
      <c r="CM49" s="677">
        <f t="shared" si="75"/>
        <v>0</v>
      </c>
      <c r="CN49" s="678">
        <f t="shared" si="76"/>
        <v>0</v>
      </c>
      <c r="CO49" s="679">
        <f t="shared" si="77"/>
        <v>0</v>
      </c>
      <c r="CP49" s="675"/>
      <c r="CQ49" s="676">
        <f t="shared" si="32"/>
        <v>0</v>
      </c>
      <c r="CR49" s="677">
        <f t="shared" si="33"/>
        <v>0</v>
      </c>
      <c r="CS49" s="677">
        <f t="shared" si="78"/>
        <v>0</v>
      </c>
      <c r="CT49" s="678">
        <f t="shared" si="79"/>
        <v>0</v>
      </c>
      <c r="CU49" s="679">
        <f t="shared" si="80"/>
        <v>0</v>
      </c>
      <c r="CV49" s="680"/>
      <c r="CW49" s="681"/>
      <c r="CX49" s="682"/>
      <c r="CY49" s="682"/>
      <c r="CZ49" s="683"/>
      <c r="DA49" s="684"/>
      <c r="DB49" s="680"/>
      <c r="DC49" s="681"/>
      <c r="DD49" s="682"/>
      <c r="DE49" s="682"/>
      <c r="DF49" s="683"/>
      <c r="DG49" s="684"/>
      <c r="DH49" s="680"/>
      <c r="DI49" s="681"/>
      <c r="DJ49" s="682"/>
      <c r="DK49" s="682"/>
      <c r="DL49" s="683"/>
      <c r="DM49" s="684"/>
      <c r="DN49" s="680"/>
      <c r="DO49" s="681"/>
      <c r="DP49" s="682"/>
      <c r="DQ49" s="682"/>
      <c r="DR49" s="683"/>
      <c r="DS49" s="684"/>
      <c r="DT49" s="675"/>
      <c r="DU49" s="676">
        <f t="shared" si="34"/>
        <v>0</v>
      </c>
      <c r="DV49" s="677">
        <f t="shared" si="35"/>
        <v>0</v>
      </c>
      <c r="DW49" s="677">
        <f t="shared" si="81"/>
        <v>0</v>
      </c>
      <c r="DX49" s="678">
        <f t="shared" si="82"/>
        <v>0</v>
      </c>
      <c r="DY49" s="679">
        <f t="shared" si="83"/>
        <v>0</v>
      </c>
      <c r="DZ49" s="680"/>
      <c r="EA49" s="681"/>
      <c r="EB49" s="682"/>
      <c r="EC49" s="682"/>
      <c r="ED49" s="683"/>
      <c r="EE49" s="684"/>
      <c r="EF49" s="680"/>
      <c r="EG49" s="681"/>
      <c r="EH49" s="682"/>
      <c r="EI49" s="682"/>
      <c r="EJ49" s="683"/>
      <c r="EK49" s="684"/>
      <c r="EL49" s="680"/>
      <c r="EM49" s="681"/>
      <c r="EN49" s="682"/>
      <c r="EO49" s="682"/>
      <c r="EP49" s="683"/>
      <c r="EQ49" s="684"/>
      <c r="ER49" s="680"/>
      <c r="ES49" s="681"/>
      <c r="ET49" s="682"/>
      <c r="EU49" s="682"/>
      <c r="EV49" s="683"/>
      <c r="EW49" s="684"/>
      <c r="EX49" s="675"/>
      <c r="EY49" s="676">
        <f t="shared" si="36"/>
        <v>0</v>
      </c>
      <c r="EZ49" s="677">
        <f t="shared" si="37"/>
        <v>0</v>
      </c>
      <c r="FA49" s="677">
        <f t="shared" si="84"/>
        <v>0</v>
      </c>
      <c r="FB49" s="678">
        <f t="shared" si="85"/>
        <v>0</v>
      </c>
      <c r="FC49" s="679">
        <f t="shared" si="86"/>
        <v>0</v>
      </c>
      <c r="FD49" s="680"/>
      <c r="FE49" s="681"/>
      <c r="FF49" s="682"/>
      <c r="FG49" s="682"/>
      <c r="FH49" s="683"/>
      <c r="FI49" s="684"/>
      <c r="FJ49" s="680"/>
      <c r="FK49" s="681"/>
      <c r="FL49" s="682"/>
      <c r="FM49" s="682"/>
      <c r="FN49" s="683"/>
      <c r="FO49" s="684"/>
      <c r="FP49" s="680"/>
      <c r="FQ49" s="681"/>
      <c r="FR49" s="682"/>
      <c r="FS49" s="682"/>
      <c r="FT49" s="683"/>
      <c r="FU49" s="684"/>
      <c r="FV49" s="680"/>
      <c r="FW49" s="681"/>
      <c r="FX49" s="682"/>
      <c r="FY49" s="682"/>
      <c r="FZ49" s="683"/>
      <c r="GA49" s="684"/>
      <c r="GB49" s="675"/>
      <c r="GC49" s="676">
        <f t="shared" si="38"/>
        <v>0</v>
      </c>
      <c r="GD49" s="677">
        <f t="shared" si="39"/>
        <v>0</v>
      </c>
      <c r="GE49" s="677">
        <f t="shared" si="87"/>
        <v>0</v>
      </c>
      <c r="GF49" s="678">
        <f t="shared" si="88"/>
        <v>0</v>
      </c>
      <c r="GG49" s="679">
        <f t="shared" si="89"/>
        <v>0</v>
      </c>
      <c r="GH49" s="680"/>
      <c r="GI49" s="681"/>
      <c r="GJ49" s="682"/>
      <c r="GK49" s="682"/>
      <c r="GL49" s="683"/>
      <c r="GM49" s="684"/>
      <c r="GN49" s="680"/>
      <c r="GO49" s="681"/>
      <c r="GP49" s="682"/>
      <c r="GQ49" s="682"/>
      <c r="GR49" s="683"/>
      <c r="GS49" s="684"/>
      <c r="GT49" s="680"/>
      <c r="GU49" s="681"/>
      <c r="GV49" s="682"/>
      <c r="GW49" s="682"/>
      <c r="GX49" s="683"/>
      <c r="GY49" s="684"/>
      <c r="GZ49" s="680"/>
      <c r="HA49" s="147"/>
      <c r="HB49" s="148"/>
      <c r="HC49" s="148"/>
      <c r="HD49" s="149"/>
      <c r="HE49" s="150"/>
      <c r="HF49" s="8"/>
      <c r="HG49" s="502"/>
      <c r="HH49" s="502"/>
      <c r="HI49" s="502">
        <f t="shared" si="40"/>
        <v>1</v>
      </c>
      <c r="HJ49" s="8"/>
    </row>
    <row r="50" spans="2:218" ht="21" hidden="1">
      <c r="B50" s="488">
        <v>6</v>
      </c>
      <c r="C50" s="489" t="s">
        <v>142</v>
      </c>
      <c r="D50" s="490" t="s">
        <v>294</v>
      </c>
      <c r="E50" s="491" t="s">
        <v>404</v>
      </c>
      <c r="F50" s="492"/>
      <c r="G50" s="493"/>
      <c r="H50" s="146" t="s">
        <v>97</v>
      </c>
      <c r="I50" s="494" t="str">
        <f t="shared" si="4"/>
        <v>n.v.t.</v>
      </c>
      <c r="J50" s="495" t="s">
        <v>487</v>
      </c>
      <c r="K50" s="151">
        <v>0</v>
      </c>
      <c r="L50" s="256">
        <f>IF($C$5&lt;3000,(Bron!H39*$C$5)+Bron!I39,(Bron!M39*$C$5)+Bron!N39)</f>
        <v>0</v>
      </c>
      <c r="M50" s="256"/>
      <c r="N50" s="496">
        <f t="shared" si="41"/>
        <v>0</v>
      </c>
      <c r="O50" s="497" t="str">
        <f t="shared" si="5"/>
        <v/>
      </c>
      <c r="P50" s="257">
        <f>IF($C$5&lt;3000,$AN$32*Bron!J39,$AN$32*Bron!O39)</f>
        <v>0</v>
      </c>
      <c r="Q50" s="257">
        <f>IF($C$5&lt;3000,$AN$31*Bron!K39,$AN$31*Bron!P39)</f>
        <v>0</v>
      </c>
      <c r="R50" s="257">
        <f>IF($C$5&lt;3000,$AN$33*Bron!J39,$AN$33*Bron!O39)</f>
        <v>0</v>
      </c>
      <c r="S50" s="344"/>
      <c r="T50" s="258">
        <f t="shared" si="6"/>
        <v>0</v>
      </c>
      <c r="U50" s="259">
        <f t="shared" si="7"/>
        <v>0</v>
      </c>
      <c r="V50" s="675"/>
      <c r="W50" s="676">
        <f t="shared" si="8"/>
        <v>0</v>
      </c>
      <c r="X50" s="677">
        <f t="shared" si="9"/>
        <v>0</v>
      </c>
      <c r="Y50" s="677">
        <f t="shared" si="42"/>
        <v>0</v>
      </c>
      <c r="Z50" s="678">
        <f t="shared" si="43"/>
        <v>0</v>
      </c>
      <c r="AA50" s="679">
        <f t="shared" si="44"/>
        <v>0</v>
      </c>
      <c r="AB50" s="675"/>
      <c r="AC50" s="676">
        <f t="shared" si="10"/>
        <v>0</v>
      </c>
      <c r="AD50" s="677">
        <f t="shared" si="11"/>
        <v>0</v>
      </c>
      <c r="AE50" s="677">
        <f t="shared" si="45"/>
        <v>0</v>
      </c>
      <c r="AF50" s="678">
        <f t="shared" si="46"/>
        <v>0</v>
      </c>
      <c r="AG50" s="679">
        <f t="shared" si="47"/>
        <v>0</v>
      </c>
      <c r="AH50" s="675"/>
      <c r="AI50" s="676">
        <f t="shared" si="12"/>
        <v>0</v>
      </c>
      <c r="AJ50" s="677">
        <f t="shared" si="13"/>
        <v>0</v>
      </c>
      <c r="AK50" s="677">
        <f t="shared" si="48"/>
        <v>0</v>
      </c>
      <c r="AL50" s="678">
        <f t="shared" si="49"/>
        <v>0</v>
      </c>
      <c r="AM50" s="679">
        <f t="shared" si="50"/>
        <v>0</v>
      </c>
      <c r="AN50" s="675"/>
      <c r="AO50" s="676">
        <f t="shared" si="14"/>
        <v>0</v>
      </c>
      <c r="AP50" s="677">
        <f t="shared" si="15"/>
        <v>0</v>
      </c>
      <c r="AQ50" s="677">
        <f t="shared" si="51"/>
        <v>0</v>
      </c>
      <c r="AR50" s="678">
        <f t="shared" si="52"/>
        <v>0</v>
      </c>
      <c r="AS50" s="679">
        <f t="shared" si="53"/>
        <v>0</v>
      </c>
      <c r="AT50" s="675"/>
      <c r="AU50" s="676">
        <f t="shared" si="16"/>
        <v>0</v>
      </c>
      <c r="AV50" s="677">
        <f t="shared" si="17"/>
        <v>0</v>
      </c>
      <c r="AW50" s="677">
        <f t="shared" si="54"/>
        <v>0</v>
      </c>
      <c r="AX50" s="678">
        <f t="shared" si="55"/>
        <v>0</v>
      </c>
      <c r="AY50" s="679">
        <f t="shared" si="56"/>
        <v>0</v>
      </c>
      <c r="AZ50" s="675"/>
      <c r="BA50" s="676">
        <f t="shared" si="18"/>
        <v>0</v>
      </c>
      <c r="BB50" s="677">
        <f t="shared" si="19"/>
        <v>0</v>
      </c>
      <c r="BC50" s="677">
        <f t="shared" si="57"/>
        <v>0</v>
      </c>
      <c r="BD50" s="678">
        <f t="shared" si="58"/>
        <v>0</v>
      </c>
      <c r="BE50" s="679">
        <f t="shared" si="59"/>
        <v>0</v>
      </c>
      <c r="BF50" s="675"/>
      <c r="BG50" s="676">
        <f t="shared" si="20"/>
        <v>0</v>
      </c>
      <c r="BH50" s="677">
        <f t="shared" si="21"/>
        <v>0</v>
      </c>
      <c r="BI50" s="677">
        <f t="shared" si="60"/>
        <v>0</v>
      </c>
      <c r="BJ50" s="678">
        <f t="shared" si="61"/>
        <v>0</v>
      </c>
      <c r="BK50" s="679">
        <f t="shared" si="62"/>
        <v>0</v>
      </c>
      <c r="BL50" s="675"/>
      <c r="BM50" s="676">
        <f t="shared" si="22"/>
        <v>0</v>
      </c>
      <c r="BN50" s="677">
        <f t="shared" si="23"/>
        <v>0</v>
      </c>
      <c r="BO50" s="677">
        <f t="shared" si="63"/>
        <v>0</v>
      </c>
      <c r="BP50" s="678">
        <f t="shared" si="64"/>
        <v>0</v>
      </c>
      <c r="BQ50" s="679">
        <f t="shared" si="65"/>
        <v>0</v>
      </c>
      <c r="BR50" s="675"/>
      <c r="BS50" s="676">
        <f t="shared" si="24"/>
        <v>0</v>
      </c>
      <c r="BT50" s="677">
        <f t="shared" si="25"/>
        <v>0</v>
      </c>
      <c r="BU50" s="677">
        <f t="shared" si="66"/>
        <v>0</v>
      </c>
      <c r="BV50" s="678">
        <f t="shared" si="67"/>
        <v>0</v>
      </c>
      <c r="BW50" s="679">
        <f t="shared" si="68"/>
        <v>0</v>
      </c>
      <c r="BX50" s="675"/>
      <c r="BY50" s="676">
        <f t="shared" si="26"/>
        <v>0</v>
      </c>
      <c r="BZ50" s="677">
        <f t="shared" si="27"/>
        <v>0</v>
      </c>
      <c r="CA50" s="677">
        <f t="shared" si="69"/>
        <v>0</v>
      </c>
      <c r="CB50" s="678">
        <f t="shared" si="70"/>
        <v>0</v>
      </c>
      <c r="CC50" s="679">
        <f t="shared" si="71"/>
        <v>0</v>
      </c>
      <c r="CD50" s="675"/>
      <c r="CE50" s="676">
        <f t="shared" si="28"/>
        <v>0</v>
      </c>
      <c r="CF50" s="677">
        <f t="shared" si="29"/>
        <v>0</v>
      </c>
      <c r="CG50" s="677">
        <f t="shared" si="72"/>
        <v>0</v>
      </c>
      <c r="CH50" s="678">
        <f t="shared" si="73"/>
        <v>0</v>
      </c>
      <c r="CI50" s="679">
        <f t="shared" si="74"/>
        <v>0</v>
      </c>
      <c r="CJ50" s="675"/>
      <c r="CK50" s="676">
        <f t="shared" si="30"/>
        <v>0</v>
      </c>
      <c r="CL50" s="677">
        <f t="shared" si="31"/>
        <v>0</v>
      </c>
      <c r="CM50" s="677">
        <f t="shared" si="75"/>
        <v>0</v>
      </c>
      <c r="CN50" s="678">
        <f t="shared" si="76"/>
        <v>0</v>
      </c>
      <c r="CO50" s="679">
        <f t="shared" si="77"/>
        <v>0</v>
      </c>
      <c r="CP50" s="675"/>
      <c r="CQ50" s="676">
        <f t="shared" si="32"/>
        <v>0</v>
      </c>
      <c r="CR50" s="677">
        <f t="shared" si="33"/>
        <v>0</v>
      </c>
      <c r="CS50" s="677">
        <f t="shared" si="78"/>
        <v>0</v>
      </c>
      <c r="CT50" s="678">
        <f t="shared" si="79"/>
        <v>0</v>
      </c>
      <c r="CU50" s="679">
        <f t="shared" si="80"/>
        <v>0</v>
      </c>
      <c r="CV50" s="680"/>
      <c r="CW50" s="681"/>
      <c r="CX50" s="682"/>
      <c r="CY50" s="682"/>
      <c r="CZ50" s="683"/>
      <c r="DA50" s="684"/>
      <c r="DB50" s="680"/>
      <c r="DC50" s="681"/>
      <c r="DD50" s="682"/>
      <c r="DE50" s="682"/>
      <c r="DF50" s="683"/>
      <c r="DG50" s="684"/>
      <c r="DH50" s="680"/>
      <c r="DI50" s="681"/>
      <c r="DJ50" s="682"/>
      <c r="DK50" s="682"/>
      <c r="DL50" s="683"/>
      <c r="DM50" s="684"/>
      <c r="DN50" s="680"/>
      <c r="DO50" s="681"/>
      <c r="DP50" s="682"/>
      <c r="DQ50" s="682"/>
      <c r="DR50" s="683"/>
      <c r="DS50" s="684"/>
      <c r="DT50" s="675"/>
      <c r="DU50" s="676">
        <f t="shared" si="34"/>
        <v>0</v>
      </c>
      <c r="DV50" s="677">
        <f t="shared" si="35"/>
        <v>0</v>
      </c>
      <c r="DW50" s="677">
        <f t="shared" si="81"/>
        <v>0</v>
      </c>
      <c r="DX50" s="678">
        <f t="shared" si="82"/>
        <v>0</v>
      </c>
      <c r="DY50" s="679">
        <f t="shared" si="83"/>
        <v>0</v>
      </c>
      <c r="DZ50" s="680"/>
      <c r="EA50" s="681"/>
      <c r="EB50" s="682"/>
      <c r="EC50" s="682"/>
      <c r="ED50" s="683"/>
      <c r="EE50" s="684"/>
      <c r="EF50" s="680"/>
      <c r="EG50" s="681"/>
      <c r="EH50" s="682"/>
      <c r="EI50" s="682"/>
      <c r="EJ50" s="683"/>
      <c r="EK50" s="684"/>
      <c r="EL50" s="680"/>
      <c r="EM50" s="681"/>
      <c r="EN50" s="682"/>
      <c r="EO50" s="682"/>
      <c r="EP50" s="683"/>
      <c r="EQ50" s="684"/>
      <c r="ER50" s="680"/>
      <c r="ES50" s="681"/>
      <c r="ET50" s="682"/>
      <c r="EU50" s="682"/>
      <c r="EV50" s="683"/>
      <c r="EW50" s="684"/>
      <c r="EX50" s="675"/>
      <c r="EY50" s="676">
        <f t="shared" si="36"/>
        <v>0</v>
      </c>
      <c r="EZ50" s="677">
        <f t="shared" si="37"/>
        <v>0</v>
      </c>
      <c r="FA50" s="677">
        <f t="shared" si="84"/>
        <v>0</v>
      </c>
      <c r="FB50" s="678">
        <f t="shared" si="85"/>
        <v>0</v>
      </c>
      <c r="FC50" s="679">
        <f t="shared" si="86"/>
        <v>0</v>
      </c>
      <c r="FD50" s="680"/>
      <c r="FE50" s="681"/>
      <c r="FF50" s="682"/>
      <c r="FG50" s="682"/>
      <c r="FH50" s="683"/>
      <c r="FI50" s="684"/>
      <c r="FJ50" s="680"/>
      <c r="FK50" s="681"/>
      <c r="FL50" s="682"/>
      <c r="FM50" s="682"/>
      <c r="FN50" s="683"/>
      <c r="FO50" s="684"/>
      <c r="FP50" s="680"/>
      <c r="FQ50" s="681"/>
      <c r="FR50" s="682"/>
      <c r="FS50" s="682"/>
      <c r="FT50" s="683"/>
      <c r="FU50" s="684"/>
      <c r="FV50" s="680"/>
      <c r="FW50" s="681"/>
      <c r="FX50" s="682"/>
      <c r="FY50" s="682"/>
      <c r="FZ50" s="683"/>
      <c r="GA50" s="684"/>
      <c r="GB50" s="675"/>
      <c r="GC50" s="676">
        <f t="shared" si="38"/>
        <v>0</v>
      </c>
      <c r="GD50" s="677">
        <f t="shared" si="39"/>
        <v>0</v>
      </c>
      <c r="GE50" s="677">
        <f t="shared" si="87"/>
        <v>0</v>
      </c>
      <c r="GF50" s="678">
        <f t="shared" si="88"/>
        <v>0</v>
      </c>
      <c r="GG50" s="679">
        <f t="shared" si="89"/>
        <v>0</v>
      </c>
      <c r="GH50" s="680"/>
      <c r="GI50" s="681"/>
      <c r="GJ50" s="682"/>
      <c r="GK50" s="682"/>
      <c r="GL50" s="683"/>
      <c r="GM50" s="684"/>
      <c r="GN50" s="680"/>
      <c r="GO50" s="681"/>
      <c r="GP50" s="682"/>
      <c r="GQ50" s="682"/>
      <c r="GR50" s="683"/>
      <c r="GS50" s="684"/>
      <c r="GT50" s="680"/>
      <c r="GU50" s="681"/>
      <c r="GV50" s="682"/>
      <c r="GW50" s="682"/>
      <c r="GX50" s="683"/>
      <c r="GY50" s="684"/>
      <c r="GZ50" s="680"/>
      <c r="HA50" s="147"/>
      <c r="HB50" s="148"/>
      <c r="HC50" s="148"/>
      <c r="HD50" s="149"/>
      <c r="HE50" s="150"/>
      <c r="HF50" s="8"/>
      <c r="HG50" s="502"/>
      <c r="HH50" s="502"/>
      <c r="HI50" s="502">
        <f t="shared" si="40"/>
        <v>1</v>
      </c>
      <c r="HJ50" s="8"/>
    </row>
    <row r="51" spans="2:218" ht="21" hidden="1">
      <c r="B51" s="488">
        <v>7</v>
      </c>
      <c r="C51" s="489" t="s">
        <v>142</v>
      </c>
      <c r="D51" s="490" t="s">
        <v>295</v>
      </c>
      <c r="E51" s="491" t="s">
        <v>296</v>
      </c>
      <c r="F51" s="492"/>
      <c r="G51" s="493"/>
      <c r="H51" s="146" t="s">
        <v>97</v>
      </c>
      <c r="I51" s="494" t="str">
        <f t="shared" si="4"/>
        <v>n.v.t.</v>
      </c>
      <c r="J51" s="495" t="s">
        <v>487</v>
      </c>
      <c r="K51" s="151">
        <v>0</v>
      </c>
      <c r="L51" s="256">
        <f>IF($C$5&lt;3000,(Bron!H40*$C$5)+Bron!I40,(Bron!M40*$C$5)+Bron!N40)</f>
        <v>0</v>
      </c>
      <c r="M51" s="256"/>
      <c r="N51" s="496">
        <f t="shared" si="41"/>
        <v>0</v>
      </c>
      <c r="O51" s="497" t="str">
        <f t="shared" si="5"/>
        <v/>
      </c>
      <c r="P51" s="257">
        <f>IF($C$5&lt;3000,$AN$32*Bron!J40,$AN$32*Bron!O40)</f>
        <v>0</v>
      </c>
      <c r="Q51" s="257">
        <f>IF($C$5&lt;3000,$AN$31*Bron!K40,$AN$31*Bron!P40)</f>
        <v>0</v>
      </c>
      <c r="R51" s="257">
        <f>IF($C$5&lt;3000,$AN$33*Bron!J40,$AN$33*Bron!O40)</f>
        <v>0</v>
      </c>
      <c r="S51" s="344"/>
      <c r="T51" s="258">
        <f t="shared" si="6"/>
        <v>0</v>
      </c>
      <c r="U51" s="259">
        <f t="shared" si="7"/>
        <v>0</v>
      </c>
      <c r="V51" s="675"/>
      <c r="W51" s="676">
        <f t="shared" si="8"/>
        <v>0</v>
      </c>
      <c r="X51" s="677">
        <f t="shared" si="9"/>
        <v>0</v>
      </c>
      <c r="Y51" s="677">
        <f t="shared" si="42"/>
        <v>0</v>
      </c>
      <c r="Z51" s="678">
        <f t="shared" si="43"/>
        <v>0</v>
      </c>
      <c r="AA51" s="679">
        <f t="shared" si="44"/>
        <v>0</v>
      </c>
      <c r="AB51" s="675"/>
      <c r="AC51" s="676">
        <f t="shared" si="10"/>
        <v>0</v>
      </c>
      <c r="AD51" s="677">
        <f t="shared" si="11"/>
        <v>0</v>
      </c>
      <c r="AE51" s="677">
        <f t="shared" si="45"/>
        <v>0</v>
      </c>
      <c r="AF51" s="678">
        <f t="shared" si="46"/>
        <v>0</v>
      </c>
      <c r="AG51" s="679">
        <f t="shared" si="47"/>
        <v>0</v>
      </c>
      <c r="AH51" s="675"/>
      <c r="AI51" s="676">
        <f t="shared" si="12"/>
        <v>0</v>
      </c>
      <c r="AJ51" s="677">
        <f t="shared" si="13"/>
        <v>0</v>
      </c>
      <c r="AK51" s="677">
        <f t="shared" si="48"/>
        <v>0</v>
      </c>
      <c r="AL51" s="678">
        <f t="shared" si="49"/>
        <v>0</v>
      </c>
      <c r="AM51" s="679">
        <f t="shared" si="50"/>
        <v>0</v>
      </c>
      <c r="AN51" s="675"/>
      <c r="AO51" s="676">
        <f t="shared" si="14"/>
        <v>0</v>
      </c>
      <c r="AP51" s="677">
        <f t="shared" si="15"/>
        <v>0</v>
      </c>
      <c r="AQ51" s="677">
        <f t="shared" si="51"/>
        <v>0</v>
      </c>
      <c r="AR51" s="678">
        <f t="shared" si="52"/>
        <v>0</v>
      </c>
      <c r="AS51" s="679">
        <f t="shared" si="53"/>
        <v>0</v>
      </c>
      <c r="AT51" s="675"/>
      <c r="AU51" s="676">
        <f t="shared" si="16"/>
        <v>0</v>
      </c>
      <c r="AV51" s="677">
        <f t="shared" si="17"/>
        <v>0</v>
      </c>
      <c r="AW51" s="677">
        <f t="shared" si="54"/>
        <v>0</v>
      </c>
      <c r="AX51" s="678">
        <f t="shared" si="55"/>
        <v>0</v>
      </c>
      <c r="AY51" s="679">
        <f t="shared" si="56"/>
        <v>0</v>
      </c>
      <c r="AZ51" s="675"/>
      <c r="BA51" s="676">
        <f t="shared" si="18"/>
        <v>0</v>
      </c>
      <c r="BB51" s="677">
        <f t="shared" si="19"/>
        <v>0</v>
      </c>
      <c r="BC51" s="677">
        <f t="shared" si="57"/>
        <v>0</v>
      </c>
      <c r="BD51" s="678">
        <f t="shared" si="58"/>
        <v>0</v>
      </c>
      <c r="BE51" s="679">
        <f t="shared" si="59"/>
        <v>0</v>
      </c>
      <c r="BF51" s="675"/>
      <c r="BG51" s="676">
        <f t="shared" si="20"/>
        <v>0</v>
      </c>
      <c r="BH51" s="677">
        <f t="shared" si="21"/>
        <v>0</v>
      </c>
      <c r="BI51" s="677">
        <f t="shared" si="60"/>
        <v>0</v>
      </c>
      <c r="BJ51" s="678">
        <f t="shared" si="61"/>
        <v>0</v>
      </c>
      <c r="BK51" s="679">
        <f t="shared" si="62"/>
        <v>0</v>
      </c>
      <c r="BL51" s="675"/>
      <c r="BM51" s="676">
        <f t="shared" si="22"/>
        <v>0</v>
      </c>
      <c r="BN51" s="677">
        <f t="shared" si="23"/>
        <v>0</v>
      </c>
      <c r="BO51" s="677">
        <f t="shared" si="63"/>
        <v>0</v>
      </c>
      <c r="BP51" s="678">
        <f t="shared" si="64"/>
        <v>0</v>
      </c>
      <c r="BQ51" s="679">
        <f t="shared" si="65"/>
        <v>0</v>
      </c>
      <c r="BR51" s="675"/>
      <c r="BS51" s="676">
        <f t="shared" si="24"/>
        <v>0</v>
      </c>
      <c r="BT51" s="677">
        <f t="shared" si="25"/>
        <v>0</v>
      </c>
      <c r="BU51" s="677">
        <f t="shared" si="66"/>
        <v>0</v>
      </c>
      <c r="BV51" s="678">
        <f t="shared" si="67"/>
        <v>0</v>
      </c>
      <c r="BW51" s="679">
        <f t="shared" si="68"/>
        <v>0</v>
      </c>
      <c r="BX51" s="675"/>
      <c r="BY51" s="676">
        <f t="shared" si="26"/>
        <v>0</v>
      </c>
      <c r="BZ51" s="677">
        <f t="shared" si="27"/>
        <v>0</v>
      </c>
      <c r="CA51" s="677">
        <f t="shared" si="69"/>
        <v>0</v>
      </c>
      <c r="CB51" s="678">
        <f t="shared" si="70"/>
        <v>0</v>
      </c>
      <c r="CC51" s="679">
        <f t="shared" si="71"/>
        <v>0</v>
      </c>
      <c r="CD51" s="675"/>
      <c r="CE51" s="676">
        <f t="shared" si="28"/>
        <v>0</v>
      </c>
      <c r="CF51" s="677">
        <f t="shared" si="29"/>
        <v>0</v>
      </c>
      <c r="CG51" s="677">
        <f t="shared" si="72"/>
        <v>0</v>
      </c>
      <c r="CH51" s="678">
        <f t="shared" si="73"/>
        <v>0</v>
      </c>
      <c r="CI51" s="679">
        <f t="shared" si="74"/>
        <v>0</v>
      </c>
      <c r="CJ51" s="675"/>
      <c r="CK51" s="676">
        <f t="shared" si="30"/>
        <v>0</v>
      </c>
      <c r="CL51" s="677">
        <f t="shared" si="31"/>
        <v>0</v>
      </c>
      <c r="CM51" s="677">
        <f t="shared" si="75"/>
        <v>0</v>
      </c>
      <c r="CN51" s="678">
        <f t="shared" si="76"/>
        <v>0</v>
      </c>
      <c r="CO51" s="679">
        <f t="shared" si="77"/>
        <v>0</v>
      </c>
      <c r="CP51" s="675"/>
      <c r="CQ51" s="676">
        <f t="shared" si="32"/>
        <v>0</v>
      </c>
      <c r="CR51" s="677">
        <f t="shared" si="33"/>
        <v>0</v>
      </c>
      <c r="CS51" s="677">
        <f t="shared" si="78"/>
        <v>0</v>
      </c>
      <c r="CT51" s="678">
        <f t="shared" si="79"/>
        <v>0</v>
      </c>
      <c r="CU51" s="679">
        <f t="shared" si="80"/>
        <v>0</v>
      </c>
      <c r="CV51" s="680"/>
      <c r="CW51" s="681"/>
      <c r="CX51" s="682"/>
      <c r="CY51" s="682"/>
      <c r="CZ51" s="683"/>
      <c r="DA51" s="684"/>
      <c r="DB51" s="680"/>
      <c r="DC51" s="681"/>
      <c r="DD51" s="682"/>
      <c r="DE51" s="682"/>
      <c r="DF51" s="683"/>
      <c r="DG51" s="684"/>
      <c r="DH51" s="680"/>
      <c r="DI51" s="681"/>
      <c r="DJ51" s="682"/>
      <c r="DK51" s="682"/>
      <c r="DL51" s="683"/>
      <c r="DM51" s="684"/>
      <c r="DN51" s="680"/>
      <c r="DO51" s="681"/>
      <c r="DP51" s="682"/>
      <c r="DQ51" s="682"/>
      <c r="DR51" s="683"/>
      <c r="DS51" s="684"/>
      <c r="DT51" s="675"/>
      <c r="DU51" s="676">
        <f t="shared" si="34"/>
        <v>0</v>
      </c>
      <c r="DV51" s="677">
        <f t="shared" si="35"/>
        <v>0</v>
      </c>
      <c r="DW51" s="677">
        <f t="shared" si="81"/>
        <v>0</v>
      </c>
      <c r="DX51" s="678">
        <f t="shared" si="82"/>
        <v>0</v>
      </c>
      <c r="DY51" s="679">
        <f t="shared" si="83"/>
        <v>0</v>
      </c>
      <c r="DZ51" s="680"/>
      <c r="EA51" s="681"/>
      <c r="EB51" s="682"/>
      <c r="EC51" s="682"/>
      <c r="ED51" s="683"/>
      <c r="EE51" s="684"/>
      <c r="EF51" s="680"/>
      <c r="EG51" s="681"/>
      <c r="EH51" s="682"/>
      <c r="EI51" s="682"/>
      <c r="EJ51" s="683"/>
      <c r="EK51" s="684"/>
      <c r="EL51" s="680"/>
      <c r="EM51" s="681"/>
      <c r="EN51" s="682"/>
      <c r="EO51" s="682"/>
      <c r="EP51" s="683"/>
      <c r="EQ51" s="684"/>
      <c r="ER51" s="680"/>
      <c r="ES51" s="681"/>
      <c r="ET51" s="682"/>
      <c r="EU51" s="682"/>
      <c r="EV51" s="683"/>
      <c r="EW51" s="684"/>
      <c r="EX51" s="675"/>
      <c r="EY51" s="676">
        <f t="shared" si="36"/>
        <v>0</v>
      </c>
      <c r="EZ51" s="677">
        <f t="shared" si="37"/>
        <v>0</v>
      </c>
      <c r="FA51" s="677">
        <f t="shared" si="84"/>
        <v>0</v>
      </c>
      <c r="FB51" s="678">
        <f t="shared" si="85"/>
        <v>0</v>
      </c>
      <c r="FC51" s="679">
        <f t="shared" si="86"/>
        <v>0</v>
      </c>
      <c r="FD51" s="680"/>
      <c r="FE51" s="681"/>
      <c r="FF51" s="682"/>
      <c r="FG51" s="682"/>
      <c r="FH51" s="683"/>
      <c r="FI51" s="684"/>
      <c r="FJ51" s="680"/>
      <c r="FK51" s="681"/>
      <c r="FL51" s="682"/>
      <c r="FM51" s="682"/>
      <c r="FN51" s="683"/>
      <c r="FO51" s="684"/>
      <c r="FP51" s="680"/>
      <c r="FQ51" s="681"/>
      <c r="FR51" s="682"/>
      <c r="FS51" s="682"/>
      <c r="FT51" s="683"/>
      <c r="FU51" s="684"/>
      <c r="FV51" s="680"/>
      <c r="FW51" s="681"/>
      <c r="FX51" s="682"/>
      <c r="FY51" s="682"/>
      <c r="FZ51" s="683"/>
      <c r="GA51" s="684"/>
      <c r="GB51" s="675"/>
      <c r="GC51" s="676">
        <f t="shared" si="38"/>
        <v>0</v>
      </c>
      <c r="GD51" s="677">
        <f t="shared" si="39"/>
        <v>0</v>
      </c>
      <c r="GE51" s="677">
        <f t="shared" si="87"/>
        <v>0</v>
      </c>
      <c r="GF51" s="678">
        <f t="shared" si="88"/>
        <v>0</v>
      </c>
      <c r="GG51" s="679">
        <f t="shared" si="89"/>
        <v>0</v>
      </c>
      <c r="GH51" s="680"/>
      <c r="GI51" s="681"/>
      <c r="GJ51" s="682"/>
      <c r="GK51" s="682"/>
      <c r="GL51" s="683"/>
      <c r="GM51" s="684"/>
      <c r="GN51" s="680"/>
      <c r="GO51" s="681"/>
      <c r="GP51" s="682"/>
      <c r="GQ51" s="682"/>
      <c r="GR51" s="683"/>
      <c r="GS51" s="684"/>
      <c r="GT51" s="680"/>
      <c r="GU51" s="681"/>
      <c r="GV51" s="682"/>
      <c r="GW51" s="682"/>
      <c r="GX51" s="683"/>
      <c r="GY51" s="684"/>
      <c r="GZ51" s="680"/>
      <c r="HA51" s="147"/>
      <c r="HB51" s="148"/>
      <c r="HC51" s="148"/>
      <c r="HD51" s="149"/>
      <c r="HE51" s="150"/>
      <c r="HF51" s="8"/>
      <c r="HG51" s="502"/>
      <c r="HH51" s="502"/>
      <c r="HI51" s="502">
        <f t="shared" si="40"/>
        <v>1</v>
      </c>
      <c r="HJ51" s="8"/>
    </row>
    <row r="52" spans="2:218" ht="21" hidden="1">
      <c r="B52" s="488">
        <v>8</v>
      </c>
      <c r="C52" s="489" t="s">
        <v>142</v>
      </c>
      <c r="D52" s="490" t="s">
        <v>297</v>
      </c>
      <c r="E52" s="491" t="s">
        <v>405</v>
      </c>
      <c r="F52" s="492"/>
      <c r="G52" s="493"/>
      <c r="H52" s="146" t="s">
        <v>97</v>
      </c>
      <c r="I52" s="494" t="str">
        <f t="shared" si="4"/>
        <v>n.v.t.</v>
      </c>
      <c r="J52" s="495"/>
      <c r="K52" s="151">
        <v>0</v>
      </c>
      <c r="L52" s="256"/>
      <c r="M52" s="256">
        <f>IF($C$5&lt;3000,(Bron!H41*$C$5)+Bron!I41,(Bron!M41*$C$5)+Bron!N41)</f>
        <v>0</v>
      </c>
      <c r="N52" s="496">
        <f t="shared" si="41"/>
        <v>0</v>
      </c>
      <c r="O52" s="497" t="str">
        <f t="shared" si="5"/>
        <v/>
      </c>
      <c r="P52" s="257">
        <f>IF($C$5&lt;3000,$AN$32*Bron!J41,$AN$32*Bron!O41)</f>
        <v>0</v>
      </c>
      <c r="Q52" s="257">
        <f>IF($C$5&lt;3000,$AN$31*Bron!K41,$AN$31*Bron!P41)</f>
        <v>0</v>
      </c>
      <c r="R52" s="257">
        <f>IF($C$5&lt;3000,$AN$33*Bron!J41,$AN$33*Bron!O41)</f>
        <v>0</v>
      </c>
      <c r="S52" s="344"/>
      <c r="T52" s="258">
        <f t="shared" si="6"/>
        <v>0</v>
      </c>
      <c r="U52" s="259">
        <f t="shared" si="7"/>
        <v>0</v>
      </c>
      <c r="V52" s="675"/>
      <c r="W52" s="676">
        <f t="shared" si="8"/>
        <v>0</v>
      </c>
      <c r="X52" s="677">
        <f t="shared" si="9"/>
        <v>0</v>
      </c>
      <c r="Y52" s="677">
        <f t="shared" si="42"/>
        <v>0</v>
      </c>
      <c r="Z52" s="678">
        <f t="shared" si="43"/>
        <v>0</v>
      </c>
      <c r="AA52" s="679">
        <f t="shared" si="44"/>
        <v>0</v>
      </c>
      <c r="AB52" s="675"/>
      <c r="AC52" s="676">
        <f t="shared" si="10"/>
        <v>0</v>
      </c>
      <c r="AD52" s="677">
        <f t="shared" si="11"/>
        <v>0</v>
      </c>
      <c r="AE52" s="677">
        <f t="shared" si="45"/>
        <v>0</v>
      </c>
      <c r="AF52" s="678">
        <f t="shared" si="46"/>
        <v>0</v>
      </c>
      <c r="AG52" s="679">
        <f t="shared" si="47"/>
        <v>0</v>
      </c>
      <c r="AH52" s="675"/>
      <c r="AI52" s="676">
        <f t="shared" si="12"/>
        <v>0</v>
      </c>
      <c r="AJ52" s="677">
        <f t="shared" si="13"/>
        <v>0</v>
      </c>
      <c r="AK52" s="677">
        <f t="shared" si="48"/>
        <v>0</v>
      </c>
      <c r="AL52" s="678">
        <f t="shared" si="49"/>
        <v>0</v>
      </c>
      <c r="AM52" s="679">
        <f t="shared" si="50"/>
        <v>0</v>
      </c>
      <c r="AN52" s="675"/>
      <c r="AO52" s="676">
        <f t="shared" si="14"/>
        <v>0</v>
      </c>
      <c r="AP52" s="677">
        <f t="shared" si="15"/>
        <v>0</v>
      </c>
      <c r="AQ52" s="677">
        <f t="shared" si="51"/>
        <v>0</v>
      </c>
      <c r="AR52" s="678">
        <f t="shared" si="52"/>
        <v>0</v>
      </c>
      <c r="AS52" s="679">
        <f t="shared" si="53"/>
        <v>0</v>
      </c>
      <c r="AT52" s="675"/>
      <c r="AU52" s="676">
        <f t="shared" si="16"/>
        <v>0</v>
      </c>
      <c r="AV52" s="677">
        <f t="shared" si="17"/>
        <v>0</v>
      </c>
      <c r="AW52" s="677">
        <f t="shared" si="54"/>
        <v>0</v>
      </c>
      <c r="AX52" s="678">
        <f t="shared" si="55"/>
        <v>0</v>
      </c>
      <c r="AY52" s="679">
        <f t="shared" si="56"/>
        <v>0</v>
      </c>
      <c r="AZ52" s="675"/>
      <c r="BA52" s="676">
        <f t="shared" si="18"/>
        <v>0</v>
      </c>
      <c r="BB52" s="677">
        <f t="shared" si="19"/>
        <v>0</v>
      </c>
      <c r="BC52" s="677">
        <f t="shared" si="57"/>
        <v>0</v>
      </c>
      <c r="BD52" s="678">
        <f t="shared" si="58"/>
        <v>0</v>
      </c>
      <c r="BE52" s="679">
        <f t="shared" si="59"/>
        <v>0</v>
      </c>
      <c r="BF52" s="675"/>
      <c r="BG52" s="676">
        <f t="shared" si="20"/>
        <v>0</v>
      </c>
      <c r="BH52" s="677">
        <f t="shared" si="21"/>
        <v>0</v>
      </c>
      <c r="BI52" s="677">
        <f t="shared" si="60"/>
        <v>0</v>
      </c>
      <c r="BJ52" s="678">
        <f t="shared" si="61"/>
        <v>0</v>
      </c>
      <c r="BK52" s="679">
        <f t="shared" si="62"/>
        <v>0</v>
      </c>
      <c r="BL52" s="675"/>
      <c r="BM52" s="676">
        <f t="shared" si="22"/>
        <v>0</v>
      </c>
      <c r="BN52" s="677">
        <f t="shared" si="23"/>
        <v>0</v>
      </c>
      <c r="BO52" s="677">
        <f t="shared" si="63"/>
        <v>0</v>
      </c>
      <c r="BP52" s="678">
        <f t="shared" si="64"/>
        <v>0</v>
      </c>
      <c r="BQ52" s="679">
        <f t="shared" si="65"/>
        <v>0</v>
      </c>
      <c r="BR52" s="675"/>
      <c r="BS52" s="676">
        <f t="shared" si="24"/>
        <v>0</v>
      </c>
      <c r="BT52" s="677">
        <f t="shared" si="25"/>
        <v>0</v>
      </c>
      <c r="BU52" s="677">
        <f t="shared" si="66"/>
        <v>0</v>
      </c>
      <c r="BV52" s="678">
        <f t="shared" si="67"/>
        <v>0</v>
      </c>
      <c r="BW52" s="679">
        <f t="shared" si="68"/>
        <v>0</v>
      </c>
      <c r="BX52" s="675"/>
      <c r="BY52" s="676">
        <f t="shared" si="26"/>
        <v>0</v>
      </c>
      <c r="BZ52" s="677">
        <f t="shared" si="27"/>
        <v>0</v>
      </c>
      <c r="CA52" s="677">
        <f t="shared" si="69"/>
        <v>0</v>
      </c>
      <c r="CB52" s="678">
        <f t="shared" si="70"/>
        <v>0</v>
      </c>
      <c r="CC52" s="679">
        <f t="shared" si="71"/>
        <v>0</v>
      </c>
      <c r="CD52" s="675"/>
      <c r="CE52" s="676">
        <f t="shared" si="28"/>
        <v>0</v>
      </c>
      <c r="CF52" s="677">
        <f t="shared" si="29"/>
        <v>0</v>
      </c>
      <c r="CG52" s="677">
        <f t="shared" si="72"/>
        <v>0</v>
      </c>
      <c r="CH52" s="678">
        <f t="shared" si="73"/>
        <v>0</v>
      </c>
      <c r="CI52" s="679">
        <f t="shared" si="74"/>
        <v>0</v>
      </c>
      <c r="CJ52" s="675"/>
      <c r="CK52" s="676">
        <f t="shared" si="30"/>
        <v>0</v>
      </c>
      <c r="CL52" s="677">
        <f t="shared" si="31"/>
        <v>0</v>
      </c>
      <c r="CM52" s="677">
        <f t="shared" si="75"/>
        <v>0</v>
      </c>
      <c r="CN52" s="678">
        <f t="shared" si="76"/>
        <v>0</v>
      </c>
      <c r="CO52" s="679">
        <f t="shared" si="77"/>
        <v>0</v>
      </c>
      <c r="CP52" s="675"/>
      <c r="CQ52" s="676">
        <f t="shared" si="32"/>
        <v>0</v>
      </c>
      <c r="CR52" s="677">
        <f t="shared" si="33"/>
        <v>0</v>
      </c>
      <c r="CS52" s="677">
        <f t="shared" si="78"/>
        <v>0</v>
      </c>
      <c r="CT52" s="678">
        <f t="shared" si="79"/>
        <v>0</v>
      </c>
      <c r="CU52" s="679">
        <f t="shared" si="80"/>
        <v>0</v>
      </c>
      <c r="CV52" s="680"/>
      <c r="CW52" s="681"/>
      <c r="CX52" s="682"/>
      <c r="CY52" s="682"/>
      <c r="CZ52" s="683"/>
      <c r="DA52" s="684"/>
      <c r="DB52" s="680"/>
      <c r="DC52" s="681"/>
      <c r="DD52" s="682"/>
      <c r="DE52" s="682"/>
      <c r="DF52" s="683"/>
      <c r="DG52" s="684"/>
      <c r="DH52" s="680"/>
      <c r="DI52" s="681"/>
      <c r="DJ52" s="682"/>
      <c r="DK52" s="682"/>
      <c r="DL52" s="683"/>
      <c r="DM52" s="684"/>
      <c r="DN52" s="680"/>
      <c r="DO52" s="681"/>
      <c r="DP52" s="682"/>
      <c r="DQ52" s="682"/>
      <c r="DR52" s="683"/>
      <c r="DS52" s="684"/>
      <c r="DT52" s="675"/>
      <c r="DU52" s="676">
        <f t="shared" si="34"/>
        <v>0</v>
      </c>
      <c r="DV52" s="677">
        <f t="shared" si="35"/>
        <v>0</v>
      </c>
      <c r="DW52" s="677">
        <f t="shared" si="81"/>
        <v>0</v>
      </c>
      <c r="DX52" s="678">
        <f t="shared" si="82"/>
        <v>0</v>
      </c>
      <c r="DY52" s="679">
        <f t="shared" si="83"/>
        <v>0</v>
      </c>
      <c r="DZ52" s="680"/>
      <c r="EA52" s="681"/>
      <c r="EB52" s="682"/>
      <c r="EC52" s="682"/>
      <c r="ED52" s="683"/>
      <c r="EE52" s="684"/>
      <c r="EF52" s="680"/>
      <c r="EG52" s="681"/>
      <c r="EH52" s="682"/>
      <c r="EI52" s="682"/>
      <c r="EJ52" s="683"/>
      <c r="EK52" s="684"/>
      <c r="EL52" s="680"/>
      <c r="EM52" s="681"/>
      <c r="EN52" s="682"/>
      <c r="EO52" s="682"/>
      <c r="EP52" s="683"/>
      <c r="EQ52" s="684"/>
      <c r="ER52" s="680"/>
      <c r="ES52" s="681"/>
      <c r="ET52" s="682"/>
      <c r="EU52" s="682"/>
      <c r="EV52" s="683"/>
      <c r="EW52" s="684"/>
      <c r="EX52" s="675"/>
      <c r="EY52" s="676">
        <f t="shared" si="36"/>
        <v>0</v>
      </c>
      <c r="EZ52" s="677">
        <f t="shared" si="37"/>
        <v>0</v>
      </c>
      <c r="FA52" s="677">
        <f t="shared" si="84"/>
        <v>0</v>
      </c>
      <c r="FB52" s="678">
        <f t="shared" si="85"/>
        <v>0</v>
      </c>
      <c r="FC52" s="679">
        <f t="shared" si="86"/>
        <v>0</v>
      </c>
      <c r="FD52" s="680"/>
      <c r="FE52" s="681"/>
      <c r="FF52" s="682"/>
      <c r="FG52" s="682"/>
      <c r="FH52" s="683"/>
      <c r="FI52" s="684"/>
      <c r="FJ52" s="680"/>
      <c r="FK52" s="681"/>
      <c r="FL52" s="682"/>
      <c r="FM52" s="682"/>
      <c r="FN52" s="683"/>
      <c r="FO52" s="684"/>
      <c r="FP52" s="680"/>
      <c r="FQ52" s="681"/>
      <c r="FR52" s="682"/>
      <c r="FS52" s="682"/>
      <c r="FT52" s="683"/>
      <c r="FU52" s="684"/>
      <c r="FV52" s="680"/>
      <c r="FW52" s="681"/>
      <c r="FX52" s="682"/>
      <c r="FY52" s="682"/>
      <c r="FZ52" s="683"/>
      <c r="GA52" s="684"/>
      <c r="GB52" s="675"/>
      <c r="GC52" s="676">
        <f t="shared" si="38"/>
        <v>0</v>
      </c>
      <c r="GD52" s="677">
        <f t="shared" si="39"/>
        <v>0</v>
      </c>
      <c r="GE52" s="677">
        <f t="shared" si="87"/>
        <v>0</v>
      </c>
      <c r="GF52" s="678">
        <f t="shared" si="88"/>
        <v>0</v>
      </c>
      <c r="GG52" s="679">
        <f t="shared" si="89"/>
        <v>0</v>
      </c>
      <c r="GH52" s="680"/>
      <c r="GI52" s="681"/>
      <c r="GJ52" s="682"/>
      <c r="GK52" s="682"/>
      <c r="GL52" s="683"/>
      <c r="GM52" s="684"/>
      <c r="GN52" s="680"/>
      <c r="GO52" s="681"/>
      <c r="GP52" s="682"/>
      <c r="GQ52" s="682"/>
      <c r="GR52" s="683"/>
      <c r="GS52" s="684"/>
      <c r="GT52" s="680"/>
      <c r="GU52" s="681"/>
      <c r="GV52" s="682"/>
      <c r="GW52" s="682"/>
      <c r="GX52" s="683"/>
      <c r="GY52" s="684"/>
      <c r="GZ52" s="680"/>
      <c r="HA52" s="147"/>
      <c r="HB52" s="148"/>
      <c r="HC52" s="148"/>
      <c r="HD52" s="149"/>
      <c r="HE52" s="150"/>
      <c r="HF52" s="8"/>
      <c r="HG52" s="502"/>
      <c r="HH52" s="502"/>
      <c r="HI52" s="502">
        <f t="shared" si="40"/>
        <v>1</v>
      </c>
      <c r="HJ52" s="8"/>
    </row>
    <row r="53" spans="2:218" ht="21" hidden="1" collapsed="1">
      <c r="B53" s="488">
        <v>9</v>
      </c>
      <c r="C53" s="489" t="s">
        <v>298</v>
      </c>
      <c r="D53" s="490" t="s">
        <v>23</v>
      </c>
      <c r="E53" s="491" t="s">
        <v>299</v>
      </c>
      <c r="F53" s="492"/>
      <c r="G53" s="493"/>
      <c r="H53" s="146" t="s">
        <v>97</v>
      </c>
      <c r="I53" s="494" t="str">
        <f t="shared" si="4"/>
        <v>n.v.t.</v>
      </c>
      <c r="J53" s="495" t="s">
        <v>487</v>
      </c>
      <c r="K53" s="151">
        <v>0</v>
      </c>
      <c r="L53" s="256">
        <f>IF($C$5&lt;3000,(Bron!H42*$C$5)+Bron!I42,(Bron!M42*$C$5)+Bron!N42)</f>
        <v>0</v>
      </c>
      <c r="M53" s="256"/>
      <c r="N53" s="496">
        <f t="shared" si="41"/>
        <v>0</v>
      </c>
      <c r="O53" s="497" t="str">
        <f t="shared" si="5"/>
        <v/>
      </c>
      <c r="P53" s="257">
        <f>IF($C$5&lt;3000,$AN$32*Bron!J42,$AN$32*Bron!O42)</f>
        <v>0</v>
      </c>
      <c r="Q53" s="257">
        <f>IF($C$5&lt;3000,$AN$31*Bron!K42,$AN$31*Bron!P42)</f>
        <v>0</v>
      </c>
      <c r="R53" s="257">
        <f>IF($C$5&lt;3000,$AN$33*Bron!J42,$AN$33*Bron!O42)</f>
        <v>0</v>
      </c>
      <c r="S53" s="344"/>
      <c r="T53" s="258">
        <f t="shared" si="6"/>
        <v>0</v>
      </c>
      <c r="U53" s="259">
        <f t="shared" si="7"/>
        <v>0</v>
      </c>
      <c r="V53" s="675"/>
      <c r="W53" s="676">
        <f t="shared" si="8"/>
        <v>0</v>
      </c>
      <c r="X53" s="677">
        <f t="shared" si="9"/>
        <v>0</v>
      </c>
      <c r="Y53" s="677">
        <f t="shared" si="42"/>
        <v>0</v>
      </c>
      <c r="Z53" s="678">
        <f t="shared" si="43"/>
        <v>0</v>
      </c>
      <c r="AA53" s="679">
        <f t="shared" si="44"/>
        <v>0</v>
      </c>
      <c r="AB53" s="675"/>
      <c r="AC53" s="676">
        <f t="shared" si="10"/>
        <v>0</v>
      </c>
      <c r="AD53" s="677">
        <f t="shared" si="11"/>
        <v>0</v>
      </c>
      <c r="AE53" s="677">
        <f t="shared" si="45"/>
        <v>0</v>
      </c>
      <c r="AF53" s="678">
        <f t="shared" si="46"/>
        <v>0</v>
      </c>
      <c r="AG53" s="679">
        <f t="shared" si="47"/>
        <v>0</v>
      </c>
      <c r="AH53" s="675"/>
      <c r="AI53" s="676">
        <f t="shared" si="12"/>
        <v>0</v>
      </c>
      <c r="AJ53" s="677">
        <f t="shared" si="13"/>
        <v>0</v>
      </c>
      <c r="AK53" s="677">
        <f t="shared" si="48"/>
        <v>0</v>
      </c>
      <c r="AL53" s="678">
        <f t="shared" si="49"/>
        <v>0</v>
      </c>
      <c r="AM53" s="679">
        <f t="shared" si="50"/>
        <v>0</v>
      </c>
      <c r="AN53" s="675"/>
      <c r="AO53" s="676">
        <f t="shared" si="14"/>
        <v>0</v>
      </c>
      <c r="AP53" s="677">
        <f t="shared" si="15"/>
        <v>0</v>
      </c>
      <c r="AQ53" s="677">
        <f t="shared" si="51"/>
        <v>0</v>
      </c>
      <c r="AR53" s="678">
        <f t="shared" si="52"/>
        <v>0</v>
      </c>
      <c r="AS53" s="679">
        <f t="shared" si="53"/>
        <v>0</v>
      </c>
      <c r="AT53" s="675"/>
      <c r="AU53" s="676">
        <f t="shared" si="16"/>
        <v>0</v>
      </c>
      <c r="AV53" s="677">
        <f t="shared" si="17"/>
        <v>0</v>
      </c>
      <c r="AW53" s="677">
        <f t="shared" si="54"/>
        <v>0</v>
      </c>
      <c r="AX53" s="678">
        <f t="shared" si="55"/>
        <v>0</v>
      </c>
      <c r="AY53" s="679">
        <f t="shared" si="56"/>
        <v>0</v>
      </c>
      <c r="AZ53" s="675"/>
      <c r="BA53" s="676">
        <f t="shared" si="18"/>
        <v>0</v>
      </c>
      <c r="BB53" s="677">
        <f t="shared" si="19"/>
        <v>0</v>
      </c>
      <c r="BC53" s="677">
        <f t="shared" si="57"/>
        <v>0</v>
      </c>
      <c r="BD53" s="678">
        <f t="shared" si="58"/>
        <v>0</v>
      </c>
      <c r="BE53" s="679">
        <f t="shared" si="59"/>
        <v>0</v>
      </c>
      <c r="BF53" s="675"/>
      <c r="BG53" s="676">
        <f t="shared" si="20"/>
        <v>0</v>
      </c>
      <c r="BH53" s="677">
        <f t="shared" si="21"/>
        <v>0</v>
      </c>
      <c r="BI53" s="677">
        <f t="shared" si="60"/>
        <v>0</v>
      </c>
      <c r="BJ53" s="678">
        <f t="shared" si="61"/>
        <v>0</v>
      </c>
      <c r="BK53" s="679">
        <f t="shared" si="62"/>
        <v>0</v>
      </c>
      <c r="BL53" s="675"/>
      <c r="BM53" s="676">
        <f t="shared" si="22"/>
        <v>0</v>
      </c>
      <c r="BN53" s="677">
        <f t="shared" si="23"/>
        <v>0</v>
      </c>
      <c r="BO53" s="677">
        <f t="shared" si="63"/>
        <v>0</v>
      </c>
      <c r="BP53" s="678">
        <f t="shared" si="64"/>
        <v>0</v>
      </c>
      <c r="BQ53" s="679">
        <f t="shared" si="65"/>
        <v>0</v>
      </c>
      <c r="BR53" s="675"/>
      <c r="BS53" s="676">
        <f t="shared" si="24"/>
        <v>0</v>
      </c>
      <c r="BT53" s="677">
        <f t="shared" si="25"/>
        <v>0</v>
      </c>
      <c r="BU53" s="677">
        <f t="shared" si="66"/>
        <v>0</v>
      </c>
      <c r="BV53" s="678">
        <f t="shared" si="67"/>
        <v>0</v>
      </c>
      <c r="BW53" s="679">
        <f t="shared" si="68"/>
        <v>0</v>
      </c>
      <c r="BX53" s="675"/>
      <c r="BY53" s="676">
        <f t="shared" si="26"/>
        <v>0</v>
      </c>
      <c r="BZ53" s="677">
        <f t="shared" si="27"/>
        <v>0</v>
      </c>
      <c r="CA53" s="677">
        <f t="shared" si="69"/>
        <v>0</v>
      </c>
      <c r="CB53" s="678">
        <f t="shared" si="70"/>
        <v>0</v>
      </c>
      <c r="CC53" s="679">
        <f t="shared" si="71"/>
        <v>0</v>
      </c>
      <c r="CD53" s="675"/>
      <c r="CE53" s="676">
        <f t="shared" si="28"/>
        <v>0</v>
      </c>
      <c r="CF53" s="677">
        <f t="shared" si="29"/>
        <v>0</v>
      </c>
      <c r="CG53" s="677">
        <f t="shared" si="72"/>
        <v>0</v>
      </c>
      <c r="CH53" s="678">
        <f t="shared" si="73"/>
        <v>0</v>
      </c>
      <c r="CI53" s="679">
        <f t="shared" si="74"/>
        <v>0</v>
      </c>
      <c r="CJ53" s="675"/>
      <c r="CK53" s="676">
        <f t="shared" si="30"/>
        <v>0</v>
      </c>
      <c r="CL53" s="677">
        <f t="shared" si="31"/>
        <v>0</v>
      </c>
      <c r="CM53" s="677">
        <f t="shared" si="75"/>
        <v>0</v>
      </c>
      <c r="CN53" s="678">
        <f t="shared" si="76"/>
        <v>0</v>
      </c>
      <c r="CO53" s="679">
        <f t="shared" si="77"/>
        <v>0</v>
      </c>
      <c r="CP53" s="675"/>
      <c r="CQ53" s="676">
        <f t="shared" si="32"/>
        <v>0</v>
      </c>
      <c r="CR53" s="677">
        <f t="shared" si="33"/>
        <v>0</v>
      </c>
      <c r="CS53" s="677">
        <f t="shared" si="78"/>
        <v>0</v>
      </c>
      <c r="CT53" s="678">
        <f t="shared" si="79"/>
        <v>0</v>
      </c>
      <c r="CU53" s="679">
        <f t="shared" si="80"/>
        <v>0</v>
      </c>
      <c r="CV53" s="680"/>
      <c r="CW53" s="681"/>
      <c r="CX53" s="682"/>
      <c r="CY53" s="682"/>
      <c r="CZ53" s="683"/>
      <c r="DA53" s="684"/>
      <c r="DB53" s="680"/>
      <c r="DC53" s="681"/>
      <c r="DD53" s="682"/>
      <c r="DE53" s="682"/>
      <c r="DF53" s="683"/>
      <c r="DG53" s="684"/>
      <c r="DH53" s="680"/>
      <c r="DI53" s="681"/>
      <c r="DJ53" s="682"/>
      <c r="DK53" s="682"/>
      <c r="DL53" s="683"/>
      <c r="DM53" s="684"/>
      <c r="DN53" s="680"/>
      <c r="DO53" s="681"/>
      <c r="DP53" s="682"/>
      <c r="DQ53" s="682"/>
      <c r="DR53" s="683"/>
      <c r="DS53" s="684"/>
      <c r="DT53" s="675"/>
      <c r="DU53" s="676">
        <f t="shared" si="34"/>
        <v>0</v>
      </c>
      <c r="DV53" s="677">
        <f t="shared" si="35"/>
        <v>0</v>
      </c>
      <c r="DW53" s="677">
        <f t="shared" si="81"/>
        <v>0</v>
      </c>
      <c r="DX53" s="678">
        <f t="shared" si="82"/>
        <v>0</v>
      </c>
      <c r="DY53" s="679">
        <f t="shared" si="83"/>
        <v>0</v>
      </c>
      <c r="DZ53" s="680"/>
      <c r="EA53" s="681"/>
      <c r="EB53" s="682"/>
      <c r="EC53" s="682"/>
      <c r="ED53" s="683"/>
      <c r="EE53" s="684"/>
      <c r="EF53" s="680"/>
      <c r="EG53" s="681"/>
      <c r="EH53" s="682"/>
      <c r="EI53" s="682"/>
      <c r="EJ53" s="683"/>
      <c r="EK53" s="684"/>
      <c r="EL53" s="680"/>
      <c r="EM53" s="681"/>
      <c r="EN53" s="682"/>
      <c r="EO53" s="682"/>
      <c r="EP53" s="683"/>
      <c r="EQ53" s="684"/>
      <c r="ER53" s="680"/>
      <c r="ES53" s="681"/>
      <c r="ET53" s="682"/>
      <c r="EU53" s="682"/>
      <c r="EV53" s="683"/>
      <c r="EW53" s="684"/>
      <c r="EX53" s="675"/>
      <c r="EY53" s="676">
        <f t="shared" si="36"/>
        <v>0</v>
      </c>
      <c r="EZ53" s="677">
        <f t="shared" si="37"/>
        <v>0</v>
      </c>
      <c r="FA53" s="677">
        <f t="shared" si="84"/>
        <v>0</v>
      </c>
      <c r="FB53" s="678">
        <f t="shared" si="85"/>
        <v>0</v>
      </c>
      <c r="FC53" s="679">
        <f t="shared" si="86"/>
        <v>0</v>
      </c>
      <c r="FD53" s="680"/>
      <c r="FE53" s="681"/>
      <c r="FF53" s="682"/>
      <c r="FG53" s="682"/>
      <c r="FH53" s="683"/>
      <c r="FI53" s="684"/>
      <c r="FJ53" s="680"/>
      <c r="FK53" s="681"/>
      <c r="FL53" s="682"/>
      <c r="FM53" s="682"/>
      <c r="FN53" s="683"/>
      <c r="FO53" s="684"/>
      <c r="FP53" s="680"/>
      <c r="FQ53" s="681"/>
      <c r="FR53" s="682"/>
      <c r="FS53" s="682"/>
      <c r="FT53" s="683"/>
      <c r="FU53" s="684"/>
      <c r="FV53" s="680"/>
      <c r="FW53" s="681"/>
      <c r="FX53" s="682"/>
      <c r="FY53" s="682"/>
      <c r="FZ53" s="683"/>
      <c r="GA53" s="684"/>
      <c r="GB53" s="675"/>
      <c r="GC53" s="676">
        <f t="shared" si="38"/>
        <v>0</v>
      </c>
      <c r="GD53" s="677">
        <f t="shared" si="39"/>
        <v>0</v>
      </c>
      <c r="GE53" s="677">
        <f t="shared" si="87"/>
        <v>0</v>
      </c>
      <c r="GF53" s="678">
        <f t="shared" si="88"/>
        <v>0</v>
      </c>
      <c r="GG53" s="679">
        <f t="shared" si="89"/>
        <v>0</v>
      </c>
      <c r="GH53" s="680"/>
      <c r="GI53" s="681"/>
      <c r="GJ53" s="682"/>
      <c r="GK53" s="682"/>
      <c r="GL53" s="683"/>
      <c r="GM53" s="684"/>
      <c r="GN53" s="680"/>
      <c r="GO53" s="681"/>
      <c r="GP53" s="682"/>
      <c r="GQ53" s="682"/>
      <c r="GR53" s="683"/>
      <c r="GS53" s="684"/>
      <c r="GT53" s="680"/>
      <c r="GU53" s="681"/>
      <c r="GV53" s="682"/>
      <c r="GW53" s="682"/>
      <c r="GX53" s="683"/>
      <c r="GY53" s="684"/>
      <c r="GZ53" s="680"/>
      <c r="HA53" s="147"/>
      <c r="HB53" s="148"/>
      <c r="HC53" s="148"/>
      <c r="HD53" s="149"/>
      <c r="HE53" s="150"/>
      <c r="HF53" s="8"/>
      <c r="HG53" s="502"/>
      <c r="HH53" s="502"/>
      <c r="HI53" s="502">
        <f t="shared" si="40"/>
        <v>1</v>
      </c>
      <c r="HJ53" s="8"/>
    </row>
    <row r="54" spans="2:218" ht="21" hidden="1">
      <c r="B54" s="488">
        <v>10</v>
      </c>
      <c r="C54" s="489" t="s">
        <v>298</v>
      </c>
      <c r="D54" s="490" t="s">
        <v>300</v>
      </c>
      <c r="E54" s="491" t="s">
        <v>406</v>
      </c>
      <c r="F54" s="492"/>
      <c r="G54" s="493"/>
      <c r="H54" s="146" t="s">
        <v>97</v>
      </c>
      <c r="I54" s="494" t="str">
        <f t="shared" si="4"/>
        <v>n.v.t.</v>
      </c>
      <c r="J54" s="495" t="s">
        <v>487</v>
      </c>
      <c r="K54" s="151">
        <v>0</v>
      </c>
      <c r="L54" s="256">
        <f>IF($C$5&lt;3000,(Bron!H43*$C$5)+Bron!I43,(Bron!M43*$C$5)+Bron!N43)</f>
        <v>0</v>
      </c>
      <c r="M54" s="256"/>
      <c r="N54" s="496">
        <f t="shared" si="41"/>
        <v>0</v>
      </c>
      <c r="O54" s="497" t="str">
        <f t="shared" si="5"/>
        <v/>
      </c>
      <c r="P54" s="257">
        <f>IF($C$5&lt;3000,$AN$32*Bron!J43,$AN$32*Bron!O43)</f>
        <v>0</v>
      </c>
      <c r="Q54" s="257">
        <f>IF($C$5&lt;3000,$AN$31*Bron!K43,$AN$31*Bron!P43)</f>
        <v>0</v>
      </c>
      <c r="R54" s="257">
        <f>IF($C$5&lt;3000,$AN$33*Bron!J43,$AN$33*Bron!O43)</f>
        <v>0</v>
      </c>
      <c r="S54" s="344"/>
      <c r="T54" s="258">
        <f t="shared" si="6"/>
        <v>0</v>
      </c>
      <c r="U54" s="259">
        <f t="shared" si="7"/>
        <v>0</v>
      </c>
      <c r="V54" s="675"/>
      <c r="W54" s="676">
        <f t="shared" si="8"/>
        <v>0</v>
      </c>
      <c r="X54" s="677">
        <f t="shared" si="9"/>
        <v>0</v>
      </c>
      <c r="Y54" s="677">
        <f t="shared" si="42"/>
        <v>0</v>
      </c>
      <c r="Z54" s="678">
        <f t="shared" si="43"/>
        <v>0</v>
      </c>
      <c r="AA54" s="679">
        <f t="shared" si="44"/>
        <v>0</v>
      </c>
      <c r="AB54" s="675"/>
      <c r="AC54" s="676">
        <f t="shared" si="10"/>
        <v>0</v>
      </c>
      <c r="AD54" s="677">
        <f t="shared" si="11"/>
        <v>0</v>
      </c>
      <c r="AE54" s="677">
        <f t="shared" si="45"/>
        <v>0</v>
      </c>
      <c r="AF54" s="678">
        <f t="shared" si="46"/>
        <v>0</v>
      </c>
      <c r="AG54" s="679">
        <f t="shared" si="47"/>
        <v>0</v>
      </c>
      <c r="AH54" s="675"/>
      <c r="AI54" s="676">
        <f t="shared" si="12"/>
        <v>0</v>
      </c>
      <c r="AJ54" s="677">
        <f t="shared" si="13"/>
        <v>0</v>
      </c>
      <c r="AK54" s="677">
        <f t="shared" si="48"/>
        <v>0</v>
      </c>
      <c r="AL54" s="678">
        <f t="shared" si="49"/>
        <v>0</v>
      </c>
      <c r="AM54" s="679">
        <f t="shared" si="50"/>
        <v>0</v>
      </c>
      <c r="AN54" s="675"/>
      <c r="AO54" s="676">
        <f t="shared" si="14"/>
        <v>0</v>
      </c>
      <c r="AP54" s="677">
        <f t="shared" si="15"/>
        <v>0</v>
      </c>
      <c r="AQ54" s="677">
        <f t="shared" si="51"/>
        <v>0</v>
      </c>
      <c r="AR54" s="678">
        <f t="shared" si="52"/>
        <v>0</v>
      </c>
      <c r="AS54" s="679">
        <f t="shared" si="53"/>
        <v>0</v>
      </c>
      <c r="AT54" s="675"/>
      <c r="AU54" s="676">
        <f t="shared" si="16"/>
        <v>0</v>
      </c>
      <c r="AV54" s="677">
        <f t="shared" si="17"/>
        <v>0</v>
      </c>
      <c r="AW54" s="677">
        <f t="shared" si="54"/>
        <v>0</v>
      </c>
      <c r="AX54" s="678">
        <f t="shared" si="55"/>
        <v>0</v>
      </c>
      <c r="AY54" s="679">
        <f t="shared" si="56"/>
        <v>0</v>
      </c>
      <c r="AZ54" s="675"/>
      <c r="BA54" s="676">
        <f t="shared" si="18"/>
        <v>0</v>
      </c>
      <c r="BB54" s="677">
        <f t="shared" si="19"/>
        <v>0</v>
      </c>
      <c r="BC54" s="677">
        <f t="shared" si="57"/>
        <v>0</v>
      </c>
      <c r="BD54" s="678">
        <f t="shared" si="58"/>
        <v>0</v>
      </c>
      <c r="BE54" s="679">
        <f t="shared" si="59"/>
        <v>0</v>
      </c>
      <c r="BF54" s="675"/>
      <c r="BG54" s="676">
        <f t="shared" si="20"/>
        <v>0</v>
      </c>
      <c r="BH54" s="677">
        <f t="shared" si="21"/>
        <v>0</v>
      </c>
      <c r="BI54" s="677">
        <f t="shared" si="60"/>
        <v>0</v>
      </c>
      <c r="BJ54" s="678">
        <f t="shared" si="61"/>
        <v>0</v>
      </c>
      <c r="BK54" s="679">
        <f t="shared" si="62"/>
        <v>0</v>
      </c>
      <c r="BL54" s="675"/>
      <c r="BM54" s="676">
        <f t="shared" si="22"/>
        <v>0</v>
      </c>
      <c r="BN54" s="677">
        <f t="shared" si="23"/>
        <v>0</v>
      </c>
      <c r="BO54" s="677">
        <f t="shared" si="63"/>
        <v>0</v>
      </c>
      <c r="BP54" s="678">
        <f t="shared" si="64"/>
        <v>0</v>
      </c>
      <c r="BQ54" s="679">
        <f t="shared" si="65"/>
        <v>0</v>
      </c>
      <c r="BR54" s="675"/>
      <c r="BS54" s="676">
        <f t="shared" si="24"/>
        <v>0</v>
      </c>
      <c r="BT54" s="677">
        <f t="shared" si="25"/>
        <v>0</v>
      </c>
      <c r="BU54" s="677">
        <f t="shared" si="66"/>
        <v>0</v>
      </c>
      <c r="BV54" s="678">
        <f t="shared" si="67"/>
        <v>0</v>
      </c>
      <c r="BW54" s="679">
        <f t="shared" si="68"/>
        <v>0</v>
      </c>
      <c r="BX54" s="675"/>
      <c r="BY54" s="676">
        <f t="shared" si="26"/>
        <v>0</v>
      </c>
      <c r="BZ54" s="677">
        <f t="shared" si="27"/>
        <v>0</v>
      </c>
      <c r="CA54" s="677">
        <f t="shared" si="69"/>
        <v>0</v>
      </c>
      <c r="CB54" s="678">
        <f t="shared" si="70"/>
        <v>0</v>
      </c>
      <c r="CC54" s="679">
        <f t="shared" si="71"/>
        <v>0</v>
      </c>
      <c r="CD54" s="675"/>
      <c r="CE54" s="676">
        <f t="shared" si="28"/>
        <v>0</v>
      </c>
      <c r="CF54" s="677">
        <f t="shared" si="29"/>
        <v>0</v>
      </c>
      <c r="CG54" s="677">
        <f t="shared" si="72"/>
        <v>0</v>
      </c>
      <c r="CH54" s="678">
        <f t="shared" si="73"/>
        <v>0</v>
      </c>
      <c r="CI54" s="679">
        <f t="shared" si="74"/>
        <v>0</v>
      </c>
      <c r="CJ54" s="675"/>
      <c r="CK54" s="676">
        <f t="shared" si="30"/>
        <v>0</v>
      </c>
      <c r="CL54" s="677">
        <f t="shared" si="31"/>
        <v>0</v>
      </c>
      <c r="CM54" s="677">
        <f t="shared" si="75"/>
        <v>0</v>
      </c>
      <c r="CN54" s="678">
        <f t="shared" si="76"/>
        <v>0</v>
      </c>
      <c r="CO54" s="679">
        <f t="shared" si="77"/>
        <v>0</v>
      </c>
      <c r="CP54" s="675"/>
      <c r="CQ54" s="676">
        <f t="shared" si="32"/>
        <v>0</v>
      </c>
      <c r="CR54" s="677">
        <f t="shared" si="33"/>
        <v>0</v>
      </c>
      <c r="CS54" s="677">
        <f t="shared" si="78"/>
        <v>0</v>
      </c>
      <c r="CT54" s="678">
        <f t="shared" si="79"/>
        <v>0</v>
      </c>
      <c r="CU54" s="679">
        <f t="shared" si="80"/>
        <v>0</v>
      </c>
      <c r="CV54" s="680"/>
      <c r="CW54" s="681"/>
      <c r="CX54" s="682"/>
      <c r="CY54" s="682"/>
      <c r="CZ54" s="683"/>
      <c r="DA54" s="684"/>
      <c r="DB54" s="680"/>
      <c r="DC54" s="681"/>
      <c r="DD54" s="682"/>
      <c r="DE54" s="682"/>
      <c r="DF54" s="683"/>
      <c r="DG54" s="684"/>
      <c r="DH54" s="680"/>
      <c r="DI54" s="681"/>
      <c r="DJ54" s="682"/>
      <c r="DK54" s="682"/>
      <c r="DL54" s="683"/>
      <c r="DM54" s="684"/>
      <c r="DN54" s="680"/>
      <c r="DO54" s="681"/>
      <c r="DP54" s="682"/>
      <c r="DQ54" s="682"/>
      <c r="DR54" s="683"/>
      <c r="DS54" s="684"/>
      <c r="DT54" s="675"/>
      <c r="DU54" s="676">
        <f t="shared" si="34"/>
        <v>0</v>
      </c>
      <c r="DV54" s="677">
        <f t="shared" si="35"/>
        <v>0</v>
      </c>
      <c r="DW54" s="677">
        <f t="shared" si="81"/>
        <v>0</v>
      </c>
      <c r="DX54" s="678">
        <f t="shared" si="82"/>
        <v>0</v>
      </c>
      <c r="DY54" s="679">
        <f t="shared" si="83"/>
        <v>0</v>
      </c>
      <c r="DZ54" s="680"/>
      <c r="EA54" s="681"/>
      <c r="EB54" s="682"/>
      <c r="EC54" s="682"/>
      <c r="ED54" s="683"/>
      <c r="EE54" s="684"/>
      <c r="EF54" s="680"/>
      <c r="EG54" s="681"/>
      <c r="EH54" s="682"/>
      <c r="EI54" s="682"/>
      <c r="EJ54" s="683"/>
      <c r="EK54" s="684"/>
      <c r="EL54" s="680"/>
      <c r="EM54" s="681"/>
      <c r="EN54" s="682"/>
      <c r="EO54" s="682"/>
      <c r="EP54" s="683"/>
      <c r="EQ54" s="684"/>
      <c r="ER54" s="680"/>
      <c r="ES54" s="681"/>
      <c r="ET54" s="682"/>
      <c r="EU54" s="682"/>
      <c r="EV54" s="683"/>
      <c r="EW54" s="684"/>
      <c r="EX54" s="675"/>
      <c r="EY54" s="676">
        <f t="shared" si="36"/>
        <v>0</v>
      </c>
      <c r="EZ54" s="677">
        <f t="shared" si="37"/>
        <v>0</v>
      </c>
      <c r="FA54" s="677">
        <f t="shared" si="84"/>
        <v>0</v>
      </c>
      <c r="FB54" s="678">
        <f t="shared" si="85"/>
        <v>0</v>
      </c>
      <c r="FC54" s="679">
        <f t="shared" si="86"/>
        <v>0</v>
      </c>
      <c r="FD54" s="680"/>
      <c r="FE54" s="681"/>
      <c r="FF54" s="682"/>
      <c r="FG54" s="682"/>
      <c r="FH54" s="683"/>
      <c r="FI54" s="684"/>
      <c r="FJ54" s="680"/>
      <c r="FK54" s="681"/>
      <c r="FL54" s="682"/>
      <c r="FM54" s="682"/>
      <c r="FN54" s="683"/>
      <c r="FO54" s="684"/>
      <c r="FP54" s="680"/>
      <c r="FQ54" s="681"/>
      <c r="FR54" s="682"/>
      <c r="FS54" s="682"/>
      <c r="FT54" s="683"/>
      <c r="FU54" s="684"/>
      <c r="FV54" s="680"/>
      <c r="FW54" s="681"/>
      <c r="FX54" s="682"/>
      <c r="FY54" s="682"/>
      <c r="FZ54" s="683"/>
      <c r="GA54" s="684"/>
      <c r="GB54" s="675"/>
      <c r="GC54" s="676">
        <f t="shared" si="38"/>
        <v>0</v>
      </c>
      <c r="GD54" s="677">
        <f t="shared" si="39"/>
        <v>0</v>
      </c>
      <c r="GE54" s="677">
        <f t="shared" si="87"/>
        <v>0</v>
      </c>
      <c r="GF54" s="678">
        <f t="shared" si="88"/>
        <v>0</v>
      </c>
      <c r="GG54" s="679">
        <f t="shared" si="89"/>
        <v>0</v>
      </c>
      <c r="GH54" s="680"/>
      <c r="GI54" s="681"/>
      <c r="GJ54" s="682"/>
      <c r="GK54" s="682"/>
      <c r="GL54" s="683"/>
      <c r="GM54" s="684"/>
      <c r="GN54" s="680"/>
      <c r="GO54" s="681"/>
      <c r="GP54" s="682"/>
      <c r="GQ54" s="682"/>
      <c r="GR54" s="683"/>
      <c r="GS54" s="684"/>
      <c r="GT54" s="680"/>
      <c r="GU54" s="681"/>
      <c r="GV54" s="682"/>
      <c r="GW54" s="682"/>
      <c r="GX54" s="683"/>
      <c r="GY54" s="684"/>
      <c r="GZ54" s="680"/>
      <c r="HA54" s="147"/>
      <c r="HB54" s="148"/>
      <c r="HC54" s="148"/>
      <c r="HD54" s="149"/>
      <c r="HE54" s="150"/>
      <c r="HF54" s="8"/>
      <c r="HG54" s="502"/>
      <c r="HH54" s="502"/>
      <c r="HI54" s="502">
        <f t="shared" si="40"/>
        <v>1</v>
      </c>
      <c r="HJ54" s="8"/>
    </row>
    <row r="55" spans="2:218" ht="21" hidden="1">
      <c r="B55" s="488">
        <v>11</v>
      </c>
      <c r="C55" s="489" t="s">
        <v>298</v>
      </c>
      <c r="D55" s="490" t="s">
        <v>301</v>
      </c>
      <c r="E55" s="491" t="s">
        <v>407</v>
      </c>
      <c r="F55" s="492"/>
      <c r="G55" s="493"/>
      <c r="H55" s="146" t="s">
        <v>97</v>
      </c>
      <c r="I55" s="494" t="str">
        <f t="shared" si="4"/>
        <v>n.v.t.</v>
      </c>
      <c r="J55" s="495" t="s">
        <v>487</v>
      </c>
      <c r="K55" s="151">
        <v>0</v>
      </c>
      <c r="L55" s="256">
        <f>IF($C$5&lt;3000,(Bron!H44*$C$5)+Bron!I44,(Bron!M44*$C$5)+Bron!N44)</f>
        <v>0</v>
      </c>
      <c r="M55" s="256"/>
      <c r="N55" s="496">
        <f t="shared" si="41"/>
        <v>0</v>
      </c>
      <c r="O55" s="497" t="str">
        <f t="shared" si="5"/>
        <v/>
      </c>
      <c r="P55" s="257">
        <f>IF($C$5&lt;3000,$AN$32*Bron!J44,$AN$32*Bron!O44)</f>
        <v>0</v>
      </c>
      <c r="Q55" s="257">
        <f>IF($C$5&lt;3000,$AN$31*Bron!K44,$AN$31*Bron!P44)</f>
        <v>0</v>
      </c>
      <c r="R55" s="257">
        <f>IF($C$5&lt;3000,$AN$33*Bron!J44,$AN$33*Bron!O44)</f>
        <v>0</v>
      </c>
      <c r="S55" s="344"/>
      <c r="T55" s="258">
        <f t="shared" si="6"/>
        <v>0</v>
      </c>
      <c r="U55" s="259">
        <f t="shared" si="7"/>
        <v>0</v>
      </c>
      <c r="V55" s="675"/>
      <c r="W55" s="676">
        <f t="shared" si="8"/>
        <v>0</v>
      </c>
      <c r="X55" s="677">
        <f t="shared" si="9"/>
        <v>0</v>
      </c>
      <c r="Y55" s="677">
        <f t="shared" si="42"/>
        <v>0</v>
      </c>
      <c r="Z55" s="678">
        <f t="shared" si="43"/>
        <v>0</v>
      </c>
      <c r="AA55" s="679">
        <f t="shared" si="44"/>
        <v>0</v>
      </c>
      <c r="AB55" s="675"/>
      <c r="AC55" s="676">
        <f t="shared" si="10"/>
        <v>0</v>
      </c>
      <c r="AD55" s="677">
        <f t="shared" si="11"/>
        <v>0</v>
      </c>
      <c r="AE55" s="677">
        <f t="shared" si="45"/>
        <v>0</v>
      </c>
      <c r="AF55" s="678">
        <f t="shared" si="46"/>
        <v>0</v>
      </c>
      <c r="AG55" s="679">
        <f t="shared" si="47"/>
        <v>0</v>
      </c>
      <c r="AH55" s="675"/>
      <c r="AI55" s="676">
        <f t="shared" si="12"/>
        <v>0</v>
      </c>
      <c r="AJ55" s="677">
        <f t="shared" si="13"/>
        <v>0</v>
      </c>
      <c r="AK55" s="677">
        <f t="shared" si="48"/>
        <v>0</v>
      </c>
      <c r="AL55" s="678">
        <f t="shared" si="49"/>
        <v>0</v>
      </c>
      <c r="AM55" s="679">
        <f t="shared" si="50"/>
        <v>0</v>
      </c>
      <c r="AN55" s="675"/>
      <c r="AO55" s="676">
        <f t="shared" si="14"/>
        <v>0</v>
      </c>
      <c r="AP55" s="677">
        <f t="shared" si="15"/>
        <v>0</v>
      </c>
      <c r="AQ55" s="677">
        <f t="shared" si="51"/>
        <v>0</v>
      </c>
      <c r="AR55" s="678">
        <f t="shared" si="52"/>
        <v>0</v>
      </c>
      <c r="AS55" s="679">
        <f t="shared" si="53"/>
        <v>0</v>
      </c>
      <c r="AT55" s="675"/>
      <c r="AU55" s="676">
        <f t="shared" si="16"/>
        <v>0</v>
      </c>
      <c r="AV55" s="677">
        <f t="shared" si="17"/>
        <v>0</v>
      </c>
      <c r="AW55" s="677">
        <f t="shared" si="54"/>
        <v>0</v>
      </c>
      <c r="AX55" s="678">
        <f t="shared" si="55"/>
        <v>0</v>
      </c>
      <c r="AY55" s="679">
        <f t="shared" si="56"/>
        <v>0</v>
      </c>
      <c r="AZ55" s="675"/>
      <c r="BA55" s="676">
        <f t="shared" si="18"/>
        <v>0</v>
      </c>
      <c r="BB55" s="677">
        <f t="shared" si="19"/>
        <v>0</v>
      </c>
      <c r="BC55" s="677">
        <f t="shared" si="57"/>
        <v>0</v>
      </c>
      <c r="BD55" s="678">
        <f t="shared" si="58"/>
        <v>0</v>
      </c>
      <c r="BE55" s="679">
        <f t="shared" si="59"/>
        <v>0</v>
      </c>
      <c r="BF55" s="675"/>
      <c r="BG55" s="676">
        <f t="shared" si="20"/>
        <v>0</v>
      </c>
      <c r="BH55" s="677">
        <f t="shared" si="21"/>
        <v>0</v>
      </c>
      <c r="BI55" s="677">
        <f t="shared" si="60"/>
        <v>0</v>
      </c>
      <c r="BJ55" s="678">
        <f t="shared" si="61"/>
        <v>0</v>
      </c>
      <c r="BK55" s="679">
        <f t="shared" si="62"/>
        <v>0</v>
      </c>
      <c r="BL55" s="675"/>
      <c r="BM55" s="676">
        <f t="shared" si="22"/>
        <v>0</v>
      </c>
      <c r="BN55" s="677">
        <f t="shared" si="23"/>
        <v>0</v>
      </c>
      <c r="BO55" s="677">
        <f t="shared" si="63"/>
        <v>0</v>
      </c>
      <c r="BP55" s="678">
        <f t="shared" si="64"/>
        <v>0</v>
      </c>
      <c r="BQ55" s="679">
        <f t="shared" si="65"/>
        <v>0</v>
      </c>
      <c r="BR55" s="675"/>
      <c r="BS55" s="676">
        <f t="shared" si="24"/>
        <v>0</v>
      </c>
      <c r="BT55" s="677">
        <f t="shared" si="25"/>
        <v>0</v>
      </c>
      <c r="BU55" s="677">
        <f t="shared" si="66"/>
        <v>0</v>
      </c>
      <c r="BV55" s="678">
        <f t="shared" si="67"/>
        <v>0</v>
      </c>
      <c r="BW55" s="679">
        <f t="shared" si="68"/>
        <v>0</v>
      </c>
      <c r="BX55" s="675"/>
      <c r="BY55" s="676">
        <f t="shared" si="26"/>
        <v>0</v>
      </c>
      <c r="BZ55" s="677">
        <f t="shared" si="27"/>
        <v>0</v>
      </c>
      <c r="CA55" s="677">
        <f t="shared" si="69"/>
        <v>0</v>
      </c>
      <c r="CB55" s="678">
        <f t="shared" si="70"/>
        <v>0</v>
      </c>
      <c r="CC55" s="679">
        <f t="shared" si="71"/>
        <v>0</v>
      </c>
      <c r="CD55" s="675"/>
      <c r="CE55" s="676">
        <f t="shared" si="28"/>
        <v>0</v>
      </c>
      <c r="CF55" s="677">
        <f t="shared" si="29"/>
        <v>0</v>
      </c>
      <c r="CG55" s="677">
        <f t="shared" si="72"/>
        <v>0</v>
      </c>
      <c r="CH55" s="678">
        <f t="shared" si="73"/>
        <v>0</v>
      </c>
      <c r="CI55" s="679">
        <f t="shared" si="74"/>
        <v>0</v>
      </c>
      <c r="CJ55" s="675"/>
      <c r="CK55" s="676">
        <f t="shared" si="30"/>
        <v>0</v>
      </c>
      <c r="CL55" s="677">
        <f t="shared" si="31"/>
        <v>0</v>
      </c>
      <c r="CM55" s="677">
        <f t="shared" si="75"/>
        <v>0</v>
      </c>
      <c r="CN55" s="678">
        <f t="shared" si="76"/>
        <v>0</v>
      </c>
      <c r="CO55" s="679">
        <f t="shared" si="77"/>
        <v>0</v>
      </c>
      <c r="CP55" s="675"/>
      <c r="CQ55" s="676">
        <f t="shared" si="32"/>
        <v>0</v>
      </c>
      <c r="CR55" s="677">
        <f t="shared" si="33"/>
        <v>0</v>
      </c>
      <c r="CS55" s="677">
        <f t="shared" si="78"/>
        <v>0</v>
      </c>
      <c r="CT55" s="678">
        <f t="shared" si="79"/>
        <v>0</v>
      </c>
      <c r="CU55" s="679">
        <f t="shared" si="80"/>
        <v>0</v>
      </c>
      <c r="CV55" s="680"/>
      <c r="CW55" s="681"/>
      <c r="CX55" s="682"/>
      <c r="CY55" s="682"/>
      <c r="CZ55" s="683"/>
      <c r="DA55" s="684"/>
      <c r="DB55" s="680"/>
      <c r="DC55" s="681"/>
      <c r="DD55" s="682"/>
      <c r="DE55" s="682"/>
      <c r="DF55" s="683"/>
      <c r="DG55" s="684"/>
      <c r="DH55" s="680"/>
      <c r="DI55" s="681"/>
      <c r="DJ55" s="682"/>
      <c r="DK55" s="682"/>
      <c r="DL55" s="683"/>
      <c r="DM55" s="684"/>
      <c r="DN55" s="680"/>
      <c r="DO55" s="681"/>
      <c r="DP55" s="682"/>
      <c r="DQ55" s="682"/>
      <c r="DR55" s="683"/>
      <c r="DS55" s="684"/>
      <c r="DT55" s="675"/>
      <c r="DU55" s="676">
        <f t="shared" si="34"/>
        <v>0</v>
      </c>
      <c r="DV55" s="677">
        <f t="shared" si="35"/>
        <v>0</v>
      </c>
      <c r="DW55" s="677">
        <f t="shared" si="81"/>
        <v>0</v>
      </c>
      <c r="DX55" s="678">
        <f t="shared" si="82"/>
        <v>0</v>
      </c>
      <c r="DY55" s="679">
        <f t="shared" si="83"/>
        <v>0</v>
      </c>
      <c r="DZ55" s="680"/>
      <c r="EA55" s="681"/>
      <c r="EB55" s="682"/>
      <c r="EC55" s="682"/>
      <c r="ED55" s="683"/>
      <c r="EE55" s="684"/>
      <c r="EF55" s="680"/>
      <c r="EG55" s="681"/>
      <c r="EH55" s="682"/>
      <c r="EI55" s="682"/>
      <c r="EJ55" s="683"/>
      <c r="EK55" s="684"/>
      <c r="EL55" s="680"/>
      <c r="EM55" s="681"/>
      <c r="EN55" s="682"/>
      <c r="EO55" s="682"/>
      <c r="EP55" s="683"/>
      <c r="EQ55" s="684"/>
      <c r="ER55" s="680"/>
      <c r="ES55" s="681"/>
      <c r="ET55" s="682"/>
      <c r="EU55" s="682"/>
      <c r="EV55" s="683"/>
      <c r="EW55" s="684"/>
      <c r="EX55" s="675"/>
      <c r="EY55" s="676">
        <f t="shared" si="36"/>
        <v>0</v>
      </c>
      <c r="EZ55" s="677">
        <f t="shared" si="37"/>
        <v>0</v>
      </c>
      <c r="FA55" s="677">
        <f t="shared" si="84"/>
        <v>0</v>
      </c>
      <c r="FB55" s="678">
        <f t="shared" si="85"/>
        <v>0</v>
      </c>
      <c r="FC55" s="679">
        <f t="shared" si="86"/>
        <v>0</v>
      </c>
      <c r="FD55" s="680"/>
      <c r="FE55" s="681"/>
      <c r="FF55" s="682"/>
      <c r="FG55" s="682"/>
      <c r="FH55" s="683"/>
      <c r="FI55" s="684"/>
      <c r="FJ55" s="680"/>
      <c r="FK55" s="681"/>
      <c r="FL55" s="682"/>
      <c r="FM55" s="682"/>
      <c r="FN55" s="683"/>
      <c r="FO55" s="684"/>
      <c r="FP55" s="680"/>
      <c r="FQ55" s="681"/>
      <c r="FR55" s="682"/>
      <c r="FS55" s="682"/>
      <c r="FT55" s="683"/>
      <c r="FU55" s="684"/>
      <c r="FV55" s="680"/>
      <c r="FW55" s="681"/>
      <c r="FX55" s="682"/>
      <c r="FY55" s="682"/>
      <c r="FZ55" s="683"/>
      <c r="GA55" s="684"/>
      <c r="GB55" s="675"/>
      <c r="GC55" s="676">
        <f t="shared" si="38"/>
        <v>0</v>
      </c>
      <c r="GD55" s="677">
        <f t="shared" si="39"/>
        <v>0</v>
      </c>
      <c r="GE55" s="677">
        <f t="shared" si="87"/>
        <v>0</v>
      </c>
      <c r="GF55" s="678">
        <f t="shared" si="88"/>
        <v>0</v>
      </c>
      <c r="GG55" s="679">
        <f t="shared" si="89"/>
        <v>0</v>
      </c>
      <c r="GH55" s="680"/>
      <c r="GI55" s="681"/>
      <c r="GJ55" s="682"/>
      <c r="GK55" s="682"/>
      <c r="GL55" s="683"/>
      <c r="GM55" s="684"/>
      <c r="GN55" s="680"/>
      <c r="GO55" s="681"/>
      <c r="GP55" s="682"/>
      <c r="GQ55" s="682"/>
      <c r="GR55" s="683"/>
      <c r="GS55" s="684"/>
      <c r="GT55" s="680"/>
      <c r="GU55" s="681"/>
      <c r="GV55" s="682"/>
      <c r="GW55" s="682"/>
      <c r="GX55" s="683"/>
      <c r="GY55" s="684"/>
      <c r="GZ55" s="680"/>
      <c r="HA55" s="147"/>
      <c r="HB55" s="148"/>
      <c r="HC55" s="148"/>
      <c r="HD55" s="149"/>
      <c r="HE55" s="150"/>
      <c r="HF55" s="8"/>
      <c r="HG55" s="502"/>
      <c r="HH55" s="502"/>
      <c r="HI55" s="502">
        <f t="shared" si="40"/>
        <v>1</v>
      </c>
      <c r="HJ55" s="8"/>
    </row>
    <row r="56" spans="2:218" ht="21" hidden="1">
      <c r="B56" s="488">
        <v>12</v>
      </c>
      <c r="C56" s="489" t="s">
        <v>298</v>
      </c>
      <c r="D56" s="490" t="s">
        <v>302</v>
      </c>
      <c r="E56" s="491" t="s">
        <v>303</v>
      </c>
      <c r="F56" s="492"/>
      <c r="G56" s="493"/>
      <c r="H56" s="146" t="s">
        <v>97</v>
      </c>
      <c r="I56" s="494" t="str">
        <f t="shared" si="4"/>
        <v>n.v.t.</v>
      </c>
      <c r="J56" s="495" t="s">
        <v>487</v>
      </c>
      <c r="K56" s="151">
        <v>0</v>
      </c>
      <c r="L56" s="256">
        <f>IF($C$5&lt;3000,(Bron!H45*$C$5)+Bron!I45,(Bron!M45*$C$5)+Bron!N45)</f>
        <v>0</v>
      </c>
      <c r="M56" s="256"/>
      <c r="N56" s="496">
        <f t="shared" si="41"/>
        <v>0</v>
      </c>
      <c r="O56" s="497" t="str">
        <f t="shared" si="5"/>
        <v/>
      </c>
      <c r="P56" s="257">
        <f>IF($C$5&lt;3000,$AN$32*Bron!J45,$AN$32*Bron!O45)</f>
        <v>0</v>
      </c>
      <c r="Q56" s="257">
        <f>IF($C$5&lt;3000,$AN$31*Bron!K45,$AN$31*Bron!P45)</f>
        <v>0</v>
      </c>
      <c r="R56" s="257">
        <f>IF($C$5&lt;3000,$AN$33*Bron!J45,$AN$33*Bron!O45)</f>
        <v>0</v>
      </c>
      <c r="S56" s="344"/>
      <c r="T56" s="258">
        <f t="shared" si="6"/>
        <v>0</v>
      </c>
      <c r="U56" s="259">
        <f t="shared" si="7"/>
        <v>0</v>
      </c>
      <c r="V56" s="675"/>
      <c r="W56" s="676">
        <f t="shared" si="8"/>
        <v>0</v>
      </c>
      <c r="X56" s="677">
        <f t="shared" si="9"/>
        <v>0</v>
      </c>
      <c r="Y56" s="677">
        <f t="shared" si="42"/>
        <v>0</v>
      </c>
      <c r="Z56" s="678">
        <f t="shared" si="43"/>
        <v>0</v>
      </c>
      <c r="AA56" s="679">
        <f t="shared" si="44"/>
        <v>0</v>
      </c>
      <c r="AB56" s="675"/>
      <c r="AC56" s="676">
        <f t="shared" si="10"/>
        <v>0</v>
      </c>
      <c r="AD56" s="677">
        <f t="shared" si="11"/>
        <v>0</v>
      </c>
      <c r="AE56" s="677">
        <f t="shared" si="45"/>
        <v>0</v>
      </c>
      <c r="AF56" s="678">
        <f t="shared" si="46"/>
        <v>0</v>
      </c>
      <c r="AG56" s="679">
        <f t="shared" si="47"/>
        <v>0</v>
      </c>
      <c r="AH56" s="675"/>
      <c r="AI56" s="676">
        <f t="shared" si="12"/>
        <v>0</v>
      </c>
      <c r="AJ56" s="677">
        <f t="shared" si="13"/>
        <v>0</v>
      </c>
      <c r="AK56" s="677">
        <f t="shared" si="48"/>
        <v>0</v>
      </c>
      <c r="AL56" s="678">
        <f t="shared" si="49"/>
        <v>0</v>
      </c>
      <c r="AM56" s="679">
        <f t="shared" si="50"/>
        <v>0</v>
      </c>
      <c r="AN56" s="675"/>
      <c r="AO56" s="676">
        <f t="shared" si="14"/>
        <v>0</v>
      </c>
      <c r="AP56" s="677">
        <f t="shared" si="15"/>
        <v>0</v>
      </c>
      <c r="AQ56" s="677">
        <f t="shared" si="51"/>
        <v>0</v>
      </c>
      <c r="AR56" s="678">
        <f t="shared" si="52"/>
        <v>0</v>
      </c>
      <c r="AS56" s="679">
        <f t="shared" si="53"/>
        <v>0</v>
      </c>
      <c r="AT56" s="675"/>
      <c r="AU56" s="676">
        <f t="shared" si="16"/>
        <v>0</v>
      </c>
      <c r="AV56" s="677">
        <f t="shared" si="17"/>
        <v>0</v>
      </c>
      <c r="AW56" s="677">
        <f t="shared" si="54"/>
        <v>0</v>
      </c>
      <c r="AX56" s="678">
        <f t="shared" si="55"/>
        <v>0</v>
      </c>
      <c r="AY56" s="679">
        <f t="shared" si="56"/>
        <v>0</v>
      </c>
      <c r="AZ56" s="675"/>
      <c r="BA56" s="676">
        <f t="shared" si="18"/>
        <v>0</v>
      </c>
      <c r="BB56" s="677">
        <f t="shared" si="19"/>
        <v>0</v>
      </c>
      <c r="BC56" s="677">
        <f t="shared" si="57"/>
        <v>0</v>
      </c>
      <c r="BD56" s="678">
        <f t="shared" si="58"/>
        <v>0</v>
      </c>
      <c r="BE56" s="679">
        <f t="shared" si="59"/>
        <v>0</v>
      </c>
      <c r="BF56" s="675"/>
      <c r="BG56" s="676">
        <f t="shared" si="20"/>
        <v>0</v>
      </c>
      <c r="BH56" s="677">
        <f t="shared" si="21"/>
        <v>0</v>
      </c>
      <c r="BI56" s="677">
        <f t="shared" si="60"/>
        <v>0</v>
      </c>
      <c r="BJ56" s="678">
        <f t="shared" si="61"/>
        <v>0</v>
      </c>
      <c r="BK56" s="679">
        <f t="shared" si="62"/>
        <v>0</v>
      </c>
      <c r="BL56" s="675"/>
      <c r="BM56" s="676">
        <f t="shared" si="22"/>
        <v>0</v>
      </c>
      <c r="BN56" s="677">
        <f t="shared" si="23"/>
        <v>0</v>
      </c>
      <c r="BO56" s="677">
        <f t="shared" si="63"/>
        <v>0</v>
      </c>
      <c r="BP56" s="678">
        <f t="shared" si="64"/>
        <v>0</v>
      </c>
      <c r="BQ56" s="679">
        <f t="shared" si="65"/>
        <v>0</v>
      </c>
      <c r="BR56" s="675"/>
      <c r="BS56" s="676">
        <f t="shared" si="24"/>
        <v>0</v>
      </c>
      <c r="BT56" s="677">
        <f t="shared" si="25"/>
        <v>0</v>
      </c>
      <c r="BU56" s="677">
        <f t="shared" si="66"/>
        <v>0</v>
      </c>
      <c r="BV56" s="678">
        <f t="shared" si="67"/>
        <v>0</v>
      </c>
      <c r="BW56" s="679">
        <f t="shared" si="68"/>
        <v>0</v>
      </c>
      <c r="BX56" s="675"/>
      <c r="BY56" s="676">
        <f t="shared" si="26"/>
        <v>0</v>
      </c>
      <c r="BZ56" s="677">
        <f t="shared" si="27"/>
        <v>0</v>
      </c>
      <c r="CA56" s="677">
        <f t="shared" si="69"/>
        <v>0</v>
      </c>
      <c r="CB56" s="678">
        <f t="shared" si="70"/>
        <v>0</v>
      </c>
      <c r="CC56" s="679">
        <f t="shared" si="71"/>
        <v>0</v>
      </c>
      <c r="CD56" s="675"/>
      <c r="CE56" s="676">
        <f t="shared" si="28"/>
        <v>0</v>
      </c>
      <c r="CF56" s="677">
        <f t="shared" si="29"/>
        <v>0</v>
      </c>
      <c r="CG56" s="677">
        <f t="shared" si="72"/>
        <v>0</v>
      </c>
      <c r="CH56" s="678">
        <f t="shared" si="73"/>
        <v>0</v>
      </c>
      <c r="CI56" s="679">
        <f t="shared" si="74"/>
        <v>0</v>
      </c>
      <c r="CJ56" s="675"/>
      <c r="CK56" s="676">
        <f t="shared" si="30"/>
        <v>0</v>
      </c>
      <c r="CL56" s="677">
        <f t="shared" si="31"/>
        <v>0</v>
      </c>
      <c r="CM56" s="677">
        <f t="shared" si="75"/>
        <v>0</v>
      </c>
      <c r="CN56" s="678">
        <f t="shared" si="76"/>
        <v>0</v>
      </c>
      <c r="CO56" s="679">
        <f t="shared" si="77"/>
        <v>0</v>
      </c>
      <c r="CP56" s="675"/>
      <c r="CQ56" s="676">
        <f t="shared" si="32"/>
        <v>0</v>
      </c>
      <c r="CR56" s="677">
        <f t="shared" si="33"/>
        <v>0</v>
      </c>
      <c r="CS56" s="677">
        <f t="shared" si="78"/>
        <v>0</v>
      </c>
      <c r="CT56" s="678">
        <f t="shared" si="79"/>
        <v>0</v>
      </c>
      <c r="CU56" s="679">
        <f t="shared" si="80"/>
        <v>0</v>
      </c>
      <c r="CV56" s="680"/>
      <c r="CW56" s="681"/>
      <c r="CX56" s="682"/>
      <c r="CY56" s="682"/>
      <c r="CZ56" s="683"/>
      <c r="DA56" s="684"/>
      <c r="DB56" s="680"/>
      <c r="DC56" s="681"/>
      <c r="DD56" s="682"/>
      <c r="DE56" s="682"/>
      <c r="DF56" s="683"/>
      <c r="DG56" s="684"/>
      <c r="DH56" s="680"/>
      <c r="DI56" s="681"/>
      <c r="DJ56" s="682"/>
      <c r="DK56" s="682"/>
      <c r="DL56" s="683"/>
      <c r="DM56" s="684"/>
      <c r="DN56" s="680"/>
      <c r="DO56" s="681"/>
      <c r="DP56" s="682"/>
      <c r="DQ56" s="682"/>
      <c r="DR56" s="683"/>
      <c r="DS56" s="684"/>
      <c r="DT56" s="675"/>
      <c r="DU56" s="676">
        <f t="shared" si="34"/>
        <v>0</v>
      </c>
      <c r="DV56" s="677">
        <f t="shared" si="35"/>
        <v>0</v>
      </c>
      <c r="DW56" s="677">
        <f t="shared" si="81"/>
        <v>0</v>
      </c>
      <c r="DX56" s="678">
        <f t="shared" si="82"/>
        <v>0</v>
      </c>
      <c r="DY56" s="679">
        <f t="shared" si="83"/>
        <v>0</v>
      </c>
      <c r="DZ56" s="680"/>
      <c r="EA56" s="681"/>
      <c r="EB56" s="682"/>
      <c r="EC56" s="682"/>
      <c r="ED56" s="683"/>
      <c r="EE56" s="684"/>
      <c r="EF56" s="680"/>
      <c r="EG56" s="681"/>
      <c r="EH56" s="682"/>
      <c r="EI56" s="682"/>
      <c r="EJ56" s="683"/>
      <c r="EK56" s="684"/>
      <c r="EL56" s="680"/>
      <c r="EM56" s="681"/>
      <c r="EN56" s="682"/>
      <c r="EO56" s="682"/>
      <c r="EP56" s="683"/>
      <c r="EQ56" s="684"/>
      <c r="ER56" s="680"/>
      <c r="ES56" s="681"/>
      <c r="ET56" s="682"/>
      <c r="EU56" s="682"/>
      <c r="EV56" s="683"/>
      <c r="EW56" s="684"/>
      <c r="EX56" s="675"/>
      <c r="EY56" s="676">
        <f t="shared" si="36"/>
        <v>0</v>
      </c>
      <c r="EZ56" s="677">
        <f t="shared" si="37"/>
        <v>0</v>
      </c>
      <c r="FA56" s="677">
        <f t="shared" si="84"/>
        <v>0</v>
      </c>
      <c r="FB56" s="678">
        <f t="shared" si="85"/>
        <v>0</v>
      </c>
      <c r="FC56" s="679">
        <f t="shared" si="86"/>
        <v>0</v>
      </c>
      <c r="FD56" s="680"/>
      <c r="FE56" s="681"/>
      <c r="FF56" s="682"/>
      <c r="FG56" s="682"/>
      <c r="FH56" s="683"/>
      <c r="FI56" s="684"/>
      <c r="FJ56" s="680"/>
      <c r="FK56" s="681"/>
      <c r="FL56" s="682"/>
      <c r="FM56" s="682"/>
      <c r="FN56" s="683"/>
      <c r="FO56" s="684"/>
      <c r="FP56" s="680"/>
      <c r="FQ56" s="681"/>
      <c r="FR56" s="682"/>
      <c r="FS56" s="682"/>
      <c r="FT56" s="683"/>
      <c r="FU56" s="684"/>
      <c r="FV56" s="680"/>
      <c r="FW56" s="681"/>
      <c r="FX56" s="682"/>
      <c r="FY56" s="682"/>
      <c r="FZ56" s="683"/>
      <c r="GA56" s="684"/>
      <c r="GB56" s="675"/>
      <c r="GC56" s="676">
        <f t="shared" si="38"/>
        <v>0</v>
      </c>
      <c r="GD56" s="677">
        <f t="shared" si="39"/>
        <v>0</v>
      </c>
      <c r="GE56" s="677">
        <f t="shared" si="87"/>
        <v>0</v>
      </c>
      <c r="GF56" s="678">
        <f t="shared" si="88"/>
        <v>0</v>
      </c>
      <c r="GG56" s="679">
        <f t="shared" si="89"/>
        <v>0</v>
      </c>
      <c r="GH56" s="680"/>
      <c r="GI56" s="681"/>
      <c r="GJ56" s="682"/>
      <c r="GK56" s="682"/>
      <c r="GL56" s="683"/>
      <c r="GM56" s="684"/>
      <c r="GN56" s="680"/>
      <c r="GO56" s="681"/>
      <c r="GP56" s="682"/>
      <c r="GQ56" s="682"/>
      <c r="GR56" s="683"/>
      <c r="GS56" s="684"/>
      <c r="GT56" s="680"/>
      <c r="GU56" s="681"/>
      <c r="GV56" s="682"/>
      <c r="GW56" s="682"/>
      <c r="GX56" s="683"/>
      <c r="GY56" s="684"/>
      <c r="GZ56" s="680"/>
      <c r="HA56" s="147"/>
      <c r="HB56" s="148"/>
      <c r="HC56" s="148"/>
      <c r="HD56" s="149"/>
      <c r="HE56" s="150"/>
      <c r="HF56" s="8"/>
      <c r="HG56" s="502"/>
      <c r="HH56" s="502"/>
      <c r="HI56" s="502">
        <f t="shared" si="40"/>
        <v>1</v>
      </c>
      <c r="HJ56" s="8"/>
    </row>
    <row r="57" spans="2:218" ht="21" hidden="1">
      <c r="B57" s="488">
        <v>13</v>
      </c>
      <c r="C57" s="489" t="s">
        <v>298</v>
      </c>
      <c r="D57" s="490" t="s">
        <v>304</v>
      </c>
      <c r="E57" s="491" t="s">
        <v>305</v>
      </c>
      <c r="F57" s="492"/>
      <c r="G57" s="493"/>
      <c r="H57" s="146" t="s">
        <v>97</v>
      </c>
      <c r="I57" s="494" t="str">
        <f t="shared" si="4"/>
        <v>n.v.t.</v>
      </c>
      <c r="J57" s="495" t="s">
        <v>487</v>
      </c>
      <c r="K57" s="151">
        <v>0</v>
      </c>
      <c r="L57" s="256">
        <f>IF($C$5&lt;3000,(Bron!H46*$C$5)+Bron!I46,(Bron!M46*$C$5)+Bron!N46)</f>
        <v>0</v>
      </c>
      <c r="M57" s="256"/>
      <c r="N57" s="496">
        <f t="shared" si="41"/>
        <v>0</v>
      </c>
      <c r="O57" s="497" t="str">
        <f t="shared" si="5"/>
        <v/>
      </c>
      <c r="P57" s="257">
        <f>IF($C$5&lt;3000,$AN$32*Bron!J46,$AN$32*Bron!O46)</f>
        <v>0</v>
      </c>
      <c r="Q57" s="257">
        <f>IF($C$5&lt;3000,$AN$31*Bron!K46,$AN$31*Bron!P46)</f>
        <v>0</v>
      </c>
      <c r="R57" s="257">
        <f>IF($C$5&lt;3000,$AN$33*Bron!J46,$AN$33*Bron!O46)</f>
        <v>0</v>
      </c>
      <c r="S57" s="344"/>
      <c r="T57" s="258">
        <f t="shared" si="6"/>
        <v>0</v>
      </c>
      <c r="U57" s="259">
        <f t="shared" si="7"/>
        <v>0</v>
      </c>
      <c r="V57" s="675"/>
      <c r="W57" s="676">
        <f t="shared" si="8"/>
        <v>0</v>
      </c>
      <c r="X57" s="677">
        <f t="shared" si="9"/>
        <v>0</v>
      </c>
      <c r="Y57" s="677">
        <f t="shared" si="42"/>
        <v>0</v>
      </c>
      <c r="Z57" s="678">
        <f t="shared" si="43"/>
        <v>0</v>
      </c>
      <c r="AA57" s="679">
        <f t="shared" si="44"/>
        <v>0</v>
      </c>
      <c r="AB57" s="675"/>
      <c r="AC57" s="676">
        <f t="shared" si="10"/>
        <v>0</v>
      </c>
      <c r="AD57" s="677">
        <f t="shared" si="11"/>
        <v>0</v>
      </c>
      <c r="AE57" s="677">
        <f t="shared" si="45"/>
        <v>0</v>
      </c>
      <c r="AF57" s="678">
        <f t="shared" si="46"/>
        <v>0</v>
      </c>
      <c r="AG57" s="679">
        <f t="shared" si="47"/>
        <v>0</v>
      </c>
      <c r="AH57" s="675"/>
      <c r="AI57" s="676">
        <f t="shared" si="12"/>
        <v>0</v>
      </c>
      <c r="AJ57" s="677">
        <f t="shared" si="13"/>
        <v>0</v>
      </c>
      <c r="AK57" s="677">
        <f t="shared" si="48"/>
        <v>0</v>
      </c>
      <c r="AL57" s="678">
        <f t="shared" si="49"/>
        <v>0</v>
      </c>
      <c r="AM57" s="679">
        <f t="shared" si="50"/>
        <v>0</v>
      </c>
      <c r="AN57" s="675"/>
      <c r="AO57" s="676">
        <f t="shared" si="14"/>
        <v>0</v>
      </c>
      <c r="AP57" s="677">
        <f t="shared" si="15"/>
        <v>0</v>
      </c>
      <c r="AQ57" s="677">
        <f t="shared" si="51"/>
        <v>0</v>
      </c>
      <c r="AR57" s="678">
        <f t="shared" si="52"/>
        <v>0</v>
      </c>
      <c r="AS57" s="679">
        <f t="shared" si="53"/>
        <v>0</v>
      </c>
      <c r="AT57" s="675"/>
      <c r="AU57" s="676">
        <f t="shared" si="16"/>
        <v>0</v>
      </c>
      <c r="AV57" s="677">
        <f t="shared" si="17"/>
        <v>0</v>
      </c>
      <c r="AW57" s="677">
        <f t="shared" si="54"/>
        <v>0</v>
      </c>
      <c r="AX57" s="678">
        <f t="shared" si="55"/>
        <v>0</v>
      </c>
      <c r="AY57" s="679">
        <f t="shared" si="56"/>
        <v>0</v>
      </c>
      <c r="AZ57" s="675"/>
      <c r="BA57" s="676">
        <f t="shared" si="18"/>
        <v>0</v>
      </c>
      <c r="BB57" s="677">
        <f t="shared" si="19"/>
        <v>0</v>
      </c>
      <c r="BC57" s="677">
        <f t="shared" si="57"/>
        <v>0</v>
      </c>
      <c r="BD57" s="678">
        <f t="shared" si="58"/>
        <v>0</v>
      </c>
      <c r="BE57" s="679">
        <f t="shared" si="59"/>
        <v>0</v>
      </c>
      <c r="BF57" s="675"/>
      <c r="BG57" s="676">
        <f t="shared" si="20"/>
        <v>0</v>
      </c>
      <c r="BH57" s="677">
        <f t="shared" si="21"/>
        <v>0</v>
      </c>
      <c r="BI57" s="677">
        <f t="shared" si="60"/>
        <v>0</v>
      </c>
      <c r="BJ57" s="678">
        <f t="shared" si="61"/>
        <v>0</v>
      </c>
      <c r="BK57" s="679">
        <f t="shared" si="62"/>
        <v>0</v>
      </c>
      <c r="BL57" s="675"/>
      <c r="BM57" s="676">
        <f t="shared" si="22"/>
        <v>0</v>
      </c>
      <c r="BN57" s="677">
        <f t="shared" si="23"/>
        <v>0</v>
      </c>
      <c r="BO57" s="677">
        <f t="shared" si="63"/>
        <v>0</v>
      </c>
      <c r="BP57" s="678">
        <f t="shared" si="64"/>
        <v>0</v>
      </c>
      <c r="BQ57" s="679">
        <f t="shared" si="65"/>
        <v>0</v>
      </c>
      <c r="BR57" s="675"/>
      <c r="BS57" s="676">
        <f t="shared" si="24"/>
        <v>0</v>
      </c>
      <c r="BT57" s="677">
        <f t="shared" si="25"/>
        <v>0</v>
      </c>
      <c r="BU57" s="677">
        <f t="shared" si="66"/>
        <v>0</v>
      </c>
      <c r="BV57" s="678">
        <f t="shared" si="67"/>
        <v>0</v>
      </c>
      <c r="BW57" s="679">
        <f t="shared" si="68"/>
        <v>0</v>
      </c>
      <c r="BX57" s="675"/>
      <c r="BY57" s="676">
        <f t="shared" si="26"/>
        <v>0</v>
      </c>
      <c r="BZ57" s="677">
        <f t="shared" si="27"/>
        <v>0</v>
      </c>
      <c r="CA57" s="677">
        <f t="shared" si="69"/>
        <v>0</v>
      </c>
      <c r="CB57" s="678">
        <f t="shared" si="70"/>
        <v>0</v>
      </c>
      <c r="CC57" s="679">
        <f t="shared" si="71"/>
        <v>0</v>
      </c>
      <c r="CD57" s="675"/>
      <c r="CE57" s="676">
        <f t="shared" si="28"/>
        <v>0</v>
      </c>
      <c r="CF57" s="677">
        <f t="shared" si="29"/>
        <v>0</v>
      </c>
      <c r="CG57" s="677">
        <f t="shared" si="72"/>
        <v>0</v>
      </c>
      <c r="CH57" s="678">
        <f t="shared" si="73"/>
        <v>0</v>
      </c>
      <c r="CI57" s="679">
        <f t="shared" si="74"/>
        <v>0</v>
      </c>
      <c r="CJ57" s="675"/>
      <c r="CK57" s="676">
        <f t="shared" si="30"/>
        <v>0</v>
      </c>
      <c r="CL57" s="677">
        <f t="shared" si="31"/>
        <v>0</v>
      </c>
      <c r="CM57" s="677">
        <f t="shared" si="75"/>
        <v>0</v>
      </c>
      <c r="CN57" s="678">
        <f t="shared" si="76"/>
        <v>0</v>
      </c>
      <c r="CO57" s="679">
        <f t="shared" si="77"/>
        <v>0</v>
      </c>
      <c r="CP57" s="675"/>
      <c r="CQ57" s="676">
        <f t="shared" si="32"/>
        <v>0</v>
      </c>
      <c r="CR57" s="677">
        <f t="shared" si="33"/>
        <v>0</v>
      </c>
      <c r="CS57" s="677">
        <f t="shared" si="78"/>
        <v>0</v>
      </c>
      <c r="CT57" s="678">
        <f t="shared" si="79"/>
        <v>0</v>
      </c>
      <c r="CU57" s="679">
        <f t="shared" si="80"/>
        <v>0</v>
      </c>
      <c r="CV57" s="680"/>
      <c r="CW57" s="681"/>
      <c r="CX57" s="682"/>
      <c r="CY57" s="682"/>
      <c r="CZ57" s="683"/>
      <c r="DA57" s="684"/>
      <c r="DB57" s="680"/>
      <c r="DC57" s="681"/>
      <c r="DD57" s="682"/>
      <c r="DE57" s="682"/>
      <c r="DF57" s="683"/>
      <c r="DG57" s="684"/>
      <c r="DH57" s="680"/>
      <c r="DI57" s="681"/>
      <c r="DJ57" s="682"/>
      <c r="DK57" s="682"/>
      <c r="DL57" s="683"/>
      <c r="DM57" s="684"/>
      <c r="DN57" s="680"/>
      <c r="DO57" s="681"/>
      <c r="DP57" s="682"/>
      <c r="DQ57" s="682"/>
      <c r="DR57" s="683"/>
      <c r="DS57" s="684"/>
      <c r="DT57" s="675"/>
      <c r="DU57" s="676">
        <f t="shared" si="34"/>
        <v>0</v>
      </c>
      <c r="DV57" s="677">
        <f t="shared" si="35"/>
        <v>0</v>
      </c>
      <c r="DW57" s="677">
        <f t="shared" si="81"/>
        <v>0</v>
      </c>
      <c r="DX57" s="678">
        <f t="shared" si="82"/>
        <v>0</v>
      </c>
      <c r="DY57" s="679">
        <f t="shared" si="83"/>
        <v>0</v>
      </c>
      <c r="DZ57" s="680"/>
      <c r="EA57" s="681"/>
      <c r="EB57" s="682"/>
      <c r="EC57" s="682"/>
      <c r="ED57" s="683"/>
      <c r="EE57" s="684"/>
      <c r="EF57" s="680"/>
      <c r="EG57" s="681"/>
      <c r="EH57" s="682"/>
      <c r="EI57" s="682"/>
      <c r="EJ57" s="683"/>
      <c r="EK57" s="684"/>
      <c r="EL57" s="680"/>
      <c r="EM57" s="681"/>
      <c r="EN57" s="682"/>
      <c r="EO57" s="682"/>
      <c r="EP57" s="683"/>
      <c r="EQ57" s="684"/>
      <c r="ER57" s="680"/>
      <c r="ES57" s="681"/>
      <c r="ET57" s="682"/>
      <c r="EU57" s="682"/>
      <c r="EV57" s="683"/>
      <c r="EW57" s="684"/>
      <c r="EX57" s="675"/>
      <c r="EY57" s="676">
        <f t="shared" si="36"/>
        <v>0</v>
      </c>
      <c r="EZ57" s="677">
        <f t="shared" si="37"/>
        <v>0</v>
      </c>
      <c r="FA57" s="677">
        <f t="shared" si="84"/>
        <v>0</v>
      </c>
      <c r="FB57" s="678">
        <f t="shared" si="85"/>
        <v>0</v>
      </c>
      <c r="FC57" s="679">
        <f t="shared" si="86"/>
        <v>0</v>
      </c>
      <c r="FD57" s="680"/>
      <c r="FE57" s="681"/>
      <c r="FF57" s="682"/>
      <c r="FG57" s="682"/>
      <c r="FH57" s="683"/>
      <c r="FI57" s="684"/>
      <c r="FJ57" s="680"/>
      <c r="FK57" s="681"/>
      <c r="FL57" s="682"/>
      <c r="FM57" s="682"/>
      <c r="FN57" s="683"/>
      <c r="FO57" s="684"/>
      <c r="FP57" s="680"/>
      <c r="FQ57" s="681"/>
      <c r="FR57" s="682"/>
      <c r="FS57" s="682"/>
      <c r="FT57" s="683"/>
      <c r="FU57" s="684"/>
      <c r="FV57" s="680"/>
      <c r="FW57" s="681"/>
      <c r="FX57" s="682"/>
      <c r="FY57" s="682"/>
      <c r="FZ57" s="683"/>
      <c r="GA57" s="684"/>
      <c r="GB57" s="675"/>
      <c r="GC57" s="676">
        <f t="shared" si="38"/>
        <v>0</v>
      </c>
      <c r="GD57" s="677">
        <f t="shared" si="39"/>
        <v>0</v>
      </c>
      <c r="GE57" s="677">
        <f t="shared" si="87"/>
        <v>0</v>
      </c>
      <c r="GF57" s="678">
        <f t="shared" si="88"/>
        <v>0</v>
      </c>
      <c r="GG57" s="679">
        <f t="shared" si="89"/>
        <v>0</v>
      </c>
      <c r="GH57" s="680"/>
      <c r="GI57" s="681"/>
      <c r="GJ57" s="682"/>
      <c r="GK57" s="682"/>
      <c r="GL57" s="683"/>
      <c r="GM57" s="684"/>
      <c r="GN57" s="680"/>
      <c r="GO57" s="681"/>
      <c r="GP57" s="682"/>
      <c r="GQ57" s="682"/>
      <c r="GR57" s="683"/>
      <c r="GS57" s="684"/>
      <c r="GT57" s="680"/>
      <c r="GU57" s="681"/>
      <c r="GV57" s="682"/>
      <c r="GW57" s="682"/>
      <c r="GX57" s="683"/>
      <c r="GY57" s="684"/>
      <c r="GZ57" s="680"/>
      <c r="HA57" s="147"/>
      <c r="HB57" s="148"/>
      <c r="HC57" s="148"/>
      <c r="HD57" s="149"/>
      <c r="HE57" s="150"/>
      <c r="HF57" s="8"/>
      <c r="HG57" s="502"/>
      <c r="HH57" s="502"/>
      <c r="HI57" s="502">
        <f t="shared" si="40"/>
        <v>1</v>
      </c>
      <c r="HJ57" s="8"/>
    </row>
    <row r="58" spans="2:218" ht="21" hidden="1">
      <c r="B58" s="488">
        <v>14</v>
      </c>
      <c r="C58" s="489" t="s">
        <v>298</v>
      </c>
      <c r="D58" s="490" t="s">
        <v>306</v>
      </c>
      <c r="E58" s="491" t="s">
        <v>307</v>
      </c>
      <c r="F58" s="492"/>
      <c r="G58" s="493"/>
      <c r="H58" s="146" t="s">
        <v>97</v>
      </c>
      <c r="I58" s="494" t="str">
        <f t="shared" si="4"/>
        <v>n.v.t.</v>
      </c>
      <c r="J58" s="495" t="s">
        <v>487</v>
      </c>
      <c r="K58" s="151">
        <v>0</v>
      </c>
      <c r="L58" s="256">
        <f>IF($C$5&lt;3000,(Bron!H47*$C$5)+Bron!I47,(Bron!M47*$C$5)+Bron!N47)</f>
        <v>0</v>
      </c>
      <c r="M58" s="256"/>
      <c r="N58" s="496">
        <f t="shared" si="41"/>
        <v>0</v>
      </c>
      <c r="O58" s="497" t="str">
        <f t="shared" si="5"/>
        <v/>
      </c>
      <c r="P58" s="257">
        <f>IF($C$5&lt;3000,$AN$32*Bron!J47,$AN$32*Bron!O47)</f>
        <v>0</v>
      </c>
      <c r="Q58" s="257">
        <f>IF($C$5&lt;3000,$AN$31*Bron!K47,$AN$31*Bron!P47)</f>
        <v>0</v>
      </c>
      <c r="R58" s="257">
        <f>IF($C$5&lt;3000,$AN$33*Bron!J47,$AN$33*Bron!O47)</f>
        <v>0</v>
      </c>
      <c r="S58" s="344"/>
      <c r="T58" s="258">
        <f t="shared" si="6"/>
        <v>0</v>
      </c>
      <c r="U58" s="259">
        <f t="shared" si="7"/>
        <v>0</v>
      </c>
      <c r="V58" s="675"/>
      <c r="W58" s="676">
        <f t="shared" si="8"/>
        <v>0</v>
      </c>
      <c r="X58" s="677">
        <f t="shared" si="9"/>
        <v>0</v>
      </c>
      <c r="Y58" s="677">
        <f t="shared" si="42"/>
        <v>0</v>
      </c>
      <c r="Z58" s="678">
        <f t="shared" si="43"/>
        <v>0</v>
      </c>
      <c r="AA58" s="679">
        <f t="shared" si="44"/>
        <v>0</v>
      </c>
      <c r="AB58" s="675"/>
      <c r="AC58" s="676">
        <f t="shared" si="10"/>
        <v>0</v>
      </c>
      <c r="AD58" s="677">
        <f t="shared" si="11"/>
        <v>0</v>
      </c>
      <c r="AE58" s="677">
        <f t="shared" si="45"/>
        <v>0</v>
      </c>
      <c r="AF58" s="678">
        <f t="shared" si="46"/>
        <v>0</v>
      </c>
      <c r="AG58" s="679">
        <f t="shared" si="47"/>
        <v>0</v>
      </c>
      <c r="AH58" s="675"/>
      <c r="AI58" s="676">
        <f t="shared" si="12"/>
        <v>0</v>
      </c>
      <c r="AJ58" s="677">
        <f t="shared" si="13"/>
        <v>0</v>
      </c>
      <c r="AK58" s="677">
        <f t="shared" si="48"/>
        <v>0</v>
      </c>
      <c r="AL58" s="678">
        <f t="shared" si="49"/>
        <v>0</v>
      </c>
      <c r="AM58" s="679">
        <f t="shared" si="50"/>
        <v>0</v>
      </c>
      <c r="AN58" s="675"/>
      <c r="AO58" s="676">
        <f t="shared" si="14"/>
        <v>0</v>
      </c>
      <c r="AP58" s="677">
        <f t="shared" si="15"/>
        <v>0</v>
      </c>
      <c r="AQ58" s="677">
        <f t="shared" si="51"/>
        <v>0</v>
      </c>
      <c r="AR58" s="678">
        <f t="shared" si="52"/>
        <v>0</v>
      </c>
      <c r="AS58" s="679">
        <f t="shared" si="53"/>
        <v>0</v>
      </c>
      <c r="AT58" s="675"/>
      <c r="AU58" s="676">
        <f t="shared" si="16"/>
        <v>0</v>
      </c>
      <c r="AV58" s="677">
        <f t="shared" si="17"/>
        <v>0</v>
      </c>
      <c r="AW58" s="677">
        <f t="shared" si="54"/>
        <v>0</v>
      </c>
      <c r="AX58" s="678">
        <f t="shared" si="55"/>
        <v>0</v>
      </c>
      <c r="AY58" s="679">
        <f t="shared" si="56"/>
        <v>0</v>
      </c>
      <c r="AZ58" s="675"/>
      <c r="BA58" s="676">
        <f t="shared" si="18"/>
        <v>0</v>
      </c>
      <c r="BB58" s="677">
        <f t="shared" si="19"/>
        <v>0</v>
      </c>
      <c r="BC58" s="677">
        <f t="shared" si="57"/>
        <v>0</v>
      </c>
      <c r="BD58" s="678">
        <f t="shared" si="58"/>
        <v>0</v>
      </c>
      <c r="BE58" s="679">
        <f t="shared" si="59"/>
        <v>0</v>
      </c>
      <c r="BF58" s="675"/>
      <c r="BG58" s="676">
        <f t="shared" si="20"/>
        <v>0</v>
      </c>
      <c r="BH58" s="677">
        <f t="shared" si="21"/>
        <v>0</v>
      </c>
      <c r="BI58" s="677">
        <f t="shared" si="60"/>
        <v>0</v>
      </c>
      <c r="BJ58" s="678">
        <f t="shared" si="61"/>
        <v>0</v>
      </c>
      <c r="BK58" s="679">
        <f t="shared" si="62"/>
        <v>0</v>
      </c>
      <c r="BL58" s="675"/>
      <c r="BM58" s="676">
        <f t="shared" si="22"/>
        <v>0</v>
      </c>
      <c r="BN58" s="677">
        <f t="shared" si="23"/>
        <v>0</v>
      </c>
      <c r="BO58" s="677">
        <f t="shared" si="63"/>
        <v>0</v>
      </c>
      <c r="BP58" s="678">
        <f t="shared" si="64"/>
        <v>0</v>
      </c>
      <c r="BQ58" s="679">
        <f t="shared" si="65"/>
        <v>0</v>
      </c>
      <c r="BR58" s="675"/>
      <c r="BS58" s="676">
        <f t="shared" si="24"/>
        <v>0</v>
      </c>
      <c r="BT58" s="677">
        <f t="shared" si="25"/>
        <v>0</v>
      </c>
      <c r="BU58" s="677">
        <f t="shared" si="66"/>
        <v>0</v>
      </c>
      <c r="BV58" s="678">
        <f t="shared" si="67"/>
        <v>0</v>
      </c>
      <c r="BW58" s="679">
        <f t="shared" si="68"/>
        <v>0</v>
      </c>
      <c r="BX58" s="675"/>
      <c r="BY58" s="676">
        <f t="shared" si="26"/>
        <v>0</v>
      </c>
      <c r="BZ58" s="677">
        <f t="shared" si="27"/>
        <v>0</v>
      </c>
      <c r="CA58" s="677">
        <f t="shared" si="69"/>
        <v>0</v>
      </c>
      <c r="CB58" s="678">
        <f t="shared" si="70"/>
        <v>0</v>
      </c>
      <c r="CC58" s="679">
        <f t="shared" si="71"/>
        <v>0</v>
      </c>
      <c r="CD58" s="675"/>
      <c r="CE58" s="676">
        <f t="shared" si="28"/>
        <v>0</v>
      </c>
      <c r="CF58" s="677">
        <f t="shared" si="29"/>
        <v>0</v>
      </c>
      <c r="CG58" s="677">
        <f t="shared" si="72"/>
        <v>0</v>
      </c>
      <c r="CH58" s="678">
        <f t="shared" si="73"/>
        <v>0</v>
      </c>
      <c r="CI58" s="679">
        <f t="shared" si="74"/>
        <v>0</v>
      </c>
      <c r="CJ58" s="675"/>
      <c r="CK58" s="676">
        <f t="shared" si="30"/>
        <v>0</v>
      </c>
      <c r="CL58" s="677">
        <f t="shared" si="31"/>
        <v>0</v>
      </c>
      <c r="CM58" s="677">
        <f t="shared" si="75"/>
        <v>0</v>
      </c>
      <c r="CN58" s="678">
        <f t="shared" si="76"/>
        <v>0</v>
      </c>
      <c r="CO58" s="679">
        <f t="shared" si="77"/>
        <v>0</v>
      </c>
      <c r="CP58" s="675"/>
      <c r="CQ58" s="676">
        <f t="shared" si="32"/>
        <v>0</v>
      </c>
      <c r="CR58" s="677">
        <f t="shared" si="33"/>
        <v>0</v>
      </c>
      <c r="CS58" s="677">
        <f t="shared" si="78"/>
        <v>0</v>
      </c>
      <c r="CT58" s="678">
        <f t="shared" si="79"/>
        <v>0</v>
      </c>
      <c r="CU58" s="679">
        <f t="shared" si="80"/>
        <v>0</v>
      </c>
      <c r="CV58" s="680"/>
      <c r="CW58" s="681"/>
      <c r="CX58" s="682"/>
      <c r="CY58" s="682"/>
      <c r="CZ58" s="683"/>
      <c r="DA58" s="684"/>
      <c r="DB58" s="680"/>
      <c r="DC58" s="681"/>
      <c r="DD58" s="682"/>
      <c r="DE58" s="682"/>
      <c r="DF58" s="683"/>
      <c r="DG58" s="684"/>
      <c r="DH58" s="680"/>
      <c r="DI58" s="681"/>
      <c r="DJ58" s="682"/>
      <c r="DK58" s="682"/>
      <c r="DL58" s="683"/>
      <c r="DM58" s="684"/>
      <c r="DN58" s="680"/>
      <c r="DO58" s="681"/>
      <c r="DP58" s="682"/>
      <c r="DQ58" s="682"/>
      <c r="DR58" s="683"/>
      <c r="DS58" s="684"/>
      <c r="DT58" s="675"/>
      <c r="DU58" s="676">
        <f t="shared" si="34"/>
        <v>0</v>
      </c>
      <c r="DV58" s="677">
        <f t="shared" si="35"/>
        <v>0</v>
      </c>
      <c r="DW58" s="677">
        <f t="shared" si="81"/>
        <v>0</v>
      </c>
      <c r="DX58" s="678">
        <f t="shared" si="82"/>
        <v>0</v>
      </c>
      <c r="DY58" s="679">
        <f t="shared" si="83"/>
        <v>0</v>
      </c>
      <c r="DZ58" s="680"/>
      <c r="EA58" s="681"/>
      <c r="EB58" s="682"/>
      <c r="EC58" s="682"/>
      <c r="ED58" s="683"/>
      <c r="EE58" s="684"/>
      <c r="EF58" s="680"/>
      <c r="EG58" s="681"/>
      <c r="EH58" s="682"/>
      <c r="EI58" s="682"/>
      <c r="EJ58" s="683"/>
      <c r="EK58" s="684"/>
      <c r="EL58" s="680"/>
      <c r="EM58" s="681"/>
      <c r="EN58" s="682"/>
      <c r="EO58" s="682"/>
      <c r="EP58" s="683"/>
      <c r="EQ58" s="684"/>
      <c r="ER58" s="680"/>
      <c r="ES58" s="681"/>
      <c r="ET58" s="682"/>
      <c r="EU58" s="682"/>
      <c r="EV58" s="683"/>
      <c r="EW58" s="684"/>
      <c r="EX58" s="675"/>
      <c r="EY58" s="676">
        <f t="shared" si="36"/>
        <v>0</v>
      </c>
      <c r="EZ58" s="677">
        <f t="shared" si="37"/>
        <v>0</v>
      </c>
      <c r="FA58" s="677">
        <f t="shared" si="84"/>
        <v>0</v>
      </c>
      <c r="FB58" s="678">
        <f t="shared" si="85"/>
        <v>0</v>
      </c>
      <c r="FC58" s="679">
        <f t="shared" si="86"/>
        <v>0</v>
      </c>
      <c r="FD58" s="680"/>
      <c r="FE58" s="681"/>
      <c r="FF58" s="682"/>
      <c r="FG58" s="682"/>
      <c r="FH58" s="683"/>
      <c r="FI58" s="684"/>
      <c r="FJ58" s="680"/>
      <c r="FK58" s="681"/>
      <c r="FL58" s="682"/>
      <c r="FM58" s="682"/>
      <c r="FN58" s="683"/>
      <c r="FO58" s="684"/>
      <c r="FP58" s="680"/>
      <c r="FQ58" s="681"/>
      <c r="FR58" s="682"/>
      <c r="FS58" s="682"/>
      <c r="FT58" s="683"/>
      <c r="FU58" s="684"/>
      <c r="FV58" s="680"/>
      <c r="FW58" s="681"/>
      <c r="FX58" s="682"/>
      <c r="FY58" s="682"/>
      <c r="FZ58" s="683"/>
      <c r="GA58" s="684"/>
      <c r="GB58" s="675"/>
      <c r="GC58" s="676">
        <f t="shared" si="38"/>
        <v>0</v>
      </c>
      <c r="GD58" s="677">
        <f t="shared" si="39"/>
        <v>0</v>
      </c>
      <c r="GE58" s="677">
        <f t="shared" si="87"/>
        <v>0</v>
      </c>
      <c r="GF58" s="678">
        <f t="shared" si="88"/>
        <v>0</v>
      </c>
      <c r="GG58" s="679">
        <f t="shared" si="89"/>
        <v>0</v>
      </c>
      <c r="GH58" s="680"/>
      <c r="GI58" s="681"/>
      <c r="GJ58" s="682"/>
      <c r="GK58" s="682"/>
      <c r="GL58" s="683"/>
      <c r="GM58" s="684"/>
      <c r="GN58" s="680"/>
      <c r="GO58" s="681"/>
      <c r="GP58" s="682"/>
      <c r="GQ58" s="682"/>
      <c r="GR58" s="683"/>
      <c r="GS58" s="684"/>
      <c r="GT58" s="680"/>
      <c r="GU58" s="681"/>
      <c r="GV58" s="682"/>
      <c r="GW58" s="682"/>
      <c r="GX58" s="683"/>
      <c r="GY58" s="684"/>
      <c r="GZ58" s="680"/>
      <c r="HA58" s="147"/>
      <c r="HB58" s="148"/>
      <c r="HC58" s="148"/>
      <c r="HD58" s="149"/>
      <c r="HE58" s="150"/>
      <c r="HF58" s="8"/>
      <c r="HG58" s="502"/>
      <c r="HH58" s="502"/>
      <c r="HI58" s="502">
        <f t="shared" si="40"/>
        <v>1</v>
      </c>
      <c r="HJ58" s="8"/>
    </row>
    <row r="59" spans="2:218" ht="21" hidden="1">
      <c r="B59" s="488">
        <v>15</v>
      </c>
      <c r="C59" s="489" t="s">
        <v>298</v>
      </c>
      <c r="D59" s="490" t="s">
        <v>308</v>
      </c>
      <c r="E59" s="491" t="s">
        <v>309</v>
      </c>
      <c r="F59" s="492"/>
      <c r="G59" s="493"/>
      <c r="H59" s="146" t="s">
        <v>97</v>
      </c>
      <c r="I59" s="494" t="str">
        <f t="shared" si="4"/>
        <v>n.v.t.</v>
      </c>
      <c r="J59" s="495" t="s">
        <v>487</v>
      </c>
      <c r="K59" s="151">
        <v>0</v>
      </c>
      <c r="L59" s="256">
        <f>IF($C$5&lt;3000,(Bron!H48*$C$5)+Bron!I48,(Bron!M48*$C$5)+Bron!N48)</f>
        <v>0</v>
      </c>
      <c r="M59" s="256"/>
      <c r="N59" s="496">
        <f t="shared" si="41"/>
        <v>0</v>
      </c>
      <c r="O59" s="497" t="str">
        <f t="shared" si="5"/>
        <v/>
      </c>
      <c r="P59" s="257">
        <f>IF($C$5&lt;3000,$AN$32*Bron!J48,$AN$32*Bron!O48)</f>
        <v>0</v>
      </c>
      <c r="Q59" s="257">
        <f>IF($C$5&lt;3000,$AN$31*Bron!K48,$AN$31*Bron!P48)</f>
        <v>0</v>
      </c>
      <c r="R59" s="257">
        <f>IF($C$5&lt;3000,$AN$33*Bron!J48,$AN$33*Bron!O48)</f>
        <v>0</v>
      </c>
      <c r="S59" s="344"/>
      <c r="T59" s="258">
        <f t="shared" si="6"/>
        <v>0</v>
      </c>
      <c r="U59" s="259">
        <f t="shared" si="7"/>
        <v>0</v>
      </c>
      <c r="V59" s="675"/>
      <c r="W59" s="676">
        <f t="shared" si="8"/>
        <v>0</v>
      </c>
      <c r="X59" s="677">
        <f t="shared" si="9"/>
        <v>0</v>
      </c>
      <c r="Y59" s="677">
        <f t="shared" si="42"/>
        <v>0</v>
      </c>
      <c r="Z59" s="678">
        <f t="shared" si="43"/>
        <v>0</v>
      </c>
      <c r="AA59" s="679">
        <f t="shared" si="44"/>
        <v>0</v>
      </c>
      <c r="AB59" s="675"/>
      <c r="AC59" s="676">
        <f t="shared" si="10"/>
        <v>0</v>
      </c>
      <c r="AD59" s="677">
        <f t="shared" si="11"/>
        <v>0</v>
      </c>
      <c r="AE59" s="677">
        <f t="shared" si="45"/>
        <v>0</v>
      </c>
      <c r="AF59" s="678">
        <f t="shared" si="46"/>
        <v>0</v>
      </c>
      <c r="AG59" s="679">
        <f t="shared" si="47"/>
        <v>0</v>
      </c>
      <c r="AH59" s="675"/>
      <c r="AI59" s="676">
        <f t="shared" si="12"/>
        <v>0</v>
      </c>
      <c r="AJ59" s="677">
        <f t="shared" si="13"/>
        <v>0</v>
      </c>
      <c r="AK59" s="677">
        <f t="shared" si="48"/>
        <v>0</v>
      </c>
      <c r="AL59" s="678">
        <f t="shared" si="49"/>
        <v>0</v>
      </c>
      <c r="AM59" s="679">
        <f t="shared" si="50"/>
        <v>0</v>
      </c>
      <c r="AN59" s="675"/>
      <c r="AO59" s="676">
        <f t="shared" si="14"/>
        <v>0</v>
      </c>
      <c r="AP59" s="677">
        <f t="shared" si="15"/>
        <v>0</v>
      </c>
      <c r="AQ59" s="677">
        <f t="shared" si="51"/>
        <v>0</v>
      </c>
      <c r="AR59" s="678">
        <f t="shared" si="52"/>
        <v>0</v>
      </c>
      <c r="AS59" s="679">
        <f t="shared" si="53"/>
        <v>0</v>
      </c>
      <c r="AT59" s="675"/>
      <c r="AU59" s="676">
        <f t="shared" si="16"/>
        <v>0</v>
      </c>
      <c r="AV59" s="677">
        <f t="shared" si="17"/>
        <v>0</v>
      </c>
      <c r="AW59" s="677">
        <f t="shared" si="54"/>
        <v>0</v>
      </c>
      <c r="AX59" s="678">
        <f t="shared" si="55"/>
        <v>0</v>
      </c>
      <c r="AY59" s="679">
        <f t="shared" si="56"/>
        <v>0</v>
      </c>
      <c r="AZ59" s="675"/>
      <c r="BA59" s="676">
        <f t="shared" si="18"/>
        <v>0</v>
      </c>
      <c r="BB59" s="677">
        <f t="shared" si="19"/>
        <v>0</v>
      </c>
      <c r="BC59" s="677">
        <f t="shared" si="57"/>
        <v>0</v>
      </c>
      <c r="BD59" s="678">
        <f t="shared" si="58"/>
        <v>0</v>
      </c>
      <c r="BE59" s="679">
        <f t="shared" si="59"/>
        <v>0</v>
      </c>
      <c r="BF59" s="675"/>
      <c r="BG59" s="676">
        <f t="shared" si="20"/>
        <v>0</v>
      </c>
      <c r="BH59" s="677">
        <f t="shared" si="21"/>
        <v>0</v>
      </c>
      <c r="BI59" s="677">
        <f t="shared" si="60"/>
        <v>0</v>
      </c>
      <c r="BJ59" s="678">
        <f t="shared" si="61"/>
        <v>0</v>
      </c>
      <c r="BK59" s="679">
        <f t="shared" si="62"/>
        <v>0</v>
      </c>
      <c r="BL59" s="675"/>
      <c r="BM59" s="676">
        <f t="shared" si="22"/>
        <v>0</v>
      </c>
      <c r="BN59" s="677">
        <f t="shared" si="23"/>
        <v>0</v>
      </c>
      <c r="BO59" s="677">
        <f t="shared" si="63"/>
        <v>0</v>
      </c>
      <c r="BP59" s="678">
        <f t="shared" si="64"/>
        <v>0</v>
      </c>
      <c r="BQ59" s="679">
        <f t="shared" si="65"/>
        <v>0</v>
      </c>
      <c r="BR59" s="675"/>
      <c r="BS59" s="676">
        <f t="shared" si="24"/>
        <v>0</v>
      </c>
      <c r="BT59" s="677">
        <f t="shared" si="25"/>
        <v>0</v>
      </c>
      <c r="BU59" s="677">
        <f t="shared" si="66"/>
        <v>0</v>
      </c>
      <c r="BV59" s="678">
        <f t="shared" si="67"/>
        <v>0</v>
      </c>
      <c r="BW59" s="679">
        <f t="shared" si="68"/>
        <v>0</v>
      </c>
      <c r="BX59" s="675"/>
      <c r="BY59" s="676">
        <f t="shared" si="26"/>
        <v>0</v>
      </c>
      <c r="BZ59" s="677">
        <f t="shared" si="27"/>
        <v>0</v>
      </c>
      <c r="CA59" s="677">
        <f t="shared" si="69"/>
        <v>0</v>
      </c>
      <c r="CB59" s="678">
        <f t="shared" si="70"/>
        <v>0</v>
      </c>
      <c r="CC59" s="679">
        <f t="shared" si="71"/>
        <v>0</v>
      </c>
      <c r="CD59" s="675"/>
      <c r="CE59" s="676">
        <f t="shared" si="28"/>
        <v>0</v>
      </c>
      <c r="CF59" s="677">
        <f t="shared" si="29"/>
        <v>0</v>
      </c>
      <c r="CG59" s="677">
        <f t="shared" si="72"/>
        <v>0</v>
      </c>
      <c r="CH59" s="678">
        <f t="shared" si="73"/>
        <v>0</v>
      </c>
      <c r="CI59" s="679">
        <f t="shared" si="74"/>
        <v>0</v>
      </c>
      <c r="CJ59" s="675"/>
      <c r="CK59" s="676">
        <f t="shared" si="30"/>
        <v>0</v>
      </c>
      <c r="CL59" s="677">
        <f t="shared" si="31"/>
        <v>0</v>
      </c>
      <c r="CM59" s="677">
        <f t="shared" si="75"/>
        <v>0</v>
      </c>
      <c r="CN59" s="678">
        <f t="shared" si="76"/>
        <v>0</v>
      </c>
      <c r="CO59" s="679">
        <f t="shared" si="77"/>
        <v>0</v>
      </c>
      <c r="CP59" s="675"/>
      <c r="CQ59" s="676">
        <f t="shared" si="32"/>
        <v>0</v>
      </c>
      <c r="CR59" s="677">
        <f t="shared" si="33"/>
        <v>0</v>
      </c>
      <c r="CS59" s="677">
        <f t="shared" si="78"/>
        <v>0</v>
      </c>
      <c r="CT59" s="678">
        <f t="shared" si="79"/>
        <v>0</v>
      </c>
      <c r="CU59" s="679">
        <f t="shared" si="80"/>
        <v>0</v>
      </c>
      <c r="CV59" s="680"/>
      <c r="CW59" s="681"/>
      <c r="CX59" s="682"/>
      <c r="CY59" s="682"/>
      <c r="CZ59" s="683"/>
      <c r="DA59" s="684"/>
      <c r="DB59" s="680"/>
      <c r="DC59" s="681"/>
      <c r="DD59" s="682"/>
      <c r="DE59" s="682"/>
      <c r="DF59" s="683"/>
      <c r="DG59" s="684"/>
      <c r="DH59" s="680"/>
      <c r="DI59" s="681"/>
      <c r="DJ59" s="682"/>
      <c r="DK59" s="682"/>
      <c r="DL59" s="683"/>
      <c r="DM59" s="684"/>
      <c r="DN59" s="680"/>
      <c r="DO59" s="681"/>
      <c r="DP59" s="682"/>
      <c r="DQ59" s="682"/>
      <c r="DR59" s="683"/>
      <c r="DS59" s="684"/>
      <c r="DT59" s="675"/>
      <c r="DU59" s="676">
        <f t="shared" si="34"/>
        <v>0</v>
      </c>
      <c r="DV59" s="677">
        <f t="shared" si="35"/>
        <v>0</v>
      </c>
      <c r="DW59" s="677">
        <f t="shared" si="81"/>
        <v>0</v>
      </c>
      <c r="DX59" s="678">
        <f t="shared" si="82"/>
        <v>0</v>
      </c>
      <c r="DY59" s="679">
        <f t="shared" si="83"/>
        <v>0</v>
      </c>
      <c r="DZ59" s="680"/>
      <c r="EA59" s="681"/>
      <c r="EB59" s="682"/>
      <c r="EC59" s="682"/>
      <c r="ED59" s="683"/>
      <c r="EE59" s="684"/>
      <c r="EF59" s="680"/>
      <c r="EG59" s="681"/>
      <c r="EH59" s="682"/>
      <c r="EI59" s="682"/>
      <c r="EJ59" s="683"/>
      <c r="EK59" s="684"/>
      <c r="EL59" s="680"/>
      <c r="EM59" s="681"/>
      <c r="EN59" s="682"/>
      <c r="EO59" s="682"/>
      <c r="EP59" s="683"/>
      <c r="EQ59" s="684"/>
      <c r="ER59" s="680"/>
      <c r="ES59" s="681"/>
      <c r="ET59" s="682"/>
      <c r="EU59" s="682"/>
      <c r="EV59" s="683"/>
      <c r="EW59" s="684"/>
      <c r="EX59" s="675"/>
      <c r="EY59" s="676">
        <f t="shared" si="36"/>
        <v>0</v>
      </c>
      <c r="EZ59" s="677">
        <f t="shared" si="37"/>
        <v>0</v>
      </c>
      <c r="FA59" s="677">
        <f t="shared" si="84"/>
        <v>0</v>
      </c>
      <c r="FB59" s="678">
        <f t="shared" si="85"/>
        <v>0</v>
      </c>
      <c r="FC59" s="679">
        <f t="shared" si="86"/>
        <v>0</v>
      </c>
      <c r="FD59" s="680"/>
      <c r="FE59" s="681"/>
      <c r="FF59" s="682"/>
      <c r="FG59" s="682"/>
      <c r="FH59" s="683"/>
      <c r="FI59" s="684"/>
      <c r="FJ59" s="680"/>
      <c r="FK59" s="681"/>
      <c r="FL59" s="682"/>
      <c r="FM59" s="682"/>
      <c r="FN59" s="683"/>
      <c r="FO59" s="684"/>
      <c r="FP59" s="680"/>
      <c r="FQ59" s="681"/>
      <c r="FR59" s="682"/>
      <c r="FS59" s="682"/>
      <c r="FT59" s="683"/>
      <c r="FU59" s="684"/>
      <c r="FV59" s="680"/>
      <c r="FW59" s="681"/>
      <c r="FX59" s="682"/>
      <c r="FY59" s="682"/>
      <c r="FZ59" s="683"/>
      <c r="GA59" s="684"/>
      <c r="GB59" s="675"/>
      <c r="GC59" s="676">
        <f t="shared" si="38"/>
        <v>0</v>
      </c>
      <c r="GD59" s="677">
        <f t="shared" si="39"/>
        <v>0</v>
      </c>
      <c r="GE59" s="677">
        <f t="shared" si="87"/>
        <v>0</v>
      </c>
      <c r="GF59" s="678">
        <f t="shared" si="88"/>
        <v>0</v>
      </c>
      <c r="GG59" s="679">
        <f t="shared" si="89"/>
        <v>0</v>
      </c>
      <c r="GH59" s="680"/>
      <c r="GI59" s="681"/>
      <c r="GJ59" s="682"/>
      <c r="GK59" s="682"/>
      <c r="GL59" s="683"/>
      <c r="GM59" s="684"/>
      <c r="GN59" s="680"/>
      <c r="GO59" s="681"/>
      <c r="GP59" s="682"/>
      <c r="GQ59" s="682"/>
      <c r="GR59" s="683"/>
      <c r="GS59" s="684"/>
      <c r="GT59" s="680"/>
      <c r="GU59" s="681"/>
      <c r="GV59" s="682"/>
      <c r="GW59" s="682"/>
      <c r="GX59" s="683"/>
      <c r="GY59" s="684"/>
      <c r="GZ59" s="680"/>
      <c r="HA59" s="147"/>
      <c r="HB59" s="148"/>
      <c r="HC59" s="148"/>
      <c r="HD59" s="149"/>
      <c r="HE59" s="150"/>
      <c r="HF59" s="8"/>
      <c r="HG59" s="502"/>
      <c r="HH59" s="502"/>
      <c r="HI59" s="502">
        <f t="shared" si="40"/>
        <v>1</v>
      </c>
      <c r="HJ59" s="8"/>
    </row>
    <row r="60" spans="2:218" ht="21" hidden="1">
      <c r="B60" s="488">
        <v>16</v>
      </c>
      <c r="C60" s="489" t="s">
        <v>298</v>
      </c>
      <c r="D60" s="490" t="s">
        <v>310</v>
      </c>
      <c r="E60" s="491" t="s">
        <v>408</v>
      </c>
      <c r="F60" s="492"/>
      <c r="G60" s="493"/>
      <c r="H60" s="146" t="s">
        <v>97</v>
      </c>
      <c r="I60" s="494" t="str">
        <f t="shared" si="4"/>
        <v>n.v.t.</v>
      </c>
      <c r="J60" s="495" t="s">
        <v>487</v>
      </c>
      <c r="K60" s="151">
        <v>0</v>
      </c>
      <c r="L60" s="256">
        <f>IF($C$5&lt;3000,(Bron!H49*$C$5)+Bron!I49,(Bron!M49*$C$5)+Bron!N49)</f>
        <v>0</v>
      </c>
      <c r="M60" s="256"/>
      <c r="N60" s="496">
        <f t="shared" si="41"/>
        <v>0</v>
      </c>
      <c r="O60" s="497" t="str">
        <f t="shared" si="5"/>
        <v/>
      </c>
      <c r="P60" s="257">
        <f>IF($C$5&lt;3000,$AN$32*Bron!J49,$AN$32*Bron!O49)</f>
        <v>0</v>
      </c>
      <c r="Q60" s="257">
        <f>IF($C$5&lt;3000,$AN$31*Bron!K49,$AN$31*Bron!P49)</f>
        <v>0</v>
      </c>
      <c r="R60" s="257">
        <f>IF($C$5&lt;3000,$AN$33*Bron!J49,$AN$33*Bron!O49)</f>
        <v>0</v>
      </c>
      <c r="S60" s="344"/>
      <c r="T60" s="258">
        <f t="shared" si="6"/>
        <v>0</v>
      </c>
      <c r="U60" s="259">
        <f t="shared" si="7"/>
        <v>0</v>
      </c>
      <c r="V60" s="675"/>
      <c r="W60" s="676">
        <f t="shared" si="8"/>
        <v>0</v>
      </c>
      <c r="X60" s="677">
        <f t="shared" si="9"/>
        <v>0</v>
      </c>
      <c r="Y60" s="677">
        <f t="shared" si="42"/>
        <v>0</v>
      </c>
      <c r="Z60" s="678">
        <f t="shared" si="43"/>
        <v>0</v>
      </c>
      <c r="AA60" s="679">
        <f t="shared" si="44"/>
        <v>0</v>
      </c>
      <c r="AB60" s="675"/>
      <c r="AC60" s="676">
        <f t="shared" si="10"/>
        <v>0</v>
      </c>
      <c r="AD60" s="677">
        <f t="shared" si="11"/>
        <v>0</v>
      </c>
      <c r="AE60" s="677">
        <f t="shared" si="45"/>
        <v>0</v>
      </c>
      <c r="AF60" s="678">
        <f t="shared" si="46"/>
        <v>0</v>
      </c>
      <c r="AG60" s="679">
        <f t="shared" si="47"/>
        <v>0</v>
      </c>
      <c r="AH60" s="675"/>
      <c r="AI60" s="676">
        <f t="shared" si="12"/>
        <v>0</v>
      </c>
      <c r="AJ60" s="677">
        <f t="shared" si="13"/>
        <v>0</v>
      </c>
      <c r="AK60" s="677">
        <f t="shared" si="48"/>
        <v>0</v>
      </c>
      <c r="AL60" s="678">
        <f t="shared" si="49"/>
        <v>0</v>
      </c>
      <c r="AM60" s="679">
        <f t="shared" si="50"/>
        <v>0</v>
      </c>
      <c r="AN60" s="675"/>
      <c r="AO60" s="676">
        <f t="shared" si="14"/>
        <v>0</v>
      </c>
      <c r="AP60" s="677">
        <f t="shared" si="15"/>
        <v>0</v>
      </c>
      <c r="AQ60" s="677">
        <f t="shared" si="51"/>
        <v>0</v>
      </c>
      <c r="AR60" s="678">
        <f t="shared" si="52"/>
        <v>0</v>
      </c>
      <c r="AS60" s="679">
        <f t="shared" si="53"/>
        <v>0</v>
      </c>
      <c r="AT60" s="675"/>
      <c r="AU60" s="676">
        <f t="shared" si="16"/>
        <v>0</v>
      </c>
      <c r="AV60" s="677">
        <f t="shared" si="17"/>
        <v>0</v>
      </c>
      <c r="AW60" s="677">
        <f t="shared" si="54"/>
        <v>0</v>
      </c>
      <c r="AX60" s="678">
        <f t="shared" si="55"/>
        <v>0</v>
      </c>
      <c r="AY60" s="679">
        <f t="shared" si="56"/>
        <v>0</v>
      </c>
      <c r="AZ60" s="675"/>
      <c r="BA60" s="676">
        <f t="shared" si="18"/>
        <v>0</v>
      </c>
      <c r="BB60" s="677">
        <f t="shared" si="19"/>
        <v>0</v>
      </c>
      <c r="BC60" s="677">
        <f t="shared" si="57"/>
        <v>0</v>
      </c>
      <c r="BD60" s="678">
        <f t="shared" si="58"/>
        <v>0</v>
      </c>
      <c r="BE60" s="679">
        <f t="shared" si="59"/>
        <v>0</v>
      </c>
      <c r="BF60" s="675"/>
      <c r="BG60" s="676">
        <f t="shared" si="20"/>
        <v>0</v>
      </c>
      <c r="BH60" s="677">
        <f t="shared" si="21"/>
        <v>0</v>
      </c>
      <c r="BI60" s="677">
        <f t="shared" si="60"/>
        <v>0</v>
      </c>
      <c r="BJ60" s="678">
        <f t="shared" si="61"/>
        <v>0</v>
      </c>
      <c r="BK60" s="679">
        <f t="shared" si="62"/>
        <v>0</v>
      </c>
      <c r="BL60" s="675"/>
      <c r="BM60" s="676">
        <f t="shared" si="22"/>
        <v>0</v>
      </c>
      <c r="BN60" s="677">
        <f t="shared" si="23"/>
        <v>0</v>
      </c>
      <c r="BO60" s="677">
        <f t="shared" si="63"/>
        <v>0</v>
      </c>
      <c r="BP60" s="678">
        <f t="shared" si="64"/>
        <v>0</v>
      </c>
      <c r="BQ60" s="679">
        <f t="shared" si="65"/>
        <v>0</v>
      </c>
      <c r="BR60" s="675"/>
      <c r="BS60" s="676">
        <f t="shared" si="24"/>
        <v>0</v>
      </c>
      <c r="BT60" s="677">
        <f t="shared" si="25"/>
        <v>0</v>
      </c>
      <c r="BU60" s="677">
        <f t="shared" si="66"/>
        <v>0</v>
      </c>
      <c r="BV60" s="678">
        <f t="shared" si="67"/>
        <v>0</v>
      </c>
      <c r="BW60" s="679">
        <f t="shared" si="68"/>
        <v>0</v>
      </c>
      <c r="BX60" s="675"/>
      <c r="BY60" s="676">
        <f t="shared" si="26"/>
        <v>0</v>
      </c>
      <c r="BZ60" s="677">
        <f t="shared" si="27"/>
        <v>0</v>
      </c>
      <c r="CA60" s="677">
        <f t="shared" si="69"/>
        <v>0</v>
      </c>
      <c r="CB60" s="678">
        <f t="shared" si="70"/>
        <v>0</v>
      </c>
      <c r="CC60" s="679">
        <f t="shared" si="71"/>
        <v>0</v>
      </c>
      <c r="CD60" s="675"/>
      <c r="CE60" s="676">
        <f t="shared" si="28"/>
        <v>0</v>
      </c>
      <c r="CF60" s="677">
        <f t="shared" si="29"/>
        <v>0</v>
      </c>
      <c r="CG60" s="677">
        <f t="shared" si="72"/>
        <v>0</v>
      </c>
      <c r="CH60" s="678">
        <f t="shared" si="73"/>
        <v>0</v>
      </c>
      <c r="CI60" s="679">
        <f t="shared" si="74"/>
        <v>0</v>
      </c>
      <c r="CJ60" s="675"/>
      <c r="CK60" s="676">
        <f t="shared" si="30"/>
        <v>0</v>
      </c>
      <c r="CL60" s="677">
        <f t="shared" si="31"/>
        <v>0</v>
      </c>
      <c r="CM60" s="677">
        <f t="shared" si="75"/>
        <v>0</v>
      </c>
      <c r="CN60" s="678">
        <f t="shared" si="76"/>
        <v>0</v>
      </c>
      <c r="CO60" s="679">
        <f t="shared" si="77"/>
        <v>0</v>
      </c>
      <c r="CP60" s="675"/>
      <c r="CQ60" s="676">
        <f t="shared" si="32"/>
        <v>0</v>
      </c>
      <c r="CR60" s="677">
        <f t="shared" si="33"/>
        <v>0</v>
      </c>
      <c r="CS60" s="677">
        <f t="shared" si="78"/>
        <v>0</v>
      </c>
      <c r="CT60" s="678">
        <f t="shared" si="79"/>
        <v>0</v>
      </c>
      <c r="CU60" s="679">
        <f t="shared" si="80"/>
        <v>0</v>
      </c>
      <c r="CV60" s="680"/>
      <c r="CW60" s="681"/>
      <c r="CX60" s="682"/>
      <c r="CY60" s="682"/>
      <c r="CZ60" s="683"/>
      <c r="DA60" s="684"/>
      <c r="DB60" s="680"/>
      <c r="DC60" s="681"/>
      <c r="DD60" s="682"/>
      <c r="DE60" s="682"/>
      <c r="DF60" s="683"/>
      <c r="DG60" s="684"/>
      <c r="DH60" s="680"/>
      <c r="DI60" s="681"/>
      <c r="DJ60" s="682"/>
      <c r="DK60" s="682"/>
      <c r="DL60" s="683"/>
      <c r="DM60" s="684"/>
      <c r="DN60" s="680"/>
      <c r="DO60" s="681"/>
      <c r="DP60" s="682"/>
      <c r="DQ60" s="682"/>
      <c r="DR60" s="683"/>
      <c r="DS60" s="684"/>
      <c r="DT60" s="675"/>
      <c r="DU60" s="676">
        <f t="shared" si="34"/>
        <v>0</v>
      </c>
      <c r="DV60" s="677">
        <f t="shared" si="35"/>
        <v>0</v>
      </c>
      <c r="DW60" s="677">
        <f t="shared" si="81"/>
        <v>0</v>
      </c>
      <c r="DX60" s="678">
        <f t="shared" si="82"/>
        <v>0</v>
      </c>
      <c r="DY60" s="679">
        <f t="shared" si="83"/>
        <v>0</v>
      </c>
      <c r="DZ60" s="680"/>
      <c r="EA60" s="681"/>
      <c r="EB60" s="682"/>
      <c r="EC60" s="682"/>
      <c r="ED60" s="683"/>
      <c r="EE60" s="684"/>
      <c r="EF60" s="680"/>
      <c r="EG60" s="681"/>
      <c r="EH60" s="682"/>
      <c r="EI60" s="682"/>
      <c r="EJ60" s="683"/>
      <c r="EK60" s="684"/>
      <c r="EL60" s="680"/>
      <c r="EM60" s="681"/>
      <c r="EN60" s="682"/>
      <c r="EO60" s="682"/>
      <c r="EP60" s="683"/>
      <c r="EQ60" s="684"/>
      <c r="ER60" s="680"/>
      <c r="ES60" s="681"/>
      <c r="ET60" s="682"/>
      <c r="EU60" s="682"/>
      <c r="EV60" s="683"/>
      <c r="EW60" s="684"/>
      <c r="EX60" s="675"/>
      <c r="EY60" s="676">
        <f t="shared" si="36"/>
        <v>0</v>
      </c>
      <c r="EZ60" s="677">
        <f t="shared" si="37"/>
        <v>0</v>
      </c>
      <c r="FA60" s="677">
        <f t="shared" si="84"/>
        <v>0</v>
      </c>
      <c r="FB60" s="678">
        <f t="shared" si="85"/>
        <v>0</v>
      </c>
      <c r="FC60" s="679">
        <f t="shared" si="86"/>
        <v>0</v>
      </c>
      <c r="FD60" s="680"/>
      <c r="FE60" s="681"/>
      <c r="FF60" s="682"/>
      <c r="FG60" s="682"/>
      <c r="FH60" s="683"/>
      <c r="FI60" s="684"/>
      <c r="FJ60" s="680"/>
      <c r="FK60" s="681"/>
      <c r="FL60" s="682"/>
      <c r="FM60" s="682"/>
      <c r="FN60" s="683"/>
      <c r="FO60" s="684"/>
      <c r="FP60" s="680"/>
      <c r="FQ60" s="681"/>
      <c r="FR60" s="682"/>
      <c r="FS60" s="682"/>
      <c r="FT60" s="683"/>
      <c r="FU60" s="684"/>
      <c r="FV60" s="680"/>
      <c r="FW60" s="681"/>
      <c r="FX60" s="682"/>
      <c r="FY60" s="682"/>
      <c r="FZ60" s="683"/>
      <c r="GA60" s="684"/>
      <c r="GB60" s="675"/>
      <c r="GC60" s="676">
        <f t="shared" si="38"/>
        <v>0</v>
      </c>
      <c r="GD60" s="677">
        <f t="shared" si="39"/>
        <v>0</v>
      </c>
      <c r="GE60" s="677">
        <f t="shared" si="87"/>
        <v>0</v>
      </c>
      <c r="GF60" s="678">
        <f t="shared" si="88"/>
        <v>0</v>
      </c>
      <c r="GG60" s="679">
        <f t="shared" si="89"/>
        <v>0</v>
      </c>
      <c r="GH60" s="680"/>
      <c r="GI60" s="681"/>
      <c r="GJ60" s="682"/>
      <c r="GK60" s="682"/>
      <c r="GL60" s="683"/>
      <c r="GM60" s="684"/>
      <c r="GN60" s="680"/>
      <c r="GO60" s="681"/>
      <c r="GP60" s="682"/>
      <c r="GQ60" s="682"/>
      <c r="GR60" s="683"/>
      <c r="GS60" s="684"/>
      <c r="GT60" s="680"/>
      <c r="GU60" s="681"/>
      <c r="GV60" s="682"/>
      <c r="GW60" s="682"/>
      <c r="GX60" s="683"/>
      <c r="GY60" s="684"/>
      <c r="GZ60" s="680"/>
      <c r="HA60" s="147"/>
      <c r="HB60" s="148"/>
      <c r="HC60" s="148"/>
      <c r="HD60" s="149"/>
      <c r="HE60" s="150"/>
      <c r="HF60" s="8"/>
      <c r="HG60" s="502"/>
      <c r="HH60" s="502"/>
      <c r="HI60" s="502">
        <f t="shared" si="40"/>
        <v>1</v>
      </c>
      <c r="HJ60" s="8"/>
    </row>
    <row r="61" spans="2:218" ht="21">
      <c r="B61" s="488">
        <v>17</v>
      </c>
      <c r="C61" s="489" t="s">
        <v>149</v>
      </c>
      <c r="D61" s="490" t="s">
        <v>24</v>
      </c>
      <c r="E61" s="491" t="s">
        <v>150</v>
      </c>
      <c r="F61" s="492"/>
      <c r="G61" s="493"/>
      <c r="H61" s="146" t="s">
        <v>486</v>
      </c>
      <c r="I61" s="494" t="str">
        <f t="shared" si="4"/>
        <v>ons</v>
      </c>
      <c r="J61" s="495"/>
      <c r="K61" s="151">
        <v>0</v>
      </c>
      <c r="L61" s="256"/>
      <c r="M61" s="256">
        <f>IF($C$5&lt;3000,(Bron!H50*$C$5)+Bron!I50,(Bron!M50*$C$5)+Bron!N50)</f>
        <v>0</v>
      </c>
      <c r="N61" s="496">
        <f t="shared" si="41"/>
        <v>0</v>
      </c>
      <c r="O61" s="497" t="str">
        <f t="shared" si="5"/>
        <v/>
      </c>
      <c r="P61" s="257">
        <f>IF($C$5&lt;3000,$AN$32*Bron!J50,$AN$32*Bron!O50)</f>
        <v>0</v>
      </c>
      <c r="Q61" s="257">
        <f>IF($C$5&lt;3000,$AN$31*Bron!K50,$AN$31*Bron!P50)</f>
        <v>0</v>
      </c>
      <c r="R61" s="257">
        <f>IF($C$5&lt;3000,$AN$33*Bron!J50,$AN$33*Bron!O50)</f>
        <v>0</v>
      </c>
      <c r="S61" s="344"/>
      <c r="T61" s="258">
        <f t="shared" si="6"/>
        <v>0</v>
      </c>
      <c r="U61" s="259">
        <f t="shared" si="7"/>
        <v>0</v>
      </c>
      <c r="V61" s="675"/>
      <c r="W61" s="676">
        <f t="shared" si="8"/>
        <v>0</v>
      </c>
      <c r="X61" s="677">
        <f t="shared" si="9"/>
        <v>0</v>
      </c>
      <c r="Y61" s="677">
        <f t="shared" si="42"/>
        <v>0</v>
      </c>
      <c r="Z61" s="678">
        <f t="shared" si="43"/>
        <v>0</v>
      </c>
      <c r="AA61" s="679">
        <f t="shared" si="44"/>
        <v>0</v>
      </c>
      <c r="AB61" s="675"/>
      <c r="AC61" s="676">
        <f t="shared" si="10"/>
        <v>0</v>
      </c>
      <c r="AD61" s="677">
        <f t="shared" si="11"/>
        <v>0</v>
      </c>
      <c r="AE61" s="677">
        <f t="shared" si="45"/>
        <v>0</v>
      </c>
      <c r="AF61" s="678">
        <f t="shared" si="46"/>
        <v>0</v>
      </c>
      <c r="AG61" s="679">
        <f t="shared" si="47"/>
        <v>0</v>
      </c>
      <c r="AH61" s="675"/>
      <c r="AI61" s="676">
        <f t="shared" si="12"/>
        <v>0</v>
      </c>
      <c r="AJ61" s="677">
        <f t="shared" si="13"/>
        <v>0</v>
      </c>
      <c r="AK61" s="677">
        <f t="shared" si="48"/>
        <v>0</v>
      </c>
      <c r="AL61" s="678">
        <f t="shared" si="49"/>
        <v>0</v>
      </c>
      <c r="AM61" s="679">
        <f t="shared" si="50"/>
        <v>0</v>
      </c>
      <c r="AN61" s="675"/>
      <c r="AO61" s="676">
        <f t="shared" si="14"/>
        <v>0</v>
      </c>
      <c r="AP61" s="677">
        <f t="shared" si="15"/>
        <v>0</v>
      </c>
      <c r="AQ61" s="677">
        <f t="shared" si="51"/>
        <v>0</v>
      </c>
      <c r="AR61" s="678">
        <f t="shared" si="52"/>
        <v>0</v>
      </c>
      <c r="AS61" s="679">
        <f t="shared" si="53"/>
        <v>0</v>
      </c>
      <c r="AT61" s="675"/>
      <c r="AU61" s="676">
        <f t="shared" si="16"/>
        <v>0</v>
      </c>
      <c r="AV61" s="677">
        <f t="shared" si="17"/>
        <v>0</v>
      </c>
      <c r="AW61" s="677">
        <f t="shared" si="54"/>
        <v>0</v>
      </c>
      <c r="AX61" s="678">
        <f t="shared" si="55"/>
        <v>0</v>
      </c>
      <c r="AY61" s="679">
        <f t="shared" si="56"/>
        <v>0</v>
      </c>
      <c r="AZ61" s="675"/>
      <c r="BA61" s="676">
        <f t="shared" si="18"/>
        <v>0</v>
      </c>
      <c r="BB61" s="677">
        <f t="shared" si="19"/>
        <v>0</v>
      </c>
      <c r="BC61" s="677">
        <f t="shared" si="57"/>
        <v>0</v>
      </c>
      <c r="BD61" s="678">
        <f t="shared" si="58"/>
        <v>0</v>
      </c>
      <c r="BE61" s="679">
        <f t="shared" si="59"/>
        <v>0</v>
      </c>
      <c r="BF61" s="675"/>
      <c r="BG61" s="676">
        <f t="shared" si="20"/>
        <v>0</v>
      </c>
      <c r="BH61" s="677">
        <f t="shared" si="21"/>
        <v>0</v>
      </c>
      <c r="BI61" s="677">
        <f t="shared" si="60"/>
        <v>0</v>
      </c>
      <c r="BJ61" s="678">
        <f t="shared" si="61"/>
        <v>0</v>
      </c>
      <c r="BK61" s="679">
        <f t="shared" si="62"/>
        <v>0</v>
      </c>
      <c r="BL61" s="675"/>
      <c r="BM61" s="676">
        <f t="shared" si="22"/>
        <v>0</v>
      </c>
      <c r="BN61" s="677">
        <f t="shared" si="23"/>
        <v>0</v>
      </c>
      <c r="BO61" s="677">
        <f t="shared" si="63"/>
        <v>0</v>
      </c>
      <c r="BP61" s="678">
        <f t="shared" si="64"/>
        <v>0</v>
      </c>
      <c r="BQ61" s="679">
        <f t="shared" si="65"/>
        <v>0</v>
      </c>
      <c r="BR61" s="675"/>
      <c r="BS61" s="676">
        <f t="shared" si="24"/>
        <v>0</v>
      </c>
      <c r="BT61" s="677">
        <f t="shared" si="25"/>
        <v>0</v>
      </c>
      <c r="BU61" s="677">
        <f t="shared" si="66"/>
        <v>0</v>
      </c>
      <c r="BV61" s="678">
        <f t="shared" si="67"/>
        <v>0</v>
      </c>
      <c r="BW61" s="679">
        <f t="shared" si="68"/>
        <v>0</v>
      </c>
      <c r="BX61" s="675"/>
      <c r="BY61" s="676">
        <f t="shared" si="26"/>
        <v>0</v>
      </c>
      <c r="BZ61" s="677">
        <f t="shared" si="27"/>
        <v>0</v>
      </c>
      <c r="CA61" s="677">
        <f t="shared" si="69"/>
        <v>0</v>
      </c>
      <c r="CB61" s="678">
        <f t="shared" si="70"/>
        <v>0</v>
      </c>
      <c r="CC61" s="679">
        <f t="shared" si="71"/>
        <v>0</v>
      </c>
      <c r="CD61" s="675"/>
      <c r="CE61" s="676">
        <f t="shared" si="28"/>
        <v>0</v>
      </c>
      <c r="CF61" s="677">
        <f t="shared" si="29"/>
        <v>0</v>
      </c>
      <c r="CG61" s="677">
        <f t="shared" si="72"/>
        <v>0</v>
      </c>
      <c r="CH61" s="678">
        <f t="shared" si="73"/>
        <v>0</v>
      </c>
      <c r="CI61" s="679">
        <f t="shared" si="74"/>
        <v>0</v>
      </c>
      <c r="CJ61" s="675"/>
      <c r="CK61" s="676">
        <f t="shared" si="30"/>
        <v>0</v>
      </c>
      <c r="CL61" s="677">
        <f t="shared" si="31"/>
        <v>0</v>
      </c>
      <c r="CM61" s="677">
        <f t="shared" si="75"/>
        <v>0</v>
      </c>
      <c r="CN61" s="678">
        <f t="shared" si="76"/>
        <v>0</v>
      </c>
      <c r="CO61" s="679">
        <f t="shared" si="77"/>
        <v>0</v>
      </c>
      <c r="CP61" s="675"/>
      <c r="CQ61" s="676">
        <f t="shared" si="32"/>
        <v>0</v>
      </c>
      <c r="CR61" s="677">
        <f t="shared" si="33"/>
        <v>0</v>
      </c>
      <c r="CS61" s="677">
        <f t="shared" si="78"/>
        <v>0</v>
      </c>
      <c r="CT61" s="678">
        <f t="shared" si="79"/>
        <v>0</v>
      </c>
      <c r="CU61" s="679">
        <f t="shared" si="80"/>
        <v>0</v>
      </c>
      <c r="CV61" s="680"/>
      <c r="CW61" s="681"/>
      <c r="CX61" s="682"/>
      <c r="CY61" s="682"/>
      <c r="CZ61" s="683"/>
      <c r="DA61" s="684"/>
      <c r="DB61" s="680"/>
      <c r="DC61" s="681"/>
      <c r="DD61" s="682"/>
      <c r="DE61" s="682"/>
      <c r="DF61" s="683"/>
      <c r="DG61" s="684"/>
      <c r="DH61" s="680"/>
      <c r="DI61" s="681"/>
      <c r="DJ61" s="682"/>
      <c r="DK61" s="682"/>
      <c r="DL61" s="683"/>
      <c r="DM61" s="684"/>
      <c r="DN61" s="680"/>
      <c r="DO61" s="681"/>
      <c r="DP61" s="682"/>
      <c r="DQ61" s="682"/>
      <c r="DR61" s="683"/>
      <c r="DS61" s="684"/>
      <c r="DT61" s="675"/>
      <c r="DU61" s="676">
        <f t="shared" si="34"/>
        <v>0</v>
      </c>
      <c r="DV61" s="677">
        <f t="shared" si="35"/>
        <v>0</v>
      </c>
      <c r="DW61" s="677">
        <f t="shared" si="81"/>
        <v>0</v>
      </c>
      <c r="DX61" s="678">
        <f t="shared" si="82"/>
        <v>0</v>
      </c>
      <c r="DY61" s="679">
        <f t="shared" si="83"/>
        <v>0</v>
      </c>
      <c r="DZ61" s="680"/>
      <c r="EA61" s="681"/>
      <c r="EB61" s="682"/>
      <c r="EC61" s="682"/>
      <c r="ED61" s="683"/>
      <c r="EE61" s="684"/>
      <c r="EF61" s="680"/>
      <c r="EG61" s="681"/>
      <c r="EH61" s="682"/>
      <c r="EI61" s="682"/>
      <c r="EJ61" s="683"/>
      <c r="EK61" s="684"/>
      <c r="EL61" s="680"/>
      <c r="EM61" s="681"/>
      <c r="EN61" s="682"/>
      <c r="EO61" s="682"/>
      <c r="EP61" s="683"/>
      <c r="EQ61" s="684"/>
      <c r="ER61" s="680"/>
      <c r="ES61" s="681"/>
      <c r="ET61" s="682"/>
      <c r="EU61" s="682"/>
      <c r="EV61" s="683"/>
      <c r="EW61" s="684"/>
      <c r="EX61" s="675"/>
      <c r="EY61" s="676">
        <f t="shared" si="36"/>
        <v>0</v>
      </c>
      <c r="EZ61" s="677">
        <f t="shared" si="37"/>
        <v>0</v>
      </c>
      <c r="FA61" s="677">
        <f t="shared" si="84"/>
        <v>0</v>
      </c>
      <c r="FB61" s="678">
        <f t="shared" si="85"/>
        <v>0</v>
      </c>
      <c r="FC61" s="679">
        <f t="shared" si="86"/>
        <v>0</v>
      </c>
      <c r="FD61" s="680"/>
      <c r="FE61" s="681"/>
      <c r="FF61" s="682"/>
      <c r="FG61" s="682"/>
      <c r="FH61" s="683"/>
      <c r="FI61" s="684"/>
      <c r="FJ61" s="680"/>
      <c r="FK61" s="681"/>
      <c r="FL61" s="682"/>
      <c r="FM61" s="682"/>
      <c r="FN61" s="683"/>
      <c r="FO61" s="684"/>
      <c r="FP61" s="680"/>
      <c r="FQ61" s="681"/>
      <c r="FR61" s="682"/>
      <c r="FS61" s="682"/>
      <c r="FT61" s="683"/>
      <c r="FU61" s="684"/>
      <c r="FV61" s="680"/>
      <c r="FW61" s="681"/>
      <c r="FX61" s="682"/>
      <c r="FY61" s="682"/>
      <c r="FZ61" s="683"/>
      <c r="GA61" s="684"/>
      <c r="GB61" s="675"/>
      <c r="GC61" s="676">
        <f t="shared" si="38"/>
        <v>0</v>
      </c>
      <c r="GD61" s="677">
        <f t="shared" si="39"/>
        <v>0</v>
      </c>
      <c r="GE61" s="677">
        <f t="shared" si="87"/>
        <v>0</v>
      </c>
      <c r="GF61" s="678">
        <f t="shared" si="88"/>
        <v>0</v>
      </c>
      <c r="GG61" s="679">
        <f t="shared" si="89"/>
        <v>0</v>
      </c>
      <c r="GH61" s="680"/>
      <c r="GI61" s="681"/>
      <c r="GJ61" s="682"/>
      <c r="GK61" s="682"/>
      <c r="GL61" s="683"/>
      <c r="GM61" s="684"/>
      <c r="GN61" s="680"/>
      <c r="GO61" s="681"/>
      <c r="GP61" s="682"/>
      <c r="GQ61" s="682"/>
      <c r="GR61" s="683"/>
      <c r="GS61" s="684"/>
      <c r="GT61" s="680"/>
      <c r="GU61" s="681"/>
      <c r="GV61" s="682"/>
      <c r="GW61" s="682"/>
      <c r="GX61" s="683"/>
      <c r="GY61" s="684"/>
      <c r="GZ61" s="680"/>
      <c r="HA61" s="147"/>
      <c r="HB61" s="148"/>
      <c r="HC61" s="148"/>
      <c r="HD61" s="149"/>
      <c r="HE61" s="150"/>
      <c r="HF61" s="8"/>
      <c r="HG61" s="502"/>
      <c r="HH61" s="502"/>
      <c r="HI61" s="502">
        <f t="shared" si="40"/>
        <v>1</v>
      </c>
      <c r="HJ61" s="8"/>
    </row>
    <row r="62" spans="2:218" ht="21">
      <c r="B62" s="488">
        <v>18</v>
      </c>
      <c r="C62" s="489" t="s">
        <v>149</v>
      </c>
      <c r="D62" s="490" t="s">
        <v>26</v>
      </c>
      <c r="E62" s="491" t="s">
        <v>151</v>
      </c>
      <c r="F62" s="492"/>
      <c r="G62" s="493"/>
      <c r="H62" s="146" t="s">
        <v>486</v>
      </c>
      <c r="I62" s="494" t="str">
        <f t="shared" si="4"/>
        <v>ons</v>
      </c>
      <c r="J62" s="495" t="s">
        <v>487</v>
      </c>
      <c r="K62" s="151">
        <v>0</v>
      </c>
      <c r="L62" s="256">
        <f>IF($C$5&lt;3000,(Bron!H51*$C$5)+Bron!I51,(Bron!M51*$C$5)+Bron!N51)</f>
        <v>0</v>
      </c>
      <c r="M62" s="256"/>
      <c r="N62" s="496">
        <f t="shared" si="41"/>
        <v>0</v>
      </c>
      <c r="O62" s="497" t="str">
        <f t="shared" si="5"/>
        <v/>
      </c>
      <c r="P62" s="257">
        <f>IF($C$5&lt;3000,$AN$32*Bron!J51,$AN$32*Bron!O51)</f>
        <v>0</v>
      </c>
      <c r="Q62" s="257">
        <f>IF($C$5&lt;3000,$AN$31*Bron!K51,$AN$31*Bron!P51)</f>
        <v>0</v>
      </c>
      <c r="R62" s="257">
        <f>IF($C$5&lt;3000,$AN$33*Bron!J51,$AN$33*Bron!O51)</f>
        <v>0</v>
      </c>
      <c r="S62" s="344"/>
      <c r="T62" s="258">
        <f t="shared" si="6"/>
        <v>0</v>
      </c>
      <c r="U62" s="259">
        <f t="shared" si="7"/>
        <v>0</v>
      </c>
      <c r="V62" s="675"/>
      <c r="W62" s="676">
        <f t="shared" si="8"/>
        <v>0</v>
      </c>
      <c r="X62" s="677">
        <f t="shared" si="9"/>
        <v>0</v>
      </c>
      <c r="Y62" s="677">
        <f t="shared" si="42"/>
        <v>0</v>
      </c>
      <c r="Z62" s="678">
        <f t="shared" si="43"/>
        <v>0</v>
      </c>
      <c r="AA62" s="679">
        <f t="shared" si="44"/>
        <v>0</v>
      </c>
      <c r="AB62" s="675"/>
      <c r="AC62" s="676">
        <f t="shared" si="10"/>
        <v>0</v>
      </c>
      <c r="AD62" s="677">
        <f t="shared" si="11"/>
        <v>0</v>
      </c>
      <c r="AE62" s="677">
        <f t="shared" si="45"/>
        <v>0</v>
      </c>
      <c r="AF62" s="678">
        <f t="shared" si="46"/>
        <v>0</v>
      </c>
      <c r="AG62" s="679">
        <f t="shared" si="47"/>
        <v>0</v>
      </c>
      <c r="AH62" s="675"/>
      <c r="AI62" s="676">
        <f t="shared" si="12"/>
        <v>0</v>
      </c>
      <c r="AJ62" s="677">
        <f t="shared" si="13"/>
        <v>0</v>
      </c>
      <c r="AK62" s="677">
        <f t="shared" si="48"/>
        <v>0</v>
      </c>
      <c r="AL62" s="678">
        <f t="shared" si="49"/>
        <v>0</v>
      </c>
      <c r="AM62" s="679">
        <f t="shared" si="50"/>
        <v>0</v>
      </c>
      <c r="AN62" s="675"/>
      <c r="AO62" s="676">
        <f t="shared" si="14"/>
        <v>0</v>
      </c>
      <c r="AP62" s="677">
        <f t="shared" si="15"/>
        <v>0</v>
      </c>
      <c r="AQ62" s="677">
        <f t="shared" si="51"/>
        <v>0</v>
      </c>
      <c r="AR62" s="678">
        <f t="shared" si="52"/>
        <v>0</v>
      </c>
      <c r="AS62" s="679">
        <f t="shared" si="53"/>
        <v>0</v>
      </c>
      <c r="AT62" s="675"/>
      <c r="AU62" s="676">
        <f t="shared" si="16"/>
        <v>0</v>
      </c>
      <c r="AV62" s="677">
        <f t="shared" si="17"/>
        <v>0</v>
      </c>
      <c r="AW62" s="677">
        <f t="shared" si="54"/>
        <v>0</v>
      </c>
      <c r="AX62" s="678">
        <f t="shared" si="55"/>
        <v>0</v>
      </c>
      <c r="AY62" s="679">
        <f t="shared" si="56"/>
        <v>0</v>
      </c>
      <c r="AZ62" s="675"/>
      <c r="BA62" s="676">
        <f t="shared" si="18"/>
        <v>0</v>
      </c>
      <c r="BB62" s="677">
        <f t="shared" si="19"/>
        <v>0</v>
      </c>
      <c r="BC62" s="677">
        <f t="shared" si="57"/>
        <v>0</v>
      </c>
      <c r="BD62" s="678">
        <f t="shared" si="58"/>
        <v>0</v>
      </c>
      <c r="BE62" s="679">
        <f t="shared" si="59"/>
        <v>0</v>
      </c>
      <c r="BF62" s="675"/>
      <c r="BG62" s="676">
        <f t="shared" si="20"/>
        <v>0</v>
      </c>
      <c r="BH62" s="677">
        <f t="shared" si="21"/>
        <v>0</v>
      </c>
      <c r="BI62" s="677">
        <f t="shared" si="60"/>
        <v>0</v>
      </c>
      <c r="BJ62" s="678">
        <f t="shared" si="61"/>
        <v>0</v>
      </c>
      <c r="BK62" s="679">
        <f t="shared" si="62"/>
        <v>0</v>
      </c>
      <c r="BL62" s="675"/>
      <c r="BM62" s="676">
        <f t="shared" si="22"/>
        <v>0</v>
      </c>
      <c r="BN62" s="677">
        <f t="shared" si="23"/>
        <v>0</v>
      </c>
      <c r="BO62" s="677">
        <f t="shared" si="63"/>
        <v>0</v>
      </c>
      <c r="BP62" s="678">
        <f t="shared" si="64"/>
        <v>0</v>
      </c>
      <c r="BQ62" s="679">
        <f t="shared" si="65"/>
        <v>0</v>
      </c>
      <c r="BR62" s="675"/>
      <c r="BS62" s="676">
        <f t="shared" si="24"/>
        <v>0</v>
      </c>
      <c r="BT62" s="677">
        <f t="shared" si="25"/>
        <v>0</v>
      </c>
      <c r="BU62" s="677">
        <f t="shared" si="66"/>
        <v>0</v>
      </c>
      <c r="BV62" s="678">
        <f t="shared" si="67"/>
        <v>0</v>
      </c>
      <c r="BW62" s="679">
        <f t="shared" si="68"/>
        <v>0</v>
      </c>
      <c r="BX62" s="675"/>
      <c r="BY62" s="676">
        <f t="shared" si="26"/>
        <v>0</v>
      </c>
      <c r="BZ62" s="677">
        <f t="shared" si="27"/>
        <v>0</v>
      </c>
      <c r="CA62" s="677">
        <f t="shared" si="69"/>
        <v>0</v>
      </c>
      <c r="CB62" s="678">
        <f t="shared" si="70"/>
        <v>0</v>
      </c>
      <c r="CC62" s="679">
        <f t="shared" si="71"/>
        <v>0</v>
      </c>
      <c r="CD62" s="675"/>
      <c r="CE62" s="676">
        <f t="shared" si="28"/>
        <v>0</v>
      </c>
      <c r="CF62" s="677">
        <f t="shared" si="29"/>
        <v>0</v>
      </c>
      <c r="CG62" s="677">
        <f t="shared" si="72"/>
        <v>0</v>
      </c>
      <c r="CH62" s="678">
        <f t="shared" si="73"/>
        <v>0</v>
      </c>
      <c r="CI62" s="679">
        <f t="shared" si="74"/>
        <v>0</v>
      </c>
      <c r="CJ62" s="675"/>
      <c r="CK62" s="676">
        <f t="shared" si="30"/>
        <v>0</v>
      </c>
      <c r="CL62" s="677">
        <f t="shared" si="31"/>
        <v>0</v>
      </c>
      <c r="CM62" s="677">
        <f t="shared" si="75"/>
        <v>0</v>
      </c>
      <c r="CN62" s="678">
        <f t="shared" si="76"/>
        <v>0</v>
      </c>
      <c r="CO62" s="679">
        <f t="shared" si="77"/>
        <v>0</v>
      </c>
      <c r="CP62" s="675"/>
      <c r="CQ62" s="676">
        <f t="shared" si="32"/>
        <v>0</v>
      </c>
      <c r="CR62" s="677">
        <f t="shared" si="33"/>
        <v>0</v>
      </c>
      <c r="CS62" s="677">
        <f t="shared" si="78"/>
        <v>0</v>
      </c>
      <c r="CT62" s="678">
        <f t="shared" si="79"/>
        <v>0</v>
      </c>
      <c r="CU62" s="679">
        <f t="shared" si="80"/>
        <v>0</v>
      </c>
      <c r="CV62" s="680"/>
      <c r="CW62" s="681"/>
      <c r="CX62" s="682"/>
      <c r="CY62" s="682"/>
      <c r="CZ62" s="683"/>
      <c r="DA62" s="684"/>
      <c r="DB62" s="680"/>
      <c r="DC62" s="681"/>
      <c r="DD62" s="682"/>
      <c r="DE62" s="682"/>
      <c r="DF62" s="683"/>
      <c r="DG62" s="684"/>
      <c r="DH62" s="680"/>
      <c r="DI62" s="681"/>
      <c r="DJ62" s="682"/>
      <c r="DK62" s="682"/>
      <c r="DL62" s="683"/>
      <c r="DM62" s="684"/>
      <c r="DN62" s="680"/>
      <c r="DO62" s="681"/>
      <c r="DP62" s="682"/>
      <c r="DQ62" s="682"/>
      <c r="DR62" s="683"/>
      <c r="DS62" s="684"/>
      <c r="DT62" s="675"/>
      <c r="DU62" s="676">
        <f t="shared" si="34"/>
        <v>0</v>
      </c>
      <c r="DV62" s="677">
        <f t="shared" si="35"/>
        <v>0</v>
      </c>
      <c r="DW62" s="677">
        <f t="shared" si="81"/>
        <v>0</v>
      </c>
      <c r="DX62" s="678">
        <f t="shared" si="82"/>
        <v>0</v>
      </c>
      <c r="DY62" s="679">
        <f t="shared" si="83"/>
        <v>0</v>
      </c>
      <c r="DZ62" s="680"/>
      <c r="EA62" s="681"/>
      <c r="EB62" s="682"/>
      <c r="EC62" s="682"/>
      <c r="ED62" s="683"/>
      <c r="EE62" s="684"/>
      <c r="EF62" s="680"/>
      <c r="EG62" s="681"/>
      <c r="EH62" s="682"/>
      <c r="EI62" s="682"/>
      <c r="EJ62" s="683"/>
      <c r="EK62" s="684"/>
      <c r="EL62" s="680"/>
      <c r="EM62" s="681"/>
      <c r="EN62" s="682"/>
      <c r="EO62" s="682"/>
      <c r="EP62" s="683"/>
      <c r="EQ62" s="684"/>
      <c r="ER62" s="680"/>
      <c r="ES62" s="681"/>
      <c r="ET62" s="682"/>
      <c r="EU62" s="682"/>
      <c r="EV62" s="683"/>
      <c r="EW62" s="684"/>
      <c r="EX62" s="675"/>
      <c r="EY62" s="676">
        <f t="shared" si="36"/>
        <v>0</v>
      </c>
      <c r="EZ62" s="677">
        <f t="shared" si="37"/>
        <v>0</v>
      </c>
      <c r="FA62" s="677">
        <f t="shared" si="84"/>
        <v>0</v>
      </c>
      <c r="FB62" s="678">
        <f t="shared" si="85"/>
        <v>0</v>
      </c>
      <c r="FC62" s="679">
        <f t="shared" si="86"/>
        <v>0</v>
      </c>
      <c r="FD62" s="680"/>
      <c r="FE62" s="681"/>
      <c r="FF62" s="682"/>
      <c r="FG62" s="682"/>
      <c r="FH62" s="683"/>
      <c r="FI62" s="684"/>
      <c r="FJ62" s="680"/>
      <c r="FK62" s="681"/>
      <c r="FL62" s="682"/>
      <c r="FM62" s="682"/>
      <c r="FN62" s="683"/>
      <c r="FO62" s="684"/>
      <c r="FP62" s="680"/>
      <c r="FQ62" s="681"/>
      <c r="FR62" s="682"/>
      <c r="FS62" s="682"/>
      <c r="FT62" s="683"/>
      <c r="FU62" s="684"/>
      <c r="FV62" s="680"/>
      <c r="FW62" s="681"/>
      <c r="FX62" s="682"/>
      <c r="FY62" s="682"/>
      <c r="FZ62" s="683"/>
      <c r="GA62" s="684"/>
      <c r="GB62" s="675"/>
      <c r="GC62" s="676">
        <f t="shared" si="38"/>
        <v>0</v>
      </c>
      <c r="GD62" s="677">
        <f t="shared" si="39"/>
        <v>0</v>
      </c>
      <c r="GE62" s="677">
        <f t="shared" si="87"/>
        <v>0</v>
      </c>
      <c r="GF62" s="678">
        <f t="shared" si="88"/>
        <v>0</v>
      </c>
      <c r="GG62" s="679">
        <f t="shared" si="89"/>
        <v>0</v>
      </c>
      <c r="GH62" s="680"/>
      <c r="GI62" s="681"/>
      <c r="GJ62" s="682"/>
      <c r="GK62" s="682"/>
      <c r="GL62" s="683"/>
      <c r="GM62" s="684"/>
      <c r="GN62" s="680"/>
      <c r="GO62" s="681"/>
      <c r="GP62" s="682"/>
      <c r="GQ62" s="682"/>
      <c r="GR62" s="683"/>
      <c r="GS62" s="684"/>
      <c r="GT62" s="680"/>
      <c r="GU62" s="681"/>
      <c r="GV62" s="682"/>
      <c r="GW62" s="682"/>
      <c r="GX62" s="683"/>
      <c r="GY62" s="684"/>
      <c r="GZ62" s="680"/>
      <c r="HA62" s="147"/>
      <c r="HB62" s="148"/>
      <c r="HC62" s="148"/>
      <c r="HD62" s="149"/>
      <c r="HE62" s="150"/>
      <c r="HF62" s="8"/>
      <c r="HG62" s="502"/>
      <c r="HH62" s="502"/>
      <c r="HI62" s="502">
        <f t="shared" si="40"/>
        <v>1</v>
      </c>
      <c r="HJ62" s="8"/>
    </row>
    <row r="63" spans="2:218" ht="21">
      <c r="B63" s="488">
        <v>19</v>
      </c>
      <c r="C63" s="489" t="s">
        <v>149</v>
      </c>
      <c r="D63" s="490" t="s">
        <v>27</v>
      </c>
      <c r="E63" s="491" t="s">
        <v>409</v>
      </c>
      <c r="F63" s="492"/>
      <c r="G63" s="493"/>
      <c r="H63" s="146" t="s">
        <v>486</v>
      </c>
      <c r="I63" s="494" t="str">
        <f t="shared" si="4"/>
        <v>ons</v>
      </c>
      <c r="J63" s="495" t="s">
        <v>487</v>
      </c>
      <c r="K63" s="151">
        <v>0</v>
      </c>
      <c r="L63" s="256">
        <f>IF($C$5&lt;3000,(Bron!H52*$C$5)+Bron!I52,(Bron!M52*$C$5)+Bron!N52)</f>
        <v>0</v>
      </c>
      <c r="M63" s="256"/>
      <c r="N63" s="496">
        <f t="shared" si="41"/>
        <v>0</v>
      </c>
      <c r="O63" s="497" t="str">
        <f t="shared" si="5"/>
        <v/>
      </c>
      <c r="P63" s="257">
        <f>IF($C$5&lt;3000,$AN$32*Bron!J52,$AN$32*Bron!O52)</f>
        <v>0</v>
      </c>
      <c r="Q63" s="257">
        <f>IF($C$5&lt;3000,$AN$31*Bron!K52,$AN$31*Bron!P52)</f>
        <v>0</v>
      </c>
      <c r="R63" s="257">
        <f>IF($C$5&lt;3000,$AN$33*Bron!J52,$AN$33*Bron!O52)</f>
        <v>0</v>
      </c>
      <c r="S63" s="344"/>
      <c r="T63" s="258">
        <f t="shared" si="6"/>
        <v>0</v>
      </c>
      <c r="U63" s="259">
        <f t="shared" si="7"/>
        <v>0</v>
      </c>
      <c r="V63" s="675"/>
      <c r="W63" s="676">
        <f t="shared" si="8"/>
        <v>0</v>
      </c>
      <c r="X63" s="677">
        <f t="shared" si="9"/>
        <v>0</v>
      </c>
      <c r="Y63" s="677">
        <f t="shared" si="42"/>
        <v>0</v>
      </c>
      <c r="Z63" s="678">
        <f t="shared" si="43"/>
        <v>0</v>
      </c>
      <c r="AA63" s="679">
        <f t="shared" si="44"/>
        <v>0</v>
      </c>
      <c r="AB63" s="675"/>
      <c r="AC63" s="676">
        <f t="shared" si="10"/>
        <v>0</v>
      </c>
      <c r="AD63" s="677">
        <f t="shared" si="11"/>
        <v>0</v>
      </c>
      <c r="AE63" s="677">
        <f t="shared" si="45"/>
        <v>0</v>
      </c>
      <c r="AF63" s="678">
        <f t="shared" si="46"/>
        <v>0</v>
      </c>
      <c r="AG63" s="679">
        <f t="shared" si="47"/>
        <v>0</v>
      </c>
      <c r="AH63" s="675"/>
      <c r="AI63" s="676">
        <f t="shared" si="12"/>
        <v>0</v>
      </c>
      <c r="AJ63" s="677">
        <f t="shared" si="13"/>
        <v>0</v>
      </c>
      <c r="AK63" s="677">
        <f t="shared" si="48"/>
        <v>0</v>
      </c>
      <c r="AL63" s="678">
        <f t="shared" si="49"/>
        <v>0</v>
      </c>
      <c r="AM63" s="679">
        <f t="shared" si="50"/>
        <v>0</v>
      </c>
      <c r="AN63" s="675"/>
      <c r="AO63" s="676">
        <f t="shared" si="14"/>
        <v>0</v>
      </c>
      <c r="AP63" s="677">
        <f t="shared" si="15"/>
        <v>0</v>
      </c>
      <c r="AQ63" s="677">
        <f t="shared" si="51"/>
        <v>0</v>
      </c>
      <c r="AR63" s="678">
        <f t="shared" si="52"/>
        <v>0</v>
      </c>
      <c r="AS63" s="679">
        <f t="shared" si="53"/>
        <v>0</v>
      </c>
      <c r="AT63" s="675"/>
      <c r="AU63" s="676">
        <f t="shared" si="16"/>
        <v>0</v>
      </c>
      <c r="AV63" s="677">
        <f t="shared" si="17"/>
        <v>0</v>
      </c>
      <c r="AW63" s="677">
        <f t="shared" si="54"/>
        <v>0</v>
      </c>
      <c r="AX63" s="678">
        <f t="shared" si="55"/>
        <v>0</v>
      </c>
      <c r="AY63" s="679">
        <f t="shared" si="56"/>
        <v>0</v>
      </c>
      <c r="AZ63" s="675"/>
      <c r="BA63" s="676">
        <f t="shared" si="18"/>
        <v>0</v>
      </c>
      <c r="BB63" s="677">
        <f t="shared" si="19"/>
        <v>0</v>
      </c>
      <c r="BC63" s="677">
        <f t="shared" si="57"/>
        <v>0</v>
      </c>
      <c r="BD63" s="678">
        <f t="shared" si="58"/>
        <v>0</v>
      </c>
      <c r="BE63" s="679">
        <f t="shared" si="59"/>
        <v>0</v>
      </c>
      <c r="BF63" s="675"/>
      <c r="BG63" s="676">
        <f t="shared" si="20"/>
        <v>0</v>
      </c>
      <c r="BH63" s="677">
        <f t="shared" si="21"/>
        <v>0</v>
      </c>
      <c r="BI63" s="677">
        <f t="shared" si="60"/>
        <v>0</v>
      </c>
      <c r="BJ63" s="678">
        <f t="shared" si="61"/>
        <v>0</v>
      </c>
      <c r="BK63" s="679">
        <f t="shared" si="62"/>
        <v>0</v>
      </c>
      <c r="BL63" s="675"/>
      <c r="BM63" s="676">
        <f t="shared" si="22"/>
        <v>0</v>
      </c>
      <c r="BN63" s="677">
        <f t="shared" si="23"/>
        <v>0</v>
      </c>
      <c r="BO63" s="677">
        <f t="shared" si="63"/>
        <v>0</v>
      </c>
      <c r="BP63" s="678">
        <f t="shared" si="64"/>
        <v>0</v>
      </c>
      <c r="BQ63" s="679">
        <f t="shared" si="65"/>
        <v>0</v>
      </c>
      <c r="BR63" s="675"/>
      <c r="BS63" s="676">
        <f t="shared" si="24"/>
        <v>0</v>
      </c>
      <c r="BT63" s="677">
        <f t="shared" si="25"/>
        <v>0</v>
      </c>
      <c r="BU63" s="677">
        <f t="shared" si="66"/>
        <v>0</v>
      </c>
      <c r="BV63" s="678">
        <f t="shared" si="67"/>
        <v>0</v>
      </c>
      <c r="BW63" s="679">
        <f t="shared" si="68"/>
        <v>0</v>
      </c>
      <c r="BX63" s="675"/>
      <c r="BY63" s="676">
        <f t="shared" si="26"/>
        <v>0</v>
      </c>
      <c r="BZ63" s="677">
        <f t="shared" si="27"/>
        <v>0</v>
      </c>
      <c r="CA63" s="677">
        <f t="shared" si="69"/>
        <v>0</v>
      </c>
      <c r="CB63" s="678">
        <f t="shared" si="70"/>
        <v>0</v>
      </c>
      <c r="CC63" s="679">
        <f t="shared" si="71"/>
        <v>0</v>
      </c>
      <c r="CD63" s="675"/>
      <c r="CE63" s="676">
        <f t="shared" si="28"/>
        <v>0</v>
      </c>
      <c r="CF63" s="677">
        <f t="shared" si="29"/>
        <v>0</v>
      </c>
      <c r="CG63" s="677">
        <f t="shared" si="72"/>
        <v>0</v>
      </c>
      <c r="CH63" s="678">
        <f t="shared" si="73"/>
        <v>0</v>
      </c>
      <c r="CI63" s="679">
        <f t="shared" si="74"/>
        <v>0</v>
      </c>
      <c r="CJ63" s="675"/>
      <c r="CK63" s="676">
        <f t="shared" si="30"/>
        <v>0</v>
      </c>
      <c r="CL63" s="677">
        <f t="shared" si="31"/>
        <v>0</v>
      </c>
      <c r="CM63" s="677">
        <f t="shared" si="75"/>
        <v>0</v>
      </c>
      <c r="CN63" s="678">
        <f t="shared" si="76"/>
        <v>0</v>
      </c>
      <c r="CO63" s="679">
        <f t="shared" si="77"/>
        <v>0</v>
      </c>
      <c r="CP63" s="675"/>
      <c r="CQ63" s="676">
        <f t="shared" si="32"/>
        <v>0</v>
      </c>
      <c r="CR63" s="677">
        <f t="shared" si="33"/>
        <v>0</v>
      </c>
      <c r="CS63" s="677">
        <f t="shared" si="78"/>
        <v>0</v>
      </c>
      <c r="CT63" s="678">
        <f t="shared" si="79"/>
        <v>0</v>
      </c>
      <c r="CU63" s="679">
        <f t="shared" si="80"/>
        <v>0</v>
      </c>
      <c r="CV63" s="680"/>
      <c r="CW63" s="681"/>
      <c r="CX63" s="682"/>
      <c r="CY63" s="682"/>
      <c r="CZ63" s="683"/>
      <c r="DA63" s="684"/>
      <c r="DB63" s="680"/>
      <c r="DC63" s="681"/>
      <c r="DD63" s="682"/>
      <c r="DE63" s="682"/>
      <c r="DF63" s="683"/>
      <c r="DG63" s="684"/>
      <c r="DH63" s="680"/>
      <c r="DI63" s="681"/>
      <c r="DJ63" s="682"/>
      <c r="DK63" s="682"/>
      <c r="DL63" s="683"/>
      <c r="DM63" s="684"/>
      <c r="DN63" s="680"/>
      <c r="DO63" s="681"/>
      <c r="DP63" s="682"/>
      <c r="DQ63" s="682"/>
      <c r="DR63" s="683"/>
      <c r="DS63" s="684"/>
      <c r="DT63" s="675"/>
      <c r="DU63" s="676">
        <f t="shared" si="34"/>
        <v>0</v>
      </c>
      <c r="DV63" s="677">
        <f t="shared" si="35"/>
        <v>0</v>
      </c>
      <c r="DW63" s="677">
        <f t="shared" si="81"/>
        <v>0</v>
      </c>
      <c r="DX63" s="678">
        <f t="shared" si="82"/>
        <v>0</v>
      </c>
      <c r="DY63" s="679">
        <f t="shared" si="83"/>
        <v>0</v>
      </c>
      <c r="DZ63" s="680"/>
      <c r="EA63" s="681"/>
      <c r="EB63" s="682"/>
      <c r="EC63" s="682"/>
      <c r="ED63" s="683"/>
      <c r="EE63" s="684"/>
      <c r="EF63" s="680"/>
      <c r="EG63" s="681"/>
      <c r="EH63" s="682"/>
      <c r="EI63" s="682"/>
      <c r="EJ63" s="683"/>
      <c r="EK63" s="684"/>
      <c r="EL63" s="680"/>
      <c r="EM63" s="681"/>
      <c r="EN63" s="682"/>
      <c r="EO63" s="682"/>
      <c r="EP63" s="683"/>
      <c r="EQ63" s="684"/>
      <c r="ER63" s="680"/>
      <c r="ES63" s="681"/>
      <c r="ET63" s="682"/>
      <c r="EU63" s="682"/>
      <c r="EV63" s="683"/>
      <c r="EW63" s="684"/>
      <c r="EX63" s="675"/>
      <c r="EY63" s="676">
        <f t="shared" si="36"/>
        <v>0</v>
      </c>
      <c r="EZ63" s="677">
        <f t="shared" si="37"/>
        <v>0</v>
      </c>
      <c r="FA63" s="677">
        <f t="shared" si="84"/>
        <v>0</v>
      </c>
      <c r="FB63" s="678">
        <f t="shared" si="85"/>
        <v>0</v>
      </c>
      <c r="FC63" s="679">
        <f t="shared" si="86"/>
        <v>0</v>
      </c>
      <c r="FD63" s="680"/>
      <c r="FE63" s="681"/>
      <c r="FF63" s="682"/>
      <c r="FG63" s="682"/>
      <c r="FH63" s="683"/>
      <c r="FI63" s="684"/>
      <c r="FJ63" s="680"/>
      <c r="FK63" s="681"/>
      <c r="FL63" s="682"/>
      <c r="FM63" s="682"/>
      <c r="FN63" s="683"/>
      <c r="FO63" s="684"/>
      <c r="FP63" s="680"/>
      <c r="FQ63" s="681"/>
      <c r="FR63" s="682"/>
      <c r="FS63" s="682"/>
      <c r="FT63" s="683"/>
      <c r="FU63" s="684"/>
      <c r="FV63" s="680"/>
      <c r="FW63" s="681"/>
      <c r="FX63" s="682"/>
      <c r="FY63" s="682"/>
      <c r="FZ63" s="683"/>
      <c r="GA63" s="684"/>
      <c r="GB63" s="675"/>
      <c r="GC63" s="676">
        <f t="shared" si="38"/>
        <v>0</v>
      </c>
      <c r="GD63" s="677">
        <f t="shared" si="39"/>
        <v>0</v>
      </c>
      <c r="GE63" s="677">
        <f t="shared" si="87"/>
        <v>0</v>
      </c>
      <c r="GF63" s="678">
        <f t="shared" si="88"/>
        <v>0</v>
      </c>
      <c r="GG63" s="679">
        <f t="shared" si="89"/>
        <v>0</v>
      </c>
      <c r="GH63" s="680"/>
      <c r="GI63" s="681"/>
      <c r="GJ63" s="682"/>
      <c r="GK63" s="682"/>
      <c r="GL63" s="683"/>
      <c r="GM63" s="684"/>
      <c r="GN63" s="680"/>
      <c r="GO63" s="681"/>
      <c r="GP63" s="682"/>
      <c r="GQ63" s="682"/>
      <c r="GR63" s="683"/>
      <c r="GS63" s="684"/>
      <c r="GT63" s="680"/>
      <c r="GU63" s="681"/>
      <c r="GV63" s="682"/>
      <c r="GW63" s="682"/>
      <c r="GX63" s="683"/>
      <c r="GY63" s="684"/>
      <c r="GZ63" s="680"/>
      <c r="HA63" s="147"/>
      <c r="HB63" s="148"/>
      <c r="HC63" s="148"/>
      <c r="HD63" s="149"/>
      <c r="HE63" s="150"/>
      <c r="HF63" s="8"/>
      <c r="HG63" s="502"/>
      <c r="HH63" s="502"/>
      <c r="HI63" s="502">
        <f t="shared" si="40"/>
        <v>1</v>
      </c>
      <c r="HJ63" s="8"/>
    </row>
    <row r="64" spans="2:218" ht="21">
      <c r="B64" s="488">
        <v>20</v>
      </c>
      <c r="C64" s="489" t="s">
        <v>149</v>
      </c>
      <c r="D64" s="490" t="s">
        <v>152</v>
      </c>
      <c r="E64" s="491" t="s">
        <v>410</v>
      </c>
      <c r="F64" s="492"/>
      <c r="G64" s="493"/>
      <c r="H64" s="146" t="s">
        <v>486</v>
      </c>
      <c r="I64" s="494" t="str">
        <f t="shared" si="4"/>
        <v>ons</v>
      </c>
      <c r="J64" s="495"/>
      <c r="K64" s="151">
        <v>0</v>
      </c>
      <c r="L64" s="256"/>
      <c r="M64" s="256">
        <f>IF($C$5&lt;3000,(Bron!H53*$C$5)+Bron!I53,(Bron!M53*$C$5)+Bron!N53)</f>
        <v>0</v>
      </c>
      <c r="N64" s="496">
        <f t="shared" si="41"/>
        <v>0</v>
      </c>
      <c r="O64" s="497" t="str">
        <f t="shared" si="5"/>
        <v/>
      </c>
      <c r="P64" s="257">
        <f>IF($C$5&lt;3000,$AN$32*Bron!J53,$AN$32*Bron!O53)</f>
        <v>0</v>
      </c>
      <c r="Q64" s="257">
        <f>IF($C$5&lt;3000,$AN$31*Bron!K53,$AN$31*Bron!P53)</f>
        <v>0</v>
      </c>
      <c r="R64" s="257">
        <f>IF($C$5&lt;3000,$AN$33*Bron!J53,$AN$33*Bron!O53)</f>
        <v>0</v>
      </c>
      <c r="S64" s="344"/>
      <c r="T64" s="258">
        <f t="shared" si="6"/>
        <v>0</v>
      </c>
      <c r="U64" s="259">
        <f t="shared" si="7"/>
        <v>0</v>
      </c>
      <c r="V64" s="675"/>
      <c r="W64" s="676">
        <f t="shared" si="8"/>
        <v>0</v>
      </c>
      <c r="X64" s="677">
        <f t="shared" si="9"/>
        <v>0</v>
      </c>
      <c r="Y64" s="677">
        <f t="shared" si="42"/>
        <v>0</v>
      </c>
      <c r="Z64" s="678">
        <f t="shared" si="43"/>
        <v>0</v>
      </c>
      <c r="AA64" s="679">
        <f t="shared" si="44"/>
        <v>0</v>
      </c>
      <c r="AB64" s="675"/>
      <c r="AC64" s="676">
        <f t="shared" si="10"/>
        <v>0</v>
      </c>
      <c r="AD64" s="677">
        <f t="shared" si="11"/>
        <v>0</v>
      </c>
      <c r="AE64" s="677">
        <f t="shared" si="45"/>
        <v>0</v>
      </c>
      <c r="AF64" s="678">
        <f t="shared" si="46"/>
        <v>0</v>
      </c>
      <c r="AG64" s="679">
        <f t="shared" si="47"/>
        <v>0</v>
      </c>
      <c r="AH64" s="675"/>
      <c r="AI64" s="676">
        <f t="shared" si="12"/>
        <v>0</v>
      </c>
      <c r="AJ64" s="677">
        <f t="shared" si="13"/>
        <v>0</v>
      </c>
      <c r="AK64" s="677">
        <f t="shared" si="48"/>
        <v>0</v>
      </c>
      <c r="AL64" s="678">
        <f t="shared" si="49"/>
        <v>0</v>
      </c>
      <c r="AM64" s="679">
        <f t="shared" si="50"/>
        <v>0</v>
      </c>
      <c r="AN64" s="675"/>
      <c r="AO64" s="676">
        <f t="shared" si="14"/>
        <v>0</v>
      </c>
      <c r="AP64" s="677">
        <f t="shared" si="15"/>
        <v>0</v>
      </c>
      <c r="AQ64" s="677">
        <f t="shared" si="51"/>
        <v>0</v>
      </c>
      <c r="AR64" s="678">
        <f t="shared" si="52"/>
        <v>0</v>
      </c>
      <c r="AS64" s="679">
        <f t="shared" si="53"/>
        <v>0</v>
      </c>
      <c r="AT64" s="675"/>
      <c r="AU64" s="676">
        <f t="shared" si="16"/>
        <v>0</v>
      </c>
      <c r="AV64" s="677">
        <f t="shared" si="17"/>
        <v>0</v>
      </c>
      <c r="AW64" s="677">
        <f t="shared" si="54"/>
        <v>0</v>
      </c>
      <c r="AX64" s="678">
        <f t="shared" si="55"/>
        <v>0</v>
      </c>
      <c r="AY64" s="679">
        <f t="shared" si="56"/>
        <v>0</v>
      </c>
      <c r="AZ64" s="675"/>
      <c r="BA64" s="676">
        <f t="shared" si="18"/>
        <v>0</v>
      </c>
      <c r="BB64" s="677">
        <f t="shared" si="19"/>
        <v>0</v>
      </c>
      <c r="BC64" s="677">
        <f t="shared" si="57"/>
        <v>0</v>
      </c>
      <c r="BD64" s="678">
        <f t="shared" si="58"/>
        <v>0</v>
      </c>
      <c r="BE64" s="679">
        <f t="shared" si="59"/>
        <v>0</v>
      </c>
      <c r="BF64" s="675"/>
      <c r="BG64" s="676">
        <f t="shared" si="20"/>
        <v>0</v>
      </c>
      <c r="BH64" s="677">
        <f t="shared" si="21"/>
        <v>0</v>
      </c>
      <c r="BI64" s="677">
        <f t="shared" si="60"/>
        <v>0</v>
      </c>
      <c r="BJ64" s="678">
        <f t="shared" si="61"/>
        <v>0</v>
      </c>
      <c r="BK64" s="679">
        <f t="shared" si="62"/>
        <v>0</v>
      </c>
      <c r="BL64" s="675"/>
      <c r="BM64" s="676">
        <f t="shared" si="22"/>
        <v>0</v>
      </c>
      <c r="BN64" s="677">
        <f t="shared" si="23"/>
        <v>0</v>
      </c>
      <c r="BO64" s="677">
        <f t="shared" si="63"/>
        <v>0</v>
      </c>
      <c r="BP64" s="678">
        <f t="shared" si="64"/>
        <v>0</v>
      </c>
      <c r="BQ64" s="679">
        <f t="shared" si="65"/>
        <v>0</v>
      </c>
      <c r="BR64" s="675"/>
      <c r="BS64" s="676">
        <f t="shared" si="24"/>
        <v>0</v>
      </c>
      <c r="BT64" s="677">
        <f t="shared" si="25"/>
        <v>0</v>
      </c>
      <c r="BU64" s="677">
        <f t="shared" si="66"/>
        <v>0</v>
      </c>
      <c r="BV64" s="678">
        <f t="shared" si="67"/>
        <v>0</v>
      </c>
      <c r="BW64" s="679">
        <f t="shared" si="68"/>
        <v>0</v>
      </c>
      <c r="BX64" s="675"/>
      <c r="BY64" s="676">
        <f t="shared" si="26"/>
        <v>0</v>
      </c>
      <c r="BZ64" s="677">
        <f t="shared" si="27"/>
        <v>0</v>
      </c>
      <c r="CA64" s="677">
        <f t="shared" si="69"/>
        <v>0</v>
      </c>
      <c r="CB64" s="678">
        <f t="shared" si="70"/>
        <v>0</v>
      </c>
      <c r="CC64" s="679">
        <f t="shared" si="71"/>
        <v>0</v>
      </c>
      <c r="CD64" s="675"/>
      <c r="CE64" s="676">
        <f t="shared" si="28"/>
        <v>0</v>
      </c>
      <c r="CF64" s="677">
        <f t="shared" si="29"/>
        <v>0</v>
      </c>
      <c r="CG64" s="677">
        <f t="shared" si="72"/>
        <v>0</v>
      </c>
      <c r="CH64" s="678">
        <f t="shared" si="73"/>
        <v>0</v>
      </c>
      <c r="CI64" s="679">
        <f t="shared" si="74"/>
        <v>0</v>
      </c>
      <c r="CJ64" s="675"/>
      <c r="CK64" s="676">
        <f t="shared" si="30"/>
        <v>0</v>
      </c>
      <c r="CL64" s="677">
        <f t="shared" si="31"/>
        <v>0</v>
      </c>
      <c r="CM64" s="677">
        <f t="shared" si="75"/>
        <v>0</v>
      </c>
      <c r="CN64" s="678">
        <f t="shared" si="76"/>
        <v>0</v>
      </c>
      <c r="CO64" s="679">
        <f t="shared" si="77"/>
        <v>0</v>
      </c>
      <c r="CP64" s="675"/>
      <c r="CQ64" s="676">
        <f t="shared" si="32"/>
        <v>0</v>
      </c>
      <c r="CR64" s="677">
        <f t="shared" si="33"/>
        <v>0</v>
      </c>
      <c r="CS64" s="677">
        <f t="shared" si="78"/>
        <v>0</v>
      </c>
      <c r="CT64" s="678">
        <f t="shared" si="79"/>
        <v>0</v>
      </c>
      <c r="CU64" s="679">
        <f t="shared" si="80"/>
        <v>0</v>
      </c>
      <c r="CV64" s="680"/>
      <c r="CW64" s="681"/>
      <c r="CX64" s="682"/>
      <c r="CY64" s="682"/>
      <c r="CZ64" s="683"/>
      <c r="DA64" s="684"/>
      <c r="DB64" s="680"/>
      <c r="DC64" s="681"/>
      <c r="DD64" s="682"/>
      <c r="DE64" s="682"/>
      <c r="DF64" s="683"/>
      <c r="DG64" s="684"/>
      <c r="DH64" s="680"/>
      <c r="DI64" s="681"/>
      <c r="DJ64" s="682"/>
      <c r="DK64" s="682"/>
      <c r="DL64" s="683"/>
      <c r="DM64" s="684"/>
      <c r="DN64" s="680"/>
      <c r="DO64" s="681"/>
      <c r="DP64" s="682"/>
      <c r="DQ64" s="682"/>
      <c r="DR64" s="683"/>
      <c r="DS64" s="684"/>
      <c r="DT64" s="675"/>
      <c r="DU64" s="676">
        <f t="shared" si="34"/>
        <v>0</v>
      </c>
      <c r="DV64" s="677">
        <f t="shared" si="35"/>
        <v>0</v>
      </c>
      <c r="DW64" s="677">
        <f t="shared" si="81"/>
        <v>0</v>
      </c>
      <c r="DX64" s="678">
        <f t="shared" si="82"/>
        <v>0</v>
      </c>
      <c r="DY64" s="679">
        <f t="shared" si="83"/>
        <v>0</v>
      </c>
      <c r="DZ64" s="680"/>
      <c r="EA64" s="681"/>
      <c r="EB64" s="682"/>
      <c r="EC64" s="682"/>
      <c r="ED64" s="683"/>
      <c r="EE64" s="684"/>
      <c r="EF64" s="680"/>
      <c r="EG64" s="681"/>
      <c r="EH64" s="682"/>
      <c r="EI64" s="682"/>
      <c r="EJ64" s="683"/>
      <c r="EK64" s="684"/>
      <c r="EL64" s="680"/>
      <c r="EM64" s="681"/>
      <c r="EN64" s="682"/>
      <c r="EO64" s="682"/>
      <c r="EP64" s="683"/>
      <c r="EQ64" s="684"/>
      <c r="ER64" s="680"/>
      <c r="ES64" s="681"/>
      <c r="ET64" s="682"/>
      <c r="EU64" s="682"/>
      <c r="EV64" s="683"/>
      <c r="EW64" s="684"/>
      <c r="EX64" s="675"/>
      <c r="EY64" s="676">
        <f t="shared" si="36"/>
        <v>0</v>
      </c>
      <c r="EZ64" s="677">
        <f t="shared" si="37"/>
        <v>0</v>
      </c>
      <c r="FA64" s="677">
        <f t="shared" si="84"/>
        <v>0</v>
      </c>
      <c r="FB64" s="678">
        <f t="shared" si="85"/>
        <v>0</v>
      </c>
      <c r="FC64" s="679">
        <f t="shared" si="86"/>
        <v>0</v>
      </c>
      <c r="FD64" s="680"/>
      <c r="FE64" s="681"/>
      <c r="FF64" s="682"/>
      <c r="FG64" s="682"/>
      <c r="FH64" s="683"/>
      <c r="FI64" s="684"/>
      <c r="FJ64" s="680"/>
      <c r="FK64" s="681"/>
      <c r="FL64" s="682"/>
      <c r="FM64" s="682"/>
      <c r="FN64" s="683"/>
      <c r="FO64" s="684"/>
      <c r="FP64" s="680"/>
      <c r="FQ64" s="681"/>
      <c r="FR64" s="682"/>
      <c r="FS64" s="682"/>
      <c r="FT64" s="683"/>
      <c r="FU64" s="684"/>
      <c r="FV64" s="680"/>
      <c r="FW64" s="681"/>
      <c r="FX64" s="682"/>
      <c r="FY64" s="682"/>
      <c r="FZ64" s="683"/>
      <c r="GA64" s="684"/>
      <c r="GB64" s="675"/>
      <c r="GC64" s="676">
        <f t="shared" si="38"/>
        <v>0</v>
      </c>
      <c r="GD64" s="677">
        <f t="shared" si="39"/>
        <v>0</v>
      </c>
      <c r="GE64" s="677">
        <f t="shared" si="87"/>
        <v>0</v>
      </c>
      <c r="GF64" s="678">
        <f t="shared" si="88"/>
        <v>0</v>
      </c>
      <c r="GG64" s="679">
        <f t="shared" si="89"/>
        <v>0</v>
      </c>
      <c r="GH64" s="680"/>
      <c r="GI64" s="681"/>
      <c r="GJ64" s="682"/>
      <c r="GK64" s="682"/>
      <c r="GL64" s="683"/>
      <c r="GM64" s="684"/>
      <c r="GN64" s="680"/>
      <c r="GO64" s="681"/>
      <c r="GP64" s="682"/>
      <c r="GQ64" s="682"/>
      <c r="GR64" s="683"/>
      <c r="GS64" s="684"/>
      <c r="GT64" s="680"/>
      <c r="GU64" s="681"/>
      <c r="GV64" s="682"/>
      <c r="GW64" s="682"/>
      <c r="GX64" s="683"/>
      <c r="GY64" s="684"/>
      <c r="GZ64" s="680"/>
      <c r="HA64" s="147"/>
      <c r="HB64" s="148"/>
      <c r="HC64" s="148"/>
      <c r="HD64" s="149"/>
      <c r="HE64" s="150"/>
      <c r="HF64" s="8"/>
      <c r="HG64" s="502"/>
      <c r="HH64" s="502"/>
      <c r="HI64" s="502">
        <f t="shared" si="40"/>
        <v>1</v>
      </c>
      <c r="HJ64" s="8"/>
    </row>
    <row r="65" spans="2:218" ht="21">
      <c r="B65" s="488">
        <v>21</v>
      </c>
      <c r="C65" s="489" t="s">
        <v>149</v>
      </c>
      <c r="D65" s="490" t="s">
        <v>153</v>
      </c>
      <c r="E65" s="491" t="s">
        <v>154</v>
      </c>
      <c r="F65" s="492"/>
      <c r="G65" s="493"/>
      <c r="H65" s="146" t="s">
        <v>486</v>
      </c>
      <c r="I65" s="494" t="str">
        <f t="shared" si="4"/>
        <v>ons</v>
      </c>
      <c r="J65" s="495"/>
      <c r="K65" s="151">
        <v>0</v>
      </c>
      <c r="L65" s="256"/>
      <c r="M65" s="256">
        <f>IF($C$5&lt;3000,(Bron!H54*$C$5)+Bron!I54,(Bron!M54*$C$5)+Bron!N54)</f>
        <v>0</v>
      </c>
      <c r="N65" s="496">
        <f t="shared" si="41"/>
        <v>0</v>
      </c>
      <c r="O65" s="497" t="str">
        <f t="shared" si="5"/>
        <v/>
      </c>
      <c r="P65" s="257">
        <f>IF($C$5&lt;3000,$AN$32*Bron!J54,$AN$32*Bron!O54)</f>
        <v>0</v>
      </c>
      <c r="Q65" s="257">
        <f>IF($C$5&lt;3000,$AN$31*Bron!K54,$AN$31*Bron!P54)</f>
        <v>0</v>
      </c>
      <c r="R65" s="257">
        <f>IF($C$5&lt;3000,$AN$33*Bron!J54,$AN$33*Bron!O54)</f>
        <v>0</v>
      </c>
      <c r="S65" s="344"/>
      <c r="T65" s="258">
        <f t="shared" si="6"/>
        <v>0</v>
      </c>
      <c r="U65" s="259">
        <f t="shared" si="7"/>
        <v>0</v>
      </c>
      <c r="V65" s="675"/>
      <c r="W65" s="676">
        <f t="shared" si="8"/>
        <v>0</v>
      </c>
      <c r="X65" s="677">
        <f t="shared" si="9"/>
        <v>0</v>
      </c>
      <c r="Y65" s="677">
        <f t="shared" si="42"/>
        <v>0</v>
      </c>
      <c r="Z65" s="678">
        <f t="shared" si="43"/>
        <v>0</v>
      </c>
      <c r="AA65" s="679">
        <f t="shared" si="44"/>
        <v>0</v>
      </c>
      <c r="AB65" s="675"/>
      <c r="AC65" s="676">
        <f t="shared" si="10"/>
        <v>0</v>
      </c>
      <c r="AD65" s="677">
        <f t="shared" si="11"/>
        <v>0</v>
      </c>
      <c r="AE65" s="677">
        <f t="shared" si="45"/>
        <v>0</v>
      </c>
      <c r="AF65" s="678">
        <f t="shared" si="46"/>
        <v>0</v>
      </c>
      <c r="AG65" s="679">
        <f t="shared" si="47"/>
        <v>0</v>
      </c>
      <c r="AH65" s="675"/>
      <c r="AI65" s="676">
        <f t="shared" si="12"/>
        <v>0</v>
      </c>
      <c r="AJ65" s="677">
        <f t="shared" si="13"/>
        <v>0</v>
      </c>
      <c r="AK65" s="677">
        <f t="shared" si="48"/>
        <v>0</v>
      </c>
      <c r="AL65" s="678">
        <f t="shared" si="49"/>
        <v>0</v>
      </c>
      <c r="AM65" s="679">
        <f t="shared" si="50"/>
        <v>0</v>
      </c>
      <c r="AN65" s="675"/>
      <c r="AO65" s="676">
        <f t="shared" si="14"/>
        <v>0</v>
      </c>
      <c r="AP65" s="677">
        <f t="shared" si="15"/>
        <v>0</v>
      </c>
      <c r="AQ65" s="677">
        <f t="shared" si="51"/>
        <v>0</v>
      </c>
      <c r="AR65" s="678">
        <f t="shared" si="52"/>
        <v>0</v>
      </c>
      <c r="AS65" s="679">
        <f t="shared" si="53"/>
        <v>0</v>
      </c>
      <c r="AT65" s="675"/>
      <c r="AU65" s="676">
        <f t="shared" si="16"/>
        <v>0</v>
      </c>
      <c r="AV65" s="677">
        <f t="shared" si="17"/>
        <v>0</v>
      </c>
      <c r="AW65" s="677">
        <f t="shared" si="54"/>
        <v>0</v>
      </c>
      <c r="AX65" s="678">
        <f t="shared" si="55"/>
        <v>0</v>
      </c>
      <c r="AY65" s="679">
        <f t="shared" si="56"/>
        <v>0</v>
      </c>
      <c r="AZ65" s="675"/>
      <c r="BA65" s="676">
        <f t="shared" si="18"/>
        <v>0</v>
      </c>
      <c r="BB65" s="677">
        <f t="shared" si="19"/>
        <v>0</v>
      </c>
      <c r="BC65" s="677">
        <f t="shared" si="57"/>
        <v>0</v>
      </c>
      <c r="BD65" s="678">
        <f t="shared" si="58"/>
        <v>0</v>
      </c>
      <c r="BE65" s="679">
        <f t="shared" si="59"/>
        <v>0</v>
      </c>
      <c r="BF65" s="675"/>
      <c r="BG65" s="676">
        <f t="shared" si="20"/>
        <v>0</v>
      </c>
      <c r="BH65" s="677">
        <f t="shared" si="21"/>
        <v>0</v>
      </c>
      <c r="BI65" s="677">
        <f t="shared" si="60"/>
        <v>0</v>
      </c>
      <c r="BJ65" s="678">
        <f t="shared" si="61"/>
        <v>0</v>
      </c>
      <c r="BK65" s="679">
        <f t="shared" si="62"/>
        <v>0</v>
      </c>
      <c r="BL65" s="675"/>
      <c r="BM65" s="676">
        <f t="shared" si="22"/>
        <v>0</v>
      </c>
      <c r="BN65" s="677">
        <f t="shared" si="23"/>
        <v>0</v>
      </c>
      <c r="BO65" s="677">
        <f t="shared" si="63"/>
        <v>0</v>
      </c>
      <c r="BP65" s="678">
        <f t="shared" si="64"/>
        <v>0</v>
      </c>
      <c r="BQ65" s="679">
        <f t="shared" si="65"/>
        <v>0</v>
      </c>
      <c r="BR65" s="675"/>
      <c r="BS65" s="676">
        <f t="shared" si="24"/>
        <v>0</v>
      </c>
      <c r="BT65" s="677">
        <f t="shared" si="25"/>
        <v>0</v>
      </c>
      <c r="BU65" s="677">
        <f t="shared" si="66"/>
        <v>0</v>
      </c>
      <c r="BV65" s="678">
        <f t="shared" si="67"/>
        <v>0</v>
      </c>
      <c r="BW65" s="679">
        <f t="shared" si="68"/>
        <v>0</v>
      </c>
      <c r="BX65" s="675"/>
      <c r="BY65" s="676">
        <f t="shared" si="26"/>
        <v>0</v>
      </c>
      <c r="BZ65" s="677">
        <f t="shared" si="27"/>
        <v>0</v>
      </c>
      <c r="CA65" s="677">
        <f t="shared" si="69"/>
        <v>0</v>
      </c>
      <c r="CB65" s="678">
        <f t="shared" si="70"/>
        <v>0</v>
      </c>
      <c r="CC65" s="679">
        <f t="shared" si="71"/>
        <v>0</v>
      </c>
      <c r="CD65" s="675"/>
      <c r="CE65" s="676">
        <f t="shared" si="28"/>
        <v>0</v>
      </c>
      <c r="CF65" s="677">
        <f t="shared" si="29"/>
        <v>0</v>
      </c>
      <c r="CG65" s="677">
        <f t="shared" si="72"/>
        <v>0</v>
      </c>
      <c r="CH65" s="678">
        <f t="shared" si="73"/>
        <v>0</v>
      </c>
      <c r="CI65" s="679">
        <f t="shared" si="74"/>
        <v>0</v>
      </c>
      <c r="CJ65" s="675"/>
      <c r="CK65" s="676">
        <f t="shared" si="30"/>
        <v>0</v>
      </c>
      <c r="CL65" s="677">
        <f t="shared" si="31"/>
        <v>0</v>
      </c>
      <c r="CM65" s="677">
        <f t="shared" si="75"/>
        <v>0</v>
      </c>
      <c r="CN65" s="678">
        <f t="shared" si="76"/>
        <v>0</v>
      </c>
      <c r="CO65" s="679">
        <f t="shared" si="77"/>
        <v>0</v>
      </c>
      <c r="CP65" s="675"/>
      <c r="CQ65" s="676">
        <f t="shared" si="32"/>
        <v>0</v>
      </c>
      <c r="CR65" s="677">
        <f t="shared" si="33"/>
        <v>0</v>
      </c>
      <c r="CS65" s="677">
        <f t="shared" si="78"/>
        <v>0</v>
      </c>
      <c r="CT65" s="678">
        <f t="shared" si="79"/>
        <v>0</v>
      </c>
      <c r="CU65" s="679">
        <f t="shared" si="80"/>
        <v>0</v>
      </c>
      <c r="CV65" s="680"/>
      <c r="CW65" s="681"/>
      <c r="CX65" s="682"/>
      <c r="CY65" s="682"/>
      <c r="CZ65" s="683"/>
      <c r="DA65" s="684"/>
      <c r="DB65" s="680"/>
      <c r="DC65" s="681"/>
      <c r="DD65" s="682"/>
      <c r="DE65" s="682"/>
      <c r="DF65" s="683"/>
      <c r="DG65" s="684"/>
      <c r="DH65" s="680"/>
      <c r="DI65" s="681"/>
      <c r="DJ65" s="682"/>
      <c r="DK65" s="682"/>
      <c r="DL65" s="683"/>
      <c r="DM65" s="684"/>
      <c r="DN65" s="680"/>
      <c r="DO65" s="681"/>
      <c r="DP65" s="682"/>
      <c r="DQ65" s="682"/>
      <c r="DR65" s="683"/>
      <c r="DS65" s="684"/>
      <c r="DT65" s="675"/>
      <c r="DU65" s="676">
        <f t="shared" si="34"/>
        <v>0</v>
      </c>
      <c r="DV65" s="677">
        <f t="shared" si="35"/>
        <v>0</v>
      </c>
      <c r="DW65" s="677">
        <f t="shared" si="81"/>
        <v>0</v>
      </c>
      <c r="DX65" s="678">
        <f t="shared" si="82"/>
        <v>0</v>
      </c>
      <c r="DY65" s="679">
        <f t="shared" si="83"/>
        <v>0</v>
      </c>
      <c r="DZ65" s="680"/>
      <c r="EA65" s="681"/>
      <c r="EB65" s="682"/>
      <c r="EC65" s="682"/>
      <c r="ED65" s="683"/>
      <c r="EE65" s="684"/>
      <c r="EF65" s="680"/>
      <c r="EG65" s="681"/>
      <c r="EH65" s="682"/>
      <c r="EI65" s="682"/>
      <c r="EJ65" s="683"/>
      <c r="EK65" s="684"/>
      <c r="EL65" s="680"/>
      <c r="EM65" s="681"/>
      <c r="EN65" s="682"/>
      <c r="EO65" s="682"/>
      <c r="EP65" s="683"/>
      <c r="EQ65" s="684"/>
      <c r="ER65" s="680"/>
      <c r="ES65" s="681"/>
      <c r="ET65" s="682"/>
      <c r="EU65" s="682"/>
      <c r="EV65" s="683"/>
      <c r="EW65" s="684"/>
      <c r="EX65" s="675"/>
      <c r="EY65" s="676">
        <f t="shared" si="36"/>
        <v>0</v>
      </c>
      <c r="EZ65" s="677">
        <f t="shared" si="37"/>
        <v>0</v>
      </c>
      <c r="FA65" s="677">
        <f t="shared" si="84"/>
        <v>0</v>
      </c>
      <c r="FB65" s="678">
        <f t="shared" si="85"/>
        <v>0</v>
      </c>
      <c r="FC65" s="679">
        <f t="shared" si="86"/>
        <v>0</v>
      </c>
      <c r="FD65" s="680"/>
      <c r="FE65" s="681"/>
      <c r="FF65" s="682"/>
      <c r="FG65" s="682"/>
      <c r="FH65" s="683"/>
      <c r="FI65" s="684"/>
      <c r="FJ65" s="680"/>
      <c r="FK65" s="681"/>
      <c r="FL65" s="682"/>
      <c r="FM65" s="682"/>
      <c r="FN65" s="683"/>
      <c r="FO65" s="684"/>
      <c r="FP65" s="680"/>
      <c r="FQ65" s="681"/>
      <c r="FR65" s="682"/>
      <c r="FS65" s="682"/>
      <c r="FT65" s="683"/>
      <c r="FU65" s="684"/>
      <c r="FV65" s="680"/>
      <c r="FW65" s="681"/>
      <c r="FX65" s="682"/>
      <c r="FY65" s="682"/>
      <c r="FZ65" s="683"/>
      <c r="GA65" s="684"/>
      <c r="GB65" s="675"/>
      <c r="GC65" s="676">
        <f t="shared" si="38"/>
        <v>0</v>
      </c>
      <c r="GD65" s="677">
        <f t="shared" si="39"/>
        <v>0</v>
      </c>
      <c r="GE65" s="677">
        <f t="shared" si="87"/>
        <v>0</v>
      </c>
      <c r="GF65" s="678">
        <f t="shared" si="88"/>
        <v>0</v>
      </c>
      <c r="GG65" s="679">
        <f t="shared" si="89"/>
        <v>0</v>
      </c>
      <c r="GH65" s="680"/>
      <c r="GI65" s="681"/>
      <c r="GJ65" s="682"/>
      <c r="GK65" s="682"/>
      <c r="GL65" s="683"/>
      <c r="GM65" s="684"/>
      <c r="GN65" s="680"/>
      <c r="GO65" s="681"/>
      <c r="GP65" s="682"/>
      <c r="GQ65" s="682"/>
      <c r="GR65" s="683"/>
      <c r="GS65" s="684"/>
      <c r="GT65" s="680"/>
      <c r="GU65" s="681"/>
      <c r="GV65" s="682"/>
      <c r="GW65" s="682"/>
      <c r="GX65" s="683"/>
      <c r="GY65" s="684"/>
      <c r="GZ65" s="680"/>
      <c r="HA65" s="147"/>
      <c r="HB65" s="148"/>
      <c r="HC65" s="148"/>
      <c r="HD65" s="149"/>
      <c r="HE65" s="150"/>
      <c r="HF65" s="8"/>
      <c r="HG65" s="502"/>
      <c r="HH65" s="502"/>
      <c r="HI65" s="502">
        <f t="shared" si="40"/>
        <v>1</v>
      </c>
      <c r="HJ65" s="8"/>
    </row>
    <row r="66" spans="2:218" ht="21" hidden="1">
      <c r="B66" s="488">
        <v>22</v>
      </c>
      <c r="C66" s="489" t="s">
        <v>156</v>
      </c>
      <c r="D66" s="490" t="s">
        <v>155</v>
      </c>
      <c r="E66" s="491" t="s">
        <v>411</v>
      </c>
      <c r="F66" s="492"/>
      <c r="G66" s="493"/>
      <c r="H66" s="146" t="s">
        <v>97</v>
      </c>
      <c r="I66" s="494" t="str">
        <f t="shared" si="4"/>
        <v>n.v.t.</v>
      </c>
      <c r="J66" s="495"/>
      <c r="K66" s="151">
        <v>0</v>
      </c>
      <c r="L66" s="256"/>
      <c r="M66" s="256">
        <f>IF($C$5&lt;3000,(Bron!H55*$C$5)+Bron!I55,(Bron!M55*$C$5)+Bron!N55)</f>
        <v>0</v>
      </c>
      <c r="N66" s="496">
        <f t="shared" si="41"/>
        <v>0</v>
      </c>
      <c r="O66" s="497" t="str">
        <f t="shared" si="5"/>
        <v/>
      </c>
      <c r="P66" s="257">
        <f>IF($C$5&lt;3000,$AN$32*Bron!J55,$AN$32*Bron!O55)</f>
        <v>0</v>
      </c>
      <c r="Q66" s="257">
        <f>IF($C$5&lt;3000,$AN$31*Bron!K55,$AN$31*Bron!P55)</f>
        <v>0</v>
      </c>
      <c r="R66" s="257">
        <f>IF($C$5&lt;3000,$AN$33*Bron!J55,$AN$33*Bron!O55)</f>
        <v>0</v>
      </c>
      <c r="S66" s="344"/>
      <c r="T66" s="258">
        <f t="shared" si="6"/>
        <v>0</v>
      </c>
      <c r="U66" s="259">
        <f t="shared" si="7"/>
        <v>0</v>
      </c>
      <c r="V66" s="675"/>
      <c r="W66" s="676">
        <f t="shared" si="8"/>
        <v>0</v>
      </c>
      <c r="X66" s="677">
        <f t="shared" si="9"/>
        <v>0</v>
      </c>
      <c r="Y66" s="677">
        <f t="shared" si="42"/>
        <v>0</v>
      </c>
      <c r="Z66" s="678">
        <f t="shared" si="43"/>
        <v>0</v>
      </c>
      <c r="AA66" s="679">
        <f t="shared" si="44"/>
        <v>0</v>
      </c>
      <c r="AB66" s="675"/>
      <c r="AC66" s="676">
        <f t="shared" si="10"/>
        <v>0</v>
      </c>
      <c r="AD66" s="677">
        <f t="shared" si="11"/>
        <v>0</v>
      </c>
      <c r="AE66" s="677">
        <f t="shared" si="45"/>
        <v>0</v>
      </c>
      <c r="AF66" s="678">
        <f t="shared" si="46"/>
        <v>0</v>
      </c>
      <c r="AG66" s="679">
        <f t="shared" si="47"/>
        <v>0</v>
      </c>
      <c r="AH66" s="675"/>
      <c r="AI66" s="676">
        <f t="shared" si="12"/>
        <v>0</v>
      </c>
      <c r="AJ66" s="677">
        <f t="shared" si="13"/>
        <v>0</v>
      </c>
      <c r="AK66" s="677">
        <f t="shared" si="48"/>
        <v>0</v>
      </c>
      <c r="AL66" s="678">
        <f t="shared" si="49"/>
        <v>0</v>
      </c>
      <c r="AM66" s="679">
        <f t="shared" si="50"/>
        <v>0</v>
      </c>
      <c r="AN66" s="675"/>
      <c r="AO66" s="676">
        <f t="shared" si="14"/>
        <v>0</v>
      </c>
      <c r="AP66" s="677">
        <f t="shared" si="15"/>
        <v>0</v>
      </c>
      <c r="AQ66" s="677">
        <f t="shared" si="51"/>
        <v>0</v>
      </c>
      <c r="AR66" s="678">
        <f t="shared" si="52"/>
        <v>0</v>
      </c>
      <c r="AS66" s="679">
        <f t="shared" si="53"/>
        <v>0</v>
      </c>
      <c r="AT66" s="675"/>
      <c r="AU66" s="676">
        <f t="shared" si="16"/>
        <v>0</v>
      </c>
      <c r="AV66" s="677">
        <f t="shared" si="17"/>
        <v>0</v>
      </c>
      <c r="AW66" s="677">
        <f t="shared" si="54"/>
        <v>0</v>
      </c>
      <c r="AX66" s="678">
        <f t="shared" si="55"/>
        <v>0</v>
      </c>
      <c r="AY66" s="679">
        <f t="shared" si="56"/>
        <v>0</v>
      </c>
      <c r="AZ66" s="675"/>
      <c r="BA66" s="676">
        <f t="shared" si="18"/>
        <v>0</v>
      </c>
      <c r="BB66" s="677">
        <f t="shared" si="19"/>
        <v>0</v>
      </c>
      <c r="BC66" s="677">
        <f t="shared" si="57"/>
        <v>0</v>
      </c>
      <c r="BD66" s="678">
        <f t="shared" si="58"/>
        <v>0</v>
      </c>
      <c r="BE66" s="679">
        <f t="shared" si="59"/>
        <v>0</v>
      </c>
      <c r="BF66" s="675"/>
      <c r="BG66" s="676">
        <f t="shared" si="20"/>
        <v>0</v>
      </c>
      <c r="BH66" s="677">
        <f t="shared" si="21"/>
        <v>0</v>
      </c>
      <c r="BI66" s="677">
        <f t="shared" si="60"/>
        <v>0</v>
      </c>
      <c r="BJ66" s="678">
        <f t="shared" si="61"/>
        <v>0</v>
      </c>
      <c r="BK66" s="679">
        <f t="shared" si="62"/>
        <v>0</v>
      </c>
      <c r="BL66" s="675"/>
      <c r="BM66" s="676">
        <f t="shared" si="22"/>
        <v>0</v>
      </c>
      <c r="BN66" s="677">
        <f t="shared" si="23"/>
        <v>0</v>
      </c>
      <c r="BO66" s="677">
        <f t="shared" si="63"/>
        <v>0</v>
      </c>
      <c r="BP66" s="678">
        <f t="shared" si="64"/>
        <v>0</v>
      </c>
      <c r="BQ66" s="679">
        <f t="shared" si="65"/>
        <v>0</v>
      </c>
      <c r="BR66" s="675"/>
      <c r="BS66" s="676">
        <f t="shared" si="24"/>
        <v>0</v>
      </c>
      <c r="BT66" s="677">
        <f t="shared" si="25"/>
        <v>0</v>
      </c>
      <c r="BU66" s="677">
        <f t="shared" si="66"/>
        <v>0</v>
      </c>
      <c r="BV66" s="678">
        <f t="shared" si="67"/>
        <v>0</v>
      </c>
      <c r="BW66" s="679">
        <f t="shared" si="68"/>
        <v>0</v>
      </c>
      <c r="BX66" s="675"/>
      <c r="BY66" s="676">
        <f t="shared" si="26"/>
        <v>0</v>
      </c>
      <c r="BZ66" s="677">
        <f t="shared" si="27"/>
        <v>0</v>
      </c>
      <c r="CA66" s="677">
        <f t="shared" si="69"/>
        <v>0</v>
      </c>
      <c r="CB66" s="678">
        <f t="shared" si="70"/>
        <v>0</v>
      </c>
      <c r="CC66" s="679">
        <f t="shared" si="71"/>
        <v>0</v>
      </c>
      <c r="CD66" s="675"/>
      <c r="CE66" s="676">
        <f t="shared" si="28"/>
        <v>0</v>
      </c>
      <c r="CF66" s="677">
        <f t="shared" si="29"/>
        <v>0</v>
      </c>
      <c r="CG66" s="677">
        <f t="shared" si="72"/>
        <v>0</v>
      </c>
      <c r="CH66" s="678">
        <f t="shared" si="73"/>
        <v>0</v>
      </c>
      <c r="CI66" s="679">
        <f t="shared" si="74"/>
        <v>0</v>
      </c>
      <c r="CJ66" s="675"/>
      <c r="CK66" s="676">
        <f t="shared" si="30"/>
        <v>0</v>
      </c>
      <c r="CL66" s="677">
        <f t="shared" si="31"/>
        <v>0</v>
      </c>
      <c r="CM66" s="677">
        <f t="shared" si="75"/>
        <v>0</v>
      </c>
      <c r="CN66" s="678">
        <f t="shared" si="76"/>
        <v>0</v>
      </c>
      <c r="CO66" s="679">
        <f t="shared" si="77"/>
        <v>0</v>
      </c>
      <c r="CP66" s="675"/>
      <c r="CQ66" s="676">
        <f t="shared" si="32"/>
        <v>0</v>
      </c>
      <c r="CR66" s="677">
        <f t="shared" si="33"/>
        <v>0</v>
      </c>
      <c r="CS66" s="677">
        <f t="shared" si="78"/>
        <v>0</v>
      </c>
      <c r="CT66" s="678">
        <f t="shared" si="79"/>
        <v>0</v>
      </c>
      <c r="CU66" s="679">
        <f t="shared" si="80"/>
        <v>0</v>
      </c>
      <c r="CV66" s="685"/>
      <c r="CW66" s="681"/>
      <c r="CX66" s="682"/>
      <c r="CY66" s="682"/>
      <c r="CZ66" s="683"/>
      <c r="DA66" s="684"/>
      <c r="DB66" s="685"/>
      <c r="DC66" s="681"/>
      <c r="DD66" s="682"/>
      <c r="DE66" s="682"/>
      <c r="DF66" s="683"/>
      <c r="DG66" s="684"/>
      <c r="DH66" s="685"/>
      <c r="DI66" s="681"/>
      <c r="DJ66" s="682"/>
      <c r="DK66" s="682"/>
      <c r="DL66" s="683"/>
      <c r="DM66" s="684"/>
      <c r="DN66" s="685"/>
      <c r="DO66" s="681"/>
      <c r="DP66" s="682"/>
      <c r="DQ66" s="682"/>
      <c r="DR66" s="683"/>
      <c r="DS66" s="684"/>
      <c r="DT66" s="675"/>
      <c r="DU66" s="676">
        <f t="shared" si="34"/>
        <v>0</v>
      </c>
      <c r="DV66" s="677">
        <f t="shared" si="35"/>
        <v>0</v>
      </c>
      <c r="DW66" s="677">
        <f t="shared" si="81"/>
        <v>0</v>
      </c>
      <c r="DX66" s="678">
        <f t="shared" si="82"/>
        <v>0</v>
      </c>
      <c r="DY66" s="679">
        <f t="shared" si="83"/>
        <v>0</v>
      </c>
      <c r="DZ66" s="680"/>
      <c r="EA66" s="681"/>
      <c r="EB66" s="682"/>
      <c r="EC66" s="682"/>
      <c r="ED66" s="683"/>
      <c r="EE66" s="684"/>
      <c r="EF66" s="680"/>
      <c r="EG66" s="681"/>
      <c r="EH66" s="682"/>
      <c r="EI66" s="682"/>
      <c r="EJ66" s="683"/>
      <c r="EK66" s="684"/>
      <c r="EL66" s="680"/>
      <c r="EM66" s="681"/>
      <c r="EN66" s="682"/>
      <c r="EO66" s="682"/>
      <c r="EP66" s="683"/>
      <c r="EQ66" s="684"/>
      <c r="ER66" s="680"/>
      <c r="ES66" s="681"/>
      <c r="ET66" s="682"/>
      <c r="EU66" s="682"/>
      <c r="EV66" s="683"/>
      <c r="EW66" s="684"/>
      <c r="EX66" s="675"/>
      <c r="EY66" s="676">
        <f t="shared" si="36"/>
        <v>0</v>
      </c>
      <c r="EZ66" s="677">
        <f t="shared" si="37"/>
        <v>0</v>
      </c>
      <c r="FA66" s="677">
        <f t="shared" si="84"/>
        <v>0</v>
      </c>
      <c r="FB66" s="678">
        <f t="shared" si="85"/>
        <v>0</v>
      </c>
      <c r="FC66" s="679">
        <f t="shared" si="86"/>
        <v>0</v>
      </c>
      <c r="FD66" s="680"/>
      <c r="FE66" s="681"/>
      <c r="FF66" s="682"/>
      <c r="FG66" s="682"/>
      <c r="FH66" s="683"/>
      <c r="FI66" s="684"/>
      <c r="FJ66" s="680"/>
      <c r="FK66" s="681"/>
      <c r="FL66" s="682"/>
      <c r="FM66" s="682"/>
      <c r="FN66" s="683"/>
      <c r="FO66" s="684"/>
      <c r="FP66" s="680"/>
      <c r="FQ66" s="681"/>
      <c r="FR66" s="682"/>
      <c r="FS66" s="682"/>
      <c r="FT66" s="683"/>
      <c r="FU66" s="684"/>
      <c r="FV66" s="680"/>
      <c r="FW66" s="681"/>
      <c r="FX66" s="682"/>
      <c r="FY66" s="682"/>
      <c r="FZ66" s="683"/>
      <c r="GA66" s="684"/>
      <c r="GB66" s="675"/>
      <c r="GC66" s="676">
        <f t="shared" si="38"/>
        <v>0</v>
      </c>
      <c r="GD66" s="677">
        <f t="shared" si="39"/>
        <v>0</v>
      </c>
      <c r="GE66" s="677">
        <f t="shared" si="87"/>
        <v>0</v>
      </c>
      <c r="GF66" s="678">
        <f t="shared" si="88"/>
        <v>0</v>
      </c>
      <c r="GG66" s="679">
        <f t="shared" si="89"/>
        <v>0</v>
      </c>
      <c r="GH66" s="680"/>
      <c r="GI66" s="681"/>
      <c r="GJ66" s="682"/>
      <c r="GK66" s="682"/>
      <c r="GL66" s="683"/>
      <c r="GM66" s="684"/>
      <c r="GN66" s="680"/>
      <c r="GO66" s="681"/>
      <c r="GP66" s="682"/>
      <c r="GQ66" s="682"/>
      <c r="GR66" s="683"/>
      <c r="GS66" s="684"/>
      <c r="GT66" s="680"/>
      <c r="GU66" s="681"/>
      <c r="GV66" s="682"/>
      <c r="GW66" s="682"/>
      <c r="GX66" s="683"/>
      <c r="GY66" s="684"/>
      <c r="GZ66" s="680"/>
      <c r="HA66" s="147"/>
      <c r="HB66" s="148"/>
      <c r="HC66" s="148"/>
      <c r="HD66" s="149"/>
      <c r="HE66" s="150"/>
      <c r="HF66" s="8"/>
      <c r="HG66" s="502"/>
      <c r="HH66" s="502"/>
      <c r="HI66" s="502">
        <f t="shared" si="40"/>
        <v>1</v>
      </c>
      <c r="HJ66" s="8"/>
    </row>
    <row r="67" spans="2:218" ht="21" hidden="1">
      <c r="B67" s="488">
        <v>23</v>
      </c>
      <c r="C67" s="489" t="s">
        <v>156</v>
      </c>
      <c r="D67" s="490" t="s">
        <v>157</v>
      </c>
      <c r="E67" s="491" t="s">
        <v>158</v>
      </c>
      <c r="F67" s="492"/>
      <c r="G67" s="493"/>
      <c r="H67" s="146" t="s">
        <v>97</v>
      </c>
      <c r="I67" s="494" t="str">
        <f t="shared" si="4"/>
        <v>n.v.t.</v>
      </c>
      <c r="J67" s="495" t="s">
        <v>487</v>
      </c>
      <c r="K67" s="151">
        <v>0</v>
      </c>
      <c r="L67" s="256">
        <f>IF($C$5&lt;3000,(Bron!H56*$C$5)+Bron!I56,(Bron!M56*$C$5)+Bron!N56)</f>
        <v>1000</v>
      </c>
      <c r="M67" s="256"/>
      <c r="N67" s="496">
        <f t="shared" si="41"/>
        <v>485.03332</v>
      </c>
      <c r="O67" s="497">
        <f t="shared" si="5"/>
        <v>2.0617140282238755</v>
      </c>
      <c r="P67" s="257">
        <f>IF($C$5&lt;3000,$AN$32*Bron!J56,$AN$32*Bron!O56)</f>
        <v>0</v>
      </c>
      <c r="Q67" s="257">
        <f>IF($C$5&lt;3000,$AN$31*Bron!K56,$AN$31*Bron!P56)</f>
        <v>1909.58</v>
      </c>
      <c r="R67" s="257">
        <f>IF($C$5&lt;3000,$AN$33*Bron!J56,$AN$33*Bron!O56)</f>
        <v>0</v>
      </c>
      <c r="S67" s="344"/>
      <c r="T67" s="258">
        <f t="shared" si="6"/>
        <v>0</v>
      </c>
      <c r="U67" s="259">
        <f t="shared" si="7"/>
        <v>0</v>
      </c>
      <c r="V67" s="675"/>
      <c r="W67" s="676">
        <f t="shared" si="8"/>
        <v>0</v>
      </c>
      <c r="X67" s="677">
        <f t="shared" si="9"/>
        <v>0</v>
      </c>
      <c r="Y67" s="677">
        <f t="shared" si="42"/>
        <v>0</v>
      </c>
      <c r="Z67" s="678">
        <f t="shared" si="43"/>
        <v>0</v>
      </c>
      <c r="AA67" s="679">
        <f t="shared" si="44"/>
        <v>0</v>
      </c>
      <c r="AB67" s="675"/>
      <c r="AC67" s="676">
        <f t="shared" si="10"/>
        <v>0</v>
      </c>
      <c r="AD67" s="677">
        <f t="shared" si="11"/>
        <v>0</v>
      </c>
      <c r="AE67" s="677">
        <f t="shared" si="45"/>
        <v>0</v>
      </c>
      <c r="AF67" s="678">
        <f t="shared" si="46"/>
        <v>0</v>
      </c>
      <c r="AG67" s="679">
        <f t="shared" si="47"/>
        <v>0</v>
      </c>
      <c r="AH67" s="675"/>
      <c r="AI67" s="676">
        <f t="shared" si="12"/>
        <v>0</v>
      </c>
      <c r="AJ67" s="677">
        <f t="shared" si="13"/>
        <v>0</v>
      </c>
      <c r="AK67" s="677">
        <f t="shared" si="48"/>
        <v>0</v>
      </c>
      <c r="AL67" s="678">
        <f t="shared" si="49"/>
        <v>0</v>
      </c>
      <c r="AM67" s="679">
        <f t="shared" si="50"/>
        <v>0</v>
      </c>
      <c r="AN67" s="675"/>
      <c r="AO67" s="676">
        <f t="shared" si="14"/>
        <v>0</v>
      </c>
      <c r="AP67" s="677">
        <f t="shared" si="15"/>
        <v>0</v>
      </c>
      <c r="AQ67" s="677">
        <f t="shared" si="51"/>
        <v>0</v>
      </c>
      <c r="AR67" s="678">
        <f t="shared" si="52"/>
        <v>0</v>
      </c>
      <c r="AS67" s="679">
        <f t="shared" si="53"/>
        <v>0</v>
      </c>
      <c r="AT67" s="675"/>
      <c r="AU67" s="676">
        <f t="shared" si="16"/>
        <v>0</v>
      </c>
      <c r="AV67" s="677">
        <f t="shared" si="17"/>
        <v>0</v>
      </c>
      <c r="AW67" s="677">
        <f t="shared" si="54"/>
        <v>0</v>
      </c>
      <c r="AX67" s="678">
        <f t="shared" si="55"/>
        <v>0</v>
      </c>
      <c r="AY67" s="679">
        <f t="shared" si="56"/>
        <v>0</v>
      </c>
      <c r="AZ67" s="675"/>
      <c r="BA67" s="676">
        <f t="shared" si="18"/>
        <v>0</v>
      </c>
      <c r="BB67" s="677">
        <f t="shared" si="19"/>
        <v>0</v>
      </c>
      <c r="BC67" s="677">
        <f t="shared" si="57"/>
        <v>0</v>
      </c>
      <c r="BD67" s="678">
        <f t="shared" si="58"/>
        <v>0</v>
      </c>
      <c r="BE67" s="679">
        <f t="shared" si="59"/>
        <v>0</v>
      </c>
      <c r="BF67" s="675"/>
      <c r="BG67" s="676">
        <f t="shared" si="20"/>
        <v>0</v>
      </c>
      <c r="BH67" s="677">
        <f t="shared" si="21"/>
        <v>0</v>
      </c>
      <c r="BI67" s="677">
        <f t="shared" si="60"/>
        <v>0</v>
      </c>
      <c r="BJ67" s="678">
        <f t="shared" si="61"/>
        <v>0</v>
      </c>
      <c r="BK67" s="679">
        <f t="shared" si="62"/>
        <v>0</v>
      </c>
      <c r="BL67" s="675"/>
      <c r="BM67" s="676">
        <f t="shared" si="22"/>
        <v>0</v>
      </c>
      <c r="BN67" s="677">
        <f t="shared" si="23"/>
        <v>0</v>
      </c>
      <c r="BO67" s="677">
        <f t="shared" si="63"/>
        <v>0</v>
      </c>
      <c r="BP67" s="678">
        <f t="shared" si="64"/>
        <v>0</v>
      </c>
      <c r="BQ67" s="679">
        <f t="shared" si="65"/>
        <v>0</v>
      </c>
      <c r="BR67" s="675"/>
      <c r="BS67" s="676">
        <f t="shared" si="24"/>
        <v>0</v>
      </c>
      <c r="BT67" s="677">
        <f t="shared" si="25"/>
        <v>0</v>
      </c>
      <c r="BU67" s="677">
        <f t="shared" si="66"/>
        <v>0</v>
      </c>
      <c r="BV67" s="678">
        <f t="shared" si="67"/>
        <v>0</v>
      </c>
      <c r="BW67" s="679">
        <f t="shared" si="68"/>
        <v>0</v>
      </c>
      <c r="BX67" s="675"/>
      <c r="BY67" s="676">
        <f t="shared" si="26"/>
        <v>0</v>
      </c>
      <c r="BZ67" s="677">
        <f t="shared" si="27"/>
        <v>0</v>
      </c>
      <c r="CA67" s="677">
        <f t="shared" si="69"/>
        <v>0</v>
      </c>
      <c r="CB67" s="678">
        <f t="shared" si="70"/>
        <v>0</v>
      </c>
      <c r="CC67" s="679">
        <f t="shared" si="71"/>
        <v>0</v>
      </c>
      <c r="CD67" s="675"/>
      <c r="CE67" s="676">
        <f t="shared" si="28"/>
        <v>0</v>
      </c>
      <c r="CF67" s="677">
        <f t="shared" si="29"/>
        <v>0</v>
      </c>
      <c r="CG67" s="677">
        <f t="shared" si="72"/>
        <v>0</v>
      </c>
      <c r="CH67" s="678">
        <f t="shared" si="73"/>
        <v>0</v>
      </c>
      <c r="CI67" s="679">
        <f t="shared" si="74"/>
        <v>0</v>
      </c>
      <c r="CJ67" s="675"/>
      <c r="CK67" s="676">
        <f t="shared" si="30"/>
        <v>0</v>
      </c>
      <c r="CL67" s="677">
        <f t="shared" si="31"/>
        <v>0</v>
      </c>
      <c r="CM67" s="677">
        <f t="shared" si="75"/>
        <v>0</v>
      </c>
      <c r="CN67" s="678">
        <f t="shared" si="76"/>
        <v>0</v>
      </c>
      <c r="CO67" s="679">
        <f t="shared" si="77"/>
        <v>0</v>
      </c>
      <c r="CP67" s="675"/>
      <c r="CQ67" s="676">
        <f t="shared" si="32"/>
        <v>0</v>
      </c>
      <c r="CR67" s="677">
        <f t="shared" si="33"/>
        <v>0</v>
      </c>
      <c r="CS67" s="677">
        <f t="shared" si="78"/>
        <v>0</v>
      </c>
      <c r="CT67" s="678">
        <f t="shared" si="79"/>
        <v>0</v>
      </c>
      <c r="CU67" s="679">
        <f t="shared" si="80"/>
        <v>0</v>
      </c>
      <c r="CV67" s="685"/>
      <c r="CW67" s="681"/>
      <c r="CX67" s="682"/>
      <c r="CY67" s="682"/>
      <c r="CZ67" s="683"/>
      <c r="DA67" s="684"/>
      <c r="DB67" s="685"/>
      <c r="DC67" s="681"/>
      <c r="DD67" s="682"/>
      <c r="DE67" s="682"/>
      <c r="DF67" s="683"/>
      <c r="DG67" s="684"/>
      <c r="DH67" s="685"/>
      <c r="DI67" s="681"/>
      <c r="DJ67" s="682"/>
      <c r="DK67" s="682"/>
      <c r="DL67" s="683"/>
      <c r="DM67" s="684"/>
      <c r="DN67" s="685"/>
      <c r="DO67" s="681"/>
      <c r="DP67" s="682"/>
      <c r="DQ67" s="682"/>
      <c r="DR67" s="683"/>
      <c r="DS67" s="684"/>
      <c r="DT67" s="675"/>
      <c r="DU67" s="676">
        <f t="shared" si="34"/>
        <v>0</v>
      </c>
      <c r="DV67" s="677">
        <f t="shared" si="35"/>
        <v>0</v>
      </c>
      <c r="DW67" s="677">
        <f t="shared" si="81"/>
        <v>0</v>
      </c>
      <c r="DX67" s="678">
        <f t="shared" si="82"/>
        <v>0</v>
      </c>
      <c r="DY67" s="679">
        <f t="shared" si="83"/>
        <v>0</v>
      </c>
      <c r="DZ67" s="680"/>
      <c r="EA67" s="681"/>
      <c r="EB67" s="682"/>
      <c r="EC67" s="682"/>
      <c r="ED67" s="683"/>
      <c r="EE67" s="684"/>
      <c r="EF67" s="680"/>
      <c r="EG67" s="681"/>
      <c r="EH67" s="682"/>
      <c r="EI67" s="682"/>
      <c r="EJ67" s="683"/>
      <c r="EK67" s="684"/>
      <c r="EL67" s="680"/>
      <c r="EM67" s="681"/>
      <c r="EN67" s="682"/>
      <c r="EO67" s="682"/>
      <c r="EP67" s="683"/>
      <c r="EQ67" s="684"/>
      <c r="ER67" s="680"/>
      <c r="ES67" s="681"/>
      <c r="ET67" s="682"/>
      <c r="EU67" s="682"/>
      <c r="EV67" s="683"/>
      <c r="EW67" s="684"/>
      <c r="EX67" s="675"/>
      <c r="EY67" s="676">
        <f t="shared" si="36"/>
        <v>0</v>
      </c>
      <c r="EZ67" s="677">
        <f t="shared" si="37"/>
        <v>0</v>
      </c>
      <c r="FA67" s="677">
        <f t="shared" si="84"/>
        <v>0</v>
      </c>
      <c r="FB67" s="678">
        <f t="shared" si="85"/>
        <v>0</v>
      </c>
      <c r="FC67" s="679">
        <f t="shared" si="86"/>
        <v>0</v>
      </c>
      <c r="FD67" s="680"/>
      <c r="FE67" s="681"/>
      <c r="FF67" s="682"/>
      <c r="FG67" s="682"/>
      <c r="FH67" s="683"/>
      <c r="FI67" s="684"/>
      <c r="FJ67" s="680"/>
      <c r="FK67" s="681"/>
      <c r="FL67" s="682"/>
      <c r="FM67" s="682"/>
      <c r="FN67" s="683"/>
      <c r="FO67" s="684"/>
      <c r="FP67" s="680"/>
      <c r="FQ67" s="681"/>
      <c r="FR67" s="682"/>
      <c r="FS67" s="682"/>
      <c r="FT67" s="683"/>
      <c r="FU67" s="684"/>
      <c r="FV67" s="680"/>
      <c r="FW67" s="681"/>
      <c r="FX67" s="682"/>
      <c r="FY67" s="682"/>
      <c r="FZ67" s="683"/>
      <c r="GA67" s="684"/>
      <c r="GB67" s="675"/>
      <c r="GC67" s="676">
        <f t="shared" si="38"/>
        <v>0</v>
      </c>
      <c r="GD67" s="677">
        <f t="shared" si="39"/>
        <v>0</v>
      </c>
      <c r="GE67" s="677">
        <f t="shared" si="87"/>
        <v>0</v>
      </c>
      <c r="GF67" s="678">
        <f t="shared" si="88"/>
        <v>0</v>
      </c>
      <c r="GG67" s="679">
        <f t="shared" si="89"/>
        <v>0</v>
      </c>
      <c r="GH67" s="680"/>
      <c r="GI67" s="681"/>
      <c r="GJ67" s="682"/>
      <c r="GK67" s="682"/>
      <c r="GL67" s="683"/>
      <c r="GM67" s="684"/>
      <c r="GN67" s="680"/>
      <c r="GO67" s="681"/>
      <c r="GP67" s="682"/>
      <c r="GQ67" s="682"/>
      <c r="GR67" s="683"/>
      <c r="GS67" s="684"/>
      <c r="GT67" s="680"/>
      <c r="GU67" s="681"/>
      <c r="GV67" s="682"/>
      <c r="GW67" s="682"/>
      <c r="GX67" s="683"/>
      <c r="GY67" s="684"/>
      <c r="GZ67" s="680"/>
      <c r="HA67" s="147"/>
      <c r="HB67" s="148"/>
      <c r="HC67" s="148"/>
      <c r="HD67" s="149"/>
      <c r="HE67" s="150"/>
      <c r="HF67" s="8"/>
      <c r="HG67" s="502"/>
      <c r="HH67" s="502"/>
      <c r="HI67" s="502"/>
      <c r="HJ67" s="8"/>
    </row>
    <row r="68" spans="2:218" ht="21" hidden="1">
      <c r="B68" s="488">
        <v>24</v>
      </c>
      <c r="C68" s="489" t="s">
        <v>156</v>
      </c>
      <c r="D68" s="490" t="s">
        <v>159</v>
      </c>
      <c r="E68" s="491" t="s">
        <v>160</v>
      </c>
      <c r="F68" s="492"/>
      <c r="G68" s="493"/>
      <c r="H68" s="146" t="s">
        <v>97</v>
      </c>
      <c r="I68" s="494" t="str">
        <f t="shared" si="4"/>
        <v>n.v.t.</v>
      </c>
      <c r="J68" s="495"/>
      <c r="K68" s="151">
        <v>0</v>
      </c>
      <c r="L68" s="256"/>
      <c r="M68" s="256">
        <f>IF($C$5&lt;3000,(Bron!H57*$C$5)+Bron!I57,(Bron!M57*$C$5)+Bron!N57)</f>
        <v>0</v>
      </c>
      <c r="N68" s="496">
        <f t="shared" si="41"/>
        <v>0</v>
      </c>
      <c r="O68" s="497" t="str">
        <f t="shared" si="5"/>
        <v/>
      </c>
      <c r="P68" s="257">
        <f>IF($C$5&lt;3000,$AN$32*Bron!J57,$AN$32*Bron!O57)</f>
        <v>0</v>
      </c>
      <c r="Q68" s="257">
        <f>IF($C$5&lt;3000,$AN$31*Bron!K57,$AN$31*Bron!P57)</f>
        <v>0</v>
      </c>
      <c r="R68" s="257">
        <f>IF($C$5&lt;3000,$AN$33*Bron!J57,$AN$33*Bron!O57)</f>
        <v>0</v>
      </c>
      <c r="S68" s="344"/>
      <c r="T68" s="258">
        <f t="shared" si="6"/>
        <v>0</v>
      </c>
      <c r="U68" s="259">
        <f t="shared" si="7"/>
        <v>0</v>
      </c>
      <c r="V68" s="675"/>
      <c r="W68" s="676">
        <f t="shared" si="8"/>
        <v>0</v>
      </c>
      <c r="X68" s="677">
        <f t="shared" si="9"/>
        <v>0</v>
      </c>
      <c r="Y68" s="677">
        <f t="shared" si="42"/>
        <v>0</v>
      </c>
      <c r="Z68" s="678">
        <f t="shared" si="43"/>
        <v>0</v>
      </c>
      <c r="AA68" s="679">
        <f t="shared" si="44"/>
        <v>0</v>
      </c>
      <c r="AB68" s="675"/>
      <c r="AC68" s="676">
        <f t="shared" si="10"/>
        <v>0</v>
      </c>
      <c r="AD68" s="677">
        <f t="shared" si="11"/>
        <v>0</v>
      </c>
      <c r="AE68" s="677">
        <f t="shared" si="45"/>
        <v>0</v>
      </c>
      <c r="AF68" s="678">
        <f t="shared" si="46"/>
        <v>0</v>
      </c>
      <c r="AG68" s="679">
        <f t="shared" si="47"/>
        <v>0</v>
      </c>
      <c r="AH68" s="675"/>
      <c r="AI68" s="676">
        <f t="shared" si="12"/>
        <v>0</v>
      </c>
      <c r="AJ68" s="677">
        <f t="shared" si="13"/>
        <v>0</v>
      </c>
      <c r="AK68" s="677">
        <f t="shared" si="48"/>
        <v>0</v>
      </c>
      <c r="AL68" s="678">
        <f t="shared" si="49"/>
        <v>0</v>
      </c>
      <c r="AM68" s="679">
        <f t="shared" si="50"/>
        <v>0</v>
      </c>
      <c r="AN68" s="675"/>
      <c r="AO68" s="676">
        <f t="shared" si="14"/>
        <v>0</v>
      </c>
      <c r="AP68" s="677">
        <f t="shared" si="15"/>
        <v>0</v>
      </c>
      <c r="AQ68" s="677">
        <f t="shared" si="51"/>
        <v>0</v>
      </c>
      <c r="AR68" s="678">
        <f t="shared" si="52"/>
        <v>0</v>
      </c>
      <c r="AS68" s="679">
        <f t="shared" si="53"/>
        <v>0</v>
      </c>
      <c r="AT68" s="675"/>
      <c r="AU68" s="676">
        <f t="shared" si="16"/>
        <v>0</v>
      </c>
      <c r="AV68" s="677">
        <f t="shared" si="17"/>
        <v>0</v>
      </c>
      <c r="AW68" s="677">
        <f t="shared" si="54"/>
        <v>0</v>
      </c>
      <c r="AX68" s="678">
        <f t="shared" si="55"/>
        <v>0</v>
      </c>
      <c r="AY68" s="679">
        <f t="shared" si="56"/>
        <v>0</v>
      </c>
      <c r="AZ68" s="675"/>
      <c r="BA68" s="676">
        <f t="shared" si="18"/>
        <v>0</v>
      </c>
      <c r="BB68" s="677">
        <f t="shared" si="19"/>
        <v>0</v>
      </c>
      <c r="BC68" s="677">
        <f t="shared" si="57"/>
        <v>0</v>
      </c>
      <c r="BD68" s="678">
        <f t="shared" si="58"/>
        <v>0</v>
      </c>
      <c r="BE68" s="679">
        <f t="shared" si="59"/>
        <v>0</v>
      </c>
      <c r="BF68" s="675"/>
      <c r="BG68" s="676">
        <f t="shared" si="20"/>
        <v>0</v>
      </c>
      <c r="BH68" s="677">
        <f t="shared" si="21"/>
        <v>0</v>
      </c>
      <c r="BI68" s="677">
        <f t="shared" si="60"/>
        <v>0</v>
      </c>
      <c r="BJ68" s="678">
        <f t="shared" si="61"/>
        <v>0</v>
      </c>
      <c r="BK68" s="679">
        <f t="shared" si="62"/>
        <v>0</v>
      </c>
      <c r="BL68" s="675"/>
      <c r="BM68" s="676">
        <f t="shared" si="22"/>
        <v>0</v>
      </c>
      <c r="BN68" s="677">
        <f t="shared" si="23"/>
        <v>0</v>
      </c>
      <c r="BO68" s="677">
        <f t="shared" si="63"/>
        <v>0</v>
      </c>
      <c r="BP68" s="678">
        <f t="shared" si="64"/>
        <v>0</v>
      </c>
      <c r="BQ68" s="679">
        <f t="shared" si="65"/>
        <v>0</v>
      </c>
      <c r="BR68" s="675"/>
      <c r="BS68" s="676">
        <f t="shared" si="24"/>
        <v>0</v>
      </c>
      <c r="BT68" s="677">
        <f t="shared" si="25"/>
        <v>0</v>
      </c>
      <c r="BU68" s="677">
        <f t="shared" si="66"/>
        <v>0</v>
      </c>
      <c r="BV68" s="678">
        <f t="shared" si="67"/>
        <v>0</v>
      </c>
      <c r="BW68" s="679">
        <f t="shared" si="68"/>
        <v>0</v>
      </c>
      <c r="BX68" s="675"/>
      <c r="BY68" s="676">
        <f t="shared" si="26"/>
        <v>0</v>
      </c>
      <c r="BZ68" s="677">
        <f t="shared" si="27"/>
        <v>0</v>
      </c>
      <c r="CA68" s="677">
        <f t="shared" si="69"/>
        <v>0</v>
      </c>
      <c r="CB68" s="678">
        <f t="shared" si="70"/>
        <v>0</v>
      </c>
      <c r="CC68" s="679">
        <f t="shared" si="71"/>
        <v>0</v>
      </c>
      <c r="CD68" s="675"/>
      <c r="CE68" s="676">
        <f t="shared" si="28"/>
        <v>0</v>
      </c>
      <c r="CF68" s="677">
        <f t="shared" si="29"/>
        <v>0</v>
      </c>
      <c r="CG68" s="677">
        <f t="shared" si="72"/>
        <v>0</v>
      </c>
      <c r="CH68" s="678">
        <f t="shared" si="73"/>
        <v>0</v>
      </c>
      <c r="CI68" s="679">
        <f t="shared" si="74"/>
        <v>0</v>
      </c>
      <c r="CJ68" s="675"/>
      <c r="CK68" s="676">
        <f t="shared" si="30"/>
        <v>0</v>
      </c>
      <c r="CL68" s="677">
        <f t="shared" si="31"/>
        <v>0</v>
      </c>
      <c r="CM68" s="677">
        <f t="shared" si="75"/>
        <v>0</v>
      </c>
      <c r="CN68" s="678">
        <f t="shared" si="76"/>
        <v>0</v>
      </c>
      <c r="CO68" s="679">
        <f t="shared" si="77"/>
        <v>0</v>
      </c>
      <c r="CP68" s="675"/>
      <c r="CQ68" s="676">
        <f t="shared" si="32"/>
        <v>0</v>
      </c>
      <c r="CR68" s="677">
        <f t="shared" si="33"/>
        <v>0</v>
      </c>
      <c r="CS68" s="677">
        <f t="shared" si="78"/>
        <v>0</v>
      </c>
      <c r="CT68" s="678">
        <f t="shared" si="79"/>
        <v>0</v>
      </c>
      <c r="CU68" s="679">
        <f t="shared" si="80"/>
        <v>0</v>
      </c>
      <c r="CV68" s="685"/>
      <c r="CW68" s="681"/>
      <c r="CX68" s="682"/>
      <c r="CY68" s="682"/>
      <c r="CZ68" s="683"/>
      <c r="DA68" s="684"/>
      <c r="DB68" s="685"/>
      <c r="DC68" s="681"/>
      <c r="DD68" s="682"/>
      <c r="DE68" s="682"/>
      <c r="DF68" s="683"/>
      <c r="DG68" s="684"/>
      <c r="DH68" s="685"/>
      <c r="DI68" s="681"/>
      <c r="DJ68" s="682"/>
      <c r="DK68" s="682"/>
      <c r="DL68" s="683"/>
      <c r="DM68" s="684"/>
      <c r="DN68" s="685"/>
      <c r="DO68" s="681"/>
      <c r="DP68" s="682"/>
      <c r="DQ68" s="682"/>
      <c r="DR68" s="683"/>
      <c r="DS68" s="684"/>
      <c r="DT68" s="675"/>
      <c r="DU68" s="676">
        <f t="shared" si="34"/>
        <v>0</v>
      </c>
      <c r="DV68" s="677">
        <f t="shared" si="35"/>
        <v>0</v>
      </c>
      <c r="DW68" s="677">
        <f t="shared" si="81"/>
        <v>0</v>
      </c>
      <c r="DX68" s="678">
        <f t="shared" si="82"/>
        <v>0</v>
      </c>
      <c r="DY68" s="679">
        <f t="shared" si="83"/>
        <v>0</v>
      </c>
      <c r="DZ68" s="680"/>
      <c r="EA68" s="681"/>
      <c r="EB68" s="682"/>
      <c r="EC68" s="682"/>
      <c r="ED68" s="683"/>
      <c r="EE68" s="684"/>
      <c r="EF68" s="680"/>
      <c r="EG68" s="681"/>
      <c r="EH68" s="682"/>
      <c r="EI68" s="682"/>
      <c r="EJ68" s="683"/>
      <c r="EK68" s="684"/>
      <c r="EL68" s="680"/>
      <c r="EM68" s="681"/>
      <c r="EN68" s="682"/>
      <c r="EO68" s="682"/>
      <c r="EP68" s="683"/>
      <c r="EQ68" s="684"/>
      <c r="ER68" s="680"/>
      <c r="ES68" s="681"/>
      <c r="ET68" s="682"/>
      <c r="EU68" s="682"/>
      <c r="EV68" s="683"/>
      <c r="EW68" s="684"/>
      <c r="EX68" s="675"/>
      <c r="EY68" s="676">
        <f t="shared" si="36"/>
        <v>0</v>
      </c>
      <c r="EZ68" s="677">
        <f t="shared" si="37"/>
        <v>0</v>
      </c>
      <c r="FA68" s="677">
        <f t="shared" si="84"/>
        <v>0</v>
      </c>
      <c r="FB68" s="678">
        <f t="shared" si="85"/>
        <v>0</v>
      </c>
      <c r="FC68" s="679">
        <f t="shared" si="86"/>
        <v>0</v>
      </c>
      <c r="FD68" s="680"/>
      <c r="FE68" s="681"/>
      <c r="FF68" s="682"/>
      <c r="FG68" s="682"/>
      <c r="FH68" s="683"/>
      <c r="FI68" s="684"/>
      <c r="FJ68" s="680"/>
      <c r="FK68" s="681"/>
      <c r="FL68" s="682"/>
      <c r="FM68" s="682"/>
      <c r="FN68" s="683"/>
      <c r="FO68" s="684"/>
      <c r="FP68" s="680"/>
      <c r="FQ68" s="681"/>
      <c r="FR68" s="682"/>
      <c r="FS68" s="682"/>
      <c r="FT68" s="683"/>
      <c r="FU68" s="684"/>
      <c r="FV68" s="680"/>
      <c r="FW68" s="681"/>
      <c r="FX68" s="682"/>
      <c r="FY68" s="682"/>
      <c r="FZ68" s="683"/>
      <c r="GA68" s="684"/>
      <c r="GB68" s="675"/>
      <c r="GC68" s="676">
        <f t="shared" si="38"/>
        <v>0</v>
      </c>
      <c r="GD68" s="677">
        <f t="shared" si="39"/>
        <v>0</v>
      </c>
      <c r="GE68" s="677">
        <f t="shared" si="87"/>
        <v>0</v>
      </c>
      <c r="GF68" s="678">
        <f t="shared" si="88"/>
        <v>0</v>
      </c>
      <c r="GG68" s="679">
        <f t="shared" si="89"/>
        <v>0</v>
      </c>
      <c r="GH68" s="680"/>
      <c r="GI68" s="681"/>
      <c r="GJ68" s="682"/>
      <c r="GK68" s="682"/>
      <c r="GL68" s="683"/>
      <c r="GM68" s="684"/>
      <c r="GN68" s="680"/>
      <c r="GO68" s="681"/>
      <c r="GP68" s="682"/>
      <c r="GQ68" s="682"/>
      <c r="GR68" s="683"/>
      <c r="GS68" s="684"/>
      <c r="GT68" s="680"/>
      <c r="GU68" s="681"/>
      <c r="GV68" s="682"/>
      <c r="GW68" s="682"/>
      <c r="GX68" s="683"/>
      <c r="GY68" s="684"/>
      <c r="GZ68" s="680"/>
      <c r="HA68" s="147"/>
      <c r="HB68" s="148"/>
      <c r="HC68" s="148"/>
      <c r="HD68" s="149"/>
      <c r="HE68" s="150"/>
      <c r="HF68" s="506"/>
      <c r="HG68" s="502"/>
      <c r="HH68" s="502"/>
      <c r="HI68" s="502">
        <f>IF(AND(T68=0,T68&lt;&gt;""),1,0)</f>
        <v>1</v>
      </c>
      <c r="HJ68" s="8"/>
    </row>
    <row r="69" spans="2:218" ht="21" hidden="1">
      <c r="B69" s="488">
        <v>25</v>
      </c>
      <c r="C69" s="489" t="s">
        <v>156</v>
      </c>
      <c r="D69" s="490" t="s">
        <v>161</v>
      </c>
      <c r="E69" s="491" t="s">
        <v>162</v>
      </c>
      <c r="F69" s="492"/>
      <c r="G69" s="493"/>
      <c r="H69" s="146" t="s">
        <v>97</v>
      </c>
      <c r="I69" s="494" t="str">
        <f t="shared" si="4"/>
        <v>n.v.t.</v>
      </c>
      <c r="J69" s="495"/>
      <c r="K69" s="151">
        <v>0</v>
      </c>
      <c r="L69" s="256"/>
      <c r="M69" s="256">
        <f>IF($C$5&lt;3000,(Bron!H58*$C$5)+Bron!I58,(Bron!M58*$C$5)+Bron!N58)</f>
        <v>0</v>
      </c>
      <c r="N69" s="496">
        <f t="shared" si="41"/>
        <v>0</v>
      </c>
      <c r="O69" s="497" t="str">
        <f t="shared" si="5"/>
        <v/>
      </c>
      <c r="P69" s="257">
        <f>IF($C$5&lt;3000,$AN$32*Bron!J58,$AN$32*Bron!O58)</f>
        <v>0</v>
      </c>
      <c r="Q69" s="257">
        <f>IF($C$5&lt;3000,$AN$31*Bron!K58,$AN$31*Bron!P58)</f>
        <v>0</v>
      </c>
      <c r="R69" s="257">
        <f>IF($C$5&lt;3000,$AN$33*Bron!J58,$AN$33*Bron!O58)</f>
        <v>0</v>
      </c>
      <c r="S69" s="344"/>
      <c r="T69" s="258">
        <f t="shared" si="6"/>
        <v>0</v>
      </c>
      <c r="U69" s="259">
        <f t="shared" si="7"/>
        <v>0</v>
      </c>
      <c r="V69" s="675"/>
      <c r="W69" s="676">
        <f t="shared" si="8"/>
        <v>0</v>
      </c>
      <c r="X69" s="677">
        <f t="shared" si="9"/>
        <v>0</v>
      </c>
      <c r="Y69" s="677">
        <f t="shared" si="42"/>
        <v>0</v>
      </c>
      <c r="Z69" s="678">
        <f t="shared" si="43"/>
        <v>0</v>
      </c>
      <c r="AA69" s="679">
        <f t="shared" si="44"/>
        <v>0</v>
      </c>
      <c r="AB69" s="675"/>
      <c r="AC69" s="676">
        <f t="shared" si="10"/>
        <v>0</v>
      </c>
      <c r="AD69" s="677">
        <f t="shared" si="11"/>
        <v>0</v>
      </c>
      <c r="AE69" s="677">
        <f t="shared" si="45"/>
        <v>0</v>
      </c>
      <c r="AF69" s="678">
        <f t="shared" si="46"/>
        <v>0</v>
      </c>
      <c r="AG69" s="679">
        <f t="shared" si="47"/>
        <v>0</v>
      </c>
      <c r="AH69" s="675"/>
      <c r="AI69" s="676">
        <f t="shared" si="12"/>
        <v>0</v>
      </c>
      <c r="AJ69" s="677">
        <f t="shared" si="13"/>
        <v>0</v>
      </c>
      <c r="AK69" s="677">
        <f t="shared" si="48"/>
        <v>0</v>
      </c>
      <c r="AL69" s="678">
        <f t="shared" si="49"/>
        <v>0</v>
      </c>
      <c r="AM69" s="679">
        <f t="shared" si="50"/>
        <v>0</v>
      </c>
      <c r="AN69" s="675"/>
      <c r="AO69" s="676">
        <f t="shared" si="14"/>
        <v>0</v>
      </c>
      <c r="AP69" s="677">
        <f t="shared" si="15"/>
        <v>0</v>
      </c>
      <c r="AQ69" s="677">
        <f t="shared" si="51"/>
        <v>0</v>
      </c>
      <c r="AR69" s="678">
        <f t="shared" si="52"/>
        <v>0</v>
      </c>
      <c r="AS69" s="679">
        <f t="shared" si="53"/>
        <v>0</v>
      </c>
      <c r="AT69" s="675"/>
      <c r="AU69" s="676">
        <f t="shared" si="16"/>
        <v>0</v>
      </c>
      <c r="AV69" s="677">
        <f t="shared" si="17"/>
        <v>0</v>
      </c>
      <c r="AW69" s="677">
        <f t="shared" si="54"/>
        <v>0</v>
      </c>
      <c r="AX69" s="678">
        <f t="shared" si="55"/>
        <v>0</v>
      </c>
      <c r="AY69" s="679">
        <f t="shared" si="56"/>
        <v>0</v>
      </c>
      <c r="AZ69" s="675"/>
      <c r="BA69" s="676">
        <f t="shared" si="18"/>
        <v>0</v>
      </c>
      <c r="BB69" s="677">
        <f t="shared" si="19"/>
        <v>0</v>
      </c>
      <c r="BC69" s="677">
        <f t="shared" si="57"/>
        <v>0</v>
      </c>
      <c r="BD69" s="678">
        <f t="shared" si="58"/>
        <v>0</v>
      </c>
      <c r="BE69" s="679">
        <f t="shared" si="59"/>
        <v>0</v>
      </c>
      <c r="BF69" s="675"/>
      <c r="BG69" s="676">
        <f t="shared" si="20"/>
        <v>0</v>
      </c>
      <c r="BH69" s="677">
        <f t="shared" si="21"/>
        <v>0</v>
      </c>
      <c r="BI69" s="677">
        <f t="shared" si="60"/>
        <v>0</v>
      </c>
      <c r="BJ69" s="678">
        <f t="shared" si="61"/>
        <v>0</v>
      </c>
      <c r="BK69" s="679">
        <f t="shared" si="62"/>
        <v>0</v>
      </c>
      <c r="BL69" s="675"/>
      <c r="BM69" s="676">
        <f t="shared" si="22"/>
        <v>0</v>
      </c>
      <c r="BN69" s="677">
        <f t="shared" si="23"/>
        <v>0</v>
      </c>
      <c r="BO69" s="677">
        <f t="shared" si="63"/>
        <v>0</v>
      </c>
      <c r="BP69" s="678">
        <f t="shared" si="64"/>
        <v>0</v>
      </c>
      <c r="BQ69" s="679">
        <f t="shared" si="65"/>
        <v>0</v>
      </c>
      <c r="BR69" s="675"/>
      <c r="BS69" s="676">
        <f t="shared" si="24"/>
        <v>0</v>
      </c>
      <c r="BT69" s="677">
        <f t="shared" si="25"/>
        <v>0</v>
      </c>
      <c r="BU69" s="677">
        <f t="shared" si="66"/>
        <v>0</v>
      </c>
      <c r="BV69" s="678">
        <f t="shared" si="67"/>
        <v>0</v>
      </c>
      <c r="BW69" s="679">
        <f t="shared" si="68"/>
        <v>0</v>
      </c>
      <c r="BX69" s="675"/>
      <c r="BY69" s="676">
        <f t="shared" si="26"/>
        <v>0</v>
      </c>
      <c r="BZ69" s="677">
        <f t="shared" si="27"/>
        <v>0</v>
      </c>
      <c r="CA69" s="677">
        <f t="shared" si="69"/>
        <v>0</v>
      </c>
      <c r="CB69" s="678">
        <f t="shared" si="70"/>
        <v>0</v>
      </c>
      <c r="CC69" s="679">
        <f t="shared" si="71"/>
        <v>0</v>
      </c>
      <c r="CD69" s="675"/>
      <c r="CE69" s="676">
        <f t="shared" si="28"/>
        <v>0</v>
      </c>
      <c r="CF69" s="677">
        <f t="shared" si="29"/>
        <v>0</v>
      </c>
      <c r="CG69" s="677">
        <f t="shared" si="72"/>
        <v>0</v>
      </c>
      <c r="CH69" s="678">
        <f t="shared" si="73"/>
        <v>0</v>
      </c>
      <c r="CI69" s="679">
        <f t="shared" si="74"/>
        <v>0</v>
      </c>
      <c r="CJ69" s="675"/>
      <c r="CK69" s="676">
        <f t="shared" si="30"/>
        <v>0</v>
      </c>
      <c r="CL69" s="677">
        <f t="shared" si="31"/>
        <v>0</v>
      </c>
      <c r="CM69" s="677">
        <f t="shared" si="75"/>
        <v>0</v>
      </c>
      <c r="CN69" s="678">
        <f t="shared" si="76"/>
        <v>0</v>
      </c>
      <c r="CO69" s="679">
        <f t="shared" si="77"/>
        <v>0</v>
      </c>
      <c r="CP69" s="675"/>
      <c r="CQ69" s="676">
        <f t="shared" si="32"/>
        <v>0</v>
      </c>
      <c r="CR69" s="677">
        <f t="shared" si="33"/>
        <v>0</v>
      </c>
      <c r="CS69" s="677">
        <f t="shared" si="78"/>
        <v>0</v>
      </c>
      <c r="CT69" s="678">
        <f t="shared" si="79"/>
        <v>0</v>
      </c>
      <c r="CU69" s="679">
        <f t="shared" si="80"/>
        <v>0</v>
      </c>
      <c r="CV69" s="685"/>
      <c r="CW69" s="681"/>
      <c r="CX69" s="682"/>
      <c r="CY69" s="682"/>
      <c r="CZ69" s="683"/>
      <c r="DA69" s="684"/>
      <c r="DB69" s="685"/>
      <c r="DC69" s="681"/>
      <c r="DD69" s="682"/>
      <c r="DE69" s="682"/>
      <c r="DF69" s="683"/>
      <c r="DG69" s="684"/>
      <c r="DH69" s="685"/>
      <c r="DI69" s="681"/>
      <c r="DJ69" s="682"/>
      <c r="DK69" s="682"/>
      <c r="DL69" s="683"/>
      <c r="DM69" s="684"/>
      <c r="DN69" s="685"/>
      <c r="DO69" s="681"/>
      <c r="DP69" s="682"/>
      <c r="DQ69" s="682"/>
      <c r="DR69" s="683"/>
      <c r="DS69" s="684"/>
      <c r="DT69" s="675"/>
      <c r="DU69" s="676">
        <f t="shared" si="34"/>
        <v>0</v>
      </c>
      <c r="DV69" s="677">
        <f t="shared" si="35"/>
        <v>0</v>
      </c>
      <c r="DW69" s="677">
        <f t="shared" si="81"/>
        <v>0</v>
      </c>
      <c r="DX69" s="678">
        <f t="shared" si="82"/>
        <v>0</v>
      </c>
      <c r="DY69" s="679">
        <f t="shared" si="83"/>
        <v>0</v>
      </c>
      <c r="DZ69" s="680"/>
      <c r="EA69" s="681"/>
      <c r="EB69" s="682"/>
      <c r="EC69" s="682"/>
      <c r="ED69" s="683"/>
      <c r="EE69" s="684"/>
      <c r="EF69" s="680"/>
      <c r="EG69" s="681"/>
      <c r="EH69" s="682"/>
      <c r="EI69" s="682"/>
      <c r="EJ69" s="683"/>
      <c r="EK69" s="684"/>
      <c r="EL69" s="680"/>
      <c r="EM69" s="681"/>
      <c r="EN69" s="682"/>
      <c r="EO69" s="682"/>
      <c r="EP69" s="683"/>
      <c r="EQ69" s="684"/>
      <c r="ER69" s="680"/>
      <c r="ES69" s="681"/>
      <c r="ET69" s="682"/>
      <c r="EU69" s="682"/>
      <c r="EV69" s="683"/>
      <c r="EW69" s="684"/>
      <c r="EX69" s="675"/>
      <c r="EY69" s="676">
        <f t="shared" si="36"/>
        <v>0</v>
      </c>
      <c r="EZ69" s="677">
        <f t="shared" si="37"/>
        <v>0</v>
      </c>
      <c r="FA69" s="677">
        <f t="shared" si="84"/>
        <v>0</v>
      </c>
      <c r="FB69" s="678">
        <f t="shared" si="85"/>
        <v>0</v>
      </c>
      <c r="FC69" s="679">
        <f t="shared" si="86"/>
        <v>0</v>
      </c>
      <c r="FD69" s="680"/>
      <c r="FE69" s="681"/>
      <c r="FF69" s="682"/>
      <c r="FG69" s="682"/>
      <c r="FH69" s="683"/>
      <c r="FI69" s="684"/>
      <c r="FJ69" s="680"/>
      <c r="FK69" s="681"/>
      <c r="FL69" s="682"/>
      <c r="FM69" s="682"/>
      <c r="FN69" s="683"/>
      <c r="FO69" s="684"/>
      <c r="FP69" s="680"/>
      <c r="FQ69" s="681"/>
      <c r="FR69" s="682"/>
      <c r="FS69" s="682"/>
      <c r="FT69" s="683"/>
      <c r="FU69" s="684"/>
      <c r="FV69" s="680"/>
      <c r="FW69" s="681"/>
      <c r="FX69" s="682"/>
      <c r="FY69" s="682"/>
      <c r="FZ69" s="683"/>
      <c r="GA69" s="684"/>
      <c r="GB69" s="675"/>
      <c r="GC69" s="676">
        <f t="shared" si="38"/>
        <v>0</v>
      </c>
      <c r="GD69" s="677">
        <f t="shared" si="39"/>
        <v>0</v>
      </c>
      <c r="GE69" s="677">
        <f t="shared" si="87"/>
        <v>0</v>
      </c>
      <c r="GF69" s="678">
        <f t="shared" si="88"/>
        <v>0</v>
      </c>
      <c r="GG69" s="679">
        <f t="shared" si="89"/>
        <v>0</v>
      </c>
      <c r="GH69" s="680"/>
      <c r="GI69" s="681"/>
      <c r="GJ69" s="682"/>
      <c r="GK69" s="682"/>
      <c r="GL69" s="683"/>
      <c r="GM69" s="684"/>
      <c r="GN69" s="680"/>
      <c r="GO69" s="681"/>
      <c r="GP69" s="682"/>
      <c r="GQ69" s="682"/>
      <c r="GR69" s="683"/>
      <c r="GS69" s="684"/>
      <c r="GT69" s="680"/>
      <c r="GU69" s="681"/>
      <c r="GV69" s="682"/>
      <c r="GW69" s="682"/>
      <c r="GX69" s="683"/>
      <c r="GY69" s="684"/>
      <c r="GZ69" s="680"/>
      <c r="HA69" s="147"/>
      <c r="HB69" s="148"/>
      <c r="HC69" s="148"/>
      <c r="HD69" s="149"/>
      <c r="HE69" s="150"/>
      <c r="HF69" s="506"/>
      <c r="HG69" s="502"/>
      <c r="HH69" s="502"/>
      <c r="HI69" s="502">
        <f>IF(AND(T69=0,T69&lt;&gt;""),1,0)</f>
        <v>1</v>
      </c>
      <c r="HJ69" s="8"/>
    </row>
    <row r="70" spans="2:218" ht="21" hidden="1">
      <c r="B70" s="488">
        <v>26</v>
      </c>
      <c r="C70" s="489" t="s">
        <v>156</v>
      </c>
      <c r="D70" s="490" t="s">
        <v>163</v>
      </c>
      <c r="E70" s="491" t="s">
        <v>164</v>
      </c>
      <c r="F70" s="492"/>
      <c r="G70" s="493"/>
      <c r="H70" s="146" t="s">
        <v>97</v>
      </c>
      <c r="I70" s="494" t="str">
        <f t="shared" si="4"/>
        <v>n.v.t.</v>
      </c>
      <c r="J70" s="495" t="s">
        <v>487</v>
      </c>
      <c r="K70" s="151">
        <v>0</v>
      </c>
      <c r="L70" s="256">
        <f>IF($C$5&lt;3000,(Bron!H59*$C$5)+Bron!I59,(Bron!M59*$C$5)+Bron!N59)</f>
        <v>300</v>
      </c>
      <c r="M70" s="256"/>
      <c r="N70" s="496">
        <f t="shared" si="41"/>
        <v>145.509996</v>
      </c>
      <c r="O70" s="497">
        <f t="shared" si="5"/>
        <v>2.0617140282238755</v>
      </c>
      <c r="P70" s="257">
        <f>IF($C$5&lt;3000,$AN$32*Bron!J59,$AN$32*Bron!O59)</f>
        <v>0</v>
      </c>
      <c r="Q70" s="257">
        <f>IF($C$5&lt;3000,$AN$31*Bron!K59,$AN$31*Bron!P59)</f>
        <v>572.87400000000002</v>
      </c>
      <c r="R70" s="257">
        <f>IF($C$5&lt;3000,$AN$33*Bron!J59,$AN$33*Bron!O59)</f>
        <v>0</v>
      </c>
      <c r="S70" s="344"/>
      <c r="T70" s="258">
        <f t="shared" si="6"/>
        <v>0</v>
      </c>
      <c r="U70" s="259">
        <f t="shared" si="7"/>
        <v>0</v>
      </c>
      <c r="V70" s="675"/>
      <c r="W70" s="676">
        <f t="shared" si="8"/>
        <v>0</v>
      </c>
      <c r="X70" s="677">
        <f t="shared" si="9"/>
        <v>0</v>
      </c>
      <c r="Y70" s="677">
        <f t="shared" si="42"/>
        <v>0</v>
      </c>
      <c r="Z70" s="678">
        <f t="shared" si="43"/>
        <v>0</v>
      </c>
      <c r="AA70" s="679">
        <f t="shared" si="44"/>
        <v>0</v>
      </c>
      <c r="AB70" s="675"/>
      <c r="AC70" s="676">
        <f t="shared" si="10"/>
        <v>0</v>
      </c>
      <c r="AD70" s="677">
        <f t="shared" si="11"/>
        <v>0</v>
      </c>
      <c r="AE70" s="677">
        <f t="shared" si="45"/>
        <v>0</v>
      </c>
      <c r="AF70" s="678">
        <f t="shared" si="46"/>
        <v>0</v>
      </c>
      <c r="AG70" s="679">
        <f t="shared" si="47"/>
        <v>0</v>
      </c>
      <c r="AH70" s="675"/>
      <c r="AI70" s="676">
        <f t="shared" si="12"/>
        <v>0</v>
      </c>
      <c r="AJ70" s="677">
        <f t="shared" si="13"/>
        <v>0</v>
      </c>
      <c r="AK70" s="677">
        <f t="shared" si="48"/>
        <v>0</v>
      </c>
      <c r="AL70" s="678">
        <f t="shared" si="49"/>
        <v>0</v>
      </c>
      <c r="AM70" s="679">
        <f t="shared" si="50"/>
        <v>0</v>
      </c>
      <c r="AN70" s="675"/>
      <c r="AO70" s="676">
        <f t="shared" si="14"/>
        <v>0</v>
      </c>
      <c r="AP70" s="677">
        <f t="shared" si="15"/>
        <v>0</v>
      </c>
      <c r="AQ70" s="677">
        <f t="shared" si="51"/>
        <v>0</v>
      </c>
      <c r="AR70" s="678">
        <f t="shared" si="52"/>
        <v>0</v>
      </c>
      <c r="AS70" s="679">
        <f t="shared" si="53"/>
        <v>0</v>
      </c>
      <c r="AT70" s="675"/>
      <c r="AU70" s="676">
        <f t="shared" si="16"/>
        <v>0</v>
      </c>
      <c r="AV70" s="677">
        <f t="shared" si="17"/>
        <v>0</v>
      </c>
      <c r="AW70" s="677">
        <f t="shared" si="54"/>
        <v>0</v>
      </c>
      <c r="AX70" s="678">
        <f t="shared" si="55"/>
        <v>0</v>
      </c>
      <c r="AY70" s="679">
        <f t="shared" si="56"/>
        <v>0</v>
      </c>
      <c r="AZ70" s="675"/>
      <c r="BA70" s="676">
        <f t="shared" si="18"/>
        <v>0</v>
      </c>
      <c r="BB70" s="677">
        <f t="shared" si="19"/>
        <v>0</v>
      </c>
      <c r="BC70" s="677">
        <f t="shared" si="57"/>
        <v>0</v>
      </c>
      <c r="BD70" s="678">
        <f t="shared" si="58"/>
        <v>0</v>
      </c>
      <c r="BE70" s="679">
        <f t="shared" si="59"/>
        <v>0</v>
      </c>
      <c r="BF70" s="675"/>
      <c r="BG70" s="676">
        <f t="shared" si="20"/>
        <v>0</v>
      </c>
      <c r="BH70" s="677">
        <f t="shared" si="21"/>
        <v>0</v>
      </c>
      <c r="BI70" s="677">
        <f t="shared" si="60"/>
        <v>0</v>
      </c>
      <c r="BJ70" s="678">
        <f t="shared" si="61"/>
        <v>0</v>
      </c>
      <c r="BK70" s="679">
        <f t="shared" si="62"/>
        <v>0</v>
      </c>
      <c r="BL70" s="675"/>
      <c r="BM70" s="676">
        <f t="shared" si="22"/>
        <v>0</v>
      </c>
      <c r="BN70" s="677">
        <f t="shared" si="23"/>
        <v>0</v>
      </c>
      <c r="BO70" s="677">
        <f t="shared" si="63"/>
        <v>0</v>
      </c>
      <c r="BP70" s="678">
        <f t="shared" si="64"/>
        <v>0</v>
      </c>
      <c r="BQ70" s="679">
        <f t="shared" si="65"/>
        <v>0</v>
      </c>
      <c r="BR70" s="675"/>
      <c r="BS70" s="676">
        <f t="shared" si="24"/>
        <v>0</v>
      </c>
      <c r="BT70" s="677">
        <f t="shared" si="25"/>
        <v>0</v>
      </c>
      <c r="BU70" s="677">
        <f t="shared" si="66"/>
        <v>0</v>
      </c>
      <c r="BV70" s="678">
        <f t="shared" si="67"/>
        <v>0</v>
      </c>
      <c r="BW70" s="679">
        <f t="shared" si="68"/>
        <v>0</v>
      </c>
      <c r="BX70" s="675"/>
      <c r="BY70" s="676">
        <f t="shared" si="26"/>
        <v>0</v>
      </c>
      <c r="BZ70" s="677">
        <f t="shared" si="27"/>
        <v>0</v>
      </c>
      <c r="CA70" s="677">
        <f t="shared" si="69"/>
        <v>0</v>
      </c>
      <c r="CB70" s="678">
        <f t="shared" si="70"/>
        <v>0</v>
      </c>
      <c r="CC70" s="679">
        <f t="shared" si="71"/>
        <v>0</v>
      </c>
      <c r="CD70" s="675"/>
      <c r="CE70" s="676">
        <f t="shared" si="28"/>
        <v>0</v>
      </c>
      <c r="CF70" s="677">
        <f t="shared" si="29"/>
        <v>0</v>
      </c>
      <c r="CG70" s="677">
        <f t="shared" si="72"/>
        <v>0</v>
      </c>
      <c r="CH70" s="678">
        <f t="shared" si="73"/>
        <v>0</v>
      </c>
      <c r="CI70" s="679">
        <f t="shared" si="74"/>
        <v>0</v>
      </c>
      <c r="CJ70" s="675"/>
      <c r="CK70" s="676">
        <f t="shared" si="30"/>
        <v>0</v>
      </c>
      <c r="CL70" s="677">
        <f t="shared" si="31"/>
        <v>0</v>
      </c>
      <c r="CM70" s="677">
        <f t="shared" si="75"/>
        <v>0</v>
      </c>
      <c r="CN70" s="678">
        <f t="shared" si="76"/>
        <v>0</v>
      </c>
      <c r="CO70" s="679">
        <f t="shared" si="77"/>
        <v>0</v>
      </c>
      <c r="CP70" s="675"/>
      <c r="CQ70" s="676">
        <f t="shared" si="32"/>
        <v>0</v>
      </c>
      <c r="CR70" s="677">
        <f t="shared" si="33"/>
        <v>0</v>
      </c>
      <c r="CS70" s="677">
        <f t="shared" si="78"/>
        <v>0</v>
      </c>
      <c r="CT70" s="678">
        <f t="shared" si="79"/>
        <v>0</v>
      </c>
      <c r="CU70" s="679">
        <f t="shared" si="80"/>
        <v>0</v>
      </c>
      <c r="CV70" s="685"/>
      <c r="CW70" s="681"/>
      <c r="CX70" s="682"/>
      <c r="CY70" s="682"/>
      <c r="CZ70" s="683"/>
      <c r="DA70" s="684"/>
      <c r="DB70" s="685"/>
      <c r="DC70" s="681"/>
      <c r="DD70" s="682"/>
      <c r="DE70" s="682"/>
      <c r="DF70" s="683"/>
      <c r="DG70" s="684"/>
      <c r="DH70" s="685"/>
      <c r="DI70" s="681"/>
      <c r="DJ70" s="682"/>
      <c r="DK70" s="682"/>
      <c r="DL70" s="683"/>
      <c r="DM70" s="684"/>
      <c r="DN70" s="685"/>
      <c r="DO70" s="681"/>
      <c r="DP70" s="682"/>
      <c r="DQ70" s="682"/>
      <c r="DR70" s="683"/>
      <c r="DS70" s="684"/>
      <c r="DT70" s="675"/>
      <c r="DU70" s="676">
        <f t="shared" si="34"/>
        <v>0</v>
      </c>
      <c r="DV70" s="677">
        <f t="shared" si="35"/>
        <v>0</v>
      </c>
      <c r="DW70" s="677">
        <f t="shared" si="81"/>
        <v>0</v>
      </c>
      <c r="DX70" s="678">
        <f t="shared" si="82"/>
        <v>0</v>
      </c>
      <c r="DY70" s="679">
        <f t="shared" si="83"/>
        <v>0</v>
      </c>
      <c r="DZ70" s="680"/>
      <c r="EA70" s="681"/>
      <c r="EB70" s="682"/>
      <c r="EC70" s="682"/>
      <c r="ED70" s="683"/>
      <c r="EE70" s="684"/>
      <c r="EF70" s="680"/>
      <c r="EG70" s="681"/>
      <c r="EH70" s="682"/>
      <c r="EI70" s="682"/>
      <c r="EJ70" s="683"/>
      <c r="EK70" s="684"/>
      <c r="EL70" s="680"/>
      <c r="EM70" s="681"/>
      <c r="EN70" s="682"/>
      <c r="EO70" s="682"/>
      <c r="EP70" s="683"/>
      <c r="EQ70" s="684"/>
      <c r="ER70" s="680"/>
      <c r="ES70" s="681"/>
      <c r="ET70" s="682"/>
      <c r="EU70" s="682"/>
      <c r="EV70" s="683"/>
      <c r="EW70" s="684"/>
      <c r="EX70" s="675"/>
      <c r="EY70" s="676">
        <f t="shared" si="36"/>
        <v>0</v>
      </c>
      <c r="EZ70" s="677">
        <f t="shared" si="37"/>
        <v>0</v>
      </c>
      <c r="FA70" s="677">
        <f t="shared" si="84"/>
        <v>0</v>
      </c>
      <c r="FB70" s="678">
        <f t="shared" si="85"/>
        <v>0</v>
      </c>
      <c r="FC70" s="679">
        <f t="shared" si="86"/>
        <v>0</v>
      </c>
      <c r="FD70" s="680"/>
      <c r="FE70" s="681"/>
      <c r="FF70" s="682"/>
      <c r="FG70" s="682"/>
      <c r="FH70" s="683"/>
      <c r="FI70" s="684"/>
      <c r="FJ70" s="680"/>
      <c r="FK70" s="681"/>
      <c r="FL70" s="682"/>
      <c r="FM70" s="682"/>
      <c r="FN70" s="683"/>
      <c r="FO70" s="684"/>
      <c r="FP70" s="680"/>
      <c r="FQ70" s="681"/>
      <c r="FR70" s="682"/>
      <c r="FS70" s="682"/>
      <c r="FT70" s="683"/>
      <c r="FU70" s="684"/>
      <c r="FV70" s="680"/>
      <c r="FW70" s="681"/>
      <c r="FX70" s="682"/>
      <c r="FY70" s="682"/>
      <c r="FZ70" s="683"/>
      <c r="GA70" s="684"/>
      <c r="GB70" s="675"/>
      <c r="GC70" s="676">
        <f t="shared" si="38"/>
        <v>0</v>
      </c>
      <c r="GD70" s="677">
        <f t="shared" si="39"/>
        <v>0</v>
      </c>
      <c r="GE70" s="677">
        <f t="shared" si="87"/>
        <v>0</v>
      </c>
      <c r="GF70" s="678">
        <f t="shared" si="88"/>
        <v>0</v>
      </c>
      <c r="GG70" s="679">
        <f t="shared" si="89"/>
        <v>0</v>
      </c>
      <c r="GH70" s="680"/>
      <c r="GI70" s="681"/>
      <c r="GJ70" s="682"/>
      <c r="GK70" s="682"/>
      <c r="GL70" s="683"/>
      <c r="GM70" s="684"/>
      <c r="GN70" s="680"/>
      <c r="GO70" s="681"/>
      <c r="GP70" s="682"/>
      <c r="GQ70" s="682"/>
      <c r="GR70" s="683"/>
      <c r="GS70" s="684"/>
      <c r="GT70" s="680"/>
      <c r="GU70" s="681"/>
      <c r="GV70" s="682"/>
      <c r="GW70" s="682"/>
      <c r="GX70" s="683"/>
      <c r="GY70" s="684"/>
      <c r="GZ70" s="680"/>
      <c r="HA70" s="147"/>
      <c r="HB70" s="148"/>
      <c r="HC70" s="148"/>
      <c r="HD70" s="149"/>
      <c r="HE70" s="150"/>
      <c r="HF70" s="506"/>
      <c r="HG70" s="502"/>
      <c r="HH70" s="502"/>
      <c r="HI70" s="502">
        <f>IF(AND(T70=0,T70&lt;&gt;""),1,0)</f>
        <v>1</v>
      </c>
      <c r="HJ70" s="8"/>
    </row>
    <row r="71" spans="2:218" ht="21" hidden="1">
      <c r="B71" s="488">
        <v>27</v>
      </c>
      <c r="C71" s="489" t="s">
        <v>156</v>
      </c>
      <c r="D71" s="490" t="s">
        <v>165</v>
      </c>
      <c r="E71" s="491" t="s">
        <v>166</v>
      </c>
      <c r="F71" s="492"/>
      <c r="G71" s="493"/>
      <c r="H71" s="146" t="s">
        <v>97</v>
      </c>
      <c r="I71" s="494" t="str">
        <f t="shared" si="4"/>
        <v>n.v.t.</v>
      </c>
      <c r="J71" s="495" t="s">
        <v>487</v>
      </c>
      <c r="K71" s="151">
        <v>0</v>
      </c>
      <c r="L71" s="256">
        <f>IF($C$5&lt;3000,(Bron!H60*$C$5)+Bron!I60,(Bron!M60*$C$5)+Bron!N60)</f>
        <v>60</v>
      </c>
      <c r="M71" s="256"/>
      <c r="N71" s="496">
        <f t="shared" si="41"/>
        <v>24.251666</v>
      </c>
      <c r="O71" s="497">
        <f t="shared" si="5"/>
        <v>2.4740568338686506</v>
      </c>
      <c r="P71" s="257"/>
      <c r="Q71" s="257">
        <f>IF($C$5&lt;3000,$AN$31*Bron!K60,$AN$31*Bron!P60)</f>
        <v>95.478999999999999</v>
      </c>
      <c r="R71" s="257">
        <f>IF($C$5&lt;3000,$AN$33*Bron!J60,$AN$33*Bron!O60)</f>
        <v>0</v>
      </c>
      <c r="S71" s="344"/>
      <c r="T71" s="258">
        <f t="shared" si="6"/>
        <v>0</v>
      </c>
      <c r="U71" s="259">
        <f t="shared" si="7"/>
        <v>0</v>
      </c>
      <c r="V71" s="675"/>
      <c r="W71" s="676">
        <f t="shared" si="8"/>
        <v>0</v>
      </c>
      <c r="X71" s="677">
        <f t="shared" si="9"/>
        <v>0</v>
      </c>
      <c r="Y71" s="677">
        <f t="shared" si="42"/>
        <v>0</v>
      </c>
      <c r="Z71" s="678">
        <f t="shared" si="43"/>
        <v>0</v>
      </c>
      <c r="AA71" s="679">
        <f t="shared" si="44"/>
        <v>0</v>
      </c>
      <c r="AB71" s="675"/>
      <c r="AC71" s="676">
        <f t="shared" si="10"/>
        <v>0</v>
      </c>
      <c r="AD71" s="677">
        <f t="shared" si="11"/>
        <v>0</v>
      </c>
      <c r="AE71" s="677">
        <f t="shared" si="45"/>
        <v>0</v>
      </c>
      <c r="AF71" s="678">
        <f t="shared" si="46"/>
        <v>0</v>
      </c>
      <c r="AG71" s="679">
        <f t="shared" si="47"/>
        <v>0</v>
      </c>
      <c r="AH71" s="675"/>
      <c r="AI71" s="676">
        <f t="shared" si="12"/>
        <v>0</v>
      </c>
      <c r="AJ71" s="677">
        <f t="shared" si="13"/>
        <v>0</v>
      </c>
      <c r="AK71" s="677">
        <f t="shared" si="48"/>
        <v>0</v>
      </c>
      <c r="AL71" s="678">
        <f t="shared" si="49"/>
        <v>0</v>
      </c>
      <c r="AM71" s="679">
        <f t="shared" si="50"/>
        <v>0</v>
      </c>
      <c r="AN71" s="675"/>
      <c r="AO71" s="676">
        <f t="shared" si="14"/>
        <v>0</v>
      </c>
      <c r="AP71" s="677">
        <f t="shared" si="15"/>
        <v>0</v>
      </c>
      <c r="AQ71" s="677">
        <f t="shared" si="51"/>
        <v>0</v>
      </c>
      <c r="AR71" s="678">
        <f t="shared" si="52"/>
        <v>0</v>
      </c>
      <c r="AS71" s="679">
        <f t="shared" si="53"/>
        <v>0</v>
      </c>
      <c r="AT71" s="675"/>
      <c r="AU71" s="676">
        <f t="shared" si="16"/>
        <v>0</v>
      </c>
      <c r="AV71" s="677">
        <f t="shared" si="17"/>
        <v>0</v>
      </c>
      <c r="AW71" s="677">
        <f t="shared" si="54"/>
        <v>0</v>
      </c>
      <c r="AX71" s="678">
        <f t="shared" si="55"/>
        <v>0</v>
      </c>
      <c r="AY71" s="679">
        <f t="shared" si="56"/>
        <v>0</v>
      </c>
      <c r="AZ71" s="675"/>
      <c r="BA71" s="676">
        <f t="shared" si="18"/>
        <v>0</v>
      </c>
      <c r="BB71" s="677">
        <f t="shared" si="19"/>
        <v>0</v>
      </c>
      <c r="BC71" s="677">
        <f t="shared" si="57"/>
        <v>0</v>
      </c>
      <c r="BD71" s="678">
        <f t="shared" si="58"/>
        <v>0</v>
      </c>
      <c r="BE71" s="679">
        <f t="shared" si="59"/>
        <v>0</v>
      </c>
      <c r="BF71" s="675"/>
      <c r="BG71" s="676">
        <f t="shared" si="20"/>
        <v>0</v>
      </c>
      <c r="BH71" s="677">
        <f t="shared" si="21"/>
        <v>0</v>
      </c>
      <c r="BI71" s="677">
        <f t="shared" si="60"/>
        <v>0</v>
      </c>
      <c r="BJ71" s="678">
        <f t="shared" si="61"/>
        <v>0</v>
      </c>
      <c r="BK71" s="679">
        <f t="shared" si="62"/>
        <v>0</v>
      </c>
      <c r="BL71" s="675"/>
      <c r="BM71" s="676">
        <f t="shared" si="22"/>
        <v>0</v>
      </c>
      <c r="BN71" s="677">
        <f t="shared" si="23"/>
        <v>0</v>
      </c>
      <c r="BO71" s="677">
        <f t="shared" si="63"/>
        <v>0</v>
      </c>
      <c r="BP71" s="678">
        <f t="shared" si="64"/>
        <v>0</v>
      </c>
      <c r="BQ71" s="679">
        <f t="shared" si="65"/>
        <v>0</v>
      </c>
      <c r="BR71" s="675"/>
      <c r="BS71" s="676">
        <f t="shared" si="24"/>
        <v>0</v>
      </c>
      <c r="BT71" s="677">
        <f t="shared" si="25"/>
        <v>0</v>
      </c>
      <c r="BU71" s="677">
        <f t="shared" si="66"/>
        <v>0</v>
      </c>
      <c r="BV71" s="678">
        <f t="shared" si="67"/>
        <v>0</v>
      </c>
      <c r="BW71" s="679">
        <f t="shared" si="68"/>
        <v>0</v>
      </c>
      <c r="BX71" s="675"/>
      <c r="BY71" s="676">
        <f t="shared" si="26"/>
        <v>0</v>
      </c>
      <c r="BZ71" s="677">
        <f t="shared" si="27"/>
        <v>0</v>
      </c>
      <c r="CA71" s="677">
        <f t="shared" si="69"/>
        <v>0</v>
      </c>
      <c r="CB71" s="678">
        <f t="shared" si="70"/>
        <v>0</v>
      </c>
      <c r="CC71" s="679">
        <f t="shared" si="71"/>
        <v>0</v>
      </c>
      <c r="CD71" s="675"/>
      <c r="CE71" s="676">
        <f t="shared" si="28"/>
        <v>0</v>
      </c>
      <c r="CF71" s="677">
        <f t="shared" si="29"/>
        <v>0</v>
      </c>
      <c r="CG71" s="677">
        <f t="shared" si="72"/>
        <v>0</v>
      </c>
      <c r="CH71" s="678">
        <f t="shared" si="73"/>
        <v>0</v>
      </c>
      <c r="CI71" s="679">
        <f t="shared" si="74"/>
        <v>0</v>
      </c>
      <c r="CJ71" s="675"/>
      <c r="CK71" s="676">
        <f t="shared" si="30"/>
        <v>0</v>
      </c>
      <c r="CL71" s="677">
        <f t="shared" si="31"/>
        <v>0</v>
      </c>
      <c r="CM71" s="677">
        <f t="shared" si="75"/>
        <v>0</v>
      </c>
      <c r="CN71" s="678">
        <f t="shared" si="76"/>
        <v>0</v>
      </c>
      <c r="CO71" s="679">
        <f t="shared" si="77"/>
        <v>0</v>
      </c>
      <c r="CP71" s="675"/>
      <c r="CQ71" s="676">
        <f t="shared" si="32"/>
        <v>0</v>
      </c>
      <c r="CR71" s="677">
        <f t="shared" si="33"/>
        <v>0</v>
      </c>
      <c r="CS71" s="677">
        <f t="shared" si="78"/>
        <v>0</v>
      </c>
      <c r="CT71" s="678">
        <f t="shared" si="79"/>
        <v>0</v>
      </c>
      <c r="CU71" s="679">
        <f t="shared" si="80"/>
        <v>0</v>
      </c>
      <c r="CV71" s="685"/>
      <c r="CW71" s="681"/>
      <c r="CX71" s="682"/>
      <c r="CY71" s="682"/>
      <c r="CZ71" s="683"/>
      <c r="DA71" s="684"/>
      <c r="DB71" s="685"/>
      <c r="DC71" s="681"/>
      <c r="DD71" s="682"/>
      <c r="DE71" s="682"/>
      <c r="DF71" s="683"/>
      <c r="DG71" s="684"/>
      <c r="DH71" s="685"/>
      <c r="DI71" s="681"/>
      <c r="DJ71" s="682"/>
      <c r="DK71" s="682"/>
      <c r="DL71" s="683"/>
      <c r="DM71" s="684"/>
      <c r="DN71" s="685"/>
      <c r="DO71" s="681"/>
      <c r="DP71" s="682"/>
      <c r="DQ71" s="682"/>
      <c r="DR71" s="683"/>
      <c r="DS71" s="684"/>
      <c r="DT71" s="675"/>
      <c r="DU71" s="676">
        <f t="shared" si="34"/>
        <v>0</v>
      </c>
      <c r="DV71" s="677">
        <f t="shared" si="35"/>
        <v>0</v>
      </c>
      <c r="DW71" s="677">
        <f t="shared" si="81"/>
        <v>0</v>
      </c>
      <c r="DX71" s="678">
        <f t="shared" si="82"/>
        <v>0</v>
      </c>
      <c r="DY71" s="679">
        <f t="shared" si="83"/>
        <v>0</v>
      </c>
      <c r="DZ71" s="680"/>
      <c r="EA71" s="681"/>
      <c r="EB71" s="682"/>
      <c r="EC71" s="682"/>
      <c r="ED71" s="683"/>
      <c r="EE71" s="684"/>
      <c r="EF71" s="680"/>
      <c r="EG71" s="681"/>
      <c r="EH71" s="682"/>
      <c r="EI71" s="682"/>
      <c r="EJ71" s="683"/>
      <c r="EK71" s="684"/>
      <c r="EL71" s="680"/>
      <c r="EM71" s="681"/>
      <c r="EN71" s="682"/>
      <c r="EO71" s="682"/>
      <c r="EP71" s="683"/>
      <c r="EQ71" s="684"/>
      <c r="ER71" s="680"/>
      <c r="ES71" s="681"/>
      <c r="ET71" s="682"/>
      <c r="EU71" s="682"/>
      <c r="EV71" s="683"/>
      <c r="EW71" s="684"/>
      <c r="EX71" s="675"/>
      <c r="EY71" s="676">
        <f t="shared" si="36"/>
        <v>0</v>
      </c>
      <c r="EZ71" s="677">
        <f t="shared" si="37"/>
        <v>0</v>
      </c>
      <c r="FA71" s="677">
        <f t="shared" si="84"/>
        <v>0</v>
      </c>
      <c r="FB71" s="678">
        <f t="shared" si="85"/>
        <v>0</v>
      </c>
      <c r="FC71" s="679">
        <f t="shared" si="86"/>
        <v>0</v>
      </c>
      <c r="FD71" s="680"/>
      <c r="FE71" s="681"/>
      <c r="FF71" s="682"/>
      <c r="FG71" s="682"/>
      <c r="FH71" s="683"/>
      <c r="FI71" s="684"/>
      <c r="FJ71" s="680"/>
      <c r="FK71" s="681"/>
      <c r="FL71" s="682"/>
      <c r="FM71" s="682"/>
      <c r="FN71" s="683"/>
      <c r="FO71" s="684"/>
      <c r="FP71" s="680"/>
      <c r="FQ71" s="681"/>
      <c r="FR71" s="682"/>
      <c r="FS71" s="682"/>
      <c r="FT71" s="683"/>
      <c r="FU71" s="684"/>
      <c r="FV71" s="680"/>
      <c r="FW71" s="681"/>
      <c r="FX71" s="682"/>
      <c r="FY71" s="682"/>
      <c r="FZ71" s="683"/>
      <c r="GA71" s="684"/>
      <c r="GB71" s="675"/>
      <c r="GC71" s="676">
        <f t="shared" si="38"/>
        <v>0</v>
      </c>
      <c r="GD71" s="677">
        <f t="shared" si="39"/>
        <v>0</v>
      </c>
      <c r="GE71" s="677">
        <f t="shared" si="87"/>
        <v>0</v>
      </c>
      <c r="GF71" s="678">
        <f t="shared" si="88"/>
        <v>0</v>
      </c>
      <c r="GG71" s="679">
        <f t="shared" si="89"/>
        <v>0</v>
      </c>
      <c r="GH71" s="680"/>
      <c r="GI71" s="681"/>
      <c r="GJ71" s="682"/>
      <c r="GK71" s="682"/>
      <c r="GL71" s="683"/>
      <c r="GM71" s="684"/>
      <c r="GN71" s="680"/>
      <c r="GO71" s="681"/>
      <c r="GP71" s="682"/>
      <c r="GQ71" s="682"/>
      <c r="GR71" s="683"/>
      <c r="GS71" s="684"/>
      <c r="GT71" s="680"/>
      <c r="GU71" s="681"/>
      <c r="GV71" s="682"/>
      <c r="GW71" s="682"/>
      <c r="GX71" s="683"/>
      <c r="GY71" s="684"/>
      <c r="GZ71" s="680"/>
      <c r="HA71" s="147"/>
      <c r="HB71" s="148"/>
      <c r="HC71" s="148"/>
      <c r="HD71" s="149"/>
      <c r="HE71" s="150"/>
      <c r="HF71" s="506"/>
      <c r="HG71" s="502"/>
      <c r="HH71" s="502"/>
      <c r="HI71" s="502"/>
      <c r="HJ71" s="8"/>
    </row>
    <row r="72" spans="2:218" ht="21" hidden="1">
      <c r="B72" s="488">
        <v>28</v>
      </c>
      <c r="C72" s="489" t="s">
        <v>156</v>
      </c>
      <c r="D72" s="490" t="s">
        <v>167</v>
      </c>
      <c r="E72" s="491" t="s">
        <v>168</v>
      </c>
      <c r="F72" s="492"/>
      <c r="G72" s="493"/>
      <c r="H72" s="146" t="s">
        <v>97</v>
      </c>
      <c r="I72" s="494" t="str">
        <f t="shared" si="4"/>
        <v>n.v.t.</v>
      </c>
      <c r="J72" s="495" t="s">
        <v>487</v>
      </c>
      <c r="K72" s="151">
        <v>0</v>
      </c>
      <c r="L72" s="256">
        <f>IF($C$5&lt;3000,(Bron!H61*$C$5)+Bron!I61,(Bron!M61*$C$5)+Bron!N61)</f>
        <v>2400</v>
      </c>
      <c r="M72" s="256"/>
      <c r="N72" s="496">
        <f t="shared" si="41"/>
        <v>2522.1732639999996</v>
      </c>
      <c r="O72" s="497">
        <f t="shared" si="5"/>
        <v>0.95156032071871188</v>
      </c>
      <c r="P72" s="257">
        <f>IF($C$5&lt;3000,$AN$32*Bron!J61,$AN$32*Bron!O61)</f>
        <v>0</v>
      </c>
      <c r="Q72" s="257">
        <f>IF($C$5&lt;3000,$AN$31*Bron!K61,$AN$31*Bron!P61)</f>
        <v>9929.8159999999989</v>
      </c>
      <c r="R72" s="257">
        <f>IF($C$5&lt;3000,$AN$33*Bron!J61,$AN$33*Bron!O61)</f>
        <v>0</v>
      </c>
      <c r="S72" s="344"/>
      <c r="T72" s="258">
        <f t="shared" si="6"/>
        <v>0</v>
      </c>
      <c r="U72" s="259">
        <f t="shared" si="7"/>
        <v>0</v>
      </c>
      <c r="V72" s="675"/>
      <c r="W72" s="676">
        <f t="shared" si="8"/>
        <v>0</v>
      </c>
      <c r="X72" s="677">
        <f t="shared" si="9"/>
        <v>0</v>
      </c>
      <c r="Y72" s="677">
        <f t="shared" si="42"/>
        <v>0</v>
      </c>
      <c r="Z72" s="678">
        <f t="shared" si="43"/>
        <v>0</v>
      </c>
      <c r="AA72" s="679">
        <f t="shared" si="44"/>
        <v>0</v>
      </c>
      <c r="AB72" s="675"/>
      <c r="AC72" s="676">
        <f t="shared" si="10"/>
        <v>0</v>
      </c>
      <c r="AD72" s="677">
        <f t="shared" si="11"/>
        <v>0</v>
      </c>
      <c r="AE72" s="677">
        <f t="shared" si="45"/>
        <v>0</v>
      </c>
      <c r="AF72" s="678">
        <f t="shared" si="46"/>
        <v>0</v>
      </c>
      <c r="AG72" s="679">
        <f t="shared" si="47"/>
        <v>0</v>
      </c>
      <c r="AH72" s="675"/>
      <c r="AI72" s="676">
        <f t="shared" si="12"/>
        <v>0</v>
      </c>
      <c r="AJ72" s="677">
        <f t="shared" si="13"/>
        <v>0</v>
      </c>
      <c r="AK72" s="677">
        <f t="shared" si="48"/>
        <v>0</v>
      </c>
      <c r="AL72" s="678">
        <f t="shared" si="49"/>
        <v>0</v>
      </c>
      <c r="AM72" s="679">
        <f t="shared" si="50"/>
        <v>0</v>
      </c>
      <c r="AN72" s="675"/>
      <c r="AO72" s="676">
        <f t="shared" si="14"/>
        <v>0</v>
      </c>
      <c r="AP72" s="677">
        <f t="shared" si="15"/>
        <v>0</v>
      </c>
      <c r="AQ72" s="677">
        <f t="shared" si="51"/>
        <v>0</v>
      </c>
      <c r="AR72" s="678">
        <f t="shared" si="52"/>
        <v>0</v>
      </c>
      <c r="AS72" s="679">
        <f t="shared" si="53"/>
        <v>0</v>
      </c>
      <c r="AT72" s="675"/>
      <c r="AU72" s="676">
        <f t="shared" si="16"/>
        <v>0</v>
      </c>
      <c r="AV72" s="677">
        <f t="shared" si="17"/>
        <v>0</v>
      </c>
      <c r="AW72" s="677">
        <f t="shared" si="54"/>
        <v>0</v>
      </c>
      <c r="AX72" s="678">
        <f t="shared" si="55"/>
        <v>0</v>
      </c>
      <c r="AY72" s="679">
        <f t="shared" si="56"/>
        <v>0</v>
      </c>
      <c r="AZ72" s="675"/>
      <c r="BA72" s="676">
        <f t="shared" si="18"/>
        <v>0</v>
      </c>
      <c r="BB72" s="677">
        <f t="shared" si="19"/>
        <v>0</v>
      </c>
      <c r="BC72" s="677">
        <f t="shared" si="57"/>
        <v>0</v>
      </c>
      <c r="BD72" s="678">
        <f t="shared" si="58"/>
        <v>0</v>
      </c>
      <c r="BE72" s="679">
        <f t="shared" si="59"/>
        <v>0</v>
      </c>
      <c r="BF72" s="675"/>
      <c r="BG72" s="676">
        <f t="shared" si="20"/>
        <v>0</v>
      </c>
      <c r="BH72" s="677">
        <f t="shared" si="21"/>
        <v>0</v>
      </c>
      <c r="BI72" s="677">
        <f t="shared" si="60"/>
        <v>0</v>
      </c>
      <c r="BJ72" s="678">
        <f t="shared" si="61"/>
        <v>0</v>
      </c>
      <c r="BK72" s="679">
        <f t="shared" si="62"/>
        <v>0</v>
      </c>
      <c r="BL72" s="675"/>
      <c r="BM72" s="676">
        <f t="shared" si="22"/>
        <v>0</v>
      </c>
      <c r="BN72" s="677">
        <f t="shared" si="23"/>
        <v>0</v>
      </c>
      <c r="BO72" s="677">
        <f t="shared" si="63"/>
        <v>0</v>
      </c>
      <c r="BP72" s="678">
        <f t="shared" si="64"/>
        <v>0</v>
      </c>
      <c r="BQ72" s="679">
        <f t="shared" si="65"/>
        <v>0</v>
      </c>
      <c r="BR72" s="675"/>
      <c r="BS72" s="676">
        <f t="shared" si="24"/>
        <v>0</v>
      </c>
      <c r="BT72" s="677">
        <f t="shared" si="25"/>
        <v>0</v>
      </c>
      <c r="BU72" s="677">
        <f t="shared" si="66"/>
        <v>0</v>
      </c>
      <c r="BV72" s="678">
        <f t="shared" si="67"/>
        <v>0</v>
      </c>
      <c r="BW72" s="679">
        <f t="shared" si="68"/>
        <v>0</v>
      </c>
      <c r="BX72" s="675"/>
      <c r="BY72" s="676">
        <f t="shared" si="26"/>
        <v>0</v>
      </c>
      <c r="BZ72" s="677">
        <f t="shared" si="27"/>
        <v>0</v>
      </c>
      <c r="CA72" s="677">
        <f t="shared" si="69"/>
        <v>0</v>
      </c>
      <c r="CB72" s="678">
        <f t="shared" si="70"/>
        <v>0</v>
      </c>
      <c r="CC72" s="679">
        <f t="shared" si="71"/>
        <v>0</v>
      </c>
      <c r="CD72" s="675"/>
      <c r="CE72" s="676">
        <f t="shared" si="28"/>
        <v>0</v>
      </c>
      <c r="CF72" s="677">
        <f t="shared" si="29"/>
        <v>0</v>
      </c>
      <c r="CG72" s="677">
        <f t="shared" si="72"/>
        <v>0</v>
      </c>
      <c r="CH72" s="678">
        <f t="shared" si="73"/>
        <v>0</v>
      </c>
      <c r="CI72" s="679">
        <f t="shared" si="74"/>
        <v>0</v>
      </c>
      <c r="CJ72" s="675"/>
      <c r="CK72" s="676">
        <f t="shared" si="30"/>
        <v>0</v>
      </c>
      <c r="CL72" s="677">
        <f t="shared" si="31"/>
        <v>0</v>
      </c>
      <c r="CM72" s="677">
        <f t="shared" si="75"/>
        <v>0</v>
      </c>
      <c r="CN72" s="678">
        <f t="shared" si="76"/>
        <v>0</v>
      </c>
      <c r="CO72" s="679">
        <f t="shared" si="77"/>
        <v>0</v>
      </c>
      <c r="CP72" s="675"/>
      <c r="CQ72" s="676">
        <f t="shared" si="32"/>
        <v>0</v>
      </c>
      <c r="CR72" s="677">
        <f t="shared" si="33"/>
        <v>0</v>
      </c>
      <c r="CS72" s="677">
        <f t="shared" si="78"/>
        <v>0</v>
      </c>
      <c r="CT72" s="678">
        <f t="shared" si="79"/>
        <v>0</v>
      </c>
      <c r="CU72" s="679">
        <f t="shared" si="80"/>
        <v>0</v>
      </c>
      <c r="CV72" s="685"/>
      <c r="CW72" s="681"/>
      <c r="CX72" s="682"/>
      <c r="CY72" s="682"/>
      <c r="CZ72" s="683"/>
      <c r="DA72" s="684"/>
      <c r="DB72" s="685"/>
      <c r="DC72" s="681"/>
      <c r="DD72" s="682"/>
      <c r="DE72" s="682"/>
      <c r="DF72" s="683"/>
      <c r="DG72" s="684"/>
      <c r="DH72" s="685"/>
      <c r="DI72" s="681"/>
      <c r="DJ72" s="682"/>
      <c r="DK72" s="682"/>
      <c r="DL72" s="683"/>
      <c r="DM72" s="684"/>
      <c r="DN72" s="685"/>
      <c r="DO72" s="681"/>
      <c r="DP72" s="682"/>
      <c r="DQ72" s="682"/>
      <c r="DR72" s="683"/>
      <c r="DS72" s="684"/>
      <c r="DT72" s="675"/>
      <c r="DU72" s="676">
        <f t="shared" si="34"/>
        <v>0</v>
      </c>
      <c r="DV72" s="677">
        <f t="shared" si="35"/>
        <v>0</v>
      </c>
      <c r="DW72" s="677">
        <f t="shared" si="81"/>
        <v>0</v>
      </c>
      <c r="DX72" s="678">
        <f t="shared" si="82"/>
        <v>0</v>
      </c>
      <c r="DY72" s="679">
        <f t="shared" si="83"/>
        <v>0</v>
      </c>
      <c r="DZ72" s="680"/>
      <c r="EA72" s="681"/>
      <c r="EB72" s="682"/>
      <c r="EC72" s="682"/>
      <c r="ED72" s="683"/>
      <c r="EE72" s="684"/>
      <c r="EF72" s="680"/>
      <c r="EG72" s="681"/>
      <c r="EH72" s="682"/>
      <c r="EI72" s="682"/>
      <c r="EJ72" s="683"/>
      <c r="EK72" s="684"/>
      <c r="EL72" s="680"/>
      <c r="EM72" s="681"/>
      <c r="EN72" s="682"/>
      <c r="EO72" s="682"/>
      <c r="EP72" s="683"/>
      <c r="EQ72" s="684"/>
      <c r="ER72" s="680"/>
      <c r="ES72" s="681"/>
      <c r="ET72" s="682"/>
      <c r="EU72" s="682"/>
      <c r="EV72" s="683"/>
      <c r="EW72" s="684"/>
      <c r="EX72" s="675"/>
      <c r="EY72" s="676">
        <f t="shared" si="36"/>
        <v>0</v>
      </c>
      <c r="EZ72" s="677">
        <f t="shared" si="37"/>
        <v>0</v>
      </c>
      <c r="FA72" s="677">
        <f t="shared" si="84"/>
        <v>0</v>
      </c>
      <c r="FB72" s="678">
        <f t="shared" si="85"/>
        <v>0</v>
      </c>
      <c r="FC72" s="679">
        <f t="shared" si="86"/>
        <v>0</v>
      </c>
      <c r="FD72" s="680"/>
      <c r="FE72" s="681"/>
      <c r="FF72" s="682"/>
      <c r="FG72" s="682"/>
      <c r="FH72" s="683"/>
      <c r="FI72" s="684"/>
      <c r="FJ72" s="680"/>
      <c r="FK72" s="681"/>
      <c r="FL72" s="682"/>
      <c r="FM72" s="682"/>
      <c r="FN72" s="683"/>
      <c r="FO72" s="684"/>
      <c r="FP72" s="680"/>
      <c r="FQ72" s="681"/>
      <c r="FR72" s="682"/>
      <c r="FS72" s="682"/>
      <c r="FT72" s="683"/>
      <c r="FU72" s="684"/>
      <c r="FV72" s="680"/>
      <c r="FW72" s="681"/>
      <c r="FX72" s="682"/>
      <c r="FY72" s="682"/>
      <c r="FZ72" s="683"/>
      <c r="GA72" s="684"/>
      <c r="GB72" s="675"/>
      <c r="GC72" s="676">
        <f t="shared" si="38"/>
        <v>0</v>
      </c>
      <c r="GD72" s="677">
        <f t="shared" si="39"/>
        <v>0</v>
      </c>
      <c r="GE72" s="677">
        <f t="shared" si="87"/>
        <v>0</v>
      </c>
      <c r="GF72" s="678">
        <f t="shared" si="88"/>
        <v>0</v>
      </c>
      <c r="GG72" s="679">
        <f t="shared" si="89"/>
        <v>0</v>
      </c>
      <c r="GH72" s="680"/>
      <c r="GI72" s="681"/>
      <c r="GJ72" s="682"/>
      <c r="GK72" s="682"/>
      <c r="GL72" s="683"/>
      <c r="GM72" s="684"/>
      <c r="GN72" s="680"/>
      <c r="GO72" s="681"/>
      <c r="GP72" s="682"/>
      <c r="GQ72" s="682"/>
      <c r="GR72" s="683"/>
      <c r="GS72" s="684"/>
      <c r="GT72" s="680"/>
      <c r="GU72" s="681"/>
      <c r="GV72" s="682"/>
      <c r="GW72" s="682"/>
      <c r="GX72" s="683"/>
      <c r="GY72" s="684"/>
      <c r="GZ72" s="680"/>
      <c r="HA72" s="147"/>
      <c r="HB72" s="148"/>
      <c r="HC72" s="148"/>
      <c r="HD72" s="149"/>
      <c r="HE72" s="150"/>
      <c r="HF72" s="506"/>
      <c r="HG72" s="502"/>
      <c r="HH72" s="502"/>
      <c r="HI72" s="502"/>
      <c r="HJ72" s="8"/>
    </row>
    <row r="73" spans="2:218" ht="21" hidden="1">
      <c r="B73" s="488">
        <v>29</v>
      </c>
      <c r="C73" s="489" t="s">
        <v>156</v>
      </c>
      <c r="D73" s="490" t="s">
        <v>169</v>
      </c>
      <c r="E73" s="491" t="s">
        <v>412</v>
      </c>
      <c r="F73" s="492"/>
      <c r="G73" s="493"/>
      <c r="H73" s="146" t="s">
        <v>97</v>
      </c>
      <c r="I73" s="494" t="str">
        <f t="shared" si="4"/>
        <v>n.v.t.</v>
      </c>
      <c r="J73" s="495"/>
      <c r="K73" s="151">
        <v>0</v>
      </c>
      <c r="L73" s="256"/>
      <c r="M73" s="256">
        <f>IF($C$5&lt;3000,(Bron!H62*$C$5)+Bron!I62,(Bron!M62*$C$5)+Bron!N62)</f>
        <v>0</v>
      </c>
      <c r="N73" s="496">
        <f t="shared" si="41"/>
        <v>0</v>
      </c>
      <c r="O73" s="497" t="str">
        <f t="shared" si="5"/>
        <v/>
      </c>
      <c r="P73" s="257">
        <f>IF($C$5&lt;3000,$AN$32*Bron!J62,$AN$32*Bron!O62)</f>
        <v>0</v>
      </c>
      <c r="Q73" s="257">
        <f>IF($C$5&lt;3000,$AN$31*Bron!K62,$AN$31*Bron!P62)</f>
        <v>0</v>
      </c>
      <c r="R73" s="257">
        <f>IF($C$5&lt;3000,$AN$33*Bron!J62,$AN$33*Bron!O62)</f>
        <v>0</v>
      </c>
      <c r="S73" s="344"/>
      <c r="T73" s="258">
        <f t="shared" si="6"/>
        <v>0</v>
      </c>
      <c r="U73" s="259">
        <f t="shared" si="7"/>
        <v>0</v>
      </c>
      <c r="V73" s="675"/>
      <c r="W73" s="676">
        <f t="shared" si="8"/>
        <v>0</v>
      </c>
      <c r="X73" s="677">
        <f t="shared" si="9"/>
        <v>0</v>
      </c>
      <c r="Y73" s="677">
        <f t="shared" si="42"/>
        <v>0</v>
      </c>
      <c r="Z73" s="678">
        <f t="shared" si="43"/>
        <v>0</v>
      </c>
      <c r="AA73" s="679">
        <f t="shared" si="44"/>
        <v>0</v>
      </c>
      <c r="AB73" s="675"/>
      <c r="AC73" s="676">
        <f t="shared" si="10"/>
        <v>0</v>
      </c>
      <c r="AD73" s="677">
        <f t="shared" si="11"/>
        <v>0</v>
      </c>
      <c r="AE73" s="677">
        <f t="shared" si="45"/>
        <v>0</v>
      </c>
      <c r="AF73" s="678">
        <f t="shared" si="46"/>
        <v>0</v>
      </c>
      <c r="AG73" s="679">
        <f t="shared" si="47"/>
        <v>0</v>
      </c>
      <c r="AH73" s="675"/>
      <c r="AI73" s="676">
        <f t="shared" si="12"/>
        <v>0</v>
      </c>
      <c r="AJ73" s="677">
        <f t="shared" si="13"/>
        <v>0</v>
      </c>
      <c r="AK73" s="677">
        <f t="shared" si="48"/>
        <v>0</v>
      </c>
      <c r="AL73" s="678">
        <f t="shared" si="49"/>
        <v>0</v>
      </c>
      <c r="AM73" s="679">
        <f t="shared" si="50"/>
        <v>0</v>
      </c>
      <c r="AN73" s="675"/>
      <c r="AO73" s="676">
        <f t="shared" si="14"/>
        <v>0</v>
      </c>
      <c r="AP73" s="677">
        <f t="shared" si="15"/>
        <v>0</v>
      </c>
      <c r="AQ73" s="677">
        <f t="shared" si="51"/>
        <v>0</v>
      </c>
      <c r="AR73" s="678">
        <f t="shared" si="52"/>
        <v>0</v>
      </c>
      <c r="AS73" s="679">
        <f t="shared" si="53"/>
        <v>0</v>
      </c>
      <c r="AT73" s="675"/>
      <c r="AU73" s="676">
        <f t="shared" si="16"/>
        <v>0</v>
      </c>
      <c r="AV73" s="677">
        <f t="shared" si="17"/>
        <v>0</v>
      </c>
      <c r="AW73" s="677">
        <f t="shared" si="54"/>
        <v>0</v>
      </c>
      <c r="AX73" s="678">
        <f t="shared" si="55"/>
        <v>0</v>
      </c>
      <c r="AY73" s="679">
        <f t="shared" si="56"/>
        <v>0</v>
      </c>
      <c r="AZ73" s="675"/>
      <c r="BA73" s="676">
        <f t="shared" si="18"/>
        <v>0</v>
      </c>
      <c r="BB73" s="677">
        <f t="shared" si="19"/>
        <v>0</v>
      </c>
      <c r="BC73" s="677">
        <f t="shared" si="57"/>
        <v>0</v>
      </c>
      <c r="BD73" s="678">
        <f t="shared" si="58"/>
        <v>0</v>
      </c>
      <c r="BE73" s="679">
        <f t="shared" si="59"/>
        <v>0</v>
      </c>
      <c r="BF73" s="675"/>
      <c r="BG73" s="676">
        <f t="shared" si="20"/>
        <v>0</v>
      </c>
      <c r="BH73" s="677">
        <f t="shared" si="21"/>
        <v>0</v>
      </c>
      <c r="BI73" s="677">
        <f t="shared" si="60"/>
        <v>0</v>
      </c>
      <c r="BJ73" s="678">
        <f t="shared" si="61"/>
        <v>0</v>
      </c>
      <c r="BK73" s="679">
        <f t="shared" si="62"/>
        <v>0</v>
      </c>
      <c r="BL73" s="675"/>
      <c r="BM73" s="676">
        <f t="shared" si="22"/>
        <v>0</v>
      </c>
      <c r="BN73" s="677">
        <f t="shared" si="23"/>
        <v>0</v>
      </c>
      <c r="BO73" s="677">
        <f t="shared" si="63"/>
        <v>0</v>
      </c>
      <c r="BP73" s="678">
        <f t="shared" si="64"/>
        <v>0</v>
      </c>
      <c r="BQ73" s="679">
        <f t="shared" si="65"/>
        <v>0</v>
      </c>
      <c r="BR73" s="675"/>
      <c r="BS73" s="676">
        <f t="shared" si="24"/>
        <v>0</v>
      </c>
      <c r="BT73" s="677">
        <f t="shared" si="25"/>
        <v>0</v>
      </c>
      <c r="BU73" s="677">
        <f t="shared" si="66"/>
        <v>0</v>
      </c>
      <c r="BV73" s="678">
        <f t="shared" si="67"/>
        <v>0</v>
      </c>
      <c r="BW73" s="679">
        <f t="shared" si="68"/>
        <v>0</v>
      </c>
      <c r="BX73" s="675"/>
      <c r="BY73" s="676">
        <f t="shared" si="26"/>
        <v>0</v>
      </c>
      <c r="BZ73" s="677">
        <f t="shared" si="27"/>
        <v>0</v>
      </c>
      <c r="CA73" s="677">
        <f t="shared" si="69"/>
        <v>0</v>
      </c>
      <c r="CB73" s="678">
        <f t="shared" si="70"/>
        <v>0</v>
      </c>
      <c r="CC73" s="679">
        <f t="shared" si="71"/>
        <v>0</v>
      </c>
      <c r="CD73" s="675"/>
      <c r="CE73" s="676">
        <f t="shared" si="28"/>
        <v>0</v>
      </c>
      <c r="CF73" s="677">
        <f t="shared" si="29"/>
        <v>0</v>
      </c>
      <c r="CG73" s="677">
        <f t="shared" si="72"/>
        <v>0</v>
      </c>
      <c r="CH73" s="678">
        <f t="shared" si="73"/>
        <v>0</v>
      </c>
      <c r="CI73" s="679">
        <f t="shared" si="74"/>
        <v>0</v>
      </c>
      <c r="CJ73" s="675"/>
      <c r="CK73" s="676">
        <f t="shared" si="30"/>
        <v>0</v>
      </c>
      <c r="CL73" s="677">
        <f t="shared" si="31"/>
        <v>0</v>
      </c>
      <c r="CM73" s="677">
        <f t="shared" si="75"/>
        <v>0</v>
      </c>
      <c r="CN73" s="678">
        <f t="shared" si="76"/>
        <v>0</v>
      </c>
      <c r="CO73" s="679">
        <f t="shared" si="77"/>
        <v>0</v>
      </c>
      <c r="CP73" s="675"/>
      <c r="CQ73" s="676">
        <f t="shared" si="32"/>
        <v>0</v>
      </c>
      <c r="CR73" s="677">
        <f t="shared" si="33"/>
        <v>0</v>
      </c>
      <c r="CS73" s="677">
        <f t="shared" si="78"/>
        <v>0</v>
      </c>
      <c r="CT73" s="678">
        <f t="shared" si="79"/>
        <v>0</v>
      </c>
      <c r="CU73" s="679">
        <f t="shared" si="80"/>
        <v>0</v>
      </c>
      <c r="CV73" s="685"/>
      <c r="CW73" s="681"/>
      <c r="CX73" s="682"/>
      <c r="CY73" s="682"/>
      <c r="CZ73" s="683"/>
      <c r="DA73" s="684"/>
      <c r="DB73" s="685"/>
      <c r="DC73" s="681"/>
      <c r="DD73" s="682"/>
      <c r="DE73" s="682"/>
      <c r="DF73" s="683"/>
      <c r="DG73" s="684"/>
      <c r="DH73" s="685"/>
      <c r="DI73" s="681"/>
      <c r="DJ73" s="682"/>
      <c r="DK73" s="682"/>
      <c r="DL73" s="683"/>
      <c r="DM73" s="684"/>
      <c r="DN73" s="685"/>
      <c r="DO73" s="681"/>
      <c r="DP73" s="682"/>
      <c r="DQ73" s="682"/>
      <c r="DR73" s="683"/>
      <c r="DS73" s="684"/>
      <c r="DT73" s="675"/>
      <c r="DU73" s="676">
        <f t="shared" si="34"/>
        <v>0</v>
      </c>
      <c r="DV73" s="677">
        <f t="shared" si="35"/>
        <v>0</v>
      </c>
      <c r="DW73" s="677">
        <f t="shared" si="81"/>
        <v>0</v>
      </c>
      <c r="DX73" s="678">
        <f t="shared" si="82"/>
        <v>0</v>
      </c>
      <c r="DY73" s="679">
        <f t="shared" si="83"/>
        <v>0</v>
      </c>
      <c r="DZ73" s="680"/>
      <c r="EA73" s="681"/>
      <c r="EB73" s="682"/>
      <c r="EC73" s="682"/>
      <c r="ED73" s="683"/>
      <c r="EE73" s="684"/>
      <c r="EF73" s="680"/>
      <c r="EG73" s="681"/>
      <c r="EH73" s="682"/>
      <c r="EI73" s="682"/>
      <c r="EJ73" s="683"/>
      <c r="EK73" s="684"/>
      <c r="EL73" s="680"/>
      <c r="EM73" s="681"/>
      <c r="EN73" s="682"/>
      <c r="EO73" s="682"/>
      <c r="EP73" s="683"/>
      <c r="EQ73" s="684"/>
      <c r="ER73" s="680"/>
      <c r="ES73" s="681"/>
      <c r="ET73" s="682"/>
      <c r="EU73" s="682"/>
      <c r="EV73" s="683"/>
      <c r="EW73" s="684"/>
      <c r="EX73" s="675"/>
      <c r="EY73" s="676">
        <f t="shared" si="36"/>
        <v>0</v>
      </c>
      <c r="EZ73" s="677">
        <f t="shared" si="37"/>
        <v>0</v>
      </c>
      <c r="FA73" s="677">
        <f t="shared" si="84"/>
        <v>0</v>
      </c>
      <c r="FB73" s="678">
        <f t="shared" si="85"/>
        <v>0</v>
      </c>
      <c r="FC73" s="679">
        <f t="shared" si="86"/>
        <v>0</v>
      </c>
      <c r="FD73" s="680"/>
      <c r="FE73" s="681"/>
      <c r="FF73" s="682"/>
      <c r="FG73" s="682"/>
      <c r="FH73" s="683"/>
      <c r="FI73" s="684"/>
      <c r="FJ73" s="680"/>
      <c r="FK73" s="681"/>
      <c r="FL73" s="682"/>
      <c r="FM73" s="682"/>
      <c r="FN73" s="683"/>
      <c r="FO73" s="684"/>
      <c r="FP73" s="680"/>
      <c r="FQ73" s="681"/>
      <c r="FR73" s="682"/>
      <c r="FS73" s="682"/>
      <c r="FT73" s="683"/>
      <c r="FU73" s="684"/>
      <c r="FV73" s="680"/>
      <c r="FW73" s="681"/>
      <c r="FX73" s="682"/>
      <c r="FY73" s="682"/>
      <c r="FZ73" s="683"/>
      <c r="GA73" s="684"/>
      <c r="GB73" s="675"/>
      <c r="GC73" s="676">
        <f t="shared" si="38"/>
        <v>0</v>
      </c>
      <c r="GD73" s="677">
        <f t="shared" si="39"/>
        <v>0</v>
      </c>
      <c r="GE73" s="677">
        <f t="shared" si="87"/>
        <v>0</v>
      </c>
      <c r="GF73" s="678">
        <f t="shared" si="88"/>
        <v>0</v>
      </c>
      <c r="GG73" s="679">
        <f t="shared" si="89"/>
        <v>0</v>
      </c>
      <c r="GH73" s="680"/>
      <c r="GI73" s="681"/>
      <c r="GJ73" s="682"/>
      <c r="GK73" s="682"/>
      <c r="GL73" s="683"/>
      <c r="GM73" s="684"/>
      <c r="GN73" s="680"/>
      <c r="GO73" s="681"/>
      <c r="GP73" s="682"/>
      <c r="GQ73" s="682"/>
      <c r="GR73" s="683"/>
      <c r="GS73" s="684"/>
      <c r="GT73" s="680"/>
      <c r="GU73" s="681"/>
      <c r="GV73" s="682"/>
      <c r="GW73" s="682"/>
      <c r="GX73" s="683"/>
      <c r="GY73" s="684"/>
      <c r="GZ73" s="680"/>
      <c r="HA73" s="147"/>
      <c r="HB73" s="148"/>
      <c r="HC73" s="148"/>
      <c r="HD73" s="149"/>
      <c r="HE73" s="150"/>
      <c r="HF73" s="506"/>
      <c r="HG73" s="502"/>
      <c r="HH73" s="502"/>
      <c r="HI73" s="502"/>
      <c r="HJ73" s="8"/>
    </row>
    <row r="74" spans="2:218" ht="21" hidden="1">
      <c r="B74" s="488">
        <v>30</v>
      </c>
      <c r="C74" s="489" t="s">
        <v>156</v>
      </c>
      <c r="D74" s="490" t="s">
        <v>170</v>
      </c>
      <c r="E74" s="491" t="s">
        <v>413</v>
      </c>
      <c r="F74" s="492"/>
      <c r="G74" s="493"/>
      <c r="H74" s="146" t="s">
        <v>97</v>
      </c>
      <c r="I74" s="494" t="str">
        <f t="shared" si="4"/>
        <v>n.v.t.</v>
      </c>
      <c r="J74" s="495"/>
      <c r="K74" s="151">
        <v>0</v>
      </c>
      <c r="L74" s="256"/>
      <c r="M74" s="256">
        <f>IF($C$5&lt;3000,(Bron!H63*$C$5)+Bron!I63,(Bron!M63*$C$5)+Bron!N63)</f>
        <v>0</v>
      </c>
      <c r="N74" s="496">
        <f t="shared" si="41"/>
        <v>0</v>
      </c>
      <c r="O74" s="497" t="str">
        <f t="shared" si="5"/>
        <v/>
      </c>
      <c r="P74" s="257">
        <f>IF($C$5&lt;3000,$AN$32*Bron!J63,$AN$32*Bron!O63)</f>
        <v>0</v>
      </c>
      <c r="Q74" s="257">
        <f>IF($C$5&lt;3000,$AN$31*Bron!K63,$AN$31*Bron!P63)</f>
        <v>0</v>
      </c>
      <c r="R74" s="257">
        <f>IF($C$5&lt;3000,$AN$33*Bron!J63,$AN$33*Bron!O63)</f>
        <v>0</v>
      </c>
      <c r="S74" s="344"/>
      <c r="T74" s="258">
        <f t="shared" si="6"/>
        <v>0</v>
      </c>
      <c r="U74" s="259">
        <f t="shared" si="7"/>
        <v>0</v>
      </c>
      <c r="V74" s="675"/>
      <c r="W74" s="676">
        <f t="shared" si="8"/>
        <v>0</v>
      </c>
      <c r="X74" s="677">
        <f t="shared" si="9"/>
        <v>0</v>
      </c>
      <c r="Y74" s="677">
        <f t="shared" si="42"/>
        <v>0</v>
      </c>
      <c r="Z74" s="678">
        <f t="shared" si="43"/>
        <v>0</v>
      </c>
      <c r="AA74" s="679">
        <f t="shared" si="44"/>
        <v>0</v>
      </c>
      <c r="AB74" s="675"/>
      <c r="AC74" s="676">
        <f t="shared" si="10"/>
        <v>0</v>
      </c>
      <c r="AD74" s="677">
        <f t="shared" si="11"/>
        <v>0</v>
      </c>
      <c r="AE74" s="677">
        <f t="shared" si="45"/>
        <v>0</v>
      </c>
      <c r="AF74" s="678">
        <f t="shared" si="46"/>
        <v>0</v>
      </c>
      <c r="AG74" s="679">
        <f t="shared" si="47"/>
        <v>0</v>
      </c>
      <c r="AH74" s="675"/>
      <c r="AI74" s="676">
        <f t="shared" si="12"/>
        <v>0</v>
      </c>
      <c r="AJ74" s="677">
        <f t="shared" si="13"/>
        <v>0</v>
      </c>
      <c r="AK74" s="677">
        <f t="shared" si="48"/>
        <v>0</v>
      </c>
      <c r="AL74" s="678">
        <f t="shared" si="49"/>
        <v>0</v>
      </c>
      <c r="AM74" s="679">
        <f t="shared" si="50"/>
        <v>0</v>
      </c>
      <c r="AN74" s="675"/>
      <c r="AO74" s="676">
        <f t="shared" si="14"/>
        <v>0</v>
      </c>
      <c r="AP74" s="677">
        <f t="shared" si="15"/>
        <v>0</v>
      </c>
      <c r="AQ74" s="677">
        <f t="shared" si="51"/>
        <v>0</v>
      </c>
      <c r="AR74" s="678">
        <f t="shared" si="52"/>
        <v>0</v>
      </c>
      <c r="AS74" s="679">
        <f t="shared" si="53"/>
        <v>0</v>
      </c>
      <c r="AT74" s="675"/>
      <c r="AU74" s="676">
        <f t="shared" si="16"/>
        <v>0</v>
      </c>
      <c r="AV74" s="677">
        <f t="shared" si="17"/>
        <v>0</v>
      </c>
      <c r="AW74" s="677">
        <f t="shared" si="54"/>
        <v>0</v>
      </c>
      <c r="AX74" s="678">
        <f t="shared" si="55"/>
        <v>0</v>
      </c>
      <c r="AY74" s="679">
        <f t="shared" si="56"/>
        <v>0</v>
      </c>
      <c r="AZ74" s="675"/>
      <c r="BA74" s="676">
        <f t="shared" si="18"/>
        <v>0</v>
      </c>
      <c r="BB74" s="677">
        <f t="shared" si="19"/>
        <v>0</v>
      </c>
      <c r="BC74" s="677">
        <f t="shared" si="57"/>
        <v>0</v>
      </c>
      <c r="BD74" s="678">
        <f t="shared" si="58"/>
        <v>0</v>
      </c>
      <c r="BE74" s="679">
        <f t="shared" si="59"/>
        <v>0</v>
      </c>
      <c r="BF74" s="675"/>
      <c r="BG74" s="676">
        <f t="shared" si="20"/>
        <v>0</v>
      </c>
      <c r="BH74" s="677">
        <f t="shared" si="21"/>
        <v>0</v>
      </c>
      <c r="BI74" s="677">
        <f t="shared" si="60"/>
        <v>0</v>
      </c>
      <c r="BJ74" s="678">
        <f t="shared" si="61"/>
        <v>0</v>
      </c>
      <c r="BK74" s="679">
        <f t="shared" si="62"/>
        <v>0</v>
      </c>
      <c r="BL74" s="675"/>
      <c r="BM74" s="676">
        <f t="shared" si="22"/>
        <v>0</v>
      </c>
      <c r="BN74" s="677">
        <f t="shared" si="23"/>
        <v>0</v>
      </c>
      <c r="BO74" s="677">
        <f t="shared" si="63"/>
        <v>0</v>
      </c>
      <c r="BP74" s="678">
        <f t="shared" si="64"/>
        <v>0</v>
      </c>
      <c r="BQ74" s="679">
        <f t="shared" si="65"/>
        <v>0</v>
      </c>
      <c r="BR74" s="675"/>
      <c r="BS74" s="676">
        <f t="shared" si="24"/>
        <v>0</v>
      </c>
      <c r="BT74" s="677">
        <f t="shared" si="25"/>
        <v>0</v>
      </c>
      <c r="BU74" s="677">
        <f t="shared" si="66"/>
        <v>0</v>
      </c>
      <c r="BV74" s="678">
        <f t="shared" si="67"/>
        <v>0</v>
      </c>
      <c r="BW74" s="679">
        <f t="shared" si="68"/>
        <v>0</v>
      </c>
      <c r="BX74" s="675"/>
      <c r="BY74" s="676">
        <f t="shared" si="26"/>
        <v>0</v>
      </c>
      <c r="BZ74" s="677">
        <f t="shared" si="27"/>
        <v>0</v>
      </c>
      <c r="CA74" s="677">
        <f t="shared" si="69"/>
        <v>0</v>
      </c>
      <c r="CB74" s="678">
        <f t="shared" si="70"/>
        <v>0</v>
      </c>
      <c r="CC74" s="679">
        <f t="shared" si="71"/>
        <v>0</v>
      </c>
      <c r="CD74" s="675"/>
      <c r="CE74" s="676">
        <f t="shared" si="28"/>
        <v>0</v>
      </c>
      <c r="CF74" s="677">
        <f t="shared" si="29"/>
        <v>0</v>
      </c>
      <c r="CG74" s="677">
        <f t="shared" si="72"/>
        <v>0</v>
      </c>
      <c r="CH74" s="678">
        <f t="shared" si="73"/>
        <v>0</v>
      </c>
      <c r="CI74" s="679">
        <f t="shared" si="74"/>
        <v>0</v>
      </c>
      <c r="CJ74" s="675"/>
      <c r="CK74" s="676">
        <f t="shared" si="30"/>
        <v>0</v>
      </c>
      <c r="CL74" s="677">
        <f t="shared" si="31"/>
        <v>0</v>
      </c>
      <c r="CM74" s="677">
        <f t="shared" si="75"/>
        <v>0</v>
      </c>
      <c r="CN74" s="678">
        <f t="shared" si="76"/>
        <v>0</v>
      </c>
      <c r="CO74" s="679">
        <f t="shared" si="77"/>
        <v>0</v>
      </c>
      <c r="CP74" s="675"/>
      <c r="CQ74" s="676">
        <f t="shared" si="32"/>
        <v>0</v>
      </c>
      <c r="CR74" s="677">
        <f t="shared" si="33"/>
        <v>0</v>
      </c>
      <c r="CS74" s="677">
        <f t="shared" si="78"/>
        <v>0</v>
      </c>
      <c r="CT74" s="678">
        <f t="shared" si="79"/>
        <v>0</v>
      </c>
      <c r="CU74" s="679">
        <f t="shared" si="80"/>
        <v>0</v>
      </c>
      <c r="CV74" s="685"/>
      <c r="CW74" s="681"/>
      <c r="CX74" s="682"/>
      <c r="CY74" s="682"/>
      <c r="CZ74" s="683"/>
      <c r="DA74" s="684"/>
      <c r="DB74" s="685"/>
      <c r="DC74" s="681"/>
      <c r="DD74" s="682"/>
      <c r="DE74" s="682"/>
      <c r="DF74" s="683"/>
      <c r="DG74" s="684"/>
      <c r="DH74" s="685"/>
      <c r="DI74" s="681"/>
      <c r="DJ74" s="682"/>
      <c r="DK74" s="682"/>
      <c r="DL74" s="683"/>
      <c r="DM74" s="684"/>
      <c r="DN74" s="685"/>
      <c r="DO74" s="681"/>
      <c r="DP74" s="682"/>
      <c r="DQ74" s="682"/>
      <c r="DR74" s="683"/>
      <c r="DS74" s="684"/>
      <c r="DT74" s="675"/>
      <c r="DU74" s="676">
        <f t="shared" si="34"/>
        <v>0</v>
      </c>
      <c r="DV74" s="677">
        <f t="shared" si="35"/>
        <v>0</v>
      </c>
      <c r="DW74" s="677">
        <f t="shared" si="81"/>
        <v>0</v>
      </c>
      <c r="DX74" s="678">
        <f t="shared" si="82"/>
        <v>0</v>
      </c>
      <c r="DY74" s="679">
        <f t="shared" si="83"/>
        <v>0</v>
      </c>
      <c r="DZ74" s="680"/>
      <c r="EA74" s="681"/>
      <c r="EB74" s="682"/>
      <c r="EC74" s="682"/>
      <c r="ED74" s="683"/>
      <c r="EE74" s="684"/>
      <c r="EF74" s="680"/>
      <c r="EG74" s="681"/>
      <c r="EH74" s="682"/>
      <c r="EI74" s="682"/>
      <c r="EJ74" s="683"/>
      <c r="EK74" s="684"/>
      <c r="EL74" s="680"/>
      <c r="EM74" s="681"/>
      <c r="EN74" s="682"/>
      <c r="EO74" s="682"/>
      <c r="EP74" s="683"/>
      <c r="EQ74" s="684"/>
      <c r="ER74" s="680"/>
      <c r="ES74" s="681"/>
      <c r="ET74" s="682"/>
      <c r="EU74" s="682"/>
      <c r="EV74" s="683"/>
      <c r="EW74" s="684"/>
      <c r="EX74" s="675"/>
      <c r="EY74" s="676">
        <f t="shared" si="36"/>
        <v>0</v>
      </c>
      <c r="EZ74" s="677">
        <f t="shared" si="37"/>
        <v>0</v>
      </c>
      <c r="FA74" s="677">
        <f t="shared" si="84"/>
        <v>0</v>
      </c>
      <c r="FB74" s="678">
        <f t="shared" si="85"/>
        <v>0</v>
      </c>
      <c r="FC74" s="679">
        <f t="shared" si="86"/>
        <v>0</v>
      </c>
      <c r="FD74" s="680"/>
      <c r="FE74" s="681"/>
      <c r="FF74" s="682"/>
      <c r="FG74" s="682"/>
      <c r="FH74" s="683"/>
      <c r="FI74" s="684"/>
      <c r="FJ74" s="680"/>
      <c r="FK74" s="681"/>
      <c r="FL74" s="682"/>
      <c r="FM74" s="682"/>
      <c r="FN74" s="683"/>
      <c r="FO74" s="684"/>
      <c r="FP74" s="680"/>
      <c r="FQ74" s="681"/>
      <c r="FR74" s="682"/>
      <c r="FS74" s="682"/>
      <c r="FT74" s="683"/>
      <c r="FU74" s="684"/>
      <c r="FV74" s="680"/>
      <c r="FW74" s="681"/>
      <c r="FX74" s="682"/>
      <c r="FY74" s="682"/>
      <c r="FZ74" s="683"/>
      <c r="GA74" s="684"/>
      <c r="GB74" s="675"/>
      <c r="GC74" s="676">
        <f t="shared" si="38"/>
        <v>0</v>
      </c>
      <c r="GD74" s="677">
        <f t="shared" si="39"/>
        <v>0</v>
      </c>
      <c r="GE74" s="677">
        <f t="shared" si="87"/>
        <v>0</v>
      </c>
      <c r="GF74" s="678">
        <f t="shared" si="88"/>
        <v>0</v>
      </c>
      <c r="GG74" s="679">
        <f t="shared" si="89"/>
        <v>0</v>
      </c>
      <c r="GH74" s="680"/>
      <c r="GI74" s="681"/>
      <c r="GJ74" s="682"/>
      <c r="GK74" s="682"/>
      <c r="GL74" s="683"/>
      <c r="GM74" s="684"/>
      <c r="GN74" s="680"/>
      <c r="GO74" s="681"/>
      <c r="GP74" s="682"/>
      <c r="GQ74" s="682"/>
      <c r="GR74" s="683"/>
      <c r="GS74" s="684"/>
      <c r="GT74" s="680"/>
      <c r="GU74" s="681"/>
      <c r="GV74" s="682"/>
      <c r="GW74" s="682"/>
      <c r="GX74" s="683"/>
      <c r="GY74" s="684"/>
      <c r="GZ74" s="680"/>
      <c r="HA74" s="147"/>
      <c r="HB74" s="148"/>
      <c r="HC74" s="148"/>
      <c r="HD74" s="149"/>
      <c r="HE74" s="150"/>
      <c r="HF74" s="506"/>
      <c r="HG74" s="502"/>
      <c r="HH74" s="502"/>
      <c r="HI74" s="502"/>
      <c r="HJ74" s="8"/>
    </row>
    <row r="75" spans="2:218" ht="21" hidden="1">
      <c r="B75" s="488">
        <v>31</v>
      </c>
      <c r="C75" s="489" t="s">
        <v>156</v>
      </c>
      <c r="D75" s="490" t="s">
        <v>171</v>
      </c>
      <c r="E75" s="491" t="s">
        <v>414</v>
      </c>
      <c r="F75" s="492"/>
      <c r="G75" s="493"/>
      <c r="H75" s="146" t="s">
        <v>97</v>
      </c>
      <c r="I75" s="494" t="str">
        <f t="shared" si="4"/>
        <v>n.v.t.</v>
      </c>
      <c r="J75" s="495" t="s">
        <v>487</v>
      </c>
      <c r="K75" s="151">
        <v>0</v>
      </c>
      <c r="L75" s="256">
        <f>IF($C$5&lt;3000,(Bron!H64*$C$5)+Bron!I64,(Bron!M64*$C$5)+Bron!N64)</f>
        <v>0</v>
      </c>
      <c r="M75" s="256"/>
      <c r="N75" s="496">
        <f t="shared" si="41"/>
        <v>0</v>
      </c>
      <c r="O75" s="497" t="str">
        <f t="shared" si="5"/>
        <v/>
      </c>
      <c r="P75" s="257">
        <f>IF($C$5&lt;3000,$AN$32*Bron!J64,$AN$32*Bron!O64)</f>
        <v>0</v>
      </c>
      <c r="Q75" s="257">
        <f>IF($C$5&lt;3000,$AN$31*Bron!K64,$AN$31*Bron!P64)</f>
        <v>0</v>
      </c>
      <c r="R75" s="257">
        <f>IF($C$5&lt;3000,$AN$33*Bron!J64,$AN$33*Bron!O64)</f>
        <v>0</v>
      </c>
      <c r="S75" s="344"/>
      <c r="T75" s="258">
        <f t="shared" si="6"/>
        <v>0</v>
      </c>
      <c r="U75" s="259">
        <f t="shared" si="7"/>
        <v>0</v>
      </c>
      <c r="V75" s="675"/>
      <c r="W75" s="676">
        <f t="shared" si="8"/>
        <v>0</v>
      </c>
      <c r="X75" s="677">
        <f t="shared" si="9"/>
        <v>0</v>
      </c>
      <c r="Y75" s="677">
        <f t="shared" si="42"/>
        <v>0</v>
      </c>
      <c r="Z75" s="678">
        <f t="shared" si="43"/>
        <v>0</v>
      </c>
      <c r="AA75" s="679">
        <f t="shared" si="44"/>
        <v>0</v>
      </c>
      <c r="AB75" s="675"/>
      <c r="AC75" s="676">
        <f t="shared" si="10"/>
        <v>0</v>
      </c>
      <c r="AD75" s="677">
        <f t="shared" si="11"/>
        <v>0</v>
      </c>
      <c r="AE75" s="677">
        <f t="shared" si="45"/>
        <v>0</v>
      </c>
      <c r="AF75" s="678">
        <f t="shared" si="46"/>
        <v>0</v>
      </c>
      <c r="AG75" s="679">
        <f t="shared" si="47"/>
        <v>0</v>
      </c>
      <c r="AH75" s="675"/>
      <c r="AI75" s="676">
        <f t="shared" si="12"/>
        <v>0</v>
      </c>
      <c r="AJ75" s="677">
        <f t="shared" si="13"/>
        <v>0</v>
      </c>
      <c r="AK75" s="677">
        <f t="shared" si="48"/>
        <v>0</v>
      </c>
      <c r="AL75" s="678">
        <f t="shared" si="49"/>
        <v>0</v>
      </c>
      <c r="AM75" s="679">
        <f t="shared" si="50"/>
        <v>0</v>
      </c>
      <c r="AN75" s="675"/>
      <c r="AO75" s="676">
        <f t="shared" si="14"/>
        <v>0</v>
      </c>
      <c r="AP75" s="677">
        <f t="shared" si="15"/>
        <v>0</v>
      </c>
      <c r="AQ75" s="677">
        <f t="shared" si="51"/>
        <v>0</v>
      </c>
      <c r="AR75" s="678">
        <f t="shared" si="52"/>
        <v>0</v>
      </c>
      <c r="AS75" s="679">
        <f t="shared" si="53"/>
        <v>0</v>
      </c>
      <c r="AT75" s="675"/>
      <c r="AU75" s="676">
        <f t="shared" si="16"/>
        <v>0</v>
      </c>
      <c r="AV75" s="677">
        <f t="shared" si="17"/>
        <v>0</v>
      </c>
      <c r="AW75" s="677">
        <f t="shared" si="54"/>
        <v>0</v>
      </c>
      <c r="AX75" s="678">
        <f t="shared" si="55"/>
        <v>0</v>
      </c>
      <c r="AY75" s="679">
        <f t="shared" si="56"/>
        <v>0</v>
      </c>
      <c r="AZ75" s="675"/>
      <c r="BA75" s="676">
        <f t="shared" si="18"/>
        <v>0</v>
      </c>
      <c r="BB75" s="677">
        <f t="shared" si="19"/>
        <v>0</v>
      </c>
      <c r="BC75" s="677">
        <f t="shared" si="57"/>
        <v>0</v>
      </c>
      <c r="BD75" s="678">
        <f t="shared" si="58"/>
        <v>0</v>
      </c>
      <c r="BE75" s="679">
        <f t="shared" si="59"/>
        <v>0</v>
      </c>
      <c r="BF75" s="675"/>
      <c r="BG75" s="676">
        <f t="shared" si="20"/>
        <v>0</v>
      </c>
      <c r="BH75" s="677">
        <f t="shared" si="21"/>
        <v>0</v>
      </c>
      <c r="BI75" s="677">
        <f t="shared" si="60"/>
        <v>0</v>
      </c>
      <c r="BJ75" s="678">
        <f t="shared" si="61"/>
        <v>0</v>
      </c>
      <c r="BK75" s="679">
        <f t="shared" si="62"/>
        <v>0</v>
      </c>
      <c r="BL75" s="675"/>
      <c r="BM75" s="676">
        <f t="shared" si="22"/>
        <v>0</v>
      </c>
      <c r="BN75" s="677">
        <f t="shared" si="23"/>
        <v>0</v>
      </c>
      <c r="BO75" s="677">
        <f t="shared" si="63"/>
        <v>0</v>
      </c>
      <c r="BP75" s="678">
        <f t="shared" si="64"/>
        <v>0</v>
      </c>
      <c r="BQ75" s="679">
        <f t="shared" si="65"/>
        <v>0</v>
      </c>
      <c r="BR75" s="675"/>
      <c r="BS75" s="676">
        <f t="shared" si="24"/>
        <v>0</v>
      </c>
      <c r="BT75" s="677">
        <f t="shared" si="25"/>
        <v>0</v>
      </c>
      <c r="BU75" s="677">
        <f t="shared" si="66"/>
        <v>0</v>
      </c>
      <c r="BV75" s="678">
        <f t="shared" si="67"/>
        <v>0</v>
      </c>
      <c r="BW75" s="679">
        <f t="shared" si="68"/>
        <v>0</v>
      </c>
      <c r="BX75" s="675"/>
      <c r="BY75" s="676">
        <f t="shared" si="26"/>
        <v>0</v>
      </c>
      <c r="BZ75" s="677">
        <f t="shared" si="27"/>
        <v>0</v>
      </c>
      <c r="CA75" s="677">
        <f t="shared" si="69"/>
        <v>0</v>
      </c>
      <c r="CB75" s="678">
        <f t="shared" si="70"/>
        <v>0</v>
      </c>
      <c r="CC75" s="679">
        <f t="shared" si="71"/>
        <v>0</v>
      </c>
      <c r="CD75" s="675"/>
      <c r="CE75" s="676">
        <f t="shared" si="28"/>
        <v>0</v>
      </c>
      <c r="CF75" s="677">
        <f t="shared" si="29"/>
        <v>0</v>
      </c>
      <c r="CG75" s="677">
        <f t="shared" si="72"/>
        <v>0</v>
      </c>
      <c r="CH75" s="678">
        <f t="shared" si="73"/>
        <v>0</v>
      </c>
      <c r="CI75" s="679">
        <f t="shared" si="74"/>
        <v>0</v>
      </c>
      <c r="CJ75" s="675"/>
      <c r="CK75" s="676">
        <f t="shared" si="30"/>
        <v>0</v>
      </c>
      <c r="CL75" s="677">
        <f t="shared" si="31"/>
        <v>0</v>
      </c>
      <c r="CM75" s="677">
        <f t="shared" si="75"/>
        <v>0</v>
      </c>
      <c r="CN75" s="678">
        <f t="shared" si="76"/>
        <v>0</v>
      </c>
      <c r="CO75" s="679">
        <f t="shared" si="77"/>
        <v>0</v>
      </c>
      <c r="CP75" s="675"/>
      <c r="CQ75" s="676">
        <f t="shared" si="32"/>
        <v>0</v>
      </c>
      <c r="CR75" s="677">
        <f t="shared" si="33"/>
        <v>0</v>
      </c>
      <c r="CS75" s="677">
        <f t="shared" si="78"/>
        <v>0</v>
      </c>
      <c r="CT75" s="678">
        <f t="shared" si="79"/>
        <v>0</v>
      </c>
      <c r="CU75" s="679">
        <f t="shared" si="80"/>
        <v>0</v>
      </c>
      <c r="CV75" s="685"/>
      <c r="CW75" s="681"/>
      <c r="CX75" s="682"/>
      <c r="CY75" s="682"/>
      <c r="CZ75" s="683"/>
      <c r="DA75" s="684"/>
      <c r="DB75" s="685"/>
      <c r="DC75" s="681"/>
      <c r="DD75" s="682"/>
      <c r="DE75" s="682"/>
      <c r="DF75" s="683"/>
      <c r="DG75" s="684"/>
      <c r="DH75" s="685"/>
      <c r="DI75" s="681"/>
      <c r="DJ75" s="682"/>
      <c r="DK75" s="682"/>
      <c r="DL75" s="683"/>
      <c r="DM75" s="684"/>
      <c r="DN75" s="685"/>
      <c r="DO75" s="681"/>
      <c r="DP75" s="682"/>
      <c r="DQ75" s="682"/>
      <c r="DR75" s="683"/>
      <c r="DS75" s="684"/>
      <c r="DT75" s="675"/>
      <c r="DU75" s="676">
        <f t="shared" si="34"/>
        <v>0</v>
      </c>
      <c r="DV75" s="677">
        <f t="shared" si="35"/>
        <v>0</v>
      </c>
      <c r="DW75" s="677">
        <f t="shared" si="81"/>
        <v>0</v>
      </c>
      <c r="DX75" s="678">
        <f t="shared" si="82"/>
        <v>0</v>
      </c>
      <c r="DY75" s="679">
        <f t="shared" si="83"/>
        <v>0</v>
      </c>
      <c r="DZ75" s="680"/>
      <c r="EA75" s="681"/>
      <c r="EB75" s="682"/>
      <c r="EC75" s="682"/>
      <c r="ED75" s="683"/>
      <c r="EE75" s="684"/>
      <c r="EF75" s="680"/>
      <c r="EG75" s="681"/>
      <c r="EH75" s="682"/>
      <c r="EI75" s="682"/>
      <c r="EJ75" s="683"/>
      <c r="EK75" s="684"/>
      <c r="EL75" s="680"/>
      <c r="EM75" s="681"/>
      <c r="EN75" s="682"/>
      <c r="EO75" s="682"/>
      <c r="EP75" s="683"/>
      <c r="EQ75" s="684"/>
      <c r="ER75" s="680"/>
      <c r="ES75" s="681"/>
      <c r="ET75" s="682"/>
      <c r="EU75" s="682"/>
      <c r="EV75" s="683"/>
      <c r="EW75" s="684"/>
      <c r="EX75" s="675"/>
      <c r="EY75" s="676">
        <f t="shared" si="36"/>
        <v>0</v>
      </c>
      <c r="EZ75" s="677">
        <f t="shared" si="37"/>
        <v>0</v>
      </c>
      <c r="FA75" s="677">
        <f t="shared" si="84"/>
        <v>0</v>
      </c>
      <c r="FB75" s="678">
        <f t="shared" si="85"/>
        <v>0</v>
      </c>
      <c r="FC75" s="679">
        <f t="shared" si="86"/>
        <v>0</v>
      </c>
      <c r="FD75" s="680"/>
      <c r="FE75" s="681"/>
      <c r="FF75" s="682"/>
      <c r="FG75" s="682"/>
      <c r="FH75" s="683"/>
      <c r="FI75" s="684"/>
      <c r="FJ75" s="680"/>
      <c r="FK75" s="681"/>
      <c r="FL75" s="682"/>
      <c r="FM75" s="682"/>
      <c r="FN75" s="683"/>
      <c r="FO75" s="684"/>
      <c r="FP75" s="680"/>
      <c r="FQ75" s="681"/>
      <c r="FR75" s="682"/>
      <c r="FS75" s="682"/>
      <c r="FT75" s="683"/>
      <c r="FU75" s="684"/>
      <c r="FV75" s="680"/>
      <c r="FW75" s="681"/>
      <c r="FX75" s="682"/>
      <c r="FY75" s="682"/>
      <c r="FZ75" s="683"/>
      <c r="GA75" s="684"/>
      <c r="GB75" s="675"/>
      <c r="GC75" s="676">
        <f t="shared" si="38"/>
        <v>0</v>
      </c>
      <c r="GD75" s="677">
        <f t="shared" si="39"/>
        <v>0</v>
      </c>
      <c r="GE75" s="677">
        <f t="shared" si="87"/>
        <v>0</v>
      </c>
      <c r="GF75" s="678">
        <f t="shared" si="88"/>
        <v>0</v>
      </c>
      <c r="GG75" s="679">
        <f t="shared" si="89"/>
        <v>0</v>
      </c>
      <c r="GH75" s="680"/>
      <c r="GI75" s="681"/>
      <c r="GJ75" s="682"/>
      <c r="GK75" s="682"/>
      <c r="GL75" s="683"/>
      <c r="GM75" s="684"/>
      <c r="GN75" s="680"/>
      <c r="GO75" s="681"/>
      <c r="GP75" s="682"/>
      <c r="GQ75" s="682"/>
      <c r="GR75" s="683"/>
      <c r="GS75" s="684"/>
      <c r="GT75" s="680"/>
      <c r="GU75" s="681"/>
      <c r="GV75" s="682"/>
      <c r="GW75" s="682"/>
      <c r="GX75" s="683"/>
      <c r="GY75" s="684"/>
      <c r="GZ75" s="680"/>
      <c r="HA75" s="147"/>
      <c r="HB75" s="148"/>
      <c r="HC75" s="148"/>
      <c r="HD75" s="149"/>
      <c r="HE75" s="150"/>
      <c r="HF75" s="506"/>
      <c r="HG75" s="502"/>
      <c r="HH75" s="502"/>
      <c r="HI75" s="502"/>
      <c r="HJ75" s="8"/>
    </row>
    <row r="76" spans="2:218" ht="21" hidden="1">
      <c r="B76" s="488">
        <v>32</v>
      </c>
      <c r="C76" s="489" t="s">
        <v>156</v>
      </c>
      <c r="D76" s="490" t="s">
        <v>172</v>
      </c>
      <c r="E76" s="491" t="s">
        <v>173</v>
      </c>
      <c r="F76" s="492"/>
      <c r="G76" s="493"/>
      <c r="H76" s="146" t="s">
        <v>97</v>
      </c>
      <c r="I76" s="494" t="str">
        <f t="shared" si="4"/>
        <v>n.v.t.</v>
      </c>
      <c r="J76" s="495" t="s">
        <v>487</v>
      </c>
      <c r="K76" s="151">
        <v>0</v>
      </c>
      <c r="L76" s="256">
        <f>IF($C$5&lt;3000,(Bron!H65*$C$5)+Bron!I65,(Bron!M65*$C$5)+Bron!N65)</f>
        <v>600</v>
      </c>
      <c r="M76" s="256"/>
      <c r="N76" s="496">
        <f t="shared" si="41"/>
        <v>254.21033542976943</v>
      </c>
      <c r="O76" s="497">
        <f t="shared" si="5"/>
        <v>2.360250219510692</v>
      </c>
      <c r="P76" s="257">
        <f>IF($C$5&lt;3000,$AN$32*Bron!J65,$AN$32*Bron!O65)</f>
        <v>0</v>
      </c>
      <c r="Q76" s="257">
        <f>IF($C$5&lt;3000,$AN$31*Bron!K65,$AN$31*Bron!P65)</f>
        <v>1000.8280922431867</v>
      </c>
      <c r="R76" s="257">
        <f>IF($C$5&lt;3000,$AN$33*Bron!J65,$AN$33*Bron!O65)</f>
        <v>0</v>
      </c>
      <c r="S76" s="344"/>
      <c r="T76" s="258">
        <f t="shared" si="6"/>
        <v>0</v>
      </c>
      <c r="U76" s="259">
        <f t="shared" si="7"/>
        <v>0</v>
      </c>
      <c r="V76" s="675"/>
      <c r="W76" s="676">
        <f t="shared" si="8"/>
        <v>0</v>
      </c>
      <c r="X76" s="677">
        <f t="shared" si="9"/>
        <v>0</v>
      </c>
      <c r="Y76" s="677">
        <f t="shared" si="42"/>
        <v>0</v>
      </c>
      <c r="Z76" s="678">
        <f t="shared" si="43"/>
        <v>0</v>
      </c>
      <c r="AA76" s="679">
        <f t="shared" si="44"/>
        <v>0</v>
      </c>
      <c r="AB76" s="675"/>
      <c r="AC76" s="676">
        <f t="shared" si="10"/>
        <v>0</v>
      </c>
      <c r="AD76" s="677">
        <f t="shared" si="11"/>
        <v>0</v>
      </c>
      <c r="AE76" s="677">
        <f t="shared" si="45"/>
        <v>0</v>
      </c>
      <c r="AF76" s="678">
        <f t="shared" si="46"/>
        <v>0</v>
      </c>
      <c r="AG76" s="679">
        <f t="shared" si="47"/>
        <v>0</v>
      </c>
      <c r="AH76" s="675"/>
      <c r="AI76" s="676">
        <f t="shared" si="12"/>
        <v>0</v>
      </c>
      <c r="AJ76" s="677">
        <f t="shared" si="13"/>
        <v>0</v>
      </c>
      <c r="AK76" s="677">
        <f t="shared" si="48"/>
        <v>0</v>
      </c>
      <c r="AL76" s="678">
        <f t="shared" si="49"/>
        <v>0</v>
      </c>
      <c r="AM76" s="679">
        <f t="shared" si="50"/>
        <v>0</v>
      </c>
      <c r="AN76" s="675"/>
      <c r="AO76" s="676">
        <f t="shared" si="14"/>
        <v>0</v>
      </c>
      <c r="AP76" s="677">
        <f t="shared" si="15"/>
        <v>0</v>
      </c>
      <c r="AQ76" s="677">
        <f t="shared" si="51"/>
        <v>0</v>
      </c>
      <c r="AR76" s="678">
        <f t="shared" si="52"/>
        <v>0</v>
      </c>
      <c r="AS76" s="679">
        <f t="shared" si="53"/>
        <v>0</v>
      </c>
      <c r="AT76" s="675"/>
      <c r="AU76" s="676">
        <f t="shared" si="16"/>
        <v>0</v>
      </c>
      <c r="AV76" s="677">
        <f t="shared" si="17"/>
        <v>0</v>
      </c>
      <c r="AW76" s="677">
        <f t="shared" si="54"/>
        <v>0</v>
      </c>
      <c r="AX76" s="678">
        <f t="shared" si="55"/>
        <v>0</v>
      </c>
      <c r="AY76" s="679">
        <f t="shared" si="56"/>
        <v>0</v>
      </c>
      <c r="AZ76" s="675"/>
      <c r="BA76" s="676">
        <f t="shared" si="18"/>
        <v>0</v>
      </c>
      <c r="BB76" s="677">
        <f t="shared" si="19"/>
        <v>0</v>
      </c>
      <c r="BC76" s="677">
        <f t="shared" si="57"/>
        <v>0</v>
      </c>
      <c r="BD76" s="678">
        <f t="shared" si="58"/>
        <v>0</v>
      </c>
      <c r="BE76" s="679">
        <f t="shared" si="59"/>
        <v>0</v>
      </c>
      <c r="BF76" s="675"/>
      <c r="BG76" s="676">
        <f t="shared" si="20"/>
        <v>0</v>
      </c>
      <c r="BH76" s="677">
        <f t="shared" si="21"/>
        <v>0</v>
      </c>
      <c r="BI76" s="677">
        <f t="shared" si="60"/>
        <v>0</v>
      </c>
      <c r="BJ76" s="678">
        <f t="shared" si="61"/>
        <v>0</v>
      </c>
      <c r="BK76" s="679">
        <f t="shared" si="62"/>
        <v>0</v>
      </c>
      <c r="BL76" s="675"/>
      <c r="BM76" s="676">
        <f t="shared" si="22"/>
        <v>0</v>
      </c>
      <c r="BN76" s="677">
        <f t="shared" si="23"/>
        <v>0</v>
      </c>
      <c r="BO76" s="677">
        <f t="shared" si="63"/>
        <v>0</v>
      </c>
      <c r="BP76" s="678">
        <f t="shared" si="64"/>
        <v>0</v>
      </c>
      <c r="BQ76" s="679">
        <f t="shared" si="65"/>
        <v>0</v>
      </c>
      <c r="BR76" s="675"/>
      <c r="BS76" s="676">
        <f t="shared" si="24"/>
        <v>0</v>
      </c>
      <c r="BT76" s="677">
        <f t="shared" si="25"/>
        <v>0</v>
      </c>
      <c r="BU76" s="677">
        <f t="shared" si="66"/>
        <v>0</v>
      </c>
      <c r="BV76" s="678">
        <f t="shared" si="67"/>
        <v>0</v>
      </c>
      <c r="BW76" s="679">
        <f t="shared" si="68"/>
        <v>0</v>
      </c>
      <c r="BX76" s="675"/>
      <c r="BY76" s="676">
        <f t="shared" si="26"/>
        <v>0</v>
      </c>
      <c r="BZ76" s="677">
        <f t="shared" si="27"/>
        <v>0</v>
      </c>
      <c r="CA76" s="677">
        <f t="shared" si="69"/>
        <v>0</v>
      </c>
      <c r="CB76" s="678">
        <f t="shared" si="70"/>
        <v>0</v>
      </c>
      <c r="CC76" s="679">
        <f t="shared" si="71"/>
        <v>0</v>
      </c>
      <c r="CD76" s="675"/>
      <c r="CE76" s="676">
        <f t="shared" si="28"/>
        <v>0</v>
      </c>
      <c r="CF76" s="677">
        <f t="shared" si="29"/>
        <v>0</v>
      </c>
      <c r="CG76" s="677">
        <f t="shared" si="72"/>
        <v>0</v>
      </c>
      <c r="CH76" s="678">
        <f t="shared" si="73"/>
        <v>0</v>
      </c>
      <c r="CI76" s="679">
        <f t="shared" si="74"/>
        <v>0</v>
      </c>
      <c r="CJ76" s="675"/>
      <c r="CK76" s="676">
        <f t="shared" si="30"/>
        <v>0</v>
      </c>
      <c r="CL76" s="677">
        <f t="shared" si="31"/>
        <v>0</v>
      </c>
      <c r="CM76" s="677">
        <f t="shared" si="75"/>
        <v>0</v>
      </c>
      <c r="CN76" s="678">
        <f t="shared" si="76"/>
        <v>0</v>
      </c>
      <c r="CO76" s="679">
        <f t="shared" si="77"/>
        <v>0</v>
      </c>
      <c r="CP76" s="675"/>
      <c r="CQ76" s="676">
        <f t="shared" si="32"/>
        <v>0</v>
      </c>
      <c r="CR76" s="677">
        <f t="shared" si="33"/>
        <v>0</v>
      </c>
      <c r="CS76" s="677">
        <f t="shared" si="78"/>
        <v>0</v>
      </c>
      <c r="CT76" s="678">
        <f t="shared" si="79"/>
        <v>0</v>
      </c>
      <c r="CU76" s="679">
        <f t="shared" si="80"/>
        <v>0</v>
      </c>
      <c r="CV76" s="685"/>
      <c r="CW76" s="681"/>
      <c r="CX76" s="682"/>
      <c r="CY76" s="682"/>
      <c r="CZ76" s="683"/>
      <c r="DA76" s="684"/>
      <c r="DB76" s="685"/>
      <c r="DC76" s="681"/>
      <c r="DD76" s="682"/>
      <c r="DE76" s="682"/>
      <c r="DF76" s="683"/>
      <c r="DG76" s="684"/>
      <c r="DH76" s="685"/>
      <c r="DI76" s="681"/>
      <c r="DJ76" s="682"/>
      <c r="DK76" s="682"/>
      <c r="DL76" s="683"/>
      <c r="DM76" s="684"/>
      <c r="DN76" s="685"/>
      <c r="DO76" s="681"/>
      <c r="DP76" s="682"/>
      <c r="DQ76" s="682"/>
      <c r="DR76" s="683"/>
      <c r="DS76" s="684"/>
      <c r="DT76" s="675"/>
      <c r="DU76" s="676">
        <f t="shared" si="34"/>
        <v>0</v>
      </c>
      <c r="DV76" s="677">
        <f t="shared" si="35"/>
        <v>0</v>
      </c>
      <c r="DW76" s="677">
        <f t="shared" si="81"/>
        <v>0</v>
      </c>
      <c r="DX76" s="678">
        <f t="shared" si="82"/>
        <v>0</v>
      </c>
      <c r="DY76" s="679">
        <f t="shared" si="83"/>
        <v>0</v>
      </c>
      <c r="DZ76" s="680"/>
      <c r="EA76" s="681"/>
      <c r="EB76" s="682"/>
      <c r="EC76" s="682"/>
      <c r="ED76" s="683"/>
      <c r="EE76" s="684"/>
      <c r="EF76" s="680"/>
      <c r="EG76" s="681"/>
      <c r="EH76" s="682"/>
      <c r="EI76" s="682"/>
      <c r="EJ76" s="683"/>
      <c r="EK76" s="684"/>
      <c r="EL76" s="680"/>
      <c r="EM76" s="681"/>
      <c r="EN76" s="682"/>
      <c r="EO76" s="682"/>
      <c r="EP76" s="683"/>
      <c r="EQ76" s="684"/>
      <c r="ER76" s="680"/>
      <c r="ES76" s="681"/>
      <c r="ET76" s="682"/>
      <c r="EU76" s="682"/>
      <c r="EV76" s="683"/>
      <c r="EW76" s="684"/>
      <c r="EX76" s="675"/>
      <c r="EY76" s="676">
        <f t="shared" si="36"/>
        <v>0</v>
      </c>
      <c r="EZ76" s="677">
        <f t="shared" si="37"/>
        <v>0</v>
      </c>
      <c r="FA76" s="677">
        <f t="shared" si="84"/>
        <v>0</v>
      </c>
      <c r="FB76" s="678">
        <f t="shared" si="85"/>
        <v>0</v>
      </c>
      <c r="FC76" s="679">
        <f t="shared" si="86"/>
        <v>0</v>
      </c>
      <c r="FD76" s="680"/>
      <c r="FE76" s="681"/>
      <c r="FF76" s="682"/>
      <c r="FG76" s="682"/>
      <c r="FH76" s="683"/>
      <c r="FI76" s="684"/>
      <c r="FJ76" s="680"/>
      <c r="FK76" s="681"/>
      <c r="FL76" s="682"/>
      <c r="FM76" s="682"/>
      <c r="FN76" s="683"/>
      <c r="FO76" s="684"/>
      <c r="FP76" s="680"/>
      <c r="FQ76" s="681"/>
      <c r="FR76" s="682"/>
      <c r="FS76" s="682"/>
      <c r="FT76" s="683"/>
      <c r="FU76" s="684"/>
      <c r="FV76" s="680"/>
      <c r="FW76" s="681"/>
      <c r="FX76" s="682"/>
      <c r="FY76" s="682"/>
      <c r="FZ76" s="683"/>
      <c r="GA76" s="684"/>
      <c r="GB76" s="675"/>
      <c r="GC76" s="676">
        <f t="shared" si="38"/>
        <v>0</v>
      </c>
      <c r="GD76" s="677">
        <f t="shared" si="39"/>
        <v>0</v>
      </c>
      <c r="GE76" s="677">
        <f t="shared" si="87"/>
        <v>0</v>
      </c>
      <c r="GF76" s="678">
        <f t="shared" si="88"/>
        <v>0</v>
      </c>
      <c r="GG76" s="679">
        <f t="shared" si="89"/>
        <v>0</v>
      </c>
      <c r="GH76" s="680"/>
      <c r="GI76" s="681"/>
      <c r="GJ76" s="682"/>
      <c r="GK76" s="682"/>
      <c r="GL76" s="683"/>
      <c r="GM76" s="684"/>
      <c r="GN76" s="680"/>
      <c r="GO76" s="681"/>
      <c r="GP76" s="682"/>
      <c r="GQ76" s="682"/>
      <c r="GR76" s="683"/>
      <c r="GS76" s="684"/>
      <c r="GT76" s="680"/>
      <c r="GU76" s="681"/>
      <c r="GV76" s="682"/>
      <c r="GW76" s="682"/>
      <c r="GX76" s="683"/>
      <c r="GY76" s="684"/>
      <c r="GZ76" s="680"/>
      <c r="HA76" s="147"/>
      <c r="HB76" s="148"/>
      <c r="HC76" s="148"/>
      <c r="HD76" s="149"/>
      <c r="HE76" s="150"/>
      <c r="HF76" s="506"/>
      <c r="HG76" s="502"/>
      <c r="HH76" s="502"/>
      <c r="HI76" s="502"/>
      <c r="HJ76" s="8"/>
    </row>
    <row r="77" spans="2:218" ht="21" hidden="1">
      <c r="B77" s="488">
        <v>33</v>
      </c>
      <c r="C77" s="489" t="s">
        <v>156</v>
      </c>
      <c r="D77" s="490" t="s">
        <v>174</v>
      </c>
      <c r="E77" s="491" t="s">
        <v>175</v>
      </c>
      <c r="F77" s="492"/>
      <c r="G77" s="493"/>
      <c r="H77" s="146" t="s">
        <v>97</v>
      </c>
      <c r="I77" s="494" t="str">
        <f t="shared" si="4"/>
        <v>n.v.t.</v>
      </c>
      <c r="J77" s="495"/>
      <c r="K77" s="151">
        <v>0</v>
      </c>
      <c r="L77" s="256"/>
      <c r="M77" s="256">
        <f>IF($C$5&lt;3000,(Bron!H66*$C$5)+Bron!I66,(Bron!M66*$C$5)+Bron!N66)</f>
        <v>0</v>
      </c>
      <c r="N77" s="496">
        <f t="shared" si="41"/>
        <v>0</v>
      </c>
      <c r="O77" s="497" t="str">
        <f t="shared" si="5"/>
        <v/>
      </c>
      <c r="P77" s="257">
        <f>IF($C$5&lt;3000,$AN$32*Bron!J66,$AN$32*Bron!O66)</f>
        <v>0</v>
      </c>
      <c r="Q77" s="257">
        <f>IF($C$5&lt;3000,$AN$31*Bron!K66,$AN$31*Bron!P66)</f>
        <v>0</v>
      </c>
      <c r="R77" s="257">
        <f>IF($C$5&lt;3000,$AN$33*Bron!J66,$AN$33*Bron!O66)</f>
        <v>0</v>
      </c>
      <c r="S77" s="344"/>
      <c r="T77" s="258">
        <f t="shared" si="6"/>
        <v>0</v>
      </c>
      <c r="U77" s="259">
        <f t="shared" si="7"/>
        <v>0</v>
      </c>
      <c r="V77" s="675"/>
      <c r="W77" s="676">
        <f t="shared" si="8"/>
        <v>0</v>
      </c>
      <c r="X77" s="677">
        <f t="shared" si="9"/>
        <v>0</v>
      </c>
      <c r="Y77" s="677">
        <f t="shared" si="42"/>
        <v>0</v>
      </c>
      <c r="Z77" s="678">
        <f t="shared" si="43"/>
        <v>0</v>
      </c>
      <c r="AA77" s="679">
        <f t="shared" si="44"/>
        <v>0</v>
      </c>
      <c r="AB77" s="675"/>
      <c r="AC77" s="676">
        <f t="shared" si="10"/>
        <v>0</v>
      </c>
      <c r="AD77" s="677">
        <f t="shared" si="11"/>
        <v>0</v>
      </c>
      <c r="AE77" s="677">
        <f t="shared" si="45"/>
        <v>0</v>
      </c>
      <c r="AF77" s="678">
        <f t="shared" si="46"/>
        <v>0</v>
      </c>
      <c r="AG77" s="679">
        <f t="shared" si="47"/>
        <v>0</v>
      </c>
      <c r="AH77" s="675"/>
      <c r="AI77" s="676">
        <f t="shared" si="12"/>
        <v>0</v>
      </c>
      <c r="AJ77" s="677">
        <f t="shared" si="13"/>
        <v>0</v>
      </c>
      <c r="AK77" s="677">
        <f t="shared" si="48"/>
        <v>0</v>
      </c>
      <c r="AL77" s="678">
        <f t="shared" si="49"/>
        <v>0</v>
      </c>
      <c r="AM77" s="679">
        <f t="shared" si="50"/>
        <v>0</v>
      </c>
      <c r="AN77" s="675"/>
      <c r="AO77" s="676">
        <f t="shared" si="14"/>
        <v>0</v>
      </c>
      <c r="AP77" s="677">
        <f t="shared" si="15"/>
        <v>0</v>
      </c>
      <c r="AQ77" s="677">
        <f t="shared" si="51"/>
        <v>0</v>
      </c>
      <c r="AR77" s="678">
        <f t="shared" si="52"/>
        <v>0</v>
      </c>
      <c r="AS77" s="679">
        <f t="shared" si="53"/>
        <v>0</v>
      </c>
      <c r="AT77" s="675"/>
      <c r="AU77" s="676">
        <f t="shared" si="16"/>
        <v>0</v>
      </c>
      <c r="AV77" s="677">
        <f t="shared" si="17"/>
        <v>0</v>
      </c>
      <c r="AW77" s="677">
        <f t="shared" si="54"/>
        <v>0</v>
      </c>
      <c r="AX77" s="678">
        <f t="shared" si="55"/>
        <v>0</v>
      </c>
      <c r="AY77" s="679">
        <f t="shared" si="56"/>
        <v>0</v>
      </c>
      <c r="AZ77" s="675"/>
      <c r="BA77" s="676">
        <f t="shared" si="18"/>
        <v>0</v>
      </c>
      <c r="BB77" s="677">
        <f t="shared" si="19"/>
        <v>0</v>
      </c>
      <c r="BC77" s="677">
        <f t="shared" si="57"/>
        <v>0</v>
      </c>
      <c r="BD77" s="678">
        <f t="shared" si="58"/>
        <v>0</v>
      </c>
      <c r="BE77" s="679">
        <f t="shared" si="59"/>
        <v>0</v>
      </c>
      <c r="BF77" s="675"/>
      <c r="BG77" s="676">
        <f t="shared" si="20"/>
        <v>0</v>
      </c>
      <c r="BH77" s="677">
        <f t="shared" si="21"/>
        <v>0</v>
      </c>
      <c r="BI77" s="677">
        <f t="shared" si="60"/>
        <v>0</v>
      </c>
      <c r="BJ77" s="678">
        <f t="shared" si="61"/>
        <v>0</v>
      </c>
      <c r="BK77" s="679">
        <f t="shared" si="62"/>
        <v>0</v>
      </c>
      <c r="BL77" s="675"/>
      <c r="BM77" s="676">
        <f t="shared" si="22"/>
        <v>0</v>
      </c>
      <c r="BN77" s="677">
        <f t="shared" si="23"/>
        <v>0</v>
      </c>
      <c r="BO77" s="677">
        <f t="shared" si="63"/>
        <v>0</v>
      </c>
      <c r="BP77" s="678">
        <f t="shared" si="64"/>
        <v>0</v>
      </c>
      <c r="BQ77" s="679">
        <f t="shared" si="65"/>
        <v>0</v>
      </c>
      <c r="BR77" s="675"/>
      <c r="BS77" s="676">
        <f t="shared" si="24"/>
        <v>0</v>
      </c>
      <c r="BT77" s="677">
        <f t="shared" si="25"/>
        <v>0</v>
      </c>
      <c r="BU77" s="677">
        <f t="shared" si="66"/>
        <v>0</v>
      </c>
      <c r="BV77" s="678">
        <f t="shared" si="67"/>
        <v>0</v>
      </c>
      <c r="BW77" s="679">
        <f t="shared" si="68"/>
        <v>0</v>
      </c>
      <c r="BX77" s="675"/>
      <c r="BY77" s="676">
        <f t="shared" si="26"/>
        <v>0</v>
      </c>
      <c r="BZ77" s="677">
        <f t="shared" si="27"/>
        <v>0</v>
      </c>
      <c r="CA77" s="677">
        <f t="shared" si="69"/>
        <v>0</v>
      </c>
      <c r="CB77" s="678">
        <f t="shared" si="70"/>
        <v>0</v>
      </c>
      <c r="CC77" s="679">
        <f t="shared" si="71"/>
        <v>0</v>
      </c>
      <c r="CD77" s="675"/>
      <c r="CE77" s="676">
        <f t="shared" si="28"/>
        <v>0</v>
      </c>
      <c r="CF77" s="677">
        <f t="shared" si="29"/>
        <v>0</v>
      </c>
      <c r="CG77" s="677">
        <f t="shared" si="72"/>
        <v>0</v>
      </c>
      <c r="CH77" s="678">
        <f t="shared" si="73"/>
        <v>0</v>
      </c>
      <c r="CI77" s="679">
        <f t="shared" si="74"/>
        <v>0</v>
      </c>
      <c r="CJ77" s="675"/>
      <c r="CK77" s="676">
        <f t="shared" si="30"/>
        <v>0</v>
      </c>
      <c r="CL77" s="677">
        <f t="shared" si="31"/>
        <v>0</v>
      </c>
      <c r="CM77" s="677">
        <f t="shared" si="75"/>
        <v>0</v>
      </c>
      <c r="CN77" s="678">
        <f t="shared" si="76"/>
        <v>0</v>
      </c>
      <c r="CO77" s="679">
        <f t="shared" si="77"/>
        <v>0</v>
      </c>
      <c r="CP77" s="675"/>
      <c r="CQ77" s="676">
        <f t="shared" si="32"/>
        <v>0</v>
      </c>
      <c r="CR77" s="677">
        <f t="shared" si="33"/>
        <v>0</v>
      </c>
      <c r="CS77" s="677">
        <f t="shared" si="78"/>
        <v>0</v>
      </c>
      <c r="CT77" s="678">
        <f t="shared" si="79"/>
        <v>0</v>
      </c>
      <c r="CU77" s="679">
        <f t="shared" si="80"/>
        <v>0</v>
      </c>
      <c r="CV77" s="685"/>
      <c r="CW77" s="681"/>
      <c r="CX77" s="682"/>
      <c r="CY77" s="682"/>
      <c r="CZ77" s="683"/>
      <c r="DA77" s="684"/>
      <c r="DB77" s="685"/>
      <c r="DC77" s="681"/>
      <c r="DD77" s="682"/>
      <c r="DE77" s="682"/>
      <c r="DF77" s="683"/>
      <c r="DG77" s="684"/>
      <c r="DH77" s="685"/>
      <c r="DI77" s="681"/>
      <c r="DJ77" s="682"/>
      <c r="DK77" s="682"/>
      <c r="DL77" s="683"/>
      <c r="DM77" s="684"/>
      <c r="DN77" s="685"/>
      <c r="DO77" s="681"/>
      <c r="DP77" s="682"/>
      <c r="DQ77" s="682"/>
      <c r="DR77" s="683"/>
      <c r="DS77" s="684"/>
      <c r="DT77" s="675"/>
      <c r="DU77" s="676">
        <f t="shared" si="34"/>
        <v>0</v>
      </c>
      <c r="DV77" s="677">
        <f t="shared" si="35"/>
        <v>0</v>
      </c>
      <c r="DW77" s="677">
        <f t="shared" si="81"/>
        <v>0</v>
      </c>
      <c r="DX77" s="678">
        <f t="shared" si="82"/>
        <v>0</v>
      </c>
      <c r="DY77" s="679">
        <f t="shared" si="83"/>
        <v>0</v>
      </c>
      <c r="DZ77" s="680"/>
      <c r="EA77" s="681"/>
      <c r="EB77" s="682"/>
      <c r="EC77" s="682"/>
      <c r="ED77" s="683"/>
      <c r="EE77" s="684"/>
      <c r="EF77" s="680"/>
      <c r="EG77" s="681"/>
      <c r="EH77" s="682"/>
      <c r="EI77" s="682"/>
      <c r="EJ77" s="683"/>
      <c r="EK77" s="684"/>
      <c r="EL77" s="680"/>
      <c r="EM77" s="681"/>
      <c r="EN77" s="682"/>
      <c r="EO77" s="682"/>
      <c r="EP77" s="683"/>
      <c r="EQ77" s="684"/>
      <c r="ER77" s="680"/>
      <c r="ES77" s="681"/>
      <c r="ET77" s="682"/>
      <c r="EU77" s="682"/>
      <c r="EV77" s="683"/>
      <c r="EW77" s="684"/>
      <c r="EX77" s="675"/>
      <c r="EY77" s="676">
        <f t="shared" si="36"/>
        <v>0</v>
      </c>
      <c r="EZ77" s="677">
        <f t="shared" si="37"/>
        <v>0</v>
      </c>
      <c r="FA77" s="677">
        <f t="shared" si="84"/>
        <v>0</v>
      </c>
      <c r="FB77" s="678">
        <f t="shared" si="85"/>
        <v>0</v>
      </c>
      <c r="FC77" s="679">
        <f t="shared" si="86"/>
        <v>0</v>
      </c>
      <c r="FD77" s="680"/>
      <c r="FE77" s="681"/>
      <c r="FF77" s="682"/>
      <c r="FG77" s="682"/>
      <c r="FH77" s="683"/>
      <c r="FI77" s="684"/>
      <c r="FJ77" s="680"/>
      <c r="FK77" s="681"/>
      <c r="FL77" s="682"/>
      <c r="FM77" s="682"/>
      <c r="FN77" s="683"/>
      <c r="FO77" s="684"/>
      <c r="FP77" s="680"/>
      <c r="FQ77" s="681"/>
      <c r="FR77" s="682"/>
      <c r="FS77" s="682"/>
      <c r="FT77" s="683"/>
      <c r="FU77" s="684"/>
      <c r="FV77" s="680"/>
      <c r="FW77" s="681"/>
      <c r="FX77" s="682"/>
      <c r="FY77" s="682"/>
      <c r="FZ77" s="683"/>
      <c r="GA77" s="684"/>
      <c r="GB77" s="675"/>
      <c r="GC77" s="676">
        <f t="shared" si="38"/>
        <v>0</v>
      </c>
      <c r="GD77" s="677">
        <f t="shared" si="39"/>
        <v>0</v>
      </c>
      <c r="GE77" s="677">
        <f t="shared" si="87"/>
        <v>0</v>
      </c>
      <c r="GF77" s="678">
        <f t="shared" si="88"/>
        <v>0</v>
      </c>
      <c r="GG77" s="679">
        <f t="shared" si="89"/>
        <v>0</v>
      </c>
      <c r="GH77" s="680"/>
      <c r="GI77" s="681"/>
      <c r="GJ77" s="682"/>
      <c r="GK77" s="682"/>
      <c r="GL77" s="683"/>
      <c r="GM77" s="684"/>
      <c r="GN77" s="680"/>
      <c r="GO77" s="681"/>
      <c r="GP77" s="682"/>
      <c r="GQ77" s="682"/>
      <c r="GR77" s="683"/>
      <c r="GS77" s="684"/>
      <c r="GT77" s="680"/>
      <c r="GU77" s="681"/>
      <c r="GV77" s="682"/>
      <c r="GW77" s="682"/>
      <c r="GX77" s="683"/>
      <c r="GY77" s="684"/>
      <c r="GZ77" s="680"/>
      <c r="HA77" s="147"/>
      <c r="HB77" s="148"/>
      <c r="HC77" s="148"/>
      <c r="HD77" s="149"/>
      <c r="HE77" s="150"/>
      <c r="HF77" s="506"/>
      <c r="HG77" s="502"/>
      <c r="HH77" s="502"/>
      <c r="HI77" s="502"/>
      <c r="HJ77" s="8"/>
    </row>
    <row r="78" spans="2:218" ht="21" hidden="1">
      <c r="B78" s="488">
        <v>34</v>
      </c>
      <c r="C78" s="489" t="s">
        <v>156</v>
      </c>
      <c r="D78" s="490" t="s">
        <v>176</v>
      </c>
      <c r="E78" s="491" t="s">
        <v>177</v>
      </c>
      <c r="F78" s="492"/>
      <c r="G78" s="493"/>
      <c r="H78" s="146" t="s">
        <v>97</v>
      </c>
      <c r="I78" s="494" t="str">
        <f t="shared" si="4"/>
        <v>n.v.t.</v>
      </c>
      <c r="J78" s="495"/>
      <c r="K78" s="151">
        <v>0</v>
      </c>
      <c r="L78" s="256"/>
      <c r="M78" s="256">
        <f>IF($C$5&lt;3000,(Bron!H67*$C$5)+Bron!I67,(Bron!M67*$C$5)+Bron!N67)</f>
        <v>0</v>
      </c>
      <c r="N78" s="496">
        <f t="shared" si="41"/>
        <v>0</v>
      </c>
      <c r="O78" s="497" t="str">
        <f t="shared" si="5"/>
        <v/>
      </c>
      <c r="P78" s="257">
        <f>IF($C$5&lt;3000,$AN$32*Bron!J67,$AN$32*Bron!O67)</f>
        <v>0</v>
      </c>
      <c r="Q78" s="257">
        <f>IF($C$5&lt;3000,$AN$31*Bron!K67,$AN$31*Bron!P67)</f>
        <v>0</v>
      </c>
      <c r="R78" s="257">
        <f>IF($C$5&lt;3000,$AN$33*Bron!J67,$AN$33*Bron!O67)</f>
        <v>0</v>
      </c>
      <c r="S78" s="344"/>
      <c r="T78" s="258">
        <f t="shared" si="6"/>
        <v>0</v>
      </c>
      <c r="U78" s="259">
        <f t="shared" si="7"/>
        <v>0</v>
      </c>
      <c r="V78" s="675"/>
      <c r="W78" s="676">
        <f t="shared" si="8"/>
        <v>0</v>
      </c>
      <c r="X78" s="677">
        <f t="shared" si="9"/>
        <v>0</v>
      </c>
      <c r="Y78" s="677">
        <f t="shared" si="42"/>
        <v>0</v>
      </c>
      <c r="Z78" s="678">
        <f t="shared" si="43"/>
        <v>0</v>
      </c>
      <c r="AA78" s="679">
        <f t="shared" si="44"/>
        <v>0</v>
      </c>
      <c r="AB78" s="675"/>
      <c r="AC78" s="676">
        <f t="shared" si="10"/>
        <v>0</v>
      </c>
      <c r="AD78" s="677">
        <f t="shared" si="11"/>
        <v>0</v>
      </c>
      <c r="AE78" s="677">
        <f t="shared" si="45"/>
        <v>0</v>
      </c>
      <c r="AF78" s="678">
        <f t="shared" si="46"/>
        <v>0</v>
      </c>
      <c r="AG78" s="679">
        <f t="shared" si="47"/>
        <v>0</v>
      </c>
      <c r="AH78" s="675"/>
      <c r="AI78" s="676">
        <f t="shared" si="12"/>
        <v>0</v>
      </c>
      <c r="AJ78" s="677">
        <f t="shared" si="13"/>
        <v>0</v>
      </c>
      <c r="AK78" s="677">
        <f t="shared" si="48"/>
        <v>0</v>
      </c>
      <c r="AL78" s="678">
        <f t="shared" si="49"/>
        <v>0</v>
      </c>
      <c r="AM78" s="679">
        <f t="shared" si="50"/>
        <v>0</v>
      </c>
      <c r="AN78" s="675"/>
      <c r="AO78" s="676">
        <f t="shared" si="14"/>
        <v>0</v>
      </c>
      <c r="AP78" s="677">
        <f t="shared" si="15"/>
        <v>0</v>
      </c>
      <c r="AQ78" s="677">
        <f t="shared" si="51"/>
        <v>0</v>
      </c>
      <c r="AR78" s="678">
        <f t="shared" si="52"/>
        <v>0</v>
      </c>
      <c r="AS78" s="679">
        <f t="shared" si="53"/>
        <v>0</v>
      </c>
      <c r="AT78" s="675"/>
      <c r="AU78" s="676">
        <f t="shared" si="16"/>
        <v>0</v>
      </c>
      <c r="AV78" s="677">
        <f t="shared" si="17"/>
        <v>0</v>
      </c>
      <c r="AW78" s="677">
        <f t="shared" si="54"/>
        <v>0</v>
      </c>
      <c r="AX78" s="678">
        <f t="shared" si="55"/>
        <v>0</v>
      </c>
      <c r="AY78" s="679">
        <f t="shared" si="56"/>
        <v>0</v>
      </c>
      <c r="AZ78" s="675"/>
      <c r="BA78" s="676">
        <f t="shared" si="18"/>
        <v>0</v>
      </c>
      <c r="BB78" s="677">
        <f t="shared" si="19"/>
        <v>0</v>
      </c>
      <c r="BC78" s="677">
        <f t="shared" si="57"/>
        <v>0</v>
      </c>
      <c r="BD78" s="678">
        <f t="shared" si="58"/>
        <v>0</v>
      </c>
      <c r="BE78" s="679">
        <f t="shared" si="59"/>
        <v>0</v>
      </c>
      <c r="BF78" s="675"/>
      <c r="BG78" s="676">
        <f t="shared" si="20"/>
        <v>0</v>
      </c>
      <c r="BH78" s="677">
        <f t="shared" si="21"/>
        <v>0</v>
      </c>
      <c r="BI78" s="677">
        <f t="shared" si="60"/>
        <v>0</v>
      </c>
      <c r="BJ78" s="678">
        <f t="shared" si="61"/>
        <v>0</v>
      </c>
      <c r="BK78" s="679">
        <f t="shared" si="62"/>
        <v>0</v>
      </c>
      <c r="BL78" s="675"/>
      <c r="BM78" s="676">
        <f t="shared" si="22"/>
        <v>0</v>
      </c>
      <c r="BN78" s="677">
        <f t="shared" si="23"/>
        <v>0</v>
      </c>
      <c r="BO78" s="677">
        <f t="shared" si="63"/>
        <v>0</v>
      </c>
      <c r="BP78" s="678">
        <f t="shared" si="64"/>
        <v>0</v>
      </c>
      <c r="BQ78" s="679">
        <f t="shared" si="65"/>
        <v>0</v>
      </c>
      <c r="BR78" s="675"/>
      <c r="BS78" s="676">
        <f t="shared" si="24"/>
        <v>0</v>
      </c>
      <c r="BT78" s="677">
        <f t="shared" si="25"/>
        <v>0</v>
      </c>
      <c r="BU78" s="677">
        <f t="shared" si="66"/>
        <v>0</v>
      </c>
      <c r="BV78" s="678">
        <f t="shared" si="67"/>
        <v>0</v>
      </c>
      <c r="BW78" s="679">
        <f t="shared" si="68"/>
        <v>0</v>
      </c>
      <c r="BX78" s="675"/>
      <c r="BY78" s="676">
        <f t="shared" si="26"/>
        <v>0</v>
      </c>
      <c r="BZ78" s="677">
        <f t="shared" si="27"/>
        <v>0</v>
      </c>
      <c r="CA78" s="677">
        <f t="shared" si="69"/>
        <v>0</v>
      </c>
      <c r="CB78" s="678">
        <f t="shared" si="70"/>
        <v>0</v>
      </c>
      <c r="CC78" s="679">
        <f t="shared" si="71"/>
        <v>0</v>
      </c>
      <c r="CD78" s="675"/>
      <c r="CE78" s="676">
        <f t="shared" si="28"/>
        <v>0</v>
      </c>
      <c r="CF78" s="677">
        <f t="shared" si="29"/>
        <v>0</v>
      </c>
      <c r="CG78" s="677">
        <f t="shared" si="72"/>
        <v>0</v>
      </c>
      <c r="CH78" s="678">
        <f t="shared" si="73"/>
        <v>0</v>
      </c>
      <c r="CI78" s="679">
        <f t="shared" si="74"/>
        <v>0</v>
      </c>
      <c r="CJ78" s="675"/>
      <c r="CK78" s="676">
        <f t="shared" si="30"/>
        <v>0</v>
      </c>
      <c r="CL78" s="677">
        <f t="shared" si="31"/>
        <v>0</v>
      </c>
      <c r="CM78" s="677">
        <f t="shared" si="75"/>
        <v>0</v>
      </c>
      <c r="CN78" s="678">
        <f t="shared" si="76"/>
        <v>0</v>
      </c>
      <c r="CO78" s="679">
        <f t="shared" si="77"/>
        <v>0</v>
      </c>
      <c r="CP78" s="675"/>
      <c r="CQ78" s="676">
        <f t="shared" si="32"/>
        <v>0</v>
      </c>
      <c r="CR78" s="677">
        <f t="shared" si="33"/>
        <v>0</v>
      </c>
      <c r="CS78" s="677">
        <f t="shared" si="78"/>
        <v>0</v>
      </c>
      <c r="CT78" s="678">
        <f t="shared" si="79"/>
        <v>0</v>
      </c>
      <c r="CU78" s="679">
        <f t="shared" si="80"/>
        <v>0</v>
      </c>
      <c r="CV78" s="685"/>
      <c r="CW78" s="681"/>
      <c r="CX78" s="682"/>
      <c r="CY78" s="682"/>
      <c r="CZ78" s="683"/>
      <c r="DA78" s="684"/>
      <c r="DB78" s="685"/>
      <c r="DC78" s="681"/>
      <c r="DD78" s="682"/>
      <c r="DE78" s="682"/>
      <c r="DF78" s="683"/>
      <c r="DG78" s="684"/>
      <c r="DH78" s="685"/>
      <c r="DI78" s="681"/>
      <c r="DJ78" s="682"/>
      <c r="DK78" s="682"/>
      <c r="DL78" s="683"/>
      <c r="DM78" s="684"/>
      <c r="DN78" s="685"/>
      <c r="DO78" s="681"/>
      <c r="DP78" s="682"/>
      <c r="DQ78" s="682"/>
      <c r="DR78" s="683"/>
      <c r="DS78" s="684"/>
      <c r="DT78" s="675"/>
      <c r="DU78" s="676">
        <f t="shared" si="34"/>
        <v>0</v>
      </c>
      <c r="DV78" s="677">
        <f t="shared" si="35"/>
        <v>0</v>
      </c>
      <c r="DW78" s="677">
        <f t="shared" si="81"/>
        <v>0</v>
      </c>
      <c r="DX78" s="678">
        <f t="shared" si="82"/>
        <v>0</v>
      </c>
      <c r="DY78" s="679">
        <f t="shared" si="83"/>
        <v>0</v>
      </c>
      <c r="DZ78" s="680"/>
      <c r="EA78" s="681"/>
      <c r="EB78" s="682"/>
      <c r="EC78" s="682"/>
      <c r="ED78" s="683"/>
      <c r="EE78" s="684"/>
      <c r="EF78" s="680"/>
      <c r="EG78" s="681"/>
      <c r="EH78" s="682"/>
      <c r="EI78" s="682"/>
      <c r="EJ78" s="683"/>
      <c r="EK78" s="684"/>
      <c r="EL78" s="680"/>
      <c r="EM78" s="681"/>
      <c r="EN78" s="682"/>
      <c r="EO78" s="682"/>
      <c r="EP78" s="683"/>
      <c r="EQ78" s="684"/>
      <c r="ER78" s="680"/>
      <c r="ES78" s="681"/>
      <c r="ET78" s="682"/>
      <c r="EU78" s="682"/>
      <c r="EV78" s="683"/>
      <c r="EW78" s="684"/>
      <c r="EX78" s="675"/>
      <c r="EY78" s="676">
        <f t="shared" si="36"/>
        <v>0</v>
      </c>
      <c r="EZ78" s="677">
        <f t="shared" si="37"/>
        <v>0</v>
      </c>
      <c r="FA78" s="677">
        <f t="shared" si="84"/>
        <v>0</v>
      </c>
      <c r="FB78" s="678">
        <f t="shared" si="85"/>
        <v>0</v>
      </c>
      <c r="FC78" s="679">
        <f t="shared" si="86"/>
        <v>0</v>
      </c>
      <c r="FD78" s="680"/>
      <c r="FE78" s="681"/>
      <c r="FF78" s="682"/>
      <c r="FG78" s="682"/>
      <c r="FH78" s="683"/>
      <c r="FI78" s="684"/>
      <c r="FJ78" s="680"/>
      <c r="FK78" s="681"/>
      <c r="FL78" s="682"/>
      <c r="FM78" s="682"/>
      <c r="FN78" s="683"/>
      <c r="FO78" s="684"/>
      <c r="FP78" s="680"/>
      <c r="FQ78" s="681"/>
      <c r="FR78" s="682"/>
      <c r="FS78" s="682"/>
      <c r="FT78" s="683"/>
      <c r="FU78" s="684"/>
      <c r="FV78" s="680"/>
      <c r="FW78" s="681"/>
      <c r="FX78" s="682"/>
      <c r="FY78" s="682"/>
      <c r="FZ78" s="683"/>
      <c r="GA78" s="684"/>
      <c r="GB78" s="675"/>
      <c r="GC78" s="676">
        <f t="shared" si="38"/>
        <v>0</v>
      </c>
      <c r="GD78" s="677">
        <f t="shared" si="39"/>
        <v>0</v>
      </c>
      <c r="GE78" s="677">
        <f t="shared" si="87"/>
        <v>0</v>
      </c>
      <c r="GF78" s="678">
        <f t="shared" si="88"/>
        <v>0</v>
      </c>
      <c r="GG78" s="679">
        <f t="shared" si="89"/>
        <v>0</v>
      </c>
      <c r="GH78" s="680"/>
      <c r="GI78" s="681"/>
      <c r="GJ78" s="682"/>
      <c r="GK78" s="682"/>
      <c r="GL78" s="683"/>
      <c r="GM78" s="684"/>
      <c r="GN78" s="680"/>
      <c r="GO78" s="681"/>
      <c r="GP78" s="682"/>
      <c r="GQ78" s="682"/>
      <c r="GR78" s="683"/>
      <c r="GS78" s="684"/>
      <c r="GT78" s="680"/>
      <c r="GU78" s="681"/>
      <c r="GV78" s="682"/>
      <c r="GW78" s="682"/>
      <c r="GX78" s="683"/>
      <c r="GY78" s="684"/>
      <c r="GZ78" s="680"/>
      <c r="HA78" s="147"/>
      <c r="HB78" s="148"/>
      <c r="HC78" s="148"/>
      <c r="HD78" s="149"/>
      <c r="HE78" s="150"/>
      <c r="HF78" s="506"/>
      <c r="HG78" s="502"/>
      <c r="HH78" s="502"/>
      <c r="HI78" s="502"/>
      <c r="HJ78" s="8"/>
    </row>
    <row r="79" spans="2:218" ht="21" hidden="1">
      <c r="B79" s="488">
        <v>35</v>
      </c>
      <c r="C79" s="489" t="s">
        <v>156</v>
      </c>
      <c r="D79" s="490" t="s">
        <v>178</v>
      </c>
      <c r="E79" s="491" t="s">
        <v>179</v>
      </c>
      <c r="F79" s="492"/>
      <c r="G79" s="493"/>
      <c r="H79" s="146" t="s">
        <v>97</v>
      </c>
      <c r="I79" s="494" t="str">
        <f t="shared" si="4"/>
        <v>n.v.t.</v>
      </c>
      <c r="J79" s="495"/>
      <c r="K79" s="151">
        <v>0</v>
      </c>
      <c r="L79" s="256"/>
      <c r="M79" s="256">
        <f>IF($C$5&lt;3000,(Bron!H68*$C$5)+Bron!I68,(Bron!M68*$C$5)+Bron!N68)</f>
        <v>40</v>
      </c>
      <c r="N79" s="496">
        <f t="shared" si="41"/>
        <v>14.550999599999999</v>
      </c>
      <c r="O79" s="497">
        <f t="shared" si="5"/>
        <v>2.7489520376318342</v>
      </c>
      <c r="P79" s="257">
        <f>IF($C$5&lt;3000,$AN$32*Bron!J68,$AN$32*Bron!O68)</f>
        <v>0</v>
      </c>
      <c r="Q79" s="257">
        <f>IF($C$5&lt;3000,$AN$31*Bron!K68,$AN$31*Bron!P68)</f>
        <v>57.287399999999998</v>
      </c>
      <c r="R79" s="257">
        <f>IF($C$5&lt;3000,$AN$33*Bron!J68,$AN$33*Bron!O68)</f>
        <v>0</v>
      </c>
      <c r="S79" s="344"/>
      <c r="T79" s="258">
        <f t="shared" si="6"/>
        <v>0</v>
      </c>
      <c r="U79" s="259">
        <f t="shared" si="7"/>
        <v>0</v>
      </c>
      <c r="V79" s="675"/>
      <c r="W79" s="676">
        <f t="shared" si="8"/>
        <v>0</v>
      </c>
      <c r="X79" s="677">
        <f t="shared" si="9"/>
        <v>0</v>
      </c>
      <c r="Y79" s="677">
        <f t="shared" si="42"/>
        <v>0</v>
      </c>
      <c r="Z79" s="678">
        <f t="shared" si="43"/>
        <v>0</v>
      </c>
      <c r="AA79" s="679">
        <f t="shared" si="44"/>
        <v>0</v>
      </c>
      <c r="AB79" s="675"/>
      <c r="AC79" s="676">
        <f t="shared" si="10"/>
        <v>0</v>
      </c>
      <c r="AD79" s="677">
        <f t="shared" si="11"/>
        <v>0</v>
      </c>
      <c r="AE79" s="677">
        <f t="shared" si="45"/>
        <v>0</v>
      </c>
      <c r="AF79" s="678">
        <f t="shared" si="46"/>
        <v>0</v>
      </c>
      <c r="AG79" s="679">
        <f t="shared" si="47"/>
        <v>0</v>
      </c>
      <c r="AH79" s="675"/>
      <c r="AI79" s="676">
        <f t="shared" si="12"/>
        <v>0</v>
      </c>
      <c r="AJ79" s="677">
        <f t="shared" si="13"/>
        <v>0</v>
      </c>
      <c r="AK79" s="677">
        <f t="shared" si="48"/>
        <v>0</v>
      </c>
      <c r="AL79" s="678">
        <f t="shared" si="49"/>
        <v>0</v>
      </c>
      <c r="AM79" s="679">
        <f t="shared" si="50"/>
        <v>0</v>
      </c>
      <c r="AN79" s="675"/>
      <c r="AO79" s="676">
        <f t="shared" si="14"/>
        <v>0</v>
      </c>
      <c r="AP79" s="677">
        <f t="shared" si="15"/>
        <v>0</v>
      </c>
      <c r="AQ79" s="677">
        <f t="shared" si="51"/>
        <v>0</v>
      </c>
      <c r="AR79" s="678">
        <f t="shared" si="52"/>
        <v>0</v>
      </c>
      <c r="AS79" s="679">
        <f t="shared" si="53"/>
        <v>0</v>
      </c>
      <c r="AT79" s="675"/>
      <c r="AU79" s="676">
        <f t="shared" si="16"/>
        <v>0</v>
      </c>
      <c r="AV79" s="677">
        <f t="shared" si="17"/>
        <v>0</v>
      </c>
      <c r="AW79" s="677">
        <f t="shared" si="54"/>
        <v>0</v>
      </c>
      <c r="AX79" s="678">
        <f t="shared" si="55"/>
        <v>0</v>
      </c>
      <c r="AY79" s="679">
        <f t="shared" si="56"/>
        <v>0</v>
      </c>
      <c r="AZ79" s="675"/>
      <c r="BA79" s="676">
        <f t="shared" si="18"/>
        <v>0</v>
      </c>
      <c r="BB79" s="677">
        <f t="shared" si="19"/>
        <v>0</v>
      </c>
      <c r="BC79" s="677">
        <f t="shared" si="57"/>
        <v>0</v>
      </c>
      <c r="BD79" s="678">
        <f t="shared" si="58"/>
        <v>0</v>
      </c>
      <c r="BE79" s="679">
        <f t="shared" si="59"/>
        <v>0</v>
      </c>
      <c r="BF79" s="675"/>
      <c r="BG79" s="676">
        <f t="shared" si="20"/>
        <v>0</v>
      </c>
      <c r="BH79" s="677">
        <f t="shared" si="21"/>
        <v>0</v>
      </c>
      <c r="BI79" s="677">
        <f t="shared" si="60"/>
        <v>0</v>
      </c>
      <c r="BJ79" s="678">
        <f t="shared" si="61"/>
        <v>0</v>
      </c>
      <c r="BK79" s="679">
        <f t="shared" si="62"/>
        <v>0</v>
      </c>
      <c r="BL79" s="675"/>
      <c r="BM79" s="676">
        <f t="shared" si="22"/>
        <v>0</v>
      </c>
      <c r="BN79" s="677">
        <f t="shared" si="23"/>
        <v>0</v>
      </c>
      <c r="BO79" s="677">
        <f t="shared" si="63"/>
        <v>0</v>
      </c>
      <c r="BP79" s="678">
        <f t="shared" si="64"/>
        <v>0</v>
      </c>
      <c r="BQ79" s="679">
        <f t="shared" si="65"/>
        <v>0</v>
      </c>
      <c r="BR79" s="675"/>
      <c r="BS79" s="676">
        <f t="shared" si="24"/>
        <v>0</v>
      </c>
      <c r="BT79" s="677">
        <f t="shared" si="25"/>
        <v>0</v>
      </c>
      <c r="BU79" s="677">
        <f t="shared" si="66"/>
        <v>0</v>
      </c>
      <c r="BV79" s="678">
        <f t="shared" si="67"/>
        <v>0</v>
      </c>
      <c r="BW79" s="679">
        <f t="shared" si="68"/>
        <v>0</v>
      </c>
      <c r="BX79" s="675"/>
      <c r="BY79" s="676">
        <f t="shared" si="26"/>
        <v>0</v>
      </c>
      <c r="BZ79" s="677">
        <f t="shared" si="27"/>
        <v>0</v>
      </c>
      <c r="CA79" s="677">
        <f t="shared" si="69"/>
        <v>0</v>
      </c>
      <c r="CB79" s="678">
        <f t="shared" si="70"/>
        <v>0</v>
      </c>
      <c r="CC79" s="679">
        <f t="shared" si="71"/>
        <v>0</v>
      </c>
      <c r="CD79" s="675"/>
      <c r="CE79" s="676">
        <f t="shared" si="28"/>
        <v>0</v>
      </c>
      <c r="CF79" s="677">
        <f t="shared" si="29"/>
        <v>0</v>
      </c>
      <c r="CG79" s="677">
        <f t="shared" si="72"/>
        <v>0</v>
      </c>
      <c r="CH79" s="678">
        <f t="shared" si="73"/>
        <v>0</v>
      </c>
      <c r="CI79" s="679">
        <f t="shared" si="74"/>
        <v>0</v>
      </c>
      <c r="CJ79" s="675"/>
      <c r="CK79" s="676">
        <f t="shared" si="30"/>
        <v>0</v>
      </c>
      <c r="CL79" s="677">
        <f t="shared" si="31"/>
        <v>0</v>
      </c>
      <c r="CM79" s="677">
        <f t="shared" si="75"/>
        <v>0</v>
      </c>
      <c r="CN79" s="678">
        <f t="shared" si="76"/>
        <v>0</v>
      </c>
      <c r="CO79" s="679">
        <f t="shared" si="77"/>
        <v>0</v>
      </c>
      <c r="CP79" s="675"/>
      <c r="CQ79" s="676">
        <f t="shared" si="32"/>
        <v>0</v>
      </c>
      <c r="CR79" s="677">
        <f t="shared" si="33"/>
        <v>0</v>
      </c>
      <c r="CS79" s="677">
        <f t="shared" si="78"/>
        <v>0</v>
      </c>
      <c r="CT79" s="678">
        <f t="shared" si="79"/>
        <v>0</v>
      </c>
      <c r="CU79" s="679">
        <f t="shared" si="80"/>
        <v>0</v>
      </c>
      <c r="CV79" s="685"/>
      <c r="CW79" s="681"/>
      <c r="CX79" s="682"/>
      <c r="CY79" s="682"/>
      <c r="CZ79" s="683"/>
      <c r="DA79" s="684"/>
      <c r="DB79" s="685"/>
      <c r="DC79" s="681"/>
      <c r="DD79" s="682"/>
      <c r="DE79" s="682"/>
      <c r="DF79" s="683"/>
      <c r="DG79" s="684"/>
      <c r="DH79" s="685"/>
      <c r="DI79" s="681"/>
      <c r="DJ79" s="682"/>
      <c r="DK79" s="682"/>
      <c r="DL79" s="683"/>
      <c r="DM79" s="684"/>
      <c r="DN79" s="685"/>
      <c r="DO79" s="681"/>
      <c r="DP79" s="682"/>
      <c r="DQ79" s="682"/>
      <c r="DR79" s="683"/>
      <c r="DS79" s="684"/>
      <c r="DT79" s="675"/>
      <c r="DU79" s="676">
        <f t="shared" si="34"/>
        <v>0</v>
      </c>
      <c r="DV79" s="677">
        <f t="shared" si="35"/>
        <v>0</v>
      </c>
      <c r="DW79" s="677">
        <f t="shared" si="81"/>
        <v>0</v>
      </c>
      <c r="DX79" s="678">
        <f t="shared" si="82"/>
        <v>0</v>
      </c>
      <c r="DY79" s="679">
        <f t="shared" si="83"/>
        <v>0</v>
      </c>
      <c r="DZ79" s="680"/>
      <c r="EA79" s="681"/>
      <c r="EB79" s="682"/>
      <c r="EC79" s="682"/>
      <c r="ED79" s="683"/>
      <c r="EE79" s="684"/>
      <c r="EF79" s="680"/>
      <c r="EG79" s="681"/>
      <c r="EH79" s="682"/>
      <c r="EI79" s="682"/>
      <c r="EJ79" s="683"/>
      <c r="EK79" s="684"/>
      <c r="EL79" s="680"/>
      <c r="EM79" s="681"/>
      <c r="EN79" s="682"/>
      <c r="EO79" s="682"/>
      <c r="EP79" s="683"/>
      <c r="EQ79" s="684"/>
      <c r="ER79" s="680"/>
      <c r="ES79" s="681"/>
      <c r="ET79" s="682"/>
      <c r="EU79" s="682"/>
      <c r="EV79" s="683"/>
      <c r="EW79" s="684"/>
      <c r="EX79" s="675"/>
      <c r="EY79" s="676">
        <f t="shared" si="36"/>
        <v>0</v>
      </c>
      <c r="EZ79" s="677">
        <f t="shared" si="37"/>
        <v>0</v>
      </c>
      <c r="FA79" s="677">
        <f t="shared" si="84"/>
        <v>0</v>
      </c>
      <c r="FB79" s="678">
        <f t="shared" si="85"/>
        <v>0</v>
      </c>
      <c r="FC79" s="679">
        <f t="shared" si="86"/>
        <v>0</v>
      </c>
      <c r="FD79" s="680"/>
      <c r="FE79" s="681"/>
      <c r="FF79" s="682"/>
      <c r="FG79" s="682"/>
      <c r="FH79" s="683"/>
      <c r="FI79" s="684"/>
      <c r="FJ79" s="680"/>
      <c r="FK79" s="681"/>
      <c r="FL79" s="682"/>
      <c r="FM79" s="682"/>
      <c r="FN79" s="683"/>
      <c r="FO79" s="684"/>
      <c r="FP79" s="680"/>
      <c r="FQ79" s="681"/>
      <c r="FR79" s="682"/>
      <c r="FS79" s="682"/>
      <c r="FT79" s="683"/>
      <c r="FU79" s="684"/>
      <c r="FV79" s="680"/>
      <c r="FW79" s="681"/>
      <c r="FX79" s="682"/>
      <c r="FY79" s="682"/>
      <c r="FZ79" s="683"/>
      <c r="GA79" s="684"/>
      <c r="GB79" s="675"/>
      <c r="GC79" s="676">
        <f t="shared" si="38"/>
        <v>0</v>
      </c>
      <c r="GD79" s="677">
        <f t="shared" si="39"/>
        <v>0</v>
      </c>
      <c r="GE79" s="677">
        <f t="shared" si="87"/>
        <v>0</v>
      </c>
      <c r="GF79" s="678">
        <f t="shared" si="88"/>
        <v>0</v>
      </c>
      <c r="GG79" s="679">
        <f t="shared" si="89"/>
        <v>0</v>
      </c>
      <c r="GH79" s="680"/>
      <c r="GI79" s="681"/>
      <c r="GJ79" s="682"/>
      <c r="GK79" s="682"/>
      <c r="GL79" s="683"/>
      <c r="GM79" s="684"/>
      <c r="GN79" s="680"/>
      <c r="GO79" s="681"/>
      <c r="GP79" s="682"/>
      <c r="GQ79" s="682"/>
      <c r="GR79" s="683"/>
      <c r="GS79" s="684"/>
      <c r="GT79" s="680"/>
      <c r="GU79" s="681"/>
      <c r="GV79" s="682"/>
      <c r="GW79" s="682"/>
      <c r="GX79" s="683"/>
      <c r="GY79" s="684"/>
      <c r="GZ79" s="680"/>
      <c r="HA79" s="147"/>
      <c r="HB79" s="148"/>
      <c r="HC79" s="148"/>
      <c r="HD79" s="149"/>
      <c r="HE79" s="150"/>
      <c r="HF79" s="506"/>
      <c r="HG79" s="502"/>
      <c r="HH79" s="502"/>
      <c r="HI79" s="502"/>
      <c r="HJ79" s="8"/>
    </row>
    <row r="80" spans="2:218" ht="21" hidden="1">
      <c r="B80" s="488">
        <v>36</v>
      </c>
      <c r="C80" s="489" t="s">
        <v>156</v>
      </c>
      <c r="D80" s="490" t="s">
        <v>180</v>
      </c>
      <c r="E80" s="491" t="s">
        <v>181</v>
      </c>
      <c r="F80" s="492"/>
      <c r="G80" s="493"/>
      <c r="H80" s="146" t="s">
        <v>97</v>
      </c>
      <c r="I80" s="494" t="str">
        <f t="shared" si="4"/>
        <v>n.v.t.</v>
      </c>
      <c r="J80" s="495"/>
      <c r="K80" s="151">
        <v>0</v>
      </c>
      <c r="L80" s="256"/>
      <c r="M80" s="256">
        <f>IF($C$5&lt;3000,(Bron!H69*$C$5)+Bron!I69,(Bron!M69*$C$5)+Bron!N69)</f>
        <v>600</v>
      </c>
      <c r="N80" s="496">
        <f t="shared" si="41"/>
        <v>242.51666</v>
      </c>
      <c r="O80" s="497">
        <f t="shared" si="5"/>
        <v>2.4740568338686506</v>
      </c>
      <c r="P80" s="257"/>
      <c r="Q80" s="257">
        <f>IF($C$5&lt;3000,$AN$31*Bron!K69,$AN$31*Bron!P69)</f>
        <v>954.79</v>
      </c>
      <c r="R80" s="257">
        <f>IF($C$5&lt;3000,$AN$33*Bron!J69,$AN$33*Bron!O69)</f>
        <v>0</v>
      </c>
      <c r="S80" s="344"/>
      <c r="T80" s="258">
        <f t="shared" si="6"/>
        <v>0</v>
      </c>
      <c r="U80" s="259">
        <f t="shared" si="7"/>
        <v>0</v>
      </c>
      <c r="V80" s="675"/>
      <c r="W80" s="676">
        <f t="shared" si="8"/>
        <v>0</v>
      </c>
      <c r="X80" s="677">
        <f t="shared" si="9"/>
        <v>0</v>
      </c>
      <c r="Y80" s="677">
        <f t="shared" si="42"/>
        <v>0</v>
      </c>
      <c r="Z80" s="678">
        <f t="shared" si="43"/>
        <v>0</v>
      </c>
      <c r="AA80" s="679">
        <f t="shared" si="44"/>
        <v>0</v>
      </c>
      <c r="AB80" s="675"/>
      <c r="AC80" s="676">
        <f t="shared" si="10"/>
        <v>0</v>
      </c>
      <c r="AD80" s="677">
        <f t="shared" si="11"/>
        <v>0</v>
      </c>
      <c r="AE80" s="677">
        <f t="shared" si="45"/>
        <v>0</v>
      </c>
      <c r="AF80" s="678">
        <f t="shared" si="46"/>
        <v>0</v>
      </c>
      <c r="AG80" s="679">
        <f t="shared" si="47"/>
        <v>0</v>
      </c>
      <c r="AH80" s="675"/>
      <c r="AI80" s="676">
        <f t="shared" si="12"/>
        <v>0</v>
      </c>
      <c r="AJ80" s="677">
        <f t="shared" si="13"/>
        <v>0</v>
      </c>
      <c r="AK80" s="677">
        <f t="shared" si="48"/>
        <v>0</v>
      </c>
      <c r="AL80" s="678">
        <f t="shared" si="49"/>
        <v>0</v>
      </c>
      <c r="AM80" s="679">
        <f t="shared" si="50"/>
        <v>0</v>
      </c>
      <c r="AN80" s="675"/>
      <c r="AO80" s="676">
        <f t="shared" si="14"/>
        <v>0</v>
      </c>
      <c r="AP80" s="677">
        <f t="shared" si="15"/>
        <v>0</v>
      </c>
      <c r="AQ80" s="677">
        <f t="shared" si="51"/>
        <v>0</v>
      </c>
      <c r="AR80" s="678">
        <f t="shared" si="52"/>
        <v>0</v>
      </c>
      <c r="AS80" s="679">
        <f t="shared" si="53"/>
        <v>0</v>
      </c>
      <c r="AT80" s="675"/>
      <c r="AU80" s="676">
        <f t="shared" si="16"/>
        <v>0</v>
      </c>
      <c r="AV80" s="677">
        <f t="shared" si="17"/>
        <v>0</v>
      </c>
      <c r="AW80" s="677">
        <f t="shared" si="54"/>
        <v>0</v>
      </c>
      <c r="AX80" s="678">
        <f t="shared" si="55"/>
        <v>0</v>
      </c>
      <c r="AY80" s="679">
        <f t="shared" si="56"/>
        <v>0</v>
      </c>
      <c r="AZ80" s="675"/>
      <c r="BA80" s="676">
        <f t="shared" si="18"/>
        <v>0</v>
      </c>
      <c r="BB80" s="677">
        <f t="shared" si="19"/>
        <v>0</v>
      </c>
      <c r="BC80" s="677">
        <f t="shared" si="57"/>
        <v>0</v>
      </c>
      <c r="BD80" s="678">
        <f t="shared" si="58"/>
        <v>0</v>
      </c>
      <c r="BE80" s="679">
        <f t="shared" si="59"/>
        <v>0</v>
      </c>
      <c r="BF80" s="675"/>
      <c r="BG80" s="676">
        <f t="shared" si="20"/>
        <v>0</v>
      </c>
      <c r="BH80" s="677">
        <f t="shared" si="21"/>
        <v>0</v>
      </c>
      <c r="BI80" s="677">
        <f t="shared" si="60"/>
        <v>0</v>
      </c>
      <c r="BJ80" s="678">
        <f t="shared" si="61"/>
        <v>0</v>
      </c>
      <c r="BK80" s="679">
        <f t="shared" si="62"/>
        <v>0</v>
      </c>
      <c r="BL80" s="675"/>
      <c r="BM80" s="676">
        <f t="shared" si="22"/>
        <v>0</v>
      </c>
      <c r="BN80" s="677">
        <f t="shared" si="23"/>
        <v>0</v>
      </c>
      <c r="BO80" s="677">
        <f t="shared" si="63"/>
        <v>0</v>
      </c>
      <c r="BP80" s="678">
        <f t="shared" si="64"/>
        <v>0</v>
      </c>
      <c r="BQ80" s="679">
        <f t="shared" si="65"/>
        <v>0</v>
      </c>
      <c r="BR80" s="675"/>
      <c r="BS80" s="676">
        <f t="shared" si="24"/>
        <v>0</v>
      </c>
      <c r="BT80" s="677">
        <f t="shared" si="25"/>
        <v>0</v>
      </c>
      <c r="BU80" s="677">
        <f t="shared" si="66"/>
        <v>0</v>
      </c>
      <c r="BV80" s="678">
        <f t="shared" si="67"/>
        <v>0</v>
      </c>
      <c r="BW80" s="679">
        <f t="shared" si="68"/>
        <v>0</v>
      </c>
      <c r="BX80" s="675"/>
      <c r="BY80" s="676">
        <f t="shared" si="26"/>
        <v>0</v>
      </c>
      <c r="BZ80" s="677">
        <f t="shared" si="27"/>
        <v>0</v>
      </c>
      <c r="CA80" s="677">
        <f t="shared" si="69"/>
        <v>0</v>
      </c>
      <c r="CB80" s="678">
        <f t="shared" si="70"/>
        <v>0</v>
      </c>
      <c r="CC80" s="679">
        <f t="shared" si="71"/>
        <v>0</v>
      </c>
      <c r="CD80" s="675"/>
      <c r="CE80" s="676">
        <f t="shared" si="28"/>
        <v>0</v>
      </c>
      <c r="CF80" s="677">
        <f t="shared" si="29"/>
        <v>0</v>
      </c>
      <c r="CG80" s="677">
        <f t="shared" si="72"/>
        <v>0</v>
      </c>
      <c r="CH80" s="678">
        <f t="shared" si="73"/>
        <v>0</v>
      </c>
      <c r="CI80" s="679">
        <f t="shared" si="74"/>
        <v>0</v>
      </c>
      <c r="CJ80" s="675"/>
      <c r="CK80" s="676">
        <f t="shared" si="30"/>
        <v>0</v>
      </c>
      <c r="CL80" s="677">
        <f t="shared" si="31"/>
        <v>0</v>
      </c>
      <c r="CM80" s="677">
        <f t="shared" si="75"/>
        <v>0</v>
      </c>
      <c r="CN80" s="678">
        <f t="shared" si="76"/>
        <v>0</v>
      </c>
      <c r="CO80" s="679">
        <f t="shared" si="77"/>
        <v>0</v>
      </c>
      <c r="CP80" s="675"/>
      <c r="CQ80" s="676">
        <f t="shared" si="32"/>
        <v>0</v>
      </c>
      <c r="CR80" s="677">
        <f t="shared" si="33"/>
        <v>0</v>
      </c>
      <c r="CS80" s="677">
        <f t="shared" si="78"/>
        <v>0</v>
      </c>
      <c r="CT80" s="678">
        <f t="shared" si="79"/>
        <v>0</v>
      </c>
      <c r="CU80" s="679">
        <f t="shared" si="80"/>
        <v>0</v>
      </c>
      <c r="CV80" s="685"/>
      <c r="CW80" s="681"/>
      <c r="CX80" s="682"/>
      <c r="CY80" s="682"/>
      <c r="CZ80" s="683"/>
      <c r="DA80" s="684"/>
      <c r="DB80" s="685"/>
      <c r="DC80" s="681"/>
      <c r="DD80" s="682"/>
      <c r="DE80" s="682"/>
      <c r="DF80" s="683"/>
      <c r="DG80" s="684"/>
      <c r="DH80" s="685"/>
      <c r="DI80" s="681"/>
      <c r="DJ80" s="682"/>
      <c r="DK80" s="682"/>
      <c r="DL80" s="683"/>
      <c r="DM80" s="684"/>
      <c r="DN80" s="685"/>
      <c r="DO80" s="681"/>
      <c r="DP80" s="682"/>
      <c r="DQ80" s="682"/>
      <c r="DR80" s="683"/>
      <c r="DS80" s="684"/>
      <c r="DT80" s="675"/>
      <c r="DU80" s="676">
        <f t="shared" si="34"/>
        <v>0</v>
      </c>
      <c r="DV80" s="677">
        <f t="shared" si="35"/>
        <v>0</v>
      </c>
      <c r="DW80" s="677">
        <f t="shared" si="81"/>
        <v>0</v>
      </c>
      <c r="DX80" s="678">
        <f t="shared" si="82"/>
        <v>0</v>
      </c>
      <c r="DY80" s="679">
        <f t="shared" si="83"/>
        <v>0</v>
      </c>
      <c r="DZ80" s="680"/>
      <c r="EA80" s="681"/>
      <c r="EB80" s="682"/>
      <c r="EC80" s="682"/>
      <c r="ED80" s="683"/>
      <c r="EE80" s="684"/>
      <c r="EF80" s="680"/>
      <c r="EG80" s="681"/>
      <c r="EH80" s="682"/>
      <c r="EI80" s="682"/>
      <c r="EJ80" s="683"/>
      <c r="EK80" s="684"/>
      <c r="EL80" s="680"/>
      <c r="EM80" s="681"/>
      <c r="EN80" s="682"/>
      <c r="EO80" s="682"/>
      <c r="EP80" s="683"/>
      <c r="EQ80" s="684"/>
      <c r="ER80" s="680"/>
      <c r="ES80" s="681"/>
      <c r="ET80" s="682"/>
      <c r="EU80" s="682"/>
      <c r="EV80" s="683"/>
      <c r="EW80" s="684"/>
      <c r="EX80" s="675"/>
      <c r="EY80" s="676">
        <f t="shared" si="36"/>
        <v>0</v>
      </c>
      <c r="EZ80" s="677">
        <f t="shared" si="37"/>
        <v>0</v>
      </c>
      <c r="FA80" s="677">
        <f t="shared" si="84"/>
        <v>0</v>
      </c>
      <c r="FB80" s="678">
        <f t="shared" si="85"/>
        <v>0</v>
      </c>
      <c r="FC80" s="679">
        <f t="shared" si="86"/>
        <v>0</v>
      </c>
      <c r="FD80" s="680"/>
      <c r="FE80" s="681"/>
      <c r="FF80" s="682"/>
      <c r="FG80" s="682"/>
      <c r="FH80" s="683"/>
      <c r="FI80" s="684"/>
      <c r="FJ80" s="680"/>
      <c r="FK80" s="681"/>
      <c r="FL80" s="682"/>
      <c r="FM80" s="682"/>
      <c r="FN80" s="683"/>
      <c r="FO80" s="684"/>
      <c r="FP80" s="680"/>
      <c r="FQ80" s="681"/>
      <c r="FR80" s="682"/>
      <c r="FS80" s="682"/>
      <c r="FT80" s="683"/>
      <c r="FU80" s="684"/>
      <c r="FV80" s="680"/>
      <c r="FW80" s="681"/>
      <c r="FX80" s="682"/>
      <c r="FY80" s="682"/>
      <c r="FZ80" s="683"/>
      <c r="GA80" s="684"/>
      <c r="GB80" s="675"/>
      <c r="GC80" s="676">
        <f t="shared" si="38"/>
        <v>0</v>
      </c>
      <c r="GD80" s="677">
        <f t="shared" si="39"/>
        <v>0</v>
      </c>
      <c r="GE80" s="677">
        <f t="shared" si="87"/>
        <v>0</v>
      </c>
      <c r="GF80" s="678">
        <f t="shared" si="88"/>
        <v>0</v>
      </c>
      <c r="GG80" s="679">
        <f t="shared" si="89"/>
        <v>0</v>
      </c>
      <c r="GH80" s="680"/>
      <c r="GI80" s="681"/>
      <c r="GJ80" s="682"/>
      <c r="GK80" s="682"/>
      <c r="GL80" s="683"/>
      <c r="GM80" s="684"/>
      <c r="GN80" s="680"/>
      <c r="GO80" s="681"/>
      <c r="GP80" s="682"/>
      <c r="GQ80" s="682"/>
      <c r="GR80" s="683"/>
      <c r="GS80" s="684"/>
      <c r="GT80" s="680"/>
      <c r="GU80" s="681"/>
      <c r="GV80" s="682"/>
      <c r="GW80" s="682"/>
      <c r="GX80" s="683"/>
      <c r="GY80" s="684"/>
      <c r="GZ80" s="680"/>
      <c r="HA80" s="147"/>
      <c r="HB80" s="148"/>
      <c r="HC80" s="148"/>
      <c r="HD80" s="149"/>
      <c r="HE80" s="150"/>
      <c r="HF80" s="506"/>
      <c r="HG80" s="502"/>
      <c r="HH80" s="502"/>
      <c r="HI80" s="502"/>
      <c r="HJ80" s="8"/>
    </row>
    <row r="81" spans="2:218" ht="21" hidden="1">
      <c r="B81" s="488">
        <v>37</v>
      </c>
      <c r="C81" s="489" t="s">
        <v>156</v>
      </c>
      <c r="D81" s="490" t="s">
        <v>493</v>
      </c>
      <c r="E81" s="491" t="s">
        <v>590</v>
      </c>
      <c r="F81" s="492"/>
      <c r="G81" s="493"/>
      <c r="H81" s="146" t="s">
        <v>97</v>
      </c>
      <c r="I81" s="494" t="str">
        <f t="shared" si="4"/>
        <v>n.v.t.</v>
      </c>
      <c r="J81" s="495" t="s">
        <v>487</v>
      </c>
      <c r="K81" s="151">
        <v>0</v>
      </c>
      <c r="L81" s="256">
        <f>IF($C$5&lt;3000,(Bron!H70*$C$5)+Bron!I70,(Bron!M70*$C$5)+Bron!N70)</f>
        <v>60</v>
      </c>
      <c r="M81" s="256"/>
      <c r="N81" s="496">
        <f t="shared" si="41"/>
        <v>339.52332400000006</v>
      </c>
      <c r="O81" s="497">
        <f t="shared" si="5"/>
        <v>0.17671834527633215</v>
      </c>
      <c r="P81" s="257"/>
      <c r="Q81" s="257">
        <f>IF($C$5&lt;3000,$AN$31*Bron!K70,$AN$31*Bron!P70)</f>
        <v>1336.7060000000001</v>
      </c>
      <c r="R81" s="257">
        <f>IF($C$5&lt;3000,$AN$33*Bron!J70,$AN$33*Bron!O70)</f>
        <v>0</v>
      </c>
      <c r="S81" s="344"/>
      <c r="T81" s="258">
        <f t="shared" si="6"/>
        <v>0</v>
      </c>
      <c r="U81" s="259">
        <f t="shared" si="7"/>
        <v>0</v>
      </c>
      <c r="V81" s="675"/>
      <c r="W81" s="676">
        <f t="shared" si="8"/>
        <v>0</v>
      </c>
      <c r="X81" s="677">
        <f t="shared" si="9"/>
        <v>0</v>
      </c>
      <c r="Y81" s="677">
        <f t="shared" si="42"/>
        <v>0</v>
      </c>
      <c r="Z81" s="678">
        <f t="shared" si="43"/>
        <v>0</v>
      </c>
      <c r="AA81" s="679">
        <f t="shared" si="44"/>
        <v>0</v>
      </c>
      <c r="AB81" s="675"/>
      <c r="AC81" s="676">
        <f t="shared" si="10"/>
        <v>0</v>
      </c>
      <c r="AD81" s="677">
        <f t="shared" si="11"/>
        <v>0</v>
      </c>
      <c r="AE81" s="677">
        <f t="shared" si="45"/>
        <v>0</v>
      </c>
      <c r="AF81" s="678">
        <f t="shared" si="46"/>
        <v>0</v>
      </c>
      <c r="AG81" s="679">
        <f t="shared" si="47"/>
        <v>0</v>
      </c>
      <c r="AH81" s="675"/>
      <c r="AI81" s="676">
        <f t="shared" si="12"/>
        <v>0</v>
      </c>
      <c r="AJ81" s="677">
        <f t="shared" si="13"/>
        <v>0</v>
      </c>
      <c r="AK81" s="677">
        <f t="shared" si="48"/>
        <v>0</v>
      </c>
      <c r="AL81" s="678">
        <f t="shared" si="49"/>
        <v>0</v>
      </c>
      <c r="AM81" s="679">
        <f t="shared" si="50"/>
        <v>0</v>
      </c>
      <c r="AN81" s="675"/>
      <c r="AO81" s="676">
        <f t="shared" si="14"/>
        <v>0</v>
      </c>
      <c r="AP81" s="677">
        <f t="shared" si="15"/>
        <v>0</v>
      </c>
      <c r="AQ81" s="677">
        <f t="shared" si="51"/>
        <v>0</v>
      </c>
      <c r="AR81" s="678">
        <f t="shared" si="52"/>
        <v>0</v>
      </c>
      <c r="AS81" s="679">
        <f t="shared" si="53"/>
        <v>0</v>
      </c>
      <c r="AT81" s="675"/>
      <c r="AU81" s="676">
        <f t="shared" si="16"/>
        <v>0</v>
      </c>
      <c r="AV81" s="677">
        <f t="shared" si="17"/>
        <v>0</v>
      </c>
      <c r="AW81" s="677">
        <f t="shared" si="54"/>
        <v>0</v>
      </c>
      <c r="AX81" s="678">
        <f t="shared" si="55"/>
        <v>0</v>
      </c>
      <c r="AY81" s="679">
        <f t="shared" si="56"/>
        <v>0</v>
      </c>
      <c r="AZ81" s="675"/>
      <c r="BA81" s="676">
        <f t="shared" si="18"/>
        <v>0</v>
      </c>
      <c r="BB81" s="677">
        <f t="shared" si="19"/>
        <v>0</v>
      </c>
      <c r="BC81" s="677">
        <f t="shared" si="57"/>
        <v>0</v>
      </c>
      <c r="BD81" s="678">
        <f t="shared" si="58"/>
        <v>0</v>
      </c>
      <c r="BE81" s="679">
        <f t="shared" si="59"/>
        <v>0</v>
      </c>
      <c r="BF81" s="675"/>
      <c r="BG81" s="676">
        <f t="shared" si="20"/>
        <v>0</v>
      </c>
      <c r="BH81" s="677">
        <f t="shared" si="21"/>
        <v>0</v>
      </c>
      <c r="BI81" s="677">
        <f t="shared" si="60"/>
        <v>0</v>
      </c>
      <c r="BJ81" s="678">
        <f t="shared" si="61"/>
        <v>0</v>
      </c>
      <c r="BK81" s="679">
        <f t="shared" si="62"/>
        <v>0</v>
      </c>
      <c r="BL81" s="675"/>
      <c r="BM81" s="676">
        <f t="shared" si="22"/>
        <v>0</v>
      </c>
      <c r="BN81" s="677">
        <f t="shared" si="23"/>
        <v>0</v>
      </c>
      <c r="BO81" s="677">
        <f t="shared" si="63"/>
        <v>0</v>
      </c>
      <c r="BP81" s="678">
        <f t="shared" si="64"/>
        <v>0</v>
      </c>
      <c r="BQ81" s="679">
        <f t="shared" si="65"/>
        <v>0</v>
      </c>
      <c r="BR81" s="675"/>
      <c r="BS81" s="676">
        <f t="shared" si="24"/>
        <v>0</v>
      </c>
      <c r="BT81" s="677">
        <f t="shared" si="25"/>
        <v>0</v>
      </c>
      <c r="BU81" s="677">
        <f t="shared" si="66"/>
        <v>0</v>
      </c>
      <c r="BV81" s="678">
        <f t="shared" si="67"/>
        <v>0</v>
      </c>
      <c r="BW81" s="679">
        <f t="shared" si="68"/>
        <v>0</v>
      </c>
      <c r="BX81" s="675"/>
      <c r="BY81" s="676">
        <f t="shared" si="26"/>
        <v>0</v>
      </c>
      <c r="BZ81" s="677">
        <f t="shared" si="27"/>
        <v>0</v>
      </c>
      <c r="CA81" s="677">
        <f t="shared" si="69"/>
        <v>0</v>
      </c>
      <c r="CB81" s="678">
        <f t="shared" si="70"/>
        <v>0</v>
      </c>
      <c r="CC81" s="679">
        <f t="shared" si="71"/>
        <v>0</v>
      </c>
      <c r="CD81" s="675"/>
      <c r="CE81" s="676">
        <f t="shared" si="28"/>
        <v>0</v>
      </c>
      <c r="CF81" s="677">
        <f t="shared" si="29"/>
        <v>0</v>
      </c>
      <c r="CG81" s="677">
        <f t="shared" si="72"/>
        <v>0</v>
      </c>
      <c r="CH81" s="678">
        <f t="shared" si="73"/>
        <v>0</v>
      </c>
      <c r="CI81" s="679">
        <f t="shared" si="74"/>
        <v>0</v>
      </c>
      <c r="CJ81" s="675"/>
      <c r="CK81" s="676">
        <f t="shared" si="30"/>
        <v>0</v>
      </c>
      <c r="CL81" s="677">
        <f t="shared" si="31"/>
        <v>0</v>
      </c>
      <c r="CM81" s="677">
        <f t="shared" si="75"/>
        <v>0</v>
      </c>
      <c r="CN81" s="678">
        <f t="shared" si="76"/>
        <v>0</v>
      </c>
      <c r="CO81" s="679">
        <f t="shared" si="77"/>
        <v>0</v>
      </c>
      <c r="CP81" s="675"/>
      <c r="CQ81" s="676">
        <f t="shared" si="32"/>
        <v>0</v>
      </c>
      <c r="CR81" s="677">
        <f t="shared" si="33"/>
        <v>0</v>
      </c>
      <c r="CS81" s="677">
        <f t="shared" si="78"/>
        <v>0</v>
      </c>
      <c r="CT81" s="678">
        <f t="shared" si="79"/>
        <v>0</v>
      </c>
      <c r="CU81" s="679">
        <f t="shared" si="80"/>
        <v>0</v>
      </c>
      <c r="CV81" s="685"/>
      <c r="CW81" s="681"/>
      <c r="CX81" s="682"/>
      <c r="CY81" s="682"/>
      <c r="CZ81" s="683"/>
      <c r="DA81" s="684"/>
      <c r="DB81" s="685"/>
      <c r="DC81" s="681"/>
      <c r="DD81" s="682"/>
      <c r="DE81" s="682"/>
      <c r="DF81" s="683"/>
      <c r="DG81" s="684"/>
      <c r="DH81" s="685"/>
      <c r="DI81" s="681"/>
      <c r="DJ81" s="682"/>
      <c r="DK81" s="682"/>
      <c r="DL81" s="683"/>
      <c r="DM81" s="684"/>
      <c r="DN81" s="685"/>
      <c r="DO81" s="681"/>
      <c r="DP81" s="682"/>
      <c r="DQ81" s="682"/>
      <c r="DR81" s="683"/>
      <c r="DS81" s="684"/>
      <c r="DT81" s="675"/>
      <c r="DU81" s="676">
        <f t="shared" si="34"/>
        <v>0</v>
      </c>
      <c r="DV81" s="677">
        <f t="shared" si="35"/>
        <v>0</v>
      </c>
      <c r="DW81" s="677">
        <f t="shared" si="81"/>
        <v>0</v>
      </c>
      <c r="DX81" s="678">
        <f t="shared" si="82"/>
        <v>0</v>
      </c>
      <c r="DY81" s="679">
        <f t="shared" si="83"/>
        <v>0</v>
      </c>
      <c r="DZ81" s="680"/>
      <c r="EA81" s="681"/>
      <c r="EB81" s="682"/>
      <c r="EC81" s="682"/>
      <c r="ED81" s="683"/>
      <c r="EE81" s="684"/>
      <c r="EF81" s="680"/>
      <c r="EG81" s="681"/>
      <c r="EH81" s="682"/>
      <c r="EI81" s="682"/>
      <c r="EJ81" s="683"/>
      <c r="EK81" s="684"/>
      <c r="EL81" s="680"/>
      <c r="EM81" s="681"/>
      <c r="EN81" s="682"/>
      <c r="EO81" s="682"/>
      <c r="EP81" s="683"/>
      <c r="EQ81" s="684"/>
      <c r="ER81" s="680"/>
      <c r="ES81" s="681"/>
      <c r="ET81" s="682"/>
      <c r="EU81" s="682"/>
      <c r="EV81" s="683"/>
      <c r="EW81" s="684"/>
      <c r="EX81" s="675"/>
      <c r="EY81" s="676">
        <f t="shared" si="36"/>
        <v>0</v>
      </c>
      <c r="EZ81" s="677">
        <f t="shared" si="37"/>
        <v>0</v>
      </c>
      <c r="FA81" s="677">
        <f t="shared" si="84"/>
        <v>0</v>
      </c>
      <c r="FB81" s="678">
        <f t="shared" si="85"/>
        <v>0</v>
      </c>
      <c r="FC81" s="679">
        <f t="shared" si="86"/>
        <v>0</v>
      </c>
      <c r="FD81" s="680"/>
      <c r="FE81" s="681"/>
      <c r="FF81" s="682"/>
      <c r="FG81" s="682"/>
      <c r="FH81" s="683"/>
      <c r="FI81" s="684"/>
      <c r="FJ81" s="680"/>
      <c r="FK81" s="681"/>
      <c r="FL81" s="682"/>
      <c r="FM81" s="682"/>
      <c r="FN81" s="683"/>
      <c r="FO81" s="684"/>
      <c r="FP81" s="680"/>
      <c r="FQ81" s="681"/>
      <c r="FR81" s="682"/>
      <c r="FS81" s="682"/>
      <c r="FT81" s="683"/>
      <c r="FU81" s="684"/>
      <c r="FV81" s="680"/>
      <c r="FW81" s="681"/>
      <c r="FX81" s="682"/>
      <c r="FY81" s="682"/>
      <c r="FZ81" s="683"/>
      <c r="GA81" s="684"/>
      <c r="GB81" s="675"/>
      <c r="GC81" s="676">
        <f t="shared" si="38"/>
        <v>0</v>
      </c>
      <c r="GD81" s="677">
        <f t="shared" si="39"/>
        <v>0</v>
      </c>
      <c r="GE81" s="677">
        <f t="shared" si="87"/>
        <v>0</v>
      </c>
      <c r="GF81" s="678">
        <f t="shared" si="88"/>
        <v>0</v>
      </c>
      <c r="GG81" s="679">
        <f t="shared" si="89"/>
        <v>0</v>
      </c>
      <c r="GH81" s="680"/>
      <c r="GI81" s="681"/>
      <c r="GJ81" s="682"/>
      <c r="GK81" s="682"/>
      <c r="GL81" s="683"/>
      <c r="GM81" s="684"/>
      <c r="GN81" s="680"/>
      <c r="GO81" s="681"/>
      <c r="GP81" s="682"/>
      <c r="GQ81" s="682"/>
      <c r="GR81" s="683"/>
      <c r="GS81" s="684"/>
      <c r="GT81" s="680"/>
      <c r="GU81" s="681"/>
      <c r="GV81" s="682"/>
      <c r="GW81" s="682"/>
      <c r="GX81" s="683"/>
      <c r="GY81" s="684"/>
      <c r="GZ81" s="680"/>
      <c r="HA81" s="147"/>
      <c r="HB81" s="148"/>
      <c r="HC81" s="148"/>
      <c r="HD81" s="149"/>
      <c r="HE81" s="150"/>
      <c r="HF81" s="506"/>
      <c r="HG81" s="502"/>
      <c r="HH81" s="502"/>
      <c r="HI81" s="502"/>
      <c r="HJ81" s="8"/>
    </row>
    <row r="82" spans="2:218" ht="21" hidden="1">
      <c r="B82" s="488">
        <v>38</v>
      </c>
      <c r="C82" s="489" t="s">
        <v>156</v>
      </c>
      <c r="D82" s="490" t="s">
        <v>493</v>
      </c>
      <c r="E82" s="491" t="s">
        <v>594</v>
      </c>
      <c r="F82" s="492"/>
      <c r="G82" s="493"/>
      <c r="H82" s="146" t="s">
        <v>97</v>
      </c>
      <c r="I82" s="494" t="str">
        <f t="shared" si="4"/>
        <v>n.v.t.</v>
      </c>
      <c r="J82" s="495"/>
      <c r="K82" s="151">
        <v>0</v>
      </c>
      <c r="L82" s="256"/>
      <c r="M82" s="256">
        <f>IF($C$5&lt;3000,(Bron!H71*$C$5)+Bron!I71,(Bron!M71*$C$5)+Bron!N71)</f>
        <v>20</v>
      </c>
      <c r="N82" s="496">
        <f t="shared" si="41"/>
        <v>97.006664000000001</v>
      </c>
      <c r="O82" s="497">
        <f t="shared" si="5"/>
        <v>0.20617140282238755</v>
      </c>
      <c r="P82" s="257"/>
      <c r="Q82" s="257">
        <f>IF($C$5&lt;3000,$AN$31*Bron!K71,$AN$31*Bron!P71)</f>
        <v>381.916</v>
      </c>
      <c r="R82" s="257">
        <f>IF($C$5&lt;3000,$AN$33*Bron!J71,$AN$33*Bron!O71)</f>
        <v>0</v>
      </c>
      <c r="S82" s="344"/>
      <c r="T82" s="258">
        <f t="shared" si="6"/>
        <v>0</v>
      </c>
      <c r="U82" s="259">
        <f t="shared" si="7"/>
        <v>0</v>
      </c>
      <c r="V82" s="675"/>
      <c r="W82" s="676">
        <f t="shared" si="8"/>
        <v>0</v>
      </c>
      <c r="X82" s="677">
        <f t="shared" si="9"/>
        <v>0</v>
      </c>
      <c r="Y82" s="677">
        <f t="shared" si="42"/>
        <v>0</v>
      </c>
      <c r="Z82" s="678">
        <f t="shared" si="43"/>
        <v>0</v>
      </c>
      <c r="AA82" s="679">
        <f t="shared" si="44"/>
        <v>0</v>
      </c>
      <c r="AB82" s="675"/>
      <c r="AC82" s="676">
        <f t="shared" si="10"/>
        <v>0</v>
      </c>
      <c r="AD82" s="677">
        <f t="shared" si="11"/>
        <v>0</v>
      </c>
      <c r="AE82" s="677">
        <f t="shared" si="45"/>
        <v>0</v>
      </c>
      <c r="AF82" s="678">
        <f t="shared" si="46"/>
        <v>0</v>
      </c>
      <c r="AG82" s="679">
        <f t="shared" si="47"/>
        <v>0</v>
      </c>
      <c r="AH82" s="675"/>
      <c r="AI82" s="676">
        <f t="shared" si="12"/>
        <v>0</v>
      </c>
      <c r="AJ82" s="677">
        <f t="shared" si="13"/>
        <v>0</v>
      </c>
      <c r="AK82" s="677">
        <f t="shared" si="48"/>
        <v>0</v>
      </c>
      <c r="AL82" s="678">
        <f t="shared" si="49"/>
        <v>0</v>
      </c>
      <c r="AM82" s="679">
        <f t="shared" si="50"/>
        <v>0</v>
      </c>
      <c r="AN82" s="675"/>
      <c r="AO82" s="676">
        <f t="shared" si="14"/>
        <v>0</v>
      </c>
      <c r="AP82" s="677">
        <f t="shared" si="15"/>
        <v>0</v>
      </c>
      <c r="AQ82" s="677">
        <f t="shared" si="51"/>
        <v>0</v>
      </c>
      <c r="AR82" s="678">
        <f t="shared" si="52"/>
        <v>0</v>
      </c>
      <c r="AS82" s="679">
        <f t="shared" si="53"/>
        <v>0</v>
      </c>
      <c r="AT82" s="675"/>
      <c r="AU82" s="676">
        <f t="shared" si="16"/>
        <v>0</v>
      </c>
      <c r="AV82" s="677">
        <f t="shared" si="17"/>
        <v>0</v>
      </c>
      <c r="AW82" s="677">
        <f t="shared" si="54"/>
        <v>0</v>
      </c>
      <c r="AX82" s="678">
        <f t="shared" si="55"/>
        <v>0</v>
      </c>
      <c r="AY82" s="679">
        <f t="shared" si="56"/>
        <v>0</v>
      </c>
      <c r="AZ82" s="675"/>
      <c r="BA82" s="676">
        <f t="shared" si="18"/>
        <v>0</v>
      </c>
      <c r="BB82" s="677">
        <f t="shared" si="19"/>
        <v>0</v>
      </c>
      <c r="BC82" s="677">
        <f t="shared" si="57"/>
        <v>0</v>
      </c>
      <c r="BD82" s="678">
        <f t="shared" si="58"/>
        <v>0</v>
      </c>
      <c r="BE82" s="679">
        <f t="shared" si="59"/>
        <v>0</v>
      </c>
      <c r="BF82" s="675"/>
      <c r="BG82" s="676">
        <f t="shared" si="20"/>
        <v>0</v>
      </c>
      <c r="BH82" s="677">
        <f t="shared" si="21"/>
        <v>0</v>
      </c>
      <c r="BI82" s="677">
        <f t="shared" si="60"/>
        <v>0</v>
      </c>
      <c r="BJ82" s="678">
        <f t="shared" si="61"/>
        <v>0</v>
      </c>
      <c r="BK82" s="679">
        <f t="shared" si="62"/>
        <v>0</v>
      </c>
      <c r="BL82" s="675"/>
      <c r="BM82" s="676">
        <f t="shared" si="22"/>
        <v>0</v>
      </c>
      <c r="BN82" s="677">
        <f t="shared" si="23"/>
        <v>0</v>
      </c>
      <c r="BO82" s="677">
        <f t="shared" si="63"/>
        <v>0</v>
      </c>
      <c r="BP82" s="678">
        <f t="shared" si="64"/>
        <v>0</v>
      </c>
      <c r="BQ82" s="679">
        <f t="shared" si="65"/>
        <v>0</v>
      </c>
      <c r="BR82" s="675"/>
      <c r="BS82" s="676">
        <f t="shared" si="24"/>
        <v>0</v>
      </c>
      <c r="BT82" s="677">
        <f t="shared" si="25"/>
        <v>0</v>
      </c>
      <c r="BU82" s="677">
        <f t="shared" si="66"/>
        <v>0</v>
      </c>
      <c r="BV82" s="678">
        <f t="shared" si="67"/>
        <v>0</v>
      </c>
      <c r="BW82" s="679">
        <f t="shared" si="68"/>
        <v>0</v>
      </c>
      <c r="BX82" s="675"/>
      <c r="BY82" s="676">
        <f t="shared" si="26"/>
        <v>0</v>
      </c>
      <c r="BZ82" s="677">
        <f t="shared" si="27"/>
        <v>0</v>
      </c>
      <c r="CA82" s="677">
        <f t="shared" si="69"/>
        <v>0</v>
      </c>
      <c r="CB82" s="678">
        <f t="shared" si="70"/>
        <v>0</v>
      </c>
      <c r="CC82" s="679">
        <f t="shared" si="71"/>
        <v>0</v>
      </c>
      <c r="CD82" s="675"/>
      <c r="CE82" s="676">
        <f t="shared" si="28"/>
        <v>0</v>
      </c>
      <c r="CF82" s="677">
        <f t="shared" si="29"/>
        <v>0</v>
      </c>
      <c r="CG82" s="677">
        <f t="shared" si="72"/>
        <v>0</v>
      </c>
      <c r="CH82" s="678">
        <f t="shared" si="73"/>
        <v>0</v>
      </c>
      <c r="CI82" s="679">
        <f t="shared" si="74"/>
        <v>0</v>
      </c>
      <c r="CJ82" s="675"/>
      <c r="CK82" s="676">
        <f t="shared" si="30"/>
        <v>0</v>
      </c>
      <c r="CL82" s="677">
        <f t="shared" si="31"/>
        <v>0</v>
      </c>
      <c r="CM82" s="677">
        <f t="shared" si="75"/>
        <v>0</v>
      </c>
      <c r="CN82" s="678">
        <f t="shared" si="76"/>
        <v>0</v>
      </c>
      <c r="CO82" s="679">
        <f t="shared" si="77"/>
        <v>0</v>
      </c>
      <c r="CP82" s="675"/>
      <c r="CQ82" s="676">
        <f t="shared" si="32"/>
        <v>0</v>
      </c>
      <c r="CR82" s="677">
        <f t="shared" si="33"/>
        <v>0</v>
      </c>
      <c r="CS82" s="677">
        <f t="shared" si="78"/>
        <v>0</v>
      </c>
      <c r="CT82" s="678">
        <f t="shared" si="79"/>
        <v>0</v>
      </c>
      <c r="CU82" s="679">
        <f t="shared" si="80"/>
        <v>0</v>
      </c>
      <c r="CV82" s="685"/>
      <c r="CW82" s="681"/>
      <c r="CX82" s="682"/>
      <c r="CY82" s="682"/>
      <c r="CZ82" s="683"/>
      <c r="DA82" s="684"/>
      <c r="DB82" s="685"/>
      <c r="DC82" s="681"/>
      <c r="DD82" s="682"/>
      <c r="DE82" s="682"/>
      <c r="DF82" s="683"/>
      <c r="DG82" s="684"/>
      <c r="DH82" s="685"/>
      <c r="DI82" s="681"/>
      <c r="DJ82" s="682"/>
      <c r="DK82" s="682"/>
      <c r="DL82" s="683"/>
      <c r="DM82" s="684"/>
      <c r="DN82" s="685"/>
      <c r="DO82" s="681"/>
      <c r="DP82" s="682"/>
      <c r="DQ82" s="682"/>
      <c r="DR82" s="683"/>
      <c r="DS82" s="684"/>
      <c r="DT82" s="675"/>
      <c r="DU82" s="676">
        <f t="shared" si="34"/>
        <v>0</v>
      </c>
      <c r="DV82" s="677">
        <f t="shared" si="35"/>
        <v>0</v>
      </c>
      <c r="DW82" s="677">
        <f t="shared" si="81"/>
        <v>0</v>
      </c>
      <c r="DX82" s="678">
        <f t="shared" si="82"/>
        <v>0</v>
      </c>
      <c r="DY82" s="679">
        <f t="shared" si="83"/>
        <v>0</v>
      </c>
      <c r="DZ82" s="680"/>
      <c r="EA82" s="681"/>
      <c r="EB82" s="682"/>
      <c r="EC82" s="682"/>
      <c r="ED82" s="683"/>
      <c r="EE82" s="684"/>
      <c r="EF82" s="680"/>
      <c r="EG82" s="681"/>
      <c r="EH82" s="682"/>
      <c r="EI82" s="682"/>
      <c r="EJ82" s="683"/>
      <c r="EK82" s="684"/>
      <c r="EL82" s="680"/>
      <c r="EM82" s="681"/>
      <c r="EN82" s="682"/>
      <c r="EO82" s="682"/>
      <c r="EP82" s="683"/>
      <c r="EQ82" s="684"/>
      <c r="ER82" s="680"/>
      <c r="ES82" s="681"/>
      <c r="ET82" s="682"/>
      <c r="EU82" s="682"/>
      <c r="EV82" s="683"/>
      <c r="EW82" s="684"/>
      <c r="EX82" s="675"/>
      <c r="EY82" s="676">
        <f t="shared" si="36"/>
        <v>0</v>
      </c>
      <c r="EZ82" s="677">
        <f t="shared" si="37"/>
        <v>0</v>
      </c>
      <c r="FA82" s="677">
        <f t="shared" si="84"/>
        <v>0</v>
      </c>
      <c r="FB82" s="678">
        <f t="shared" si="85"/>
        <v>0</v>
      </c>
      <c r="FC82" s="679">
        <f t="shared" si="86"/>
        <v>0</v>
      </c>
      <c r="FD82" s="680"/>
      <c r="FE82" s="681"/>
      <c r="FF82" s="682"/>
      <c r="FG82" s="682"/>
      <c r="FH82" s="683"/>
      <c r="FI82" s="684"/>
      <c r="FJ82" s="680"/>
      <c r="FK82" s="681"/>
      <c r="FL82" s="682"/>
      <c r="FM82" s="682"/>
      <c r="FN82" s="683"/>
      <c r="FO82" s="684"/>
      <c r="FP82" s="680"/>
      <c r="FQ82" s="681"/>
      <c r="FR82" s="682"/>
      <c r="FS82" s="682"/>
      <c r="FT82" s="683"/>
      <c r="FU82" s="684"/>
      <c r="FV82" s="680"/>
      <c r="FW82" s="681"/>
      <c r="FX82" s="682"/>
      <c r="FY82" s="682"/>
      <c r="FZ82" s="683"/>
      <c r="GA82" s="684"/>
      <c r="GB82" s="675"/>
      <c r="GC82" s="676">
        <f t="shared" si="38"/>
        <v>0</v>
      </c>
      <c r="GD82" s="677">
        <f t="shared" si="39"/>
        <v>0</v>
      </c>
      <c r="GE82" s="677">
        <f t="shared" si="87"/>
        <v>0</v>
      </c>
      <c r="GF82" s="678">
        <f t="shared" si="88"/>
        <v>0</v>
      </c>
      <c r="GG82" s="679">
        <f t="shared" si="89"/>
        <v>0</v>
      </c>
      <c r="GH82" s="680"/>
      <c r="GI82" s="681"/>
      <c r="GJ82" s="682"/>
      <c r="GK82" s="682"/>
      <c r="GL82" s="683"/>
      <c r="GM82" s="684"/>
      <c r="GN82" s="680"/>
      <c r="GO82" s="681"/>
      <c r="GP82" s="682"/>
      <c r="GQ82" s="682"/>
      <c r="GR82" s="683"/>
      <c r="GS82" s="684"/>
      <c r="GT82" s="680"/>
      <c r="GU82" s="681"/>
      <c r="GV82" s="682"/>
      <c r="GW82" s="682"/>
      <c r="GX82" s="683"/>
      <c r="GY82" s="684"/>
      <c r="GZ82" s="680"/>
      <c r="HA82" s="147"/>
      <c r="HB82" s="148"/>
      <c r="HC82" s="148"/>
      <c r="HD82" s="149"/>
      <c r="HE82" s="150"/>
      <c r="HF82" s="506"/>
      <c r="HG82" s="502"/>
      <c r="HH82" s="502"/>
      <c r="HI82" s="502"/>
      <c r="HJ82" s="8"/>
    </row>
    <row r="83" spans="2:218" ht="21" hidden="1">
      <c r="B83" s="488">
        <v>39</v>
      </c>
      <c r="C83" s="489" t="s">
        <v>399</v>
      </c>
      <c r="D83" s="490" t="s">
        <v>182</v>
      </c>
      <c r="E83" s="491" t="s">
        <v>415</v>
      </c>
      <c r="F83" s="492"/>
      <c r="G83" s="493"/>
      <c r="H83" s="146" t="s">
        <v>97</v>
      </c>
      <c r="I83" s="494" t="str">
        <f t="shared" si="4"/>
        <v>n.v.t.</v>
      </c>
      <c r="J83" s="495" t="s">
        <v>487</v>
      </c>
      <c r="K83" s="151">
        <v>0</v>
      </c>
      <c r="L83" s="256">
        <f>IF($C$5&lt;3000,(Bron!H72*$C$5)+Bron!I72,(Bron!M72*$C$5)+Bron!N72)</f>
        <v>3500</v>
      </c>
      <c r="M83" s="256"/>
      <c r="N83" s="496">
        <f t="shared" si="41"/>
        <v>1406.596628</v>
      </c>
      <c r="O83" s="497">
        <f t="shared" si="5"/>
        <v>2.4882755513046773</v>
      </c>
      <c r="P83" s="257"/>
      <c r="Q83" s="257">
        <f>IF($C$5&lt;3000,$AN$31*Bron!K72,$AN$31*Bron!P72)</f>
        <v>5537.7820000000002</v>
      </c>
      <c r="R83" s="257">
        <f>IF($C$5&lt;3000,$AN$33*Bron!J72,$AN$33*Bron!O72)</f>
        <v>0</v>
      </c>
      <c r="S83" s="344"/>
      <c r="T83" s="258">
        <f t="shared" si="6"/>
        <v>0</v>
      </c>
      <c r="U83" s="259">
        <f t="shared" si="7"/>
        <v>0</v>
      </c>
      <c r="V83" s="675"/>
      <c r="W83" s="676">
        <f t="shared" si="8"/>
        <v>0</v>
      </c>
      <c r="X83" s="677">
        <f t="shared" si="9"/>
        <v>0</v>
      </c>
      <c r="Y83" s="677">
        <f t="shared" si="42"/>
        <v>0</v>
      </c>
      <c r="Z83" s="678">
        <f t="shared" si="43"/>
        <v>0</v>
      </c>
      <c r="AA83" s="679">
        <f t="shared" si="44"/>
        <v>0</v>
      </c>
      <c r="AB83" s="675"/>
      <c r="AC83" s="676">
        <f t="shared" si="10"/>
        <v>0</v>
      </c>
      <c r="AD83" s="677">
        <f t="shared" si="11"/>
        <v>0</v>
      </c>
      <c r="AE83" s="677">
        <f t="shared" si="45"/>
        <v>0</v>
      </c>
      <c r="AF83" s="678">
        <f t="shared" si="46"/>
        <v>0</v>
      </c>
      <c r="AG83" s="679">
        <f t="shared" si="47"/>
        <v>0</v>
      </c>
      <c r="AH83" s="675"/>
      <c r="AI83" s="676">
        <f t="shared" si="12"/>
        <v>0</v>
      </c>
      <c r="AJ83" s="677">
        <f t="shared" si="13"/>
        <v>0</v>
      </c>
      <c r="AK83" s="677">
        <f t="shared" si="48"/>
        <v>0</v>
      </c>
      <c r="AL83" s="678">
        <f t="shared" si="49"/>
        <v>0</v>
      </c>
      <c r="AM83" s="679">
        <f t="shared" si="50"/>
        <v>0</v>
      </c>
      <c r="AN83" s="675"/>
      <c r="AO83" s="676">
        <f t="shared" si="14"/>
        <v>0</v>
      </c>
      <c r="AP83" s="677">
        <f t="shared" si="15"/>
        <v>0</v>
      </c>
      <c r="AQ83" s="677">
        <f t="shared" si="51"/>
        <v>0</v>
      </c>
      <c r="AR83" s="678">
        <f t="shared" si="52"/>
        <v>0</v>
      </c>
      <c r="AS83" s="679">
        <f t="shared" si="53"/>
        <v>0</v>
      </c>
      <c r="AT83" s="675"/>
      <c r="AU83" s="676">
        <f t="shared" si="16"/>
        <v>0</v>
      </c>
      <c r="AV83" s="677">
        <f t="shared" si="17"/>
        <v>0</v>
      </c>
      <c r="AW83" s="677">
        <f t="shared" si="54"/>
        <v>0</v>
      </c>
      <c r="AX83" s="678">
        <f t="shared" si="55"/>
        <v>0</v>
      </c>
      <c r="AY83" s="679">
        <f t="shared" si="56"/>
        <v>0</v>
      </c>
      <c r="AZ83" s="675"/>
      <c r="BA83" s="676">
        <f t="shared" si="18"/>
        <v>0</v>
      </c>
      <c r="BB83" s="677">
        <f t="shared" si="19"/>
        <v>0</v>
      </c>
      <c r="BC83" s="677">
        <f t="shared" si="57"/>
        <v>0</v>
      </c>
      <c r="BD83" s="678">
        <f t="shared" si="58"/>
        <v>0</v>
      </c>
      <c r="BE83" s="679">
        <f t="shared" si="59"/>
        <v>0</v>
      </c>
      <c r="BF83" s="675"/>
      <c r="BG83" s="676">
        <f t="shared" si="20"/>
        <v>0</v>
      </c>
      <c r="BH83" s="677">
        <f t="shared" si="21"/>
        <v>0</v>
      </c>
      <c r="BI83" s="677">
        <f t="shared" si="60"/>
        <v>0</v>
      </c>
      <c r="BJ83" s="678">
        <f t="shared" si="61"/>
        <v>0</v>
      </c>
      <c r="BK83" s="679">
        <f t="shared" si="62"/>
        <v>0</v>
      </c>
      <c r="BL83" s="675"/>
      <c r="BM83" s="676">
        <f t="shared" si="22"/>
        <v>0</v>
      </c>
      <c r="BN83" s="677">
        <f t="shared" si="23"/>
        <v>0</v>
      </c>
      <c r="BO83" s="677">
        <f t="shared" si="63"/>
        <v>0</v>
      </c>
      <c r="BP83" s="678">
        <f t="shared" si="64"/>
        <v>0</v>
      </c>
      <c r="BQ83" s="679">
        <f t="shared" si="65"/>
        <v>0</v>
      </c>
      <c r="BR83" s="675"/>
      <c r="BS83" s="676">
        <f t="shared" si="24"/>
        <v>0</v>
      </c>
      <c r="BT83" s="677">
        <f t="shared" si="25"/>
        <v>0</v>
      </c>
      <c r="BU83" s="677">
        <f t="shared" si="66"/>
        <v>0</v>
      </c>
      <c r="BV83" s="678">
        <f t="shared" si="67"/>
        <v>0</v>
      </c>
      <c r="BW83" s="679">
        <f t="shared" si="68"/>
        <v>0</v>
      </c>
      <c r="BX83" s="675"/>
      <c r="BY83" s="676">
        <f t="shared" si="26"/>
        <v>0</v>
      </c>
      <c r="BZ83" s="677">
        <f t="shared" si="27"/>
        <v>0</v>
      </c>
      <c r="CA83" s="677">
        <f t="shared" si="69"/>
        <v>0</v>
      </c>
      <c r="CB83" s="678">
        <f t="shared" si="70"/>
        <v>0</v>
      </c>
      <c r="CC83" s="679">
        <f t="shared" si="71"/>
        <v>0</v>
      </c>
      <c r="CD83" s="675"/>
      <c r="CE83" s="676">
        <f t="shared" si="28"/>
        <v>0</v>
      </c>
      <c r="CF83" s="677">
        <f t="shared" si="29"/>
        <v>0</v>
      </c>
      <c r="CG83" s="677">
        <f t="shared" si="72"/>
        <v>0</v>
      </c>
      <c r="CH83" s="678">
        <f t="shared" si="73"/>
        <v>0</v>
      </c>
      <c r="CI83" s="679">
        <f t="shared" si="74"/>
        <v>0</v>
      </c>
      <c r="CJ83" s="675"/>
      <c r="CK83" s="676">
        <f t="shared" si="30"/>
        <v>0</v>
      </c>
      <c r="CL83" s="677">
        <f t="shared" si="31"/>
        <v>0</v>
      </c>
      <c r="CM83" s="677">
        <f t="shared" si="75"/>
        <v>0</v>
      </c>
      <c r="CN83" s="678">
        <f t="shared" si="76"/>
        <v>0</v>
      </c>
      <c r="CO83" s="679">
        <f t="shared" si="77"/>
        <v>0</v>
      </c>
      <c r="CP83" s="675"/>
      <c r="CQ83" s="676">
        <f t="shared" si="32"/>
        <v>0</v>
      </c>
      <c r="CR83" s="677">
        <f t="shared" si="33"/>
        <v>0</v>
      </c>
      <c r="CS83" s="677">
        <f t="shared" si="78"/>
        <v>0</v>
      </c>
      <c r="CT83" s="678">
        <f t="shared" si="79"/>
        <v>0</v>
      </c>
      <c r="CU83" s="679">
        <f t="shared" si="80"/>
        <v>0</v>
      </c>
      <c r="CV83" s="685"/>
      <c r="CW83" s="681"/>
      <c r="CX83" s="682"/>
      <c r="CY83" s="682"/>
      <c r="CZ83" s="683"/>
      <c r="DA83" s="684"/>
      <c r="DB83" s="685"/>
      <c r="DC83" s="681"/>
      <c r="DD83" s="682"/>
      <c r="DE83" s="682"/>
      <c r="DF83" s="683"/>
      <c r="DG83" s="684"/>
      <c r="DH83" s="685"/>
      <c r="DI83" s="681"/>
      <c r="DJ83" s="682"/>
      <c r="DK83" s="682"/>
      <c r="DL83" s="683"/>
      <c r="DM83" s="684"/>
      <c r="DN83" s="685"/>
      <c r="DO83" s="681"/>
      <c r="DP83" s="682"/>
      <c r="DQ83" s="682"/>
      <c r="DR83" s="683"/>
      <c r="DS83" s="684"/>
      <c r="DT83" s="675"/>
      <c r="DU83" s="676">
        <f t="shared" si="34"/>
        <v>0</v>
      </c>
      <c r="DV83" s="677">
        <f t="shared" si="35"/>
        <v>0</v>
      </c>
      <c r="DW83" s="677">
        <f t="shared" si="81"/>
        <v>0</v>
      </c>
      <c r="DX83" s="678">
        <f t="shared" si="82"/>
        <v>0</v>
      </c>
      <c r="DY83" s="679">
        <f t="shared" si="83"/>
        <v>0</v>
      </c>
      <c r="DZ83" s="680"/>
      <c r="EA83" s="681"/>
      <c r="EB83" s="682"/>
      <c r="EC83" s="682"/>
      <c r="ED83" s="683"/>
      <c r="EE83" s="684"/>
      <c r="EF83" s="680"/>
      <c r="EG83" s="681"/>
      <c r="EH83" s="682"/>
      <c r="EI83" s="682"/>
      <c r="EJ83" s="683"/>
      <c r="EK83" s="684"/>
      <c r="EL83" s="680"/>
      <c r="EM83" s="681"/>
      <c r="EN83" s="682"/>
      <c r="EO83" s="682"/>
      <c r="EP83" s="683"/>
      <c r="EQ83" s="684"/>
      <c r="ER83" s="680"/>
      <c r="ES83" s="681"/>
      <c r="ET83" s="682"/>
      <c r="EU83" s="682"/>
      <c r="EV83" s="683"/>
      <c r="EW83" s="684"/>
      <c r="EX83" s="675"/>
      <c r="EY83" s="676">
        <f t="shared" si="36"/>
        <v>0</v>
      </c>
      <c r="EZ83" s="677">
        <f t="shared" si="37"/>
        <v>0</v>
      </c>
      <c r="FA83" s="677">
        <f t="shared" si="84"/>
        <v>0</v>
      </c>
      <c r="FB83" s="678">
        <f t="shared" si="85"/>
        <v>0</v>
      </c>
      <c r="FC83" s="679">
        <f t="shared" si="86"/>
        <v>0</v>
      </c>
      <c r="FD83" s="680"/>
      <c r="FE83" s="681"/>
      <c r="FF83" s="682"/>
      <c r="FG83" s="682"/>
      <c r="FH83" s="683"/>
      <c r="FI83" s="684"/>
      <c r="FJ83" s="680"/>
      <c r="FK83" s="681"/>
      <c r="FL83" s="682"/>
      <c r="FM83" s="682"/>
      <c r="FN83" s="683"/>
      <c r="FO83" s="684"/>
      <c r="FP83" s="680"/>
      <c r="FQ83" s="681"/>
      <c r="FR83" s="682"/>
      <c r="FS83" s="682"/>
      <c r="FT83" s="683"/>
      <c r="FU83" s="684"/>
      <c r="FV83" s="680"/>
      <c r="FW83" s="681"/>
      <c r="FX83" s="682"/>
      <c r="FY83" s="682"/>
      <c r="FZ83" s="683"/>
      <c r="GA83" s="684"/>
      <c r="GB83" s="675"/>
      <c r="GC83" s="676">
        <f t="shared" si="38"/>
        <v>0</v>
      </c>
      <c r="GD83" s="677">
        <f t="shared" si="39"/>
        <v>0</v>
      </c>
      <c r="GE83" s="677">
        <f t="shared" si="87"/>
        <v>0</v>
      </c>
      <c r="GF83" s="678">
        <f t="shared" si="88"/>
        <v>0</v>
      </c>
      <c r="GG83" s="679">
        <f t="shared" si="89"/>
        <v>0</v>
      </c>
      <c r="GH83" s="680"/>
      <c r="GI83" s="681"/>
      <c r="GJ83" s="682"/>
      <c r="GK83" s="682"/>
      <c r="GL83" s="683"/>
      <c r="GM83" s="684"/>
      <c r="GN83" s="680"/>
      <c r="GO83" s="681"/>
      <c r="GP83" s="682"/>
      <c r="GQ83" s="682"/>
      <c r="GR83" s="683"/>
      <c r="GS83" s="684"/>
      <c r="GT83" s="680"/>
      <c r="GU83" s="681"/>
      <c r="GV83" s="682"/>
      <c r="GW83" s="682"/>
      <c r="GX83" s="683"/>
      <c r="GY83" s="684"/>
      <c r="GZ83" s="680"/>
      <c r="HA83" s="147"/>
      <c r="HB83" s="148"/>
      <c r="HC83" s="148"/>
      <c r="HD83" s="149"/>
      <c r="HE83" s="150"/>
      <c r="HF83" s="506"/>
      <c r="HG83" s="502"/>
      <c r="HH83" s="502"/>
      <c r="HI83" s="502"/>
      <c r="HJ83" s="8"/>
    </row>
    <row r="84" spans="2:218" ht="21" hidden="1">
      <c r="B84" s="488">
        <v>40</v>
      </c>
      <c r="C84" s="489" t="s">
        <v>399</v>
      </c>
      <c r="D84" s="490" t="s">
        <v>183</v>
      </c>
      <c r="E84" s="491" t="s">
        <v>184</v>
      </c>
      <c r="F84" s="492"/>
      <c r="G84" s="493"/>
      <c r="H84" s="146" t="s">
        <v>97</v>
      </c>
      <c r="I84" s="494" t="str">
        <f t="shared" si="4"/>
        <v>n.v.t.</v>
      </c>
      <c r="J84" s="495" t="s">
        <v>487</v>
      </c>
      <c r="K84" s="151">
        <v>0</v>
      </c>
      <c r="L84" s="256">
        <f>IF($C$5&lt;3000,(Bron!H73*$C$5)+Bron!I73,(Bron!M73*$C$5)+Bron!N73)</f>
        <v>1300</v>
      </c>
      <c r="M84" s="256"/>
      <c r="N84" s="496">
        <f t="shared" si="41"/>
        <v>194.013328</v>
      </c>
      <c r="O84" s="497">
        <f t="shared" si="5"/>
        <v>6.7005705917275948</v>
      </c>
      <c r="P84" s="257">
        <f>IF($C$5&lt;3000,$AN$32*Bron!J73,$AN$32*Bron!O73)</f>
        <v>0</v>
      </c>
      <c r="Q84" s="257">
        <f>IF($C$5&lt;3000,$AN$31*Bron!K73,$AN$31*Bron!P73)</f>
        <v>763.83199999999999</v>
      </c>
      <c r="R84" s="257">
        <f>IF($C$5&lt;3000,$AN$33*Bron!J73,$AN$33*Bron!O73)</f>
        <v>0</v>
      </c>
      <c r="S84" s="344"/>
      <c r="T84" s="258">
        <f t="shared" si="6"/>
        <v>0</v>
      </c>
      <c r="U84" s="259">
        <f t="shared" si="7"/>
        <v>0</v>
      </c>
      <c r="V84" s="675"/>
      <c r="W84" s="676">
        <f t="shared" si="8"/>
        <v>0</v>
      </c>
      <c r="X84" s="677">
        <f t="shared" si="9"/>
        <v>0</v>
      </c>
      <c r="Y84" s="677">
        <f t="shared" si="42"/>
        <v>0</v>
      </c>
      <c r="Z84" s="678">
        <f t="shared" si="43"/>
        <v>0</v>
      </c>
      <c r="AA84" s="679">
        <f t="shared" si="44"/>
        <v>0</v>
      </c>
      <c r="AB84" s="675"/>
      <c r="AC84" s="676">
        <f t="shared" si="10"/>
        <v>0</v>
      </c>
      <c r="AD84" s="677">
        <f t="shared" si="11"/>
        <v>0</v>
      </c>
      <c r="AE84" s="677">
        <f t="shared" si="45"/>
        <v>0</v>
      </c>
      <c r="AF84" s="678">
        <f t="shared" si="46"/>
        <v>0</v>
      </c>
      <c r="AG84" s="679">
        <f t="shared" si="47"/>
        <v>0</v>
      </c>
      <c r="AH84" s="675"/>
      <c r="AI84" s="676">
        <f t="shared" si="12"/>
        <v>0</v>
      </c>
      <c r="AJ84" s="677">
        <f t="shared" si="13"/>
        <v>0</v>
      </c>
      <c r="AK84" s="677">
        <f t="shared" si="48"/>
        <v>0</v>
      </c>
      <c r="AL84" s="678">
        <f t="shared" si="49"/>
        <v>0</v>
      </c>
      <c r="AM84" s="679">
        <f t="shared" si="50"/>
        <v>0</v>
      </c>
      <c r="AN84" s="675"/>
      <c r="AO84" s="676">
        <f t="shared" si="14"/>
        <v>0</v>
      </c>
      <c r="AP84" s="677">
        <f t="shared" si="15"/>
        <v>0</v>
      </c>
      <c r="AQ84" s="677">
        <f t="shared" si="51"/>
        <v>0</v>
      </c>
      <c r="AR84" s="678">
        <f t="shared" si="52"/>
        <v>0</v>
      </c>
      <c r="AS84" s="679">
        <f t="shared" si="53"/>
        <v>0</v>
      </c>
      <c r="AT84" s="675"/>
      <c r="AU84" s="676">
        <f t="shared" si="16"/>
        <v>0</v>
      </c>
      <c r="AV84" s="677">
        <f t="shared" si="17"/>
        <v>0</v>
      </c>
      <c r="AW84" s="677">
        <f t="shared" si="54"/>
        <v>0</v>
      </c>
      <c r="AX84" s="678">
        <f t="shared" si="55"/>
        <v>0</v>
      </c>
      <c r="AY84" s="679">
        <f t="shared" si="56"/>
        <v>0</v>
      </c>
      <c r="AZ84" s="675"/>
      <c r="BA84" s="676">
        <f t="shared" si="18"/>
        <v>0</v>
      </c>
      <c r="BB84" s="677">
        <f t="shared" si="19"/>
        <v>0</v>
      </c>
      <c r="BC84" s="677">
        <f t="shared" si="57"/>
        <v>0</v>
      </c>
      <c r="BD84" s="678">
        <f t="shared" si="58"/>
        <v>0</v>
      </c>
      <c r="BE84" s="679">
        <f t="shared" si="59"/>
        <v>0</v>
      </c>
      <c r="BF84" s="675"/>
      <c r="BG84" s="676">
        <f t="shared" si="20"/>
        <v>0</v>
      </c>
      <c r="BH84" s="677">
        <f t="shared" si="21"/>
        <v>0</v>
      </c>
      <c r="BI84" s="677">
        <f t="shared" si="60"/>
        <v>0</v>
      </c>
      <c r="BJ84" s="678">
        <f t="shared" si="61"/>
        <v>0</v>
      </c>
      <c r="BK84" s="679">
        <f t="shared" si="62"/>
        <v>0</v>
      </c>
      <c r="BL84" s="675"/>
      <c r="BM84" s="676">
        <f t="shared" si="22"/>
        <v>0</v>
      </c>
      <c r="BN84" s="677">
        <f t="shared" si="23"/>
        <v>0</v>
      </c>
      <c r="BO84" s="677">
        <f t="shared" si="63"/>
        <v>0</v>
      </c>
      <c r="BP84" s="678">
        <f t="shared" si="64"/>
        <v>0</v>
      </c>
      <c r="BQ84" s="679">
        <f t="shared" si="65"/>
        <v>0</v>
      </c>
      <c r="BR84" s="675"/>
      <c r="BS84" s="676">
        <f t="shared" si="24"/>
        <v>0</v>
      </c>
      <c r="BT84" s="677">
        <f t="shared" si="25"/>
        <v>0</v>
      </c>
      <c r="BU84" s="677">
        <f t="shared" si="66"/>
        <v>0</v>
      </c>
      <c r="BV84" s="678">
        <f t="shared" si="67"/>
        <v>0</v>
      </c>
      <c r="BW84" s="679">
        <f t="shared" si="68"/>
        <v>0</v>
      </c>
      <c r="BX84" s="675"/>
      <c r="BY84" s="676">
        <f t="shared" si="26"/>
        <v>0</v>
      </c>
      <c r="BZ84" s="677">
        <f t="shared" si="27"/>
        <v>0</v>
      </c>
      <c r="CA84" s="677">
        <f t="shared" si="69"/>
        <v>0</v>
      </c>
      <c r="CB84" s="678">
        <f t="shared" si="70"/>
        <v>0</v>
      </c>
      <c r="CC84" s="679">
        <f t="shared" si="71"/>
        <v>0</v>
      </c>
      <c r="CD84" s="675"/>
      <c r="CE84" s="676">
        <f t="shared" si="28"/>
        <v>0</v>
      </c>
      <c r="CF84" s="677">
        <f t="shared" si="29"/>
        <v>0</v>
      </c>
      <c r="CG84" s="677">
        <f t="shared" si="72"/>
        <v>0</v>
      </c>
      <c r="CH84" s="678">
        <f t="shared" si="73"/>
        <v>0</v>
      </c>
      <c r="CI84" s="679">
        <f t="shared" si="74"/>
        <v>0</v>
      </c>
      <c r="CJ84" s="675"/>
      <c r="CK84" s="676">
        <f t="shared" si="30"/>
        <v>0</v>
      </c>
      <c r="CL84" s="677">
        <f t="shared" si="31"/>
        <v>0</v>
      </c>
      <c r="CM84" s="677">
        <f t="shared" si="75"/>
        <v>0</v>
      </c>
      <c r="CN84" s="678">
        <f t="shared" si="76"/>
        <v>0</v>
      </c>
      <c r="CO84" s="679">
        <f t="shared" si="77"/>
        <v>0</v>
      </c>
      <c r="CP84" s="675"/>
      <c r="CQ84" s="676">
        <f t="shared" si="32"/>
        <v>0</v>
      </c>
      <c r="CR84" s="677">
        <f t="shared" si="33"/>
        <v>0</v>
      </c>
      <c r="CS84" s="677">
        <f t="shared" si="78"/>
        <v>0</v>
      </c>
      <c r="CT84" s="678">
        <f t="shared" si="79"/>
        <v>0</v>
      </c>
      <c r="CU84" s="679">
        <f t="shared" si="80"/>
        <v>0</v>
      </c>
      <c r="CV84" s="685"/>
      <c r="CW84" s="681"/>
      <c r="CX84" s="682"/>
      <c r="CY84" s="682"/>
      <c r="CZ84" s="683"/>
      <c r="DA84" s="684"/>
      <c r="DB84" s="685"/>
      <c r="DC84" s="681"/>
      <c r="DD84" s="682"/>
      <c r="DE84" s="682"/>
      <c r="DF84" s="683"/>
      <c r="DG84" s="684"/>
      <c r="DH84" s="685"/>
      <c r="DI84" s="681"/>
      <c r="DJ84" s="682"/>
      <c r="DK84" s="682"/>
      <c r="DL84" s="683"/>
      <c r="DM84" s="684"/>
      <c r="DN84" s="685"/>
      <c r="DO84" s="681"/>
      <c r="DP84" s="682"/>
      <c r="DQ84" s="682"/>
      <c r="DR84" s="683"/>
      <c r="DS84" s="684"/>
      <c r="DT84" s="675"/>
      <c r="DU84" s="676">
        <f t="shared" si="34"/>
        <v>0</v>
      </c>
      <c r="DV84" s="677">
        <f t="shared" si="35"/>
        <v>0</v>
      </c>
      <c r="DW84" s="677">
        <f t="shared" si="81"/>
        <v>0</v>
      </c>
      <c r="DX84" s="678">
        <f t="shared" si="82"/>
        <v>0</v>
      </c>
      <c r="DY84" s="679">
        <f t="shared" si="83"/>
        <v>0</v>
      </c>
      <c r="DZ84" s="680"/>
      <c r="EA84" s="681"/>
      <c r="EB84" s="682"/>
      <c r="EC84" s="682"/>
      <c r="ED84" s="683"/>
      <c r="EE84" s="684"/>
      <c r="EF84" s="680"/>
      <c r="EG84" s="681"/>
      <c r="EH84" s="682"/>
      <c r="EI84" s="682"/>
      <c r="EJ84" s="683"/>
      <c r="EK84" s="684"/>
      <c r="EL84" s="680"/>
      <c r="EM84" s="681"/>
      <c r="EN84" s="682"/>
      <c r="EO84" s="682"/>
      <c r="EP84" s="683"/>
      <c r="EQ84" s="684"/>
      <c r="ER84" s="680"/>
      <c r="ES84" s="681"/>
      <c r="ET84" s="682"/>
      <c r="EU84" s="682"/>
      <c r="EV84" s="683"/>
      <c r="EW84" s="684"/>
      <c r="EX84" s="675"/>
      <c r="EY84" s="676">
        <f t="shared" si="36"/>
        <v>0</v>
      </c>
      <c r="EZ84" s="677">
        <f t="shared" si="37"/>
        <v>0</v>
      </c>
      <c r="FA84" s="677">
        <f t="shared" si="84"/>
        <v>0</v>
      </c>
      <c r="FB84" s="678">
        <f t="shared" si="85"/>
        <v>0</v>
      </c>
      <c r="FC84" s="679">
        <f t="shared" si="86"/>
        <v>0</v>
      </c>
      <c r="FD84" s="680"/>
      <c r="FE84" s="681"/>
      <c r="FF84" s="682"/>
      <c r="FG84" s="682"/>
      <c r="FH84" s="683"/>
      <c r="FI84" s="684"/>
      <c r="FJ84" s="680"/>
      <c r="FK84" s="681"/>
      <c r="FL84" s="682"/>
      <c r="FM84" s="682"/>
      <c r="FN84" s="683"/>
      <c r="FO84" s="684"/>
      <c r="FP84" s="680"/>
      <c r="FQ84" s="681"/>
      <c r="FR84" s="682"/>
      <c r="FS84" s="682"/>
      <c r="FT84" s="683"/>
      <c r="FU84" s="684"/>
      <c r="FV84" s="680"/>
      <c r="FW84" s="681"/>
      <c r="FX84" s="682"/>
      <c r="FY84" s="682"/>
      <c r="FZ84" s="683"/>
      <c r="GA84" s="684"/>
      <c r="GB84" s="675"/>
      <c r="GC84" s="676">
        <f t="shared" si="38"/>
        <v>0</v>
      </c>
      <c r="GD84" s="677">
        <f t="shared" si="39"/>
        <v>0</v>
      </c>
      <c r="GE84" s="677">
        <f t="shared" si="87"/>
        <v>0</v>
      </c>
      <c r="GF84" s="678">
        <f t="shared" si="88"/>
        <v>0</v>
      </c>
      <c r="GG84" s="679">
        <f t="shared" si="89"/>
        <v>0</v>
      </c>
      <c r="GH84" s="680"/>
      <c r="GI84" s="681"/>
      <c r="GJ84" s="682"/>
      <c r="GK84" s="682"/>
      <c r="GL84" s="683"/>
      <c r="GM84" s="684"/>
      <c r="GN84" s="680"/>
      <c r="GO84" s="681"/>
      <c r="GP84" s="682"/>
      <c r="GQ84" s="682"/>
      <c r="GR84" s="683"/>
      <c r="GS84" s="684"/>
      <c r="GT84" s="680"/>
      <c r="GU84" s="681"/>
      <c r="GV84" s="682"/>
      <c r="GW84" s="682"/>
      <c r="GX84" s="683"/>
      <c r="GY84" s="684"/>
      <c r="GZ84" s="680"/>
      <c r="HA84" s="147"/>
      <c r="HB84" s="148"/>
      <c r="HC84" s="148"/>
      <c r="HD84" s="149"/>
      <c r="HE84" s="150"/>
      <c r="HF84" s="506"/>
      <c r="HG84" s="502"/>
      <c r="HH84" s="502"/>
      <c r="HI84" s="502"/>
      <c r="HJ84" s="8"/>
    </row>
    <row r="85" spans="2:218" ht="21" hidden="1">
      <c r="B85" s="488">
        <v>41</v>
      </c>
      <c r="C85" s="489" t="s">
        <v>399</v>
      </c>
      <c r="D85" s="490" t="s">
        <v>185</v>
      </c>
      <c r="E85" s="491" t="s">
        <v>186</v>
      </c>
      <c r="F85" s="492"/>
      <c r="G85" s="493"/>
      <c r="H85" s="146" t="s">
        <v>97</v>
      </c>
      <c r="I85" s="494" t="str">
        <f t="shared" si="4"/>
        <v>n.v.t.</v>
      </c>
      <c r="J85" s="495"/>
      <c r="K85" s="151">
        <v>0</v>
      </c>
      <c r="L85" s="256"/>
      <c r="M85" s="256">
        <f>IF($C$5&lt;3000,(Bron!H74*$C$5)+Bron!I74,(Bron!M74*$C$5)+Bron!N74)</f>
        <v>0</v>
      </c>
      <c r="N85" s="496">
        <f t="shared" si="41"/>
        <v>0</v>
      </c>
      <c r="O85" s="497" t="str">
        <f t="shared" si="5"/>
        <v/>
      </c>
      <c r="P85" s="257">
        <f>IF($C$5&lt;3000,$AN$32*Bron!J74,$AN$32*Bron!O74)</f>
        <v>0</v>
      </c>
      <c r="Q85" s="257">
        <f>IF($C$5&lt;3000,$AN$31*Bron!K74,$AN$31*Bron!P74)</f>
        <v>0</v>
      </c>
      <c r="R85" s="257">
        <f>IF($C$5&lt;3000,$AN$33*Bron!J74,$AN$33*Bron!O74)</f>
        <v>0</v>
      </c>
      <c r="S85" s="344"/>
      <c r="T85" s="258">
        <f t="shared" si="6"/>
        <v>0</v>
      </c>
      <c r="U85" s="259">
        <f t="shared" si="7"/>
        <v>0</v>
      </c>
      <c r="V85" s="675"/>
      <c r="W85" s="676">
        <f t="shared" si="8"/>
        <v>0</v>
      </c>
      <c r="X85" s="677">
        <f t="shared" si="9"/>
        <v>0</v>
      </c>
      <c r="Y85" s="677">
        <f t="shared" si="42"/>
        <v>0</v>
      </c>
      <c r="Z85" s="678">
        <f t="shared" si="43"/>
        <v>0</v>
      </c>
      <c r="AA85" s="679">
        <f t="shared" si="44"/>
        <v>0</v>
      </c>
      <c r="AB85" s="675"/>
      <c r="AC85" s="676">
        <f t="shared" si="10"/>
        <v>0</v>
      </c>
      <c r="AD85" s="677">
        <f t="shared" si="11"/>
        <v>0</v>
      </c>
      <c r="AE85" s="677">
        <f t="shared" si="45"/>
        <v>0</v>
      </c>
      <c r="AF85" s="678">
        <f t="shared" si="46"/>
        <v>0</v>
      </c>
      <c r="AG85" s="679">
        <f t="shared" si="47"/>
        <v>0</v>
      </c>
      <c r="AH85" s="675"/>
      <c r="AI85" s="676">
        <f t="shared" si="12"/>
        <v>0</v>
      </c>
      <c r="AJ85" s="677">
        <f t="shared" si="13"/>
        <v>0</v>
      </c>
      <c r="AK85" s="677">
        <f t="shared" si="48"/>
        <v>0</v>
      </c>
      <c r="AL85" s="678">
        <f t="shared" si="49"/>
        <v>0</v>
      </c>
      <c r="AM85" s="679">
        <f t="shared" si="50"/>
        <v>0</v>
      </c>
      <c r="AN85" s="675"/>
      <c r="AO85" s="676">
        <f t="shared" si="14"/>
        <v>0</v>
      </c>
      <c r="AP85" s="677">
        <f t="shared" si="15"/>
        <v>0</v>
      </c>
      <c r="AQ85" s="677">
        <f t="shared" si="51"/>
        <v>0</v>
      </c>
      <c r="AR85" s="678">
        <f t="shared" si="52"/>
        <v>0</v>
      </c>
      <c r="AS85" s="679">
        <f t="shared" si="53"/>
        <v>0</v>
      </c>
      <c r="AT85" s="675"/>
      <c r="AU85" s="676">
        <f t="shared" si="16"/>
        <v>0</v>
      </c>
      <c r="AV85" s="677">
        <f t="shared" si="17"/>
        <v>0</v>
      </c>
      <c r="AW85" s="677">
        <f t="shared" si="54"/>
        <v>0</v>
      </c>
      <c r="AX85" s="678">
        <f t="shared" si="55"/>
        <v>0</v>
      </c>
      <c r="AY85" s="679">
        <f t="shared" si="56"/>
        <v>0</v>
      </c>
      <c r="AZ85" s="675"/>
      <c r="BA85" s="676">
        <f t="shared" si="18"/>
        <v>0</v>
      </c>
      <c r="BB85" s="677">
        <f t="shared" si="19"/>
        <v>0</v>
      </c>
      <c r="BC85" s="677">
        <f t="shared" si="57"/>
        <v>0</v>
      </c>
      <c r="BD85" s="678">
        <f t="shared" si="58"/>
        <v>0</v>
      </c>
      <c r="BE85" s="679">
        <f t="shared" si="59"/>
        <v>0</v>
      </c>
      <c r="BF85" s="675"/>
      <c r="BG85" s="676">
        <f t="shared" si="20"/>
        <v>0</v>
      </c>
      <c r="BH85" s="677">
        <f t="shared" si="21"/>
        <v>0</v>
      </c>
      <c r="BI85" s="677">
        <f t="shared" si="60"/>
        <v>0</v>
      </c>
      <c r="BJ85" s="678">
        <f t="shared" si="61"/>
        <v>0</v>
      </c>
      <c r="BK85" s="679">
        <f t="shared" si="62"/>
        <v>0</v>
      </c>
      <c r="BL85" s="675"/>
      <c r="BM85" s="676">
        <f t="shared" si="22"/>
        <v>0</v>
      </c>
      <c r="BN85" s="677">
        <f t="shared" si="23"/>
        <v>0</v>
      </c>
      <c r="BO85" s="677">
        <f t="shared" si="63"/>
        <v>0</v>
      </c>
      <c r="BP85" s="678">
        <f t="shared" si="64"/>
        <v>0</v>
      </c>
      <c r="BQ85" s="679">
        <f t="shared" si="65"/>
        <v>0</v>
      </c>
      <c r="BR85" s="675"/>
      <c r="BS85" s="676">
        <f t="shared" si="24"/>
        <v>0</v>
      </c>
      <c r="BT85" s="677">
        <f t="shared" si="25"/>
        <v>0</v>
      </c>
      <c r="BU85" s="677">
        <f t="shared" si="66"/>
        <v>0</v>
      </c>
      <c r="BV85" s="678">
        <f t="shared" si="67"/>
        <v>0</v>
      </c>
      <c r="BW85" s="679">
        <f t="shared" si="68"/>
        <v>0</v>
      </c>
      <c r="BX85" s="675"/>
      <c r="BY85" s="676">
        <f t="shared" si="26"/>
        <v>0</v>
      </c>
      <c r="BZ85" s="677">
        <f t="shared" si="27"/>
        <v>0</v>
      </c>
      <c r="CA85" s="677">
        <f t="shared" si="69"/>
        <v>0</v>
      </c>
      <c r="CB85" s="678">
        <f t="shared" si="70"/>
        <v>0</v>
      </c>
      <c r="CC85" s="679">
        <f t="shared" si="71"/>
        <v>0</v>
      </c>
      <c r="CD85" s="675"/>
      <c r="CE85" s="676">
        <f t="shared" si="28"/>
        <v>0</v>
      </c>
      <c r="CF85" s="677">
        <f t="shared" si="29"/>
        <v>0</v>
      </c>
      <c r="CG85" s="677">
        <f t="shared" si="72"/>
        <v>0</v>
      </c>
      <c r="CH85" s="678">
        <f t="shared" si="73"/>
        <v>0</v>
      </c>
      <c r="CI85" s="679">
        <f t="shared" si="74"/>
        <v>0</v>
      </c>
      <c r="CJ85" s="675"/>
      <c r="CK85" s="676">
        <f t="shared" si="30"/>
        <v>0</v>
      </c>
      <c r="CL85" s="677">
        <f t="shared" si="31"/>
        <v>0</v>
      </c>
      <c r="CM85" s="677">
        <f t="shared" si="75"/>
        <v>0</v>
      </c>
      <c r="CN85" s="678">
        <f t="shared" si="76"/>
        <v>0</v>
      </c>
      <c r="CO85" s="679">
        <f t="shared" si="77"/>
        <v>0</v>
      </c>
      <c r="CP85" s="675"/>
      <c r="CQ85" s="676">
        <f t="shared" si="32"/>
        <v>0</v>
      </c>
      <c r="CR85" s="677">
        <f t="shared" si="33"/>
        <v>0</v>
      </c>
      <c r="CS85" s="677">
        <f t="shared" si="78"/>
        <v>0</v>
      </c>
      <c r="CT85" s="678">
        <f t="shared" si="79"/>
        <v>0</v>
      </c>
      <c r="CU85" s="679">
        <f t="shared" si="80"/>
        <v>0</v>
      </c>
      <c r="CV85" s="685"/>
      <c r="CW85" s="681"/>
      <c r="CX85" s="682"/>
      <c r="CY85" s="682"/>
      <c r="CZ85" s="683"/>
      <c r="DA85" s="684"/>
      <c r="DB85" s="685"/>
      <c r="DC85" s="681"/>
      <c r="DD85" s="682"/>
      <c r="DE85" s="682"/>
      <c r="DF85" s="683"/>
      <c r="DG85" s="684"/>
      <c r="DH85" s="685"/>
      <c r="DI85" s="681"/>
      <c r="DJ85" s="682"/>
      <c r="DK85" s="682"/>
      <c r="DL85" s="683"/>
      <c r="DM85" s="684"/>
      <c r="DN85" s="685"/>
      <c r="DO85" s="681"/>
      <c r="DP85" s="682"/>
      <c r="DQ85" s="682"/>
      <c r="DR85" s="683"/>
      <c r="DS85" s="684"/>
      <c r="DT85" s="675"/>
      <c r="DU85" s="676">
        <f t="shared" si="34"/>
        <v>0</v>
      </c>
      <c r="DV85" s="677">
        <f t="shared" si="35"/>
        <v>0</v>
      </c>
      <c r="DW85" s="677">
        <f t="shared" si="81"/>
        <v>0</v>
      </c>
      <c r="DX85" s="678">
        <f t="shared" si="82"/>
        <v>0</v>
      </c>
      <c r="DY85" s="679">
        <f t="shared" si="83"/>
        <v>0</v>
      </c>
      <c r="DZ85" s="680"/>
      <c r="EA85" s="681"/>
      <c r="EB85" s="682"/>
      <c r="EC85" s="682"/>
      <c r="ED85" s="683"/>
      <c r="EE85" s="684"/>
      <c r="EF85" s="680"/>
      <c r="EG85" s="681"/>
      <c r="EH85" s="682"/>
      <c r="EI85" s="682"/>
      <c r="EJ85" s="683"/>
      <c r="EK85" s="684"/>
      <c r="EL85" s="680"/>
      <c r="EM85" s="681"/>
      <c r="EN85" s="682"/>
      <c r="EO85" s="682"/>
      <c r="EP85" s="683"/>
      <c r="EQ85" s="684"/>
      <c r="ER85" s="680"/>
      <c r="ES85" s="681"/>
      <c r="ET85" s="682"/>
      <c r="EU85" s="682"/>
      <c r="EV85" s="683"/>
      <c r="EW85" s="684"/>
      <c r="EX85" s="675"/>
      <c r="EY85" s="676">
        <f t="shared" si="36"/>
        <v>0</v>
      </c>
      <c r="EZ85" s="677">
        <f t="shared" si="37"/>
        <v>0</v>
      </c>
      <c r="FA85" s="677">
        <f t="shared" si="84"/>
        <v>0</v>
      </c>
      <c r="FB85" s="678">
        <f t="shared" si="85"/>
        <v>0</v>
      </c>
      <c r="FC85" s="679">
        <f t="shared" si="86"/>
        <v>0</v>
      </c>
      <c r="FD85" s="680"/>
      <c r="FE85" s="681"/>
      <c r="FF85" s="682"/>
      <c r="FG85" s="682"/>
      <c r="FH85" s="683"/>
      <c r="FI85" s="684"/>
      <c r="FJ85" s="680"/>
      <c r="FK85" s="681"/>
      <c r="FL85" s="682"/>
      <c r="FM85" s="682"/>
      <c r="FN85" s="683"/>
      <c r="FO85" s="684"/>
      <c r="FP85" s="680"/>
      <c r="FQ85" s="681"/>
      <c r="FR85" s="682"/>
      <c r="FS85" s="682"/>
      <c r="FT85" s="683"/>
      <c r="FU85" s="684"/>
      <c r="FV85" s="680"/>
      <c r="FW85" s="681"/>
      <c r="FX85" s="682"/>
      <c r="FY85" s="682"/>
      <c r="FZ85" s="683"/>
      <c r="GA85" s="684"/>
      <c r="GB85" s="675"/>
      <c r="GC85" s="676">
        <f t="shared" si="38"/>
        <v>0</v>
      </c>
      <c r="GD85" s="677">
        <f t="shared" si="39"/>
        <v>0</v>
      </c>
      <c r="GE85" s="677">
        <f t="shared" si="87"/>
        <v>0</v>
      </c>
      <c r="GF85" s="678">
        <f t="shared" si="88"/>
        <v>0</v>
      </c>
      <c r="GG85" s="679">
        <f t="shared" si="89"/>
        <v>0</v>
      </c>
      <c r="GH85" s="680"/>
      <c r="GI85" s="681"/>
      <c r="GJ85" s="682"/>
      <c r="GK85" s="682"/>
      <c r="GL85" s="683"/>
      <c r="GM85" s="684"/>
      <c r="GN85" s="680"/>
      <c r="GO85" s="681"/>
      <c r="GP85" s="682"/>
      <c r="GQ85" s="682"/>
      <c r="GR85" s="683"/>
      <c r="GS85" s="684"/>
      <c r="GT85" s="680"/>
      <c r="GU85" s="681"/>
      <c r="GV85" s="682"/>
      <c r="GW85" s="682"/>
      <c r="GX85" s="683"/>
      <c r="GY85" s="684"/>
      <c r="GZ85" s="680"/>
      <c r="HA85" s="147"/>
      <c r="HB85" s="148"/>
      <c r="HC85" s="148"/>
      <c r="HD85" s="149"/>
      <c r="HE85" s="150"/>
      <c r="HF85" s="506"/>
      <c r="HG85" s="502"/>
      <c r="HH85" s="502"/>
      <c r="HI85" s="502"/>
      <c r="HJ85" s="8"/>
    </row>
    <row r="86" spans="2:218" ht="21" hidden="1">
      <c r="B86" s="488">
        <v>42</v>
      </c>
      <c r="C86" s="489" t="s">
        <v>399</v>
      </c>
      <c r="D86" s="490" t="s">
        <v>187</v>
      </c>
      <c r="E86" s="491" t="s">
        <v>188</v>
      </c>
      <c r="F86" s="492"/>
      <c r="G86" s="493"/>
      <c r="H86" s="146" t="s">
        <v>97</v>
      </c>
      <c r="I86" s="494" t="str">
        <f t="shared" si="4"/>
        <v>n.v.t.</v>
      </c>
      <c r="J86" s="495"/>
      <c r="K86" s="151">
        <v>0</v>
      </c>
      <c r="L86" s="256"/>
      <c r="M86" s="256">
        <f>IF($C$5&lt;3000,(Bron!H75*$C$5)+Bron!I75,(Bron!M75*$C$5)+Bron!N75)</f>
        <v>0</v>
      </c>
      <c r="N86" s="496">
        <f t="shared" si="41"/>
        <v>0</v>
      </c>
      <c r="O86" s="497" t="str">
        <f t="shared" si="5"/>
        <v/>
      </c>
      <c r="P86" s="257">
        <f>IF($C$5&lt;3000,$AN$32*Bron!J75,$AN$32*Bron!O75)</f>
        <v>0</v>
      </c>
      <c r="Q86" s="257">
        <f>IF($C$5&lt;3000,$AN$31*Bron!K75,$AN$31*Bron!P75)</f>
        <v>0</v>
      </c>
      <c r="R86" s="257">
        <f>IF($C$5&lt;3000,$AN$33*Bron!J75,$AN$33*Bron!O75)</f>
        <v>0</v>
      </c>
      <c r="S86" s="344"/>
      <c r="T86" s="258">
        <f t="shared" si="6"/>
        <v>0</v>
      </c>
      <c r="U86" s="259">
        <f t="shared" si="7"/>
        <v>0</v>
      </c>
      <c r="V86" s="675"/>
      <c r="W86" s="676">
        <f t="shared" si="8"/>
        <v>0</v>
      </c>
      <c r="X86" s="677">
        <f t="shared" si="9"/>
        <v>0</v>
      </c>
      <c r="Y86" s="677">
        <f t="shared" si="42"/>
        <v>0</v>
      </c>
      <c r="Z86" s="678">
        <f t="shared" si="43"/>
        <v>0</v>
      </c>
      <c r="AA86" s="679">
        <f t="shared" si="44"/>
        <v>0</v>
      </c>
      <c r="AB86" s="675"/>
      <c r="AC86" s="676">
        <f t="shared" si="10"/>
        <v>0</v>
      </c>
      <c r="AD86" s="677">
        <f t="shared" si="11"/>
        <v>0</v>
      </c>
      <c r="AE86" s="677">
        <f t="shared" si="45"/>
        <v>0</v>
      </c>
      <c r="AF86" s="678">
        <f t="shared" si="46"/>
        <v>0</v>
      </c>
      <c r="AG86" s="679">
        <f t="shared" si="47"/>
        <v>0</v>
      </c>
      <c r="AH86" s="675"/>
      <c r="AI86" s="676">
        <f t="shared" si="12"/>
        <v>0</v>
      </c>
      <c r="AJ86" s="677">
        <f t="shared" si="13"/>
        <v>0</v>
      </c>
      <c r="AK86" s="677">
        <f t="shared" si="48"/>
        <v>0</v>
      </c>
      <c r="AL86" s="678">
        <f t="shared" si="49"/>
        <v>0</v>
      </c>
      <c r="AM86" s="679">
        <f t="shared" si="50"/>
        <v>0</v>
      </c>
      <c r="AN86" s="675"/>
      <c r="AO86" s="676">
        <f t="shared" si="14"/>
        <v>0</v>
      </c>
      <c r="AP86" s="677">
        <f t="shared" si="15"/>
        <v>0</v>
      </c>
      <c r="AQ86" s="677">
        <f t="shared" si="51"/>
        <v>0</v>
      </c>
      <c r="AR86" s="678">
        <f t="shared" si="52"/>
        <v>0</v>
      </c>
      <c r="AS86" s="679">
        <f t="shared" si="53"/>
        <v>0</v>
      </c>
      <c r="AT86" s="675"/>
      <c r="AU86" s="676">
        <f t="shared" si="16"/>
        <v>0</v>
      </c>
      <c r="AV86" s="677">
        <f t="shared" si="17"/>
        <v>0</v>
      </c>
      <c r="AW86" s="677">
        <f t="shared" si="54"/>
        <v>0</v>
      </c>
      <c r="AX86" s="678">
        <f t="shared" si="55"/>
        <v>0</v>
      </c>
      <c r="AY86" s="679">
        <f t="shared" si="56"/>
        <v>0</v>
      </c>
      <c r="AZ86" s="675"/>
      <c r="BA86" s="676">
        <f t="shared" si="18"/>
        <v>0</v>
      </c>
      <c r="BB86" s="677">
        <f t="shared" si="19"/>
        <v>0</v>
      </c>
      <c r="BC86" s="677">
        <f t="shared" si="57"/>
        <v>0</v>
      </c>
      <c r="BD86" s="678">
        <f t="shared" si="58"/>
        <v>0</v>
      </c>
      <c r="BE86" s="679">
        <f t="shared" si="59"/>
        <v>0</v>
      </c>
      <c r="BF86" s="675"/>
      <c r="BG86" s="676">
        <f t="shared" si="20"/>
        <v>0</v>
      </c>
      <c r="BH86" s="677">
        <f t="shared" si="21"/>
        <v>0</v>
      </c>
      <c r="BI86" s="677">
        <f t="shared" si="60"/>
        <v>0</v>
      </c>
      <c r="BJ86" s="678">
        <f t="shared" si="61"/>
        <v>0</v>
      </c>
      <c r="BK86" s="679">
        <f t="shared" si="62"/>
        <v>0</v>
      </c>
      <c r="BL86" s="675"/>
      <c r="BM86" s="676">
        <f t="shared" si="22"/>
        <v>0</v>
      </c>
      <c r="BN86" s="677">
        <f t="shared" si="23"/>
        <v>0</v>
      </c>
      <c r="BO86" s="677">
        <f t="shared" si="63"/>
        <v>0</v>
      </c>
      <c r="BP86" s="678">
        <f t="shared" si="64"/>
        <v>0</v>
      </c>
      <c r="BQ86" s="679">
        <f t="shared" si="65"/>
        <v>0</v>
      </c>
      <c r="BR86" s="675"/>
      <c r="BS86" s="676">
        <f t="shared" si="24"/>
        <v>0</v>
      </c>
      <c r="BT86" s="677">
        <f t="shared" si="25"/>
        <v>0</v>
      </c>
      <c r="BU86" s="677">
        <f t="shared" si="66"/>
        <v>0</v>
      </c>
      <c r="BV86" s="678">
        <f t="shared" si="67"/>
        <v>0</v>
      </c>
      <c r="BW86" s="679">
        <f t="shared" si="68"/>
        <v>0</v>
      </c>
      <c r="BX86" s="675"/>
      <c r="BY86" s="676">
        <f t="shared" si="26"/>
        <v>0</v>
      </c>
      <c r="BZ86" s="677">
        <f t="shared" si="27"/>
        <v>0</v>
      </c>
      <c r="CA86" s="677">
        <f t="shared" si="69"/>
        <v>0</v>
      </c>
      <c r="CB86" s="678">
        <f t="shared" si="70"/>
        <v>0</v>
      </c>
      <c r="CC86" s="679">
        <f t="shared" si="71"/>
        <v>0</v>
      </c>
      <c r="CD86" s="675"/>
      <c r="CE86" s="676">
        <f t="shared" si="28"/>
        <v>0</v>
      </c>
      <c r="CF86" s="677">
        <f t="shared" si="29"/>
        <v>0</v>
      </c>
      <c r="CG86" s="677">
        <f t="shared" si="72"/>
        <v>0</v>
      </c>
      <c r="CH86" s="678">
        <f t="shared" si="73"/>
        <v>0</v>
      </c>
      <c r="CI86" s="679">
        <f t="shared" si="74"/>
        <v>0</v>
      </c>
      <c r="CJ86" s="675"/>
      <c r="CK86" s="676">
        <f t="shared" si="30"/>
        <v>0</v>
      </c>
      <c r="CL86" s="677">
        <f t="shared" si="31"/>
        <v>0</v>
      </c>
      <c r="CM86" s="677">
        <f t="shared" si="75"/>
        <v>0</v>
      </c>
      <c r="CN86" s="678">
        <f t="shared" si="76"/>
        <v>0</v>
      </c>
      <c r="CO86" s="679">
        <f t="shared" si="77"/>
        <v>0</v>
      </c>
      <c r="CP86" s="675"/>
      <c r="CQ86" s="676">
        <f t="shared" si="32"/>
        <v>0</v>
      </c>
      <c r="CR86" s="677">
        <f t="shared" si="33"/>
        <v>0</v>
      </c>
      <c r="CS86" s="677">
        <f t="shared" si="78"/>
        <v>0</v>
      </c>
      <c r="CT86" s="678">
        <f t="shared" si="79"/>
        <v>0</v>
      </c>
      <c r="CU86" s="679">
        <f t="shared" si="80"/>
        <v>0</v>
      </c>
      <c r="CV86" s="685"/>
      <c r="CW86" s="681"/>
      <c r="CX86" s="682"/>
      <c r="CY86" s="682"/>
      <c r="CZ86" s="683"/>
      <c r="DA86" s="684"/>
      <c r="DB86" s="685"/>
      <c r="DC86" s="681"/>
      <c r="DD86" s="682"/>
      <c r="DE86" s="682"/>
      <c r="DF86" s="683"/>
      <c r="DG86" s="684"/>
      <c r="DH86" s="685"/>
      <c r="DI86" s="681"/>
      <c r="DJ86" s="682"/>
      <c r="DK86" s="682"/>
      <c r="DL86" s="683"/>
      <c r="DM86" s="684"/>
      <c r="DN86" s="685"/>
      <c r="DO86" s="681"/>
      <c r="DP86" s="682"/>
      <c r="DQ86" s="682"/>
      <c r="DR86" s="683"/>
      <c r="DS86" s="684"/>
      <c r="DT86" s="675"/>
      <c r="DU86" s="676">
        <f t="shared" si="34"/>
        <v>0</v>
      </c>
      <c r="DV86" s="677">
        <f t="shared" si="35"/>
        <v>0</v>
      </c>
      <c r="DW86" s="677">
        <f t="shared" si="81"/>
        <v>0</v>
      </c>
      <c r="DX86" s="678">
        <f t="shared" si="82"/>
        <v>0</v>
      </c>
      <c r="DY86" s="679">
        <f t="shared" si="83"/>
        <v>0</v>
      </c>
      <c r="DZ86" s="680"/>
      <c r="EA86" s="681"/>
      <c r="EB86" s="682"/>
      <c r="EC86" s="682"/>
      <c r="ED86" s="683"/>
      <c r="EE86" s="684"/>
      <c r="EF86" s="680"/>
      <c r="EG86" s="681"/>
      <c r="EH86" s="682"/>
      <c r="EI86" s="682"/>
      <c r="EJ86" s="683"/>
      <c r="EK86" s="684"/>
      <c r="EL86" s="680"/>
      <c r="EM86" s="681"/>
      <c r="EN86" s="682"/>
      <c r="EO86" s="682"/>
      <c r="EP86" s="683"/>
      <c r="EQ86" s="684"/>
      <c r="ER86" s="680"/>
      <c r="ES86" s="681"/>
      <c r="ET86" s="682"/>
      <c r="EU86" s="682"/>
      <c r="EV86" s="683"/>
      <c r="EW86" s="684"/>
      <c r="EX86" s="675"/>
      <c r="EY86" s="676">
        <f t="shared" si="36"/>
        <v>0</v>
      </c>
      <c r="EZ86" s="677">
        <f t="shared" si="37"/>
        <v>0</v>
      </c>
      <c r="FA86" s="677">
        <f t="shared" si="84"/>
        <v>0</v>
      </c>
      <c r="FB86" s="678">
        <f t="shared" si="85"/>
        <v>0</v>
      </c>
      <c r="FC86" s="679">
        <f t="shared" si="86"/>
        <v>0</v>
      </c>
      <c r="FD86" s="680"/>
      <c r="FE86" s="681"/>
      <c r="FF86" s="682"/>
      <c r="FG86" s="682"/>
      <c r="FH86" s="683"/>
      <c r="FI86" s="684"/>
      <c r="FJ86" s="680"/>
      <c r="FK86" s="681"/>
      <c r="FL86" s="682"/>
      <c r="FM86" s="682"/>
      <c r="FN86" s="683"/>
      <c r="FO86" s="684"/>
      <c r="FP86" s="680"/>
      <c r="FQ86" s="681"/>
      <c r="FR86" s="682"/>
      <c r="FS86" s="682"/>
      <c r="FT86" s="683"/>
      <c r="FU86" s="684"/>
      <c r="FV86" s="680"/>
      <c r="FW86" s="681"/>
      <c r="FX86" s="682"/>
      <c r="FY86" s="682"/>
      <c r="FZ86" s="683"/>
      <c r="GA86" s="684"/>
      <c r="GB86" s="675"/>
      <c r="GC86" s="676">
        <f t="shared" si="38"/>
        <v>0</v>
      </c>
      <c r="GD86" s="677">
        <f t="shared" si="39"/>
        <v>0</v>
      </c>
      <c r="GE86" s="677">
        <f t="shared" si="87"/>
        <v>0</v>
      </c>
      <c r="GF86" s="678">
        <f t="shared" si="88"/>
        <v>0</v>
      </c>
      <c r="GG86" s="679">
        <f t="shared" si="89"/>
        <v>0</v>
      </c>
      <c r="GH86" s="680"/>
      <c r="GI86" s="681"/>
      <c r="GJ86" s="682"/>
      <c r="GK86" s="682"/>
      <c r="GL86" s="683"/>
      <c r="GM86" s="684"/>
      <c r="GN86" s="680"/>
      <c r="GO86" s="681"/>
      <c r="GP86" s="682"/>
      <c r="GQ86" s="682"/>
      <c r="GR86" s="683"/>
      <c r="GS86" s="684"/>
      <c r="GT86" s="680"/>
      <c r="GU86" s="681"/>
      <c r="GV86" s="682"/>
      <c r="GW86" s="682"/>
      <c r="GX86" s="683"/>
      <c r="GY86" s="684"/>
      <c r="GZ86" s="680"/>
      <c r="HA86" s="147"/>
      <c r="HB86" s="148"/>
      <c r="HC86" s="148"/>
      <c r="HD86" s="149"/>
      <c r="HE86" s="150"/>
      <c r="HF86" s="506"/>
      <c r="HG86" s="502"/>
      <c r="HH86" s="502"/>
      <c r="HI86" s="502"/>
      <c r="HJ86" s="8"/>
    </row>
    <row r="87" spans="2:218" ht="21" hidden="1">
      <c r="B87" s="488">
        <v>43</v>
      </c>
      <c r="C87" s="489" t="s">
        <v>399</v>
      </c>
      <c r="D87" s="490" t="s">
        <v>189</v>
      </c>
      <c r="E87" s="491" t="s">
        <v>190</v>
      </c>
      <c r="F87" s="492"/>
      <c r="G87" s="493"/>
      <c r="H87" s="146" t="s">
        <v>97</v>
      </c>
      <c r="I87" s="494" t="str">
        <f t="shared" si="4"/>
        <v>n.v.t.</v>
      </c>
      <c r="J87" s="495"/>
      <c r="K87" s="151">
        <v>0</v>
      </c>
      <c r="L87" s="256"/>
      <c r="M87" s="256">
        <f>IF($C$5&lt;3000,(Bron!H76*$C$5)+Bron!I76,(Bron!M76*$C$5)+Bron!N76)</f>
        <v>0</v>
      </c>
      <c r="N87" s="496">
        <f t="shared" si="41"/>
        <v>0</v>
      </c>
      <c r="O87" s="497" t="str">
        <f t="shared" si="5"/>
        <v/>
      </c>
      <c r="P87" s="257">
        <f>IF($C$5&lt;3000,$AN$32*Bron!J76,$AN$32*Bron!O76)</f>
        <v>0</v>
      </c>
      <c r="Q87" s="257">
        <f>IF($C$5&lt;3000,$AN$31*Bron!K76,$AN$31*Bron!P76)</f>
        <v>0</v>
      </c>
      <c r="R87" s="257">
        <f>IF($C$5&lt;3000,$AN$33*Bron!J76,$AN$33*Bron!O76)</f>
        <v>0</v>
      </c>
      <c r="S87" s="344"/>
      <c r="T87" s="258">
        <f t="shared" si="6"/>
        <v>0</v>
      </c>
      <c r="U87" s="259">
        <f t="shared" si="7"/>
        <v>0</v>
      </c>
      <c r="V87" s="675"/>
      <c r="W87" s="676">
        <f t="shared" si="8"/>
        <v>0</v>
      </c>
      <c r="X87" s="677">
        <f t="shared" si="9"/>
        <v>0</v>
      </c>
      <c r="Y87" s="677">
        <f t="shared" si="42"/>
        <v>0</v>
      </c>
      <c r="Z87" s="678">
        <f t="shared" si="43"/>
        <v>0</v>
      </c>
      <c r="AA87" s="679">
        <f t="shared" si="44"/>
        <v>0</v>
      </c>
      <c r="AB87" s="675"/>
      <c r="AC87" s="676">
        <f t="shared" si="10"/>
        <v>0</v>
      </c>
      <c r="AD87" s="677">
        <f t="shared" si="11"/>
        <v>0</v>
      </c>
      <c r="AE87" s="677">
        <f t="shared" si="45"/>
        <v>0</v>
      </c>
      <c r="AF87" s="678">
        <f t="shared" si="46"/>
        <v>0</v>
      </c>
      <c r="AG87" s="679">
        <f t="shared" si="47"/>
        <v>0</v>
      </c>
      <c r="AH87" s="675"/>
      <c r="AI87" s="676">
        <f t="shared" si="12"/>
        <v>0</v>
      </c>
      <c r="AJ87" s="677">
        <f t="shared" si="13"/>
        <v>0</v>
      </c>
      <c r="AK87" s="677">
        <f t="shared" si="48"/>
        <v>0</v>
      </c>
      <c r="AL87" s="678">
        <f t="shared" si="49"/>
        <v>0</v>
      </c>
      <c r="AM87" s="679">
        <f t="shared" si="50"/>
        <v>0</v>
      </c>
      <c r="AN87" s="675"/>
      <c r="AO87" s="676">
        <f t="shared" si="14"/>
        <v>0</v>
      </c>
      <c r="AP87" s="677">
        <f t="shared" si="15"/>
        <v>0</v>
      </c>
      <c r="AQ87" s="677">
        <f t="shared" si="51"/>
        <v>0</v>
      </c>
      <c r="AR87" s="678">
        <f t="shared" si="52"/>
        <v>0</v>
      </c>
      <c r="AS87" s="679">
        <f t="shared" si="53"/>
        <v>0</v>
      </c>
      <c r="AT87" s="675"/>
      <c r="AU87" s="676">
        <f t="shared" si="16"/>
        <v>0</v>
      </c>
      <c r="AV87" s="677">
        <f t="shared" si="17"/>
        <v>0</v>
      </c>
      <c r="AW87" s="677">
        <f t="shared" si="54"/>
        <v>0</v>
      </c>
      <c r="AX87" s="678">
        <f t="shared" si="55"/>
        <v>0</v>
      </c>
      <c r="AY87" s="679">
        <f t="shared" si="56"/>
        <v>0</v>
      </c>
      <c r="AZ87" s="675"/>
      <c r="BA87" s="676">
        <f t="shared" si="18"/>
        <v>0</v>
      </c>
      <c r="BB87" s="677">
        <f t="shared" si="19"/>
        <v>0</v>
      </c>
      <c r="BC87" s="677">
        <f t="shared" si="57"/>
        <v>0</v>
      </c>
      <c r="BD87" s="678">
        <f t="shared" si="58"/>
        <v>0</v>
      </c>
      <c r="BE87" s="679">
        <f t="shared" si="59"/>
        <v>0</v>
      </c>
      <c r="BF87" s="675"/>
      <c r="BG87" s="676">
        <f t="shared" si="20"/>
        <v>0</v>
      </c>
      <c r="BH87" s="677">
        <f t="shared" si="21"/>
        <v>0</v>
      </c>
      <c r="BI87" s="677">
        <f t="shared" si="60"/>
        <v>0</v>
      </c>
      <c r="BJ87" s="678">
        <f t="shared" si="61"/>
        <v>0</v>
      </c>
      <c r="BK87" s="679">
        <f t="shared" si="62"/>
        <v>0</v>
      </c>
      <c r="BL87" s="675"/>
      <c r="BM87" s="676">
        <f t="shared" si="22"/>
        <v>0</v>
      </c>
      <c r="BN87" s="677">
        <f t="shared" si="23"/>
        <v>0</v>
      </c>
      <c r="BO87" s="677">
        <f t="shared" si="63"/>
        <v>0</v>
      </c>
      <c r="BP87" s="678">
        <f t="shared" si="64"/>
        <v>0</v>
      </c>
      <c r="BQ87" s="679">
        <f t="shared" si="65"/>
        <v>0</v>
      </c>
      <c r="BR87" s="675"/>
      <c r="BS87" s="676">
        <f t="shared" si="24"/>
        <v>0</v>
      </c>
      <c r="BT87" s="677">
        <f t="shared" si="25"/>
        <v>0</v>
      </c>
      <c r="BU87" s="677">
        <f t="shared" si="66"/>
        <v>0</v>
      </c>
      <c r="BV87" s="678">
        <f t="shared" si="67"/>
        <v>0</v>
      </c>
      <c r="BW87" s="679">
        <f t="shared" si="68"/>
        <v>0</v>
      </c>
      <c r="BX87" s="675"/>
      <c r="BY87" s="676">
        <f t="shared" si="26"/>
        <v>0</v>
      </c>
      <c r="BZ87" s="677">
        <f t="shared" si="27"/>
        <v>0</v>
      </c>
      <c r="CA87" s="677">
        <f t="shared" si="69"/>
        <v>0</v>
      </c>
      <c r="CB87" s="678">
        <f t="shared" si="70"/>
        <v>0</v>
      </c>
      <c r="CC87" s="679">
        <f t="shared" si="71"/>
        <v>0</v>
      </c>
      <c r="CD87" s="675"/>
      <c r="CE87" s="676">
        <f t="shared" si="28"/>
        <v>0</v>
      </c>
      <c r="CF87" s="677">
        <f t="shared" si="29"/>
        <v>0</v>
      </c>
      <c r="CG87" s="677">
        <f t="shared" si="72"/>
        <v>0</v>
      </c>
      <c r="CH87" s="678">
        <f t="shared" si="73"/>
        <v>0</v>
      </c>
      <c r="CI87" s="679">
        <f t="shared" si="74"/>
        <v>0</v>
      </c>
      <c r="CJ87" s="675"/>
      <c r="CK87" s="676">
        <f t="shared" si="30"/>
        <v>0</v>
      </c>
      <c r="CL87" s="677">
        <f t="shared" si="31"/>
        <v>0</v>
      </c>
      <c r="CM87" s="677">
        <f t="shared" si="75"/>
        <v>0</v>
      </c>
      <c r="CN87" s="678">
        <f t="shared" si="76"/>
        <v>0</v>
      </c>
      <c r="CO87" s="679">
        <f t="shared" si="77"/>
        <v>0</v>
      </c>
      <c r="CP87" s="675"/>
      <c r="CQ87" s="676">
        <f t="shared" si="32"/>
        <v>0</v>
      </c>
      <c r="CR87" s="677">
        <f t="shared" si="33"/>
        <v>0</v>
      </c>
      <c r="CS87" s="677">
        <f t="shared" si="78"/>
        <v>0</v>
      </c>
      <c r="CT87" s="678">
        <f t="shared" si="79"/>
        <v>0</v>
      </c>
      <c r="CU87" s="679">
        <f t="shared" si="80"/>
        <v>0</v>
      </c>
      <c r="CV87" s="685"/>
      <c r="CW87" s="681"/>
      <c r="CX87" s="682"/>
      <c r="CY87" s="682"/>
      <c r="CZ87" s="683"/>
      <c r="DA87" s="684"/>
      <c r="DB87" s="685"/>
      <c r="DC87" s="681"/>
      <c r="DD87" s="682"/>
      <c r="DE87" s="682"/>
      <c r="DF87" s="683"/>
      <c r="DG87" s="684"/>
      <c r="DH87" s="685"/>
      <c r="DI87" s="681"/>
      <c r="DJ87" s="682"/>
      <c r="DK87" s="682"/>
      <c r="DL87" s="683"/>
      <c r="DM87" s="684"/>
      <c r="DN87" s="685"/>
      <c r="DO87" s="681"/>
      <c r="DP87" s="682"/>
      <c r="DQ87" s="682"/>
      <c r="DR87" s="683"/>
      <c r="DS87" s="684"/>
      <c r="DT87" s="675"/>
      <c r="DU87" s="676">
        <f t="shared" si="34"/>
        <v>0</v>
      </c>
      <c r="DV87" s="677">
        <f t="shared" si="35"/>
        <v>0</v>
      </c>
      <c r="DW87" s="677">
        <f t="shared" si="81"/>
        <v>0</v>
      </c>
      <c r="DX87" s="678">
        <f t="shared" si="82"/>
        <v>0</v>
      </c>
      <c r="DY87" s="679">
        <f t="shared" si="83"/>
        <v>0</v>
      </c>
      <c r="DZ87" s="680"/>
      <c r="EA87" s="681"/>
      <c r="EB87" s="682"/>
      <c r="EC87" s="682"/>
      <c r="ED87" s="683"/>
      <c r="EE87" s="684"/>
      <c r="EF87" s="680"/>
      <c r="EG87" s="681"/>
      <c r="EH87" s="682"/>
      <c r="EI87" s="682"/>
      <c r="EJ87" s="683"/>
      <c r="EK87" s="684"/>
      <c r="EL87" s="680"/>
      <c r="EM87" s="681"/>
      <c r="EN87" s="682"/>
      <c r="EO87" s="682"/>
      <c r="EP87" s="683"/>
      <c r="EQ87" s="684"/>
      <c r="ER87" s="680"/>
      <c r="ES87" s="681"/>
      <c r="ET87" s="682"/>
      <c r="EU87" s="682"/>
      <c r="EV87" s="683"/>
      <c r="EW87" s="684"/>
      <c r="EX87" s="675"/>
      <c r="EY87" s="676">
        <f t="shared" si="36"/>
        <v>0</v>
      </c>
      <c r="EZ87" s="677">
        <f t="shared" si="37"/>
        <v>0</v>
      </c>
      <c r="FA87" s="677">
        <f t="shared" si="84"/>
        <v>0</v>
      </c>
      <c r="FB87" s="678">
        <f t="shared" si="85"/>
        <v>0</v>
      </c>
      <c r="FC87" s="679">
        <f t="shared" si="86"/>
        <v>0</v>
      </c>
      <c r="FD87" s="680"/>
      <c r="FE87" s="681"/>
      <c r="FF87" s="682"/>
      <c r="FG87" s="682"/>
      <c r="FH87" s="683"/>
      <c r="FI87" s="684"/>
      <c r="FJ87" s="680"/>
      <c r="FK87" s="681"/>
      <c r="FL87" s="682"/>
      <c r="FM87" s="682"/>
      <c r="FN87" s="683"/>
      <c r="FO87" s="684"/>
      <c r="FP87" s="680"/>
      <c r="FQ87" s="681"/>
      <c r="FR87" s="682"/>
      <c r="FS87" s="682"/>
      <c r="FT87" s="683"/>
      <c r="FU87" s="684"/>
      <c r="FV87" s="680"/>
      <c r="FW87" s="681"/>
      <c r="FX87" s="682"/>
      <c r="FY87" s="682"/>
      <c r="FZ87" s="683"/>
      <c r="GA87" s="684"/>
      <c r="GB87" s="675"/>
      <c r="GC87" s="676">
        <f t="shared" si="38"/>
        <v>0</v>
      </c>
      <c r="GD87" s="677">
        <f t="shared" si="39"/>
        <v>0</v>
      </c>
      <c r="GE87" s="677">
        <f t="shared" si="87"/>
        <v>0</v>
      </c>
      <c r="GF87" s="678">
        <f t="shared" si="88"/>
        <v>0</v>
      </c>
      <c r="GG87" s="679">
        <f t="shared" si="89"/>
        <v>0</v>
      </c>
      <c r="GH87" s="680"/>
      <c r="GI87" s="681"/>
      <c r="GJ87" s="682"/>
      <c r="GK87" s="682"/>
      <c r="GL87" s="683"/>
      <c r="GM87" s="684"/>
      <c r="GN87" s="680"/>
      <c r="GO87" s="681"/>
      <c r="GP87" s="682"/>
      <c r="GQ87" s="682"/>
      <c r="GR87" s="683"/>
      <c r="GS87" s="684"/>
      <c r="GT87" s="680"/>
      <c r="GU87" s="681"/>
      <c r="GV87" s="682"/>
      <c r="GW87" s="682"/>
      <c r="GX87" s="683"/>
      <c r="GY87" s="684"/>
      <c r="GZ87" s="680"/>
      <c r="HA87" s="147"/>
      <c r="HB87" s="148"/>
      <c r="HC87" s="148"/>
      <c r="HD87" s="149"/>
      <c r="HE87" s="150"/>
      <c r="HF87" s="506"/>
      <c r="HG87" s="502"/>
      <c r="HH87" s="502"/>
      <c r="HI87" s="502"/>
      <c r="HJ87" s="8"/>
    </row>
    <row r="88" spans="2:218" ht="21" hidden="1">
      <c r="B88" s="488">
        <v>44</v>
      </c>
      <c r="C88" s="489" t="s">
        <v>399</v>
      </c>
      <c r="D88" s="490" t="s">
        <v>191</v>
      </c>
      <c r="E88" s="491" t="s">
        <v>192</v>
      </c>
      <c r="F88" s="492"/>
      <c r="G88" s="493"/>
      <c r="H88" s="146" t="s">
        <v>97</v>
      </c>
      <c r="I88" s="494" t="str">
        <f t="shared" si="4"/>
        <v>n.v.t.</v>
      </c>
      <c r="J88" s="495"/>
      <c r="K88" s="151">
        <v>0</v>
      </c>
      <c r="L88" s="256"/>
      <c r="M88" s="256">
        <f>IF($C$5&lt;3000,(Bron!H77*$C$5)+Bron!I77,(Bron!M77*$C$5)+Bron!N77)</f>
        <v>0</v>
      </c>
      <c r="N88" s="496">
        <f t="shared" si="41"/>
        <v>0</v>
      </c>
      <c r="O88" s="497" t="str">
        <f t="shared" si="5"/>
        <v/>
      </c>
      <c r="P88" s="257">
        <f>IF($C$5&lt;3000,$AN$32*Bron!J77,$AN$32*Bron!O77)</f>
        <v>0</v>
      </c>
      <c r="Q88" s="257">
        <f>IF($C$5&lt;3000,$AN$31*Bron!K77,$AN$31*Bron!P77)</f>
        <v>0</v>
      </c>
      <c r="R88" s="257">
        <f>IF($C$5&lt;3000,$AN$33*Bron!J77,$AN$33*Bron!O77)</f>
        <v>0</v>
      </c>
      <c r="S88" s="344"/>
      <c r="T88" s="258">
        <f t="shared" si="6"/>
        <v>0</v>
      </c>
      <c r="U88" s="259">
        <f t="shared" si="7"/>
        <v>0</v>
      </c>
      <c r="V88" s="675"/>
      <c r="W88" s="676">
        <f t="shared" si="8"/>
        <v>0</v>
      </c>
      <c r="X88" s="677">
        <f t="shared" si="9"/>
        <v>0</v>
      </c>
      <c r="Y88" s="677">
        <f t="shared" si="42"/>
        <v>0</v>
      </c>
      <c r="Z88" s="678">
        <f t="shared" si="43"/>
        <v>0</v>
      </c>
      <c r="AA88" s="679">
        <f t="shared" si="44"/>
        <v>0</v>
      </c>
      <c r="AB88" s="675"/>
      <c r="AC88" s="676">
        <f t="shared" si="10"/>
        <v>0</v>
      </c>
      <c r="AD88" s="677">
        <f t="shared" si="11"/>
        <v>0</v>
      </c>
      <c r="AE88" s="677">
        <f t="shared" si="45"/>
        <v>0</v>
      </c>
      <c r="AF88" s="678">
        <f t="shared" si="46"/>
        <v>0</v>
      </c>
      <c r="AG88" s="679">
        <f t="shared" si="47"/>
        <v>0</v>
      </c>
      <c r="AH88" s="675"/>
      <c r="AI88" s="676">
        <f t="shared" si="12"/>
        <v>0</v>
      </c>
      <c r="AJ88" s="677">
        <f t="shared" si="13"/>
        <v>0</v>
      </c>
      <c r="AK88" s="677">
        <f t="shared" si="48"/>
        <v>0</v>
      </c>
      <c r="AL88" s="678">
        <f t="shared" si="49"/>
        <v>0</v>
      </c>
      <c r="AM88" s="679">
        <f t="shared" si="50"/>
        <v>0</v>
      </c>
      <c r="AN88" s="675"/>
      <c r="AO88" s="676">
        <f t="shared" si="14"/>
        <v>0</v>
      </c>
      <c r="AP88" s="677">
        <f t="shared" si="15"/>
        <v>0</v>
      </c>
      <c r="AQ88" s="677">
        <f t="shared" si="51"/>
        <v>0</v>
      </c>
      <c r="AR88" s="678">
        <f t="shared" si="52"/>
        <v>0</v>
      </c>
      <c r="AS88" s="679">
        <f t="shared" si="53"/>
        <v>0</v>
      </c>
      <c r="AT88" s="675"/>
      <c r="AU88" s="676">
        <f t="shared" si="16"/>
        <v>0</v>
      </c>
      <c r="AV88" s="677">
        <f t="shared" si="17"/>
        <v>0</v>
      </c>
      <c r="AW88" s="677">
        <f t="shared" si="54"/>
        <v>0</v>
      </c>
      <c r="AX88" s="678">
        <f t="shared" si="55"/>
        <v>0</v>
      </c>
      <c r="AY88" s="679">
        <f t="shared" si="56"/>
        <v>0</v>
      </c>
      <c r="AZ88" s="675"/>
      <c r="BA88" s="676">
        <f t="shared" si="18"/>
        <v>0</v>
      </c>
      <c r="BB88" s="677">
        <f t="shared" si="19"/>
        <v>0</v>
      </c>
      <c r="BC88" s="677">
        <f t="shared" si="57"/>
        <v>0</v>
      </c>
      <c r="BD88" s="678">
        <f t="shared" si="58"/>
        <v>0</v>
      </c>
      <c r="BE88" s="679">
        <f t="shared" si="59"/>
        <v>0</v>
      </c>
      <c r="BF88" s="675"/>
      <c r="BG88" s="676">
        <f t="shared" si="20"/>
        <v>0</v>
      </c>
      <c r="BH88" s="677">
        <f t="shared" si="21"/>
        <v>0</v>
      </c>
      <c r="BI88" s="677">
        <f t="shared" si="60"/>
        <v>0</v>
      </c>
      <c r="BJ88" s="678">
        <f t="shared" si="61"/>
        <v>0</v>
      </c>
      <c r="BK88" s="679">
        <f t="shared" si="62"/>
        <v>0</v>
      </c>
      <c r="BL88" s="675"/>
      <c r="BM88" s="676">
        <f t="shared" si="22"/>
        <v>0</v>
      </c>
      <c r="BN88" s="677">
        <f t="shared" si="23"/>
        <v>0</v>
      </c>
      <c r="BO88" s="677">
        <f t="shared" si="63"/>
        <v>0</v>
      </c>
      <c r="BP88" s="678">
        <f t="shared" si="64"/>
        <v>0</v>
      </c>
      <c r="BQ88" s="679">
        <f t="shared" si="65"/>
        <v>0</v>
      </c>
      <c r="BR88" s="675"/>
      <c r="BS88" s="676">
        <f t="shared" si="24"/>
        <v>0</v>
      </c>
      <c r="BT88" s="677">
        <f t="shared" si="25"/>
        <v>0</v>
      </c>
      <c r="BU88" s="677">
        <f t="shared" si="66"/>
        <v>0</v>
      </c>
      <c r="BV88" s="678">
        <f t="shared" si="67"/>
        <v>0</v>
      </c>
      <c r="BW88" s="679">
        <f t="shared" si="68"/>
        <v>0</v>
      </c>
      <c r="BX88" s="675"/>
      <c r="BY88" s="676">
        <f t="shared" si="26"/>
        <v>0</v>
      </c>
      <c r="BZ88" s="677">
        <f t="shared" si="27"/>
        <v>0</v>
      </c>
      <c r="CA88" s="677">
        <f t="shared" si="69"/>
        <v>0</v>
      </c>
      <c r="CB88" s="678">
        <f t="shared" si="70"/>
        <v>0</v>
      </c>
      <c r="CC88" s="679">
        <f t="shared" si="71"/>
        <v>0</v>
      </c>
      <c r="CD88" s="675"/>
      <c r="CE88" s="676">
        <f t="shared" si="28"/>
        <v>0</v>
      </c>
      <c r="CF88" s="677">
        <f t="shared" si="29"/>
        <v>0</v>
      </c>
      <c r="CG88" s="677">
        <f t="shared" si="72"/>
        <v>0</v>
      </c>
      <c r="CH88" s="678">
        <f t="shared" si="73"/>
        <v>0</v>
      </c>
      <c r="CI88" s="679">
        <f t="shared" si="74"/>
        <v>0</v>
      </c>
      <c r="CJ88" s="675"/>
      <c r="CK88" s="676">
        <f t="shared" si="30"/>
        <v>0</v>
      </c>
      <c r="CL88" s="677">
        <f t="shared" si="31"/>
        <v>0</v>
      </c>
      <c r="CM88" s="677">
        <f t="shared" si="75"/>
        <v>0</v>
      </c>
      <c r="CN88" s="678">
        <f t="shared" si="76"/>
        <v>0</v>
      </c>
      <c r="CO88" s="679">
        <f t="shared" si="77"/>
        <v>0</v>
      </c>
      <c r="CP88" s="675"/>
      <c r="CQ88" s="676">
        <f t="shared" si="32"/>
        <v>0</v>
      </c>
      <c r="CR88" s="677">
        <f t="shared" si="33"/>
        <v>0</v>
      </c>
      <c r="CS88" s="677">
        <f t="shared" si="78"/>
        <v>0</v>
      </c>
      <c r="CT88" s="678">
        <f t="shared" si="79"/>
        <v>0</v>
      </c>
      <c r="CU88" s="679">
        <f t="shared" si="80"/>
        <v>0</v>
      </c>
      <c r="CV88" s="685"/>
      <c r="CW88" s="681"/>
      <c r="CX88" s="682"/>
      <c r="CY88" s="682"/>
      <c r="CZ88" s="683"/>
      <c r="DA88" s="684"/>
      <c r="DB88" s="685"/>
      <c r="DC88" s="681"/>
      <c r="DD88" s="682"/>
      <c r="DE88" s="682"/>
      <c r="DF88" s="683"/>
      <c r="DG88" s="684"/>
      <c r="DH88" s="685"/>
      <c r="DI88" s="681"/>
      <c r="DJ88" s="682"/>
      <c r="DK88" s="682"/>
      <c r="DL88" s="683"/>
      <c r="DM88" s="684"/>
      <c r="DN88" s="685"/>
      <c r="DO88" s="681"/>
      <c r="DP88" s="682"/>
      <c r="DQ88" s="682"/>
      <c r="DR88" s="683"/>
      <c r="DS88" s="684"/>
      <c r="DT88" s="675"/>
      <c r="DU88" s="676">
        <f t="shared" si="34"/>
        <v>0</v>
      </c>
      <c r="DV88" s="677">
        <f t="shared" si="35"/>
        <v>0</v>
      </c>
      <c r="DW88" s="677">
        <f t="shared" si="81"/>
        <v>0</v>
      </c>
      <c r="DX88" s="678">
        <f t="shared" si="82"/>
        <v>0</v>
      </c>
      <c r="DY88" s="679">
        <f t="shared" si="83"/>
        <v>0</v>
      </c>
      <c r="DZ88" s="680"/>
      <c r="EA88" s="681"/>
      <c r="EB88" s="682"/>
      <c r="EC88" s="682"/>
      <c r="ED88" s="683"/>
      <c r="EE88" s="684"/>
      <c r="EF88" s="680"/>
      <c r="EG88" s="681"/>
      <c r="EH88" s="682"/>
      <c r="EI88" s="682"/>
      <c r="EJ88" s="683"/>
      <c r="EK88" s="684"/>
      <c r="EL88" s="680"/>
      <c r="EM88" s="681"/>
      <c r="EN88" s="682"/>
      <c r="EO88" s="682"/>
      <c r="EP88" s="683"/>
      <c r="EQ88" s="684"/>
      <c r="ER88" s="680"/>
      <c r="ES88" s="681"/>
      <c r="ET88" s="682"/>
      <c r="EU88" s="682"/>
      <c r="EV88" s="683"/>
      <c r="EW88" s="684"/>
      <c r="EX88" s="675"/>
      <c r="EY88" s="676">
        <f t="shared" si="36"/>
        <v>0</v>
      </c>
      <c r="EZ88" s="677">
        <f t="shared" si="37"/>
        <v>0</v>
      </c>
      <c r="FA88" s="677">
        <f t="shared" si="84"/>
        <v>0</v>
      </c>
      <c r="FB88" s="678">
        <f t="shared" si="85"/>
        <v>0</v>
      </c>
      <c r="FC88" s="679">
        <f t="shared" si="86"/>
        <v>0</v>
      </c>
      <c r="FD88" s="680"/>
      <c r="FE88" s="681"/>
      <c r="FF88" s="682"/>
      <c r="FG88" s="682"/>
      <c r="FH88" s="683"/>
      <c r="FI88" s="684"/>
      <c r="FJ88" s="680"/>
      <c r="FK88" s="681"/>
      <c r="FL88" s="682"/>
      <c r="FM88" s="682"/>
      <c r="FN88" s="683"/>
      <c r="FO88" s="684"/>
      <c r="FP88" s="680"/>
      <c r="FQ88" s="681"/>
      <c r="FR88" s="682"/>
      <c r="FS88" s="682"/>
      <c r="FT88" s="683"/>
      <c r="FU88" s="684"/>
      <c r="FV88" s="680"/>
      <c r="FW88" s="681"/>
      <c r="FX88" s="682"/>
      <c r="FY88" s="682"/>
      <c r="FZ88" s="683"/>
      <c r="GA88" s="684"/>
      <c r="GB88" s="675"/>
      <c r="GC88" s="676">
        <f t="shared" si="38"/>
        <v>0</v>
      </c>
      <c r="GD88" s="677">
        <f t="shared" si="39"/>
        <v>0</v>
      </c>
      <c r="GE88" s="677">
        <f t="shared" si="87"/>
        <v>0</v>
      </c>
      <c r="GF88" s="678">
        <f t="shared" si="88"/>
        <v>0</v>
      </c>
      <c r="GG88" s="679">
        <f t="shared" si="89"/>
        <v>0</v>
      </c>
      <c r="GH88" s="680"/>
      <c r="GI88" s="681"/>
      <c r="GJ88" s="682"/>
      <c r="GK88" s="682"/>
      <c r="GL88" s="683"/>
      <c r="GM88" s="684"/>
      <c r="GN88" s="680"/>
      <c r="GO88" s="681"/>
      <c r="GP88" s="682"/>
      <c r="GQ88" s="682"/>
      <c r="GR88" s="683"/>
      <c r="GS88" s="684"/>
      <c r="GT88" s="680"/>
      <c r="GU88" s="681"/>
      <c r="GV88" s="682"/>
      <c r="GW88" s="682"/>
      <c r="GX88" s="683"/>
      <c r="GY88" s="684"/>
      <c r="GZ88" s="680"/>
      <c r="HA88" s="147"/>
      <c r="HB88" s="148"/>
      <c r="HC88" s="148"/>
      <c r="HD88" s="149"/>
      <c r="HE88" s="150"/>
      <c r="HF88" s="506"/>
      <c r="HG88" s="502"/>
      <c r="HH88" s="502"/>
      <c r="HI88" s="502"/>
      <c r="HJ88" s="8"/>
    </row>
    <row r="89" spans="2:218" ht="21" hidden="1">
      <c r="B89" s="488">
        <v>45</v>
      </c>
      <c r="C89" s="489" t="s">
        <v>399</v>
      </c>
      <c r="D89" s="490" t="s">
        <v>493</v>
      </c>
      <c r="E89" s="491" t="s">
        <v>585</v>
      </c>
      <c r="F89" s="492"/>
      <c r="G89" s="493"/>
      <c r="H89" s="146" t="s">
        <v>97</v>
      </c>
      <c r="I89" s="494" t="str">
        <f t="shared" si="4"/>
        <v>n.v.t.</v>
      </c>
      <c r="J89" s="495"/>
      <c r="K89" s="151">
        <v>0</v>
      </c>
      <c r="L89" s="256"/>
      <c r="M89" s="256">
        <f>IF($C$5&lt;3000,(Bron!H78*$C$5)+Bron!I78,(Bron!M78*$C$5)+Bron!N78)</f>
        <v>1000</v>
      </c>
      <c r="N89" s="496">
        <f t="shared" si="41"/>
        <v>873.05997599999989</v>
      </c>
      <c r="O89" s="497">
        <f t="shared" si="5"/>
        <v>1.1453966823465975</v>
      </c>
      <c r="P89" s="257">
        <f>IF($C$5&lt;3000,$AN$32*Bron!J78,$AN$32*Bron!O78)</f>
        <v>0</v>
      </c>
      <c r="Q89" s="257">
        <f>IF($C$5&lt;3000,$AN$31*Bron!K78,$AN$31*Bron!P78)</f>
        <v>3437.2439999999997</v>
      </c>
      <c r="R89" s="257">
        <f>IF($C$5&lt;3000,$AN$33*Bron!J78,$AN$33*Bron!O78)</f>
        <v>0</v>
      </c>
      <c r="S89" s="344"/>
      <c r="T89" s="258">
        <f t="shared" si="6"/>
        <v>0</v>
      </c>
      <c r="U89" s="259">
        <f t="shared" si="7"/>
        <v>0</v>
      </c>
      <c r="V89" s="675"/>
      <c r="W89" s="676">
        <f t="shared" si="8"/>
        <v>0</v>
      </c>
      <c r="X89" s="677">
        <f t="shared" si="9"/>
        <v>0</v>
      </c>
      <c r="Y89" s="677">
        <f t="shared" si="42"/>
        <v>0</v>
      </c>
      <c r="Z89" s="678">
        <f t="shared" si="43"/>
        <v>0</v>
      </c>
      <c r="AA89" s="679">
        <f t="shared" si="44"/>
        <v>0</v>
      </c>
      <c r="AB89" s="675"/>
      <c r="AC89" s="676">
        <f t="shared" si="10"/>
        <v>0</v>
      </c>
      <c r="AD89" s="677">
        <f t="shared" si="11"/>
        <v>0</v>
      </c>
      <c r="AE89" s="677">
        <f t="shared" si="45"/>
        <v>0</v>
      </c>
      <c r="AF89" s="678">
        <f t="shared" si="46"/>
        <v>0</v>
      </c>
      <c r="AG89" s="679">
        <f t="shared" si="47"/>
        <v>0</v>
      </c>
      <c r="AH89" s="675"/>
      <c r="AI89" s="676">
        <f t="shared" si="12"/>
        <v>0</v>
      </c>
      <c r="AJ89" s="677">
        <f t="shared" si="13"/>
        <v>0</v>
      </c>
      <c r="AK89" s="677">
        <f t="shared" si="48"/>
        <v>0</v>
      </c>
      <c r="AL89" s="678">
        <f t="shared" si="49"/>
        <v>0</v>
      </c>
      <c r="AM89" s="679">
        <f t="shared" si="50"/>
        <v>0</v>
      </c>
      <c r="AN89" s="675"/>
      <c r="AO89" s="676">
        <f t="shared" si="14"/>
        <v>0</v>
      </c>
      <c r="AP89" s="677">
        <f t="shared" si="15"/>
        <v>0</v>
      </c>
      <c r="AQ89" s="677">
        <f t="shared" si="51"/>
        <v>0</v>
      </c>
      <c r="AR89" s="678">
        <f t="shared" si="52"/>
        <v>0</v>
      </c>
      <c r="AS89" s="679">
        <f t="shared" si="53"/>
        <v>0</v>
      </c>
      <c r="AT89" s="675"/>
      <c r="AU89" s="676">
        <f t="shared" si="16"/>
        <v>0</v>
      </c>
      <c r="AV89" s="677">
        <f t="shared" si="17"/>
        <v>0</v>
      </c>
      <c r="AW89" s="677">
        <f t="shared" si="54"/>
        <v>0</v>
      </c>
      <c r="AX89" s="678">
        <f t="shared" si="55"/>
        <v>0</v>
      </c>
      <c r="AY89" s="679">
        <f t="shared" si="56"/>
        <v>0</v>
      </c>
      <c r="AZ89" s="675"/>
      <c r="BA89" s="676">
        <f t="shared" si="18"/>
        <v>0</v>
      </c>
      <c r="BB89" s="677">
        <f t="shared" si="19"/>
        <v>0</v>
      </c>
      <c r="BC89" s="677">
        <f t="shared" si="57"/>
        <v>0</v>
      </c>
      <c r="BD89" s="678">
        <f t="shared" si="58"/>
        <v>0</v>
      </c>
      <c r="BE89" s="679">
        <f t="shared" si="59"/>
        <v>0</v>
      </c>
      <c r="BF89" s="675"/>
      <c r="BG89" s="676">
        <f t="shared" si="20"/>
        <v>0</v>
      </c>
      <c r="BH89" s="677">
        <f t="shared" si="21"/>
        <v>0</v>
      </c>
      <c r="BI89" s="677">
        <f t="shared" si="60"/>
        <v>0</v>
      </c>
      <c r="BJ89" s="678">
        <f t="shared" si="61"/>
        <v>0</v>
      </c>
      <c r="BK89" s="679">
        <f t="shared" si="62"/>
        <v>0</v>
      </c>
      <c r="BL89" s="675"/>
      <c r="BM89" s="676">
        <f t="shared" si="22"/>
        <v>0</v>
      </c>
      <c r="BN89" s="677">
        <f t="shared" si="23"/>
        <v>0</v>
      </c>
      <c r="BO89" s="677">
        <f t="shared" si="63"/>
        <v>0</v>
      </c>
      <c r="BP89" s="678">
        <f t="shared" si="64"/>
        <v>0</v>
      </c>
      <c r="BQ89" s="679">
        <f t="shared" si="65"/>
        <v>0</v>
      </c>
      <c r="BR89" s="675"/>
      <c r="BS89" s="676">
        <f t="shared" si="24"/>
        <v>0</v>
      </c>
      <c r="BT89" s="677">
        <f t="shared" si="25"/>
        <v>0</v>
      </c>
      <c r="BU89" s="677">
        <f t="shared" si="66"/>
        <v>0</v>
      </c>
      <c r="BV89" s="678">
        <f t="shared" si="67"/>
        <v>0</v>
      </c>
      <c r="BW89" s="679">
        <f t="shared" si="68"/>
        <v>0</v>
      </c>
      <c r="BX89" s="675"/>
      <c r="BY89" s="676">
        <f t="shared" si="26"/>
        <v>0</v>
      </c>
      <c r="BZ89" s="677">
        <f t="shared" si="27"/>
        <v>0</v>
      </c>
      <c r="CA89" s="677">
        <f t="shared" si="69"/>
        <v>0</v>
      </c>
      <c r="CB89" s="678">
        <f t="shared" si="70"/>
        <v>0</v>
      </c>
      <c r="CC89" s="679">
        <f t="shared" si="71"/>
        <v>0</v>
      </c>
      <c r="CD89" s="675"/>
      <c r="CE89" s="676">
        <f t="shared" si="28"/>
        <v>0</v>
      </c>
      <c r="CF89" s="677">
        <f t="shared" si="29"/>
        <v>0</v>
      </c>
      <c r="CG89" s="677">
        <f t="shared" si="72"/>
        <v>0</v>
      </c>
      <c r="CH89" s="678">
        <f t="shared" si="73"/>
        <v>0</v>
      </c>
      <c r="CI89" s="679">
        <f t="shared" si="74"/>
        <v>0</v>
      </c>
      <c r="CJ89" s="675"/>
      <c r="CK89" s="676">
        <f t="shared" si="30"/>
        <v>0</v>
      </c>
      <c r="CL89" s="677">
        <f t="shared" si="31"/>
        <v>0</v>
      </c>
      <c r="CM89" s="677">
        <f t="shared" si="75"/>
        <v>0</v>
      </c>
      <c r="CN89" s="678">
        <f t="shared" si="76"/>
        <v>0</v>
      </c>
      <c r="CO89" s="679">
        <f t="shared" si="77"/>
        <v>0</v>
      </c>
      <c r="CP89" s="675"/>
      <c r="CQ89" s="676">
        <f t="shared" si="32"/>
        <v>0</v>
      </c>
      <c r="CR89" s="677">
        <f t="shared" si="33"/>
        <v>0</v>
      </c>
      <c r="CS89" s="677">
        <f t="shared" si="78"/>
        <v>0</v>
      </c>
      <c r="CT89" s="678">
        <f t="shared" si="79"/>
        <v>0</v>
      </c>
      <c r="CU89" s="679">
        <f t="shared" si="80"/>
        <v>0</v>
      </c>
      <c r="CV89" s="685"/>
      <c r="CW89" s="681"/>
      <c r="CX89" s="682"/>
      <c r="CY89" s="682"/>
      <c r="CZ89" s="683"/>
      <c r="DA89" s="684"/>
      <c r="DB89" s="685"/>
      <c r="DC89" s="681"/>
      <c r="DD89" s="682"/>
      <c r="DE89" s="682"/>
      <c r="DF89" s="683"/>
      <c r="DG89" s="684"/>
      <c r="DH89" s="685"/>
      <c r="DI89" s="681"/>
      <c r="DJ89" s="682"/>
      <c r="DK89" s="682"/>
      <c r="DL89" s="683"/>
      <c r="DM89" s="684"/>
      <c r="DN89" s="685"/>
      <c r="DO89" s="681"/>
      <c r="DP89" s="682"/>
      <c r="DQ89" s="682"/>
      <c r="DR89" s="683"/>
      <c r="DS89" s="684"/>
      <c r="DT89" s="675"/>
      <c r="DU89" s="676">
        <f t="shared" si="34"/>
        <v>0</v>
      </c>
      <c r="DV89" s="677">
        <f t="shared" si="35"/>
        <v>0</v>
      </c>
      <c r="DW89" s="677">
        <f t="shared" si="81"/>
        <v>0</v>
      </c>
      <c r="DX89" s="678">
        <f t="shared" si="82"/>
        <v>0</v>
      </c>
      <c r="DY89" s="679">
        <f t="shared" si="83"/>
        <v>0</v>
      </c>
      <c r="DZ89" s="680"/>
      <c r="EA89" s="681"/>
      <c r="EB89" s="682"/>
      <c r="EC89" s="682"/>
      <c r="ED89" s="683"/>
      <c r="EE89" s="684"/>
      <c r="EF89" s="680"/>
      <c r="EG89" s="681"/>
      <c r="EH89" s="682"/>
      <c r="EI89" s="682"/>
      <c r="EJ89" s="683"/>
      <c r="EK89" s="684"/>
      <c r="EL89" s="680"/>
      <c r="EM89" s="681"/>
      <c r="EN89" s="682"/>
      <c r="EO89" s="682"/>
      <c r="EP89" s="683"/>
      <c r="EQ89" s="684"/>
      <c r="ER89" s="680"/>
      <c r="ES89" s="681"/>
      <c r="ET89" s="682"/>
      <c r="EU89" s="682"/>
      <c r="EV89" s="683"/>
      <c r="EW89" s="684"/>
      <c r="EX89" s="675"/>
      <c r="EY89" s="676">
        <f t="shared" si="36"/>
        <v>0</v>
      </c>
      <c r="EZ89" s="677">
        <f t="shared" si="37"/>
        <v>0</v>
      </c>
      <c r="FA89" s="677">
        <f t="shared" si="84"/>
        <v>0</v>
      </c>
      <c r="FB89" s="678">
        <f t="shared" si="85"/>
        <v>0</v>
      </c>
      <c r="FC89" s="679">
        <f t="shared" si="86"/>
        <v>0</v>
      </c>
      <c r="FD89" s="680"/>
      <c r="FE89" s="681"/>
      <c r="FF89" s="682"/>
      <c r="FG89" s="682"/>
      <c r="FH89" s="683"/>
      <c r="FI89" s="684"/>
      <c r="FJ89" s="680"/>
      <c r="FK89" s="681"/>
      <c r="FL89" s="682"/>
      <c r="FM89" s="682"/>
      <c r="FN89" s="683"/>
      <c r="FO89" s="684"/>
      <c r="FP89" s="680"/>
      <c r="FQ89" s="681"/>
      <c r="FR89" s="682"/>
      <c r="FS89" s="682"/>
      <c r="FT89" s="683"/>
      <c r="FU89" s="684"/>
      <c r="FV89" s="680"/>
      <c r="FW89" s="681"/>
      <c r="FX89" s="682"/>
      <c r="FY89" s="682"/>
      <c r="FZ89" s="683"/>
      <c r="GA89" s="684"/>
      <c r="GB89" s="675"/>
      <c r="GC89" s="676">
        <f t="shared" si="38"/>
        <v>0</v>
      </c>
      <c r="GD89" s="677">
        <f t="shared" si="39"/>
        <v>0</v>
      </c>
      <c r="GE89" s="677">
        <f t="shared" si="87"/>
        <v>0</v>
      </c>
      <c r="GF89" s="678">
        <f t="shared" si="88"/>
        <v>0</v>
      </c>
      <c r="GG89" s="679">
        <f t="shared" si="89"/>
        <v>0</v>
      </c>
      <c r="GH89" s="680"/>
      <c r="GI89" s="681"/>
      <c r="GJ89" s="682"/>
      <c r="GK89" s="682"/>
      <c r="GL89" s="683"/>
      <c r="GM89" s="684"/>
      <c r="GN89" s="680"/>
      <c r="GO89" s="681"/>
      <c r="GP89" s="682"/>
      <c r="GQ89" s="682"/>
      <c r="GR89" s="683"/>
      <c r="GS89" s="684"/>
      <c r="GT89" s="680"/>
      <c r="GU89" s="681"/>
      <c r="GV89" s="682"/>
      <c r="GW89" s="682"/>
      <c r="GX89" s="683"/>
      <c r="GY89" s="684"/>
      <c r="GZ89" s="680"/>
      <c r="HA89" s="147"/>
      <c r="HB89" s="148"/>
      <c r="HC89" s="148"/>
      <c r="HD89" s="149"/>
      <c r="HE89" s="150"/>
      <c r="HF89" s="506"/>
      <c r="HG89" s="502"/>
      <c r="HH89" s="502"/>
      <c r="HI89" s="502"/>
      <c r="HJ89" s="8"/>
    </row>
    <row r="90" spans="2:218" ht="21" hidden="1">
      <c r="B90" s="488">
        <v>46</v>
      </c>
      <c r="C90" s="489" t="s">
        <v>312</v>
      </c>
      <c r="D90" s="507" t="s">
        <v>311</v>
      </c>
      <c r="E90" s="508" t="s">
        <v>313</v>
      </c>
      <c r="F90" s="492"/>
      <c r="G90" s="493"/>
      <c r="H90" s="146" t="s">
        <v>97</v>
      </c>
      <c r="I90" s="494" t="str">
        <f t="shared" si="4"/>
        <v>n.v.t.</v>
      </c>
      <c r="J90" s="495"/>
      <c r="K90" s="151">
        <v>0</v>
      </c>
      <c r="L90" s="256"/>
      <c r="M90" s="256"/>
      <c r="N90" s="496"/>
      <c r="O90" s="497"/>
      <c r="P90" s="257"/>
      <c r="Q90" s="257"/>
      <c r="R90" s="257"/>
      <c r="S90" s="344"/>
      <c r="T90" s="258">
        <f t="shared" si="6"/>
        <v>0</v>
      </c>
      <c r="U90" s="259">
        <f t="shared" si="7"/>
        <v>0</v>
      </c>
      <c r="V90" s="675"/>
      <c r="W90" s="676">
        <f t="shared" si="8"/>
        <v>0</v>
      </c>
      <c r="X90" s="677">
        <f t="shared" si="9"/>
        <v>0</v>
      </c>
      <c r="Y90" s="677">
        <f t="shared" si="42"/>
        <v>0</v>
      </c>
      <c r="Z90" s="678">
        <f t="shared" si="43"/>
        <v>0</v>
      </c>
      <c r="AA90" s="679">
        <f t="shared" si="44"/>
        <v>0</v>
      </c>
      <c r="AB90" s="675"/>
      <c r="AC90" s="676">
        <f t="shared" si="10"/>
        <v>0</v>
      </c>
      <c r="AD90" s="677">
        <f t="shared" si="11"/>
        <v>0</v>
      </c>
      <c r="AE90" s="677">
        <f t="shared" si="45"/>
        <v>0</v>
      </c>
      <c r="AF90" s="678">
        <f t="shared" si="46"/>
        <v>0</v>
      </c>
      <c r="AG90" s="679">
        <f t="shared" si="47"/>
        <v>0</v>
      </c>
      <c r="AH90" s="675"/>
      <c r="AI90" s="676">
        <f t="shared" si="12"/>
        <v>0</v>
      </c>
      <c r="AJ90" s="677">
        <f t="shared" si="13"/>
        <v>0</v>
      </c>
      <c r="AK90" s="677">
        <f t="shared" si="48"/>
        <v>0</v>
      </c>
      <c r="AL90" s="678">
        <f t="shared" si="49"/>
        <v>0</v>
      </c>
      <c r="AM90" s="679">
        <f t="shared" si="50"/>
        <v>0</v>
      </c>
      <c r="AN90" s="675"/>
      <c r="AO90" s="676">
        <f t="shared" si="14"/>
        <v>0</v>
      </c>
      <c r="AP90" s="677">
        <f t="shared" si="15"/>
        <v>0</v>
      </c>
      <c r="AQ90" s="677">
        <f t="shared" si="51"/>
        <v>0</v>
      </c>
      <c r="AR90" s="678">
        <f t="shared" si="52"/>
        <v>0</v>
      </c>
      <c r="AS90" s="679">
        <f t="shared" si="53"/>
        <v>0</v>
      </c>
      <c r="AT90" s="675"/>
      <c r="AU90" s="676">
        <f t="shared" si="16"/>
        <v>0</v>
      </c>
      <c r="AV90" s="677">
        <f t="shared" si="17"/>
        <v>0</v>
      </c>
      <c r="AW90" s="677">
        <f t="shared" si="54"/>
        <v>0</v>
      </c>
      <c r="AX90" s="678">
        <f t="shared" si="55"/>
        <v>0</v>
      </c>
      <c r="AY90" s="679">
        <f t="shared" si="56"/>
        <v>0</v>
      </c>
      <c r="AZ90" s="675"/>
      <c r="BA90" s="676">
        <f t="shared" si="18"/>
        <v>0</v>
      </c>
      <c r="BB90" s="677">
        <f t="shared" si="19"/>
        <v>0</v>
      </c>
      <c r="BC90" s="677">
        <f t="shared" si="57"/>
        <v>0</v>
      </c>
      <c r="BD90" s="678">
        <f t="shared" si="58"/>
        <v>0</v>
      </c>
      <c r="BE90" s="679">
        <f t="shared" si="59"/>
        <v>0</v>
      </c>
      <c r="BF90" s="675"/>
      <c r="BG90" s="676">
        <f t="shared" si="20"/>
        <v>0</v>
      </c>
      <c r="BH90" s="677">
        <f t="shared" si="21"/>
        <v>0</v>
      </c>
      <c r="BI90" s="677">
        <f t="shared" si="60"/>
        <v>0</v>
      </c>
      <c r="BJ90" s="678">
        <f t="shared" si="61"/>
        <v>0</v>
      </c>
      <c r="BK90" s="679">
        <f t="shared" si="62"/>
        <v>0</v>
      </c>
      <c r="BL90" s="675"/>
      <c r="BM90" s="676">
        <f t="shared" si="22"/>
        <v>0</v>
      </c>
      <c r="BN90" s="677">
        <f t="shared" si="23"/>
        <v>0</v>
      </c>
      <c r="BO90" s="677">
        <f t="shared" si="63"/>
        <v>0</v>
      </c>
      <c r="BP90" s="678">
        <f t="shared" si="64"/>
        <v>0</v>
      </c>
      <c r="BQ90" s="679">
        <f t="shared" si="65"/>
        <v>0</v>
      </c>
      <c r="BR90" s="675"/>
      <c r="BS90" s="676">
        <f t="shared" si="24"/>
        <v>0</v>
      </c>
      <c r="BT90" s="677">
        <f t="shared" si="25"/>
        <v>0</v>
      </c>
      <c r="BU90" s="677">
        <f t="shared" si="66"/>
        <v>0</v>
      </c>
      <c r="BV90" s="678">
        <f t="shared" si="67"/>
        <v>0</v>
      </c>
      <c r="BW90" s="679">
        <f t="shared" si="68"/>
        <v>0</v>
      </c>
      <c r="BX90" s="675"/>
      <c r="BY90" s="676">
        <f t="shared" si="26"/>
        <v>0</v>
      </c>
      <c r="BZ90" s="677">
        <f t="shared" si="27"/>
        <v>0</v>
      </c>
      <c r="CA90" s="677">
        <f t="shared" si="69"/>
        <v>0</v>
      </c>
      <c r="CB90" s="678">
        <f t="shared" si="70"/>
        <v>0</v>
      </c>
      <c r="CC90" s="679">
        <f t="shared" si="71"/>
        <v>0</v>
      </c>
      <c r="CD90" s="675"/>
      <c r="CE90" s="676">
        <f t="shared" si="28"/>
        <v>0</v>
      </c>
      <c r="CF90" s="677">
        <f t="shared" si="29"/>
        <v>0</v>
      </c>
      <c r="CG90" s="677">
        <f t="shared" si="72"/>
        <v>0</v>
      </c>
      <c r="CH90" s="678">
        <f t="shared" si="73"/>
        <v>0</v>
      </c>
      <c r="CI90" s="679">
        <f t="shared" si="74"/>
        <v>0</v>
      </c>
      <c r="CJ90" s="675"/>
      <c r="CK90" s="676">
        <f t="shared" si="30"/>
        <v>0</v>
      </c>
      <c r="CL90" s="677">
        <f t="shared" si="31"/>
        <v>0</v>
      </c>
      <c r="CM90" s="677">
        <f t="shared" si="75"/>
        <v>0</v>
      </c>
      <c r="CN90" s="678">
        <f t="shared" si="76"/>
        <v>0</v>
      </c>
      <c r="CO90" s="679">
        <f t="shared" si="77"/>
        <v>0</v>
      </c>
      <c r="CP90" s="675"/>
      <c r="CQ90" s="676">
        <f t="shared" si="32"/>
        <v>0</v>
      </c>
      <c r="CR90" s="677">
        <f t="shared" si="33"/>
        <v>0</v>
      </c>
      <c r="CS90" s="677">
        <f t="shared" si="78"/>
        <v>0</v>
      </c>
      <c r="CT90" s="678">
        <f t="shared" si="79"/>
        <v>0</v>
      </c>
      <c r="CU90" s="679">
        <f t="shared" si="80"/>
        <v>0</v>
      </c>
      <c r="CV90" s="685"/>
      <c r="CW90" s="681"/>
      <c r="CX90" s="682"/>
      <c r="CY90" s="682"/>
      <c r="CZ90" s="683"/>
      <c r="DA90" s="684"/>
      <c r="DB90" s="685"/>
      <c r="DC90" s="681"/>
      <c r="DD90" s="682"/>
      <c r="DE90" s="682"/>
      <c r="DF90" s="683"/>
      <c r="DG90" s="684"/>
      <c r="DH90" s="685"/>
      <c r="DI90" s="681"/>
      <c r="DJ90" s="682"/>
      <c r="DK90" s="682"/>
      <c r="DL90" s="683"/>
      <c r="DM90" s="684"/>
      <c r="DN90" s="685"/>
      <c r="DO90" s="681"/>
      <c r="DP90" s="682"/>
      <c r="DQ90" s="682"/>
      <c r="DR90" s="683"/>
      <c r="DS90" s="684"/>
      <c r="DT90" s="675"/>
      <c r="DU90" s="676">
        <f t="shared" si="34"/>
        <v>0</v>
      </c>
      <c r="DV90" s="677">
        <f t="shared" si="35"/>
        <v>0</v>
      </c>
      <c r="DW90" s="677">
        <f t="shared" si="81"/>
        <v>0</v>
      </c>
      <c r="DX90" s="678">
        <f t="shared" si="82"/>
        <v>0</v>
      </c>
      <c r="DY90" s="679">
        <f t="shared" si="83"/>
        <v>0</v>
      </c>
      <c r="DZ90" s="680"/>
      <c r="EA90" s="681"/>
      <c r="EB90" s="682"/>
      <c r="EC90" s="682"/>
      <c r="ED90" s="683"/>
      <c r="EE90" s="684"/>
      <c r="EF90" s="680"/>
      <c r="EG90" s="681"/>
      <c r="EH90" s="682"/>
      <c r="EI90" s="682"/>
      <c r="EJ90" s="683"/>
      <c r="EK90" s="684"/>
      <c r="EL90" s="680"/>
      <c r="EM90" s="681"/>
      <c r="EN90" s="682"/>
      <c r="EO90" s="682"/>
      <c r="EP90" s="683"/>
      <c r="EQ90" s="684"/>
      <c r="ER90" s="680"/>
      <c r="ES90" s="681"/>
      <c r="ET90" s="682"/>
      <c r="EU90" s="682"/>
      <c r="EV90" s="683"/>
      <c r="EW90" s="684"/>
      <c r="EX90" s="675"/>
      <c r="EY90" s="676">
        <f t="shared" si="36"/>
        <v>0</v>
      </c>
      <c r="EZ90" s="677">
        <f t="shared" si="37"/>
        <v>0</v>
      </c>
      <c r="FA90" s="677">
        <f t="shared" si="84"/>
        <v>0</v>
      </c>
      <c r="FB90" s="678">
        <f t="shared" si="85"/>
        <v>0</v>
      </c>
      <c r="FC90" s="679">
        <f t="shared" si="86"/>
        <v>0</v>
      </c>
      <c r="FD90" s="680"/>
      <c r="FE90" s="681"/>
      <c r="FF90" s="682"/>
      <c r="FG90" s="682"/>
      <c r="FH90" s="683"/>
      <c r="FI90" s="684"/>
      <c r="FJ90" s="680"/>
      <c r="FK90" s="681"/>
      <c r="FL90" s="682"/>
      <c r="FM90" s="682"/>
      <c r="FN90" s="683"/>
      <c r="FO90" s="684"/>
      <c r="FP90" s="680"/>
      <c r="FQ90" s="681"/>
      <c r="FR90" s="682"/>
      <c r="FS90" s="682"/>
      <c r="FT90" s="683"/>
      <c r="FU90" s="684"/>
      <c r="FV90" s="680"/>
      <c r="FW90" s="681"/>
      <c r="FX90" s="682"/>
      <c r="FY90" s="682"/>
      <c r="FZ90" s="683"/>
      <c r="GA90" s="684"/>
      <c r="GB90" s="675"/>
      <c r="GC90" s="676">
        <f t="shared" si="38"/>
        <v>0</v>
      </c>
      <c r="GD90" s="677">
        <f t="shared" si="39"/>
        <v>0</v>
      </c>
      <c r="GE90" s="677">
        <f t="shared" si="87"/>
        <v>0</v>
      </c>
      <c r="GF90" s="678">
        <f t="shared" si="88"/>
        <v>0</v>
      </c>
      <c r="GG90" s="679">
        <f t="shared" si="89"/>
        <v>0</v>
      </c>
      <c r="GH90" s="680"/>
      <c r="GI90" s="681"/>
      <c r="GJ90" s="682"/>
      <c r="GK90" s="682"/>
      <c r="GL90" s="683"/>
      <c r="GM90" s="684"/>
      <c r="GN90" s="680"/>
      <c r="GO90" s="681"/>
      <c r="GP90" s="682"/>
      <c r="GQ90" s="682"/>
      <c r="GR90" s="683"/>
      <c r="GS90" s="684"/>
      <c r="GT90" s="680"/>
      <c r="GU90" s="681"/>
      <c r="GV90" s="682"/>
      <c r="GW90" s="682"/>
      <c r="GX90" s="683"/>
      <c r="GY90" s="684"/>
      <c r="GZ90" s="680"/>
      <c r="HA90" s="147"/>
      <c r="HB90" s="148"/>
      <c r="HC90" s="148"/>
      <c r="HD90" s="149"/>
      <c r="HE90" s="150"/>
      <c r="HF90" s="506"/>
      <c r="HG90" s="502"/>
      <c r="HH90" s="502"/>
      <c r="HI90" s="502"/>
      <c r="HJ90" s="8"/>
    </row>
    <row r="91" spans="2:218" ht="21">
      <c r="B91" s="488">
        <v>47</v>
      </c>
      <c r="C91" s="489" t="s">
        <v>193</v>
      </c>
      <c r="D91" s="490" t="s">
        <v>25</v>
      </c>
      <c r="E91" s="491" t="s">
        <v>416</v>
      </c>
      <c r="F91" s="492"/>
      <c r="G91" s="493"/>
      <c r="H91" s="146" t="s">
        <v>486</v>
      </c>
      <c r="I91" s="494" t="str">
        <f t="shared" si="4"/>
        <v>ons</v>
      </c>
      <c r="J91" s="495" t="s">
        <v>487</v>
      </c>
      <c r="K91" s="151">
        <v>1</v>
      </c>
      <c r="L91" s="256">
        <f>IF($C$5&lt;3000,(Bron!H80*$C$5)+Bron!I80,(Bron!M80*$C$5)+Bron!N80)</f>
        <v>1000</v>
      </c>
      <c r="M91" s="256"/>
      <c r="N91" s="496">
        <f t="shared" ref="N91:N154" si="90">($C$19*P91)+($C$18*Q91)+($C$20*R91)</f>
        <v>291.019992</v>
      </c>
      <c r="O91" s="497">
        <f t="shared" ref="O91:O154" si="91">IF(N91=0,"",(L91+M91)/N91)</f>
        <v>3.4361900470397924</v>
      </c>
      <c r="P91" s="257"/>
      <c r="Q91" s="257">
        <f>IF($C$5&lt;3000,$AN$31*Bron!K80,$AN$31*Bron!P80)</f>
        <v>1145.748</v>
      </c>
      <c r="R91" s="257">
        <f>IF($C$5&lt;3000,$AN$33*Bron!J80,$AN$33*Bron!O80)</f>
        <v>0</v>
      </c>
      <c r="S91" s="344"/>
      <c r="T91" s="258">
        <f t="shared" si="6"/>
        <v>1</v>
      </c>
      <c r="U91" s="259">
        <f t="shared" si="7"/>
        <v>0</v>
      </c>
      <c r="V91" s="675"/>
      <c r="W91" s="676">
        <f t="shared" si="8"/>
        <v>0</v>
      </c>
      <c r="X91" s="677">
        <f t="shared" si="9"/>
        <v>0</v>
      </c>
      <c r="Y91" s="677">
        <f t="shared" si="42"/>
        <v>0</v>
      </c>
      <c r="Z91" s="678">
        <f t="shared" si="43"/>
        <v>0</v>
      </c>
      <c r="AA91" s="679">
        <f t="shared" si="44"/>
        <v>0</v>
      </c>
      <c r="AB91" s="675"/>
      <c r="AC91" s="676">
        <f t="shared" si="10"/>
        <v>0</v>
      </c>
      <c r="AD91" s="677">
        <f t="shared" si="11"/>
        <v>0</v>
      </c>
      <c r="AE91" s="677">
        <f t="shared" si="45"/>
        <v>0</v>
      </c>
      <c r="AF91" s="678">
        <f t="shared" si="46"/>
        <v>0</v>
      </c>
      <c r="AG91" s="679">
        <f t="shared" si="47"/>
        <v>0</v>
      </c>
      <c r="AH91" s="675"/>
      <c r="AI91" s="676">
        <f t="shared" si="12"/>
        <v>0</v>
      </c>
      <c r="AJ91" s="677">
        <f t="shared" si="13"/>
        <v>0</v>
      </c>
      <c r="AK91" s="677">
        <f t="shared" si="48"/>
        <v>0</v>
      </c>
      <c r="AL91" s="678">
        <f t="shared" si="49"/>
        <v>0</v>
      </c>
      <c r="AM91" s="679">
        <f t="shared" si="50"/>
        <v>0</v>
      </c>
      <c r="AN91" s="675"/>
      <c r="AO91" s="676">
        <f t="shared" si="14"/>
        <v>0</v>
      </c>
      <c r="AP91" s="677">
        <f t="shared" si="15"/>
        <v>0</v>
      </c>
      <c r="AQ91" s="677">
        <f t="shared" si="51"/>
        <v>0</v>
      </c>
      <c r="AR91" s="678">
        <f t="shared" si="52"/>
        <v>0</v>
      </c>
      <c r="AS91" s="679">
        <f t="shared" si="53"/>
        <v>0</v>
      </c>
      <c r="AT91" s="675"/>
      <c r="AU91" s="676">
        <f t="shared" si="16"/>
        <v>0</v>
      </c>
      <c r="AV91" s="677">
        <f t="shared" si="17"/>
        <v>0</v>
      </c>
      <c r="AW91" s="677">
        <f t="shared" si="54"/>
        <v>0</v>
      </c>
      <c r="AX91" s="678">
        <f t="shared" si="55"/>
        <v>0</v>
      </c>
      <c r="AY91" s="679">
        <f t="shared" si="56"/>
        <v>0</v>
      </c>
      <c r="AZ91" s="675"/>
      <c r="BA91" s="676">
        <f t="shared" si="18"/>
        <v>0</v>
      </c>
      <c r="BB91" s="677">
        <f t="shared" si="19"/>
        <v>0</v>
      </c>
      <c r="BC91" s="677">
        <f t="shared" si="57"/>
        <v>0</v>
      </c>
      <c r="BD91" s="678">
        <f t="shared" si="58"/>
        <v>0</v>
      </c>
      <c r="BE91" s="679">
        <f t="shared" si="59"/>
        <v>0</v>
      </c>
      <c r="BF91" s="675"/>
      <c r="BG91" s="676">
        <f t="shared" si="20"/>
        <v>0</v>
      </c>
      <c r="BH91" s="677">
        <f t="shared" si="21"/>
        <v>0</v>
      </c>
      <c r="BI91" s="677">
        <f t="shared" si="60"/>
        <v>0</v>
      </c>
      <c r="BJ91" s="678">
        <f t="shared" si="61"/>
        <v>0</v>
      </c>
      <c r="BK91" s="679">
        <f t="shared" si="62"/>
        <v>0</v>
      </c>
      <c r="BL91" s="675"/>
      <c r="BM91" s="676">
        <f t="shared" si="22"/>
        <v>0</v>
      </c>
      <c r="BN91" s="677">
        <f t="shared" si="23"/>
        <v>0</v>
      </c>
      <c r="BO91" s="677">
        <f t="shared" si="63"/>
        <v>0</v>
      </c>
      <c r="BP91" s="678">
        <f t="shared" si="64"/>
        <v>0</v>
      </c>
      <c r="BQ91" s="679">
        <f t="shared" si="65"/>
        <v>0</v>
      </c>
      <c r="BR91" s="675"/>
      <c r="BS91" s="676">
        <f t="shared" si="24"/>
        <v>0</v>
      </c>
      <c r="BT91" s="677">
        <f t="shared" si="25"/>
        <v>0</v>
      </c>
      <c r="BU91" s="677">
        <f t="shared" si="66"/>
        <v>0</v>
      </c>
      <c r="BV91" s="678">
        <f t="shared" si="67"/>
        <v>0</v>
      </c>
      <c r="BW91" s="679">
        <f t="shared" si="68"/>
        <v>0</v>
      </c>
      <c r="BX91" s="675"/>
      <c r="BY91" s="676">
        <f t="shared" si="26"/>
        <v>0</v>
      </c>
      <c r="BZ91" s="677">
        <f t="shared" si="27"/>
        <v>0</v>
      </c>
      <c r="CA91" s="677">
        <f t="shared" si="69"/>
        <v>0</v>
      </c>
      <c r="CB91" s="678">
        <f t="shared" si="70"/>
        <v>0</v>
      </c>
      <c r="CC91" s="679">
        <f t="shared" si="71"/>
        <v>0</v>
      </c>
      <c r="CD91" s="675"/>
      <c r="CE91" s="676">
        <f t="shared" si="28"/>
        <v>0</v>
      </c>
      <c r="CF91" s="677">
        <f t="shared" si="29"/>
        <v>0</v>
      </c>
      <c r="CG91" s="677">
        <f t="shared" si="72"/>
        <v>0</v>
      </c>
      <c r="CH91" s="678">
        <f t="shared" si="73"/>
        <v>0</v>
      </c>
      <c r="CI91" s="679">
        <f t="shared" si="74"/>
        <v>0</v>
      </c>
      <c r="CJ91" s="675"/>
      <c r="CK91" s="676">
        <f t="shared" si="30"/>
        <v>0</v>
      </c>
      <c r="CL91" s="677">
        <f t="shared" si="31"/>
        <v>0</v>
      </c>
      <c r="CM91" s="677">
        <f t="shared" si="75"/>
        <v>0</v>
      </c>
      <c r="CN91" s="678">
        <f t="shared" si="76"/>
        <v>0</v>
      </c>
      <c r="CO91" s="679">
        <f t="shared" si="77"/>
        <v>0</v>
      </c>
      <c r="CP91" s="675"/>
      <c r="CQ91" s="676">
        <f t="shared" si="32"/>
        <v>0</v>
      </c>
      <c r="CR91" s="677">
        <f t="shared" si="33"/>
        <v>0</v>
      </c>
      <c r="CS91" s="677">
        <f t="shared" si="78"/>
        <v>0</v>
      </c>
      <c r="CT91" s="678">
        <f t="shared" si="79"/>
        <v>0</v>
      </c>
      <c r="CU91" s="679">
        <f t="shared" si="80"/>
        <v>0</v>
      </c>
      <c r="CV91" s="685"/>
      <c r="CW91" s="681"/>
      <c r="CX91" s="682"/>
      <c r="CY91" s="682"/>
      <c r="CZ91" s="683"/>
      <c r="DA91" s="684"/>
      <c r="DB91" s="685"/>
      <c r="DC91" s="681"/>
      <c r="DD91" s="682"/>
      <c r="DE91" s="682"/>
      <c r="DF91" s="683"/>
      <c r="DG91" s="684"/>
      <c r="DH91" s="685"/>
      <c r="DI91" s="681"/>
      <c r="DJ91" s="682"/>
      <c r="DK91" s="682"/>
      <c r="DL91" s="683"/>
      <c r="DM91" s="684"/>
      <c r="DN91" s="685"/>
      <c r="DO91" s="681"/>
      <c r="DP91" s="682"/>
      <c r="DQ91" s="682"/>
      <c r="DR91" s="683"/>
      <c r="DS91" s="684"/>
      <c r="DT91" s="675"/>
      <c r="DU91" s="676">
        <f t="shared" si="34"/>
        <v>0</v>
      </c>
      <c r="DV91" s="677">
        <f t="shared" si="35"/>
        <v>0</v>
      </c>
      <c r="DW91" s="677">
        <f t="shared" si="81"/>
        <v>0</v>
      </c>
      <c r="DX91" s="678">
        <f t="shared" si="82"/>
        <v>0</v>
      </c>
      <c r="DY91" s="679">
        <f t="shared" si="83"/>
        <v>0</v>
      </c>
      <c r="DZ91" s="680"/>
      <c r="EA91" s="681"/>
      <c r="EB91" s="682"/>
      <c r="EC91" s="682"/>
      <c r="ED91" s="683"/>
      <c r="EE91" s="684"/>
      <c r="EF91" s="680"/>
      <c r="EG91" s="681"/>
      <c r="EH91" s="682"/>
      <c r="EI91" s="682"/>
      <c r="EJ91" s="683"/>
      <c r="EK91" s="684"/>
      <c r="EL91" s="680"/>
      <c r="EM91" s="681"/>
      <c r="EN91" s="682"/>
      <c r="EO91" s="682"/>
      <c r="EP91" s="683"/>
      <c r="EQ91" s="684"/>
      <c r="ER91" s="680"/>
      <c r="ES91" s="681"/>
      <c r="ET91" s="682"/>
      <c r="EU91" s="682"/>
      <c r="EV91" s="683"/>
      <c r="EW91" s="684"/>
      <c r="EX91" s="675"/>
      <c r="EY91" s="676">
        <f t="shared" si="36"/>
        <v>0</v>
      </c>
      <c r="EZ91" s="677">
        <f t="shared" si="37"/>
        <v>0</v>
      </c>
      <c r="FA91" s="677">
        <f t="shared" si="84"/>
        <v>0</v>
      </c>
      <c r="FB91" s="678">
        <f t="shared" si="85"/>
        <v>0</v>
      </c>
      <c r="FC91" s="679">
        <f t="shared" si="86"/>
        <v>0</v>
      </c>
      <c r="FD91" s="680"/>
      <c r="FE91" s="681"/>
      <c r="FF91" s="682"/>
      <c r="FG91" s="682"/>
      <c r="FH91" s="683"/>
      <c r="FI91" s="684"/>
      <c r="FJ91" s="680"/>
      <c r="FK91" s="681"/>
      <c r="FL91" s="682"/>
      <c r="FM91" s="682"/>
      <c r="FN91" s="683"/>
      <c r="FO91" s="684"/>
      <c r="FP91" s="680"/>
      <c r="FQ91" s="681"/>
      <c r="FR91" s="682"/>
      <c r="FS91" s="682"/>
      <c r="FT91" s="683"/>
      <c r="FU91" s="684"/>
      <c r="FV91" s="680"/>
      <c r="FW91" s="681"/>
      <c r="FX91" s="682"/>
      <c r="FY91" s="682"/>
      <c r="FZ91" s="683"/>
      <c r="GA91" s="684"/>
      <c r="GB91" s="675"/>
      <c r="GC91" s="676">
        <f t="shared" si="38"/>
        <v>0</v>
      </c>
      <c r="GD91" s="677">
        <f t="shared" si="39"/>
        <v>0</v>
      </c>
      <c r="GE91" s="677">
        <f t="shared" si="87"/>
        <v>0</v>
      </c>
      <c r="GF91" s="678">
        <f t="shared" si="88"/>
        <v>0</v>
      </c>
      <c r="GG91" s="679">
        <f t="shared" si="89"/>
        <v>0</v>
      </c>
      <c r="GH91" s="680"/>
      <c r="GI91" s="681"/>
      <c r="GJ91" s="682"/>
      <c r="GK91" s="682"/>
      <c r="GL91" s="683"/>
      <c r="GM91" s="684"/>
      <c r="GN91" s="680"/>
      <c r="GO91" s="681"/>
      <c r="GP91" s="682"/>
      <c r="GQ91" s="682"/>
      <c r="GR91" s="683"/>
      <c r="GS91" s="684"/>
      <c r="GT91" s="680"/>
      <c r="GU91" s="681"/>
      <c r="GV91" s="682"/>
      <c r="GW91" s="682"/>
      <c r="GX91" s="683"/>
      <c r="GY91" s="684"/>
      <c r="GZ91" s="680"/>
      <c r="HA91" s="147"/>
      <c r="HB91" s="148"/>
      <c r="HC91" s="148"/>
      <c r="HD91" s="149"/>
      <c r="HE91" s="150"/>
      <c r="HF91" s="506"/>
      <c r="HG91" s="502"/>
      <c r="HH91" s="502"/>
      <c r="HI91" s="502"/>
      <c r="HJ91" s="8"/>
    </row>
    <row r="92" spans="2:218" ht="21">
      <c r="B92" s="488">
        <v>48</v>
      </c>
      <c r="C92" s="489" t="s">
        <v>193</v>
      </c>
      <c r="D92" s="490" t="s">
        <v>28</v>
      </c>
      <c r="E92" s="491" t="s">
        <v>194</v>
      </c>
      <c r="F92" s="492"/>
      <c r="G92" s="493"/>
      <c r="H92" s="146" t="s">
        <v>486</v>
      </c>
      <c r="I92" s="494" t="str">
        <f t="shared" si="4"/>
        <v>ons</v>
      </c>
      <c r="J92" s="495" t="s">
        <v>487</v>
      </c>
      <c r="K92" s="151">
        <v>1</v>
      </c>
      <c r="L92" s="256">
        <f>IF($C$5&lt;3000,(Bron!H81*$C$5)+Bron!I81,(Bron!M81*$C$5)+Bron!N81)</f>
        <v>1000</v>
      </c>
      <c r="M92" s="256"/>
      <c r="N92" s="496">
        <f t="shared" si="90"/>
        <v>0</v>
      </c>
      <c r="O92" s="497" t="str">
        <f t="shared" si="91"/>
        <v/>
      </c>
      <c r="P92" s="257"/>
      <c r="Q92" s="257">
        <f>IF($C$5&lt;3000,$AN$31*Bron!K81,$AN$31*Bron!P81)</f>
        <v>0</v>
      </c>
      <c r="R92" s="257">
        <f>IF($C$5&lt;3000,$AN$33*Bron!J81,$AN$33*Bron!O81)</f>
        <v>0</v>
      </c>
      <c r="S92" s="344"/>
      <c r="T92" s="258">
        <f t="shared" si="6"/>
        <v>1</v>
      </c>
      <c r="U92" s="259">
        <f t="shared" si="7"/>
        <v>0</v>
      </c>
      <c r="V92" s="675"/>
      <c r="W92" s="676">
        <f t="shared" si="8"/>
        <v>0</v>
      </c>
      <c r="X92" s="677">
        <f t="shared" si="9"/>
        <v>0</v>
      </c>
      <c r="Y92" s="677">
        <f t="shared" si="42"/>
        <v>0</v>
      </c>
      <c r="Z92" s="678">
        <f t="shared" si="43"/>
        <v>0</v>
      </c>
      <c r="AA92" s="679">
        <f t="shared" si="44"/>
        <v>0</v>
      </c>
      <c r="AB92" s="675"/>
      <c r="AC92" s="676">
        <f t="shared" si="10"/>
        <v>0</v>
      </c>
      <c r="AD92" s="677">
        <f t="shared" si="11"/>
        <v>0</v>
      </c>
      <c r="AE92" s="677">
        <f t="shared" si="45"/>
        <v>0</v>
      </c>
      <c r="AF92" s="678">
        <f t="shared" si="46"/>
        <v>0</v>
      </c>
      <c r="AG92" s="679">
        <f t="shared" si="47"/>
        <v>0</v>
      </c>
      <c r="AH92" s="675"/>
      <c r="AI92" s="676">
        <f t="shared" si="12"/>
        <v>0</v>
      </c>
      <c r="AJ92" s="677">
        <f t="shared" si="13"/>
        <v>0</v>
      </c>
      <c r="AK92" s="677">
        <f t="shared" si="48"/>
        <v>0</v>
      </c>
      <c r="AL92" s="678">
        <f t="shared" si="49"/>
        <v>0</v>
      </c>
      <c r="AM92" s="679">
        <f t="shared" si="50"/>
        <v>0</v>
      </c>
      <c r="AN92" s="675"/>
      <c r="AO92" s="676">
        <f t="shared" si="14"/>
        <v>0</v>
      </c>
      <c r="AP92" s="677">
        <f t="shared" si="15"/>
        <v>0</v>
      </c>
      <c r="AQ92" s="677">
        <f t="shared" si="51"/>
        <v>0</v>
      </c>
      <c r="AR92" s="678">
        <f t="shared" si="52"/>
        <v>0</v>
      </c>
      <c r="AS92" s="679">
        <f t="shared" si="53"/>
        <v>0</v>
      </c>
      <c r="AT92" s="675"/>
      <c r="AU92" s="676">
        <f t="shared" si="16"/>
        <v>0</v>
      </c>
      <c r="AV92" s="677">
        <f t="shared" si="17"/>
        <v>0</v>
      </c>
      <c r="AW92" s="677">
        <f t="shared" si="54"/>
        <v>0</v>
      </c>
      <c r="AX92" s="678">
        <f t="shared" si="55"/>
        <v>0</v>
      </c>
      <c r="AY92" s="679">
        <f t="shared" si="56"/>
        <v>0</v>
      </c>
      <c r="AZ92" s="675"/>
      <c r="BA92" s="676">
        <f t="shared" si="18"/>
        <v>0</v>
      </c>
      <c r="BB92" s="677">
        <f t="shared" si="19"/>
        <v>0</v>
      </c>
      <c r="BC92" s="677">
        <f t="shared" si="57"/>
        <v>0</v>
      </c>
      <c r="BD92" s="678">
        <f t="shared" si="58"/>
        <v>0</v>
      </c>
      <c r="BE92" s="679">
        <f t="shared" si="59"/>
        <v>0</v>
      </c>
      <c r="BF92" s="675"/>
      <c r="BG92" s="676">
        <f t="shared" si="20"/>
        <v>0</v>
      </c>
      <c r="BH92" s="677">
        <f t="shared" si="21"/>
        <v>0</v>
      </c>
      <c r="BI92" s="677">
        <f t="shared" si="60"/>
        <v>0</v>
      </c>
      <c r="BJ92" s="678">
        <f t="shared" si="61"/>
        <v>0</v>
      </c>
      <c r="BK92" s="679">
        <f t="shared" si="62"/>
        <v>0</v>
      </c>
      <c r="BL92" s="675"/>
      <c r="BM92" s="676">
        <f t="shared" si="22"/>
        <v>0</v>
      </c>
      <c r="BN92" s="677">
        <f t="shared" si="23"/>
        <v>0</v>
      </c>
      <c r="BO92" s="677">
        <f t="shared" si="63"/>
        <v>0</v>
      </c>
      <c r="BP92" s="678">
        <f t="shared" si="64"/>
        <v>0</v>
      </c>
      <c r="BQ92" s="679">
        <f t="shared" si="65"/>
        <v>0</v>
      </c>
      <c r="BR92" s="675"/>
      <c r="BS92" s="676">
        <f t="shared" si="24"/>
        <v>0</v>
      </c>
      <c r="BT92" s="677">
        <f t="shared" si="25"/>
        <v>0</v>
      </c>
      <c r="BU92" s="677">
        <f t="shared" si="66"/>
        <v>0</v>
      </c>
      <c r="BV92" s="678">
        <f t="shared" si="67"/>
        <v>0</v>
      </c>
      <c r="BW92" s="679">
        <f t="shared" si="68"/>
        <v>0</v>
      </c>
      <c r="BX92" s="675"/>
      <c r="BY92" s="676">
        <f t="shared" si="26"/>
        <v>0</v>
      </c>
      <c r="BZ92" s="677">
        <f t="shared" si="27"/>
        <v>0</v>
      </c>
      <c r="CA92" s="677">
        <f t="shared" si="69"/>
        <v>0</v>
      </c>
      <c r="CB92" s="678">
        <f t="shared" si="70"/>
        <v>0</v>
      </c>
      <c r="CC92" s="679">
        <f t="shared" si="71"/>
        <v>0</v>
      </c>
      <c r="CD92" s="675"/>
      <c r="CE92" s="676">
        <f t="shared" si="28"/>
        <v>0</v>
      </c>
      <c r="CF92" s="677">
        <f t="shared" si="29"/>
        <v>0</v>
      </c>
      <c r="CG92" s="677">
        <f t="shared" si="72"/>
        <v>0</v>
      </c>
      <c r="CH92" s="678">
        <f t="shared" si="73"/>
        <v>0</v>
      </c>
      <c r="CI92" s="679">
        <f t="shared" si="74"/>
        <v>0</v>
      </c>
      <c r="CJ92" s="675"/>
      <c r="CK92" s="676">
        <f t="shared" si="30"/>
        <v>0</v>
      </c>
      <c r="CL92" s="677">
        <f t="shared" si="31"/>
        <v>0</v>
      </c>
      <c r="CM92" s="677">
        <f t="shared" si="75"/>
        <v>0</v>
      </c>
      <c r="CN92" s="678">
        <f t="shared" si="76"/>
        <v>0</v>
      </c>
      <c r="CO92" s="679">
        <f t="shared" si="77"/>
        <v>0</v>
      </c>
      <c r="CP92" s="675"/>
      <c r="CQ92" s="676">
        <f t="shared" si="32"/>
        <v>0</v>
      </c>
      <c r="CR92" s="677">
        <f t="shared" si="33"/>
        <v>0</v>
      </c>
      <c r="CS92" s="677">
        <f t="shared" si="78"/>
        <v>0</v>
      </c>
      <c r="CT92" s="678">
        <f t="shared" si="79"/>
        <v>0</v>
      </c>
      <c r="CU92" s="679">
        <f t="shared" si="80"/>
        <v>0</v>
      </c>
      <c r="CV92" s="685"/>
      <c r="CW92" s="681"/>
      <c r="CX92" s="682"/>
      <c r="CY92" s="682"/>
      <c r="CZ92" s="683"/>
      <c r="DA92" s="684"/>
      <c r="DB92" s="685"/>
      <c r="DC92" s="681"/>
      <c r="DD92" s="682"/>
      <c r="DE92" s="682"/>
      <c r="DF92" s="683"/>
      <c r="DG92" s="684"/>
      <c r="DH92" s="685"/>
      <c r="DI92" s="681"/>
      <c r="DJ92" s="682"/>
      <c r="DK92" s="682"/>
      <c r="DL92" s="683"/>
      <c r="DM92" s="684"/>
      <c r="DN92" s="685"/>
      <c r="DO92" s="681"/>
      <c r="DP92" s="682"/>
      <c r="DQ92" s="682"/>
      <c r="DR92" s="683"/>
      <c r="DS92" s="684"/>
      <c r="DT92" s="675"/>
      <c r="DU92" s="676">
        <f t="shared" si="34"/>
        <v>0</v>
      </c>
      <c r="DV92" s="677">
        <f t="shared" si="35"/>
        <v>0</v>
      </c>
      <c r="DW92" s="677">
        <f t="shared" si="81"/>
        <v>0</v>
      </c>
      <c r="DX92" s="678">
        <f t="shared" si="82"/>
        <v>0</v>
      </c>
      <c r="DY92" s="679">
        <f t="shared" si="83"/>
        <v>0</v>
      </c>
      <c r="DZ92" s="680"/>
      <c r="EA92" s="681"/>
      <c r="EB92" s="682"/>
      <c r="EC92" s="682"/>
      <c r="ED92" s="683"/>
      <c r="EE92" s="684"/>
      <c r="EF92" s="680"/>
      <c r="EG92" s="681"/>
      <c r="EH92" s="682"/>
      <c r="EI92" s="682"/>
      <c r="EJ92" s="683"/>
      <c r="EK92" s="684"/>
      <c r="EL92" s="680"/>
      <c r="EM92" s="681"/>
      <c r="EN92" s="682"/>
      <c r="EO92" s="682"/>
      <c r="EP92" s="683"/>
      <c r="EQ92" s="684"/>
      <c r="ER92" s="680"/>
      <c r="ES92" s="681"/>
      <c r="ET92" s="682"/>
      <c r="EU92" s="682"/>
      <c r="EV92" s="683"/>
      <c r="EW92" s="684"/>
      <c r="EX92" s="675"/>
      <c r="EY92" s="676">
        <f t="shared" si="36"/>
        <v>0</v>
      </c>
      <c r="EZ92" s="677">
        <f t="shared" si="37"/>
        <v>0</v>
      </c>
      <c r="FA92" s="677">
        <f t="shared" si="84"/>
        <v>0</v>
      </c>
      <c r="FB92" s="678">
        <f t="shared" si="85"/>
        <v>0</v>
      </c>
      <c r="FC92" s="679">
        <f t="shared" si="86"/>
        <v>0</v>
      </c>
      <c r="FD92" s="680"/>
      <c r="FE92" s="681"/>
      <c r="FF92" s="682"/>
      <c r="FG92" s="682"/>
      <c r="FH92" s="683"/>
      <c r="FI92" s="684"/>
      <c r="FJ92" s="680"/>
      <c r="FK92" s="681"/>
      <c r="FL92" s="682"/>
      <c r="FM92" s="682"/>
      <c r="FN92" s="683"/>
      <c r="FO92" s="684"/>
      <c r="FP92" s="680"/>
      <c r="FQ92" s="681"/>
      <c r="FR92" s="682"/>
      <c r="FS92" s="682"/>
      <c r="FT92" s="683"/>
      <c r="FU92" s="684"/>
      <c r="FV92" s="680"/>
      <c r="FW92" s="681"/>
      <c r="FX92" s="682"/>
      <c r="FY92" s="682"/>
      <c r="FZ92" s="683"/>
      <c r="GA92" s="684"/>
      <c r="GB92" s="675"/>
      <c r="GC92" s="676">
        <f t="shared" si="38"/>
        <v>0</v>
      </c>
      <c r="GD92" s="677">
        <f t="shared" si="39"/>
        <v>0</v>
      </c>
      <c r="GE92" s="677">
        <f t="shared" si="87"/>
        <v>0</v>
      </c>
      <c r="GF92" s="678">
        <f t="shared" si="88"/>
        <v>0</v>
      </c>
      <c r="GG92" s="679">
        <f t="shared" si="89"/>
        <v>0</v>
      </c>
      <c r="GH92" s="680"/>
      <c r="GI92" s="681"/>
      <c r="GJ92" s="682"/>
      <c r="GK92" s="682"/>
      <c r="GL92" s="683"/>
      <c r="GM92" s="684"/>
      <c r="GN92" s="680"/>
      <c r="GO92" s="681"/>
      <c r="GP92" s="682"/>
      <c r="GQ92" s="682"/>
      <c r="GR92" s="683"/>
      <c r="GS92" s="684"/>
      <c r="GT92" s="680"/>
      <c r="GU92" s="681"/>
      <c r="GV92" s="682"/>
      <c r="GW92" s="682"/>
      <c r="GX92" s="683"/>
      <c r="GY92" s="684"/>
      <c r="GZ92" s="680"/>
      <c r="HA92" s="147"/>
      <c r="HB92" s="148"/>
      <c r="HC92" s="148"/>
      <c r="HD92" s="149"/>
      <c r="HE92" s="150"/>
      <c r="HF92" s="506"/>
      <c r="HG92" s="502"/>
      <c r="HH92" s="502"/>
      <c r="HI92" s="502"/>
      <c r="HJ92" s="8"/>
    </row>
    <row r="93" spans="2:218" ht="21" hidden="1">
      <c r="B93" s="488">
        <v>49</v>
      </c>
      <c r="C93" s="489" t="s">
        <v>193</v>
      </c>
      <c r="D93" s="490" t="s">
        <v>195</v>
      </c>
      <c r="E93" s="491" t="s">
        <v>196</v>
      </c>
      <c r="F93" s="492"/>
      <c r="G93" s="493"/>
      <c r="H93" s="146" t="s">
        <v>97</v>
      </c>
      <c r="I93" s="494" t="str">
        <f t="shared" si="4"/>
        <v>n.v.t.</v>
      </c>
      <c r="J93" s="495"/>
      <c r="K93" s="151">
        <v>0</v>
      </c>
      <c r="L93" s="256"/>
      <c r="M93" s="256">
        <f>IF($C$5&lt;3000,(Bron!H82*$C$5)+Bron!I82,(Bron!M82*$C$5)+Bron!N82)</f>
        <v>0</v>
      </c>
      <c r="N93" s="496">
        <f t="shared" si="90"/>
        <v>0</v>
      </c>
      <c r="O93" s="497" t="str">
        <f t="shared" si="91"/>
        <v/>
      </c>
      <c r="P93" s="257">
        <f>IF($C$5&lt;3000,$AN$32*Bron!J82,$AN$32*Bron!O82)</f>
        <v>0</v>
      </c>
      <c r="Q93" s="257">
        <f>IF($C$5&lt;3000,$AN$31*Bron!K82,$AN$31*Bron!P82)</f>
        <v>0</v>
      </c>
      <c r="R93" s="257">
        <f>IF($C$5&lt;3000,$AN$33*Bron!J82,$AN$33*Bron!O82)</f>
        <v>0</v>
      </c>
      <c r="S93" s="344"/>
      <c r="T93" s="258">
        <f t="shared" si="6"/>
        <v>0</v>
      </c>
      <c r="U93" s="259">
        <f t="shared" si="7"/>
        <v>0</v>
      </c>
      <c r="V93" s="675"/>
      <c r="W93" s="676">
        <f t="shared" si="8"/>
        <v>0</v>
      </c>
      <c r="X93" s="677">
        <f t="shared" si="9"/>
        <v>0</v>
      </c>
      <c r="Y93" s="677">
        <f t="shared" si="42"/>
        <v>0</v>
      </c>
      <c r="Z93" s="678">
        <f t="shared" si="43"/>
        <v>0</v>
      </c>
      <c r="AA93" s="679">
        <f t="shared" si="44"/>
        <v>0</v>
      </c>
      <c r="AB93" s="675"/>
      <c r="AC93" s="676">
        <f t="shared" si="10"/>
        <v>0</v>
      </c>
      <c r="AD93" s="677">
        <f t="shared" si="11"/>
        <v>0</v>
      </c>
      <c r="AE93" s="677">
        <f t="shared" si="45"/>
        <v>0</v>
      </c>
      <c r="AF93" s="678">
        <f t="shared" si="46"/>
        <v>0</v>
      </c>
      <c r="AG93" s="679">
        <f t="shared" si="47"/>
        <v>0</v>
      </c>
      <c r="AH93" s="675"/>
      <c r="AI93" s="676">
        <f t="shared" si="12"/>
        <v>0</v>
      </c>
      <c r="AJ93" s="677">
        <f t="shared" si="13"/>
        <v>0</v>
      </c>
      <c r="AK93" s="677">
        <f t="shared" si="48"/>
        <v>0</v>
      </c>
      <c r="AL93" s="678">
        <f t="shared" si="49"/>
        <v>0</v>
      </c>
      <c r="AM93" s="679">
        <f t="shared" si="50"/>
        <v>0</v>
      </c>
      <c r="AN93" s="675"/>
      <c r="AO93" s="676">
        <f t="shared" si="14"/>
        <v>0</v>
      </c>
      <c r="AP93" s="677">
        <f t="shared" si="15"/>
        <v>0</v>
      </c>
      <c r="AQ93" s="677">
        <f t="shared" si="51"/>
        <v>0</v>
      </c>
      <c r="AR93" s="678">
        <f t="shared" si="52"/>
        <v>0</v>
      </c>
      <c r="AS93" s="679">
        <f t="shared" si="53"/>
        <v>0</v>
      </c>
      <c r="AT93" s="675"/>
      <c r="AU93" s="676">
        <f t="shared" si="16"/>
        <v>0</v>
      </c>
      <c r="AV93" s="677">
        <f t="shared" si="17"/>
        <v>0</v>
      </c>
      <c r="AW93" s="677">
        <f t="shared" si="54"/>
        <v>0</v>
      </c>
      <c r="AX93" s="678">
        <f t="shared" si="55"/>
        <v>0</v>
      </c>
      <c r="AY93" s="679">
        <f t="shared" si="56"/>
        <v>0</v>
      </c>
      <c r="AZ93" s="675"/>
      <c r="BA93" s="676">
        <f t="shared" si="18"/>
        <v>0</v>
      </c>
      <c r="BB93" s="677">
        <f t="shared" si="19"/>
        <v>0</v>
      </c>
      <c r="BC93" s="677">
        <f t="shared" si="57"/>
        <v>0</v>
      </c>
      <c r="BD93" s="678">
        <f t="shared" si="58"/>
        <v>0</v>
      </c>
      <c r="BE93" s="679">
        <f t="shared" si="59"/>
        <v>0</v>
      </c>
      <c r="BF93" s="675"/>
      <c r="BG93" s="676">
        <f t="shared" si="20"/>
        <v>0</v>
      </c>
      <c r="BH93" s="677">
        <f t="shared" si="21"/>
        <v>0</v>
      </c>
      <c r="BI93" s="677">
        <f t="shared" si="60"/>
        <v>0</v>
      </c>
      <c r="BJ93" s="678">
        <f t="shared" si="61"/>
        <v>0</v>
      </c>
      <c r="BK93" s="679">
        <f t="shared" si="62"/>
        <v>0</v>
      </c>
      <c r="BL93" s="675"/>
      <c r="BM93" s="676">
        <f t="shared" si="22"/>
        <v>0</v>
      </c>
      <c r="BN93" s="677">
        <f t="shared" si="23"/>
        <v>0</v>
      </c>
      <c r="BO93" s="677">
        <f t="shared" si="63"/>
        <v>0</v>
      </c>
      <c r="BP93" s="678">
        <f t="shared" si="64"/>
        <v>0</v>
      </c>
      <c r="BQ93" s="679">
        <f t="shared" si="65"/>
        <v>0</v>
      </c>
      <c r="BR93" s="675"/>
      <c r="BS93" s="676">
        <f t="shared" si="24"/>
        <v>0</v>
      </c>
      <c r="BT93" s="677">
        <f t="shared" si="25"/>
        <v>0</v>
      </c>
      <c r="BU93" s="677">
        <f t="shared" si="66"/>
        <v>0</v>
      </c>
      <c r="BV93" s="678">
        <f t="shared" si="67"/>
        <v>0</v>
      </c>
      <c r="BW93" s="679">
        <f t="shared" si="68"/>
        <v>0</v>
      </c>
      <c r="BX93" s="675"/>
      <c r="BY93" s="676">
        <f t="shared" si="26"/>
        <v>0</v>
      </c>
      <c r="BZ93" s="677">
        <f t="shared" si="27"/>
        <v>0</v>
      </c>
      <c r="CA93" s="677">
        <f t="shared" si="69"/>
        <v>0</v>
      </c>
      <c r="CB93" s="678">
        <f t="shared" si="70"/>
        <v>0</v>
      </c>
      <c r="CC93" s="679">
        <f t="shared" si="71"/>
        <v>0</v>
      </c>
      <c r="CD93" s="675"/>
      <c r="CE93" s="676">
        <f t="shared" si="28"/>
        <v>0</v>
      </c>
      <c r="CF93" s="677">
        <f t="shared" si="29"/>
        <v>0</v>
      </c>
      <c r="CG93" s="677">
        <f t="shared" si="72"/>
        <v>0</v>
      </c>
      <c r="CH93" s="678">
        <f t="shared" si="73"/>
        <v>0</v>
      </c>
      <c r="CI93" s="679">
        <f t="shared" si="74"/>
        <v>0</v>
      </c>
      <c r="CJ93" s="675"/>
      <c r="CK93" s="676">
        <f t="shared" si="30"/>
        <v>0</v>
      </c>
      <c r="CL93" s="677">
        <f t="shared" si="31"/>
        <v>0</v>
      </c>
      <c r="CM93" s="677">
        <f t="shared" si="75"/>
        <v>0</v>
      </c>
      <c r="CN93" s="678">
        <f t="shared" si="76"/>
        <v>0</v>
      </c>
      <c r="CO93" s="679">
        <f t="shared" si="77"/>
        <v>0</v>
      </c>
      <c r="CP93" s="675"/>
      <c r="CQ93" s="676">
        <f t="shared" si="32"/>
        <v>0</v>
      </c>
      <c r="CR93" s="677">
        <f t="shared" si="33"/>
        <v>0</v>
      </c>
      <c r="CS93" s="677">
        <f t="shared" si="78"/>
        <v>0</v>
      </c>
      <c r="CT93" s="678">
        <f t="shared" si="79"/>
        <v>0</v>
      </c>
      <c r="CU93" s="679">
        <f t="shared" si="80"/>
        <v>0</v>
      </c>
      <c r="CV93" s="685"/>
      <c r="CW93" s="681"/>
      <c r="CX93" s="682"/>
      <c r="CY93" s="682"/>
      <c r="CZ93" s="683"/>
      <c r="DA93" s="684"/>
      <c r="DB93" s="685"/>
      <c r="DC93" s="681"/>
      <c r="DD93" s="682"/>
      <c r="DE93" s="682"/>
      <c r="DF93" s="683"/>
      <c r="DG93" s="684"/>
      <c r="DH93" s="685"/>
      <c r="DI93" s="681"/>
      <c r="DJ93" s="682"/>
      <c r="DK93" s="682"/>
      <c r="DL93" s="683"/>
      <c r="DM93" s="684"/>
      <c r="DN93" s="685"/>
      <c r="DO93" s="681"/>
      <c r="DP93" s="682"/>
      <c r="DQ93" s="682"/>
      <c r="DR93" s="683"/>
      <c r="DS93" s="684"/>
      <c r="DT93" s="675"/>
      <c r="DU93" s="676">
        <f t="shared" si="34"/>
        <v>0</v>
      </c>
      <c r="DV93" s="677">
        <f t="shared" si="35"/>
        <v>0</v>
      </c>
      <c r="DW93" s="677">
        <f t="shared" si="81"/>
        <v>0</v>
      </c>
      <c r="DX93" s="678">
        <f t="shared" si="82"/>
        <v>0</v>
      </c>
      <c r="DY93" s="679">
        <f t="shared" si="83"/>
        <v>0</v>
      </c>
      <c r="DZ93" s="680"/>
      <c r="EA93" s="681"/>
      <c r="EB93" s="682"/>
      <c r="EC93" s="682"/>
      <c r="ED93" s="683"/>
      <c r="EE93" s="684"/>
      <c r="EF93" s="680"/>
      <c r="EG93" s="681"/>
      <c r="EH93" s="682"/>
      <c r="EI93" s="682"/>
      <c r="EJ93" s="683"/>
      <c r="EK93" s="684"/>
      <c r="EL93" s="680"/>
      <c r="EM93" s="681"/>
      <c r="EN93" s="682"/>
      <c r="EO93" s="682"/>
      <c r="EP93" s="683"/>
      <c r="EQ93" s="684"/>
      <c r="ER93" s="680"/>
      <c r="ES93" s="681"/>
      <c r="ET93" s="682"/>
      <c r="EU93" s="682"/>
      <c r="EV93" s="683"/>
      <c r="EW93" s="684"/>
      <c r="EX93" s="675"/>
      <c r="EY93" s="676">
        <f t="shared" si="36"/>
        <v>0</v>
      </c>
      <c r="EZ93" s="677">
        <f t="shared" si="37"/>
        <v>0</v>
      </c>
      <c r="FA93" s="677">
        <f t="shared" si="84"/>
        <v>0</v>
      </c>
      <c r="FB93" s="678">
        <f t="shared" si="85"/>
        <v>0</v>
      </c>
      <c r="FC93" s="679">
        <f t="shared" si="86"/>
        <v>0</v>
      </c>
      <c r="FD93" s="680"/>
      <c r="FE93" s="681"/>
      <c r="FF93" s="682"/>
      <c r="FG93" s="682"/>
      <c r="FH93" s="683"/>
      <c r="FI93" s="684"/>
      <c r="FJ93" s="680"/>
      <c r="FK93" s="681"/>
      <c r="FL93" s="682"/>
      <c r="FM93" s="682"/>
      <c r="FN93" s="683"/>
      <c r="FO93" s="684"/>
      <c r="FP93" s="680"/>
      <c r="FQ93" s="681"/>
      <c r="FR93" s="682"/>
      <c r="FS93" s="682"/>
      <c r="FT93" s="683"/>
      <c r="FU93" s="684"/>
      <c r="FV93" s="680"/>
      <c r="FW93" s="681"/>
      <c r="FX93" s="682"/>
      <c r="FY93" s="682"/>
      <c r="FZ93" s="683"/>
      <c r="GA93" s="684"/>
      <c r="GB93" s="675"/>
      <c r="GC93" s="676">
        <f t="shared" si="38"/>
        <v>0</v>
      </c>
      <c r="GD93" s="677">
        <f t="shared" si="39"/>
        <v>0</v>
      </c>
      <c r="GE93" s="677">
        <f t="shared" si="87"/>
        <v>0</v>
      </c>
      <c r="GF93" s="678">
        <f t="shared" si="88"/>
        <v>0</v>
      </c>
      <c r="GG93" s="679">
        <f t="shared" si="89"/>
        <v>0</v>
      </c>
      <c r="GH93" s="680"/>
      <c r="GI93" s="681"/>
      <c r="GJ93" s="682"/>
      <c r="GK93" s="682"/>
      <c r="GL93" s="683"/>
      <c r="GM93" s="684"/>
      <c r="GN93" s="680"/>
      <c r="GO93" s="681"/>
      <c r="GP93" s="682"/>
      <c r="GQ93" s="682"/>
      <c r="GR93" s="683"/>
      <c r="GS93" s="684"/>
      <c r="GT93" s="680"/>
      <c r="GU93" s="681"/>
      <c r="GV93" s="682"/>
      <c r="GW93" s="682"/>
      <c r="GX93" s="683"/>
      <c r="GY93" s="684"/>
      <c r="GZ93" s="680"/>
      <c r="HA93" s="147"/>
      <c r="HB93" s="148"/>
      <c r="HC93" s="148"/>
      <c r="HD93" s="149"/>
      <c r="HE93" s="150"/>
      <c r="HF93" s="506"/>
      <c r="HG93" s="502"/>
      <c r="HH93" s="502"/>
      <c r="HI93" s="502"/>
      <c r="HJ93" s="8"/>
    </row>
    <row r="94" spans="2:218" ht="21" hidden="1">
      <c r="B94" s="488">
        <v>50</v>
      </c>
      <c r="C94" s="489" t="s">
        <v>193</v>
      </c>
      <c r="D94" s="490" t="s">
        <v>197</v>
      </c>
      <c r="E94" s="491" t="s">
        <v>417</v>
      </c>
      <c r="F94" s="492"/>
      <c r="G94" s="493"/>
      <c r="H94" s="146" t="s">
        <v>97</v>
      </c>
      <c r="I94" s="494" t="str">
        <f t="shared" si="4"/>
        <v>n.v.t.</v>
      </c>
      <c r="J94" s="495"/>
      <c r="K94" s="151">
        <v>0</v>
      </c>
      <c r="L94" s="256"/>
      <c r="M94" s="256">
        <f>IF($C$5&lt;3000,(Bron!H83*$C$5)+Bron!I83,(Bron!M83*$C$5)+Bron!N83)</f>
        <v>0</v>
      </c>
      <c r="N94" s="496">
        <f t="shared" si="90"/>
        <v>630.54331599999989</v>
      </c>
      <c r="O94" s="497">
        <f t="shared" si="91"/>
        <v>0</v>
      </c>
      <c r="P94" s="257">
        <f>IF($C$5&lt;3000,$AN$32*Bron!J83,$AN$32*Bron!O83)</f>
        <v>0</v>
      </c>
      <c r="Q94" s="257">
        <f>IF($C$5&lt;3000,$AN$31*Bron!K83,$AN$31*Bron!P83)</f>
        <v>2482.4539999999997</v>
      </c>
      <c r="R94" s="257">
        <f>IF($C$5&lt;3000,$AN$33*Bron!J83,$AN$33*Bron!O83)</f>
        <v>0</v>
      </c>
      <c r="S94" s="344"/>
      <c r="T94" s="258">
        <f t="shared" si="6"/>
        <v>0</v>
      </c>
      <c r="U94" s="259">
        <f t="shared" si="7"/>
        <v>0</v>
      </c>
      <c r="V94" s="675"/>
      <c r="W94" s="676">
        <f t="shared" si="8"/>
        <v>0</v>
      </c>
      <c r="X94" s="677">
        <f t="shared" si="9"/>
        <v>0</v>
      </c>
      <c r="Y94" s="677">
        <f t="shared" si="42"/>
        <v>0</v>
      </c>
      <c r="Z94" s="678">
        <f t="shared" si="43"/>
        <v>0</v>
      </c>
      <c r="AA94" s="679">
        <f t="shared" si="44"/>
        <v>0</v>
      </c>
      <c r="AB94" s="675"/>
      <c r="AC94" s="676">
        <f t="shared" si="10"/>
        <v>0</v>
      </c>
      <c r="AD94" s="677">
        <f t="shared" si="11"/>
        <v>0</v>
      </c>
      <c r="AE94" s="677">
        <f t="shared" si="45"/>
        <v>0</v>
      </c>
      <c r="AF94" s="678">
        <f t="shared" si="46"/>
        <v>0</v>
      </c>
      <c r="AG94" s="679">
        <f t="shared" si="47"/>
        <v>0</v>
      </c>
      <c r="AH94" s="675"/>
      <c r="AI94" s="676">
        <f t="shared" si="12"/>
        <v>0</v>
      </c>
      <c r="AJ94" s="677">
        <f t="shared" si="13"/>
        <v>0</v>
      </c>
      <c r="AK94" s="677">
        <f t="shared" si="48"/>
        <v>0</v>
      </c>
      <c r="AL94" s="678">
        <f t="shared" si="49"/>
        <v>0</v>
      </c>
      <c r="AM94" s="679">
        <f t="shared" si="50"/>
        <v>0</v>
      </c>
      <c r="AN94" s="675"/>
      <c r="AO94" s="676">
        <f t="shared" si="14"/>
        <v>0</v>
      </c>
      <c r="AP94" s="677">
        <f t="shared" si="15"/>
        <v>0</v>
      </c>
      <c r="AQ94" s="677">
        <f t="shared" si="51"/>
        <v>0</v>
      </c>
      <c r="AR94" s="678">
        <f t="shared" si="52"/>
        <v>0</v>
      </c>
      <c r="AS94" s="679">
        <f t="shared" si="53"/>
        <v>0</v>
      </c>
      <c r="AT94" s="675"/>
      <c r="AU94" s="676">
        <f t="shared" si="16"/>
        <v>0</v>
      </c>
      <c r="AV94" s="677">
        <f t="shared" si="17"/>
        <v>0</v>
      </c>
      <c r="AW94" s="677">
        <f t="shared" si="54"/>
        <v>0</v>
      </c>
      <c r="AX94" s="678">
        <f t="shared" si="55"/>
        <v>0</v>
      </c>
      <c r="AY94" s="679">
        <f t="shared" si="56"/>
        <v>0</v>
      </c>
      <c r="AZ94" s="675"/>
      <c r="BA94" s="676">
        <f t="shared" si="18"/>
        <v>0</v>
      </c>
      <c r="BB94" s="677">
        <f t="shared" si="19"/>
        <v>0</v>
      </c>
      <c r="BC94" s="677">
        <f t="shared" si="57"/>
        <v>0</v>
      </c>
      <c r="BD94" s="678">
        <f t="shared" si="58"/>
        <v>0</v>
      </c>
      <c r="BE94" s="679">
        <f t="shared" si="59"/>
        <v>0</v>
      </c>
      <c r="BF94" s="675"/>
      <c r="BG94" s="676">
        <f t="shared" si="20"/>
        <v>0</v>
      </c>
      <c r="BH94" s="677">
        <f t="shared" si="21"/>
        <v>0</v>
      </c>
      <c r="BI94" s="677">
        <f t="shared" si="60"/>
        <v>0</v>
      </c>
      <c r="BJ94" s="678">
        <f t="shared" si="61"/>
        <v>0</v>
      </c>
      <c r="BK94" s="679">
        <f t="shared" si="62"/>
        <v>0</v>
      </c>
      <c r="BL94" s="675"/>
      <c r="BM94" s="676">
        <f t="shared" si="22"/>
        <v>0</v>
      </c>
      <c r="BN94" s="677">
        <f t="shared" si="23"/>
        <v>0</v>
      </c>
      <c r="BO94" s="677">
        <f t="shared" si="63"/>
        <v>0</v>
      </c>
      <c r="BP94" s="678">
        <f t="shared" si="64"/>
        <v>0</v>
      </c>
      <c r="BQ94" s="679">
        <f t="shared" si="65"/>
        <v>0</v>
      </c>
      <c r="BR94" s="675"/>
      <c r="BS94" s="676">
        <f t="shared" si="24"/>
        <v>0</v>
      </c>
      <c r="BT94" s="677">
        <f t="shared" si="25"/>
        <v>0</v>
      </c>
      <c r="BU94" s="677">
        <f t="shared" si="66"/>
        <v>0</v>
      </c>
      <c r="BV94" s="678">
        <f t="shared" si="67"/>
        <v>0</v>
      </c>
      <c r="BW94" s="679">
        <f t="shared" si="68"/>
        <v>0</v>
      </c>
      <c r="BX94" s="675"/>
      <c r="BY94" s="676">
        <f t="shared" si="26"/>
        <v>0</v>
      </c>
      <c r="BZ94" s="677">
        <f t="shared" si="27"/>
        <v>0</v>
      </c>
      <c r="CA94" s="677">
        <f t="shared" si="69"/>
        <v>0</v>
      </c>
      <c r="CB94" s="678">
        <f t="shared" si="70"/>
        <v>0</v>
      </c>
      <c r="CC94" s="679">
        <f t="shared" si="71"/>
        <v>0</v>
      </c>
      <c r="CD94" s="675"/>
      <c r="CE94" s="676">
        <f t="shared" si="28"/>
        <v>0</v>
      </c>
      <c r="CF94" s="677">
        <f t="shared" si="29"/>
        <v>0</v>
      </c>
      <c r="CG94" s="677">
        <f t="shared" si="72"/>
        <v>0</v>
      </c>
      <c r="CH94" s="678">
        <f t="shared" si="73"/>
        <v>0</v>
      </c>
      <c r="CI94" s="679">
        <f t="shared" si="74"/>
        <v>0</v>
      </c>
      <c r="CJ94" s="675"/>
      <c r="CK94" s="676">
        <f t="shared" si="30"/>
        <v>0</v>
      </c>
      <c r="CL94" s="677">
        <f t="shared" si="31"/>
        <v>0</v>
      </c>
      <c r="CM94" s="677">
        <f t="shared" si="75"/>
        <v>0</v>
      </c>
      <c r="CN94" s="678">
        <f t="shared" si="76"/>
        <v>0</v>
      </c>
      <c r="CO94" s="679">
        <f t="shared" si="77"/>
        <v>0</v>
      </c>
      <c r="CP94" s="675"/>
      <c r="CQ94" s="676">
        <f t="shared" si="32"/>
        <v>0</v>
      </c>
      <c r="CR94" s="677">
        <f t="shared" si="33"/>
        <v>0</v>
      </c>
      <c r="CS94" s="677">
        <f t="shared" si="78"/>
        <v>0</v>
      </c>
      <c r="CT94" s="678">
        <f t="shared" si="79"/>
        <v>0</v>
      </c>
      <c r="CU94" s="679">
        <f t="shared" si="80"/>
        <v>0</v>
      </c>
      <c r="CV94" s="685"/>
      <c r="CW94" s="681"/>
      <c r="CX94" s="682"/>
      <c r="CY94" s="682"/>
      <c r="CZ94" s="683"/>
      <c r="DA94" s="684"/>
      <c r="DB94" s="685"/>
      <c r="DC94" s="681"/>
      <c r="DD94" s="682"/>
      <c r="DE94" s="682"/>
      <c r="DF94" s="683"/>
      <c r="DG94" s="684"/>
      <c r="DH94" s="685"/>
      <c r="DI94" s="681"/>
      <c r="DJ94" s="682"/>
      <c r="DK94" s="682"/>
      <c r="DL94" s="683"/>
      <c r="DM94" s="684"/>
      <c r="DN94" s="685"/>
      <c r="DO94" s="681"/>
      <c r="DP94" s="682"/>
      <c r="DQ94" s="682"/>
      <c r="DR94" s="683"/>
      <c r="DS94" s="684"/>
      <c r="DT94" s="675"/>
      <c r="DU94" s="676">
        <f t="shared" si="34"/>
        <v>0</v>
      </c>
      <c r="DV94" s="677">
        <f t="shared" si="35"/>
        <v>0</v>
      </c>
      <c r="DW94" s="677">
        <f t="shared" si="81"/>
        <v>0</v>
      </c>
      <c r="DX94" s="678">
        <f t="shared" si="82"/>
        <v>0</v>
      </c>
      <c r="DY94" s="679">
        <f t="shared" si="83"/>
        <v>0</v>
      </c>
      <c r="DZ94" s="680"/>
      <c r="EA94" s="681"/>
      <c r="EB94" s="682"/>
      <c r="EC94" s="682"/>
      <c r="ED94" s="683"/>
      <c r="EE94" s="684"/>
      <c r="EF94" s="680"/>
      <c r="EG94" s="681"/>
      <c r="EH94" s="682"/>
      <c r="EI94" s="682"/>
      <c r="EJ94" s="683"/>
      <c r="EK94" s="684"/>
      <c r="EL94" s="680"/>
      <c r="EM94" s="681"/>
      <c r="EN94" s="682"/>
      <c r="EO94" s="682"/>
      <c r="EP94" s="683"/>
      <c r="EQ94" s="684"/>
      <c r="ER94" s="680"/>
      <c r="ES94" s="681"/>
      <c r="ET94" s="682"/>
      <c r="EU94" s="682"/>
      <c r="EV94" s="683"/>
      <c r="EW94" s="684"/>
      <c r="EX94" s="675"/>
      <c r="EY94" s="676">
        <f t="shared" si="36"/>
        <v>0</v>
      </c>
      <c r="EZ94" s="677">
        <f t="shared" si="37"/>
        <v>0</v>
      </c>
      <c r="FA94" s="677">
        <f t="shared" si="84"/>
        <v>0</v>
      </c>
      <c r="FB94" s="678">
        <f t="shared" si="85"/>
        <v>0</v>
      </c>
      <c r="FC94" s="679">
        <f t="shared" si="86"/>
        <v>0</v>
      </c>
      <c r="FD94" s="680"/>
      <c r="FE94" s="681"/>
      <c r="FF94" s="682"/>
      <c r="FG94" s="682"/>
      <c r="FH94" s="683"/>
      <c r="FI94" s="684"/>
      <c r="FJ94" s="680"/>
      <c r="FK94" s="681"/>
      <c r="FL94" s="682"/>
      <c r="FM94" s="682"/>
      <c r="FN94" s="683"/>
      <c r="FO94" s="684"/>
      <c r="FP94" s="680"/>
      <c r="FQ94" s="681"/>
      <c r="FR94" s="682"/>
      <c r="FS94" s="682"/>
      <c r="FT94" s="683"/>
      <c r="FU94" s="684"/>
      <c r="FV94" s="680"/>
      <c r="FW94" s="681"/>
      <c r="FX94" s="682"/>
      <c r="FY94" s="682"/>
      <c r="FZ94" s="683"/>
      <c r="GA94" s="684"/>
      <c r="GB94" s="675"/>
      <c r="GC94" s="676">
        <f t="shared" si="38"/>
        <v>0</v>
      </c>
      <c r="GD94" s="677">
        <f t="shared" si="39"/>
        <v>0</v>
      </c>
      <c r="GE94" s="677">
        <f t="shared" si="87"/>
        <v>0</v>
      </c>
      <c r="GF94" s="678">
        <f t="shared" si="88"/>
        <v>0</v>
      </c>
      <c r="GG94" s="679">
        <f t="shared" si="89"/>
        <v>0</v>
      </c>
      <c r="GH94" s="680"/>
      <c r="GI94" s="681"/>
      <c r="GJ94" s="682"/>
      <c r="GK94" s="682"/>
      <c r="GL94" s="683"/>
      <c r="GM94" s="684"/>
      <c r="GN94" s="680"/>
      <c r="GO94" s="681"/>
      <c r="GP94" s="682"/>
      <c r="GQ94" s="682"/>
      <c r="GR94" s="683"/>
      <c r="GS94" s="684"/>
      <c r="GT94" s="680"/>
      <c r="GU94" s="681"/>
      <c r="GV94" s="682"/>
      <c r="GW94" s="682"/>
      <c r="GX94" s="683"/>
      <c r="GY94" s="684"/>
      <c r="GZ94" s="680"/>
      <c r="HA94" s="147"/>
      <c r="HB94" s="148"/>
      <c r="HC94" s="148"/>
      <c r="HD94" s="149"/>
      <c r="HE94" s="150"/>
      <c r="HF94" s="506"/>
      <c r="HG94" s="502"/>
      <c r="HH94" s="502"/>
      <c r="HI94" s="502"/>
      <c r="HJ94" s="8"/>
    </row>
    <row r="95" spans="2:218" ht="21">
      <c r="B95" s="488">
        <v>51</v>
      </c>
      <c r="C95" s="489" t="s">
        <v>193</v>
      </c>
      <c r="D95" s="490" t="s">
        <v>198</v>
      </c>
      <c r="E95" s="491" t="s">
        <v>418</v>
      </c>
      <c r="F95" s="492"/>
      <c r="G95" s="493"/>
      <c r="H95" s="146" t="s">
        <v>486</v>
      </c>
      <c r="I95" s="494" t="str">
        <f t="shared" si="4"/>
        <v>ons</v>
      </c>
      <c r="J95" s="495"/>
      <c r="K95" s="151">
        <v>0.8</v>
      </c>
      <c r="L95" s="256"/>
      <c r="M95" s="256">
        <f>IF($C$5&lt;3000,(Bron!H84*$C$5)+Bron!I84,(Bron!M84*$C$5)+Bron!N84)</f>
        <v>0</v>
      </c>
      <c r="N95" s="496">
        <f t="shared" si="90"/>
        <v>630.54331599999989</v>
      </c>
      <c r="O95" s="497">
        <f t="shared" si="91"/>
        <v>0</v>
      </c>
      <c r="P95" s="257">
        <f>IF($C$5&lt;3000,$AN$32*Bron!J84,$AN$32*Bron!O84)</f>
        <v>0</v>
      </c>
      <c r="Q95" s="257">
        <f>IF($C$5&lt;3000,$AN$31*Bron!K84,$AN$31*Bron!P84)</f>
        <v>2482.4539999999997</v>
      </c>
      <c r="R95" s="257">
        <f>IF($C$5&lt;3000,$AN$33*Bron!J84,$AN$33*Bron!O84)</f>
        <v>0</v>
      </c>
      <c r="S95" s="344"/>
      <c r="T95" s="258">
        <f t="shared" si="6"/>
        <v>1</v>
      </c>
      <c r="U95" s="259">
        <f t="shared" si="7"/>
        <v>0</v>
      </c>
      <c r="V95" s="675"/>
      <c r="W95" s="676">
        <f t="shared" si="8"/>
        <v>0</v>
      </c>
      <c r="X95" s="677">
        <f t="shared" si="9"/>
        <v>0</v>
      </c>
      <c r="Y95" s="677">
        <f t="shared" si="42"/>
        <v>0</v>
      </c>
      <c r="Z95" s="678">
        <f t="shared" si="43"/>
        <v>0</v>
      </c>
      <c r="AA95" s="679">
        <f t="shared" si="44"/>
        <v>0</v>
      </c>
      <c r="AB95" s="675"/>
      <c r="AC95" s="676">
        <f t="shared" si="10"/>
        <v>0</v>
      </c>
      <c r="AD95" s="677">
        <f t="shared" si="11"/>
        <v>0</v>
      </c>
      <c r="AE95" s="677">
        <f t="shared" si="45"/>
        <v>0</v>
      </c>
      <c r="AF95" s="678">
        <f t="shared" si="46"/>
        <v>0</v>
      </c>
      <c r="AG95" s="679">
        <f t="shared" si="47"/>
        <v>0</v>
      </c>
      <c r="AH95" s="675"/>
      <c r="AI95" s="676">
        <f t="shared" si="12"/>
        <v>0</v>
      </c>
      <c r="AJ95" s="677">
        <f t="shared" si="13"/>
        <v>0</v>
      </c>
      <c r="AK95" s="677">
        <f t="shared" si="48"/>
        <v>0</v>
      </c>
      <c r="AL95" s="678">
        <f t="shared" si="49"/>
        <v>0</v>
      </c>
      <c r="AM95" s="679">
        <f t="shared" si="50"/>
        <v>0</v>
      </c>
      <c r="AN95" s="675"/>
      <c r="AO95" s="676">
        <f t="shared" si="14"/>
        <v>0</v>
      </c>
      <c r="AP95" s="677">
        <f t="shared" si="15"/>
        <v>0</v>
      </c>
      <c r="AQ95" s="677">
        <f t="shared" si="51"/>
        <v>0</v>
      </c>
      <c r="AR95" s="678">
        <f t="shared" si="52"/>
        <v>0</v>
      </c>
      <c r="AS95" s="679">
        <f t="shared" si="53"/>
        <v>0</v>
      </c>
      <c r="AT95" s="675"/>
      <c r="AU95" s="676">
        <f t="shared" si="16"/>
        <v>0</v>
      </c>
      <c r="AV95" s="677">
        <f t="shared" si="17"/>
        <v>0</v>
      </c>
      <c r="AW95" s="677">
        <f t="shared" si="54"/>
        <v>0</v>
      </c>
      <c r="AX95" s="678">
        <f t="shared" si="55"/>
        <v>0</v>
      </c>
      <c r="AY95" s="679">
        <f t="shared" si="56"/>
        <v>0</v>
      </c>
      <c r="AZ95" s="675">
        <v>0.2</v>
      </c>
      <c r="BA95" s="676">
        <f t="shared" si="18"/>
        <v>0</v>
      </c>
      <c r="BB95" s="677">
        <f t="shared" si="19"/>
        <v>0</v>
      </c>
      <c r="BC95" s="677">
        <f t="shared" si="57"/>
        <v>496.49079999999998</v>
      </c>
      <c r="BD95" s="678">
        <f t="shared" si="58"/>
        <v>0</v>
      </c>
      <c r="BE95" s="679">
        <f t="shared" si="59"/>
        <v>126.10866319999998</v>
      </c>
      <c r="BF95" s="675"/>
      <c r="BG95" s="676">
        <f t="shared" si="20"/>
        <v>0</v>
      </c>
      <c r="BH95" s="677">
        <f t="shared" si="21"/>
        <v>0</v>
      </c>
      <c r="BI95" s="677">
        <f t="shared" si="60"/>
        <v>0</v>
      </c>
      <c r="BJ95" s="678">
        <f t="shared" si="61"/>
        <v>0</v>
      </c>
      <c r="BK95" s="679">
        <f t="shared" si="62"/>
        <v>0</v>
      </c>
      <c r="BL95" s="675"/>
      <c r="BM95" s="676">
        <f t="shared" si="22"/>
        <v>0</v>
      </c>
      <c r="BN95" s="677">
        <f t="shared" si="23"/>
        <v>0</v>
      </c>
      <c r="BO95" s="677">
        <f t="shared" si="63"/>
        <v>0</v>
      </c>
      <c r="BP95" s="678">
        <f t="shared" si="64"/>
        <v>0</v>
      </c>
      <c r="BQ95" s="679">
        <f t="shared" si="65"/>
        <v>0</v>
      </c>
      <c r="BR95" s="675"/>
      <c r="BS95" s="676">
        <f t="shared" si="24"/>
        <v>0</v>
      </c>
      <c r="BT95" s="677">
        <f t="shared" si="25"/>
        <v>0</v>
      </c>
      <c r="BU95" s="677">
        <f t="shared" si="66"/>
        <v>0</v>
      </c>
      <c r="BV95" s="678">
        <f t="shared" si="67"/>
        <v>0</v>
      </c>
      <c r="BW95" s="679">
        <f t="shared" si="68"/>
        <v>0</v>
      </c>
      <c r="BX95" s="675"/>
      <c r="BY95" s="676">
        <f t="shared" si="26"/>
        <v>0</v>
      </c>
      <c r="BZ95" s="677">
        <f t="shared" si="27"/>
        <v>0</v>
      </c>
      <c r="CA95" s="677">
        <f t="shared" si="69"/>
        <v>0</v>
      </c>
      <c r="CB95" s="678">
        <f t="shared" si="70"/>
        <v>0</v>
      </c>
      <c r="CC95" s="679">
        <f t="shared" si="71"/>
        <v>0</v>
      </c>
      <c r="CD95" s="675"/>
      <c r="CE95" s="676">
        <f t="shared" si="28"/>
        <v>0</v>
      </c>
      <c r="CF95" s="677">
        <f t="shared" si="29"/>
        <v>0</v>
      </c>
      <c r="CG95" s="677">
        <f t="shared" si="72"/>
        <v>0</v>
      </c>
      <c r="CH95" s="678">
        <f t="shared" si="73"/>
        <v>0</v>
      </c>
      <c r="CI95" s="679">
        <f t="shared" si="74"/>
        <v>0</v>
      </c>
      <c r="CJ95" s="675"/>
      <c r="CK95" s="676">
        <f t="shared" si="30"/>
        <v>0</v>
      </c>
      <c r="CL95" s="677">
        <f t="shared" si="31"/>
        <v>0</v>
      </c>
      <c r="CM95" s="677">
        <f t="shared" si="75"/>
        <v>0</v>
      </c>
      <c r="CN95" s="678">
        <f t="shared" si="76"/>
        <v>0</v>
      </c>
      <c r="CO95" s="679">
        <f t="shared" si="77"/>
        <v>0</v>
      </c>
      <c r="CP95" s="675"/>
      <c r="CQ95" s="676">
        <f t="shared" si="32"/>
        <v>0</v>
      </c>
      <c r="CR95" s="677">
        <f t="shared" si="33"/>
        <v>0</v>
      </c>
      <c r="CS95" s="677">
        <f t="shared" si="78"/>
        <v>0</v>
      </c>
      <c r="CT95" s="678">
        <f t="shared" si="79"/>
        <v>0</v>
      </c>
      <c r="CU95" s="679">
        <f t="shared" si="80"/>
        <v>0</v>
      </c>
      <c r="CV95" s="685"/>
      <c r="CW95" s="681"/>
      <c r="CX95" s="682"/>
      <c r="CY95" s="682"/>
      <c r="CZ95" s="683"/>
      <c r="DA95" s="684"/>
      <c r="DB95" s="685"/>
      <c r="DC95" s="681"/>
      <c r="DD95" s="682"/>
      <c r="DE95" s="682"/>
      <c r="DF95" s="683"/>
      <c r="DG95" s="684"/>
      <c r="DH95" s="685"/>
      <c r="DI95" s="681"/>
      <c r="DJ95" s="682"/>
      <c r="DK95" s="682"/>
      <c r="DL95" s="683"/>
      <c r="DM95" s="684"/>
      <c r="DN95" s="685"/>
      <c r="DO95" s="681"/>
      <c r="DP95" s="682"/>
      <c r="DQ95" s="682"/>
      <c r="DR95" s="683"/>
      <c r="DS95" s="684"/>
      <c r="DT95" s="675"/>
      <c r="DU95" s="676">
        <f t="shared" si="34"/>
        <v>0</v>
      </c>
      <c r="DV95" s="677">
        <f t="shared" si="35"/>
        <v>0</v>
      </c>
      <c r="DW95" s="677">
        <f t="shared" si="81"/>
        <v>0</v>
      </c>
      <c r="DX95" s="678">
        <f t="shared" si="82"/>
        <v>0</v>
      </c>
      <c r="DY95" s="679">
        <f t="shared" si="83"/>
        <v>0</v>
      </c>
      <c r="DZ95" s="680"/>
      <c r="EA95" s="681"/>
      <c r="EB95" s="682"/>
      <c r="EC95" s="682"/>
      <c r="ED95" s="683"/>
      <c r="EE95" s="684"/>
      <c r="EF95" s="680"/>
      <c r="EG95" s="681"/>
      <c r="EH95" s="682"/>
      <c r="EI95" s="682"/>
      <c r="EJ95" s="683"/>
      <c r="EK95" s="684"/>
      <c r="EL95" s="680"/>
      <c r="EM95" s="681"/>
      <c r="EN95" s="682"/>
      <c r="EO95" s="682"/>
      <c r="EP95" s="683"/>
      <c r="EQ95" s="684"/>
      <c r="ER95" s="680"/>
      <c r="ES95" s="681"/>
      <c r="ET95" s="682"/>
      <c r="EU95" s="682"/>
      <c r="EV95" s="683"/>
      <c r="EW95" s="684"/>
      <c r="EX95" s="675"/>
      <c r="EY95" s="676">
        <f t="shared" si="36"/>
        <v>0</v>
      </c>
      <c r="EZ95" s="677">
        <f t="shared" si="37"/>
        <v>0</v>
      </c>
      <c r="FA95" s="677">
        <f t="shared" si="84"/>
        <v>0</v>
      </c>
      <c r="FB95" s="678">
        <f t="shared" si="85"/>
        <v>0</v>
      </c>
      <c r="FC95" s="679">
        <f t="shared" si="86"/>
        <v>0</v>
      </c>
      <c r="FD95" s="680"/>
      <c r="FE95" s="681"/>
      <c r="FF95" s="682"/>
      <c r="FG95" s="682"/>
      <c r="FH95" s="683"/>
      <c r="FI95" s="684"/>
      <c r="FJ95" s="680"/>
      <c r="FK95" s="681"/>
      <c r="FL95" s="682"/>
      <c r="FM95" s="682"/>
      <c r="FN95" s="683"/>
      <c r="FO95" s="684"/>
      <c r="FP95" s="680"/>
      <c r="FQ95" s="681"/>
      <c r="FR95" s="682"/>
      <c r="FS95" s="682"/>
      <c r="FT95" s="683"/>
      <c r="FU95" s="684"/>
      <c r="FV95" s="680"/>
      <c r="FW95" s="681"/>
      <c r="FX95" s="682"/>
      <c r="FY95" s="682"/>
      <c r="FZ95" s="683"/>
      <c r="GA95" s="684"/>
      <c r="GB95" s="675"/>
      <c r="GC95" s="676">
        <f t="shared" si="38"/>
        <v>0</v>
      </c>
      <c r="GD95" s="677">
        <f t="shared" si="39"/>
        <v>0</v>
      </c>
      <c r="GE95" s="677">
        <f t="shared" si="87"/>
        <v>0</v>
      </c>
      <c r="GF95" s="678">
        <f t="shared" si="88"/>
        <v>0</v>
      </c>
      <c r="GG95" s="679">
        <f t="shared" si="89"/>
        <v>0</v>
      </c>
      <c r="GH95" s="680"/>
      <c r="GI95" s="681"/>
      <c r="GJ95" s="682"/>
      <c r="GK95" s="682"/>
      <c r="GL95" s="683"/>
      <c r="GM95" s="684"/>
      <c r="GN95" s="680"/>
      <c r="GO95" s="681"/>
      <c r="GP95" s="682"/>
      <c r="GQ95" s="682"/>
      <c r="GR95" s="683"/>
      <c r="GS95" s="684"/>
      <c r="GT95" s="680"/>
      <c r="GU95" s="681"/>
      <c r="GV95" s="682"/>
      <c r="GW95" s="682"/>
      <c r="GX95" s="683"/>
      <c r="GY95" s="684"/>
      <c r="GZ95" s="680"/>
      <c r="HA95" s="147"/>
      <c r="HB95" s="148"/>
      <c r="HC95" s="148"/>
      <c r="HD95" s="149"/>
      <c r="HE95" s="150"/>
      <c r="HF95" s="506"/>
      <c r="HG95" s="502"/>
      <c r="HH95" s="502"/>
      <c r="HI95" s="502"/>
      <c r="HJ95" s="8"/>
    </row>
    <row r="96" spans="2:218" ht="21" hidden="1">
      <c r="B96" s="488">
        <v>52</v>
      </c>
      <c r="C96" s="489" t="s">
        <v>314</v>
      </c>
      <c r="D96" s="490" t="s">
        <v>29</v>
      </c>
      <c r="E96" s="491" t="s">
        <v>419</v>
      </c>
      <c r="F96" s="492"/>
      <c r="G96" s="493"/>
      <c r="H96" s="146" t="s">
        <v>97</v>
      </c>
      <c r="I96" s="494" t="str">
        <f t="shared" si="4"/>
        <v>n.v.t.</v>
      </c>
      <c r="J96" s="495" t="s">
        <v>487</v>
      </c>
      <c r="K96" s="151">
        <v>0</v>
      </c>
      <c r="L96" s="256">
        <f>IF($C$5&lt;3000,(Bron!H85*$C$5)+Bron!I85,(Bron!M85*$C$5)+Bron!N85)</f>
        <v>0</v>
      </c>
      <c r="M96" s="256"/>
      <c r="N96" s="496">
        <f t="shared" si="90"/>
        <v>0</v>
      </c>
      <c r="O96" s="497" t="str">
        <f t="shared" si="91"/>
        <v/>
      </c>
      <c r="P96" s="257">
        <f>IF($C$5&lt;3000,$AN$32*Bron!J85,$AN$32*Bron!O85)</f>
        <v>0</v>
      </c>
      <c r="Q96" s="257">
        <f>IF($C$5&lt;3000,$AN$31*Bron!K85,$AN$31*Bron!P85)</f>
        <v>0</v>
      </c>
      <c r="R96" s="257">
        <f>IF($C$5&lt;3000,$AN$33*Bron!J85,$AN$33*Bron!O85)</f>
        <v>0</v>
      </c>
      <c r="S96" s="344"/>
      <c r="T96" s="258">
        <f t="shared" si="6"/>
        <v>0</v>
      </c>
      <c r="U96" s="259">
        <f t="shared" si="7"/>
        <v>0</v>
      </c>
      <c r="V96" s="675"/>
      <c r="W96" s="676">
        <f t="shared" si="8"/>
        <v>0</v>
      </c>
      <c r="X96" s="677">
        <f t="shared" si="9"/>
        <v>0</v>
      </c>
      <c r="Y96" s="677">
        <f t="shared" si="42"/>
        <v>0</v>
      </c>
      <c r="Z96" s="678">
        <f t="shared" si="43"/>
        <v>0</v>
      </c>
      <c r="AA96" s="679">
        <f t="shared" si="44"/>
        <v>0</v>
      </c>
      <c r="AB96" s="675"/>
      <c r="AC96" s="676">
        <f t="shared" si="10"/>
        <v>0</v>
      </c>
      <c r="AD96" s="677">
        <f t="shared" si="11"/>
        <v>0</v>
      </c>
      <c r="AE96" s="677">
        <f t="shared" si="45"/>
        <v>0</v>
      </c>
      <c r="AF96" s="678">
        <f t="shared" si="46"/>
        <v>0</v>
      </c>
      <c r="AG96" s="679">
        <f t="shared" si="47"/>
        <v>0</v>
      </c>
      <c r="AH96" s="675"/>
      <c r="AI96" s="676">
        <f t="shared" si="12"/>
        <v>0</v>
      </c>
      <c r="AJ96" s="677">
        <f t="shared" si="13"/>
        <v>0</v>
      </c>
      <c r="AK96" s="677">
        <f t="shared" si="48"/>
        <v>0</v>
      </c>
      <c r="AL96" s="678">
        <f t="shared" si="49"/>
        <v>0</v>
      </c>
      <c r="AM96" s="679">
        <f t="shared" si="50"/>
        <v>0</v>
      </c>
      <c r="AN96" s="675"/>
      <c r="AO96" s="676">
        <f t="shared" si="14"/>
        <v>0</v>
      </c>
      <c r="AP96" s="677">
        <f t="shared" si="15"/>
        <v>0</v>
      </c>
      <c r="AQ96" s="677">
        <f t="shared" si="51"/>
        <v>0</v>
      </c>
      <c r="AR96" s="678">
        <f t="shared" si="52"/>
        <v>0</v>
      </c>
      <c r="AS96" s="679">
        <f t="shared" si="53"/>
        <v>0</v>
      </c>
      <c r="AT96" s="675"/>
      <c r="AU96" s="676">
        <f t="shared" si="16"/>
        <v>0</v>
      </c>
      <c r="AV96" s="677">
        <f t="shared" si="17"/>
        <v>0</v>
      </c>
      <c r="AW96" s="677">
        <f t="shared" si="54"/>
        <v>0</v>
      </c>
      <c r="AX96" s="678">
        <f t="shared" si="55"/>
        <v>0</v>
      </c>
      <c r="AY96" s="679">
        <f t="shared" si="56"/>
        <v>0</v>
      </c>
      <c r="AZ96" s="675"/>
      <c r="BA96" s="676">
        <f t="shared" si="18"/>
        <v>0</v>
      </c>
      <c r="BB96" s="677">
        <f t="shared" si="19"/>
        <v>0</v>
      </c>
      <c r="BC96" s="677">
        <f t="shared" si="57"/>
        <v>0</v>
      </c>
      <c r="BD96" s="678">
        <f t="shared" si="58"/>
        <v>0</v>
      </c>
      <c r="BE96" s="679">
        <f t="shared" si="59"/>
        <v>0</v>
      </c>
      <c r="BF96" s="675"/>
      <c r="BG96" s="676">
        <f t="shared" si="20"/>
        <v>0</v>
      </c>
      <c r="BH96" s="677">
        <f t="shared" si="21"/>
        <v>0</v>
      </c>
      <c r="BI96" s="677">
        <f t="shared" si="60"/>
        <v>0</v>
      </c>
      <c r="BJ96" s="678">
        <f t="shared" si="61"/>
        <v>0</v>
      </c>
      <c r="BK96" s="679">
        <f t="shared" si="62"/>
        <v>0</v>
      </c>
      <c r="BL96" s="675"/>
      <c r="BM96" s="676">
        <f t="shared" si="22"/>
        <v>0</v>
      </c>
      <c r="BN96" s="677">
        <f t="shared" si="23"/>
        <v>0</v>
      </c>
      <c r="BO96" s="677">
        <f t="shared" si="63"/>
        <v>0</v>
      </c>
      <c r="BP96" s="678">
        <f t="shared" si="64"/>
        <v>0</v>
      </c>
      <c r="BQ96" s="679">
        <f t="shared" si="65"/>
        <v>0</v>
      </c>
      <c r="BR96" s="675"/>
      <c r="BS96" s="676">
        <f t="shared" si="24"/>
        <v>0</v>
      </c>
      <c r="BT96" s="677">
        <f t="shared" si="25"/>
        <v>0</v>
      </c>
      <c r="BU96" s="677">
        <f t="shared" si="66"/>
        <v>0</v>
      </c>
      <c r="BV96" s="678">
        <f t="shared" si="67"/>
        <v>0</v>
      </c>
      <c r="BW96" s="679">
        <f t="shared" si="68"/>
        <v>0</v>
      </c>
      <c r="BX96" s="675"/>
      <c r="BY96" s="676">
        <f t="shared" si="26"/>
        <v>0</v>
      </c>
      <c r="BZ96" s="677">
        <f t="shared" si="27"/>
        <v>0</v>
      </c>
      <c r="CA96" s="677">
        <f t="shared" si="69"/>
        <v>0</v>
      </c>
      <c r="CB96" s="678">
        <f t="shared" si="70"/>
        <v>0</v>
      </c>
      <c r="CC96" s="679">
        <f t="shared" si="71"/>
        <v>0</v>
      </c>
      <c r="CD96" s="675"/>
      <c r="CE96" s="676">
        <f t="shared" si="28"/>
        <v>0</v>
      </c>
      <c r="CF96" s="677">
        <f t="shared" si="29"/>
        <v>0</v>
      </c>
      <c r="CG96" s="677">
        <f t="shared" si="72"/>
        <v>0</v>
      </c>
      <c r="CH96" s="678">
        <f t="shared" si="73"/>
        <v>0</v>
      </c>
      <c r="CI96" s="679">
        <f t="shared" si="74"/>
        <v>0</v>
      </c>
      <c r="CJ96" s="675"/>
      <c r="CK96" s="676">
        <f t="shared" si="30"/>
        <v>0</v>
      </c>
      <c r="CL96" s="677">
        <f t="shared" si="31"/>
        <v>0</v>
      </c>
      <c r="CM96" s="677">
        <f t="shared" si="75"/>
        <v>0</v>
      </c>
      <c r="CN96" s="678">
        <f t="shared" si="76"/>
        <v>0</v>
      </c>
      <c r="CO96" s="679">
        <f t="shared" si="77"/>
        <v>0</v>
      </c>
      <c r="CP96" s="675"/>
      <c r="CQ96" s="676">
        <f t="shared" si="32"/>
        <v>0</v>
      </c>
      <c r="CR96" s="677">
        <f t="shared" si="33"/>
        <v>0</v>
      </c>
      <c r="CS96" s="677">
        <f t="shared" si="78"/>
        <v>0</v>
      </c>
      <c r="CT96" s="678">
        <f t="shared" si="79"/>
        <v>0</v>
      </c>
      <c r="CU96" s="679">
        <f t="shared" si="80"/>
        <v>0</v>
      </c>
      <c r="CV96" s="685"/>
      <c r="CW96" s="681"/>
      <c r="CX96" s="682"/>
      <c r="CY96" s="682"/>
      <c r="CZ96" s="683"/>
      <c r="DA96" s="684"/>
      <c r="DB96" s="685"/>
      <c r="DC96" s="681"/>
      <c r="DD96" s="682"/>
      <c r="DE96" s="682"/>
      <c r="DF96" s="683"/>
      <c r="DG96" s="684"/>
      <c r="DH96" s="685"/>
      <c r="DI96" s="681"/>
      <c r="DJ96" s="682"/>
      <c r="DK96" s="682"/>
      <c r="DL96" s="683"/>
      <c r="DM96" s="684"/>
      <c r="DN96" s="685"/>
      <c r="DO96" s="681"/>
      <c r="DP96" s="682"/>
      <c r="DQ96" s="682"/>
      <c r="DR96" s="683"/>
      <c r="DS96" s="684"/>
      <c r="DT96" s="675"/>
      <c r="DU96" s="676">
        <f t="shared" si="34"/>
        <v>0</v>
      </c>
      <c r="DV96" s="677">
        <f t="shared" si="35"/>
        <v>0</v>
      </c>
      <c r="DW96" s="677">
        <f t="shared" si="81"/>
        <v>0</v>
      </c>
      <c r="DX96" s="678">
        <f t="shared" si="82"/>
        <v>0</v>
      </c>
      <c r="DY96" s="679">
        <f t="shared" si="83"/>
        <v>0</v>
      </c>
      <c r="DZ96" s="680"/>
      <c r="EA96" s="681"/>
      <c r="EB96" s="682"/>
      <c r="EC96" s="682"/>
      <c r="ED96" s="683"/>
      <c r="EE96" s="684"/>
      <c r="EF96" s="680"/>
      <c r="EG96" s="681"/>
      <c r="EH96" s="682"/>
      <c r="EI96" s="682"/>
      <c r="EJ96" s="683"/>
      <c r="EK96" s="684"/>
      <c r="EL96" s="680"/>
      <c r="EM96" s="681"/>
      <c r="EN96" s="682"/>
      <c r="EO96" s="682"/>
      <c r="EP96" s="683"/>
      <c r="EQ96" s="684"/>
      <c r="ER96" s="680"/>
      <c r="ES96" s="681"/>
      <c r="ET96" s="682"/>
      <c r="EU96" s="682"/>
      <c r="EV96" s="683"/>
      <c r="EW96" s="684"/>
      <c r="EX96" s="675"/>
      <c r="EY96" s="676">
        <f t="shared" si="36"/>
        <v>0</v>
      </c>
      <c r="EZ96" s="677">
        <f t="shared" si="37"/>
        <v>0</v>
      </c>
      <c r="FA96" s="677">
        <f t="shared" si="84"/>
        <v>0</v>
      </c>
      <c r="FB96" s="678">
        <f t="shared" si="85"/>
        <v>0</v>
      </c>
      <c r="FC96" s="679">
        <f t="shared" si="86"/>
        <v>0</v>
      </c>
      <c r="FD96" s="680"/>
      <c r="FE96" s="681"/>
      <c r="FF96" s="682"/>
      <c r="FG96" s="682"/>
      <c r="FH96" s="683"/>
      <c r="FI96" s="684"/>
      <c r="FJ96" s="680"/>
      <c r="FK96" s="681"/>
      <c r="FL96" s="682"/>
      <c r="FM96" s="682"/>
      <c r="FN96" s="683"/>
      <c r="FO96" s="684"/>
      <c r="FP96" s="680"/>
      <c r="FQ96" s="681"/>
      <c r="FR96" s="682"/>
      <c r="FS96" s="682"/>
      <c r="FT96" s="683"/>
      <c r="FU96" s="684"/>
      <c r="FV96" s="680"/>
      <c r="FW96" s="681"/>
      <c r="FX96" s="682"/>
      <c r="FY96" s="682"/>
      <c r="FZ96" s="683"/>
      <c r="GA96" s="684"/>
      <c r="GB96" s="675"/>
      <c r="GC96" s="676">
        <f t="shared" si="38"/>
        <v>0</v>
      </c>
      <c r="GD96" s="677">
        <f t="shared" si="39"/>
        <v>0</v>
      </c>
      <c r="GE96" s="677">
        <f t="shared" si="87"/>
        <v>0</v>
      </c>
      <c r="GF96" s="678">
        <f t="shared" si="88"/>
        <v>0</v>
      </c>
      <c r="GG96" s="679">
        <f t="shared" si="89"/>
        <v>0</v>
      </c>
      <c r="GH96" s="680"/>
      <c r="GI96" s="681"/>
      <c r="GJ96" s="682"/>
      <c r="GK96" s="682"/>
      <c r="GL96" s="683"/>
      <c r="GM96" s="684"/>
      <c r="GN96" s="680"/>
      <c r="GO96" s="681"/>
      <c r="GP96" s="682"/>
      <c r="GQ96" s="682"/>
      <c r="GR96" s="683"/>
      <c r="GS96" s="684"/>
      <c r="GT96" s="680"/>
      <c r="GU96" s="681"/>
      <c r="GV96" s="682"/>
      <c r="GW96" s="682"/>
      <c r="GX96" s="683"/>
      <c r="GY96" s="684"/>
      <c r="GZ96" s="680"/>
      <c r="HA96" s="147"/>
      <c r="HB96" s="148"/>
      <c r="HC96" s="148"/>
      <c r="HD96" s="149"/>
      <c r="HE96" s="150"/>
      <c r="HF96" s="506"/>
      <c r="HG96" s="502"/>
      <c r="HH96" s="502"/>
      <c r="HI96" s="502"/>
      <c r="HJ96" s="8"/>
    </row>
    <row r="97" spans="2:218" ht="21" hidden="1">
      <c r="B97" s="488">
        <v>53</v>
      </c>
      <c r="C97" s="489" t="s">
        <v>314</v>
      </c>
      <c r="D97" s="490" t="s">
        <v>315</v>
      </c>
      <c r="E97" s="491" t="s">
        <v>316</v>
      </c>
      <c r="F97" s="492"/>
      <c r="G97" s="493"/>
      <c r="H97" s="146" t="s">
        <v>97</v>
      </c>
      <c r="I97" s="494" t="str">
        <f t="shared" si="4"/>
        <v>n.v.t.</v>
      </c>
      <c r="J97" s="495" t="s">
        <v>487</v>
      </c>
      <c r="K97" s="151">
        <v>0</v>
      </c>
      <c r="L97" s="256">
        <f>IF($C$5&lt;3000,(Bron!H86*$C$5)+Bron!I86,(Bron!M86*$C$5)+Bron!N86)</f>
        <v>0</v>
      </c>
      <c r="M97" s="256"/>
      <c r="N97" s="496">
        <f t="shared" si="90"/>
        <v>0</v>
      </c>
      <c r="O97" s="497" t="str">
        <f t="shared" si="91"/>
        <v/>
      </c>
      <c r="P97" s="257">
        <f>IF($C$5&lt;3000,$AN$32*Bron!J86,$AN$32*Bron!O86)</f>
        <v>0</v>
      </c>
      <c r="Q97" s="257">
        <f>IF($C$5&lt;3000,$AN$31*Bron!K86,$AN$31*Bron!P86)</f>
        <v>0</v>
      </c>
      <c r="R97" s="257">
        <f>IF($C$5&lt;3000,$AN$33*Bron!J86,$AN$33*Bron!O86)</f>
        <v>0</v>
      </c>
      <c r="S97" s="344"/>
      <c r="T97" s="258">
        <f t="shared" si="6"/>
        <v>0</v>
      </c>
      <c r="U97" s="259">
        <f t="shared" si="7"/>
        <v>0</v>
      </c>
      <c r="V97" s="675"/>
      <c r="W97" s="676">
        <f t="shared" si="8"/>
        <v>0</v>
      </c>
      <c r="X97" s="677">
        <f t="shared" si="9"/>
        <v>0</v>
      </c>
      <c r="Y97" s="677">
        <f t="shared" si="42"/>
        <v>0</v>
      </c>
      <c r="Z97" s="678">
        <f t="shared" si="43"/>
        <v>0</v>
      </c>
      <c r="AA97" s="679">
        <f t="shared" si="44"/>
        <v>0</v>
      </c>
      <c r="AB97" s="675"/>
      <c r="AC97" s="676">
        <f t="shared" si="10"/>
        <v>0</v>
      </c>
      <c r="AD97" s="677">
        <f t="shared" si="11"/>
        <v>0</v>
      </c>
      <c r="AE97" s="677">
        <f t="shared" si="45"/>
        <v>0</v>
      </c>
      <c r="AF97" s="678">
        <f t="shared" si="46"/>
        <v>0</v>
      </c>
      <c r="AG97" s="679">
        <f t="shared" si="47"/>
        <v>0</v>
      </c>
      <c r="AH97" s="675"/>
      <c r="AI97" s="676">
        <f t="shared" si="12"/>
        <v>0</v>
      </c>
      <c r="AJ97" s="677">
        <f t="shared" si="13"/>
        <v>0</v>
      </c>
      <c r="AK97" s="677">
        <f t="shared" si="48"/>
        <v>0</v>
      </c>
      <c r="AL97" s="678">
        <f t="shared" si="49"/>
        <v>0</v>
      </c>
      <c r="AM97" s="679">
        <f t="shared" si="50"/>
        <v>0</v>
      </c>
      <c r="AN97" s="675"/>
      <c r="AO97" s="676">
        <f t="shared" si="14"/>
        <v>0</v>
      </c>
      <c r="AP97" s="677">
        <f t="shared" si="15"/>
        <v>0</v>
      </c>
      <c r="AQ97" s="677">
        <f t="shared" si="51"/>
        <v>0</v>
      </c>
      <c r="AR97" s="678">
        <f t="shared" si="52"/>
        <v>0</v>
      </c>
      <c r="AS97" s="679">
        <f t="shared" si="53"/>
        <v>0</v>
      </c>
      <c r="AT97" s="675"/>
      <c r="AU97" s="676">
        <f t="shared" si="16"/>
        <v>0</v>
      </c>
      <c r="AV97" s="677">
        <f t="shared" si="17"/>
        <v>0</v>
      </c>
      <c r="AW97" s="677">
        <f t="shared" si="54"/>
        <v>0</v>
      </c>
      <c r="AX97" s="678">
        <f t="shared" si="55"/>
        <v>0</v>
      </c>
      <c r="AY97" s="679">
        <f t="shared" si="56"/>
        <v>0</v>
      </c>
      <c r="AZ97" s="675"/>
      <c r="BA97" s="676">
        <f t="shared" si="18"/>
        <v>0</v>
      </c>
      <c r="BB97" s="677">
        <f t="shared" si="19"/>
        <v>0</v>
      </c>
      <c r="BC97" s="677">
        <f t="shared" si="57"/>
        <v>0</v>
      </c>
      <c r="BD97" s="678">
        <f t="shared" si="58"/>
        <v>0</v>
      </c>
      <c r="BE97" s="679">
        <f t="shared" si="59"/>
        <v>0</v>
      </c>
      <c r="BF97" s="675"/>
      <c r="BG97" s="676">
        <f t="shared" si="20"/>
        <v>0</v>
      </c>
      <c r="BH97" s="677">
        <f t="shared" si="21"/>
        <v>0</v>
      </c>
      <c r="BI97" s="677">
        <f t="shared" si="60"/>
        <v>0</v>
      </c>
      <c r="BJ97" s="678">
        <f t="shared" si="61"/>
        <v>0</v>
      </c>
      <c r="BK97" s="679">
        <f t="shared" si="62"/>
        <v>0</v>
      </c>
      <c r="BL97" s="675"/>
      <c r="BM97" s="676">
        <f t="shared" si="22"/>
        <v>0</v>
      </c>
      <c r="BN97" s="677">
        <f t="shared" si="23"/>
        <v>0</v>
      </c>
      <c r="BO97" s="677">
        <f t="shared" si="63"/>
        <v>0</v>
      </c>
      <c r="BP97" s="678">
        <f t="shared" si="64"/>
        <v>0</v>
      </c>
      <c r="BQ97" s="679">
        <f t="shared" si="65"/>
        <v>0</v>
      </c>
      <c r="BR97" s="675"/>
      <c r="BS97" s="676">
        <f t="shared" si="24"/>
        <v>0</v>
      </c>
      <c r="BT97" s="677">
        <f t="shared" si="25"/>
        <v>0</v>
      </c>
      <c r="BU97" s="677">
        <f t="shared" si="66"/>
        <v>0</v>
      </c>
      <c r="BV97" s="678">
        <f t="shared" si="67"/>
        <v>0</v>
      </c>
      <c r="BW97" s="679">
        <f t="shared" si="68"/>
        <v>0</v>
      </c>
      <c r="BX97" s="675"/>
      <c r="BY97" s="676">
        <f t="shared" si="26"/>
        <v>0</v>
      </c>
      <c r="BZ97" s="677">
        <f t="shared" si="27"/>
        <v>0</v>
      </c>
      <c r="CA97" s="677">
        <f t="shared" si="69"/>
        <v>0</v>
      </c>
      <c r="CB97" s="678">
        <f t="shared" si="70"/>
        <v>0</v>
      </c>
      <c r="CC97" s="679">
        <f t="shared" si="71"/>
        <v>0</v>
      </c>
      <c r="CD97" s="675"/>
      <c r="CE97" s="676">
        <f t="shared" si="28"/>
        <v>0</v>
      </c>
      <c r="CF97" s="677">
        <f t="shared" si="29"/>
        <v>0</v>
      </c>
      <c r="CG97" s="677">
        <f t="shared" si="72"/>
        <v>0</v>
      </c>
      <c r="CH97" s="678">
        <f t="shared" si="73"/>
        <v>0</v>
      </c>
      <c r="CI97" s="679">
        <f t="shared" si="74"/>
        <v>0</v>
      </c>
      <c r="CJ97" s="675"/>
      <c r="CK97" s="676">
        <f t="shared" si="30"/>
        <v>0</v>
      </c>
      <c r="CL97" s="677">
        <f t="shared" si="31"/>
        <v>0</v>
      </c>
      <c r="CM97" s="677">
        <f t="shared" si="75"/>
        <v>0</v>
      </c>
      <c r="CN97" s="678">
        <f t="shared" si="76"/>
        <v>0</v>
      </c>
      <c r="CO97" s="679">
        <f t="shared" si="77"/>
        <v>0</v>
      </c>
      <c r="CP97" s="675"/>
      <c r="CQ97" s="676">
        <f t="shared" si="32"/>
        <v>0</v>
      </c>
      <c r="CR97" s="677">
        <f t="shared" si="33"/>
        <v>0</v>
      </c>
      <c r="CS97" s="677">
        <f t="shared" si="78"/>
        <v>0</v>
      </c>
      <c r="CT97" s="678">
        <f t="shared" si="79"/>
        <v>0</v>
      </c>
      <c r="CU97" s="679">
        <f t="shared" si="80"/>
        <v>0</v>
      </c>
      <c r="CV97" s="685"/>
      <c r="CW97" s="681"/>
      <c r="CX97" s="682"/>
      <c r="CY97" s="682"/>
      <c r="CZ97" s="683"/>
      <c r="DA97" s="684"/>
      <c r="DB97" s="685"/>
      <c r="DC97" s="681"/>
      <c r="DD97" s="682"/>
      <c r="DE97" s="682"/>
      <c r="DF97" s="683"/>
      <c r="DG97" s="684"/>
      <c r="DH97" s="685"/>
      <c r="DI97" s="681"/>
      <c r="DJ97" s="682"/>
      <c r="DK97" s="682"/>
      <c r="DL97" s="683"/>
      <c r="DM97" s="684"/>
      <c r="DN97" s="685"/>
      <c r="DO97" s="681"/>
      <c r="DP97" s="682"/>
      <c r="DQ97" s="682"/>
      <c r="DR97" s="683"/>
      <c r="DS97" s="684"/>
      <c r="DT97" s="675"/>
      <c r="DU97" s="676">
        <f t="shared" si="34"/>
        <v>0</v>
      </c>
      <c r="DV97" s="677">
        <f t="shared" si="35"/>
        <v>0</v>
      </c>
      <c r="DW97" s="677">
        <f t="shared" si="81"/>
        <v>0</v>
      </c>
      <c r="DX97" s="678">
        <f t="shared" si="82"/>
        <v>0</v>
      </c>
      <c r="DY97" s="679">
        <f t="shared" si="83"/>
        <v>0</v>
      </c>
      <c r="DZ97" s="680"/>
      <c r="EA97" s="681"/>
      <c r="EB97" s="682"/>
      <c r="EC97" s="682"/>
      <c r="ED97" s="683"/>
      <c r="EE97" s="684"/>
      <c r="EF97" s="680"/>
      <c r="EG97" s="681"/>
      <c r="EH97" s="682"/>
      <c r="EI97" s="682"/>
      <c r="EJ97" s="683"/>
      <c r="EK97" s="684"/>
      <c r="EL97" s="680"/>
      <c r="EM97" s="681"/>
      <c r="EN97" s="682"/>
      <c r="EO97" s="682"/>
      <c r="EP97" s="683"/>
      <c r="EQ97" s="684"/>
      <c r="ER97" s="680"/>
      <c r="ES97" s="681"/>
      <c r="ET97" s="682"/>
      <c r="EU97" s="682"/>
      <c r="EV97" s="683"/>
      <c r="EW97" s="684"/>
      <c r="EX97" s="675"/>
      <c r="EY97" s="676">
        <f t="shared" si="36"/>
        <v>0</v>
      </c>
      <c r="EZ97" s="677">
        <f t="shared" si="37"/>
        <v>0</v>
      </c>
      <c r="FA97" s="677">
        <f t="shared" si="84"/>
        <v>0</v>
      </c>
      <c r="FB97" s="678">
        <f t="shared" si="85"/>
        <v>0</v>
      </c>
      <c r="FC97" s="679">
        <f t="shared" si="86"/>
        <v>0</v>
      </c>
      <c r="FD97" s="680"/>
      <c r="FE97" s="681"/>
      <c r="FF97" s="682"/>
      <c r="FG97" s="682"/>
      <c r="FH97" s="683"/>
      <c r="FI97" s="684"/>
      <c r="FJ97" s="680"/>
      <c r="FK97" s="681"/>
      <c r="FL97" s="682"/>
      <c r="FM97" s="682"/>
      <c r="FN97" s="683"/>
      <c r="FO97" s="684"/>
      <c r="FP97" s="680"/>
      <c r="FQ97" s="681"/>
      <c r="FR97" s="682"/>
      <c r="FS97" s="682"/>
      <c r="FT97" s="683"/>
      <c r="FU97" s="684"/>
      <c r="FV97" s="680"/>
      <c r="FW97" s="681"/>
      <c r="FX97" s="682"/>
      <c r="FY97" s="682"/>
      <c r="FZ97" s="683"/>
      <c r="GA97" s="684"/>
      <c r="GB97" s="675"/>
      <c r="GC97" s="676">
        <f t="shared" si="38"/>
        <v>0</v>
      </c>
      <c r="GD97" s="677">
        <f t="shared" si="39"/>
        <v>0</v>
      </c>
      <c r="GE97" s="677">
        <f t="shared" si="87"/>
        <v>0</v>
      </c>
      <c r="GF97" s="678">
        <f t="shared" si="88"/>
        <v>0</v>
      </c>
      <c r="GG97" s="679">
        <f t="shared" si="89"/>
        <v>0</v>
      </c>
      <c r="GH97" s="680"/>
      <c r="GI97" s="681"/>
      <c r="GJ97" s="682"/>
      <c r="GK97" s="682"/>
      <c r="GL97" s="683"/>
      <c r="GM97" s="684"/>
      <c r="GN97" s="680"/>
      <c r="GO97" s="681"/>
      <c r="GP97" s="682"/>
      <c r="GQ97" s="682"/>
      <c r="GR97" s="683"/>
      <c r="GS97" s="684"/>
      <c r="GT97" s="680"/>
      <c r="GU97" s="681"/>
      <c r="GV97" s="682"/>
      <c r="GW97" s="682"/>
      <c r="GX97" s="683"/>
      <c r="GY97" s="684"/>
      <c r="GZ97" s="680"/>
      <c r="HA97" s="147"/>
      <c r="HB97" s="148"/>
      <c r="HC97" s="148"/>
      <c r="HD97" s="149"/>
      <c r="HE97" s="150"/>
      <c r="HF97" s="506"/>
      <c r="HG97" s="502"/>
      <c r="HH97" s="502"/>
      <c r="HI97" s="502"/>
      <c r="HJ97" s="8"/>
    </row>
    <row r="98" spans="2:218" ht="21" hidden="1">
      <c r="B98" s="488">
        <v>54</v>
      </c>
      <c r="C98" s="489" t="s">
        <v>314</v>
      </c>
      <c r="D98" s="490" t="s">
        <v>317</v>
      </c>
      <c r="E98" s="491" t="s">
        <v>318</v>
      </c>
      <c r="F98" s="492"/>
      <c r="G98" s="493"/>
      <c r="H98" s="146" t="s">
        <v>97</v>
      </c>
      <c r="I98" s="494" t="str">
        <f t="shared" si="4"/>
        <v>n.v.t.</v>
      </c>
      <c r="J98" s="495" t="s">
        <v>487</v>
      </c>
      <c r="K98" s="151">
        <v>0</v>
      </c>
      <c r="L98" s="256">
        <f>IF($C$5&lt;3000,(Bron!H87*$C$5)+Bron!I87,(Bron!M87*$C$5)+Bron!N87)</f>
        <v>0</v>
      </c>
      <c r="M98" s="256"/>
      <c r="N98" s="496">
        <f t="shared" si="90"/>
        <v>0</v>
      </c>
      <c r="O98" s="497" t="str">
        <f t="shared" si="91"/>
        <v/>
      </c>
      <c r="P98" s="257">
        <f>IF($C$5&lt;3000,$AN$32*Bron!J87,$AN$32*Bron!O87)</f>
        <v>0</v>
      </c>
      <c r="Q98" s="257">
        <f>IF($C$5&lt;3000,$AN$31*Bron!K87,$AN$31*Bron!P87)</f>
        <v>0</v>
      </c>
      <c r="R98" s="257">
        <f>IF($C$5&lt;3000,$AN$33*Bron!J87,$AN$33*Bron!O87)</f>
        <v>0</v>
      </c>
      <c r="S98" s="344"/>
      <c r="T98" s="258">
        <f t="shared" si="6"/>
        <v>0</v>
      </c>
      <c r="U98" s="259">
        <f t="shared" si="7"/>
        <v>0</v>
      </c>
      <c r="V98" s="675"/>
      <c r="W98" s="676">
        <f t="shared" si="8"/>
        <v>0</v>
      </c>
      <c r="X98" s="677">
        <f t="shared" si="9"/>
        <v>0</v>
      </c>
      <c r="Y98" s="677">
        <f t="shared" si="42"/>
        <v>0</v>
      </c>
      <c r="Z98" s="678">
        <f t="shared" si="43"/>
        <v>0</v>
      </c>
      <c r="AA98" s="679">
        <f t="shared" si="44"/>
        <v>0</v>
      </c>
      <c r="AB98" s="675"/>
      <c r="AC98" s="676">
        <f t="shared" si="10"/>
        <v>0</v>
      </c>
      <c r="AD98" s="677">
        <f t="shared" si="11"/>
        <v>0</v>
      </c>
      <c r="AE98" s="677">
        <f t="shared" si="45"/>
        <v>0</v>
      </c>
      <c r="AF98" s="678">
        <f t="shared" si="46"/>
        <v>0</v>
      </c>
      <c r="AG98" s="679">
        <f t="shared" si="47"/>
        <v>0</v>
      </c>
      <c r="AH98" s="675"/>
      <c r="AI98" s="676">
        <f t="shared" si="12"/>
        <v>0</v>
      </c>
      <c r="AJ98" s="677">
        <f t="shared" si="13"/>
        <v>0</v>
      </c>
      <c r="AK98" s="677">
        <f t="shared" si="48"/>
        <v>0</v>
      </c>
      <c r="AL98" s="678">
        <f t="shared" si="49"/>
        <v>0</v>
      </c>
      <c r="AM98" s="679">
        <f t="shared" si="50"/>
        <v>0</v>
      </c>
      <c r="AN98" s="675"/>
      <c r="AO98" s="676">
        <f t="shared" si="14"/>
        <v>0</v>
      </c>
      <c r="AP98" s="677">
        <f t="shared" si="15"/>
        <v>0</v>
      </c>
      <c r="AQ98" s="677">
        <f t="shared" si="51"/>
        <v>0</v>
      </c>
      <c r="AR98" s="678">
        <f t="shared" si="52"/>
        <v>0</v>
      </c>
      <c r="AS98" s="679">
        <f t="shared" si="53"/>
        <v>0</v>
      </c>
      <c r="AT98" s="675"/>
      <c r="AU98" s="676">
        <f t="shared" si="16"/>
        <v>0</v>
      </c>
      <c r="AV98" s="677">
        <f t="shared" si="17"/>
        <v>0</v>
      </c>
      <c r="AW98" s="677">
        <f t="shared" si="54"/>
        <v>0</v>
      </c>
      <c r="AX98" s="678">
        <f t="shared" si="55"/>
        <v>0</v>
      </c>
      <c r="AY98" s="679">
        <f t="shared" si="56"/>
        <v>0</v>
      </c>
      <c r="AZ98" s="675"/>
      <c r="BA98" s="676">
        <f t="shared" si="18"/>
        <v>0</v>
      </c>
      <c r="BB98" s="677">
        <f t="shared" si="19"/>
        <v>0</v>
      </c>
      <c r="BC98" s="677">
        <f t="shared" si="57"/>
        <v>0</v>
      </c>
      <c r="BD98" s="678">
        <f t="shared" si="58"/>
        <v>0</v>
      </c>
      <c r="BE98" s="679">
        <f t="shared" si="59"/>
        <v>0</v>
      </c>
      <c r="BF98" s="675"/>
      <c r="BG98" s="676">
        <f t="shared" si="20"/>
        <v>0</v>
      </c>
      <c r="BH98" s="677">
        <f t="shared" si="21"/>
        <v>0</v>
      </c>
      <c r="BI98" s="677">
        <f t="shared" si="60"/>
        <v>0</v>
      </c>
      <c r="BJ98" s="678">
        <f t="shared" si="61"/>
        <v>0</v>
      </c>
      <c r="BK98" s="679">
        <f t="shared" si="62"/>
        <v>0</v>
      </c>
      <c r="BL98" s="675"/>
      <c r="BM98" s="676">
        <f t="shared" si="22"/>
        <v>0</v>
      </c>
      <c r="BN98" s="677">
        <f t="shared" si="23"/>
        <v>0</v>
      </c>
      <c r="BO98" s="677">
        <f t="shared" si="63"/>
        <v>0</v>
      </c>
      <c r="BP98" s="678">
        <f t="shared" si="64"/>
        <v>0</v>
      </c>
      <c r="BQ98" s="679">
        <f t="shared" si="65"/>
        <v>0</v>
      </c>
      <c r="BR98" s="675"/>
      <c r="BS98" s="676">
        <f t="shared" si="24"/>
        <v>0</v>
      </c>
      <c r="BT98" s="677">
        <f t="shared" si="25"/>
        <v>0</v>
      </c>
      <c r="BU98" s="677">
        <f t="shared" si="66"/>
        <v>0</v>
      </c>
      <c r="BV98" s="678">
        <f t="shared" si="67"/>
        <v>0</v>
      </c>
      <c r="BW98" s="679">
        <f t="shared" si="68"/>
        <v>0</v>
      </c>
      <c r="BX98" s="675"/>
      <c r="BY98" s="676">
        <f t="shared" si="26"/>
        <v>0</v>
      </c>
      <c r="BZ98" s="677">
        <f t="shared" si="27"/>
        <v>0</v>
      </c>
      <c r="CA98" s="677">
        <f t="shared" si="69"/>
        <v>0</v>
      </c>
      <c r="CB98" s="678">
        <f t="shared" si="70"/>
        <v>0</v>
      </c>
      <c r="CC98" s="679">
        <f t="shared" si="71"/>
        <v>0</v>
      </c>
      <c r="CD98" s="675"/>
      <c r="CE98" s="676">
        <f t="shared" si="28"/>
        <v>0</v>
      </c>
      <c r="CF98" s="677">
        <f t="shared" si="29"/>
        <v>0</v>
      </c>
      <c r="CG98" s="677">
        <f t="shared" si="72"/>
        <v>0</v>
      </c>
      <c r="CH98" s="678">
        <f t="shared" si="73"/>
        <v>0</v>
      </c>
      <c r="CI98" s="679">
        <f t="shared" si="74"/>
        <v>0</v>
      </c>
      <c r="CJ98" s="675"/>
      <c r="CK98" s="676">
        <f t="shared" si="30"/>
        <v>0</v>
      </c>
      <c r="CL98" s="677">
        <f t="shared" si="31"/>
        <v>0</v>
      </c>
      <c r="CM98" s="677">
        <f t="shared" si="75"/>
        <v>0</v>
      </c>
      <c r="CN98" s="678">
        <f t="shared" si="76"/>
        <v>0</v>
      </c>
      <c r="CO98" s="679">
        <f t="shared" si="77"/>
        <v>0</v>
      </c>
      <c r="CP98" s="675"/>
      <c r="CQ98" s="676">
        <f t="shared" si="32"/>
        <v>0</v>
      </c>
      <c r="CR98" s="677">
        <f t="shared" si="33"/>
        <v>0</v>
      </c>
      <c r="CS98" s="677">
        <f t="shared" si="78"/>
        <v>0</v>
      </c>
      <c r="CT98" s="678">
        <f t="shared" si="79"/>
        <v>0</v>
      </c>
      <c r="CU98" s="679">
        <f t="shared" si="80"/>
        <v>0</v>
      </c>
      <c r="CV98" s="685"/>
      <c r="CW98" s="681"/>
      <c r="CX98" s="682"/>
      <c r="CY98" s="682"/>
      <c r="CZ98" s="683"/>
      <c r="DA98" s="684"/>
      <c r="DB98" s="685"/>
      <c r="DC98" s="681"/>
      <c r="DD98" s="682"/>
      <c r="DE98" s="682"/>
      <c r="DF98" s="683"/>
      <c r="DG98" s="684"/>
      <c r="DH98" s="685"/>
      <c r="DI98" s="681"/>
      <c r="DJ98" s="682"/>
      <c r="DK98" s="682"/>
      <c r="DL98" s="683"/>
      <c r="DM98" s="684"/>
      <c r="DN98" s="685"/>
      <c r="DO98" s="681"/>
      <c r="DP98" s="682"/>
      <c r="DQ98" s="682"/>
      <c r="DR98" s="683"/>
      <c r="DS98" s="684"/>
      <c r="DT98" s="675"/>
      <c r="DU98" s="676">
        <f t="shared" si="34"/>
        <v>0</v>
      </c>
      <c r="DV98" s="677">
        <f t="shared" si="35"/>
        <v>0</v>
      </c>
      <c r="DW98" s="677">
        <f t="shared" si="81"/>
        <v>0</v>
      </c>
      <c r="DX98" s="678">
        <f t="shared" si="82"/>
        <v>0</v>
      </c>
      <c r="DY98" s="679">
        <f t="shared" si="83"/>
        <v>0</v>
      </c>
      <c r="DZ98" s="680"/>
      <c r="EA98" s="681"/>
      <c r="EB98" s="682"/>
      <c r="EC98" s="682"/>
      <c r="ED98" s="683"/>
      <c r="EE98" s="684"/>
      <c r="EF98" s="680"/>
      <c r="EG98" s="681"/>
      <c r="EH98" s="682"/>
      <c r="EI98" s="682"/>
      <c r="EJ98" s="683"/>
      <c r="EK98" s="684"/>
      <c r="EL98" s="680"/>
      <c r="EM98" s="681"/>
      <c r="EN98" s="682"/>
      <c r="EO98" s="682"/>
      <c r="EP98" s="683"/>
      <c r="EQ98" s="684"/>
      <c r="ER98" s="680"/>
      <c r="ES98" s="681"/>
      <c r="ET98" s="682"/>
      <c r="EU98" s="682"/>
      <c r="EV98" s="683"/>
      <c r="EW98" s="684"/>
      <c r="EX98" s="675"/>
      <c r="EY98" s="676">
        <f t="shared" si="36"/>
        <v>0</v>
      </c>
      <c r="EZ98" s="677">
        <f t="shared" si="37"/>
        <v>0</v>
      </c>
      <c r="FA98" s="677">
        <f t="shared" si="84"/>
        <v>0</v>
      </c>
      <c r="FB98" s="678">
        <f t="shared" si="85"/>
        <v>0</v>
      </c>
      <c r="FC98" s="679">
        <f t="shared" si="86"/>
        <v>0</v>
      </c>
      <c r="FD98" s="680"/>
      <c r="FE98" s="681"/>
      <c r="FF98" s="682"/>
      <c r="FG98" s="682"/>
      <c r="FH98" s="683"/>
      <c r="FI98" s="684"/>
      <c r="FJ98" s="680"/>
      <c r="FK98" s="681"/>
      <c r="FL98" s="682"/>
      <c r="FM98" s="682"/>
      <c r="FN98" s="683"/>
      <c r="FO98" s="684"/>
      <c r="FP98" s="680"/>
      <c r="FQ98" s="681"/>
      <c r="FR98" s="682"/>
      <c r="FS98" s="682"/>
      <c r="FT98" s="683"/>
      <c r="FU98" s="684"/>
      <c r="FV98" s="680"/>
      <c r="FW98" s="681"/>
      <c r="FX98" s="682"/>
      <c r="FY98" s="682"/>
      <c r="FZ98" s="683"/>
      <c r="GA98" s="684"/>
      <c r="GB98" s="675"/>
      <c r="GC98" s="676">
        <f t="shared" si="38"/>
        <v>0</v>
      </c>
      <c r="GD98" s="677">
        <f t="shared" si="39"/>
        <v>0</v>
      </c>
      <c r="GE98" s="677">
        <f t="shared" si="87"/>
        <v>0</v>
      </c>
      <c r="GF98" s="678">
        <f t="shared" si="88"/>
        <v>0</v>
      </c>
      <c r="GG98" s="679">
        <f t="shared" si="89"/>
        <v>0</v>
      </c>
      <c r="GH98" s="680"/>
      <c r="GI98" s="681"/>
      <c r="GJ98" s="682"/>
      <c r="GK98" s="682"/>
      <c r="GL98" s="683"/>
      <c r="GM98" s="684"/>
      <c r="GN98" s="680"/>
      <c r="GO98" s="681"/>
      <c r="GP98" s="682"/>
      <c r="GQ98" s="682"/>
      <c r="GR98" s="683"/>
      <c r="GS98" s="684"/>
      <c r="GT98" s="680"/>
      <c r="GU98" s="681"/>
      <c r="GV98" s="682"/>
      <c r="GW98" s="682"/>
      <c r="GX98" s="683"/>
      <c r="GY98" s="684"/>
      <c r="GZ98" s="680"/>
      <c r="HA98" s="147"/>
      <c r="HB98" s="148"/>
      <c r="HC98" s="148"/>
      <c r="HD98" s="149"/>
      <c r="HE98" s="150"/>
      <c r="HF98" s="506"/>
      <c r="HG98" s="502"/>
      <c r="HH98" s="502"/>
      <c r="HI98" s="502"/>
      <c r="HJ98" s="8"/>
    </row>
    <row r="99" spans="2:218" ht="21" hidden="1">
      <c r="B99" s="488">
        <v>55</v>
      </c>
      <c r="C99" s="489" t="s">
        <v>314</v>
      </c>
      <c r="D99" s="490" t="s">
        <v>319</v>
      </c>
      <c r="E99" s="491" t="s">
        <v>420</v>
      </c>
      <c r="F99" s="492"/>
      <c r="G99" s="493"/>
      <c r="H99" s="146" t="s">
        <v>97</v>
      </c>
      <c r="I99" s="494" t="str">
        <f t="shared" si="4"/>
        <v>n.v.t.</v>
      </c>
      <c r="J99" s="495"/>
      <c r="K99" s="151">
        <v>0</v>
      </c>
      <c r="L99" s="256"/>
      <c r="M99" s="256">
        <f>IF($C$5&lt;3000,(Bron!H88*$C$5)+Bron!I88,(Bron!M88*$C$5)+Bron!N88)</f>
        <v>0</v>
      </c>
      <c r="N99" s="496">
        <f t="shared" si="90"/>
        <v>0</v>
      </c>
      <c r="O99" s="497" t="str">
        <f t="shared" si="91"/>
        <v/>
      </c>
      <c r="P99" s="257">
        <f>IF($C$5&lt;3000,$AN$32*Bron!J88,$AN$32*Bron!O88)</f>
        <v>0</v>
      </c>
      <c r="Q99" s="257">
        <f>IF($C$5&lt;3000,$AN$31*Bron!K88,$AN$31*Bron!P88)</f>
        <v>0</v>
      </c>
      <c r="R99" s="257">
        <f>IF($C$5&lt;3000,$AN$33*Bron!J88,$AN$33*Bron!O88)</f>
        <v>0</v>
      </c>
      <c r="S99" s="344"/>
      <c r="T99" s="258">
        <f t="shared" si="6"/>
        <v>0</v>
      </c>
      <c r="U99" s="259">
        <f t="shared" si="7"/>
        <v>0</v>
      </c>
      <c r="V99" s="675"/>
      <c r="W99" s="676">
        <f t="shared" si="8"/>
        <v>0</v>
      </c>
      <c r="X99" s="677">
        <f t="shared" si="9"/>
        <v>0</v>
      </c>
      <c r="Y99" s="677">
        <f t="shared" si="42"/>
        <v>0</v>
      </c>
      <c r="Z99" s="678">
        <f t="shared" si="43"/>
        <v>0</v>
      </c>
      <c r="AA99" s="679">
        <f t="shared" si="44"/>
        <v>0</v>
      </c>
      <c r="AB99" s="675"/>
      <c r="AC99" s="676">
        <f t="shared" si="10"/>
        <v>0</v>
      </c>
      <c r="AD99" s="677">
        <f t="shared" si="11"/>
        <v>0</v>
      </c>
      <c r="AE99" s="677">
        <f t="shared" si="45"/>
        <v>0</v>
      </c>
      <c r="AF99" s="678">
        <f t="shared" si="46"/>
        <v>0</v>
      </c>
      <c r="AG99" s="679">
        <f t="shared" si="47"/>
        <v>0</v>
      </c>
      <c r="AH99" s="675"/>
      <c r="AI99" s="676">
        <f t="shared" si="12"/>
        <v>0</v>
      </c>
      <c r="AJ99" s="677">
        <f t="shared" si="13"/>
        <v>0</v>
      </c>
      <c r="AK99" s="677">
        <f t="shared" si="48"/>
        <v>0</v>
      </c>
      <c r="AL99" s="678">
        <f t="shared" si="49"/>
        <v>0</v>
      </c>
      <c r="AM99" s="679">
        <f t="shared" si="50"/>
        <v>0</v>
      </c>
      <c r="AN99" s="675"/>
      <c r="AO99" s="676">
        <f t="shared" si="14"/>
        <v>0</v>
      </c>
      <c r="AP99" s="677">
        <f t="shared" si="15"/>
        <v>0</v>
      </c>
      <c r="AQ99" s="677">
        <f t="shared" si="51"/>
        <v>0</v>
      </c>
      <c r="AR99" s="678">
        <f t="shared" si="52"/>
        <v>0</v>
      </c>
      <c r="AS99" s="679">
        <f t="shared" si="53"/>
        <v>0</v>
      </c>
      <c r="AT99" s="675"/>
      <c r="AU99" s="676">
        <f t="shared" si="16"/>
        <v>0</v>
      </c>
      <c r="AV99" s="677">
        <f t="shared" si="17"/>
        <v>0</v>
      </c>
      <c r="AW99" s="677">
        <f t="shared" si="54"/>
        <v>0</v>
      </c>
      <c r="AX99" s="678">
        <f t="shared" si="55"/>
        <v>0</v>
      </c>
      <c r="AY99" s="679">
        <f t="shared" si="56"/>
        <v>0</v>
      </c>
      <c r="AZ99" s="675"/>
      <c r="BA99" s="676">
        <f t="shared" si="18"/>
        <v>0</v>
      </c>
      <c r="BB99" s="677">
        <f t="shared" si="19"/>
        <v>0</v>
      </c>
      <c r="BC99" s="677">
        <f t="shared" si="57"/>
        <v>0</v>
      </c>
      <c r="BD99" s="678">
        <f t="shared" si="58"/>
        <v>0</v>
      </c>
      <c r="BE99" s="679">
        <f t="shared" si="59"/>
        <v>0</v>
      </c>
      <c r="BF99" s="675"/>
      <c r="BG99" s="676">
        <f t="shared" si="20"/>
        <v>0</v>
      </c>
      <c r="BH99" s="677">
        <f t="shared" si="21"/>
        <v>0</v>
      </c>
      <c r="BI99" s="677">
        <f t="shared" si="60"/>
        <v>0</v>
      </c>
      <c r="BJ99" s="678">
        <f t="shared" si="61"/>
        <v>0</v>
      </c>
      <c r="BK99" s="679">
        <f t="shared" si="62"/>
        <v>0</v>
      </c>
      <c r="BL99" s="675"/>
      <c r="BM99" s="676">
        <f t="shared" si="22"/>
        <v>0</v>
      </c>
      <c r="BN99" s="677">
        <f t="shared" si="23"/>
        <v>0</v>
      </c>
      <c r="BO99" s="677">
        <f t="shared" si="63"/>
        <v>0</v>
      </c>
      <c r="BP99" s="678">
        <f t="shared" si="64"/>
        <v>0</v>
      </c>
      <c r="BQ99" s="679">
        <f t="shared" si="65"/>
        <v>0</v>
      </c>
      <c r="BR99" s="675"/>
      <c r="BS99" s="676">
        <f t="shared" si="24"/>
        <v>0</v>
      </c>
      <c r="BT99" s="677">
        <f t="shared" si="25"/>
        <v>0</v>
      </c>
      <c r="BU99" s="677">
        <f t="shared" si="66"/>
        <v>0</v>
      </c>
      <c r="BV99" s="678">
        <f t="shared" si="67"/>
        <v>0</v>
      </c>
      <c r="BW99" s="679">
        <f t="shared" si="68"/>
        <v>0</v>
      </c>
      <c r="BX99" s="675"/>
      <c r="BY99" s="676">
        <f t="shared" si="26"/>
        <v>0</v>
      </c>
      <c r="BZ99" s="677">
        <f t="shared" si="27"/>
        <v>0</v>
      </c>
      <c r="CA99" s="677">
        <f t="shared" si="69"/>
        <v>0</v>
      </c>
      <c r="CB99" s="678">
        <f t="shared" si="70"/>
        <v>0</v>
      </c>
      <c r="CC99" s="679">
        <f t="shared" si="71"/>
        <v>0</v>
      </c>
      <c r="CD99" s="675"/>
      <c r="CE99" s="676">
        <f t="shared" si="28"/>
        <v>0</v>
      </c>
      <c r="CF99" s="677">
        <f t="shared" si="29"/>
        <v>0</v>
      </c>
      <c r="CG99" s="677">
        <f t="shared" si="72"/>
        <v>0</v>
      </c>
      <c r="CH99" s="678">
        <f t="shared" si="73"/>
        <v>0</v>
      </c>
      <c r="CI99" s="679">
        <f t="shared" si="74"/>
        <v>0</v>
      </c>
      <c r="CJ99" s="675"/>
      <c r="CK99" s="676">
        <f t="shared" si="30"/>
        <v>0</v>
      </c>
      <c r="CL99" s="677">
        <f t="shared" si="31"/>
        <v>0</v>
      </c>
      <c r="CM99" s="677">
        <f t="shared" si="75"/>
        <v>0</v>
      </c>
      <c r="CN99" s="678">
        <f t="shared" si="76"/>
        <v>0</v>
      </c>
      <c r="CO99" s="679">
        <f t="shared" si="77"/>
        <v>0</v>
      </c>
      <c r="CP99" s="675"/>
      <c r="CQ99" s="676">
        <f t="shared" si="32"/>
        <v>0</v>
      </c>
      <c r="CR99" s="677">
        <f t="shared" si="33"/>
        <v>0</v>
      </c>
      <c r="CS99" s="677">
        <f t="shared" si="78"/>
        <v>0</v>
      </c>
      <c r="CT99" s="678">
        <f t="shared" si="79"/>
        <v>0</v>
      </c>
      <c r="CU99" s="679">
        <f t="shared" si="80"/>
        <v>0</v>
      </c>
      <c r="CV99" s="685"/>
      <c r="CW99" s="681"/>
      <c r="CX99" s="682"/>
      <c r="CY99" s="682"/>
      <c r="CZ99" s="683"/>
      <c r="DA99" s="684"/>
      <c r="DB99" s="685"/>
      <c r="DC99" s="681"/>
      <c r="DD99" s="682"/>
      <c r="DE99" s="682"/>
      <c r="DF99" s="683"/>
      <c r="DG99" s="684"/>
      <c r="DH99" s="685"/>
      <c r="DI99" s="681"/>
      <c r="DJ99" s="682"/>
      <c r="DK99" s="682"/>
      <c r="DL99" s="683"/>
      <c r="DM99" s="684"/>
      <c r="DN99" s="685"/>
      <c r="DO99" s="681"/>
      <c r="DP99" s="682"/>
      <c r="DQ99" s="682"/>
      <c r="DR99" s="683"/>
      <c r="DS99" s="684"/>
      <c r="DT99" s="675"/>
      <c r="DU99" s="676">
        <f t="shared" si="34"/>
        <v>0</v>
      </c>
      <c r="DV99" s="677">
        <f t="shared" si="35"/>
        <v>0</v>
      </c>
      <c r="DW99" s="677">
        <f t="shared" si="81"/>
        <v>0</v>
      </c>
      <c r="DX99" s="678">
        <f t="shared" si="82"/>
        <v>0</v>
      </c>
      <c r="DY99" s="679">
        <f t="shared" si="83"/>
        <v>0</v>
      </c>
      <c r="DZ99" s="680"/>
      <c r="EA99" s="681"/>
      <c r="EB99" s="682"/>
      <c r="EC99" s="682"/>
      <c r="ED99" s="683"/>
      <c r="EE99" s="684"/>
      <c r="EF99" s="680"/>
      <c r="EG99" s="681"/>
      <c r="EH99" s="682"/>
      <c r="EI99" s="682"/>
      <c r="EJ99" s="683"/>
      <c r="EK99" s="684"/>
      <c r="EL99" s="680"/>
      <c r="EM99" s="681"/>
      <c r="EN99" s="682"/>
      <c r="EO99" s="682"/>
      <c r="EP99" s="683"/>
      <c r="EQ99" s="684"/>
      <c r="ER99" s="680"/>
      <c r="ES99" s="681"/>
      <c r="ET99" s="682"/>
      <c r="EU99" s="682"/>
      <c r="EV99" s="683"/>
      <c r="EW99" s="684"/>
      <c r="EX99" s="675"/>
      <c r="EY99" s="676">
        <f t="shared" si="36"/>
        <v>0</v>
      </c>
      <c r="EZ99" s="677">
        <f t="shared" si="37"/>
        <v>0</v>
      </c>
      <c r="FA99" s="677">
        <f t="shared" si="84"/>
        <v>0</v>
      </c>
      <c r="FB99" s="678">
        <f t="shared" si="85"/>
        <v>0</v>
      </c>
      <c r="FC99" s="679">
        <f t="shared" si="86"/>
        <v>0</v>
      </c>
      <c r="FD99" s="680"/>
      <c r="FE99" s="681"/>
      <c r="FF99" s="682"/>
      <c r="FG99" s="682"/>
      <c r="FH99" s="683"/>
      <c r="FI99" s="684"/>
      <c r="FJ99" s="680"/>
      <c r="FK99" s="681"/>
      <c r="FL99" s="682"/>
      <c r="FM99" s="682"/>
      <c r="FN99" s="683"/>
      <c r="FO99" s="684"/>
      <c r="FP99" s="680"/>
      <c r="FQ99" s="681"/>
      <c r="FR99" s="682"/>
      <c r="FS99" s="682"/>
      <c r="FT99" s="683"/>
      <c r="FU99" s="684"/>
      <c r="FV99" s="680"/>
      <c r="FW99" s="681"/>
      <c r="FX99" s="682"/>
      <c r="FY99" s="682"/>
      <c r="FZ99" s="683"/>
      <c r="GA99" s="684"/>
      <c r="GB99" s="675"/>
      <c r="GC99" s="676">
        <f t="shared" si="38"/>
        <v>0</v>
      </c>
      <c r="GD99" s="677">
        <f t="shared" si="39"/>
        <v>0</v>
      </c>
      <c r="GE99" s="677">
        <f t="shared" si="87"/>
        <v>0</v>
      </c>
      <c r="GF99" s="678">
        <f t="shared" si="88"/>
        <v>0</v>
      </c>
      <c r="GG99" s="679">
        <f t="shared" si="89"/>
        <v>0</v>
      </c>
      <c r="GH99" s="680"/>
      <c r="GI99" s="681"/>
      <c r="GJ99" s="682"/>
      <c r="GK99" s="682"/>
      <c r="GL99" s="683"/>
      <c r="GM99" s="684"/>
      <c r="GN99" s="680"/>
      <c r="GO99" s="681"/>
      <c r="GP99" s="682"/>
      <c r="GQ99" s="682"/>
      <c r="GR99" s="683"/>
      <c r="GS99" s="684"/>
      <c r="GT99" s="680"/>
      <c r="GU99" s="681"/>
      <c r="GV99" s="682"/>
      <c r="GW99" s="682"/>
      <c r="GX99" s="683"/>
      <c r="GY99" s="684"/>
      <c r="GZ99" s="680"/>
      <c r="HA99" s="147"/>
      <c r="HB99" s="148"/>
      <c r="HC99" s="148"/>
      <c r="HD99" s="149"/>
      <c r="HE99" s="150"/>
      <c r="HF99" s="506"/>
      <c r="HG99" s="502"/>
      <c r="HH99" s="502"/>
      <c r="HI99" s="502"/>
      <c r="HJ99" s="8"/>
    </row>
    <row r="100" spans="2:218" ht="21" hidden="1">
      <c r="B100" s="488">
        <v>56</v>
      </c>
      <c r="C100" s="489" t="s">
        <v>314</v>
      </c>
      <c r="D100" s="490" t="s">
        <v>320</v>
      </c>
      <c r="E100" s="491" t="s">
        <v>321</v>
      </c>
      <c r="F100" s="492"/>
      <c r="G100" s="493"/>
      <c r="H100" s="146" t="s">
        <v>97</v>
      </c>
      <c r="I100" s="494" t="str">
        <f t="shared" si="4"/>
        <v>n.v.t.</v>
      </c>
      <c r="J100" s="495" t="s">
        <v>487</v>
      </c>
      <c r="K100" s="151">
        <v>0</v>
      </c>
      <c r="L100" s="256">
        <f>IF($C$5&lt;3000,(Bron!H89*$C$5)+Bron!I89,(Bron!M89*$C$5)+Bron!N89)</f>
        <v>0</v>
      </c>
      <c r="M100" s="256"/>
      <c r="N100" s="496">
        <f t="shared" si="90"/>
        <v>0</v>
      </c>
      <c r="O100" s="497" t="str">
        <f t="shared" si="91"/>
        <v/>
      </c>
      <c r="P100" s="257">
        <f>IF($C$5&lt;3000,$AN$32*Bron!J89,$AN$32*Bron!O89)</f>
        <v>0</v>
      </c>
      <c r="Q100" s="257">
        <f>IF($C$5&lt;3000,$AN$31*Bron!K89,$AN$31*Bron!P89)</f>
        <v>0</v>
      </c>
      <c r="R100" s="257">
        <f>IF($C$5&lt;3000,$AN$33*Bron!J89,$AN$33*Bron!O89)</f>
        <v>0</v>
      </c>
      <c r="S100" s="344"/>
      <c r="T100" s="258">
        <f t="shared" si="6"/>
        <v>0</v>
      </c>
      <c r="U100" s="259">
        <f t="shared" si="7"/>
        <v>0</v>
      </c>
      <c r="V100" s="675"/>
      <c r="W100" s="676">
        <f t="shared" si="8"/>
        <v>0</v>
      </c>
      <c r="X100" s="677">
        <f t="shared" si="9"/>
        <v>0</v>
      </c>
      <c r="Y100" s="677">
        <f t="shared" si="42"/>
        <v>0</v>
      </c>
      <c r="Z100" s="678">
        <f t="shared" si="43"/>
        <v>0</v>
      </c>
      <c r="AA100" s="679">
        <f t="shared" si="44"/>
        <v>0</v>
      </c>
      <c r="AB100" s="675"/>
      <c r="AC100" s="676">
        <f t="shared" si="10"/>
        <v>0</v>
      </c>
      <c r="AD100" s="677">
        <f t="shared" si="11"/>
        <v>0</v>
      </c>
      <c r="AE100" s="677">
        <f t="shared" si="45"/>
        <v>0</v>
      </c>
      <c r="AF100" s="678">
        <f t="shared" si="46"/>
        <v>0</v>
      </c>
      <c r="AG100" s="679">
        <f t="shared" si="47"/>
        <v>0</v>
      </c>
      <c r="AH100" s="675"/>
      <c r="AI100" s="676">
        <f t="shared" si="12"/>
        <v>0</v>
      </c>
      <c r="AJ100" s="677">
        <f t="shared" si="13"/>
        <v>0</v>
      </c>
      <c r="AK100" s="677">
        <f t="shared" si="48"/>
        <v>0</v>
      </c>
      <c r="AL100" s="678">
        <f t="shared" si="49"/>
        <v>0</v>
      </c>
      <c r="AM100" s="679">
        <f t="shared" si="50"/>
        <v>0</v>
      </c>
      <c r="AN100" s="675"/>
      <c r="AO100" s="676">
        <f t="shared" si="14"/>
        <v>0</v>
      </c>
      <c r="AP100" s="677">
        <f t="shared" si="15"/>
        <v>0</v>
      </c>
      <c r="AQ100" s="677">
        <f t="shared" si="51"/>
        <v>0</v>
      </c>
      <c r="AR100" s="678">
        <f t="shared" si="52"/>
        <v>0</v>
      </c>
      <c r="AS100" s="679">
        <f t="shared" si="53"/>
        <v>0</v>
      </c>
      <c r="AT100" s="675"/>
      <c r="AU100" s="676">
        <f t="shared" si="16"/>
        <v>0</v>
      </c>
      <c r="AV100" s="677">
        <f t="shared" si="17"/>
        <v>0</v>
      </c>
      <c r="AW100" s="677">
        <f t="shared" si="54"/>
        <v>0</v>
      </c>
      <c r="AX100" s="678">
        <f t="shared" si="55"/>
        <v>0</v>
      </c>
      <c r="AY100" s="679">
        <f t="shared" si="56"/>
        <v>0</v>
      </c>
      <c r="AZ100" s="675"/>
      <c r="BA100" s="676">
        <f t="shared" si="18"/>
        <v>0</v>
      </c>
      <c r="BB100" s="677">
        <f t="shared" si="19"/>
        <v>0</v>
      </c>
      <c r="BC100" s="677">
        <f t="shared" si="57"/>
        <v>0</v>
      </c>
      <c r="BD100" s="678">
        <f t="shared" si="58"/>
        <v>0</v>
      </c>
      <c r="BE100" s="679">
        <f t="shared" si="59"/>
        <v>0</v>
      </c>
      <c r="BF100" s="675"/>
      <c r="BG100" s="676">
        <f t="shared" si="20"/>
        <v>0</v>
      </c>
      <c r="BH100" s="677">
        <f t="shared" si="21"/>
        <v>0</v>
      </c>
      <c r="BI100" s="677">
        <f t="shared" si="60"/>
        <v>0</v>
      </c>
      <c r="BJ100" s="678">
        <f t="shared" si="61"/>
        <v>0</v>
      </c>
      <c r="BK100" s="679">
        <f t="shared" si="62"/>
        <v>0</v>
      </c>
      <c r="BL100" s="675"/>
      <c r="BM100" s="676">
        <f t="shared" si="22"/>
        <v>0</v>
      </c>
      <c r="BN100" s="677">
        <f t="shared" si="23"/>
        <v>0</v>
      </c>
      <c r="BO100" s="677">
        <f t="shared" si="63"/>
        <v>0</v>
      </c>
      <c r="BP100" s="678">
        <f t="shared" si="64"/>
        <v>0</v>
      </c>
      <c r="BQ100" s="679">
        <f t="shared" si="65"/>
        <v>0</v>
      </c>
      <c r="BR100" s="675"/>
      <c r="BS100" s="676">
        <f t="shared" si="24"/>
        <v>0</v>
      </c>
      <c r="BT100" s="677">
        <f t="shared" si="25"/>
        <v>0</v>
      </c>
      <c r="BU100" s="677">
        <f t="shared" si="66"/>
        <v>0</v>
      </c>
      <c r="BV100" s="678">
        <f t="shared" si="67"/>
        <v>0</v>
      </c>
      <c r="BW100" s="679">
        <f t="shared" si="68"/>
        <v>0</v>
      </c>
      <c r="BX100" s="675"/>
      <c r="BY100" s="676">
        <f t="shared" si="26"/>
        <v>0</v>
      </c>
      <c r="BZ100" s="677">
        <f t="shared" si="27"/>
        <v>0</v>
      </c>
      <c r="CA100" s="677">
        <f t="shared" si="69"/>
        <v>0</v>
      </c>
      <c r="CB100" s="678">
        <f t="shared" si="70"/>
        <v>0</v>
      </c>
      <c r="CC100" s="679">
        <f t="shared" si="71"/>
        <v>0</v>
      </c>
      <c r="CD100" s="675"/>
      <c r="CE100" s="676">
        <f t="shared" si="28"/>
        <v>0</v>
      </c>
      <c r="CF100" s="677">
        <f t="shared" si="29"/>
        <v>0</v>
      </c>
      <c r="CG100" s="677">
        <f t="shared" si="72"/>
        <v>0</v>
      </c>
      <c r="CH100" s="678">
        <f t="shared" si="73"/>
        <v>0</v>
      </c>
      <c r="CI100" s="679">
        <f t="shared" si="74"/>
        <v>0</v>
      </c>
      <c r="CJ100" s="675"/>
      <c r="CK100" s="676">
        <f t="shared" si="30"/>
        <v>0</v>
      </c>
      <c r="CL100" s="677">
        <f t="shared" si="31"/>
        <v>0</v>
      </c>
      <c r="CM100" s="677">
        <f t="shared" si="75"/>
        <v>0</v>
      </c>
      <c r="CN100" s="678">
        <f t="shared" si="76"/>
        <v>0</v>
      </c>
      <c r="CO100" s="679">
        <f t="shared" si="77"/>
        <v>0</v>
      </c>
      <c r="CP100" s="675"/>
      <c r="CQ100" s="676">
        <f t="shared" si="32"/>
        <v>0</v>
      </c>
      <c r="CR100" s="677">
        <f t="shared" si="33"/>
        <v>0</v>
      </c>
      <c r="CS100" s="677">
        <f t="shared" si="78"/>
        <v>0</v>
      </c>
      <c r="CT100" s="678">
        <f t="shared" si="79"/>
        <v>0</v>
      </c>
      <c r="CU100" s="679">
        <f t="shared" si="80"/>
        <v>0</v>
      </c>
      <c r="CV100" s="685"/>
      <c r="CW100" s="681"/>
      <c r="CX100" s="682"/>
      <c r="CY100" s="682"/>
      <c r="CZ100" s="683"/>
      <c r="DA100" s="684"/>
      <c r="DB100" s="685"/>
      <c r="DC100" s="681"/>
      <c r="DD100" s="682"/>
      <c r="DE100" s="682"/>
      <c r="DF100" s="683"/>
      <c r="DG100" s="684"/>
      <c r="DH100" s="685"/>
      <c r="DI100" s="681"/>
      <c r="DJ100" s="682"/>
      <c r="DK100" s="682"/>
      <c r="DL100" s="683"/>
      <c r="DM100" s="684"/>
      <c r="DN100" s="685"/>
      <c r="DO100" s="681"/>
      <c r="DP100" s="682"/>
      <c r="DQ100" s="682"/>
      <c r="DR100" s="683"/>
      <c r="DS100" s="684"/>
      <c r="DT100" s="675"/>
      <c r="DU100" s="676">
        <f t="shared" si="34"/>
        <v>0</v>
      </c>
      <c r="DV100" s="677">
        <f t="shared" si="35"/>
        <v>0</v>
      </c>
      <c r="DW100" s="677">
        <f t="shared" si="81"/>
        <v>0</v>
      </c>
      <c r="DX100" s="678">
        <f t="shared" si="82"/>
        <v>0</v>
      </c>
      <c r="DY100" s="679">
        <f t="shared" si="83"/>
        <v>0</v>
      </c>
      <c r="DZ100" s="680"/>
      <c r="EA100" s="681"/>
      <c r="EB100" s="682"/>
      <c r="EC100" s="682"/>
      <c r="ED100" s="683"/>
      <c r="EE100" s="684"/>
      <c r="EF100" s="680"/>
      <c r="EG100" s="681"/>
      <c r="EH100" s="682"/>
      <c r="EI100" s="682"/>
      <c r="EJ100" s="683"/>
      <c r="EK100" s="684"/>
      <c r="EL100" s="680"/>
      <c r="EM100" s="681"/>
      <c r="EN100" s="682"/>
      <c r="EO100" s="682"/>
      <c r="EP100" s="683"/>
      <c r="EQ100" s="684"/>
      <c r="ER100" s="680"/>
      <c r="ES100" s="681"/>
      <c r="ET100" s="682"/>
      <c r="EU100" s="682"/>
      <c r="EV100" s="683"/>
      <c r="EW100" s="684"/>
      <c r="EX100" s="675"/>
      <c r="EY100" s="676">
        <f t="shared" si="36"/>
        <v>0</v>
      </c>
      <c r="EZ100" s="677">
        <f t="shared" si="37"/>
        <v>0</v>
      </c>
      <c r="FA100" s="677">
        <f t="shared" si="84"/>
        <v>0</v>
      </c>
      <c r="FB100" s="678">
        <f t="shared" si="85"/>
        <v>0</v>
      </c>
      <c r="FC100" s="679">
        <f t="shared" si="86"/>
        <v>0</v>
      </c>
      <c r="FD100" s="680"/>
      <c r="FE100" s="681"/>
      <c r="FF100" s="682"/>
      <c r="FG100" s="682"/>
      <c r="FH100" s="683"/>
      <c r="FI100" s="684"/>
      <c r="FJ100" s="680"/>
      <c r="FK100" s="681"/>
      <c r="FL100" s="682"/>
      <c r="FM100" s="682"/>
      <c r="FN100" s="683"/>
      <c r="FO100" s="684"/>
      <c r="FP100" s="680"/>
      <c r="FQ100" s="681"/>
      <c r="FR100" s="682"/>
      <c r="FS100" s="682"/>
      <c r="FT100" s="683"/>
      <c r="FU100" s="684"/>
      <c r="FV100" s="680"/>
      <c r="FW100" s="681"/>
      <c r="FX100" s="682"/>
      <c r="FY100" s="682"/>
      <c r="FZ100" s="683"/>
      <c r="GA100" s="684"/>
      <c r="GB100" s="675"/>
      <c r="GC100" s="676">
        <f t="shared" si="38"/>
        <v>0</v>
      </c>
      <c r="GD100" s="677">
        <f t="shared" si="39"/>
        <v>0</v>
      </c>
      <c r="GE100" s="677">
        <f t="shared" si="87"/>
        <v>0</v>
      </c>
      <c r="GF100" s="678">
        <f t="shared" si="88"/>
        <v>0</v>
      </c>
      <c r="GG100" s="679">
        <f t="shared" si="89"/>
        <v>0</v>
      </c>
      <c r="GH100" s="680"/>
      <c r="GI100" s="681"/>
      <c r="GJ100" s="682"/>
      <c r="GK100" s="682"/>
      <c r="GL100" s="683"/>
      <c r="GM100" s="684"/>
      <c r="GN100" s="680"/>
      <c r="GO100" s="681"/>
      <c r="GP100" s="682"/>
      <c r="GQ100" s="682"/>
      <c r="GR100" s="683"/>
      <c r="GS100" s="684"/>
      <c r="GT100" s="680"/>
      <c r="GU100" s="681"/>
      <c r="GV100" s="682"/>
      <c r="GW100" s="682"/>
      <c r="GX100" s="683"/>
      <c r="GY100" s="684"/>
      <c r="GZ100" s="680"/>
      <c r="HA100" s="147"/>
      <c r="HB100" s="148"/>
      <c r="HC100" s="148"/>
      <c r="HD100" s="149"/>
      <c r="HE100" s="150"/>
      <c r="HF100" s="506"/>
      <c r="HG100" s="502"/>
      <c r="HH100" s="502"/>
      <c r="HI100" s="502"/>
      <c r="HJ100" s="8"/>
    </row>
    <row r="101" spans="2:218" ht="21" hidden="1">
      <c r="B101" s="488">
        <v>57</v>
      </c>
      <c r="C101" s="489" t="s">
        <v>314</v>
      </c>
      <c r="D101" s="490" t="s">
        <v>322</v>
      </c>
      <c r="E101" s="491" t="s">
        <v>323</v>
      </c>
      <c r="F101" s="492"/>
      <c r="G101" s="493"/>
      <c r="H101" s="146" t="s">
        <v>97</v>
      </c>
      <c r="I101" s="494" t="str">
        <f t="shared" si="4"/>
        <v>n.v.t.</v>
      </c>
      <c r="J101" s="495" t="s">
        <v>487</v>
      </c>
      <c r="K101" s="151">
        <v>0</v>
      </c>
      <c r="L101" s="256">
        <f>IF($C$5&lt;3000,(Bron!H90*$C$5)+Bron!I90,(Bron!M90*$C$5)+Bron!N90)</f>
        <v>0</v>
      </c>
      <c r="M101" s="256"/>
      <c r="N101" s="496">
        <f t="shared" si="90"/>
        <v>0</v>
      </c>
      <c r="O101" s="497" t="str">
        <f t="shared" si="91"/>
        <v/>
      </c>
      <c r="P101" s="257">
        <f>IF($C$5&lt;3000,$AN$32*Bron!J90,$AN$32*Bron!O90)</f>
        <v>0</v>
      </c>
      <c r="Q101" s="257">
        <f>IF($C$5&lt;3000,$AN$31*Bron!K90,$AN$31*Bron!P90)</f>
        <v>0</v>
      </c>
      <c r="R101" s="257">
        <f>IF($C$5&lt;3000,$AN$33*Bron!J90,$AN$33*Bron!O90)</f>
        <v>0</v>
      </c>
      <c r="S101" s="344"/>
      <c r="T101" s="258">
        <f t="shared" si="6"/>
        <v>0</v>
      </c>
      <c r="U101" s="259">
        <f t="shared" si="7"/>
        <v>0</v>
      </c>
      <c r="V101" s="675"/>
      <c r="W101" s="676">
        <f t="shared" si="8"/>
        <v>0</v>
      </c>
      <c r="X101" s="677">
        <f t="shared" si="9"/>
        <v>0</v>
      </c>
      <c r="Y101" s="677">
        <f t="shared" si="42"/>
        <v>0</v>
      </c>
      <c r="Z101" s="678">
        <f t="shared" si="43"/>
        <v>0</v>
      </c>
      <c r="AA101" s="679">
        <f t="shared" si="44"/>
        <v>0</v>
      </c>
      <c r="AB101" s="675"/>
      <c r="AC101" s="676">
        <f t="shared" si="10"/>
        <v>0</v>
      </c>
      <c r="AD101" s="677">
        <f t="shared" si="11"/>
        <v>0</v>
      </c>
      <c r="AE101" s="677">
        <f t="shared" si="45"/>
        <v>0</v>
      </c>
      <c r="AF101" s="678">
        <f t="shared" si="46"/>
        <v>0</v>
      </c>
      <c r="AG101" s="679">
        <f t="shared" si="47"/>
        <v>0</v>
      </c>
      <c r="AH101" s="675"/>
      <c r="AI101" s="676">
        <f t="shared" si="12"/>
        <v>0</v>
      </c>
      <c r="AJ101" s="677">
        <f t="shared" si="13"/>
        <v>0</v>
      </c>
      <c r="AK101" s="677">
        <f t="shared" si="48"/>
        <v>0</v>
      </c>
      <c r="AL101" s="678">
        <f t="shared" si="49"/>
        <v>0</v>
      </c>
      <c r="AM101" s="679">
        <f t="shared" si="50"/>
        <v>0</v>
      </c>
      <c r="AN101" s="675"/>
      <c r="AO101" s="676">
        <f t="shared" si="14"/>
        <v>0</v>
      </c>
      <c r="AP101" s="677">
        <f t="shared" si="15"/>
        <v>0</v>
      </c>
      <c r="AQ101" s="677">
        <f t="shared" si="51"/>
        <v>0</v>
      </c>
      <c r="AR101" s="678">
        <f t="shared" si="52"/>
        <v>0</v>
      </c>
      <c r="AS101" s="679">
        <f t="shared" si="53"/>
        <v>0</v>
      </c>
      <c r="AT101" s="675"/>
      <c r="AU101" s="676">
        <f t="shared" si="16"/>
        <v>0</v>
      </c>
      <c r="AV101" s="677">
        <f t="shared" si="17"/>
        <v>0</v>
      </c>
      <c r="AW101" s="677">
        <f t="shared" si="54"/>
        <v>0</v>
      </c>
      <c r="AX101" s="678">
        <f t="shared" si="55"/>
        <v>0</v>
      </c>
      <c r="AY101" s="679">
        <f t="shared" si="56"/>
        <v>0</v>
      </c>
      <c r="AZ101" s="675"/>
      <c r="BA101" s="676">
        <f t="shared" si="18"/>
        <v>0</v>
      </c>
      <c r="BB101" s="677">
        <f t="shared" si="19"/>
        <v>0</v>
      </c>
      <c r="BC101" s="677">
        <f t="shared" si="57"/>
        <v>0</v>
      </c>
      <c r="BD101" s="678">
        <f t="shared" si="58"/>
        <v>0</v>
      </c>
      <c r="BE101" s="679">
        <f t="shared" si="59"/>
        <v>0</v>
      </c>
      <c r="BF101" s="675"/>
      <c r="BG101" s="676">
        <f t="shared" si="20"/>
        <v>0</v>
      </c>
      <c r="BH101" s="677">
        <f t="shared" si="21"/>
        <v>0</v>
      </c>
      <c r="BI101" s="677">
        <f t="shared" si="60"/>
        <v>0</v>
      </c>
      <c r="BJ101" s="678">
        <f t="shared" si="61"/>
        <v>0</v>
      </c>
      <c r="BK101" s="679">
        <f t="shared" si="62"/>
        <v>0</v>
      </c>
      <c r="BL101" s="675"/>
      <c r="BM101" s="676">
        <f t="shared" si="22"/>
        <v>0</v>
      </c>
      <c r="BN101" s="677">
        <f t="shared" si="23"/>
        <v>0</v>
      </c>
      <c r="BO101" s="677">
        <f t="shared" si="63"/>
        <v>0</v>
      </c>
      <c r="BP101" s="678">
        <f t="shared" si="64"/>
        <v>0</v>
      </c>
      <c r="BQ101" s="679">
        <f t="shared" si="65"/>
        <v>0</v>
      </c>
      <c r="BR101" s="675"/>
      <c r="BS101" s="676">
        <f t="shared" si="24"/>
        <v>0</v>
      </c>
      <c r="BT101" s="677">
        <f t="shared" si="25"/>
        <v>0</v>
      </c>
      <c r="BU101" s="677">
        <f t="shared" si="66"/>
        <v>0</v>
      </c>
      <c r="BV101" s="678">
        <f t="shared" si="67"/>
        <v>0</v>
      </c>
      <c r="BW101" s="679">
        <f t="shared" si="68"/>
        <v>0</v>
      </c>
      <c r="BX101" s="675"/>
      <c r="BY101" s="676">
        <f t="shared" si="26"/>
        <v>0</v>
      </c>
      <c r="BZ101" s="677">
        <f t="shared" si="27"/>
        <v>0</v>
      </c>
      <c r="CA101" s="677">
        <f t="shared" si="69"/>
        <v>0</v>
      </c>
      <c r="CB101" s="678">
        <f t="shared" si="70"/>
        <v>0</v>
      </c>
      <c r="CC101" s="679">
        <f t="shared" si="71"/>
        <v>0</v>
      </c>
      <c r="CD101" s="675"/>
      <c r="CE101" s="676">
        <f t="shared" si="28"/>
        <v>0</v>
      </c>
      <c r="CF101" s="677">
        <f t="shared" si="29"/>
        <v>0</v>
      </c>
      <c r="CG101" s="677">
        <f t="shared" si="72"/>
        <v>0</v>
      </c>
      <c r="CH101" s="678">
        <f t="shared" si="73"/>
        <v>0</v>
      </c>
      <c r="CI101" s="679">
        <f t="shared" si="74"/>
        <v>0</v>
      </c>
      <c r="CJ101" s="675"/>
      <c r="CK101" s="676">
        <f t="shared" si="30"/>
        <v>0</v>
      </c>
      <c r="CL101" s="677">
        <f t="shared" si="31"/>
        <v>0</v>
      </c>
      <c r="CM101" s="677">
        <f t="shared" si="75"/>
        <v>0</v>
      </c>
      <c r="CN101" s="678">
        <f t="shared" si="76"/>
        <v>0</v>
      </c>
      <c r="CO101" s="679">
        <f t="shared" si="77"/>
        <v>0</v>
      </c>
      <c r="CP101" s="675"/>
      <c r="CQ101" s="676">
        <f t="shared" si="32"/>
        <v>0</v>
      </c>
      <c r="CR101" s="677">
        <f t="shared" si="33"/>
        <v>0</v>
      </c>
      <c r="CS101" s="677">
        <f t="shared" si="78"/>
        <v>0</v>
      </c>
      <c r="CT101" s="678">
        <f t="shared" si="79"/>
        <v>0</v>
      </c>
      <c r="CU101" s="679">
        <f t="shared" si="80"/>
        <v>0</v>
      </c>
      <c r="CV101" s="685"/>
      <c r="CW101" s="681"/>
      <c r="CX101" s="682"/>
      <c r="CY101" s="682"/>
      <c r="CZ101" s="683"/>
      <c r="DA101" s="684"/>
      <c r="DB101" s="685"/>
      <c r="DC101" s="681"/>
      <c r="DD101" s="682"/>
      <c r="DE101" s="682"/>
      <c r="DF101" s="683"/>
      <c r="DG101" s="684"/>
      <c r="DH101" s="685"/>
      <c r="DI101" s="681"/>
      <c r="DJ101" s="682"/>
      <c r="DK101" s="682"/>
      <c r="DL101" s="683"/>
      <c r="DM101" s="684"/>
      <c r="DN101" s="685"/>
      <c r="DO101" s="681"/>
      <c r="DP101" s="682"/>
      <c r="DQ101" s="682"/>
      <c r="DR101" s="683"/>
      <c r="DS101" s="684"/>
      <c r="DT101" s="675"/>
      <c r="DU101" s="676">
        <f t="shared" si="34"/>
        <v>0</v>
      </c>
      <c r="DV101" s="677">
        <f t="shared" si="35"/>
        <v>0</v>
      </c>
      <c r="DW101" s="677">
        <f t="shared" si="81"/>
        <v>0</v>
      </c>
      <c r="DX101" s="678">
        <f t="shared" si="82"/>
        <v>0</v>
      </c>
      <c r="DY101" s="679">
        <f t="shared" si="83"/>
        <v>0</v>
      </c>
      <c r="DZ101" s="680"/>
      <c r="EA101" s="681"/>
      <c r="EB101" s="682"/>
      <c r="EC101" s="682"/>
      <c r="ED101" s="683"/>
      <c r="EE101" s="684"/>
      <c r="EF101" s="680"/>
      <c r="EG101" s="681"/>
      <c r="EH101" s="682"/>
      <c r="EI101" s="682"/>
      <c r="EJ101" s="683"/>
      <c r="EK101" s="684"/>
      <c r="EL101" s="680"/>
      <c r="EM101" s="681"/>
      <c r="EN101" s="682"/>
      <c r="EO101" s="682"/>
      <c r="EP101" s="683"/>
      <c r="EQ101" s="684"/>
      <c r="ER101" s="680"/>
      <c r="ES101" s="681"/>
      <c r="ET101" s="682"/>
      <c r="EU101" s="682"/>
      <c r="EV101" s="683"/>
      <c r="EW101" s="684"/>
      <c r="EX101" s="675"/>
      <c r="EY101" s="676">
        <f t="shared" si="36"/>
        <v>0</v>
      </c>
      <c r="EZ101" s="677">
        <f t="shared" si="37"/>
        <v>0</v>
      </c>
      <c r="FA101" s="677">
        <f t="shared" si="84"/>
        <v>0</v>
      </c>
      <c r="FB101" s="678">
        <f t="shared" si="85"/>
        <v>0</v>
      </c>
      <c r="FC101" s="679">
        <f t="shared" si="86"/>
        <v>0</v>
      </c>
      <c r="FD101" s="680"/>
      <c r="FE101" s="681"/>
      <c r="FF101" s="682"/>
      <c r="FG101" s="682"/>
      <c r="FH101" s="683"/>
      <c r="FI101" s="684"/>
      <c r="FJ101" s="680"/>
      <c r="FK101" s="681"/>
      <c r="FL101" s="682"/>
      <c r="FM101" s="682"/>
      <c r="FN101" s="683"/>
      <c r="FO101" s="684"/>
      <c r="FP101" s="680"/>
      <c r="FQ101" s="681"/>
      <c r="FR101" s="682"/>
      <c r="FS101" s="682"/>
      <c r="FT101" s="683"/>
      <c r="FU101" s="684"/>
      <c r="FV101" s="680"/>
      <c r="FW101" s="681"/>
      <c r="FX101" s="682"/>
      <c r="FY101" s="682"/>
      <c r="FZ101" s="683"/>
      <c r="GA101" s="684"/>
      <c r="GB101" s="675"/>
      <c r="GC101" s="676">
        <f t="shared" si="38"/>
        <v>0</v>
      </c>
      <c r="GD101" s="677">
        <f t="shared" si="39"/>
        <v>0</v>
      </c>
      <c r="GE101" s="677">
        <f t="shared" si="87"/>
        <v>0</v>
      </c>
      <c r="GF101" s="678">
        <f t="shared" si="88"/>
        <v>0</v>
      </c>
      <c r="GG101" s="679">
        <f t="shared" si="89"/>
        <v>0</v>
      </c>
      <c r="GH101" s="680"/>
      <c r="GI101" s="681"/>
      <c r="GJ101" s="682"/>
      <c r="GK101" s="682"/>
      <c r="GL101" s="683"/>
      <c r="GM101" s="684"/>
      <c r="GN101" s="680"/>
      <c r="GO101" s="681"/>
      <c r="GP101" s="682"/>
      <c r="GQ101" s="682"/>
      <c r="GR101" s="683"/>
      <c r="GS101" s="684"/>
      <c r="GT101" s="680"/>
      <c r="GU101" s="681"/>
      <c r="GV101" s="682"/>
      <c r="GW101" s="682"/>
      <c r="GX101" s="683"/>
      <c r="GY101" s="684"/>
      <c r="GZ101" s="680"/>
      <c r="HA101" s="147"/>
      <c r="HB101" s="148"/>
      <c r="HC101" s="148"/>
      <c r="HD101" s="149"/>
      <c r="HE101" s="150"/>
      <c r="HF101" s="506"/>
      <c r="HG101" s="502"/>
      <c r="HH101" s="502"/>
      <c r="HI101" s="502"/>
      <c r="HJ101" s="8"/>
    </row>
    <row r="102" spans="2:218" ht="21" hidden="1">
      <c r="B102" s="488">
        <v>58</v>
      </c>
      <c r="C102" s="489" t="s">
        <v>314</v>
      </c>
      <c r="D102" s="490" t="s">
        <v>324</v>
      </c>
      <c r="E102" s="491" t="s">
        <v>325</v>
      </c>
      <c r="F102" s="492"/>
      <c r="G102" s="493"/>
      <c r="H102" s="146" t="s">
        <v>97</v>
      </c>
      <c r="I102" s="494" t="str">
        <f t="shared" si="4"/>
        <v>n.v.t.</v>
      </c>
      <c r="J102" s="495" t="s">
        <v>487</v>
      </c>
      <c r="K102" s="151">
        <v>0</v>
      </c>
      <c r="L102" s="256">
        <f>IF($C$5&lt;3000,(Bron!H91*$C$5)+Bron!I91,(Bron!M91*$C$5)+Bron!N91)</f>
        <v>0</v>
      </c>
      <c r="M102" s="256"/>
      <c r="N102" s="496">
        <f t="shared" si="90"/>
        <v>0</v>
      </c>
      <c r="O102" s="497" t="str">
        <f t="shared" si="91"/>
        <v/>
      </c>
      <c r="P102" s="257">
        <f>IF($C$5&lt;3000,$AN$32*Bron!J91,$AN$32*Bron!O91)</f>
        <v>0</v>
      </c>
      <c r="Q102" s="257">
        <f>IF($C$5&lt;3000,$AN$31*Bron!K91,$AN$31*Bron!P91)</f>
        <v>0</v>
      </c>
      <c r="R102" s="257">
        <f>IF($C$5&lt;3000,$AN$33*Bron!J91,$AN$33*Bron!O91)</f>
        <v>0</v>
      </c>
      <c r="S102" s="344"/>
      <c r="T102" s="258">
        <f t="shared" si="6"/>
        <v>0</v>
      </c>
      <c r="U102" s="259">
        <f t="shared" si="7"/>
        <v>0</v>
      </c>
      <c r="V102" s="675"/>
      <c r="W102" s="676">
        <f t="shared" si="8"/>
        <v>0</v>
      </c>
      <c r="X102" s="677">
        <f t="shared" si="9"/>
        <v>0</v>
      </c>
      <c r="Y102" s="677">
        <f t="shared" si="42"/>
        <v>0</v>
      </c>
      <c r="Z102" s="678">
        <f t="shared" si="43"/>
        <v>0</v>
      </c>
      <c r="AA102" s="679">
        <f t="shared" si="44"/>
        <v>0</v>
      </c>
      <c r="AB102" s="675"/>
      <c r="AC102" s="676">
        <f t="shared" si="10"/>
        <v>0</v>
      </c>
      <c r="AD102" s="677">
        <f t="shared" si="11"/>
        <v>0</v>
      </c>
      <c r="AE102" s="677">
        <f t="shared" si="45"/>
        <v>0</v>
      </c>
      <c r="AF102" s="678">
        <f t="shared" si="46"/>
        <v>0</v>
      </c>
      <c r="AG102" s="679">
        <f t="shared" si="47"/>
        <v>0</v>
      </c>
      <c r="AH102" s="675"/>
      <c r="AI102" s="676">
        <f t="shared" si="12"/>
        <v>0</v>
      </c>
      <c r="AJ102" s="677">
        <f t="shared" si="13"/>
        <v>0</v>
      </c>
      <c r="AK102" s="677">
        <f t="shared" si="48"/>
        <v>0</v>
      </c>
      <c r="AL102" s="678">
        <f t="shared" si="49"/>
        <v>0</v>
      </c>
      <c r="AM102" s="679">
        <f t="shared" si="50"/>
        <v>0</v>
      </c>
      <c r="AN102" s="675"/>
      <c r="AO102" s="676">
        <f t="shared" si="14"/>
        <v>0</v>
      </c>
      <c r="AP102" s="677">
        <f t="shared" si="15"/>
        <v>0</v>
      </c>
      <c r="AQ102" s="677">
        <f t="shared" si="51"/>
        <v>0</v>
      </c>
      <c r="AR102" s="678">
        <f t="shared" si="52"/>
        <v>0</v>
      </c>
      <c r="AS102" s="679">
        <f t="shared" si="53"/>
        <v>0</v>
      </c>
      <c r="AT102" s="675"/>
      <c r="AU102" s="676">
        <f t="shared" si="16"/>
        <v>0</v>
      </c>
      <c r="AV102" s="677">
        <f t="shared" si="17"/>
        <v>0</v>
      </c>
      <c r="AW102" s="677">
        <f t="shared" si="54"/>
        <v>0</v>
      </c>
      <c r="AX102" s="678">
        <f t="shared" si="55"/>
        <v>0</v>
      </c>
      <c r="AY102" s="679">
        <f t="shared" si="56"/>
        <v>0</v>
      </c>
      <c r="AZ102" s="675"/>
      <c r="BA102" s="676">
        <f t="shared" si="18"/>
        <v>0</v>
      </c>
      <c r="BB102" s="677">
        <f t="shared" si="19"/>
        <v>0</v>
      </c>
      <c r="BC102" s="677">
        <f t="shared" si="57"/>
        <v>0</v>
      </c>
      <c r="BD102" s="678">
        <f t="shared" si="58"/>
        <v>0</v>
      </c>
      <c r="BE102" s="679">
        <f t="shared" si="59"/>
        <v>0</v>
      </c>
      <c r="BF102" s="675"/>
      <c r="BG102" s="676">
        <f t="shared" si="20"/>
        <v>0</v>
      </c>
      <c r="BH102" s="677">
        <f t="shared" si="21"/>
        <v>0</v>
      </c>
      <c r="BI102" s="677">
        <f t="shared" si="60"/>
        <v>0</v>
      </c>
      <c r="BJ102" s="678">
        <f t="shared" si="61"/>
        <v>0</v>
      </c>
      <c r="BK102" s="679">
        <f t="shared" si="62"/>
        <v>0</v>
      </c>
      <c r="BL102" s="675"/>
      <c r="BM102" s="676">
        <f t="shared" si="22"/>
        <v>0</v>
      </c>
      <c r="BN102" s="677">
        <f t="shared" si="23"/>
        <v>0</v>
      </c>
      <c r="BO102" s="677">
        <f t="shared" si="63"/>
        <v>0</v>
      </c>
      <c r="BP102" s="678">
        <f t="shared" si="64"/>
        <v>0</v>
      </c>
      <c r="BQ102" s="679">
        <f t="shared" si="65"/>
        <v>0</v>
      </c>
      <c r="BR102" s="675"/>
      <c r="BS102" s="676">
        <f t="shared" si="24"/>
        <v>0</v>
      </c>
      <c r="BT102" s="677">
        <f t="shared" si="25"/>
        <v>0</v>
      </c>
      <c r="BU102" s="677">
        <f t="shared" si="66"/>
        <v>0</v>
      </c>
      <c r="BV102" s="678">
        <f t="shared" si="67"/>
        <v>0</v>
      </c>
      <c r="BW102" s="679">
        <f t="shared" si="68"/>
        <v>0</v>
      </c>
      <c r="BX102" s="675"/>
      <c r="BY102" s="676">
        <f t="shared" si="26"/>
        <v>0</v>
      </c>
      <c r="BZ102" s="677">
        <f t="shared" si="27"/>
        <v>0</v>
      </c>
      <c r="CA102" s="677">
        <f t="shared" si="69"/>
        <v>0</v>
      </c>
      <c r="CB102" s="678">
        <f t="shared" si="70"/>
        <v>0</v>
      </c>
      <c r="CC102" s="679">
        <f t="shared" si="71"/>
        <v>0</v>
      </c>
      <c r="CD102" s="675"/>
      <c r="CE102" s="676">
        <f t="shared" si="28"/>
        <v>0</v>
      </c>
      <c r="CF102" s="677">
        <f t="shared" si="29"/>
        <v>0</v>
      </c>
      <c r="CG102" s="677">
        <f t="shared" si="72"/>
        <v>0</v>
      </c>
      <c r="CH102" s="678">
        <f t="shared" si="73"/>
        <v>0</v>
      </c>
      <c r="CI102" s="679">
        <f t="shared" si="74"/>
        <v>0</v>
      </c>
      <c r="CJ102" s="675"/>
      <c r="CK102" s="676">
        <f t="shared" si="30"/>
        <v>0</v>
      </c>
      <c r="CL102" s="677">
        <f t="shared" si="31"/>
        <v>0</v>
      </c>
      <c r="CM102" s="677">
        <f t="shared" si="75"/>
        <v>0</v>
      </c>
      <c r="CN102" s="678">
        <f t="shared" si="76"/>
        <v>0</v>
      </c>
      <c r="CO102" s="679">
        <f t="shared" si="77"/>
        <v>0</v>
      </c>
      <c r="CP102" s="675"/>
      <c r="CQ102" s="676">
        <f t="shared" si="32"/>
        <v>0</v>
      </c>
      <c r="CR102" s="677">
        <f t="shared" si="33"/>
        <v>0</v>
      </c>
      <c r="CS102" s="677">
        <f t="shared" si="78"/>
        <v>0</v>
      </c>
      <c r="CT102" s="678">
        <f t="shared" si="79"/>
        <v>0</v>
      </c>
      <c r="CU102" s="679">
        <f t="shared" si="80"/>
        <v>0</v>
      </c>
      <c r="CV102" s="685"/>
      <c r="CW102" s="681"/>
      <c r="CX102" s="682"/>
      <c r="CY102" s="682"/>
      <c r="CZ102" s="683"/>
      <c r="DA102" s="684"/>
      <c r="DB102" s="685"/>
      <c r="DC102" s="681"/>
      <c r="DD102" s="682"/>
      <c r="DE102" s="682"/>
      <c r="DF102" s="683"/>
      <c r="DG102" s="684"/>
      <c r="DH102" s="685"/>
      <c r="DI102" s="681"/>
      <c r="DJ102" s="682"/>
      <c r="DK102" s="682"/>
      <c r="DL102" s="683"/>
      <c r="DM102" s="684"/>
      <c r="DN102" s="685"/>
      <c r="DO102" s="681"/>
      <c r="DP102" s="682"/>
      <c r="DQ102" s="682"/>
      <c r="DR102" s="683"/>
      <c r="DS102" s="684"/>
      <c r="DT102" s="675"/>
      <c r="DU102" s="676">
        <f t="shared" si="34"/>
        <v>0</v>
      </c>
      <c r="DV102" s="677">
        <f t="shared" si="35"/>
        <v>0</v>
      </c>
      <c r="DW102" s="677">
        <f t="shared" si="81"/>
        <v>0</v>
      </c>
      <c r="DX102" s="678">
        <f t="shared" si="82"/>
        <v>0</v>
      </c>
      <c r="DY102" s="679">
        <f t="shared" si="83"/>
        <v>0</v>
      </c>
      <c r="DZ102" s="680"/>
      <c r="EA102" s="681"/>
      <c r="EB102" s="682"/>
      <c r="EC102" s="682"/>
      <c r="ED102" s="683"/>
      <c r="EE102" s="684"/>
      <c r="EF102" s="680"/>
      <c r="EG102" s="681"/>
      <c r="EH102" s="682"/>
      <c r="EI102" s="682"/>
      <c r="EJ102" s="683"/>
      <c r="EK102" s="684"/>
      <c r="EL102" s="680"/>
      <c r="EM102" s="681"/>
      <c r="EN102" s="682"/>
      <c r="EO102" s="682"/>
      <c r="EP102" s="683"/>
      <c r="EQ102" s="684"/>
      <c r="ER102" s="680"/>
      <c r="ES102" s="681"/>
      <c r="ET102" s="682"/>
      <c r="EU102" s="682"/>
      <c r="EV102" s="683"/>
      <c r="EW102" s="684"/>
      <c r="EX102" s="675"/>
      <c r="EY102" s="676">
        <f t="shared" si="36"/>
        <v>0</v>
      </c>
      <c r="EZ102" s="677">
        <f t="shared" si="37"/>
        <v>0</v>
      </c>
      <c r="FA102" s="677">
        <f t="shared" si="84"/>
        <v>0</v>
      </c>
      <c r="FB102" s="678">
        <f t="shared" si="85"/>
        <v>0</v>
      </c>
      <c r="FC102" s="679">
        <f t="shared" si="86"/>
        <v>0</v>
      </c>
      <c r="FD102" s="680"/>
      <c r="FE102" s="681"/>
      <c r="FF102" s="682"/>
      <c r="FG102" s="682"/>
      <c r="FH102" s="683"/>
      <c r="FI102" s="684"/>
      <c r="FJ102" s="680"/>
      <c r="FK102" s="681"/>
      <c r="FL102" s="682"/>
      <c r="FM102" s="682"/>
      <c r="FN102" s="683"/>
      <c r="FO102" s="684"/>
      <c r="FP102" s="680"/>
      <c r="FQ102" s="681"/>
      <c r="FR102" s="682"/>
      <c r="FS102" s="682"/>
      <c r="FT102" s="683"/>
      <c r="FU102" s="684"/>
      <c r="FV102" s="680"/>
      <c r="FW102" s="681"/>
      <c r="FX102" s="682"/>
      <c r="FY102" s="682"/>
      <c r="FZ102" s="683"/>
      <c r="GA102" s="684"/>
      <c r="GB102" s="675"/>
      <c r="GC102" s="676">
        <f t="shared" si="38"/>
        <v>0</v>
      </c>
      <c r="GD102" s="677">
        <f t="shared" si="39"/>
        <v>0</v>
      </c>
      <c r="GE102" s="677">
        <f t="shared" si="87"/>
        <v>0</v>
      </c>
      <c r="GF102" s="678">
        <f t="shared" si="88"/>
        <v>0</v>
      </c>
      <c r="GG102" s="679">
        <f t="shared" si="89"/>
        <v>0</v>
      </c>
      <c r="GH102" s="680"/>
      <c r="GI102" s="681"/>
      <c r="GJ102" s="682"/>
      <c r="GK102" s="682"/>
      <c r="GL102" s="683"/>
      <c r="GM102" s="684"/>
      <c r="GN102" s="680"/>
      <c r="GO102" s="681"/>
      <c r="GP102" s="682"/>
      <c r="GQ102" s="682"/>
      <c r="GR102" s="683"/>
      <c r="GS102" s="684"/>
      <c r="GT102" s="680"/>
      <c r="GU102" s="681"/>
      <c r="GV102" s="682"/>
      <c r="GW102" s="682"/>
      <c r="GX102" s="683"/>
      <c r="GY102" s="684"/>
      <c r="GZ102" s="680"/>
      <c r="HA102" s="147"/>
      <c r="HB102" s="148"/>
      <c r="HC102" s="148"/>
      <c r="HD102" s="149"/>
      <c r="HE102" s="150"/>
      <c r="HF102" s="506"/>
      <c r="HG102" s="502"/>
      <c r="HH102" s="502"/>
      <c r="HI102" s="502"/>
      <c r="HJ102" s="8"/>
    </row>
    <row r="103" spans="2:218" ht="21" hidden="1">
      <c r="B103" s="488">
        <v>59</v>
      </c>
      <c r="C103" s="489" t="s">
        <v>314</v>
      </c>
      <c r="D103" s="490" t="s">
        <v>326</v>
      </c>
      <c r="E103" s="491" t="s">
        <v>327</v>
      </c>
      <c r="F103" s="492"/>
      <c r="G103" s="493"/>
      <c r="H103" s="146" t="s">
        <v>97</v>
      </c>
      <c r="I103" s="494" t="str">
        <f t="shared" si="4"/>
        <v>n.v.t.</v>
      </c>
      <c r="J103" s="495"/>
      <c r="K103" s="151">
        <v>0</v>
      </c>
      <c r="L103" s="256"/>
      <c r="M103" s="256">
        <f>IF($C$5&lt;3000,(Bron!H92*$C$5)+Bron!I92,(Bron!M92*$C$5)+Bron!N92)</f>
        <v>0</v>
      </c>
      <c r="N103" s="496">
        <f t="shared" si="90"/>
        <v>0</v>
      </c>
      <c r="O103" s="497" t="str">
        <f t="shared" si="91"/>
        <v/>
      </c>
      <c r="P103" s="257">
        <f>IF($C$5&lt;3000,$AN$32*Bron!J92,$AN$32*Bron!O92)</f>
        <v>0</v>
      </c>
      <c r="Q103" s="257">
        <f>IF($C$5&lt;3000,$AN$31*Bron!K92,$AN$31*Bron!P92)</f>
        <v>0</v>
      </c>
      <c r="R103" s="257">
        <f>IF($C$5&lt;3000,$AN$33*Bron!J92,$AN$33*Bron!O92)</f>
        <v>0</v>
      </c>
      <c r="S103" s="344"/>
      <c r="T103" s="258">
        <f t="shared" si="6"/>
        <v>0</v>
      </c>
      <c r="U103" s="259">
        <f t="shared" si="7"/>
        <v>0</v>
      </c>
      <c r="V103" s="675"/>
      <c r="W103" s="676">
        <f t="shared" si="8"/>
        <v>0</v>
      </c>
      <c r="X103" s="677">
        <f t="shared" si="9"/>
        <v>0</v>
      </c>
      <c r="Y103" s="677">
        <f t="shared" si="42"/>
        <v>0</v>
      </c>
      <c r="Z103" s="678">
        <f t="shared" si="43"/>
        <v>0</v>
      </c>
      <c r="AA103" s="679">
        <f t="shared" si="44"/>
        <v>0</v>
      </c>
      <c r="AB103" s="675"/>
      <c r="AC103" s="676">
        <f t="shared" si="10"/>
        <v>0</v>
      </c>
      <c r="AD103" s="677">
        <f t="shared" si="11"/>
        <v>0</v>
      </c>
      <c r="AE103" s="677">
        <f t="shared" si="45"/>
        <v>0</v>
      </c>
      <c r="AF103" s="678">
        <f t="shared" si="46"/>
        <v>0</v>
      </c>
      <c r="AG103" s="679">
        <f t="shared" si="47"/>
        <v>0</v>
      </c>
      <c r="AH103" s="675"/>
      <c r="AI103" s="676">
        <f t="shared" si="12"/>
        <v>0</v>
      </c>
      <c r="AJ103" s="677">
        <f t="shared" si="13"/>
        <v>0</v>
      </c>
      <c r="AK103" s="677">
        <f t="shared" si="48"/>
        <v>0</v>
      </c>
      <c r="AL103" s="678">
        <f t="shared" si="49"/>
        <v>0</v>
      </c>
      <c r="AM103" s="679">
        <f t="shared" si="50"/>
        <v>0</v>
      </c>
      <c r="AN103" s="675"/>
      <c r="AO103" s="676">
        <f t="shared" si="14"/>
        <v>0</v>
      </c>
      <c r="AP103" s="677">
        <f t="shared" si="15"/>
        <v>0</v>
      </c>
      <c r="AQ103" s="677">
        <f t="shared" si="51"/>
        <v>0</v>
      </c>
      <c r="AR103" s="678">
        <f t="shared" si="52"/>
        <v>0</v>
      </c>
      <c r="AS103" s="679">
        <f t="shared" si="53"/>
        <v>0</v>
      </c>
      <c r="AT103" s="675"/>
      <c r="AU103" s="676">
        <f t="shared" si="16"/>
        <v>0</v>
      </c>
      <c r="AV103" s="677">
        <f t="shared" si="17"/>
        <v>0</v>
      </c>
      <c r="AW103" s="677">
        <f t="shared" si="54"/>
        <v>0</v>
      </c>
      <c r="AX103" s="678">
        <f t="shared" si="55"/>
        <v>0</v>
      </c>
      <c r="AY103" s="679">
        <f t="shared" si="56"/>
        <v>0</v>
      </c>
      <c r="AZ103" s="675"/>
      <c r="BA103" s="676">
        <f t="shared" si="18"/>
        <v>0</v>
      </c>
      <c r="BB103" s="677">
        <f t="shared" si="19"/>
        <v>0</v>
      </c>
      <c r="BC103" s="677">
        <f t="shared" si="57"/>
        <v>0</v>
      </c>
      <c r="BD103" s="678">
        <f t="shared" si="58"/>
        <v>0</v>
      </c>
      <c r="BE103" s="679">
        <f t="shared" si="59"/>
        <v>0</v>
      </c>
      <c r="BF103" s="675"/>
      <c r="BG103" s="676">
        <f t="shared" si="20"/>
        <v>0</v>
      </c>
      <c r="BH103" s="677">
        <f t="shared" si="21"/>
        <v>0</v>
      </c>
      <c r="BI103" s="677">
        <f t="shared" si="60"/>
        <v>0</v>
      </c>
      <c r="BJ103" s="678">
        <f t="shared" si="61"/>
        <v>0</v>
      </c>
      <c r="BK103" s="679">
        <f t="shared" si="62"/>
        <v>0</v>
      </c>
      <c r="BL103" s="675"/>
      <c r="BM103" s="676">
        <f t="shared" si="22"/>
        <v>0</v>
      </c>
      <c r="BN103" s="677">
        <f t="shared" si="23"/>
        <v>0</v>
      </c>
      <c r="BO103" s="677">
        <f t="shared" si="63"/>
        <v>0</v>
      </c>
      <c r="BP103" s="678">
        <f t="shared" si="64"/>
        <v>0</v>
      </c>
      <c r="BQ103" s="679">
        <f t="shared" si="65"/>
        <v>0</v>
      </c>
      <c r="BR103" s="675"/>
      <c r="BS103" s="676">
        <f t="shared" si="24"/>
        <v>0</v>
      </c>
      <c r="BT103" s="677">
        <f t="shared" si="25"/>
        <v>0</v>
      </c>
      <c r="BU103" s="677">
        <f t="shared" si="66"/>
        <v>0</v>
      </c>
      <c r="BV103" s="678">
        <f t="shared" si="67"/>
        <v>0</v>
      </c>
      <c r="BW103" s="679">
        <f t="shared" si="68"/>
        <v>0</v>
      </c>
      <c r="BX103" s="675"/>
      <c r="BY103" s="676">
        <f t="shared" si="26"/>
        <v>0</v>
      </c>
      <c r="BZ103" s="677">
        <f t="shared" si="27"/>
        <v>0</v>
      </c>
      <c r="CA103" s="677">
        <f t="shared" si="69"/>
        <v>0</v>
      </c>
      <c r="CB103" s="678">
        <f t="shared" si="70"/>
        <v>0</v>
      </c>
      <c r="CC103" s="679">
        <f t="shared" si="71"/>
        <v>0</v>
      </c>
      <c r="CD103" s="675"/>
      <c r="CE103" s="676">
        <f t="shared" si="28"/>
        <v>0</v>
      </c>
      <c r="CF103" s="677">
        <f t="shared" si="29"/>
        <v>0</v>
      </c>
      <c r="CG103" s="677">
        <f t="shared" si="72"/>
        <v>0</v>
      </c>
      <c r="CH103" s="678">
        <f t="shared" si="73"/>
        <v>0</v>
      </c>
      <c r="CI103" s="679">
        <f t="shared" si="74"/>
        <v>0</v>
      </c>
      <c r="CJ103" s="675"/>
      <c r="CK103" s="676">
        <f t="shared" si="30"/>
        <v>0</v>
      </c>
      <c r="CL103" s="677">
        <f t="shared" si="31"/>
        <v>0</v>
      </c>
      <c r="CM103" s="677">
        <f t="shared" si="75"/>
        <v>0</v>
      </c>
      <c r="CN103" s="678">
        <f t="shared" si="76"/>
        <v>0</v>
      </c>
      <c r="CO103" s="679">
        <f t="shared" si="77"/>
        <v>0</v>
      </c>
      <c r="CP103" s="675"/>
      <c r="CQ103" s="676">
        <f t="shared" si="32"/>
        <v>0</v>
      </c>
      <c r="CR103" s="677">
        <f t="shared" si="33"/>
        <v>0</v>
      </c>
      <c r="CS103" s="677">
        <f t="shared" si="78"/>
        <v>0</v>
      </c>
      <c r="CT103" s="678">
        <f t="shared" si="79"/>
        <v>0</v>
      </c>
      <c r="CU103" s="679">
        <f t="shared" si="80"/>
        <v>0</v>
      </c>
      <c r="CV103" s="685"/>
      <c r="CW103" s="681"/>
      <c r="CX103" s="682"/>
      <c r="CY103" s="682"/>
      <c r="CZ103" s="683"/>
      <c r="DA103" s="684"/>
      <c r="DB103" s="685"/>
      <c r="DC103" s="681"/>
      <c r="DD103" s="682"/>
      <c r="DE103" s="682"/>
      <c r="DF103" s="683"/>
      <c r="DG103" s="684"/>
      <c r="DH103" s="685"/>
      <c r="DI103" s="681"/>
      <c r="DJ103" s="682"/>
      <c r="DK103" s="682"/>
      <c r="DL103" s="683"/>
      <c r="DM103" s="684"/>
      <c r="DN103" s="685"/>
      <c r="DO103" s="681"/>
      <c r="DP103" s="682"/>
      <c r="DQ103" s="682"/>
      <c r="DR103" s="683"/>
      <c r="DS103" s="684"/>
      <c r="DT103" s="675"/>
      <c r="DU103" s="676">
        <f t="shared" si="34"/>
        <v>0</v>
      </c>
      <c r="DV103" s="677">
        <f t="shared" si="35"/>
        <v>0</v>
      </c>
      <c r="DW103" s="677">
        <f t="shared" si="81"/>
        <v>0</v>
      </c>
      <c r="DX103" s="678">
        <f t="shared" si="82"/>
        <v>0</v>
      </c>
      <c r="DY103" s="679">
        <f t="shared" si="83"/>
        <v>0</v>
      </c>
      <c r="DZ103" s="680"/>
      <c r="EA103" s="681"/>
      <c r="EB103" s="682"/>
      <c r="EC103" s="682"/>
      <c r="ED103" s="683"/>
      <c r="EE103" s="684"/>
      <c r="EF103" s="680"/>
      <c r="EG103" s="681"/>
      <c r="EH103" s="682"/>
      <c r="EI103" s="682"/>
      <c r="EJ103" s="683"/>
      <c r="EK103" s="684"/>
      <c r="EL103" s="680"/>
      <c r="EM103" s="681"/>
      <c r="EN103" s="682"/>
      <c r="EO103" s="682"/>
      <c r="EP103" s="683"/>
      <c r="EQ103" s="684"/>
      <c r="ER103" s="680"/>
      <c r="ES103" s="681"/>
      <c r="ET103" s="682"/>
      <c r="EU103" s="682"/>
      <c r="EV103" s="683"/>
      <c r="EW103" s="684"/>
      <c r="EX103" s="675"/>
      <c r="EY103" s="676">
        <f t="shared" si="36"/>
        <v>0</v>
      </c>
      <c r="EZ103" s="677">
        <f t="shared" si="37"/>
        <v>0</v>
      </c>
      <c r="FA103" s="677">
        <f t="shared" si="84"/>
        <v>0</v>
      </c>
      <c r="FB103" s="678">
        <f t="shared" si="85"/>
        <v>0</v>
      </c>
      <c r="FC103" s="679">
        <f t="shared" si="86"/>
        <v>0</v>
      </c>
      <c r="FD103" s="680"/>
      <c r="FE103" s="681"/>
      <c r="FF103" s="682"/>
      <c r="FG103" s="682"/>
      <c r="FH103" s="683"/>
      <c r="FI103" s="684"/>
      <c r="FJ103" s="680"/>
      <c r="FK103" s="681"/>
      <c r="FL103" s="682"/>
      <c r="FM103" s="682"/>
      <c r="FN103" s="683"/>
      <c r="FO103" s="684"/>
      <c r="FP103" s="680"/>
      <c r="FQ103" s="681"/>
      <c r="FR103" s="682"/>
      <c r="FS103" s="682"/>
      <c r="FT103" s="683"/>
      <c r="FU103" s="684"/>
      <c r="FV103" s="680"/>
      <c r="FW103" s="681"/>
      <c r="FX103" s="682"/>
      <c r="FY103" s="682"/>
      <c r="FZ103" s="683"/>
      <c r="GA103" s="684"/>
      <c r="GB103" s="675"/>
      <c r="GC103" s="676">
        <f t="shared" si="38"/>
        <v>0</v>
      </c>
      <c r="GD103" s="677">
        <f t="shared" si="39"/>
        <v>0</v>
      </c>
      <c r="GE103" s="677">
        <f t="shared" si="87"/>
        <v>0</v>
      </c>
      <c r="GF103" s="678">
        <f t="shared" si="88"/>
        <v>0</v>
      </c>
      <c r="GG103" s="679">
        <f t="shared" si="89"/>
        <v>0</v>
      </c>
      <c r="GH103" s="680"/>
      <c r="GI103" s="681"/>
      <c r="GJ103" s="682"/>
      <c r="GK103" s="682"/>
      <c r="GL103" s="683"/>
      <c r="GM103" s="684"/>
      <c r="GN103" s="680"/>
      <c r="GO103" s="681"/>
      <c r="GP103" s="682"/>
      <c r="GQ103" s="682"/>
      <c r="GR103" s="683"/>
      <c r="GS103" s="684"/>
      <c r="GT103" s="680"/>
      <c r="GU103" s="681"/>
      <c r="GV103" s="682"/>
      <c r="GW103" s="682"/>
      <c r="GX103" s="683"/>
      <c r="GY103" s="684"/>
      <c r="GZ103" s="680"/>
      <c r="HA103" s="147"/>
      <c r="HB103" s="148"/>
      <c r="HC103" s="148"/>
      <c r="HD103" s="149"/>
      <c r="HE103" s="150"/>
      <c r="HF103" s="506"/>
      <c r="HG103" s="502"/>
      <c r="HH103" s="502"/>
      <c r="HI103" s="502"/>
      <c r="HJ103" s="8"/>
    </row>
    <row r="104" spans="2:218" ht="21" hidden="1">
      <c r="B104" s="488">
        <v>60</v>
      </c>
      <c r="C104" s="489" t="s">
        <v>314</v>
      </c>
      <c r="D104" s="490" t="s">
        <v>328</v>
      </c>
      <c r="E104" s="491" t="s">
        <v>329</v>
      </c>
      <c r="F104" s="492"/>
      <c r="G104" s="493"/>
      <c r="H104" s="146" t="s">
        <v>97</v>
      </c>
      <c r="I104" s="494" t="str">
        <f t="shared" si="4"/>
        <v>n.v.t.</v>
      </c>
      <c r="J104" s="495"/>
      <c r="K104" s="151">
        <v>0</v>
      </c>
      <c r="L104" s="256"/>
      <c r="M104" s="256">
        <f>IF($C$5&lt;3000,(Bron!H93*$C$5)+Bron!I93,(Bron!M93*$C$5)+Bron!N93)</f>
        <v>0</v>
      </c>
      <c r="N104" s="496">
        <f t="shared" si="90"/>
        <v>0</v>
      </c>
      <c r="O104" s="497" t="str">
        <f t="shared" si="91"/>
        <v/>
      </c>
      <c r="P104" s="257">
        <f>IF($C$5&lt;3000,$AN$32*Bron!J93,$AN$32*Bron!O93)</f>
        <v>0</v>
      </c>
      <c r="Q104" s="257">
        <f>IF($C$5&lt;3000,$AN$31*Bron!K93,$AN$31*Bron!P93)</f>
        <v>0</v>
      </c>
      <c r="R104" s="257">
        <f>IF($C$5&lt;3000,$AN$33*Bron!J93,$AN$33*Bron!O93)</f>
        <v>0</v>
      </c>
      <c r="S104" s="344"/>
      <c r="T104" s="258">
        <f t="shared" si="6"/>
        <v>0</v>
      </c>
      <c r="U104" s="259">
        <f t="shared" si="7"/>
        <v>0</v>
      </c>
      <c r="V104" s="675"/>
      <c r="W104" s="676">
        <f t="shared" si="8"/>
        <v>0</v>
      </c>
      <c r="X104" s="677">
        <f t="shared" si="9"/>
        <v>0</v>
      </c>
      <c r="Y104" s="677">
        <f t="shared" si="42"/>
        <v>0</v>
      </c>
      <c r="Z104" s="678">
        <f t="shared" si="43"/>
        <v>0</v>
      </c>
      <c r="AA104" s="679">
        <f t="shared" si="44"/>
        <v>0</v>
      </c>
      <c r="AB104" s="675"/>
      <c r="AC104" s="676">
        <f t="shared" si="10"/>
        <v>0</v>
      </c>
      <c r="AD104" s="677">
        <f t="shared" si="11"/>
        <v>0</v>
      </c>
      <c r="AE104" s="677">
        <f t="shared" si="45"/>
        <v>0</v>
      </c>
      <c r="AF104" s="678">
        <f t="shared" si="46"/>
        <v>0</v>
      </c>
      <c r="AG104" s="679">
        <f t="shared" si="47"/>
        <v>0</v>
      </c>
      <c r="AH104" s="675"/>
      <c r="AI104" s="676">
        <f t="shared" si="12"/>
        <v>0</v>
      </c>
      <c r="AJ104" s="677">
        <f t="shared" si="13"/>
        <v>0</v>
      </c>
      <c r="AK104" s="677">
        <f t="shared" si="48"/>
        <v>0</v>
      </c>
      <c r="AL104" s="678">
        <f t="shared" si="49"/>
        <v>0</v>
      </c>
      <c r="AM104" s="679">
        <f t="shared" si="50"/>
        <v>0</v>
      </c>
      <c r="AN104" s="675"/>
      <c r="AO104" s="676">
        <f t="shared" si="14"/>
        <v>0</v>
      </c>
      <c r="AP104" s="677">
        <f t="shared" si="15"/>
        <v>0</v>
      </c>
      <c r="AQ104" s="677">
        <f t="shared" si="51"/>
        <v>0</v>
      </c>
      <c r="AR104" s="678">
        <f t="shared" si="52"/>
        <v>0</v>
      </c>
      <c r="AS104" s="679">
        <f t="shared" si="53"/>
        <v>0</v>
      </c>
      <c r="AT104" s="675"/>
      <c r="AU104" s="676">
        <f t="shared" si="16"/>
        <v>0</v>
      </c>
      <c r="AV104" s="677">
        <f t="shared" si="17"/>
        <v>0</v>
      </c>
      <c r="AW104" s="677">
        <f t="shared" si="54"/>
        <v>0</v>
      </c>
      <c r="AX104" s="678">
        <f t="shared" si="55"/>
        <v>0</v>
      </c>
      <c r="AY104" s="679">
        <f t="shared" si="56"/>
        <v>0</v>
      </c>
      <c r="AZ104" s="675"/>
      <c r="BA104" s="676">
        <f t="shared" si="18"/>
        <v>0</v>
      </c>
      <c r="BB104" s="677">
        <f t="shared" si="19"/>
        <v>0</v>
      </c>
      <c r="BC104" s="677">
        <f t="shared" si="57"/>
        <v>0</v>
      </c>
      <c r="BD104" s="678">
        <f t="shared" si="58"/>
        <v>0</v>
      </c>
      <c r="BE104" s="679">
        <f t="shared" si="59"/>
        <v>0</v>
      </c>
      <c r="BF104" s="675"/>
      <c r="BG104" s="676">
        <f t="shared" si="20"/>
        <v>0</v>
      </c>
      <c r="BH104" s="677">
        <f t="shared" si="21"/>
        <v>0</v>
      </c>
      <c r="BI104" s="677">
        <f t="shared" si="60"/>
        <v>0</v>
      </c>
      <c r="BJ104" s="678">
        <f t="shared" si="61"/>
        <v>0</v>
      </c>
      <c r="BK104" s="679">
        <f t="shared" si="62"/>
        <v>0</v>
      </c>
      <c r="BL104" s="675"/>
      <c r="BM104" s="676">
        <f t="shared" si="22"/>
        <v>0</v>
      </c>
      <c r="BN104" s="677">
        <f t="shared" si="23"/>
        <v>0</v>
      </c>
      <c r="BO104" s="677">
        <f t="shared" si="63"/>
        <v>0</v>
      </c>
      <c r="BP104" s="678">
        <f t="shared" si="64"/>
        <v>0</v>
      </c>
      <c r="BQ104" s="679">
        <f t="shared" si="65"/>
        <v>0</v>
      </c>
      <c r="BR104" s="675"/>
      <c r="BS104" s="676">
        <f t="shared" si="24"/>
        <v>0</v>
      </c>
      <c r="BT104" s="677">
        <f t="shared" si="25"/>
        <v>0</v>
      </c>
      <c r="BU104" s="677">
        <f t="shared" si="66"/>
        <v>0</v>
      </c>
      <c r="BV104" s="678">
        <f t="shared" si="67"/>
        <v>0</v>
      </c>
      <c r="BW104" s="679">
        <f t="shared" si="68"/>
        <v>0</v>
      </c>
      <c r="BX104" s="675"/>
      <c r="BY104" s="676">
        <f t="shared" si="26"/>
        <v>0</v>
      </c>
      <c r="BZ104" s="677">
        <f t="shared" si="27"/>
        <v>0</v>
      </c>
      <c r="CA104" s="677">
        <f t="shared" si="69"/>
        <v>0</v>
      </c>
      <c r="CB104" s="678">
        <f t="shared" si="70"/>
        <v>0</v>
      </c>
      <c r="CC104" s="679">
        <f t="shared" si="71"/>
        <v>0</v>
      </c>
      <c r="CD104" s="675"/>
      <c r="CE104" s="676">
        <f t="shared" si="28"/>
        <v>0</v>
      </c>
      <c r="CF104" s="677">
        <f t="shared" si="29"/>
        <v>0</v>
      </c>
      <c r="CG104" s="677">
        <f t="shared" si="72"/>
        <v>0</v>
      </c>
      <c r="CH104" s="678">
        <f t="shared" si="73"/>
        <v>0</v>
      </c>
      <c r="CI104" s="679">
        <f t="shared" si="74"/>
        <v>0</v>
      </c>
      <c r="CJ104" s="675"/>
      <c r="CK104" s="676">
        <f t="shared" si="30"/>
        <v>0</v>
      </c>
      <c r="CL104" s="677">
        <f t="shared" si="31"/>
        <v>0</v>
      </c>
      <c r="CM104" s="677">
        <f t="shared" si="75"/>
        <v>0</v>
      </c>
      <c r="CN104" s="678">
        <f t="shared" si="76"/>
        <v>0</v>
      </c>
      <c r="CO104" s="679">
        <f t="shared" si="77"/>
        <v>0</v>
      </c>
      <c r="CP104" s="675"/>
      <c r="CQ104" s="676">
        <f t="shared" si="32"/>
        <v>0</v>
      </c>
      <c r="CR104" s="677">
        <f t="shared" si="33"/>
        <v>0</v>
      </c>
      <c r="CS104" s="677">
        <f t="shared" si="78"/>
        <v>0</v>
      </c>
      <c r="CT104" s="678">
        <f t="shared" si="79"/>
        <v>0</v>
      </c>
      <c r="CU104" s="679">
        <f t="shared" si="80"/>
        <v>0</v>
      </c>
      <c r="CV104" s="685"/>
      <c r="CW104" s="681"/>
      <c r="CX104" s="682"/>
      <c r="CY104" s="682"/>
      <c r="CZ104" s="683"/>
      <c r="DA104" s="684"/>
      <c r="DB104" s="685"/>
      <c r="DC104" s="681"/>
      <c r="DD104" s="682"/>
      <c r="DE104" s="682"/>
      <c r="DF104" s="683"/>
      <c r="DG104" s="684"/>
      <c r="DH104" s="685"/>
      <c r="DI104" s="681"/>
      <c r="DJ104" s="682"/>
      <c r="DK104" s="682"/>
      <c r="DL104" s="683"/>
      <c r="DM104" s="684"/>
      <c r="DN104" s="685"/>
      <c r="DO104" s="681"/>
      <c r="DP104" s="682"/>
      <c r="DQ104" s="682"/>
      <c r="DR104" s="683"/>
      <c r="DS104" s="684"/>
      <c r="DT104" s="675"/>
      <c r="DU104" s="676">
        <f t="shared" si="34"/>
        <v>0</v>
      </c>
      <c r="DV104" s="677">
        <f t="shared" si="35"/>
        <v>0</v>
      </c>
      <c r="DW104" s="677">
        <f t="shared" si="81"/>
        <v>0</v>
      </c>
      <c r="DX104" s="678">
        <f t="shared" si="82"/>
        <v>0</v>
      </c>
      <c r="DY104" s="679">
        <f t="shared" si="83"/>
        <v>0</v>
      </c>
      <c r="DZ104" s="680"/>
      <c r="EA104" s="681"/>
      <c r="EB104" s="682"/>
      <c r="EC104" s="682"/>
      <c r="ED104" s="683"/>
      <c r="EE104" s="684"/>
      <c r="EF104" s="680"/>
      <c r="EG104" s="681"/>
      <c r="EH104" s="682"/>
      <c r="EI104" s="682"/>
      <c r="EJ104" s="683"/>
      <c r="EK104" s="684"/>
      <c r="EL104" s="680"/>
      <c r="EM104" s="681"/>
      <c r="EN104" s="682"/>
      <c r="EO104" s="682"/>
      <c r="EP104" s="683"/>
      <c r="EQ104" s="684"/>
      <c r="ER104" s="680"/>
      <c r="ES104" s="681"/>
      <c r="ET104" s="682"/>
      <c r="EU104" s="682"/>
      <c r="EV104" s="683"/>
      <c r="EW104" s="684"/>
      <c r="EX104" s="675"/>
      <c r="EY104" s="676">
        <f t="shared" si="36"/>
        <v>0</v>
      </c>
      <c r="EZ104" s="677">
        <f t="shared" si="37"/>
        <v>0</v>
      </c>
      <c r="FA104" s="677">
        <f t="shared" si="84"/>
        <v>0</v>
      </c>
      <c r="FB104" s="678">
        <f t="shared" si="85"/>
        <v>0</v>
      </c>
      <c r="FC104" s="679">
        <f t="shared" si="86"/>
        <v>0</v>
      </c>
      <c r="FD104" s="680"/>
      <c r="FE104" s="681"/>
      <c r="FF104" s="682"/>
      <c r="FG104" s="682"/>
      <c r="FH104" s="683"/>
      <c r="FI104" s="684"/>
      <c r="FJ104" s="680"/>
      <c r="FK104" s="681"/>
      <c r="FL104" s="682"/>
      <c r="FM104" s="682"/>
      <c r="FN104" s="683"/>
      <c r="FO104" s="684"/>
      <c r="FP104" s="680"/>
      <c r="FQ104" s="681"/>
      <c r="FR104" s="682"/>
      <c r="FS104" s="682"/>
      <c r="FT104" s="683"/>
      <c r="FU104" s="684"/>
      <c r="FV104" s="680"/>
      <c r="FW104" s="681"/>
      <c r="FX104" s="682"/>
      <c r="FY104" s="682"/>
      <c r="FZ104" s="683"/>
      <c r="GA104" s="684"/>
      <c r="GB104" s="675"/>
      <c r="GC104" s="676">
        <f t="shared" si="38"/>
        <v>0</v>
      </c>
      <c r="GD104" s="677">
        <f t="shared" si="39"/>
        <v>0</v>
      </c>
      <c r="GE104" s="677">
        <f t="shared" si="87"/>
        <v>0</v>
      </c>
      <c r="GF104" s="678">
        <f t="shared" si="88"/>
        <v>0</v>
      </c>
      <c r="GG104" s="679">
        <f t="shared" si="89"/>
        <v>0</v>
      </c>
      <c r="GH104" s="680"/>
      <c r="GI104" s="681"/>
      <c r="GJ104" s="682"/>
      <c r="GK104" s="682"/>
      <c r="GL104" s="683"/>
      <c r="GM104" s="684"/>
      <c r="GN104" s="680"/>
      <c r="GO104" s="681"/>
      <c r="GP104" s="682"/>
      <c r="GQ104" s="682"/>
      <c r="GR104" s="683"/>
      <c r="GS104" s="684"/>
      <c r="GT104" s="680"/>
      <c r="GU104" s="681"/>
      <c r="GV104" s="682"/>
      <c r="GW104" s="682"/>
      <c r="GX104" s="683"/>
      <c r="GY104" s="684"/>
      <c r="GZ104" s="680"/>
      <c r="HA104" s="147"/>
      <c r="HB104" s="148"/>
      <c r="HC104" s="148"/>
      <c r="HD104" s="149"/>
      <c r="HE104" s="150"/>
      <c r="HF104" s="506"/>
      <c r="HG104" s="502"/>
      <c r="HH104" s="502"/>
      <c r="HI104" s="502"/>
      <c r="HJ104" s="8"/>
    </row>
    <row r="105" spans="2:218" ht="21" hidden="1">
      <c r="B105" s="488">
        <v>61</v>
      </c>
      <c r="C105" s="489" t="s">
        <v>199</v>
      </c>
      <c r="D105" s="490" t="s">
        <v>30</v>
      </c>
      <c r="E105" s="491" t="s">
        <v>200</v>
      </c>
      <c r="F105" s="492"/>
      <c r="G105" s="493"/>
      <c r="H105" s="146" t="s">
        <v>97</v>
      </c>
      <c r="I105" s="494" t="str">
        <f t="shared" si="4"/>
        <v>n.v.t.</v>
      </c>
      <c r="J105" s="495" t="s">
        <v>487</v>
      </c>
      <c r="K105" s="151">
        <v>0</v>
      </c>
      <c r="L105" s="256">
        <f>IF($C$5&lt;3000,(Bron!H94*$C$5)+Bron!I94,(Bron!M94*$C$5)+Bron!N94)</f>
        <v>1500</v>
      </c>
      <c r="M105" s="256"/>
      <c r="N105" s="496">
        <f t="shared" si="90"/>
        <v>1940.13328</v>
      </c>
      <c r="O105" s="497">
        <f t="shared" si="91"/>
        <v>0.77314276058395326</v>
      </c>
      <c r="P105" s="257"/>
      <c r="Q105" s="257">
        <f>IF($C$5&lt;3000,$AN$31*Bron!K94,$AN$31*Bron!P94)</f>
        <v>7638.32</v>
      </c>
      <c r="R105" s="257">
        <f>IF($C$5&lt;3000,$AN$33*Bron!J94,$AN$33*Bron!O94)</f>
        <v>0</v>
      </c>
      <c r="S105" s="344"/>
      <c r="T105" s="258">
        <f t="shared" si="6"/>
        <v>0</v>
      </c>
      <c r="U105" s="259">
        <f t="shared" si="7"/>
        <v>0</v>
      </c>
      <c r="V105" s="675"/>
      <c r="W105" s="676">
        <f t="shared" si="8"/>
        <v>0</v>
      </c>
      <c r="X105" s="677">
        <f t="shared" si="9"/>
        <v>0</v>
      </c>
      <c r="Y105" s="677">
        <f t="shared" si="42"/>
        <v>0</v>
      </c>
      <c r="Z105" s="678">
        <f t="shared" si="43"/>
        <v>0</v>
      </c>
      <c r="AA105" s="679">
        <f t="shared" si="44"/>
        <v>0</v>
      </c>
      <c r="AB105" s="675"/>
      <c r="AC105" s="676">
        <f t="shared" si="10"/>
        <v>0</v>
      </c>
      <c r="AD105" s="677">
        <f t="shared" si="11"/>
        <v>0</v>
      </c>
      <c r="AE105" s="677">
        <f t="shared" si="45"/>
        <v>0</v>
      </c>
      <c r="AF105" s="678">
        <f t="shared" si="46"/>
        <v>0</v>
      </c>
      <c r="AG105" s="679">
        <f t="shared" si="47"/>
        <v>0</v>
      </c>
      <c r="AH105" s="675"/>
      <c r="AI105" s="676">
        <f t="shared" si="12"/>
        <v>0</v>
      </c>
      <c r="AJ105" s="677">
        <f t="shared" si="13"/>
        <v>0</v>
      </c>
      <c r="AK105" s="677">
        <f t="shared" si="48"/>
        <v>0</v>
      </c>
      <c r="AL105" s="678">
        <f t="shared" si="49"/>
        <v>0</v>
      </c>
      <c r="AM105" s="679">
        <f t="shared" si="50"/>
        <v>0</v>
      </c>
      <c r="AN105" s="675"/>
      <c r="AO105" s="676">
        <f t="shared" si="14"/>
        <v>0</v>
      </c>
      <c r="AP105" s="677">
        <f t="shared" si="15"/>
        <v>0</v>
      </c>
      <c r="AQ105" s="677">
        <f t="shared" si="51"/>
        <v>0</v>
      </c>
      <c r="AR105" s="678">
        <f t="shared" si="52"/>
        <v>0</v>
      </c>
      <c r="AS105" s="679">
        <f t="shared" si="53"/>
        <v>0</v>
      </c>
      <c r="AT105" s="675"/>
      <c r="AU105" s="676">
        <f t="shared" si="16"/>
        <v>0</v>
      </c>
      <c r="AV105" s="677">
        <f t="shared" si="17"/>
        <v>0</v>
      </c>
      <c r="AW105" s="677">
        <f t="shared" si="54"/>
        <v>0</v>
      </c>
      <c r="AX105" s="678">
        <f t="shared" si="55"/>
        <v>0</v>
      </c>
      <c r="AY105" s="679">
        <f t="shared" si="56"/>
        <v>0</v>
      </c>
      <c r="AZ105" s="675"/>
      <c r="BA105" s="676">
        <f t="shared" si="18"/>
        <v>0</v>
      </c>
      <c r="BB105" s="677">
        <f t="shared" si="19"/>
        <v>0</v>
      </c>
      <c r="BC105" s="677">
        <f t="shared" si="57"/>
        <v>0</v>
      </c>
      <c r="BD105" s="678">
        <f t="shared" si="58"/>
        <v>0</v>
      </c>
      <c r="BE105" s="679">
        <f t="shared" si="59"/>
        <v>0</v>
      </c>
      <c r="BF105" s="675"/>
      <c r="BG105" s="676">
        <f t="shared" si="20"/>
        <v>0</v>
      </c>
      <c r="BH105" s="677">
        <f t="shared" si="21"/>
        <v>0</v>
      </c>
      <c r="BI105" s="677">
        <f t="shared" si="60"/>
        <v>0</v>
      </c>
      <c r="BJ105" s="678">
        <f t="shared" si="61"/>
        <v>0</v>
      </c>
      <c r="BK105" s="679">
        <f t="shared" si="62"/>
        <v>0</v>
      </c>
      <c r="BL105" s="675"/>
      <c r="BM105" s="676">
        <f t="shared" si="22"/>
        <v>0</v>
      </c>
      <c r="BN105" s="677">
        <f t="shared" si="23"/>
        <v>0</v>
      </c>
      <c r="BO105" s="677">
        <f t="shared" si="63"/>
        <v>0</v>
      </c>
      <c r="BP105" s="678">
        <f t="shared" si="64"/>
        <v>0</v>
      </c>
      <c r="BQ105" s="679">
        <f t="shared" si="65"/>
        <v>0</v>
      </c>
      <c r="BR105" s="675"/>
      <c r="BS105" s="676">
        <f t="shared" si="24"/>
        <v>0</v>
      </c>
      <c r="BT105" s="677">
        <f t="shared" si="25"/>
        <v>0</v>
      </c>
      <c r="BU105" s="677">
        <f t="shared" si="66"/>
        <v>0</v>
      </c>
      <c r="BV105" s="678">
        <f t="shared" si="67"/>
        <v>0</v>
      </c>
      <c r="BW105" s="679">
        <f t="shared" si="68"/>
        <v>0</v>
      </c>
      <c r="BX105" s="675"/>
      <c r="BY105" s="676">
        <f t="shared" si="26"/>
        <v>0</v>
      </c>
      <c r="BZ105" s="677">
        <f t="shared" si="27"/>
        <v>0</v>
      </c>
      <c r="CA105" s="677">
        <f t="shared" si="69"/>
        <v>0</v>
      </c>
      <c r="CB105" s="678">
        <f t="shared" si="70"/>
        <v>0</v>
      </c>
      <c r="CC105" s="679">
        <f t="shared" si="71"/>
        <v>0</v>
      </c>
      <c r="CD105" s="675"/>
      <c r="CE105" s="676">
        <f t="shared" si="28"/>
        <v>0</v>
      </c>
      <c r="CF105" s="677">
        <f t="shared" si="29"/>
        <v>0</v>
      </c>
      <c r="CG105" s="677">
        <f t="shared" si="72"/>
        <v>0</v>
      </c>
      <c r="CH105" s="678">
        <f t="shared" si="73"/>
        <v>0</v>
      </c>
      <c r="CI105" s="679">
        <f t="shared" si="74"/>
        <v>0</v>
      </c>
      <c r="CJ105" s="675"/>
      <c r="CK105" s="676">
        <f t="shared" si="30"/>
        <v>0</v>
      </c>
      <c r="CL105" s="677">
        <f t="shared" si="31"/>
        <v>0</v>
      </c>
      <c r="CM105" s="677">
        <f t="shared" si="75"/>
        <v>0</v>
      </c>
      <c r="CN105" s="678">
        <f t="shared" si="76"/>
        <v>0</v>
      </c>
      <c r="CO105" s="679">
        <f t="shared" si="77"/>
        <v>0</v>
      </c>
      <c r="CP105" s="675"/>
      <c r="CQ105" s="676">
        <f t="shared" si="32"/>
        <v>0</v>
      </c>
      <c r="CR105" s="677">
        <f t="shared" si="33"/>
        <v>0</v>
      </c>
      <c r="CS105" s="677">
        <f t="shared" si="78"/>
        <v>0</v>
      </c>
      <c r="CT105" s="678">
        <f t="shared" si="79"/>
        <v>0</v>
      </c>
      <c r="CU105" s="679">
        <f t="shared" si="80"/>
        <v>0</v>
      </c>
      <c r="CV105" s="685"/>
      <c r="CW105" s="681"/>
      <c r="CX105" s="682"/>
      <c r="CY105" s="682"/>
      <c r="CZ105" s="683"/>
      <c r="DA105" s="684"/>
      <c r="DB105" s="685"/>
      <c r="DC105" s="681"/>
      <c r="DD105" s="682"/>
      <c r="DE105" s="682"/>
      <c r="DF105" s="683"/>
      <c r="DG105" s="684"/>
      <c r="DH105" s="685"/>
      <c r="DI105" s="681"/>
      <c r="DJ105" s="682"/>
      <c r="DK105" s="682"/>
      <c r="DL105" s="683"/>
      <c r="DM105" s="684"/>
      <c r="DN105" s="685"/>
      <c r="DO105" s="681"/>
      <c r="DP105" s="682"/>
      <c r="DQ105" s="682"/>
      <c r="DR105" s="683"/>
      <c r="DS105" s="684"/>
      <c r="DT105" s="675"/>
      <c r="DU105" s="676">
        <f t="shared" si="34"/>
        <v>0</v>
      </c>
      <c r="DV105" s="677">
        <f t="shared" si="35"/>
        <v>0</v>
      </c>
      <c r="DW105" s="677">
        <f t="shared" si="81"/>
        <v>0</v>
      </c>
      <c r="DX105" s="678">
        <f t="shared" si="82"/>
        <v>0</v>
      </c>
      <c r="DY105" s="679">
        <f t="shared" si="83"/>
        <v>0</v>
      </c>
      <c r="DZ105" s="680"/>
      <c r="EA105" s="681"/>
      <c r="EB105" s="682"/>
      <c r="EC105" s="682"/>
      <c r="ED105" s="683"/>
      <c r="EE105" s="684"/>
      <c r="EF105" s="680"/>
      <c r="EG105" s="681"/>
      <c r="EH105" s="682"/>
      <c r="EI105" s="682"/>
      <c r="EJ105" s="683"/>
      <c r="EK105" s="684"/>
      <c r="EL105" s="680"/>
      <c r="EM105" s="681"/>
      <c r="EN105" s="682"/>
      <c r="EO105" s="682"/>
      <c r="EP105" s="683"/>
      <c r="EQ105" s="684"/>
      <c r="ER105" s="680"/>
      <c r="ES105" s="681"/>
      <c r="ET105" s="682"/>
      <c r="EU105" s="682"/>
      <c r="EV105" s="683"/>
      <c r="EW105" s="684"/>
      <c r="EX105" s="675"/>
      <c r="EY105" s="676">
        <f t="shared" si="36"/>
        <v>0</v>
      </c>
      <c r="EZ105" s="677">
        <f t="shared" si="37"/>
        <v>0</v>
      </c>
      <c r="FA105" s="677">
        <f t="shared" si="84"/>
        <v>0</v>
      </c>
      <c r="FB105" s="678">
        <f t="shared" si="85"/>
        <v>0</v>
      </c>
      <c r="FC105" s="679">
        <f t="shared" si="86"/>
        <v>0</v>
      </c>
      <c r="FD105" s="680"/>
      <c r="FE105" s="681"/>
      <c r="FF105" s="682"/>
      <c r="FG105" s="682"/>
      <c r="FH105" s="683"/>
      <c r="FI105" s="684"/>
      <c r="FJ105" s="680"/>
      <c r="FK105" s="681"/>
      <c r="FL105" s="682"/>
      <c r="FM105" s="682"/>
      <c r="FN105" s="683"/>
      <c r="FO105" s="684"/>
      <c r="FP105" s="680"/>
      <c r="FQ105" s="681"/>
      <c r="FR105" s="682"/>
      <c r="FS105" s="682"/>
      <c r="FT105" s="683"/>
      <c r="FU105" s="684"/>
      <c r="FV105" s="680"/>
      <c r="FW105" s="681"/>
      <c r="FX105" s="682"/>
      <c r="FY105" s="682"/>
      <c r="FZ105" s="683"/>
      <c r="GA105" s="684"/>
      <c r="GB105" s="675"/>
      <c r="GC105" s="676">
        <f t="shared" si="38"/>
        <v>0</v>
      </c>
      <c r="GD105" s="677">
        <f t="shared" si="39"/>
        <v>0</v>
      </c>
      <c r="GE105" s="677">
        <f t="shared" si="87"/>
        <v>0</v>
      </c>
      <c r="GF105" s="678">
        <f t="shared" si="88"/>
        <v>0</v>
      </c>
      <c r="GG105" s="679">
        <f t="shared" si="89"/>
        <v>0</v>
      </c>
      <c r="GH105" s="680"/>
      <c r="GI105" s="681"/>
      <c r="GJ105" s="682"/>
      <c r="GK105" s="682"/>
      <c r="GL105" s="683"/>
      <c r="GM105" s="684"/>
      <c r="GN105" s="680"/>
      <c r="GO105" s="681"/>
      <c r="GP105" s="682"/>
      <c r="GQ105" s="682"/>
      <c r="GR105" s="683"/>
      <c r="GS105" s="684"/>
      <c r="GT105" s="680"/>
      <c r="GU105" s="681"/>
      <c r="GV105" s="682"/>
      <c r="GW105" s="682"/>
      <c r="GX105" s="683"/>
      <c r="GY105" s="684"/>
      <c r="GZ105" s="680"/>
      <c r="HA105" s="147"/>
      <c r="HB105" s="148"/>
      <c r="HC105" s="148"/>
      <c r="HD105" s="149"/>
      <c r="HE105" s="150"/>
      <c r="HF105" s="506"/>
      <c r="HG105" s="502"/>
      <c r="HH105" s="502"/>
      <c r="HI105" s="502"/>
      <c r="HJ105" s="8"/>
    </row>
    <row r="106" spans="2:218" ht="21" hidden="1">
      <c r="B106" s="488">
        <v>62</v>
      </c>
      <c r="C106" s="489" t="s">
        <v>199</v>
      </c>
      <c r="D106" s="490" t="s">
        <v>201</v>
      </c>
      <c r="E106" s="491" t="s">
        <v>202</v>
      </c>
      <c r="F106" s="492"/>
      <c r="G106" s="493"/>
      <c r="H106" s="146" t="s">
        <v>97</v>
      </c>
      <c r="I106" s="494" t="str">
        <f t="shared" si="4"/>
        <v>n.v.t.</v>
      </c>
      <c r="J106" s="495" t="s">
        <v>487</v>
      </c>
      <c r="K106" s="151">
        <v>0</v>
      </c>
      <c r="L106" s="256">
        <f>IF($C$5&lt;3000,(Bron!H95*$C$5)+Bron!I95,(Bron!M95*$C$5)+Bron!N95)</f>
        <v>600</v>
      </c>
      <c r="M106" s="256"/>
      <c r="N106" s="496">
        <f t="shared" si="90"/>
        <v>970.06664000000001</v>
      </c>
      <c r="O106" s="497">
        <f t="shared" si="91"/>
        <v>0.61851420846716265</v>
      </c>
      <c r="P106" s="257"/>
      <c r="Q106" s="257">
        <f>IF($C$5&lt;3000,$AN$31*Bron!K95,$AN$31*Bron!P95)</f>
        <v>3819.16</v>
      </c>
      <c r="R106" s="257">
        <f>IF($C$5&lt;3000,$AN$33*Bron!J95,$AN$33*Bron!O95)</f>
        <v>0</v>
      </c>
      <c r="S106" s="344"/>
      <c r="T106" s="258">
        <f t="shared" si="6"/>
        <v>0</v>
      </c>
      <c r="U106" s="259">
        <f t="shared" si="7"/>
        <v>0</v>
      </c>
      <c r="V106" s="675"/>
      <c r="W106" s="676">
        <f t="shared" si="8"/>
        <v>0</v>
      </c>
      <c r="X106" s="677">
        <f t="shared" si="9"/>
        <v>0</v>
      </c>
      <c r="Y106" s="677">
        <f t="shared" si="42"/>
        <v>0</v>
      </c>
      <c r="Z106" s="678">
        <f t="shared" si="43"/>
        <v>0</v>
      </c>
      <c r="AA106" s="679">
        <f t="shared" si="44"/>
        <v>0</v>
      </c>
      <c r="AB106" s="675"/>
      <c r="AC106" s="676">
        <f t="shared" si="10"/>
        <v>0</v>
      </c>
      <c r="AD106" s="677">
        <f t="shared" si="11"/>
        <v>0</v>
      </c>
      <c r="AE106" s="677">
        <f t="shared" si="45"/>
        <v>0</v>
      </c>
      <c r="AF106" s="678">
        <f t="shared" si="46"/>
        <v>0</v>
      </c>
      <c r="AG106" s="679">
        <f t="shared" si="47"/>
        <v>0</v>
      </c>
      <c r="AH106" s="675"/>
      <c r="AI106" s="676">
        <f t="shared" si="12"/>
        <v>0</v>
      </c>
      <c r="AJ106" s="677">
        <f t="shared" si="13"/>
        <v>0</v>
      </c>
      <c r="AK106" s="677">
        <f t="shared" si="48"/>
        <v>0</v>
      </c>
      <c r="AL106" s="678">
        <f t="shared" si="49"/>
        <v>0</v>
      </c>
      <c r="AM106" s="679">
        <f t="shared" si="50"/>
        <v>0</v>
      </c>
      <c r="AN106" s="675"/>
      <c r="AO106" s="676">
        <f t="shared" si="14"/>
        <v>0</v>
      </c>
      <c r="AP106" s="677">
        <f t="shared" si="15"/>
        <v>0</v>
      </c>
      <c r="AQ106" s="677">
        <f t="shared" si="51"/>
        <v>0</v>
      </c>
      <c r="AR106" s="678">
        <f t="shared" si="52"/>
        <v>0</v>
      </c>
      <c r="AS106" s="679">
        <f t="shared" si="53"/>
        <v>0</v>
      </c>
      <c r="AT106" s="675"/>
      <c r="AU106" s="676">
        <f t="shared" si="16"/>
        <v>0</v>
      </c>
      <c r="AV106" s="677">
        <f t="shared" si="17"/>
        <v>0</v>
      </c>
      <c r="AW106" s="677">
        <f t="shared" si="54"/>
        <v>0</v>
      </c>
      <c r="AX106" s="678">
        <f t="shared" si="55"/>
        <v>0</v>
      </c>
      <c r="AY106" s="679">
        <f t="shared" si="56"/>
        <v>0</v>
      </c>
      <c r="AZ106" s="675"/>
      <c r="BA106" s="676">
        <f t="shared" si="18"/>
        <v>0</v>
      </c>
      <c r="BB106" s="677">
        <f t="shared" si="19"/>
        <v>0</v>
      </c>
      <c r="BC106" s="677">
        <f t="shared" si="57"/>
        <v>0</v>
      </c>
      <c r="BD106" s="678">
        <f t="shared" si="58"/>
        <v>0</v>
      </c>
      <c r="BE106" s="679">
        <f t="shared" si="59"/>
        <v>0</v>
      </c>
      <c r="BF106" s="675"/>
      <c r="BG106" s="676">
        <f t="shared" si="20"/>
        <v>0</v>
      </c>
      <c r="BH106" s="677">
        <f t="shared" si="21"/>
        <v>0</v>
      </c>
      <c r="BI106" s="677">
        <f t="shared" si="60"/>
        <v>0</v>
      </c>
      <c r="BJ106" s="678">
        <f t="shared" si="61"/>
        <v>0</v>
      </c>
      <c r="BK106" s="679">
        <f t="shared" si="62"/>
        <v>0</v>
      </c>
      <c r="BL106" s="675"/>
      <c r="BM106" s="676">
        <f t="shared" si="22"/>
        <v>0</v>
      </c>
      <c r="BN106" s="677">
        <f t="shared" si="23"/>
        <v>0</v>
      </c>
      <c r="BO106" s="677">
        <f t="shared" si="63"/>
        <v>0</v>
      </c>
      <c r="BP106" s="678">
        <f t="shared" si="64"/>
        <v>0</v>
      </c>
      <c r="BQ106" s="679">
        <f t="shared" si="65"/>
        <v>0</v>
      </c>
      <c r="BR106" s="675"/>
      <c r="BS106" s="676">
        <f t="shared" si="24"/>
        <v>0</v>
      </c>
      <c r="BT106" s="677">
        <f t="shared" si="25"/>
        <v>0</v>
      </c>
      <c r="BU106" s="677">
        <f t="shared" si="66"/>
        <v>0</v>
      </c>
      <c r="BV106" s="678">
        <f t="shared" si="67"/>
        <v>0</v>
      </c>
      <c r="BW106" s="679">
        <f t="shared" si="68"/>
        <v>0</v>
      </c>
      <c r="BX106" s="675"/>
      <c r="BY106" s="676">
        <f t="shared" si="26"/>
        <v>0</v>
      </c>
      <c r="BZ106" s="677">
        <f t="shared" si="27"/>
        <v>0</v>
      </c>
      <c r="CA106" s="677">
        <f t="shared" si="69"/>
        <v>0</v>
      </c>
      <c r="CB106" s="678">
        <f t="shared" si="70"/>
        <v>0</v>
      </c>
      <c r="CC106" s="679">
        <f t="shared" si="71"/>
        <v>0</v>
      </c>
      <c r="CD106" s="675"/>
      <c r="CE106" s="676">
        <f t="shared" si="28"/>
        <v>0</v>
      </c>
      <c r="CF106" s="677">
        <f t="shared" si="29"/>
        <v>0</v>
      </c>
      <c r="CG106" s="677">
        <f t="shared" si="72"/>
        <v>0</v>
      </c>
      <c r="CH106" s="678">
        <f t="shared" si="73"/>
        <v>0</v>
      </c>
      <c r="CI106" s="679">
        <f t="shared" si="74"/>
        <v>0</v>
      </c>
      <c r="CJ106" s="675"/>
      <c r="CK106" s="676">
        <f t="shared" si="30"/>
        <v>0</v>
      </c>
      <c r="CL106" s="677">
        <f t="shared" si="31"/>
        <v>0</v>
      </c>
      <c r="CM106" s="677">
        <f t="shared" si="75"/>
        <v>0</v>
      </c>
      <c r="CN106" s="678">
        <f t="shared" si="76"/>
        <v>0</v>
      </c>
      <c r="CO106" s="679">
        <f t="shared" si="77"/>
        <v>0</v>
      </c>
      <c r="CP106" s="675"/>
      <c r="CQ106" s="676">
        <f t="shared" si="32"/>
        <v>0</v>
      </c>
      <c r="CR106" s="677">
        <f t="shared" si="33"/>
        <v>0</v>
      </c>
      <c r="CS106" s="677">
        <f t="shared" si="78"/>
        <v>0</v>
      </c>
      <c r="CT106" s="678">
        <f t="shared" si="79"/>
        <v>0</v>
      </c>
      <c r="CU106" s="679">
        <f t="shared" si="80"/>
        <v>0</v>
      </c>
      <c r="CV106" s="685"/>
      <c r="CW106" s="681"/>
      <c r="CX106" s="682"/>
      <c r="CY106" s="682"/>
      <c r="CZ106" s="683"/>
      <c r="DA106" s="684"/>
      <c r="DB106" s="685"/>
      <c r="DC106" s="681"/>
      <c r="DD106" s="682"/>
      <c r="DE106" s="682"/>
      <c r="DF106" s="683"/>
      <c r="DG106" s="684"/>
      <c r="DH106" s="685"/>
      <c r="DI106" s="681"/>
      <c r="DJ106" s="682"/>
      <c r="DK106" s="682"/>
      <c r="DL106" s="683"/>
      <c r="DM106" s="684"/>
      <c r="DN106" s="685"/>
      <c r="DO106" s="681"/>
      <c r="DP106" s="682"/>
      <c r="DQ106" s="682"/>
      <c r="DR106" s="683"/>
      <c r="DS106" s="684"/>
      <c r="DT106" s="675"/>
      <c r="DU106" s="676">
        <f t="shared" si="34"/>
        <v>0</v>
      </c>
      <c r="DV106" s="677">
        <f t="shared" si="35"/>
        <v>0</v>
      </c>
      <c r="DW106" s="677">
        <f t="shared" si="81"/>
        <v>0</v>
      </c>
      <c r="DX106" s="678">
        <f t="shared" si="82"/>
        <v>0</v>
      </c>
      <c r="DY106" s="679">
        <f t="shared" si="83"/>
        <v>0</v>
      </c>
      <c r="DZ106" s="680"/>
      <c r="EA106" s="681"/>
      <c r="EB106" s="682"/>
      <c r="EC106" s="682"/>
      <c r="ED106" s="683"/>
      <c r="EE106" s="684"/>
      <c r="EF106" s="680"/>
      <c r="EG106" s="681"/>
      <c r="EH106" s="682"/>
      <c r="EI106" s="682"/>
      <c r="EJ106" s="683"/>
      <c r="EK106" s="684"/>
      <c r="EL106" s="680"/>
      <c r="EM106" s="681"/>
      <c r="EN106" s="682"/>
      <c r="EO106" s="682"/>
      <c r="EP106" s="683"/>
      <c r="EQ106" s="684"/>
      <c r="ER106" s="680"/>
      <c r="ES106" s="681"/>
      <c r="ET106" s="682"/>
      <c r="EU106" s="682"/>
      <c r="EV106" s="683"/>
      <c r="EW106" s="684"/>
      <c r="EX106" s="675"/>
      <c r="EY106" s="676">
        <f t="shared" si="36"/>
        <v>0</v>
      </c>
      <c r="EZ106" s="677">
        <f t="shared" si="37"/>
        <v>0</v>
      </c>
      <c r="FA106" s="677">
        <f t="shared" si="84"/>
        <v>0</v>
      </c>
      <c r="FB106" s="678">
        <f t="shared" si="85"/>
        <v>0</v>
      </c>
      <c r="FC106" s="679">
        <f t="shared" si="86"/>
        <v>0</v>
      </c>
      <c r="FD106" s="680"/>
      <c r="FE106" s="681"/>
      <c r="FF106" s="682"/>
      <c r="FG106" s="682"/>
      <c r="FH106" s="683"/>
      <c r="FI106" s="684"/>
      <c r="FJ106" s="680"/>
      <c r="FK106" s="681"/>
      <c r="FL106" s="682"/>
      <c r="FM106" s="682"/>
      <c r="FN106" s="683"/>
      <c r="FO106" s="684"/>
      <c r="FP106" s="680"/>
      <c r="FQ106" s="681"/>
      <c r="FR106" s="682"/>
      <c r="FS106" s="682"/>
      <c r="FT106" s="683"/>
      <c r="FU106" s="684"/>
      <c r="FV106" s="680"/>
      <c r="FW106" s="681"/>
      <c r="FX106" s="682"/>
      <c r="FY106" s="682"/>
      <c r="FZ106" s="683"/>
      <c r="GA106" s="684"/>
      <c r="GB106" s="675"/>
      <c r="GC106" s="676">
        <f t="shared" si="38"/>
        <v>0</v>
      </c>
      <c r="GD106" s="677">
        <f t="shared" si="39"/>
        <v>0</v>
      </c>
      <c r="GE106" s="677">
        <f t="shared" si="87"/>
        <v>0</v>
      </c>
      <c r="GF106" s="678">
        <f t="shared" si="88"/>
        <v>0</v>
      </c>
      <c r="GG106" s="679">
        <f t="shared" si="89"/>
        <v>0</v>
      </c>
      <c r="GH106" s="680"/>
      <c r="GI106" s="681"/>
      <c r="GJ106" s="682"/>
      <c r="GK106" s="682"/>
      <c r="GL106" s="683"/>
      <c r="GM106" s="684"/>
      <c r="GN106" s="680"/>
      <c r="GO106" s="681"/>
      <c r="GP106" s="682"/>
      <c r="GQ106" s="682"/>
      <c r="GR106" s="683"/>
      <c r="GS106" s="684"/>
      <c r="GT106" s="680"/>
      <c r="GU106" s="681"/>
      <c r="GV106" s="682"/>
      <c r="GW106" s="682"/>
      <c r="GX106" s="683"/>
      <c r="GY106" s="684"/>
      <c r="GZ106" s="680"/>
      <c r="HA106" s="147"/>
      <c r="HB106" s="148"/>
      <c r="HC106" s="148"/>
      <c r="HD106" s="149"/>
      <c r="HE106" s="150"/>
      <c r="HF106" s="506"/>
      <c r="HG106" s="502"/>
      <c r="HH106" s="502"/>
      <c r="HI106" s="502"/>
      <c r="HJ106" s="8"/>
    </row>
    <row r="107" spans="2:218" ht="21" hidden="1">
      <c r="B107" s="488">
        <v>63</v>
      </c>
      <c r="C107" s="489" t="s">
        <v>199</v>
      </c>
      <c r="D107" s="490" t="s">
        <v>203</v>
      </c>
      <c r="E107" s="491" t="s">
        <v>204</v>
      </c>
      <c r="F107" s="492"/>
      <c r="G107" s="493"/>
      <c r="H107" s="146" t="s">
        <v>97</v>
      </c>
      <c r="I107" s="494" t="str">
        <f t="shared" si="4"/>
        <v>n.v.t.</v>
      </c>
      <c r="J107" s="495" t="s">
        <v>487</v>
      </c>
      <c r="K107" s="151">
        <v>0</v>
      </c>
      <c r="L107" s="256">
        <f>IF($C$5&lt;3000,(Bron!H96*$C$5)+Bron!I96,(Bron!M96*$C$5)+Bron!N96)</f>
        <v>0</v>
      </c>
      <c r="M107" s="256"/>
      <c r="N107" s="496">
        <f t="shared" si="90"/>
        <v>0</v>
      </c>
      <c r="O107" s="497" t="str">
        <f t="shared" si="91"/>
        <v/>
      </c>
      <c r="P107" s="257">
        <f>IF($C$5&lt;3000,$AN$32*Bron!J96,$AN$32*Bron!O96)</f>
        <v>0</v>
      </c>
      <c r="Q107" s="257">
        <f>IF($C$5&lt;3000,$AN$31*Bron!K96,$AN$31*Bron!P96)</f>
        <v>0</v>
      </c>
      <c r="R107" s="257">
        <f>IF($C$5&lt;3000,$AN$33*Bron!J96,$AN$33*Bron!O96)</f>
        <v>0</v>
      </c>
      <c r="S107" s="344"/>
      <c r="T107" s="258">
        <f t="shared" si="6"/>
        <v>0</v>
      </c>
      <c r="U107" s="259">
        <f t="shared" si="7"/>
        <v>0</v>
      </c>
      <c r="V107" s="675"/>
      <c r="W107" s="676">
        <f t="shared" si="8"/>
        <v>0</v>
      </c>
      <c r="X107" s="677">
        <f t="shared" si="9"/>
        <v>0</v>
      </c>
      <c r="Y107" s="677">
        <f t="shared" si="42"/>
        <v>0</v>
      </c>
      <c r="Z107" s="678">
        <f t="shared" si="43"/>
        <v>0</v>
      </c>
      <c r="AA107" s="679">
        <f t="shared" si="44"/>
        <v>0</v>
      </c>
      <c r="AB107" s="675"/>
      <c r="AC107" s="676">
        <f t="shared" si="10"/>
        <v>0</v>
      </c>
      <c r="AD107" s="677">
        <f t="shared" si="11"/>
        <v>0</v>
      </c>
      <c r="AE107" s="677">
        <f t="shared" si="45"/>
        <v>0</v>
      </c>
      <c r="AF107" s="678">
        <f t="shared" si="46"/>
        <v>0</v>
      </c>
      <c r="AG107" s="679">
        <f t="shared" si="47"/>
        <v>0</v>
      </c>
      <c r="AH107" s="675"/>
      <c r="AI107" s="676">
        <f t="shared" si="12"/>
        <v>0</v>
      </c>
      <c r="AJ107" s="677">
        <f t="shared" si="13"/>
        <v>0</v>
      </c>
      <c r="AK107" s="677">
        <f t="shared" si="48"/>
        <v>0</v>
      </c>
      <c r="AL107" s="678">
        <f t="shared" si="49"/>
        <v>0</v>
      </c>
      <c r="AM107" s="679">
        <f t="shared" si="50"/>
        <v>0</v>
      </c>
      <c r="AN107" s="675"/>
      <c r="AO107" s="676">
        <f t="shared" si="14"/>
        <v>0</v>
      </c>
      <c r="AP107" s="677">
        <f t="shared" si="15"/>
        <v>0</v>
      </c>
      <c r="AQ107" s="677">
        <f t="shared" si="51"/>
        <v>0</v>
      </c>
      <c r="AR107" s="678">
        <f t="shared" si="52"/>
        <v>0</v>
      </c>
      <c r="AS107" s="679">
        <f t="shared" si="53"/>
        <v>0</v>
      </c>
      <c r="AT107" s="675"/>
      <c r="AU107" s="676">
        <f t="shared" si="16"/>
        <v>0</v>
      </c>
      <c r="AV107" s="677">
        <f t="shared" si="17"/>
        <v>0</v>
      </c>
      <c r="AW107" s="677">
        <f t="shared" si="54"/>
        <v>0</v>
      </c>
      <c r="AX107" s="678">
        <f t="shared" si="55"/>
        <v>0</v>
      </c>
      <c r="AY107" s="679">
        <f t="shared" si="56"/>
        <v>0</v>
      </c>
      <c r="AZ107" s="675"/>
      <c r="BA107" s="676">
        <f t="shared" si="18"/>
        <v>0</v>
      </c>
      <c r="BB107" s="677">
        <f t="shared" si="19"/>
        <v>0</v>
      </c>
      <c r="BC107" s="677">
        <f t="shared" si="57"/>
        <v>0</v>
      </c>
      <c r="BD107" s="678">
        <f t="shared" si="58"/>
        <v>0</v>
      </c>
      <c r="BE107" s="679">
        <f t="shared" si="59"/>
        <v>0</v>
      </c>
      <c r="BF107" s="675"/>
      <c r="BG107" s="676">
        <f t="shared" si="20"/>
        <v>0</v>
      </c>
      <c r="BH107" s="677">
        <f t="shared" si="21"/>
        <v>0</v>
      </c>
      <c r="BI107" s="677">
        <f t="shared" si="60"/>
        <v>0</v>
      </c>
      <c r="BJ107" s="678">
        <f t="shared" si="61"/>
        <v>0</v>
      </c>
      <c r="BK107" s="679">
        <f t="shared" si="62"/>
        <v>0</v>
      </c>
      <c r="BL107" s="675"/>
      <c r="BM107" s="676">
        <f t="shared" si="22"/>
        <v>0</v>
      </c>
      <c r="BN107" s="677">
        <f t="shared" si="23"/>
        <v>0</v>
      </c>
      <c r="BO107" s="677">
        <f t="shared" si="63"/>
        <v>0</v>
      </c>
      <c r="BP107" s="678">
        <f t="shared" si="64"/>
        <v>0</v>
      </c>
      <c r="BQ107" s="679">
        <f t="shared" si="65"/>
        <v>0</v>
      </c>
      <c r="BR107" s="675"/>
      <c r="BS107" s="676">
        <f t="shared" si="24"/>
        <v>0</v>
      </c>
      <c r="BT107" s="677">
        <f t="shared" si="25"/>
        <v>0</v>
      </c>
      <c r="BU107" s="677">
        <f t="shared" si="66"/>
        <v>0</v>
      </c>
      <c r="BV107" s="678">
        <f t="shared" si="67"/>
        <v>0</v>
      </c>
      <c r="BW107" s="679">
        <f t="shared" si="68"/>
        <v>0</v>
      </c>
      <c r="BX107" s="675"/>
      <c r="BY107" s="676">
        <f t="shared" si="26"/>
        <v>0</v>
      </c>
      <c r="BZ107" s="677">
        <f t="shared" si="27"/>
        <v>0</v>
      </c>
      <c r="CA107" s="677">
        <f t="shared" si="69"/>
        <v>0</v>
      </c>
      <c r="CB107" s="678">
        <f t="shared" si="70"/>
        <v>0</v>
      </c>
      <c r="CC107" s="679">
        <f t="shared" si="71"/>
        <v>0</v>
      </c>
      <c r="CD107" s="675"/>
      <c r="CE107" s="676">
        <f t="shared" si="28"/>
        <v>0</v>
      </c>
      <c r="CF107" s="677">
        <f t="shared" si="29"/>
        <v>0</v>
      </c>
      <c r="CG107" s="677">
        <f t="shared" si="72"/>
        <v>0</v>
      </c>
      <c r="CH107" s="678">
        <f t="shared" si="73"/>
        <v>0</v>
      </c>
      <c r="CI107" s="679">
        <f t="shared" si="74"/>
        <v>0</v>
      </c>
      <c r="CJ107" s="675"/>
      <c r="CK107" s="676">
        <f t="shared" si="30"/>
        <v>0</v>
      </c>
      <c r="CL107" s="677">
        <f t="shared" si="31"/>
        <v>0</v>
      </c>
      <c r="CM107" s="677">
        <f t="shared" si="75"/>
        <v>0</v>
      </c>
      <c r="CN107" s="678">
        <f t="shared" si="76"/>
        <v>0</v>
      </c>
      <c r="CO107" s="679">
        <f t="shared" si="77"/>
        <v>0</v>
      </c>
      <c r="CP107" s="675"/>
      <c r="CQ107" s="676">
        <f t="shared" si="32"/>
        <v>0</v>
      </c>
      <c r="CR107" s="677">
        <f t="shared" si="33"/>
        <v>0</v>
      </c>
      <c r="CS107" s="677">
        <f t="shared" si="78"/>
        <v>0</v>
      </c>
      <c r="CT107" s="678">
        <f t="shared" si="79"/>
        <v>0</v>
      </c>
      <c r="CU107" s="679">
        <f t="shared" si="80"/>
        <v>0</v>
      </c>
      <c r="CV107" s="685"/>
      <c r="CW107" s="681"/>
      <c r="CX107" s="682"/>
      <c r="CY107" s="682"/>
      <c r="CZ107" s="683"/>
      <c r="DA107" s="684"/>
      <c r="DB107" s="685"/>
      <c r="DC107" s="681"/>
      <c r="DD107" s="682"/>
      <c r="DE107" s="682"/>
      <c r="DF107" s="683"/>
      <c r="DG107" s="684"/>
      <c r="DH107" s="685"/>
      <c r="DI107" s="681"/>
      <c r="DJ107" s="682"/>
      <c r="DK107" s="682"/>
      <c r="DL107" s="683"/>
      <c r="DM107" s="684"/>
      <c r="DN107" s="685"/>
      <c r="DO107" s="681"/>
      <c r="DP107" s="682"/>
      <c r="DQ107" s="682"/>
      <c r="DR107" s="683"/>
      <c r="DS107" s="684"/>
      <c r="DT107" s="675"/>
      <c r="DU107" s="676">
        <f t="shared" si="34"/>
        <v>0</v>
      </c>
      <c r="DV107" s="677">
        <f t="shared" si="35"/>
        <v>0</v>
      </c>
      <c r="DW107" s="677">
        <f t="shared" si="81"/>
        <v>0</v>
      </c>
      <c r="DX107" s="678">
        <f t="shared" si="82"/>
        <v>0</v>
      </c>
      <c r="DY107" s="679">
        <f t="shared" si="83"/>
        <v>0</v>
      </c>
      <c r="DZ107" s="680"/>
      <c r="EA107" s="681"/>
      <c r="EB107" s="682"/>
      <c r="EC107" s="682"/>
      <c r="ED107" s="683"/>
      <c r="EE107" s="684"/>
      <c r="EF107" s="680"/>
      <c r="EG107" s="681"/>
      <c r="EH107" s="682"/>
      <c r="EI107" s="682"/>
      <c r="EJ107" s="683"/>
      <c r="EK107" s="684"/>
      <c r="EL107" s="680"/>
      <c r="EM107" s="681"/>
      <c r="EN107" s="682"/>
      <c r="EO107" s="682"/>
      <c r="EP107" s="683"/>
      <c r="EQ107" s="684"/>
      <c r="ER107" s="680"/>
      <c r="ES107" s="681"/>
      <c r="ET107" s="682"/>
      <c r="EU107" s="682"/>
      <c r="EV107" s="683"/>
      <c r="EW107" s="684"/>
      <c r="EX107" s="675"/>
      <c r="EY107" s="676">
        <f t="shared" si="36"/>
        <v>0</v>
      </c>
      <c r="EZ107" s="677">
        <f t="shared" si="37"/>
        <v>0</v>
      </c>
      <c r="FA107" s="677">
        <f t="shared" si="84"/>
        <v>0</v>
      </c>
      <c r="FB107" s="678">
        <f t="shared" si="85"/>
        <v>0</v>
      </c>
      <c r="FC107" s="679">
        <f t="shared" si="86"/>
        <v>0</v>
      </c>
      <c r="FD107" s="680"/>
      <c r="FE107" s="681"/>
      <c r="FF107" s="682"/>
      <c r="FG107" s="682"/>
      <c r="FH107" s="683"/>
      <c r="FI107" s="684"/>
      <c r="FJ107" s="680"/>
      <c r="FK107" s="681"/>
      <c r="FL107" s="682"/>
      <c r="FM107" s="682"/>
      <c r="FN107" s="683"/>
      <c r="FO107" s="684"/>
      <c r="FP107" s="680"/>
      <c r="FQ107" s="681"/>
      <c r="FR107" s="682"/>
      <c r="FS107" s="682"/>
      <c r="FT107" s="683"/>
      <c r="FU107" s="684"/>
      <c r="FV107" s="680"/>
      <c r="FW107" s="681"/>
      <c r="FX107" s="682"/>
      <c r="FY107" s="682"/>
      <c r="FZ107" s="683"/>
      <c r="GA107" s="684"/>
      <c r="GB107" s="675"/>
      <c r="GC107" s="676">
        <f t="shared" si="38"/>
        <v>0</v>
      </c>
      <c r="GD107" s="677">
        <f t="shared" si="39"/>
        <v>0</v>
      </c>
      <c r="GE107" s="677">
        <f t="shared" si="87"/>
        <v>0</v>
      </c>
      <c r="GF107" s="678">
        <f t="shared" si="88"/>
        <v>0</v>
      </c>
      <c r="GG107" s="679">
        <f t="shared" si="89"/>
        <v>0</v>
      </c>
      <c r="GH107" s="680"/>
      <c r="GI107" s="681"/>
      <c r="GJ107" s="682"/>
      <c r="GK107" s="682"/>
      <c r="GL107" s="683"/>
      <c r="GM107" s="684"/>
      <c r="GN107" s="680"/>
      <c r="GO107" s="681"/>
      <c r="GP107" s="682"/>
      <c r="GQ107" s="682"/>
      <c r="GR107" s="683"/>
      <c r="GS107" s="684"/>
      <c r="GT107" s="680"/>
      <c r="GU107" s="681"/>
      <c r="GV107" s="682"/>
      <c r="GW107" s="682"/>
      <c r="GX107" s="683"/>
      <c r="GY107" s="684"/>
      <c r="GZ107" s="680"/>
      <c r="HA107" s="147"/>
      <c r="HB107" s="148"/>
      <c r="HC107" s="148"/>
      <c r="HD107" s="149"/>
      <c r="HE107" s="150"/>
      <c r="HF107" s="506"/>
      <c r="HG107" s="502"/>
      <c r="HH107" s="502"/>
      <c r="HI107" s="502"/>
      <c r="HJ107" s="8"/>
    </row>
    <row r="108" spans="2:218" ht="21" hidden="1">
      <c r="B108" s="488">
        <v>64</v>
      </c>
      <c r="C108" s="489" t="s">
        <v>199</v>
      </c>
      <c r="D108" s="490" t="s">
        <v>205</v>
      </c>
      <c r="E108" s="491" t="s">
        <v>206</v>
      </c>
      <c r="F108" s="492"/>
      <c r="G108" s="493"/>
      <c r="H108" s="146" t="s">
        <v>97</v>
      </c>
      <c r="I108" s="494" t="str">
        <f t="shared" ref="I108:I171" si="92">IF(H108="X","n.v.t.",IF(H108="I","ons",IF(H108="V","verhuurder",IF(H108="H","huurder",""))))</f>
        <v>n.v.t.</v>
      </c>
      <c r="J108" s="495"/>
      <c r="K108" s="151">
        <v>0</v>
      </c>
      <c r="L108" s="256"/>
      <c r="M108" s="256">
        <f>IF($C$5&lt;3000,(Bron!H97*$C$5)+Bron!I97,(Bron!M97*$C$5)+Bron!N97)</f>
        <v>2500</v>
      </c>
      <c r="N108" s="496">
        <f t="shared" si="90"/>
        <v>3104.213248</v>
      </c>
      <c r="O108" s="497">
        <f t="shared" si="91"/>
        <v>0.80535704227495131</v>
      </c>
      <c r="P108" s="257"/>
      <c r="Q108" s="257">
        <f>IF($C$5&lt;3000,$AN$31*Bron!K97,$AN$31*Bron!P97)</f>
        <v>12221.312</v>
      </c>
      <c r="R108" s="257">
        <f>IF($C$5&lt;3000,$AN$33*Bron!J97,$AN$33*Bron!O97)</f>
        <v>0</v>
      </c>
      <c r="S108" s="344"/>
      <c r="T108" s="258">
        <f t="shared" ref="T108:T171" si="93">K108+V108+AB108+AH108+AN108+AT108+AZ108+BF108+BL108+BR108+BX108+CD108+CJ108+CP108+CV108+DB108+DH108+DN108+DT108+DZ108+EF108+EL108+ER108+EX108+FD108+FJ108+FP108+FV108+GB108+GH108+GN108+GT108+GZ108</f>
        <v>0</v>
      </c>
      <c r="U108" s="259">
        <f t="shared" ref="U108:U171" si="94">W108+AC108+AI108+AO108+AU108+BA108+BG108+BM108+BS108+BY108+CE108+CK108+CQ108+DU108+EY108+GC108</f>
        <v>0</v>
      </c>
      <c r="V108" s="675"/>
      <c r="W108" s="676">
        <f t="shared" ref="W108:W171" si="95">+V108*($L108+$M108)</f>
        <v>0</v>
      </c>
      <c r="X108" s="677">
        <f t="shared" ref="X108:X171" si="96">$P108*V108</f>
        <v>0</v>
      </c>
      <c r="Y108" s="677">
        <f t="shared" si="42"/>
        <v>0</v>
      </c>
      <c r="Z108" s="678">
        <f t="shared" si="43"/>
        <v>0</v>
      </c>
      <c r="AA108" s="679">
        <f t="shared" si="44"/>
        <v>0</v>
      </c>
      <c r="AB108" s="675"/>
      <c r="AC108" s="676">
        <f t="shared" ref="AC108:AC171" si="97">+AB108*($L108+$M108)</f>
        <v>0</v>
      </c>
      <c r="AD108" s="677">
        <f t="shared" ref="AD108:AD171" si="98">$P108*AB108</f>
        <v>0</v>
      </c>
      <c r="AE108" s="677">
        <f t="shared" si="45"/>
        <v>0</v>
      </c>
      <c r="AF108" s="678">
        <f t="shared" si="46"/>
        <v>0</v>
      </c>
      <c r="AG108" s="679">
        <f t="shared" si="47"/>
        <v>0</v>
      </c>
      <c r="AH108" s="675"/>
      <c r="AI108" s="676">
        <f t="shared" ref="AI108:AI171" si="99">+AH108*($L108+$M108)</f>
        <v>0</v>
      </c>
      <c r="AJ108" s="677">
        <f t="shared" ref="AJ108:AJ171" si="100">$P108*AH108</f>
        <v>0</v>
      </c>
      <c r="AK108" s="677">
        <f t="shared" si="48"/>
        <v>0</v>
      </c>
      <c r="AL108" s="678">
        <f t="shared" si="49"/>
        <v>0</v>
      </c>
      <c r="AM108" s="679">
        <f t="shared" si="50"/>
        <v>0</v>
      </c>
      <c r="AN108" s="675"/>
      <c r="AO108" s="676">
        <f t="shared" ref="AO108:AO171" si="101">+AN108*($L108+$M108)</f>
        <v>0</v>
      </c>
      <c r="AP108" s="677">
        <f t="shared" ref="AP108:AP171" si="102">$P108*AN108</f>
        <v>0</v>
      </c>
      <c r="AQ108" s="677">
        <f t="shared" si="51"/>
        <v>0</v>
      </c>
      <c r="AR108" s="678">
        <f t="shared" si="52"/>
        <v>0</v>
      </c>
      <c r="AS108" s="679">
        <f t="shared" si="53"/>
        <v>0</v>
      </c>
      <c r="AT108" s="675"/>
      <c r="AU108" s="676">
        <f t="shared" ref="AU108:AU171" si="103">+AT108*($L108+$M108)</f>
        <v>0</v>
      </c>
      <c r="AV108" s="677">
        <f t="shared" ref="AV108:AV171" si="104">$P108*AT108</f>
        <v>0</v>
      </c>
      <c r="AW108" s="677">
        <f t="shared" si="54"/>
        <v>0</v>
      </c>
      <c r="AX108" s="678">
        <f t="shared" si="55"/>
        <v>0</v>
      </c>
      <c r="AY108" s="679">
        <f t="shared" si="56"/>
        <v>0</v>
      </c>
      <c r="AZ108" s="675"/>
      <c r="BA108" s="676">
        <f t="shared" ref="BA108:BA171" si="105">+AZ108*($L108+$M108)</f>
        <v>0</v>
      </c>
      <c r="BB108" s="677">
        <f t="shared" ref="BB108:BB171" si="106">$P108*AZ108</f>
        <v>0</v>
      </c>
      <c r="BC108" s="677">
        <f t="shared" si="57"/>
        <v>0</v>
      </c>
      <c r="BD108" s="678">
        <f t="shared" si="58"/>
        <v>0</v>
      </c>
      <c r="BE108" s="679">
        <f t="shared" si="59"/>
        <v>0</v>
      </c>
      <c r="BF108" s="675"/>
      <c r="BG108" s="676">
        <f t="shared" ref="BG108:BG171" si="107">+BF108*($L108+$M108)</f>
        <v>0</v>
      </c>
      <c r="BH108" s="677">
        <f t="shared" ref="BH108:BH171" si="108">$P108*BF108</f>
        <v>0</v>
      </c>
      <c r="BI108" s="677">
        <f t="shared" si="60"/>
        <v>0</v>
      </c>
      <c r="BJ108" s="678">
        <f t="shared" si="61"/>
        <v>0</v>
      </c>
      <c r="BK108" s="679">
        <f t="shared" si="62"/>
        <v>0</v>
      </c>
      <c r="BL108" s="675"/>
      <c r="BM108" s="676">
        <f t="shared" ref="BM108:BM171" si="109">+BL108*($L108+$M108)</f>
        <v>0</v>
      </c>
      <c r="BN108" s="677">
        <f t="shared" ref="BN108:BN171" si="110">$P108*BL108</f>
        <v>0</v>
      </c>
      <c r="BO108" s="677">
        <f t="shared" si="63"/>
        <v>0</v>
      </c>
      <c r="BP108" s="678">
        <f t="shared" si="64"/>
        <v>0</v>
      </c>
      <c r="BQ108" s="679">
        <f t="shared" si="65"/>
        <v>0</v>
      </c>
      <c r="BR108" s="675"/>
      <c r="BS108" s="676">
        <f t="shared" ref="BS108:BS171" si="111">+BR108*($L108+$M108)</f>
        <v>0</v>
      </c>
      <c r="BT108" s="677">
        <f t="shared" ref="BT108:BT171" si="112">$P108*BR108</f>
        <v>0</v>
      </c>
      <c r="BU108" s="677">
        <f t="shared" si="66"/>
        <v>0</v>
      </c>
      <c r="BV108" s="678">
        <f t="shared" si="67"/>
        <v>0</v>
      </c>
      <c r="BW108" s="679">
        <f t="shared" si="68"/>
        <v>0</v>
      </c>
      <c r="BX108" s="675"/>
      <c r="BY108" s="676">
        <f t="shared" ref="BY108:BY171" si="113">+BX108*($L108+$M108)</f>
        <v>0</v>
      </c>
      <c r="BZ108" s="677">
        <f t="shared" ref="BZ108:BZ171" si="114">$P108*BX108</f>
        <v>0</v>
      </c>
      <c r="CA108" s="677">
        <f t="shared" si="69"/>
        <v>0</v>
      </c>
      <c r="CB108" s="678">
        <f t="shared" si="70"/>
        <v>0</v>
      </c>
      <c r="CC108" s="679">
        <f t="shared" si="71"/>
        <v>0</v>
      </c>
      <c r="CD108" s="675"/>
      <c r="CE108" s="676">
        <f t="shared" ref="CE108:CE171" si="115">+CD108*($L108+$M108)</f>
        <v>0</v>
      </c>
      <c r="CF108" s="677">
        <f t="shared" ref="CF108:CF171" si="116">$P108*CD108</f>
        <v>0</v>
      </c>
      <c r="CG108" s="677">
        <f t="shared" si="72"/>
        <v>0</v>
      </c>
      <c r="CH108" s="678">
        <f t="shared" si="73"/>
        <v>0</v>
      </c>
      <c r="CI108" s="679">
        <f t="shared" si="74"/>
        <v>0</v>
      </c>
      <c r="CJ108" s="675"/>
      <c r="CK108" s="676">
        <f t="shared" ref="CK108:CK171" si="117">+CJ108*($L108+$M108)</f>
        <v>0</v>
      </c>
      <c r="CL108" s="677">
        <f t="shared" ref="CL108:CL171" si="118">$P108*CJ108</f>
        <v>0</v>
      </c>
      <c r="CM108" s="677">
        <f t="shared" si="75"/>
        <v>0</v>
      </c>
      <c r="CN108" s="678">
        <f t="shared" si="76"/>
        <v>0</v>
      </c>
      <c r="CO108" s="679">
        <f t="shared" si="77"/>
        <v>0</v>
      </c>
      <c r="CP108" s="675"/>
      <c r="CQ108" s="676">
        <f t="shared" ref="CQ108:CQ171" si="119">+CP108*($L108+$M108)</f>
        <v>0</v>
      </c>
      <c r="CR108" s="677">
        <f t="shared" ref="CR108:CR171" si="120">$P108*CP108</f>
        <v>0</v>
      </c>
      <c r="CS108" s="677">
        <f t="shared" si="78"/>
        <v>0</v>
      </c>
      <c r="CT108" s="678">
        <f t="shared" si="79"/>
        <v>0</v>
      </c>
      <c r="CU108" s="679">
        <f t="shared" si="80"/>
        <v>0</v>
      </c>
      <c r="CV108" s="685"/>
      <c r="CW108" s="681"/>
      <c r="CX108" s="682"/>
      <c r="CY108" s="682"/>
      <c r="CZ108" s="683"/>
      <c r="DA108" s="684"/>
      <c r="DB108" s="685"/>
      <c r="DC108" s="681"/>
      <c r="DD108" s="682"/>
      <c r="DE108" s="682"/>
      <c r="DF108" s="683"/>
      <c r="DG108" s="684"/>
      <c r="DH108" s="685"/>
      <c r="DI108" s="681"/>
      <c r="DJ108" s="682"/>
      <c r="DK108" s="682"/>
      <c r="DL108" s="683"/>
      <c r="DM108" s="684"/>
      <c r="DN108" s="685"/>
      <c r="DO108" s="681"/>
      <c r="DP108" s="682"/>
      <c r="DQ108" s="682"/>
      <c r="DR108" s="683"/>
      <c r="DS108" s="684"/>
      <c r="DT108" s="675"/>
      <c r="DU108" s="676">
        <f t="shared" ref="DU108:DU171" si="121">+DT108*($L108+$M108)</f>
        <v>0</v>
      </c>
      <c r="DV108" s="677">
        <f t="shared" ref="DV108:DV171" si="122">$P108*DT108</f>
        <v>0</v>
      </c>
      <c r="DW108" s="677">
        <f t="shared" si="81"/>
        <v>0</v>
      </c>
      <c r="DX108" s="678">
        <f t="shared" si="82"/>
        <v>0</v>
      </c>
      <c r="DY108" s="679">
        <f t="shared" si="83"/>
        <v>0</v>
      </c>
      <c r="DZ108" s="680"/>
      <c r="EA108" s="681"/>
      <c r="EB108" s="682"/>
      <c r="EC108" s="682"/>
      <c r="ED108" s="683"/>
      <c r="EE108" s="684"/>
      <c r="EF108" s="680"/>
      <c r="EG108" s="681"/>
      <c r="EH108" s="682"/>
      <c r="EI108" s="682"/>
      <c r="EJ108" s="683"/>
      <c r="EK108" s="684"/>
      <c r="EL108" s="680"/>
      <c r="EM108" s="681"/>
      <c r="EN108" s="682"/>
      <c r="EO108" s="682"/>
      <c r="EP108" s="683"/>
      <c r="EQ108" s="684"/>
      <c r="ER108" s="680"/>
      <c r="ES108" s="681"/>
      <c r="ET108" s="682"/>
      <c r="EU108" s="682"/>
      <c r="EV108" s="683"/>
      <c r="EW108" s="684"/>
      <c r="EX108" s="675"/>
      <c r="EY108" s="676">
        <f t="shared" ref="EY108:EY171" si="123">+EX108*($L108+$M108)</f>
        <v>0</v>
      </c>
      <c r="EZ108" s="677">
        <f t="shared" ref="EZ108:EZ171" si="124">$P108*EX108</f>
        <v>0</v>
      </c>
      <c r="FA108" s="677">
        <f t="shared" si="84"/>
        <v>0</v>
      </c>
      <c r="FB108" s="678">
        <f t="shared" si="85"/>
        <v>0</v>
      </c>
      <c r="FC108" s="679">
        <f t="shared" si="86"/>
        <v>0</v>
      </c>
      <c r="FD108" s="680"/>
      <c r="FE108" s="681"/>
      <c r="FF108" s="682"/>
      <c r="FG108" s="682"/>
      <c r="FH108" s="683"/>
      <c r="FI108" s="684"/>
      <c r="FJ108" s="680"/>
      <c r="FK108" s="681"/>
      <c r="FL108" s="682"/>
      <c r="FM108" s="682"/>
      <c r="FN108" s="683"/>
      <c r="FO108" s="684"/>
      <c r="FP108" s="680"/>
      <c r="FQ108" s="681"/>
      <c r="FR108" s="682"/>
      <c r="FS108" s="682"/>
      <c r="FT108" s="683"/>
      <c r="FU108" s="684"/>
      <c r="FV108" s="680"/>
      <c r="FW108" s="681"/>
      <c r="FX108" s="682"/>
      <c r="FY108" s="682"/>
      <c r="FZ108" s="683"/>
      <c r="GA108" s="684"/>
      <c r="GB108" s="675"/>
      <c r="GC108" s="676">
        <f t="shared" ref="GC108:GC171" si="125">+GB108*($L108+$M108)</f>
        <v>0</v>
      </c>
      <c r="GD108" s="677">
        <f t="shared" ref="GD108:GD171" si="126">$P108*GB108</f>
        <v>0</v>
      </c>
      <c r="GE108" s="677">
        <f t="shared" si="87"/>
        <v>0</v>
      </c>
      <c r="GF108" s="678">
        <f t="shared" si="88"/>
        <v>0</v>
      </c>
      <c r="GG108" s="679">
        <f t="shared" si="89"/>
        <v>0</v>
      </c>
      <c r="GH108" s="680"/>
      <c r="GI108" s="681"/>
      <c r="GJ108" s="682"/>
      <c r="GK108" s="682"/>
      <c r="GL108" s="683"/>
      <c r="GM108" s="684"/>
      <c r="GN108" s="680"/>
      <c r="GO108" s="681"/>
      <c r="GP108" s="682"/>
      <c r="GQ108" s="682"/>
      <c r="GR108" s="683"/>
      <c r="GS108" s="684"/>
      <c r="GT108" s="680"/>
      <c r="GU108" s="681"/>
      <c r="GV108" s="682"/>
      <c r="GW108" s="682"/>
      <c r="GX108" s="683"/>
      <c r="GY108" s="684"/>
      <c r="GZ108" s="680"/>
      <c r="HA108" s="147"/>
      <c r="HB108" s="148"/>
      <c r="HC108" s="148"/>
      <c r="HD108" s="149"/>
      <c r="HE108" s="150"/>
      <c r="HF108" s="506"/>
      <c r="HG108" s="502"/>
      <c r="HH108" s="502"/>
      <c r="HI108" s="502"/>
      <c r="HJ108" s="8"/>
    </row>
    <row r="109" spans="2:218" ht="21" hidden="1">
      <c r="B109" s="488">
        <v>65</v>
      </c>
      <c r="C109" s="489" t="s">
        <v>199</v>
      </c>
      <c r="D109" s="490" t="s">
        <v>207</v>
      </c>
      <c r="E109" s="491" t="s">
        <v>208</v>
      </c>
      <c r="F109" s="492"/>
      <c r="G109" s="493"/>
      <c r="H109" s="146" t="s">
        <v>97</v>
      </c>
      <c r="I109" s="494" t="str">
        <f t="shared" si="92"/>
        <v>n.v.t.</v>
      </c>
      <c r="J109" s="495"/>
      <c r="K109" s="151">
        <v>0</v>
      </c>
      <c r="L109" s="256"/>
      <c r="M109" s="256">
        <f>IF($C$5&lt;3000,(Bron!H98*$C$5)+Bron!I98,(Bron!M98*$C$5)+Bron!N98)</f>
        <v>7000</v>
      </c>
      <c r="N109" s="496">
        <f t="shared" si="90"/>
        <v>1940.13328</v>
      </c>
      <c r="O109" s="497">
        <f t="shared" si="91"/>
        <v>3.6079995493917818</v>
      </c>
      <c r="P109" s="257"/>
      <c r="Q109" s="257">
        <f>IF($C$5&lt;3000,$AN$31*Bron!K98,$AN$31*Bron!P98)</f>
        <v>7638.32</v>
      </c>
      <c r="R109" s="257">
        <f>IF($C$5&lt;3000,$AN$33*Bron!J98,$AN$33*Bron!O98)</f>
        <v>0</v>
      </c>
      <c r="S109" s="344"/>
      <c r="T109" s="258">
        <f t="shared" si="93"/>
        <v>0</v>
      </c>
      <c r="U109" s="259">
        <f t="shared" si="94"/>
        <v>0</v>
      </c>
      <c r="V109" s="675"/>
      <c r="W109" s="676">
        <f t="shared" si="95"/>
        <v>0</v>
      </c>
      <c r="X109" s="677">
        <f t="shared" si="96"/>
        <v>0</v>
      </c>
      <c r="Y109" s="677">
        <f t="shared" ref="Y109:Y172" si="127">$Q109*V109</f>
        <v>0</v>
      </c>
      <c r="Z109" s="678">
        <f t="shared" ref="Z109:Z172" si="128">+V109*$R109</f>
        <v>0</v>
      </c>
      <c r="AA109" s="679">
        <f t="shared" ref="AA109:AA172" si="129">V109*$N109</f>
        <v>0</v>
      </c>
      <c r="AB109" s="675"/>
      <c r="AC109" s="676">
        <f t="shared" si="97"/>
        <v>0</v>
      </c>
      <c r="AD109" s="677">
        <f t="shared" si="98"/>
        <v>0</v>
      </c>
      <c r="AE109" s="677">
        <f t="shared" ref="AE109:AE172" si="130">$Q109*AB109</f>
        <v>0</v>
      </c>
      <c r="AF109" s="678">
        <f t="shared" ref="AF109:AF172" si="131">+AB109*$R109</f>
        <v>0</v>
      </c>
      <c r="AG109" s="679">
        <f t="shared" ref="AG109:AG172" si="132">AB109*$N109</f>
        <v>0</v>
      </c>
      <c r="AH109" s="675"/>
      <c r="AI109" s="676">
        <f t="shared" si="99"/>
        <v>0</v>
      </c>
      <c r="AJ109" s="677">
        <f t="shared" si="100"/>
        <v>0</v>
      </c>
      <c r="AK109" s="677">
        <f t="shared" ref="AK109:AK172" si="133">$Q109*AH109</f>
        <v>0</v>
      </c>
      <c r="AL109" s="678">
        <f t="shared" ref="AL109:AL172" si="134">+AH109*$R109</f>
        <v>0</v>
      </c>
      <c r="AM109" s="679">
        <f t="shared" ref="AM109:AM172" si="135">AH109*$N109</f>
        <v>0</v>
      </c>
      <c r="AN109" s="675"/>
      <c r="AO109" s="676">
        <f t="shared" si="101"/>
        <v>0</v>
      </c>
      <c r="AP109" s="677">
        <f t="shared" si="102"/>
        <v>0</v>
      </c>
      <c r="AQ109" s="677">
        <f t="shared" ref="AQ109:AQ172" si="136">$Q109*AN109</f>
        <v>0</v>
      </c>
      <c r="AR109" s="678">
        <f t="shared" ref="AR109:AR172" si="137">+AN109*$R109</f>
        <v>0</v>
      </c>
      <c r="AS109" s="679">
        <f t="shared" ref="AS109:AS172" si="138">AN109*$N109</f>
        <v>0</v>
      </c>
      <c r="AT109" s="675"/>
      <c r="AU109" s="676">
        <f t="shared" si="103"/>
        <v>0</v>
      </c>
      <c r="AV109" s="677">
        <f t="shared" si="104"/>
        <v>0</v>
      </c>
      <c r="AW109" s="677">
        <f t="shared" ref="AW109:AW172" si="139">$Q109*AT109</f>
        <v>0</v>
      </c>
      <c r="AX109" s="678">
        <f t="shared" ref="AX109:AX172" si="140">+AT109*$R109</f>
        <v>0</v>
      </c>
      <c r="AY109" s="679">
        <f t="shared" ref="AY109:AY172" si="141">AT109*$N109</f>
        <v>0</v>
      </c>
      <c r="AZ109" s="675"/>
      <c r="BA109" s="676">
        <f t="shared" si="105"/>
        <v>0</v>
      </c>
      <c r="BB109" s="677">
        <f t="shared" si="106"/>
        <v>0</v>
      </c>
      <c r="BC109" s="677">
        <f t="shared" ref="BC109:BC172" si="142">$Q109*AZ109</f>
        <v>0</v>
      </c>
      <c r="BD109" s="678">
        <f t="shared" ref="BD109:BD172" si="143">+AZ109*$R109</f>
        <v>0</v>
      </c>
      <c r="BE109" s="679">
        <f t="shared" ref="BE109:BE172" si="144">AZ109*$N109</f>
        <v>0</v>
      </c>
      <c r="BF109" s="675"/>
      <c r="BG109" s="676">
        <f t="shared" si="107"/>
        <v>0</v>
      </c>
      <c r="BH109" s="677">
        <f t="shared" si="108"/>
        <v>0</v>
      </c>
      <c r="BI109" s="677">
        <f t="shared" ref="BI109:BI172" si="145">$Q109*BF109</f>
        <v>0</v>
      </c>
      <c r="BJ109" s="678">
        <f t="shared" ref="BJ109:BJ172" si="146">+BF109*$R109</f>
        <v>0</v>
      </c>
      <c r="BK109" s="679">
        <f t="shared" ref="BK109:BK172" si="147">BF109*$N109</f>
        <v>0</v>
      </c>
      <c r="BL109" s="675"/>
      <c r="BM109" s="676">
        <f t="shared" si="109"/>
        <v>0</v>
      </c>
      <c r="BN109" s="677">
        <f t="shared" si="110"/>
        <v>0</v>
      </c>
      <c r="BO109" s="677">
        <f t="shared" ref="BO109:BO172" si="148">$Q109*BL109</f>
        <v>0</v>
      </c>
      <c r="BP109" s="678">
        <f t="shared" ref="BP109:BP172" si="149">+BL109*$R109</f>
        <v>0</v>
      </c>
      <c r="BQ109" s="679">
        <f t="shared" ref="BQ109:BQ172" si="150">BL109*$N109</f>
        <v>0</v>
      </c>
      <c r="BR109" s="675"/>
      <c r="BS109" s="676">
        <f t="shared" si="111"/>
        <v>0</v>
      </c>
      <c r="BT109" s="677">
        <f t="shared" si="112"/>
        <v>0</v>
      </c>
      <c r="BU109" s="677">
        <f t="shared" ref="BU109:BU172" si="151">$Q109*BR109</f>
        <v>0</v>
      </c>
      <c r="BV109" s="678">
        <f t="shared" ref="BV109:BV172" si="152">+BR109*$R109</f>
        <v>0</v>
      </c>
      <c r="BW109" s="679">
        <f t="shared" ref="BW109:BW172" si="153">BR109*$N109</f>
        <v>0</v>
      </c>
      <c r="BX109" s="675"/>
      <c r="BY109" s="676">
        <f t="shared" si="113"/>
        <v>0</v>
      </c>
      <c r="BZ109" s="677">
        <f t="shared" si="114"/>
        <v>0</v>
      </c>
      <c r="CA109" s="677">
        <f t="shared" ref="CA109:CA172" si="154">$Q109*BX109</f>
        <v>0</v>
      </c>
      <c r="CB109" s="678">
        <f t="shared" ref="CB109:CB172" si="155">+BX109*$R109</f>
        <v>0</v>
      </c>
      <c r="CC109" s="679">
        <f t="shared" ref="CC109:CC172" si="156">BX109*$N109</f>
        <v>0</v>
      </c>
      <c r="CD109" s="675"/>
      <c r="CE109" s="676">
        <f t="shared" si="115"/>
        <v>0</v>
      </c>
      <c r="CF109" s="677">
        <f t="shared" si="116"/>
        <v>0</v>
      </c>
      <c r="CG109" s="677">
        <f t="shared" ref="CG109:CG172" si="157">$Q109*CD109</f>
        <v>0</v>
      </c>
      <c r="CH109" s="678">
        <f t="shared" ref="CH109:CH172" si="158">+CD109*$R109</f>
        <v>0</v>
      </c>
      <c r="CI109" s="679">
        <f t="shared" ref="CI109:CI172" si="159">CD109*$N109</f>
        <v>0</v>
      </c>
      <c r="CJ109" s="675"/>
      <c r="CK109" s="676">
        <f t="shared" si="117"/>
        <v>0</v>
      </c>
      <c r="CL109" s="677">
        <f t="shared" si="118"/>
        <v>0</v>
      </c>
      <c r="CM109" s="677">
        <f t="shared" ref="CM109:CM172" si="160">$Q109*CJ109</f>
        <v>0</v>
      </c>
      <c r="CN109" s="678">
        <f t="shared" ref="CN109:CN172" si="161">+CJ109*$R109</f>
        <v>0</v>
      </c>
      <c r="CO109" s="679">
        <f t="shared" ref="CO109:CO172" si="162">CJ109*$N109</f>
        <v>0</v>
      </c>
      <c r="CP109" s="675"/>
      <c r="CQ109" s="676">
        <f t="shared" si="119"/>
        <v>0</v>
      </c>
      <c r="CR109" s="677">
        <f t="shared" si="120"/>
        <v>0</v>
      </c>
      <c r="CS109" s="677">
        <f t="shared" ref="CS109:CS172" si="163">$Q109*CP109</f>
        <v>0</v>
      </c>
      <c r="CT109" s="678">
        <f t="shared" ref="CT109:CT172" si="164">+CP109*$R109</f>
        <v>0</v>
      </c>
      <c r="CU109" s="679">
        <f t="shared" ref="CU109:CU172" si="165">CP109*$N109</f>
        <v>0</v>
      </c>
      <c r="CV109" s="685"/>
      <c r="CW109" s="681"/>
      <c r="CX109" s="682"/>
      <c r="CY109" s="682"/>
      <c r="CZ109" s="683"/>
      <c r="DA109" s="684"/>
      <c r="DB109" s="685"/>
      <c r="DC109" s="681"/>
      <c r="DD109" s="682"/>
      <c r="DE109" s="682"/>
      <c r="DF109" s="683"/>
      <c r="DG109" s="684"/>
      <c r="DH109" s="685"/>
      <c r="DI109" s="681"/>
      <c r="DJ109" s="682"/>
      <c r="DK109" s="682"/>
      <c r="DL109" s="683"/>
      <c r="DM109" s="684"/>
      <c r="DN109" s="685"/>
      <c r="DO109" s="681"/>
      <c r="DP109" s="682"/>
      <c r="DQ109" s="682"/>
      <c r="DR109" s="683"/>
      <c r="DS109" s="684"/>
      <c r="DT109" s="675"/>
      <c r="DU109" s="676">
        <f t="shared" si="121"/>
        <v>0</v>
      </c>
      <c r="DV109" s="677">
        <f t="shared" si="122"/>
        <v>0</v>
      </c>
      <c r="DW109" s="677">
        <f t="shared" ref="DW109:DW172" si="166">$Q109*DT109</f>
        <v>0</v>
      </c>
      <c r="DX109" s="678">
        <f t="shared" ref="DX109:DX172" si="167">+DT109*$R109</f>
        <v>0</v>
      </c>
      <c r="DY109" s="679">
        <f t="shared" ref="DY109:DY172" si="168">DT109*$N109</f>
        <v>0</v>
      </c>
      <c r="DZ109" s="680"/>
      <c r="EA109" s="681"/>
      <c r="EB109" s="682"/>
      <c r="EC109" s="682"/>
      <c r="ED109" s="683"/>
      <c r="EE109" s="684"/>
      <c r="EF109" s="680"/>
      <c r="EG109" s="681"/>
      <c r="EH109" s="682"/>
      <c r="EI109" s="682"/>
      <c r="EJ109" s="683"/>
      <c r="EK109" s="684"/>
      <c r="EL109" s="680"/>
      <c r="EM109" s="681"/>
      <c r="EN109" s="682"/>
      <c r="EO109" s="682"/>
      <c r="EP109" s="683"/>
      <c r="EQ109" s="684"/>
      <c r="ER109" s="680"/>
      <c r="ES109" s="681"/>
      <c r="ET109" s="682"/>
      <c r="EU109" s="682"/>
      <c r="EV109" s="683"/>
      <c r="EW109" s="684"/>
      <c r="EX109" s="675"/>
      <c r="EY109" s="676">
        <f t="shared" si="123"/>
        <v>0</v>
      </c>
      <c r="EZ109" s="677">
        <f t="shared" si="124"/>
        <v>0</v>
      </c>
      <c r="FA109" s="677">
        <f t="shared" ref="FA109:FA172" si="169">$Q109*EX109</f>
        <v>0</v>
      </c>
      <c r="FB109" s="678">
        <f t="shared" ref="FB109:FB172" si="170">+EX109*$R109</f>
        <v>0</v>
      </c>
      <c r="FC109" s="679">
        <f t="shared" ref="FC109:FC172" si="171">EX109*$N109</f>
        <v>0</v>
      </c>
      <c r="FD109" s="680"/>
      <c r="FE109" s="681"/>
      <c r="FF109" s="682"/>
      <c r="FG109" s="682"/>
      <c r="FH109" s="683"/>
      <c r="FI109" s="684"/>
      <c r="FJ109" s="680"/>
      <c r="FK109" s="681"/>
      <c r="FL109" s="682"/>
      <c r="FM109" s="682"/>
      <c r="FN109" s="683"/>
      <c r="FO109" s="684"/>
      <c r="FP109" s="680"/>
      <c r="FQ109" s="681"/>
      <c r="FR109" s="682"/>
      <c r="FS109" s="682"/>
      <c r="FT109" s="683"/>
      <c r="FU109" s="684"/>
      <c r="FV109" s="680"/>
      <c r="FW109" s="681"/>
      <c r="FX109" s="682"/>
      <c r="FY109" s="682"/>
      <c r="FZ109" s="683"/>
      <c r="GA109" s="684"/>
      <c r="GB109" s="675"/>
      <c r="GC109" s="676">
        <f t="shared" si="125"/>
        <v>0</v>
      </c>
      <c r="GD109" s="677">
        <f t="shared" si="126"/>
        <v>0</v>
      </c>
      <c r="GE109" s="677">
        <f t="shared" ref="GE109:GE172" si="172">$Q109*GB109</f>
        <v>0</v>
      </c>
      <c r="GF109" s="678">
        <f t="shared" ref="GF109:GF172" si="173">+GB109*$R109</f>
        <v>0</v>
      </c>
      <c r="GG109" s="679">
        <f t="shared" ref="GG109:GG172" si="174">GB109*$N109</f>
        <v>0</v>
      </c>
      <c r="GH109" s="680"/>
      <c r="GI109" s="681"/>
      <c r="GJ109" s="682"/>
      <c r="GK109" s="682"/>
      <c r="GL109" s="683"/>
      <c r="GM109" s="684"/>
      <c r="GN109" s="680"/>
      <c r="GO109" s="681"/>
      <c r="GP109" s="682"/>
      <c r="GQ109" s="682"/>
      <c r="GR109" s="683"/>
      <c r="GS109" s="684"/>
      <c r="GT109" s="680"/>
      <c r="GU109" s="681"/>
      <c r="GV109" s="682"/>
      <c r="GW109" s="682"/>
      <c r="GX109" s="683"/>
      <c r="GY109" s="684"/>
      <c r="GZ109" s="680"/>
      <c r="HA109" s="147"/>
      <c r="HB109" s="148"/>
      <c r="HC109" s="148"/>
      <c r="HD109" s="149"/>
      <c r="HE109" s="150"/>
      <c r="HF109" s="506"/>
      <c r="HG109" s="502"/>
      <c r="HH109" s="502"/>
      <c r="HI109" s="502"/>
      <c r="HJ109" s="8"/>
    </row>
    <row r="110" spans="2:218" ht="21" hidden="1">
      <c r="B110" s="488">
        <v>66</v>
      </c>
      <c r="C110" s="489" t="s">
        <v>199</v>
      </c>
      <c r="D110" s="490" t="s">
        <v>209</v>
      </c>
      <c r="E110" s="491" t="s">
        <v>421</v>
      </c>
      <c r="F110" s="492"/>
      <c r="G110" s="493"/>
      <c r="H110" s="146" t="s">
        <v>97</v>
      </c>
      <c r="I110" s="494" t="str">
        <f t="shared" si="92"/>
        <v>n.v.t.</v>
      </c>
      <c r="J110" s="495" t="s">
        <v>487</v>
      </c>
      <c r="K110" s="151">
        <v>0</v>
      </c>
      <c r="L110" s="256">
        <f>IF($C$5&lt;3000,(Bron!H99*$C$5)+Bron!I99,(Bron!M99*$C$5)+Bron!N99)</f>
        <v>750</v>
      </c>
      <c r="M110" s="256"/>
      <c r="N110" s="496">
        <f t="shared" si="90"/>
        <v>970.06664000000001</v>
      </c>
      <c r="O110" s="497">
        <f t="shared" si="91"/>
        <v>0.77314276058395326</v>
      </c>
      <c r="P110" s="257"/>
      <c r="Q110" s="257">
        <f>IF($C$5&lt;3000,$AN$31*Bron!K99,$AN$31*Bron!P99)</f>
        <v>3819.16</v>
      </c>
      <c r="R110" s="257">
        <f>IF($C$5&lt;3000,$AN$33*Bron!J99,$AN$33*Bron!O99)</f>
        <v>0</v>
      </c>
      <c r="S110" s="344"/>
      <c r="T110" s="258">
        <f t="shared" si="93"/>
        <v>0</v>
      </c>
      <c r="U110" s="259">
        <f t="shared" si="94"/>
        <v>0</v>
      </c>
      <c r="V110" s="675"/>
      <c r="W110" s="676">
        <f t="shared" si="95"/>
        <v>0</v>
      </c>
      <c r="X110" s="677">
        <f t="shared" si="96"/>
        <v>0</v>
      </c>
      <c r="Y110" s="677">
        <f t="shared" si="127"/>
        <v>0</v>
      </c>
      <c r="Z110" s="678">
        <f t="shared" si="128"/>
        <v>0</v>
      </c>
      <c r="AA110" s="679">
        <f t="shared" si="129"/>
        <v>0</v>
      </c>
      <c r="AB110" s="675"/>
      <c r="AC110" s="676">
        <f t="shared" si="97"/>
        <v>0</v>
      </c>
      <c r="AD110" s="677">
        <f t="shared" si="98"/>
        <v>0</v>
      </c>
      <c r="AE110" s="677">
        <f t="shared" si="130"/>
        <v>0</v>
      </c>
      <c r="AF110" s="678">
        <f t="shared" si="131"/>
        <v>0</v>
      </c>
      <c r="AG110" s="679">
        <f t="shared" si="132"/>
        <v>0</v>
      </c>
      <c r="AH110" s="675"/>
      <c r="AI110" s="676">
        <f t="shared" si="99"/>
        <v>0</v>
      </c>
      <c r="AJ110" s="677">
        <f t="shared" si="100"/>
        <v>0</v>
      </c>
      <c r="AK110" s="677">
        <f t="shared" si="133"/>
        <v>0</v>
      </c>
      <c r="AL110" s="678">
        <f t="shared" si="134"/>
        <v>0</v>
      </c>
      <c r="AM110" s="679">
        <f t="shared" si="135"/>
        <v>0</v>
      </c>
      <c r="AN110" s="675"/>
      <c r="AO110" s="676">
        <f t="shared" si="101"/>
        <v>0</v>
      </c>
      <c r="AP110" s="677">
        <f t="shared" si="102"/>
        <v>0</v>
      </c>
      <c r="AQ110" s="677">
        <f t="shared" si="136"/>
        <v>0</v>
      </c>
      <c r="AR110" s="678">
        <f t="shared" si="137"/>
        <v>0</v>
      </c>
      <c r="AS110" s="679">
        <f t="shared" si="138"/>
        <v>0</v>
      </c>
      <c r="AT110" s="675"/>
      <c r="AU110" s="676">
        <f t="shared" si="103"/>
        <v>0</v>
      </c>
      <c r="AV110" s="677">
        <f t="shared" si="104"/>
        <v>0</v>
      </c>
      <c r="AW110" s="677">
        <f t="shared" si="139"/>
        <v>0</v>
      </c>
      <c r="AX110" s="678">
        <f t="shared" si="140"/>
        <v>0</v>
      </c>
      <c r="AY110" s="679">
        <f t="shared" si="141"/>
        <v>0</v>
      </c>
      <c r="AZ110" s="675"/>
      <c r="BA110" s="676">
        <f t="shared" si="105"/>
        <v>0</v>
      </c>
      <c r="BB110" s="677">
        <f t="shared" si="106"/>
        <v>0</v>
      </c>
      <c r="BC110" s="677">
        <f t="shared" si="142"/>
        <v>0</v>
      </c>
      <c r="BD110" s="678">
        <f t="shared" si="143"/>
        <v>0</v>
      </c>
      <c r="BE110" s="679">
        <f t="shared" si="144"/>
        <v>0</v>
      </c>
      <c r="BF110" s="675"/>
      <c r="BG110" s="676">
        <f t="shared" si="107"/>
        <v>0</v>
      </c>
      <c r="BH110" s="677">
        <f t="shared" si="108"/>
        <v>0</v>
      </c>
      <c r="BI110" s="677">
        <f t="shared" si="145"/>
        <v>0</v>
      </c>
      <c r="BJ110" s="678">
        <f t="shared" si="146"/>
        <v>0</v>
      </c>
      <c r="BK110" s="679">
        <f t="shared" si="147"/>
        <v>0</v>
      </c>
      <c r="BL110" s="675"/>
      <c r="BM110" s="676">
        <f t="shared" si="109"/>
        <v>0</v>
      </c>
      <c r="BN110" s="677">
        <f t="shared" si="110"/>
        <v>0</v>
      </c>
      <c r="BO110" s="677">
        <f t="shared" si="148"/>
        <v>0</v>
      </c>
      <c r="BP110" s="678">
        <f t="shared" si="149"/>
        <v>0</v>
      </c>
      <c r="BQ110" s="679">
        <f t="shared" si="150"/>
        <v>0</v>
      </c>
      <c r="BR110" s="675"/>
      <c r="BS110" s="676">
        <f t="shared" si="111"/>
        <v>0</v>
      </c>
      <c r="BT110" s="677">
        <f t="shared" si="112"/>
        <v>0</v>
      </c>
      <c r="BU110" s="677">
        <f t="shared" si="151"/>
        <v>0</v>
      </c>
      <c r="BV110" s="678">
        <f t="shared" si="152"/>
        <v>0</v>
      </c>
      <c r="BW110" s="679">
        <f t="shared" si="153"/>
        <v>0</v>
      </c>
      <c r="BX110" s="675"/>
      <c r="BY110" s="676">
        <f t="shared" si="113"/>
        <v>0</v>
      </c>
      <c r="BZ110" s="677">
        <f t="shared" si="114"/>
        <v>0</v>
      </c>
      <c r="CA110" s="677">
        <f t="shared" si="154"/>
        <v>0</v>
      </c>
      <c r="CB110" s="678">
        <f t="shared" si="155"/>
        <v>0</v>
      </c>
      <c r="CC110" s="679">
        <f t="shared" si="156"/>
        <v>0</v>
      </c>
      <c r="CD110" s="675"/>
      <c r="CE110" s="676">
        <f t="shared" si="115"/>
        <v>0</v>
      </c>
      <c r="CF110" s="677">
        <f t="shared" si="116"/>
        <v>0</v>
      </c>
      <c r="CG110" s="677">
        <f t="shared" si="157"/>
        <v>0</v>
      </c>
      <c r="CH110" s="678">
        <f t="shared" si="158"/>
        <v>0</v>
      </c>
      <c r="CI110" s="679">
        <f t="shared" si="159"/>
        <v>0</v>
      </c>
      <c r="CJ110" s="675"/>
      <c r="CK110" s="676">
        <f t="shared" si="117"/>
        <v>0</v>
      </c>
      <c r="CL110" s="677">
        <f t="shared" si="118"/>
        <v>0</v>
      </c>
      <c r="CM110" s="677">
        <f t="shared" si="160"/>
        <v>0</v>
      </c>
      <c r="CN110" s="678">
        <f t="shared" si="161"/>
        <v>0</v>
      </c>
      <c r="CO110" s="679">
        <f t="shared" si="162"/>
        <v>0</v>
      </c>
      <c r="CP110" s="675"/>
      <c r="CQ110" s="676">
        <f t="shared" si="119"/>
        <v>0</v>
      </c>
      <c r="CR110" s="677">
        <f t="shared" si="120"/>
        <v>0</v>
      </c>
      <c r="CS110" s="677">
        <f t="shared" si="163"/>
        <v>0</v>
      </c>
      <c r="CT110" s="678">
        <f t="shared" si="164"/>
        <v>0</v>
      </c>
      <c r="CU110" s="679">
        <f t="shared" si="165"/>
        <v>0</v>
      </c>
      <c r="CV110" s="685"/>
      <c r="CW110" s="681"/>
      <c r="CX110" s="682"/>
      <c r="CY110" s="682"/>
      <c r="CZ110" s="683"/>
      <c r="DA110" s="684"/>
      <c r="DB110" s="685"/>
      <c r="DC110" s="681"/>
      <c r="DD110" s="682"/>
      <c r="DE110" s="682"/>
      <c r="DF110" s="683"/>
      <c r="DG110" s="684"/>
      <c r="DH110" s="685"/>
      <c r="DI110" s="681"/>
      <c r="DJ110" s="682"/>
      <c r="DK110" s="682"/>
      <c r="DL110" s="683"/>
      <c r="DM110" s="684"/>
      <c r="DN110" s="685"/>
      <c r="DO110" s="681"/>
      <c r="DP110" s="682"/>
      <c r="DQ110" s="682"/>
      <c r="DR110" s="683"/>
      <c r="DS110" s="684"/>
      <c r="DT110" s="675"/>
      <c r="DU110" s="676">
        <f t="shared" si="121"/>
        <v>0</v>
      </c>
      <c r="DV110" s="677">
        <f t="shared" si="122"/>
        <v>0</v>
      </c>
      <c r="DW110" s="677">
        <f t="shared" si="166"/>
        <v>0</v>
      </c>
      <c r="DX110" s="678">
        <f t="shared" si="167"/>
        <v>0</v>
      </c>
      <c r="DY110" s="679">
        <f t="shared" si="168"/>
        <v>0</v>
      </c>
      <c r="DZ110" s="680"/>
      <c r="EA110" s="681"/>
      <c r="EB110" s="682"/>
      <c r="EC110" s="682"/>
      <c r="ED110" s="683"/>
      <c r="EE110" s="684"/>
      <c r="EF110" s="680"/>
      <c r="EG110" s="681"/>
      <c r="EH110" s="682"/>
      <c r="EI110" s="682"/>
      <c r="EJ110" s="683"/>
      <c r="EK110" s="684"/>
      <c r="EL110" s="680"/>
      <c r="EM110" s="681"/>
      <c r="EN110" s="682"/>
      <c r="EO110" s="682"/>
      <c r="EP110" s="683"/>
      <c r="EQ110" s="684"/>
      <c r="ER110" s="680"/>
      <c r="ES110" s="681"/>
      <c r="ET110" s="682"/>
      <c r="EU110" s="682"/>
      <c r="EV110" s="683"/>
      <c r="EW110" s="684"/>
      <c r="EX110" s="675"/>
      <c r="EY110" s="676">
        <f t="shared" si="123"/>
        <v>0</v>
      </c>
      <c r="EZ110" s="677">
        <f t="shared" si="124"/>
        <v>0</v>
      </c>
      <c r="FA110" s="677">
        <f t="shared" si="169"/>
        <v>0</v>
      </c>
      <c r="FB110" s="678">
        <f t="shared" si="170"/>
        <v>0</v>
      </c>
      <c r="FC110" s="679">
        <f t="shared" si="171"/>
        <v>0</v>
      </c>
      <c r="FD110" s="680"/>
      <c r="FE110" s="681"/>
      <c r="FF110" s="682"/>
      <c r="FG110" s="682"/>
      <c r="FH110" s="683"/>
      <c r="FI110" s="684"/>
      <c r="FJ110" s="680"/>
      <c r="FK110" s="681"/>
      <c r="FL110" s="682"/>
      <c r="FM110" s="682"/>
      <c r="FN110" s="683"/>
      <c r="FO110" s="684"/>
      <c r="FP110" s="680"/>
      <c r="FQ110" s="681"/>
      <c r="FR110" s="682"/>
      <c r="FS110" s="682"/>
      <c r="FT110" s="683"/>
      <c r="FU110" s="684"/>
      <c r="FV110" s="680"/>
      <c r="FW110" s="681"/>
      <c r="FX110" s="682"/>
      <c r="FY110" s="682"/>
      <c r="FZ110" s="683"/>
      <c r="GA110" s="684"/>
      <c r="GB110" s="675"/>
      <c r="GC110" s="676">
        <f t="shared" si="125"/>
        <v>0</v>
      </c>
      <c r="GD110" s="677">
        <f t="shared" si="126"/>
        <v>0</v>
      </c>
      <c r="GE110" s="677">
        <f t="shared" si="172"/>
        <v>0</v>
      </c>
      <c r="GF110" s="678">
        <f t="shared" si="173"/>
        <v>0</v>
      </c>
      <c r="GG110" s="679">
        <f t="shared" si="174"/>
        <v>0</v>
      </c>
      <c r="GH110" s="680"/>
      <c r="GI110" s="681"/>
      <c r="GJ110" s="682"/>
      <c r="GK110" s="682"/>
      <c r="GL110" s="683"/>
      <c r="GM110" s="684"/>
      <c r="GN110" s="680"/>
      <c r="GO110" s="681"/>
      <c r="GP110" s="682"/>
      <c r="GQ110" s="682"/>
      <c r="GR110" s="683"/>
      <c r="GS110" s="684"/>
      <c r="GT110" s="680"/>
      <c r="GU110" s="681"/>
      <c r="GV110" s="682"/>
      <c r="GW110" s="682"/>
      <c r="GX110" s="683"/>
      <c r="GY110" s="684"/>
      <c r="GZ110" s="680"/>
      <c r="HA110" s="147"/>
      <c r="HB110" s="148"/>
      <c r="HC110" s="148"/>
      <c r="HD110" s="149"/>
      <c r="HE110" s="150"/>
      <c r="HF110" s="506"/>
      <c r="HG110" s="502"/>
      <c r="HH110" s="502"/>
      <c r="HI110" s="502"/>
      <c r="HJ110" s="8"/>
    </row>
    <row r="111" spans="2:218" ht="21" hidden="1">
      <c r="B111" s="488">
        <v>67</v>
      </c>
      <c r="C111" s="489" t="s">
        <v>199</v>
      </c>
      <c r="D111" s="490" t="s">
        <v>493</v>
      </c>
      <c r="E111" s="491" t="s">
        <v>580</v>
      </c>
      <c r="F111" s="492"/>
      <c r="G111" s="493"/>
      <c r="H111" s="146" t="s">
        <v>97</v>
      </c>
      <c r="I111" s="494" t="str">
        <f t="shared" si="92"/>
        <v>n.v.t.</v>
      </c>
      <c r="J111" s="495"/>
      <c r="K111" s="151">
        <v>0</v>
      </c>
      <c r="L111" s="256"/>
      <c r="M111" s="256">
        <f>IF($C$5&lt;3000,(Bron!H100*$C$5)+Bron!I100,(Bron!M100*$C$5)+Bron!N100)</f>
        <v>1000</v>
      </c>
      <c r="N111" s="496">
        <f t="shared" si="90"/>
        <v>1455.09996</v>
      </c>
      <c r="O111" s="497">
        <f t="shared" si="91"/>
        <v>0.68723800940795843</v>
      </c>
      <c r="P111" s="257"/>
      <c r="Q111" s="257">
        <f>IF($C$5&lt;3000,$AN$31*Bron!K100,$AN$31*Bron!P100)</f>
        <v>5728.74</v>
      </c>
      <c r="R111" s="257">
        <f>IF($C$5&lt;3000,$AN$33*Bron!J100,$AN$33*Bron!O100)</f>
        <v>0</v>
      </c>
      <c r="S111" s="344"/>
      <c r="T111" s="258">
        <f t="shared" si="93"/>
        <v>0</v>
      </c>
      <c r="U111" s="259">
        <f t="shared" si="94"/>
        <v>0</v>
      </c>
      <c r="V111" s="675"/>
      <c r="W111" s="676">
        <f t="shared" si="95"/>
        <v>0</v>
      </c>
      <c r="X111" s="677">
        <f t="shared" si="96"/>
        <v>0</v>
      </c>
      <c r="Y111" s="677">
        <f t="shared" si="127"/>
        <v>0</v>
      </c>
      <c r="Z111" s="678">
        <f t="shared" si="128"/>
        <v>0</v>
      </c>
      <c r="AA111" s="679">
        <f t="shared" si="129"/>
        <v>0</v>
      </c>
      <c r="AB111" s="675"/>
      <c r="AC111" s="676">
        <f t="shared" si="97"/>
        <v>0</v>
      </c>
      <c r="AD111" s="677">
        <f t="shared" si="98"/>
        <v>0</v>
      </c>
      <c r="AE111" s="677">
        <f t="shared" si="130"/>
        <v>0</v>
      </c>
      <c r="AF111" s="678">
        <f t="shared" si="131"/>
        <v>0</v>
      </c>
      <c r="AG111" s="679">
        <f t="shared" si="132"/>
        <v>0</v>
      </c>
      <c r="AH111" s="675"/>
      <c r="AI111" s="676">
        <f t="shared" si="99"/>
        <v>0</v>
      </c>
      <c r="AJ111" s="677">
        <f t="shared" si="100"/>
        <v>0</v>
      </c>
      <c r="AK111" s="677">
        <f t="shared" si="133"/>
        <v>0</v>
      </c>
      <c r="AL111" s="678">
        <f t="shared" si="134"/>
        <v>0</v>
      </c>
      <c r="AM111" s="679">
        <f t="shared" si="135"/>
        <v>0</v>
      </c>
      <c r="AN111" s="675"/>
      <c r="AO111" s="676">
        <f t="shared" si="101"/>
        <v>0</v>
      </c>
      <c r="AP111" s="677">
        <f t="shared" si="102"/>
        <v>0</v>
      </c>
      <c r="AQ111" s="677">
        <f t="shared" si="136"/>
        <v>0</v>
      </c>
      <c r="AR111" s="678">
        <f t="shared" si="137"/>
        <v>0</v>
      </c>
      <c r="AS111" s="679">
        <f t="shared" si="138"/>
        <v>0</v>
      </c>
      <c r="AT111" s="675"/>
      <c r="AU111" s="676">
        <f t="shared" si="103"/>
        <v>0</v>
      </c>
      <c r="AV111" s="677">
        <f t="shared" si="104"/>
        <v>0</v>
      </c>
      <c r="AW111" s="677">
        <f t="shared" si="139"/>
        <v>0</v>
      </c>
      <c r="AX111" s="678">
        <f t="shared" si="140"/>
        <v>0</v>
      </c>
      <c r="AY111" s="679">
        <f t="shared" si="141"/>
        <v>0</v>
      </c>
      <c r="AZ111" s="675"/>
      <c r="BA111" s="676">
        <f t="shared" si="105"/>
        <v>0</v>
      </c>
      <c r="BB111" s="677">
        <f t="shared" si="106"/>
        <v>0</v>
      </c>
      <c r="BC111" s="677">
        <f t="shared" si="142"/>
        <v>0</v>
      </c>
      <c r="BD111" s="678">
        <f t="shared" si="143"/>
        <v>0</v>
      </c>
      <c r="BE111" s="679">
        <f t="shared" si="144"/>
        <v>0</v>
      </c>
      <c r="BF111" s="675"/>
      <c r="BG111" s="676">
        <f t="shared" si="107"/>
        <v>0</v>
      </c>
      <c r="BH111" s="677">
        <f t="shared" si="108"/>
        <v>0</v>
      </c>
      <c r="BI111" s="677">
        <f t="shared" si="145"/>
        <v>0</v>
      </c>
      <c r="BJ111" s="678">
        <f t="shared" si="146"/>
        <v>0</v>
      </c>
      <c r="BK111" s="679">
        <f t="shared" si="147"/>
        <v>0</v>
      </c>
      <c r="BL111" s="675"/>
      <c r="BM111" s="676">
        <f t="shared" si="109"/>
        <v>0</v>
      </c>
      <c r="BN111" s="677">
        <f t="shared" si="110"/>
        <v>0</v>
      </c>
      <c r="BO111" s="677">
        <f t="shared" si="148"/>
        <v>0</v>
      </c>
      <c r="BP111" s="678">
        <f t="shared" si="149"/>
        <v>0</v>
      </c>
      <c r="BQ111" s="679">
        <f t="shared" si="150"/>
        <v>0</v>
      </c>
      <c r="BR111" s="675"/>
      <c r="BS111" s="676">
        <f t="shared" si="111"/>
        <v>0</v>
      </c>
      <c r="BT111" s="677">
        <f t="shared" si="112"/>
        <v>0</v>
      </c>
      <c r="BU111" s="677">
        <f t="shared" si="151"/>
        <v>0</v>
      </c>
      <c r="BV111" s="678">
        <f t="shared" si="152"/>
        <v>0</v>
      </c>
      <c r="BW111" s="679">
        <f t="shared" si="153"/>
        <v>0</v>
      </c>
      <c r="BX111" s="675"/>
      <c r="BY111" s="676">
        <f t="shared" si="113"/>
        <v>0</v>
      </c>
      <c r="BZ111" s="677">
        <f t="shared" si="114"/>
        <v>0</v>
      </c>
      <c r="CA111" s="677">
        <f t="shared" si="154"/>
        <v>0</v>
      </c>
      <c r="CB111" s="678">
        <f t="shared" si="155"/>
        <v>0</v>
      </c>
      <c r="CC111" s="679">
        <f t="shared" si="156"/>
        <v>0</v>
      </c>
      <c r="CD111" s="675"/>
      <c r="CE111" s="676">
        <f t="shared" si="115"/>
        <v>0</v>
      </c>
      <c r="CF111" s="677">
        <f t="shared" si="116"/>
        <v>0</v>
      </c>
      <c r="CG111" s="677">
        <f t="shared" si="157"/>
        <v>0</v>
      </c>
      <c r="CH111" s="678">
        <f t="shared" si="158"/>
        <v>0</v>
      </c>
      <c r="CI111" s="679">
        <f t="shared" si="159"/>
        <v>0</v>
      </c>
      <c r="CJ111" s="675"/>
      <c r="CK111" s="676">
        <f t="shared" si="117"/>
        <v>0</v>
      </c>
      <c r="CL111" s="677">
        <f t="shared" si="118"/>
        <v>0</v>
      </c>
      <c r="CM111" s="677">
        <f t="shared" si="160"/>
        <v>0</v>
      </c>
      <c r="CN111" s="678">
        <f t="shared" si="161"/>
        <v>0</v>
      </c>
      <c r="CO111" s="679">
        <f t="shared" si="162"/>
        <v>0</v>
      </c>
      <c r="CP111" s="675"/>
      <c r="CQ111" s="676">
        <f t="shared" si="119"/>
        <v>0</v>
      </c>
      <c r="CR111" s="677">
        <f t="shared" si="120"/>
        <v>0</v>
      </c>
      <c r="CS111" s="677">
        <f t="shared" si="163"/>
        <v>0</v>
      </c>
      <c r="CT111" s="678">
        <f t="shared" si="164"/>
        <v>0</v>
      </c>
      <c r="CU111" s="679">
        <f t="shared" si="165"/>
        <v>0</v>
      </c>
      <c r="CV111" s="685"/>
      <c r="CW111" s="681"/>
      <c r="CX111" s="682"/>
      <c r="CY111" s="682"/>
      <c r="CZ111" s="683"/>
      <c r="DA111" s="684"/>
      <c r="DB111" s="685"/>
      <c r="DC111" s="681"/>
      <c r="DD111" s="682"/>
      <c r="DE111" s="682"/>
      <c r="DF111" s="683"/>
      <c r="DG111" s="684"/>
      <c r="DH111" s="685"/>
      <c r="DI111" s="681"/>
      <c r="DJ111" s="682"/>
      <c r="DK111" s="682"/>
      <c r="DL111" s="683"/>
      <c r="DM111" s="684"/>
      <c r="DN111" s="685"/>
      <c r="DO111" s="681"/>
      <c r="DP111" s="682"/>
      <c r="DQ111" s="682"/>
      <c r="DR111" s="683"/>
      <c r="DS111" s="684"/>
      <c r="DT111" s="675"/>
      <c r="DU111" s="676">
        <f t="shared" si="121"/>
        <v>0</v>
      </c>
      <c r="DV111" s="677">
        <f t="shared" si="122"/>
        <v>0</v>
      </c>
      <c r="DW111" s="677">
        <f t="shared" si="166"/>
        <v>0</v>
      </c>
      <c r="DX111" s="678">
        <f t="shared" si="167"/>
        <v>0</v>
      </c>
      <c r="DY111" s="679">
        <f t="shared" si="168"/>
        <v>0</v>
      </c>
      <c r="DZ111" s="680"/>
      <c r="EA111" s="681"/>
      <c r="EB111" s="682"/>
      <c r="EC111" s="682"/>
      <c r="ED111" s="683"/>
      <c r="EE111" s="684"/>
      <c r="EF111" s="680"/>
      <c r="EG111" s="681"/>
      <c r="EH111" s="682"/>
      <c r="EI111" s="682"/>
      <c r="EJ111" s="683"/>
      <c r="EK111" s="684"/>
      <c r="EL111" s="680"/>
      <c r="EM111" s="681"/>
      <c r="EN111" s="682"/>
      <c r="EO111" s="682"/>
      <c r="EP111" s="683"/>
      <c r="EQ111" s="684"/>
      <c r="ER111" s="680"/>
      <c r="ES111" s="681"/>
      <c r="ET111" s="682"/>
      <c r="EU111" s="682"/>
      <c r="EV111" s="683"/>
      <c r="EW111" s="684"/>
      <c r="EX111" s="675"/>
      <c r="EY111" s="676">
        <f t="shared" si="123"/>
        <v>0</v>
      </c>
      <c r="EZ111" s="677">
        <f t="shared" si="124"/>
        <v>0</v>
      </c>
      <c r="FA111" s="677">
        <f t="shared" si="169"/>
        <v>0</v>
      </c>
      <c r="FB111" s="678">
        <f t="shared" si="170"/>
        <v>0</v>
      </c>
      <c r="FC111" s="679">
        <f t="shared" si="171"/>
        <v>0</v>
      </c>
      <c r="FD111" s="680"/>
      <c r="FE111" s="681"/>
      <c r="FF111" s="682"/>
      <c r="FG111" s="682"/>
      <c r="FH111" s="683"/>
      <c r="FI111" s="684"/>
      <c r="FJ111" s="680"/>
      <c r="FK111" s="681"/>
      <c r="FL111" s="682"/>
      <c r="FM111" s="682"/>
      <c r="FN111" s="683"/>
      <c r="FO111" s="684"/>
      <c r="FP111" s="680"/>
      <c r="FQ111" s="681"/>
      <c r="FR111" s="682"/>
      <c r="FS111" s="682"/>
      <c r="FT111" s="683"/>
      <c r="FU111" s="684"/>
      <c r="FV111" s="680"/>
      <c r="FW111" s="681"/>
      <c r="FX111" s="682"/>
      <c r="FY111" s="682"/>
      <c r="FZ111" s="683"/>
      <c r="GA111" s="684"/>
      <c r="GB111" s="675"/>
      <c r="GC111" s="676">
        <f t="shared" si="125"/>
        <v>0</v>
      </c>
      <c r="GD111" s="677">
        <f t="shared" si="126"/>
        <v>0</v>
      </c>
      <c r="GE111" s="677">
        <f t="shared" si="172"/>
        <v>0</v>
      </c>
      <c r="GF111" s="678">
        <f t="shared" si="173"/>
        <v>0</v>
      </c>
      <c r="GG111" s="679">
        <f t="shared" si="174"/>
        <v>0</v>
      </c>
      <c r="GH111" s="680"/>
      <c r="GI111" s="681"/>
      <c r="GJ111" s="682"/>
      <c r="GK111" s="682"/>
      <c r="GL111" s="683"/>
      <c r="GM111" s="684"/>
      <c r="GN111" s="680"/>
      <c r="GO111" s="681"/>
      <c r="GP111" s="682"/>
      <c r="GQ111" s="682"/>
      <c r="GR111" s="683"/>
      <c r="GS111" s="684"/>
      <c r="GT111" s="680"/>
      <c r="GU111" s="681"/>
      <c r="GV111" s="682"/>
      <c r="GW111" s="682"/>
      <c r="GX111" s="683"/>
      <c r="GY111" s="684"/>
      <c r="GZ111" s="680"/>
      <c r="HA111" s="147"/>
      <c r="HB111" s="148"/>
      <c r="HC111" s="148"/>
      <c r="HD111" s="149"/>
      <c r="HE111" s="150"/>
      <c r="HF111" s="506"/>
      <c r="HG111" s="502"/>
      <c r="HH111" s="502"/>
      <c r="HI111" s="502"/>
      <c r="HJ111" s="8"/>
    </row>
    <row r="112" spans="2:218" ht="21" hidden="1">
      <c r="B112" s="488">
        <v>68</v>
      </c>
      <c r="C112" s="489" t="s">
        <v>199</v>
      </c>
      <c r="D112" s="490" t="s">
        <v>493</v>
      </c>
      <c r="E112" s="491" t="s">
        <v>589</v>
      </c>
      <c r="F112" s="492"/>
      <c r="G112" s="493"/>
      <c r="H112" s="146" t="s">
        <v>97</v>
      </c>
      <c r="I112" s="494" t="str">
        <f t="shared" si="92"/>
        <v>n.v.t.</v>
      </c>
      <c r="J112" s="495" t="s">
        <v>487</v>
      </c>
      <c r="K112" s="151">
        <v>0</v>
      </c>
      <c r="L112" s="256">
        <f>IF($C$5&lt;3000,(Bron!H101*$C$5)+Bron!I101,(Bron!M101*$C$5)+Bron!N101)</f>
        <v>200</v>
      </c>
      <c r="M112" s="256"/>
      <c r="N112" s="496">
        <f t="shared" si="90"/>
        <v>388.026656</v>
      </c>
      <c r="O112" s="497">
        <f t="shared" si="91"/>
        <v>0.51542850705596888</v>
      </c>
      <c r="P112" s="257"/>
      <c r="Q112" s="257">
        <f>IF($C$5&lt;3000,$AN$31*Bron!K101,$AN$31*Bron!P101)</f>
        <v>1527.664</v>
      </c>
      <c r="R112" s="257">
        <f>IF($C$5&lt;3000,$AN$33*Bron!J101,$AN$33*Bron!O101)</f>
        <v>0</v>
      </c>
      <c r="S112" s="344"/>
      <c r="T112" s="258">
        <f t="shared" si="93"/>
        <v>0</v>
      </c>
      <c r="U112" s="259">
        <f t="shared" si="94"/>
        <v>0</v>
      </c>
      <c r="V112" s="675"/>
      <c r="W112" s="676">
        <f t="shared" si="95"/>
        <v>0</v>
      </c>
      <c r="X112" s="677">
        <f t="shared" si="96"/>
        <v>0</v>
      </c>
      <c r="Y112" s="677">
        <f t="shared" si="127"/>
        <v>0</v>
      </c>
      <c r="Z112" s="678">
        <f t="shared" si="128"/>
        <v>0</v>
      </c>
      <c r="AA112" s="679">
        <f t="shared" si="129"/>
        <v>0</v>
      </c>
      <c r="AB112" s="675"/>
      <c r="AC112" s="676">
        <f t="shared" si="97"/>
        <v>0</v>
      </c>
      <c r="AD112" s="677">
        <f t="shared" si="98"/>
        <v>0</v>
      </c>
      <c r="AE112" s="677">
        <f t="shared" si="130"/>
        <v>0</v>
      </c>
      <c r="AF112" s="678">
        <f t="shared" si="131"/>
        <v>0</v>
      </c>
      <c r="AG112" s="679">
        <f t="shared" si="132"/>
        <v>0</v>
      </c>
      <c r="AH112" s="675"/>
      <c r="AI112" s="676">
        <f t="shared" si="99"/>
        <v>0</v>
      </c>
      <c r="AJ112" s="677">
        <f t="shared" si="100"/>
        <v>0</v>
      </c>
      <c r="AK112" s="677">
        <f t="shared" si="133"/>
        <v>0</v>
      </c>
      <c r="AL112" s="678">
        <f t="shared" si="134"/>
        <v>0</v>
      </c>
      <c r="AM112" s="679">
        <f t="shared" si="135"/>
        <v>0</v>
      </c>
      <c r="AN112" s="675"/>
      <c r="AO112" s="676">
        <f t="shared" si="101"/>
        <v>0</v>
      </c>
      <c r="AP112" s="677">
        <f t="shared" si="102"/>
        <v>0</v>
      </c>
      <c r="AQ112" s="677">
        <f t="shared" si="136"/>
        <v>0</v>
      </c>
      <c r="AR112" s="678">
        <f t="shared" si="137"/>
        <v>0</v>
      </c>
      <c r="AS112" s="679">
        <f t="shared" si="138"/>
        <v>0</v>
      </c>
      <c r="AT112" s="675"/>
      <c r="AU112" s="676">
        <f t="shared" si="103"/>
        <v>0</v>
      </c>
      <c r="AV112" s="677">
        <f t="shared" si="104"/>
        <v>0</v>
      </c>
      <c r="AW112" s="677">
        <f t="shared" si="139"/>
        <v>0</v>
      </c>
      <c r="AX112" s="678">
        <f t="shared" si="140"/>
        <v>0</v>
      </c>
      <c r="AY112" s="679">
        <f t="shared" si="141"/>
        <v>0</v>
      </c>
      <c r="AZ112" s="675"/>
      <c r="BA112" s="676">
        <f t="shared" si="105"/>
        <v>0</v>
      </c>
      <c r="BB112" s="677">
        <f t="shared" si="106"/>
        <v>0</v>
      </c>
      <c r="BC112" s="677">
        <f t="shared" si="142"/>
        <v>0</v>
      </c>
      <c r="BD112" s="678">
        <f t="shared" si="143"/>
        <v>0</v>
      </c>
      <c r="BE112" s="679">
        <f t="shared" si="144"/>
        <v>0</v>
      </c>
      <c r="BF112" s="675"/>
      <c r="BG112" s="676">
        <f t="shared" si="107"/>
        <v>0</v>
      </c>
      <c r="BH112" s="677">
        <f t="shared" si="108"/>
        <v>0</v>
      </c>
      <c r="BI112" s="677">
        <f t="shared" si="145"/>
        <v>0</v>
      </c>
      <c r="BJ112" s="678">
        <f t="shared" si="146"/>
        <v>0</v>
      </c>
      <c r="BK112" s="679">
        <f t="shared" si="147"/>
        <v>0</v>
      </c>
      <c r="BL112" s="675"/>
      <c r="BM112" s="676">
        <f t="shared" si="109"/>
        <v>0</v>
      </c>
      <c r="BN112" s="677">
        <f t="shared" si="110"/>
        <v>0</v>
      </c>
      <c r="BO112" s="677">
        <f t="shared" si="148"/>
        <v>0</v>
      </c>
      <c r="BP112" s="678">
        <f t="shared" si="149"/>
        <v>0</v>
      </c>
      <c r="BQ112" s="679">
        <f t="shared" si="150"/>
        <v>0</v>
      </c>
      <c r="BR112" s="675"/>
      <c r="BS112" s="676">
        <f t="shared" si="111"/>
        <v>0</v>
      </c>
      <c r="BT112" s="677">
        <f t="shared" si="112"/>
        <v>0</v>
      </c>
      <c r="BU112" s="677">
        <f t="shared" si="151"/>
        <v>0</v>
      </c>
      <c r="BV112" s="678">
        <f t="shared" si="152"/>
        <v>0</v>
      </c>
      <c r="BW112" s="679">
        <f t="shared" si="153"/>
        <v>0</v>
      </c>
      <c r="BX112" s="675"/>
      <c r="BY112" s="676">
        <f t="shared" si="113"/>
        <v>0</v>
      </c>
      <c r="BZ112" s="677">
        <f t="shared" si="114"/>
        <v>0</v>
      </c>
      <c r="CA112" s="677">
        <f t="shared" si="154"/>
        <v>0</v>
      </c>
      <c r="CB112" s="678">
        <f t="shared" si="155"/>
        <v>0</v>
      </c>
      <c r="CC112" s="679">
        <f t="shared" si="156"/>
        <v>0</v>
      </c>
      <c r="CD112" s="675"/>
      <c r="CE112" s="676">
        <f t="shared" si="115"/>
        <v>0</v>
      </c>
      <c r="CF112" s="677">
        <f t="shared" si="116"/>
        <v>0</v>
      </c>
      <c r="CG112" s="677">
        <f t="shared" si="157"/>
        <v>0</v>
      </c>
      <c r="CH112" s="678">
        <f t="shared" si="158"/>
        <v>0</v>
      </c>
      <c r="CI112" s="679">
        <f t="shared" si="159"/>
        <v>0</v>
      </c>
      <c r="CJ112" s="675"/>
      <c r="CK112" s="676">
        <f t="shared" si="117"/>
        <v>0</v>
      </c>
      <c r="CL112" s="677">
        <f t="shared" si="118"/>
        <v>0</v>
      </c>
      <c r="CM112" s="677">
        <f t="shared" si="160"/>
        <v>0</v>
      </c>
      <c r="CN112" s="678">
        <f t="shared" si="161"/>
        <v>0</v>
      </c>
      <c r="CO112" s="679">
        <f t="shared" si="162"/>
        <v>0</v>
      </c>
      <c r="CP112" s="675"/>
      <c r="CQ112" s="676">
        <f t="shared" si="119"/>
        <v>0</v>
      </c>
      <c r="CR112" s="677">
        <f t="shared" si="120"/>
        <v>0</v>
      </c>
      <c r="CS112" s="677">
        <f t="shared" si="163"/>
        <v>0</v>
      </c>
      <c r="CT112" s="678">
        <f t="shared" si="164"/>
        <v>0</v>
      </c>
      <c r="CU112" s="679">
        <f t="shared" si="165"/>
        <v>0</v>
      </c>
      <c r="CV112" s="685"/>
      <c r="CW112" s="681"/>
      <c r="CX112" s="682"/>
      <c r="CY112" s="682"/>
      <c r="CZ112" s="683"/>
      <c r="DA112" s="684"/>
      <c r="DB112" s="685"/>
      <c r="DC112" s="681"/>
      <c r="DD112" s="682"/>
      <c r="DE112" s="682"/>
      <c r="DF112" s="683"/>
      <c r="DG112" s="684"/>
      <c r="DH112" s="685"/>
      <c r="DI112" s="681"/>
      <c r="DJ112" s="682"/>
      <c r="DK112" s="682"/>
      <c r="DL112" s="683"/>
      <c r="DM112" s="684"/>
      <c r="DN112" s="685"/>
      <c r="DO112" s="681"/>
      <c r="DP112" s="682"/>
      <c r="DQ112" s="682"/>
      <c r="DR112" s="683"/>
      <c r="DS112" s="684"/>
      <c r="DT112" s="675"/>
      <c r="DU112" s="676">
        <f t="shared" si="121"/>
        <v>0</v>
      </c>
      <c r="DV112" s="677">
        <f t="shared" si="122"/>
        <v>0</v>
      </c>
      <c r="DW112" s="677">
        <f t="shared" si="166"/>
        <v>0</v>
      </c>
      <c r="DX112" s="678">
        <f t="shared" si="167"/>
        <v>0</v>
      </c>
      <c r="DY112" s="679">
        <f t="shared" si="168"/>
        <v>0</v>
      </c>
      <c r="DZ112" s="680"/>
      <c r="EA112" s="681"/>
      <c r="EB112" s="682"/>
      <c r="EC112" s="682"/>
      <c r="ED112" s="683"/>
      <c r="EE112" s="684"/>
      <c r="EF112" s="680"/>
      <c r="EG112" s="681"/>
      <c r="EH112" s="682"/>
      <c r="EI112" s="682"/>
      <c r="EJ112" s="683"/>
      <c r="EK112" s="684"/>
      <c r="EL112" s="680"/>
      <c r="EM112" s="681"/>
      <c r="EN112" s="682"/>
      <c r="EO112" s="682"/>
      <c r="EP112" s="683"/>
      <c r="EQ112" s="684"/>
      <c r="ER112" s="680"/>
      <c r="ES112" s="681"/>
      <c r="ET112" s="682"/>
      <c r="EU112" s="682"/>
      <c r="EV112" s="683"/>
      <c r="EW112" s="684"/>
      <c r="EX112" s="675"/>
      <c r="EY112" s="676">
        <f t="shared" si="123"/>
        <v>0</v>
      </c>
      <c r="EZ112" s="677">
        <f t="shared" si="124"/>
        <v>0</v>
      </c>
      <c r="FA112" s="677">
        <f t="shared" si="169"/>
        <v>0</v>
      </c>
      <c r="FB112" s="678">
        <f t="shared" si="170"/>
        <v>0</v>
      </c>
      <c r="FC112" s="679">
        <f t="shared" si="171"/>
        <v>0</v>
      </c>
      <c r="FD112" s="680"/>
      <c r="FE112" s="681"/>
      <c r="FF112" s="682"/>
      <c r="FG112" s="682"/>
      <c r="FH112" s="683"/>
      <c r="FI112" s="684"/>
      <c r="FJ112" s="680"/>
      <c r="FK112" s="681"/>
      <c r="FL112" s="682"/>
      <c r="FM112" s="682"/>
      <c r="FN112" s="683"/>
      <c r="FO112" s="684"/>
      <c r="FP112" s="680"/>
      <c r="FQ112" s="681"/>
      <c r="FR112" s="682"/>
      <c r="FS112" s="682"/>
      <c r="FT112" s="683"/>
      <c r="FU112" s="684"/>
      <c r="FV112" s="680"/>
      <c r="FW112" s="681"/>
      <c r="FX112" s="682"/>
      <c r="FY112" s="682"/>
      <c r="FZ112" s="683"/>
      <c r="GA112" s="684"/>
      <c r="GB112" s="675"/>
      <c r="GC112" s="676">
        <f t="shared" si="125"/>
        <v>0</v>
      </c>
      <c r="GD112" s="677">
        <f t="shared" si="126"/>
        <v>0</v>
      </c>
      <c r="GE112" s="677">
        <f t="shared" si="172"/>
        <v>0</v>
      </c>
      <c r="GF112" s="678">
        <f t="shared" si="173"/>
        <v>0</v>
      </c>
      <c r="GG112" s="679">
        <f t="shared" si="174"/>
        <v>0</v>
      </c>
      <c r="GH112" s="680"/>
      <c r="GI112" s="681"/>
      <c r="GJ112" s="682"/>
      <c r="GK112" s="682"/>
      <c r="GL112" s="683"/>
      <c r="GM112" s="684"/>
      <c r="GN112" s="680"/>
      <c r="GO112" s="681"/>
      <c r="GP112" s="682"/>
      <c r="GQ112" s="682"/>
      <c r="GR112" s="683"/>
      <c r="GS112" s="684"/>
      <c r="GT112" s="680"/>
      <c r="GU112" s="681"/>
      <c r="GV112" s="682"/>
      <c r="GW112" s="682"/>
      <c r="GX112" s="683"/>
      <c r="GY112" s="684"/>
      <c r="GZ112" s="680"/>
      <c r="HA112" s="147"/>
      <c r="HB112" s="148"/>
      <c r="HC112" s="148"/>
      <c r="HD112" s="149"/>
      <c r="HE112" s="150"/>
      <c r="HF112" s="506"/>
      <c r="HG112" s="502"/>
      <c r="HH112" s="502"/>
      <c r="HI112" s="502"/>
      <c r="HJ112" s="8"/>
    </row>
    <row r="113" spans="2:218" ht="21" hidden="1">
      <c r="B113" s="488">
        <v>69</v>
      </c>
      <c r="C113" s="489" t="s">
        <v>210</v>
      </c>
      <c r="D113" s="490" t="s">
        <v>31</v>
      </c>
      <c r="E113" s="491" t="s">
        <v>422</v>
      </c>
      <c r="F113" s="492"/>
      <c r="G113" s="493"/>
      <c r="H113" s="146" t="s">
        <v>97</v>
      </c>
      <c r="I113" s="494" t="str">
        <f t="shared" si="92"/>
        <v>n.v.t.</v>
      </c>
      <c r="J113" s="495" t="s">
        <v>487</v>
      </c>
      <c r="K113" s="151">
        <v>0</v>
      </c>
      <c r="L113" s="256">
        <f>IF($C$5&lt;3000,(Bron!H102*$C$5)+Bron!I102,(Bron!M102*$C$5)+Bron!N102)</f>
        <v>5000</v>
      </c>
      <c r="M113" s="256"/>
      <c r="N113" s="496">
        <f t="shared" si="90"/>
        <v>2037.1399440000002</v>
      </c>
      <c r="O113" s="497">
        <f t="shared" si="91"/>
        <v>2.4544214621712799</v>
      </c>
      <c r="P113" s="257"/>
      <c r="Q113" s="257">
        <f>IF($C$5&lt;3000,$AN$31*Bron!K102,$AN$31*Bron!P102)</f>
        <v>8020.2360000000008</v>
      </c>
      <c r="R113" s="257">
        <f>IF($C$5&lt;3000,$AN$33*Bron!J102,$AN$33*Bron!O102)</f>
        <v>0</v>
      </c>
      <c r="S113" s="344"/>
      <c r="T113" s="258">
        <f t="shared" si="93"/>
        <v>0</v>
      </c>
      <c r="U113" s="259">
        <f t="shared" si="94"/>
        <v>0</v>
      </c>
      <c r="V113" s="675"/>
      <c r="W113" s="676">
        <f t="shared" si="95"/>
        <v>0</v>
      </c>
      <c r="X113" s="677">
        <f t="shared" si="96"/>
        <v>0</v>
      </c>
      <c r="Y113" s="677">
        <f t="shared" si="127"/>
        <v>0</v>
      </c>
      <c r="Z113" s="678">
        <f t="shared" si="128"/>
        <v>0</v>
      </c>
      <c r="AA113" s="679">
        <f t="shared" si="129"/>
        <v>0</v>
      </c>
      <c r="AB113" s="675"/>
      <c r="AC113" s="676">
        <f t="shared" si="97"/>
        <v>0</v>
      </c>
      <c r="AD113" s="677">
        <f t="shared" si="98"/>
        <v>0</v>
      </c>
      <c r="AE113" s="677">
        <f t="shared" si="130"/>
        <v>0</v>
      </c>
      <c r="AF113" s="678">
        <f t="shared" si="131"/>
        <v>0</v>
      </c>
      <c r="AG113" s="679">
        <f t="shared" si="132"/>
        <v>0</v>
      </c>
      <c r="AH113" s="675"/>
      <c r="AI113" s="676">
        <f t="shared" si="99"/>
        <v>0</v>
      </c>
      <c r="AJ113" s="677">
        <f t="shared" si="100"/>
        <v>0</v>
      </c>
      <c r="AK113" s="677">
        <f t="shared" si="133"/>
        <v>0</v>
      </c>
      <c r="AL113" s="678">
        <f t="shared" si="134"/>
        <v>0</v>
      </c>
      <c r="AM113" s="679">
        <f t="shared" si="135"/>
        <v>0</v>
      </c>
      <c r="AN113" s="675"/>
      <c r="AO113" s="676">
        <f t="shared" si="101"/>
        <v>0</v>
      </c>
      <c r="AP113" s="677">
        <f t="shared" si="102"/>
        <v>0</v>
      </c>
      <c r="AQ113" s="677">
        <f t="shared" si="136"/>
        <v>0</v>
      </c>
      <c r="AR113" s="678">
        <f t="shared" si="137"/>
        <v>0</v>
      </c>
      <c r="AS113" s="679">
        <f t="shared" si="138"/>
        <v>0</v>
      </c>
      <c r="AT113" s="675"/>
      <c r="AU113" s="676">
        <f t="shared" si="103"/>
        <v>0</v>
      </c>
      <c r="AV113" s="677">
        <f t="shared" si="104"/>
        <v>0</v>
      </c>
      <c r="AW113" s="677">
        <f t="shared" si="139"/>
        <v>0</v>
      </c>
      <c r="AX113" s="678">
        <f t="shared" si="140"/>
        <v>0</v>
      </c>
      <c r="AY113" s="679">
        <f t="shared" si="141"/>
        <v>0</v>
      </c>
      <c r="AZ113" s="675"/>
      <c r="BA113" s="676">
        <f t="shared" si="105"/>
        <v>0</v>
      </c>
      <c r="BB113" s="677">
        <f t="shared" si="106"/>
        <v>0</v>
      </c>
      <c r="BC113" s="677">
        <f t="shared" si="142"/>
        <v>0</v>
      </c>
      <c r="BD113" s="678">
        <f t="shared" si="143"/>
        <v>0</v>
      </c>
      <c r="BE113" s="679">
        <f t="shared" si="144"/>
        <v>0</v>
      </c>
      <c r="BF113" s="675"/>
      <c r="BG113" s="676">
        <f t="shared" si="107"/>
        <v>0</v>
      </c>
      <c r="BH113" s="677">
        <f t="shared" si="108"/>
        <v>0</v>
      </c>
      <c r="BI113" s="677">
        <f t="shared" si="145"/>
        <v>0</v>
      </c>
      <c r="BJ113" s="678">
        <f t="shared" si="146"/>
        <v>0</v>
      </c>
      <c r="BK113" s="679">
        <f t="shared" si="147"/>
        <v>0</v>
      </c>
      <c r="BL113" s="675"/>
      <c r="BM113" s="676">
        <f t="shared" si="109"/>
        <v>0</v>
      </c>
      <c r="BN113" s="677">
        <f t="shared" si="110"/>
        <v>0</v>
      </c>
      <c r="BO113" s="677">
        <f t="shared" si="148"/>
        <v>0</v>
      </c>
      <c r="BP113" s="678">
        <f t="shared" si="149"/>
        <v>0</v>
      </c>
      <c r="BQ113" s="679">
        <f t="shared" si="150"/>
        <v>0</v>
      </c>
      <c r="BR113" s="675"/>
      <c r="BS113" s="676">
        <f t="shared" si="111"/>
        <v>0</v>
      </c>
      <c r="BT113" s="677">
        <f t="shared" si="112"/>
        <v>0</v>
      </c>
      <c r="BU113" s="677">
        <f t="shared" si="151"/>
        <v>0</v>
      </c>
      <c r="BV113" s="678">
        <f t="shared" si="152"/>
        <v>0</v>
      </c>
      <c r="BW113" s="679">
        <f t="shared" si="153"/>
        <v>0</v>
      </c>
      <c r="BX113" s="675"/>
      <c r="BY113" s="676">
        <f t="shared" si="113"/>
        <v>0</v>
      </c>
      <c r="BZ113" s="677">
        <f t="shared" si="114"/>
        <v>0</v>
      </c>
      <c r="CA113" s="677">
        <f t="shared" si="154"/>
        <v>0</v>
      </c>
      <c r="CB113" s="678">
        <f t="shared" si="155"/>
        <v>0</v>
      </c>
      <c r="CC113" s="679">
        <f t="shared" si="156"/>
        <v>0</v>
      </c>
      <c r="CD113" s="675"/>
      <c r="CE113" s="676">
        <f t="shared" si="115"/>
        <v>0</v>
      </c>
      <c r="CF113" s="677">
        <f t="shared" si="116"/>
        <v>0</v>
      </c>
      <c r="CG113" s="677">
        <f t="shared" si="157"/>
        <v>0</v>
      </c>
      <c r="CH113" s="678">
        <f t="shared" si="158"/>
        <v>0</v>
      </c>
      <c r="CI113" s="679">
        <f t="shared" si="159"/>
        <v>0</v>
      </c>
      <c r="CJ113" s="675"/>
      <c r="CK113" s="676">
        <f t="shared" si="117"/>
        <v>0</v>
      </c>
      <c r="CL113" s="677">
        <f t="shared" si="118"/>
        <v>0</v>
      </c>
      <c r="CM113" s="677">
        <f t="shared" si="160"/>
        <v>0</v>
      </c>
      <c r="CN113" s="678">
        <f t="shared" si="161"/>
        <v>0</v>
      </c>
      <c r="CO113" s="679">
        <f t="shared" si="162"/>
        <v>0</v>
      </c>
      <c r="CP113" s="675"/>
      <c r="CQ113" s="676">
        <f t="shared" si="119"/>
        <v>0</v>
      </c>
      <c r="CR113" s="677">
        <f t="shared" si="120"/>
        <v>0</v>
      </c>
      <c r="CS113" s="677">
        <f t="shared" si="163"/>
        <v>0</v>
      </c>
      <c r="CT113" s="678">
        <f t="shared" si="164"/>
        <v>0</v>
      </c>
      <c r="CU113" s="679">
        <f t="shared" si="165"/>
        <v>0</v>
      </c>
      <c r="CV113" s="685"/>
      <c r="CW113" s="681"/>
      <c r="CX113" s="682"/>
      <c r="CY113" s="682"/>
      <c r="CZ113" s="683"/>
      <c r="DA113" s="684"/>
      <c r="DB113" s="685"/>
      <c r="DC113" s="681"/>
      <c r="DD113" s="682"/>
      <c r="DE113" s="682"/>
      <c r="DF113" s="683"/>
      <c r="DG113" s="684"/>
      <c r="DH113" s="685"/>
      <c r="DI113" s="681"/>
      <c r="DJ113" s="682"/>
      <c r="DK113" s="682"/>
      <c r="DL113" s="683"/>
      <c r="DM113" s="684"/>
      <c r="DN113" s="685"/>
      <c r="DO113" s="681"/>
      <c r="DP113" s="682"/>
      <c r="DQ113" s="682"/>
      <c r="DR113" s="683"/>
      <c r="DS113" s="684"/>
      <c r="DT113" s="675"/>
      <c r="DU113" s="676">
        <f t="shared" si="121"/>
        <v>0</v>
      </c>
      <c r="DV113" s="677">
        <f t="shared" si="122"/>
        <v>0</v>
      </c>
      <c r="DW113" s="677">
        <f t="shared" si="166"/>
        <v>0</v>
      </c>
      <c r="DX113" s="678">
        <f t="shared" si="167"/>
        <v>0</v>
      </c>
      <c r="DY113" s="679">
        <f t="shared" si="168"/>
        <v>0</v>
      </c>
      <c r="DZ113" s="680"/>
      <c r="EA113" s="681"/>
      <c r="EB113" s="682"/>
      <c r="EC113" s="682"/>
      <c r="ED113" s="683"/>
      <c r="EE113" s="684"/>
      <c r="EF113" s="680"/>
      <c r="EG113" s="681"/>
      <c r="EH113" s="682"/>
      <c r="EI113" s="682"/>
      <c r="EJ113" s="683"/>
      <c r="EK113" s="684"/>
      <c r="EL113" s="680"/>
      <c r="EM113" s="681"/>
      <c r="EN113" s="682"/>
      <c r="EO113" s="682"/>
      <c r="EP113" s="683"/>
      <c r="EQ113" s="684"/>
      <c r="ER113" s="680"/>
      <c r="ES113" s="681"/>
      <c r="ET113" s="682"/>
      <c r="EU113" s="682"/>
      <c r="EV113" s="683"/>
      <c r="EW113" s="684"/>
      <c r="EX113" s="675"/>
      <c r="EY113" s="676">
        <f t="shared" si="123"/>
        <v>0</v>
      </c>
      <c r="EZ113" s="677">
        <f t="shared" si="124"/>
        <v>0</v>
      </c>
      <c r="FA113" s="677">
        <f t="shared" si="169"/>
        <v>0</v>
      </c>
      <c r="FB113" s="678">
        <f t="shared" si="170"/>
        <v>0</v>
      </c>
      <c r="FC113" s="679">
        <f t="shared" si="171"/>
        <v>0</v>
      </c>
      <c r="FD113" s="680"/>
      <c r="FE113" s="681"/>
      <c r="FF113" s="682"/>
      <c r="FG113" s="682"/>
      <c r="FH113" s="683"/>
      <c r="FI113" s="684"/>
      <c r="FJ113" s="680"/>
      <c r="FK113" s="681"/>
      <c r="FL113" s="682"/>
      <c r="FM113" s="682"/>
      <c r="FN113" s="683"/>
      <c r="FO113" s="684"/>
      <c r="FP113" s="680"/>
      <c r="FQ113" s="681"/>
      <c r="FR113" s="682"/>
      <c r="FS113" s="682"/>
      <c r="FT113" s="683"/>
      <c r="FU113" s="684"/>
      <c r="FV113" s="680"/>
      <c r="FW113" s="681"/>
      <c r="FX113" s="682"/>
      <c r="FY113" s="682"/>
      <c r="FZ113" s="683"/>
      <c r="GA113" s="684"/>
      <c r="GB113" s="675"/>
      <c r="GC113" s="676">
        <f t="shared" si="125"/>
        <v>0</v>
      </c>
      <c r="GD113" s="677">
        <f t="shared" si="126"/>
        <v>0</v>
      </c>
      <c r="GE113" s="677">
        <f t="shared" si="172"/>
        <v>0</v>
      </c>
      <c r="GF113" s="678">
        <f t="shared" si="173"/>
        <v>0</v>
      </c>
      <c r="GG113" s="679">
        <f t="shared" si="174"/>
        <v>0</v>
      </c>
      <c r="GH113" s="680"/>
      <c r="GI113" s="681"/>
      <c r="GJ113" s="682"/>
      <c r="GK113" s="682"/>
      <c r="GL113" s="683"/>
      <c r="GM113" s="684"/>
      <c r="GN113" s="680"/>
      <c r="GO113" s="681"/>
      <c r="GP113" s="682"/>
      <c r="GQ113" s="682"/>
      <c r="GR113" s="683"/>
      <c r="GS113" s="684"/>
      <c r="GT113" s="680"/>
      <c r="GU113" s="681"/>
      <c r="GV113" s="682"/>
      <c r="GW113" s="682"/>
      <c r="GX113" s="683"/>
      <c r="GY113" s="684"/>
      <c r="GZ113" s="680"/>
      <c r="HA113" s="147"/>
      <c r="HB113" s="148"/>
      <c r="HC113" s="148"/>
      <c r="HD113" s="149"/>
      <c r="HE113" s="150"/>
      <c r="HF113" s="506"/>
      <c r="HG113" s="502"/>
      <c r="HH113" s="502"/>
      <c r="HI113" s="502"/>
      <c r="HJ113" s="8"/>
    </row>
    <row r="114" spans="2:218" ht="21">
      <c r="B114" s="488">
        <v>70</v>
      </c>
      <c r="C114" s="489" t="s">
        <v>402</v>
      </c>
      <c r="D114" s="490" t="s">
        <v>0</v>
      </c>
      <c r="E114" s="491" t="s">
        <v>423</v>
      </c>
      <c r="F114" s="492"/>
      <c r="G114" s="493"/>
      <c r="H114" s="146" t="s">
        <v>852</v>
      </c>
      <c r="I114" s="494" t="str">
        <f t="shared" si="92"/>
        <v>verhuurder</v>
      </c>
      <c r="J114" s="495" t="s">
        <v>487</v>
      </c>
      <c r="K114" s="151">
        <v>0</v>
      </c>
      <c r="L114" s="256">
        <f>IF($C$5&lt;3000,(Bron!H103*$C$5)+Bron!I103,(Bron!M103*$C$5)+Bron!N103)</f>
        <v>650</v>
      </c>
      <c r="M114" s="256"/>
      <c r="N114" s="496">
        <f t="shared" si="90"/>
        <v>2226.9032999999999</v>
      </c>
      <c r="O114" s="497">
        <f t="shared" si="91"/>
        <v>0.29188514831335516</v>
      </c>
      <c r="P114" s="257">
        <f>IF($C$5&lt;3000,$AN$32*Bron!J103,$AN$32*Bron!O103)</f>
        <v>0</v>
      </c>
      <c r="Q114" s="257">
        <f>IF($C$5&lt;3000,$AN$31*Bron!K103,$AN$31*Bron!P103)</f>
        <v>4773.95</v>
      </c>
      <c r="R114" s="257">
        <f>IF($C$5&lt;3000,$AN$33*Bron!J103,$AN$33*Bron!O103)</f>
        <v>20.450000000000003</v>
      </c>
      <c r="S114" s="344"/>
      <c r="T114" s="258">
        <f t="shared" si="93"/>
        <v>1</v>
      </c>
      <c r="U114" s="259">
        <f t="shared" si="94"/>
        <v>650</v>
      </c>
      <c r="V114" s="675"/>
      <c r="W114" s="676">
        <f t="shared" si="95"/>
        <v>0</v>
      </c>
      <c r="X114" s="677">
        <f t="shared" si="96"/>
        <v>0</v>
      </c>
      <c r="Y114" s="677">
        <f t="shared" si="127"/>
        <v>0</v>
      </c>
      <c r="Z114" s="678">
        <f t="shared" si="128"/>
        <v>0</v>
      </c>
      <c r="AA114" s="679">
        <f t="shared" si="129"/>
        <v>0</v>
      </c>
      <c r="AB114" s="675"/>
      <c r="AC114" s="676">
        <f t="shared" si="97"/>
        <v>0</v>
      </c>
      <c r="AD114" s="677">
        <f t="shared" si="98"/>
        <v>0</v>
      </c>
      <c r="AE114" s="677">
        <f t="shared" si="130"/>
        <v>0</v>
      </c>
      <c r="AF114" s="678">
        <f t="shared" si="131"/>
        <v>0</v>
      </c>
      <c r="AG114" s="679">
        <f t="shared" si="132"/>
        <v>0</v>
      </c>
      <c r="AH114" s="675"/>
      <c r="AI114" s="676">
        <f t="shared" si="99"/>
        <v>0</v>
      </c>
      <c r="AJ114" s="677">
        <f t="shared" si="100"/>
        <v>0</v>
      </c>
      <c r="AK114" s="677">
        <f t="shared" si="133"/>
        <v>0</v>
      </c>
      <c r="AL114" s="678">
        <f t="shared" si="134"/>
        <v>0</v>
      </c>
      <c r="AM114" s="679">
        <f t="shared" si="135"/>
        <v>0</v>
      </c>
      <c r="AN114" s="675"/>
      <c r="AO114" s="676">
        <f t="shared" si="101"/>
        <v>0</v>
      </c>
      <c r="AP114" s="677">
        <f t="shared" si="102"/>
        <v>0</v>
      </c>
      <c r="AQ114" s="677">
        <f t="shared" si="136"/>
        <v>0</v>
      </c>
      <c r="AR114" s="678">
        <f t="shared" si="137"/>
        <v>0</v>
      </c>
      <c r="AS114" s="679">
        <f t="shared" si="138"/>
        <v>0</v>
      </c>
      <c r="AT114" s="675">
        <v>1</v>
      </c>
      <c r="AU114" s="676">
        <f t="shared" si="103"/>
        <v>650</v>
      </c>
      <c r="AV114" s="677">
        <f t="shared" si="104"/>
        <v>0</v>
      </c>
      <c r="AW114" s="677">
        <f t="shared" si="139"/>
        <v>4773.95</v>
      </c>
      <c r="AX114" s="678">
        <f t="shared" si="140"/>
        <v>20.450000000000003</v>
      </c>
      <c r="AY114" s="679">
        <f t="shared" si="141"/>
        <v>2226.9032999999999</v>
      </c>
      <c r="AZ114" s="675"/>
      <c r="BA114" s="676">
        <f t="shared" si="105"/>
        <v>0</v>
      </c>
      <c r="BB114" s="677">
        <f t="shared" si="106"/>
        <v>0</v>
      </c>
      <c r="BC114" s="677">
        <f t="shared" si="142"/>
        <v>0</v>
      </c>
      <c r="BD114" s="678">
        <f t="shared" si="143"/>
        <v>0</v>
      </c>
      <c r="BE114" s="679">
        <f t="shared" si="144"/>
        <v>0</v>
      </c>
      <c r="BF114" s="675"/>
      <c r="BG114" s="676">
        <f t="shared" si="107"/>
        <v>0</v>
      </c>
      <c r="BH114" s="677">
        <f t="shared" si="108"/>
        <v>0</v>
      </c>
      <c r="BI114" s="677">
        <f t="shared" si="145"/>
        <v>0</v>
      </c>
      <c r="BJ114" s="678">
        <f t="shared" si="146"/>
        <v>0</v>
      </c>
      <c r="BK114" s="679">
        <f t="shared" si="147"/>
        <v>0</v>
      </c>
      <c r="BL114" s="675"/>
      <c r="BM114" s="676">
        <f t="shared" si="109"/>
        <v>0</v>
      </c>
      <c r="BN114" s="677">
        <f t="shared" si="110"/>
        <v>0</v>
      </c>
      <c r="BO114" s="677">
        <f t="shared" si="148"/>
        <v>0</v>
      </c>
      <c r="BP114" s="678">
        <f t="shared" si="149"/>
        <v>0</v>
      </c>
      <c r="BQ114" s="679">
        <f t="shared" si="150"/>
        <v>0</v>
      </c>
      <c r="BR114" s="675"/>
      <c r="BS114" s="676">
        <f t="shared" si="111"/>
        <v>0</v>
      </c>
      <c r="BT114" s="677">
        <f t="shared" si="112"/>
        <v>0</v>
      </c>
      <c r="BU114" s="677">
        <f t="shared" si="151"/>
        <v>0</v>
      </c>
      <c r="BV114" s="678">
        <f t="shared" si="152"/>
        <v>0</v>
      </c>
      <c r="BW114" s="679">
        <f t="shared" si="153"/>
        <v>0</v>
      </c>
      <c r="BX114" s="675"/>
      <c r="BY114" s="676">
        <f t="shared" si="113"/>
        <v>0</v>
      </c>
      <c r="BZ114" s="677">
        <f t="shared" si="114"/>
        <v>0</v>
      </c>
      <c r="CA114" s="677">
        <f t="shared" si="154"/>
        <v>0</v>
      </c>
      <c r="CB114" s="678">
        <f t="shared" si="155"/>
        <v>0</v>
      </c>
      <c r="CC114" s="679">
        <f t="shared" si="156"/>
        <v>0</v>
      </c>
      <c r="CD114" s="675"/>
      <c r="CE114" s="676">
        <f t="shared" si="115"/>
        <v>0</v>
      </c>
      <c r="CF114" s="677">
        <f t="shared" si="116"/>
        <v>0</v>
      </c>
      <c r="CG114" s="677">
        <f t="shared" si="157"/>
        <v>0</v>
      </c>
      <c r="CH114" s="678">
        <f t="shared" si="158"/>
        <v>0</v>
      </c>
      <c r="CI114" s="679">
        <f t="shared" si="159"/>
        <v>0</v>
      </c>
      <c r="CJ114" s="675"/>
      <c r="CK114" s="676">
        <f t="shared" si="117"/>
        <v>0</v>
      </c>
      <c r="CL114" s="677">
        <f t="shared" si="118"/>
        <v>0</v>
      </c>
      <c r="CM114" s="677">
        <f t="shared" si="160"/>
        <v>0</v>
      </c>
      <c r="CN114" s="678">
        <f t="shared" si="161"/>
        <v>0</v>
      </c>
      <c r="CO114" s="679">
        <f t="shared" si="162"/>
        <v>0</v>
      </c>
      <c r="CP114" s="675"/>
      <c r="CQ114" s="676">
        <f t="shared" si="119"/>
        <v>0</v>
      </c>
      <c r="CR114" s="677">
        <f t="shared" si="120"/>
        <v>0</v>
      </c>
      <c r="CS114" s="677">
        <f t="shared" si="163"/>
        <v>0</v>
      </c>
      <c r="CT114" s="678">
        <f t="shared" si="164"/>
        <v>0</v>
      </c>
      <c r="CU114" s="679">
        <f t="shared" si="165"/>
        <v>0</v>
      </c>
      <c r="CV114" s="685"/>
      <c r="CW114" s="681"/>
      <c r="CX114" s="682"/>
      <c r="CY114" s="682"/>
      <c r="CZ114" s="683"/>
      <c r="DA114" s="684"/>
      <c r="DB114" s="685"/>
      <c r="DC114" s="681"/>
      <c r="DD114" s="682"/>
      <c r="DE114" s="682"/>
      <c r="DF114" s="683"/>
      <c r="DG114" s="684"/>
      <c r="DH114" s="685"/>
      <c r="DI114" s="681"/>
      <c r="DJ114" s="682"/>
      <c r="DK114" s="682"/>
      <c r="DL114" s="683"/>
      <c r="DM114" s="684"/>
      <c r="DN114" s="685"/>
      <c r="DO114" s="681"/>
      <c r="DP114" s="682"/>
      <c r="DQ114" s="682"/>
      <c r="DR114" s="683"/>
      <c r="DS114" s="684"/>
      <c r="DT114" s="675"/>
      <c r="DU114" s="676">
        <f t="shared" si="121"/>
        <v>0</v>
      </c>
      <c r="DV114" s="677">
        <f t="shared" si="122"/>
        <v>0</v>
      </c>
      <c r="DW114" s="677">
        <f t="shared" si="166"/>
        <v>0</v>
      </c>
      <c r="DX114" s="678">
        <f t="shared" si="167"/>
        <v>0</v>
      </c>
      <c r="DY114" s="679">
        <f t="shared" si="168"/>
        <v>0</v>
      </c>
      <c r="DZ114" s="680"/>
      <c r="EA114" s="681"/>
      <c r="EB114" s="682"/>
      <c r="EC114" s="682"/>
      <c r="ED114" s="683"/>
      <c r="EE114" s="684"/>
      <c r="EF114" s="680"/>
      <c r="EG114" s="681"/>
      <c r="EH114" s="682"/>
      <c r="EI114" s="682"/>
      <c r="EJ114" s="683"/>
      <c r="EK114" s="684"/>
      <c r="EL114" s="680"/>
      <c r="EM114" s="681"/>
      <c r="EN114" s="682"/>
      <c r="EO114" s="682"/>
      <c r="EP114" s="683"/>
      <c r="EQ114" s="684"/>
      <c r="ER114" s="680"/>
      <c r="ES114" s="681"/>
      <c r="ET114" s="682"/>
      <c r="EU114" s="682"/>
      <c r="EV114" s="683"/>
      <c r="EW114" s="684"/>
      <c r="EX114" s="675"/>
      <c r="EY114" s="676">
        <f t="shared" si="123"/>
        <v>0</v>
      </c>
      <c r="EZ114" s="677">
        <f t="shared" si="124"/>
        <v>0</v>
      </c>
      <c r="FA114" s="677">
        <f t="shared" si="169"/>
        <v>0</v>
      </c>
      <c r="FB114" s="678">
        <f t="shared" si="170"/>
        <v>0</v>
      </c>
      <c r="FC114" s="679">
        <f t="shared" si="171"/>
        <v>0</v>
      </c>
      <c r="FD114" s="680"/>
      <c r="FE114" s="681"/>
      <c r="FF114" s="682"/>
      <c r="FG114" s="682"/>
      <c r="FH114" s="683"/>
      <c r="FI114" s="684"/>
      <c r="FJ114" s="680"/>
      <c r="FK114" s="681"/>
      <c r="FL114" s="682"/>
      <c r="FM114" s="682"/>
      <c r="FN114" s="683"/>
      <c r="FO114" s="684"/>
      <c r="FP114" s="680"/>
      <c r="FQ114" s="681"/>
      <c r="FR114" s="682"/>
      <c r="FS114" s="682"/>
      <c r="FT114" s="683"/>
      <c r="FU114" s="684"/>
      <c r="FV114" s="680"/>
      <c r="FW114" s="681"/>
      <c r="FX114" s="682"/>
      <c r="FY114" s="682"/>
      <c r="FZ114" s="683"/>
      <c r="GA114" s="684"/>
      <c r="GB114" s="675"/>
      <c r="GC114" s="676">
        <f t="shared" si="125"/>
        <v>0</v>
      </c>
      <c r="GD114" s="677">
        <f t="shared" si="126"/>
        <v>0</v>
      </c>
      <c r="GE114" s="677">
        <f t="shared" si="172"/>
        <v>0</v>
      </c>
      <c r="GF114" s="678">
        <f t="shared" si="173"/>
        <v>0</v>
      </c>
      <c r="GG114" s="679">
        <f t="shared" si="174"/>
        <v>0</v>
      </c>
      <c r="GH114" s="680"/>
      <c r="GI114" s="681"/>
      <c r="GJ114" s="682"/>
      <c r="GK114" s="682"/>
      <c r="GL114" s="683"/>
      <c r="GM114" s="684"/>
      <c r="GN114" s="680"/>
      <c r="GO114" s="681"/>
      <c r="GP114" s="682"/>
      <c r="GQ114" s="682"/>
      <c r="GR114" s="683"/>
      <c r="GS114" s="684"/>
      <c r="GT114" s="680"/>
      <c r="GU114" s="681"/>
      <c r="GV114" s="682"/>
      <c r="GW114" s="682"/>
      <c r="GX114" s="683"/>
      <c r="GY114" s="684"/>
      <c r="GZ114" s="680"/>
      <c r="HA114" s="147"/>
      <c r="HB114" s="148"/>
      <c r="HC114" s="148"/>
      <c r="HD114" s="149"/>
      <c r="HE114" s="150"/>
      <c r="HF114" s="506"/>
      <c r="HG114" s="502"/>
      <c r="HH114" s="502"/>
      <c r="HI114" s="502"/>
      <c r="HJ114" s="8"/>
    </row>
    <row r="115" spans="2:218" ht="21" hidden="1">
      <c r="B115" s="488">
        <v>71</v>
      </c>
      <c r="C115" s="489" t="s">
        <v>400</v>
      </c>
      <c r="D115" s="490" t="s">
        <v>7</v>
      </c>
      <c r="E115" s="491" t="s">
        <v>853</v>
      </c>
      <c r="F115" s="492"/>
      <c r="G115" s="493"/>
      <c r="H115" s="146" t="s">
        <v>97</v>
      </c>
      <c r="I115" s="494" t="str">
        <f t="shared" si="92"/>
        <v>n.v.t.</v>
      </c>
      <c r="J115" s="495" t="s">
        <v>487</v>
      </c>
      <c r="K115" s="151">
        <v>1</v>
      </c>
      <c r="L115" s="256">
        <f>IF($C$5&lt;3000,(Bron!H104*$C$5)+Bron!I104,(Bron!M104*$C$5)+Bron!N104)</f>
        <v>73799.039999999994</v>
      </c>
      <c r="M115" s="256"/>
      <c r="N115" s="496">
        <f t="shared" si="90"/>
        <v>14200.479999999998</v>
      </c>
      <c r="O115" s="497">
        <f t="shared" si="91"/>
        <v>5.1969398217525047</v>
      </c>
      <c r="P115" s="257">
        <f>IF($C$5&lt;3000,$AN$32*Bron!J104,$AN$32*Bron!O104)</f>
        <v>0</v>
      </c>
      <c r="Q115" s="257"/>
      <c r="R115" s="257">
        <f>IF($C$5&lt;3000,$AN$33*Bron!J104,$AN$33*Bron!O104)</f>
        <v>286.29999999999995</v>
      </c>
      <c r="S115" s="344"/>
      <c r="T115" s="258">
        <f t="shared" si="93"/>
        <v>1</v>
      </c>
      <c r="U115" s="259">
        <f t="shared" si="94"/>
        <v>0</v>
      </c>
      <c r="V115" s="675"/>
      <c r="W115" s="676">
        <f t="shared" si="95"/>
        <v>0</v>
      </c>
      <c r="X115" s="677">
        <f t="shared" si="96"/>
        <v>0</v>
      </c>
      <c r="Y115" s="677">
        <f t="shared" si="127"/>
        <v>0</v>
      </c>
      <c r="Z115" s="678">
        <f t="shared" si="128"/>
        <v>0</v>
      </c>
      <c r="AA115" s="679">
        <f t="shared" si="129"/>
        <v>0</v>
      </c>
      <c r="AB115" s="675"/>
      <c r="AC115" s="676">
        <f t="shared" si="97"/>
        <v>0</v>
      </c>
      <c r="AD115" s="677">
        <f t="shared" si="98"/>
        <v>0</v>
      </c>
      <c r="AE115" s="677">
        <f t="shared" si="130"/>
        <v>0</v>
      </c>
      <c r="AF115" s="678">
        <f t="shared" si="131"/>
        <v>0</v>
      </c>
      <c r="AG115" s="679">
        <f t="shared" si="132"/>
        <v>0</v>
      </c>
      <c r="AH115" s="675"/>
      <c r="AI115" s="676">
        <f t="shared" si="99"/>
        <v>0</v>
      </c>
      <c r="AJ115" s="677">
        <f t="shared" si="100"/>
        <v>0</v>
      </c>
      <c r="AK115" s="677">
        <f t="shared" si="133"/>
        <v>0</v>
      </c>
      <c r="AL115" s="678">
        <f t="shared" si="134"/>
        <v>0</v>
      </c>
      <c r="AM115" s="679">
        <f t="shared" si="135"/>
        <v>0</v>
      </c>
      <c r="AN115" s="675"/>
      <c r="AO115" s="676">
        <f t="shared" si="101"/>
        <v>0</v>
      </c>
      <c r="AP115" s="677">
        <f t="shared" si="102"/>
        <v>0</v>
      </c>
      <c r="AQ115" s="677">
        <f t="shared" si="136"/>
        <v>0</v>
      </c>
      <c r="AR115" s="678">
        <f t="shared" si="137"/>
        <v>0</v>
      </c>
      <c r="AS115" s="679">
        <f t="shared" si="138"/>
        <v>0</v>
      </c>
      <c r="AT115" s="675"/>
      <c r="AU115" s="676">
        <f t="shared" si="103"/>
        <v>0</v>
      </c>
      <c r="AV115" s="677">
        <f t="shared" si="104"/>
        <v>0</v>
      </c>
      <c r="AW115" s="677">
        <f t="shared" si="139"/>
        <v>0</v>
      </c>
      <c r="AX115" s="678">
        <f t="shared" si="140"/>
        <v>0</v>
      </c>
      <c r="AY115" s="679">
        <f t="shared" si="141"/>
        <v>0</v>
      </c>
      <c r="AZ115" s="675"/>
      <c r="BA115" s="676">
        <f t="shared" si="105"/>
        <v>0</v>
      </c>
      <c r="BB115" s="677">
        <f t="shared" si="106"/>
        <v>0</v>
      </c>
      <c r="BC115" s="677">
        <f t="shared" si="142"/>
        <v>0</v>
      </c>
      <c r="BD115" s="678">
        <f t="shared" si="143"/>
        <v>0</v>
      </c>
      <c r="BE115" s="679">
        <f t="shared" si="144"/>
        <v>0</v>
      </c>
      <c r="BF115" s="675"/>
      <c r="BG115" s="676">
        <f t="shared" si="107"/>
        <v>0</v>
      </c>
      <c r="BH115" s="677">
        <f t="shared" si="108"/>
        <v>0</v>
      </c>
      <c r="BI115" s="677">
        <f t="shared" si="145"/>
        <v>0</v>
      </c>
      <c r="BJ115" s="678">
        <f t="shared" si="146"/>
        <v>0</v>
      </c>
      <c r="BK115" s="679">
        <f t="shared" si="147"/>
        <v>0</v>
      </c>
      <c r="BL115" s="675"/>
      <c r="BM115" s="676">
        <f t="shared" si="109"/>
        <v>0</v>
      </c>
      <c r="BN115" s="677">
        <f t="shared" si="110"/>
        <v>0</v>
      </c>
      <c r="BO115" s="677">
        <f t="shared" si="148"/>
        <v>0</v>
      </c>
      <c r="BP115" s="678">
        <f t="shared" si="149"/>
        <v>0</v>
      </c>
      <c r="BQ115" s="679">
        <f t="shared" si="150"/>
        <v>0</v>
      </c>
      <c r="BR115" s="675"/>
      <c r="BS115" s="676">
        <f t="shared" si="111"/>
        <v>0</v>
      </c>
      <c r="BT115" s="677">
        <f t="shared" si="112"/>
        <v>0</v>
      </c>
      <c r="BU115" s="677">
        <f t="shared" si="151"/>
        <v>0</v>
      </c>
      <c r="BV115" s="678">
        <f t="shared" si="152"/>
        <v>0</v>
      </c>
      <c r="BW115" s="679">
        <f t="shared" si="153"/>
        <v>0</v>
      </c>
      <c r="BX115" s="675"/>
      <c r="BY115" s="676">
        <f t="shared" si="113"/>
        <v>0</v>
      </c>
      <c r="BZ115" s="677">
        <f t="shared" si="114"/>
        <v>0</v>
      </c>
      <c r="CA115" s="677">
        <f t="shared" si="154"/>
        <v>0</v>
      </c>
      <c r="CB115" s="678">
        <f t="shared" si="155"/>
        <v>0</v>
      </c>
      <c r="CC115" s="679">
        <f t="shared" si="156"/>
        <v>0</v>
      </c>
      <c r="CD115" s="675"/>
      <c r="CE115" s="676">
        <f t="shared" si="115"/>
        <v>0</v>
      </c>
      <c r="CF115" s="677">
        <f t="shared" si="116"/>
        <v>0</v>
      </c>
      <c r="CG115" s="677">
        <f t="shared" si="157"/>
        <v>0</v>
      </c>
      <c r="CH115" s="678">
        <f t="shared" si="158"/>
        <v>0</v>
      </c>
      <c r="CI115" s="679">
        <f t="shared" si="159"/>
        <v>0</v>
      </c>
      <c r="CJ115" s="675"/>
      <c r="CK115" s="676">
        <f t="shared" si="117"/>
        <v>0</v>
      </c>
      <c r="CL115" s="677">
        <f t="shared" si="118"/>
        <v>0</v>
      </c>
      <c r="CM115" s="677">
        <f t="shared" si="160"/>
        <v>0</v>
      </c>
      <c r="CN115" s="678">
        <f t="shared" si="161"/>
        <v>0</v>
      </c>
      <c r="CO115" s="679">
        <f t="shared" si="162"/>
        <v>0</v>
      </c>
      <c r="CP115" s="675"/>
      <c r="CQ115" s="676">
        <f t="shared" si="119"/>
        <v>0</v>
      </c>
      <c r="CR115" s="677">
        <f t="shared" si="120"/>
        <v>0</v>
      </c>
      <c r="CS115" s="677">
        <f t="shared" si="163"/>
        <v>0</v>
      </c>
      <c r="CT115" s="678">
        <f t="shared" si="164"/>
        <v>0</v>
      </c>
      <c r="CU115" s="679">
        <f t="shared" si="165"/>
        <v>0</v>
      </c>
      <c r="CV115" s="685"/>
      <c r="CW115" s="681"/>
      <c r="CX115" s="682"/>
      <c r="CY115" s="682"/>
      <c r="CZ115" s="683"/>
      <c r="DA115" s="684"/>
      <c r="DB115" s="685"/>
      <c r="DC115" s="681"/>
      <c r="DD115" s="682"/>
      <c r="DE115" s="682"/>
      <c r="DF115" s="683"/>
      <c r="DG115" s="684"/>
      <c r="DH115" s="685"/>
      <c r="DI115" s="681"/>
      <c r="DJ115" s="682"/>
      <c r="DK115" s="682"/>
      <c r="DL115" s="683"/>
      <c r="DM115" s="684"/>
      <c r="DN115" s="685"/>
      <c r="DO115" s="681"/>
      <c r="DP115" s="682"/>
      <c r="DQ115" s="682"/>
      <c r="DR115" s="683"/>
      <c r="DS115" s="684"/>
      <c r="DT115" s="675"/>
      <c r="DU115" s="676">
        <f t="shared" si="121"/>
        <v>0</v>
      </c>
      <c r="DV115" s="677">
        <f t="shared" si="122"/>
        <v>0</v>
      </c>
      <c r="DW115" s="677">
        <f t="shared" si="166"/>
        <v>0</v>
      </c>
      <c r="DX115" s="678">
        <f t="shared" si="167"/>
        <v>0</v>
      </c>
      <c r="DY115" s="679">
        <f t="shared" si="168"/>
        <v>0</v>
      </c>
      <c r="DZ115" s="680"/>
      <c r="EA115" s="681"/>
      <c r="EB115" s="682"/>
      <c r="EC115" s="682"/>
      <c r="ED115" s="683"/>
      <c r="EE115" s="684"/>
      <c r="EF115" s="680"/>
      <c r="EG115" s="681"/>
      <c r="EH115" s="682"/>
      <c r="EI115" s="682"/>
      <c r="EJ115" s="683"/>
      <c r="EK115" s="684"/>
      <c r="EL115" s="680"/>
      <c r="EM115" s="681"/>
      <c r="EN115" s="682"/>
      <c r="EO115" s="682"/>
      <c r="EP115" s="683"/>
      <c r="EQ115" s="684"/>
      <c r="ER115" s="680"/>
      <c r="ES115" s="681"/>
      <c r="ET115" s="682"/>
      <c r="EU115" s="682"/>
      <c r="EV115" s="683"/>
      <c r="EW115" s="684"/>
      <c r="EX115" s="675"/>
      <c r="EY115" s="676">
        <f t="shared" si="123"/>
        <v>0</v>
      </c>
      <c r="EZ115" s="677">
        <f t="shared" si="124"/>
        <v>0</v>
      </c>
      <c r="FA115" s="677">
        <f t="shared" si="169"/>
        <v>0</v>
      </c>
      <c r="FB115" s="678">
        <f t="shared" si="170"/>
        <v>0</v>
      </c>
      <c r="FC115" s="679">
        <f t="shared" si="171"/>
        <v>0</v>
      </c>
      <c r="FD115" s="680"/>
      <c r="FE115" s="681"/>
      <c r="FF115" s="682"/>
      <c r="FG115" s="682"/>
      <c r="FH115" s="683"/>
      <c r="FI115" s="684"/>
      <c r="FJ115" s="680"/>
      <c r="FK115" s="681"/>
      <c r="FL115" s="682"/>
      <c r="FM115" s="682"/>
      <c r="FN115" s="683"/>
      <c r="FO115" s="684"/>
      <c r="FP115" s="680"/>
      <c r="FQ115" s="681"/>
      <c r="FR115" s="682"/>
      <c r="FS115" s="682"/>
      <c r="FT115" s="683"/>
      <c r="FU115" s="684"/>
      <c r="FV115" s="680"/>
      <c r="FW115" s="681"/>
      <c r="FX115" s="682"/>
      <c r="FY115" s="682"/>
      <c r="FZ115" s="683"/>
      <c r="GA115" s="684"/>
      <c r="GB115" s="675"/>
      <c r="GC115" s="676">
        <f t="shared" si="125"/>
        <v>0</v>
      </c>
      <c r="GD115" s="677">
        <f t="shared" si="126"/>
        <v>0</v>
      </c>
      <c r="GE115" s="677">
        <f t="shared" si="172"/>
        <v>0</v>
      </c>
      <c r="GF115" s="678">
        <f t="shared" si="173"/>
        <v>0</v>
      </c>
      <c r="GG115" s="679">
        <f t="shared" si="174"/>
        <v>0</v>
      </c>
      <c r="GH115" s="680"/>
      <c r="GI115" s="681"/>
      <c r="GJ115" s="682"/>
      <c r="GK115" s="682"/>
      <c r="GL115" s="683"/>
      <c r="GM115" s="684"/>
      <c r="GN115" s="680"/>
      <c r="GO115" s="681"/>
      <c r="GP115" s="682"/>
      <c r="GQ115" s="682"/>
      <c r="GR115" s="683"/>
      <c r="GS115" s="684"/>
      <c r="GT115" s="680"/>
      <c r="GU115" s="681"/>
      <c r="GV115" s="682"/>
      <c r="GW115" s="682"/>
      <c r="GX115" s="683"/>
      <c r="GY115" s="684"/>
      <c r="GZ115" s="680"/>
      <c r="HA115" s="147"/>
      <c r="HB115" s="148"/>
      <c r="HC115" s="148"/>
      <c r="HD115" s="149"/>
      <c r="HE115" s="150"/>
      <c r="HF115" s="506"/>
      <c r="HG115" s="502"/>
      <c r="HH115" s="502"/>
      <c r="HI115" s="502"/>
      <c r="HJ115" s="8"/>
    </row>
    <row r="116" spans="2:218" ht="21" hidden="1">
      <c r="B116" s="488">
        <v>72</v>
      </c>
      <c r="C116" s="489" t="s">
        <v>400</v>
      </c>
      <c r="D116" s="490" t="s">
        <v>212</v>
      </c>
      <c r="E116" s="491" t="s">
        <v>854</v>
      </c>
      <c r="F116" s="492"/>
      <c r="G116" s="493"/>
      <c r="H116" s="146" t="s">
        <v>97</v>
      </c>
      <c r="I116" s="494" t="str">
        <f t="shared" si="92"/>
        <v>n.v.t.</v>
      </c>
      <c r="J116" s="495" t="s">
        <v>487</v>
      </c>
      <c r="K116" s="151">
        <v>0</v>
      </c>
      <c r="L116" s="256">
        <f>IF($C$5&lt;3000,(Bron!H105*$C$5/$C$6)+Bron!I105,(Bron!M105*$C$5/$C$6)+Bron!N105)</f>
        <v>131318.88</v>
      </c>
      <c r="M116" s="256"/>
      <c r="N116" s="496">
        <f t="shared" si="90"/>
        <v>7100.2399999999989</v>
      </c>
      <c r="O116" s="497">
        <f t="shared" si="91"/>
        <v>18.494991718589798</v>
      </c>
      <c r="P116" s="257">
        <f>IF($C$5&lt;3000,$AN$32*Bron!J105,$AN$32*Bron!O105)/$C$6</f>
        <v>0</v>
      </c>
      <c r="Q116" s="257">
        <f>IF($C$5&lt;3000,$AN$31*Bron!K105,$AN$31*Bron!P105)</f>
        <v>0</v>
      </c>
      <c r="R116" s="257">
        <f>IF($C$5&lt;3000,$AN$33*Bron!J105,$AN$33*Bron!O105)/$C$6</f>
        <v>143.14999999999998</v>
      </c>
      <c r="S116" s="344"/>
      <c r="T116" s="258">
        <f t="shared" si="93"/>
        <v>0</v>
      </c>
      <c r="U116" s="259">
        <f t="shared" si="94"/>
        <v>0</v>
      </c>
      <c r="V116" s="675"/>
      <c r="W116" s="676">
        <f t="shared" si="95"/>
        <v>0</v>
      </c>
      <c r="X116" s="677">
        <f t="shared" si="96"/>
        <v>0</v>
      </c>
      <c r="Y116" s="677">
        <f t="shared" si="127"/>
        <v>0</v>
      </c>
      <c r="Z116" s="678">
        <f t="shared" si="128"/>
        <v>0</v>
      </c>
      <c r="AA116" s="679">
        <f t="shared" si="129"/>
        <v>0</v>
      </c>
      <c r="AB116" s="675"/>
      <c r="AC116" s="676">
        <f t="shared" si="97"/>
        <v>0</v>
      </c>
      <c r="AD116" s="677">
        <f t="shared" si="98"/>
        <v>0</v>
      </c>
      <c r="AE116" s="677">
        <f t="shared" si="130"/>
        <v>0</v>
      </c>
      <c r="AF116" s="678">
        <f t="shared" si="131"/>
        <v>0</v>
      </c>
      <c r="AG116" s="679">
        <f t="shared" si="132"/>
        <v>0</v>
      </c>
      <c r="AH116" s="675"/>
      <c r="AI116" s="676">
        <f t="shared" si="99"/>
        <v>0</v>
      </c>
      <c r="AJ116" s="677">
        <f t="shared" si="100"/>
        <v>0</v>
      </c>
      <c r="AK116" s="677">
        <f t="shared" si="133"/>
        <v>0</v>
      </c>
      <c r="AL116" s="678">
        <f t="shared" si="134"/>
        <v>0</v>
      </c>
      <c r="AM116" s="679">
        <f t="shared" si="135"/>
        <v>0</v>
      </c>
      <c r="AN116" s="675"/>
      <c r="AO116" s="676">
        <f t="shared" si="101"/>
        <v>0</v>
      </c>
      <c r="AP116" s="677">
        <f t="shared" si="102"/>
        <v>0</v>
      </c>
      <c r="AQ116" s="677">
        <f t="shared" si="136"/>
        <v>0</v>
      </c>
      <c r="AR116" s="678">
        <f t="shared" si="137"/>
        <v>0</v>
      </c>
      <c r="AS116" s="679">
        <f t="shared" si="138"/>
        <v>0</v>
      </c>
      <c r="AT116" s="675"/>
      <c r="AU116" s="676">
        <f t="shared" si="103"/>
        <v>0</v>
      </c>
      <c r="AV116" s="677">
        <f t="shared" si="104"/>
        <v>0</v>
      </c>
      <c r="AW116" s="677">
        <f t="shared" si="139"/>
        <v>0</v>
      </c>
      <c r="AX116" s="678">
        <f t="shared" si="140"/>
        <v>0</v>
      </c>
      <c r="AY116" s="679">
        <f t="shared" si="141"/>
        <v>0</v>
      </c>
      <c r="AZ116" s="675"/>
      <c r="BA116" s="676">
        <f t="shared" si="105"/>
        <v>0</v>
      </c>
      <c r="BB116" s="677">
        <f t="shared" si="106"/>
        <v>0</v>
      </c>
      <c r="BC116" s="677">
        <f t="shared" si="142"/>
        <v>0</v>
      </c>
      <c r="BD116" s="678">
        <f t="shared" si="143"/>
        <v>0</v>
      </c>
      <c r="BE116" s="679">
        <f t="shared" si="144"/>
        <v>0</v>
      </c>
      <c r="BF116" s="675"/>
      <c r="BG116" s="676">
        <f t="shared" si="107"/>
        <v>0</v>
      </c>
      <c r="BH116" s="677">
        <f t="shared" si="108"/>
        <v>0</v>
      </c>
      <c r="BI116" s="677">
        <f t="shared" si="145"/>
        <v>0</v>
      </c>
      <c r="BJ116" s="678">
        <f t="shared" si="146"/>
        <v>0</v>
      </c>
      <c r="BK116" s="679">
        <f t="shared" si="147"/>
        <v>0</v>
      </c>
      <c r="BL116" s="675"/>
      <c r="BM116" s="676">
        <f t="shared" si="109"/>
        <v>0</v>
      </c>
      <c r="BN116" s="677">
        <f t="shared" si="110"/>
        <v>0</v>
      </c>
      <c r="BO116" s="677">
        <f t="shared" si="148"/>
        <v>0</v>
      </c>
      <c r="BP116" s="678">
        <f t="shared" si="149"/>
        <v>0</v>
      </c>
      <c r="BQ116" s="679">
        <f t="shared" si="150"/>
        <v>0</v>
      </c>
      <c r="BR116" s="675"/>
      <c r="BS116" s="676">
        <f t="shared" si="111"/>
        <v>0</v>
      </c>
      <c r="BT116" s="677">
        <f t="shared" si="112"/>
        <v>0</v>
      </c>
      <c r="BU116" s="677">
        <f t="shared" si="151"/>
        <v>0</v>
      </c>
      <c r="BV116" s="678">
        <f t="shared" si="152"/>
        <v>0</v>
      </c>
      <c r="BW116" s="679">
        <f t="shared" si="153"/>
        <v>0</v>
      </c>
      <c r="BX116" s="675"/>
      <c r="BY116" s="676">
        <f t="shared" si="113"/>
        <v>0</v>
      </c>
      <c r="BZ116" s="677">
        <f t="shared" si="114"/>
        <v>0</v>
      </c>
      <c r="CA116" s="677">
        <f t="shared" si="154"/>
        <v>0</v>
      </c>
      <c r="CB116" s="678">
        <f t="shared" si="155"/>
        <v>0</v>
      </c>
      <c r="CC116" s="679">
        <f t="shared" si="156"/>
        <v>0</v>
      </c>
      <c r="CD116" s="675"/>
      <c r="CE116" s="676">
        <f t="shared" si="115"/>
        <v>0</v>
      </c>
      <c r="CF116" s="677">
        <f t="shared" si="116"/>
        <v>0</v>
      </c>
      <c r="CG116" s="677">
        <f t="shared" si="157"/>
        <v>0</v>
      </c>
      <c r="CH116" s="678">
        <f t="shared" si="158"/>
        <v>0</v>
      </c>
      <c r="CI116" s="679">
        <f t="shared" si="159"/>
        <v>0</v>
      </c>
      <c r="CJ116" s="675"/>
      <c r="CK116" s="676">
        <f t="shared" si="117"/>
        <v>0</v>
      </c>
      <c r="CL116" s="677">
        <f t="shared" si="118"/>
        <v>0</v>
      </c>
      <c r="CM116" s="677">
        <f t="shared" si="160"/>
        <v>0</v>
      </c>
      <c r="CN116" s="678">
        <f t="shared" si="161"/>
        <v>0</v>
      </c>
      <c r="CO116" s="679">
        <f t="shared" si="162"/>
        <v>0</v>
      </c>
      <c r="CP116" s="675"/>
      <c r="CQ116" s="676">
        <f t="shared" si="119"/>
        <v>0</v>
      </c>
      <c r="CR116" s="677">
        <f t="shared" si="120"/>
        <v>0</v>
      </c>
      <c r="CS116" s="677">
        <f t="shared" si="163"/>
        <v>0</v>
      </c>
      <c r="CT116" s="678">
        <f t="shared" si="164"/>
        <v>0</v>
      </c>
      <c r="CU116" s="679">
        <f t="shared" si="165"/>
        <v>0</v>
      </c>
      <c r="CV116" s="685"/>
      <c r="CW116" s="681"/>
      <c r="CX116" s="682"/>
      <c r="CY116" s="682"/>
      <c r="CZ116" s="683"/>
      <c r="DA116" s="684"/>
      <c r="DB116" s="685"/>
      <c r="DC116" s="681"/>
      <c r="DD116" s="682"/>
      <c r="DE116" s="682"/>
      <c r="DF116" s="683"/>
      <c r="DG116" s="684"/>
      <c r="DH116" s="685"/>
      <c r="DI116" s="681"/>
      <c r="DJ116" s="682"/>
      <c r="DK116" s="682"/>
      <c r="DL116" s="683"/>
      <c r="DM116" s="684"/>
      <c r="DN116" s="685"/>
      <c r="DO116" s="681"/>
      <c r="DP116" s="682"/>
      <c r="DQ116" s="682"/>
      <c r="DR116" s="683"/>
      <c r="DS116" s="684"/>
      <c r="DT116" s="675"/>
      <c r="DU116" s="676">
        <f t="shared" si="121"/>
        <v>0</v>
      </c>
      <c r="DV116" s="677">
        <f t="shared" si="122"/>
        <v>0</v>
      </c>
      <c r="DW116" s="677">
        <f t="shared" si="166"/>
        <v>0</v>
      </c>
      <c r="DX116" s="678">
        <f t="shared" si="167"/>
        <v>0</v>
      </c>
      <c r="DY116" s="679">
        <f t="shared" si="168"/>
        <v>0</v>
      </c>
      <c r="DZ116" s="680"/>
      <c r="EA116" s="681"/>
      <c r="EB116" s="682"/>
      <c r="EC116" s="682"/>
      <c r="ED116" s="683"/>
      <c r="EE116" s="684"/>
      <c r="EF116" s="680"/>
      <c r="EG116" s="681"/>
      <c r="EH116" s="682"/>
      <c r="EI116" s="682"/>
      <c r="EJ116" s="683"/>
      <c r="EK116" s="684"/>
      <c r="EL116" s="680"/>
      <c r="EM116" s="681"/>
      <c r="EN116" s="682"/>
      <c r="EO116" s="682"/>
      <c r="EP116" s="683"/>
      <c r="EQ116" s="684"/>
      <c r="ER116" s="680"/>
      <c r="ES116" s="681"/>
      <c r="ET116" s="682"/>
      <c r="EU116" s="682"/>
      <c r="EV116" s="683"/>
      <c r="EW116" s="684"/>
      <c r="EX116" s="675"/>
      <c r="EY116" s="676">
        <f t="shared" si="123"/>
        <v>0</v>
      </c>
      <c r="EZ116" s="677">
        <f t="shared" si="124"/>
        <v>0</v>
      </c>
      <c r="FA116" s="677">
        <f t="shared" si="169"/>
        <v>0</v>
      </c>
      <c r="FB116" s="678">
        <f t="shared" si="170"/>
        <v>0</v>
      </c>
      <c r="FC116" s="679">
        <f t="shared" si="171"/>
        <v>0</v>
      </c>
      <c r="FD116" s="680"/>
      <c r="FE116" s="681"/>
      <c r="FF116" s="682"/>
      <c r="FG116" s="682"/>
      <c r="FH116" s="683"/>
      <c r="FI116" s="684"/>
      <c r="FJ116" s="680"/>
      <c r="FK116" s="681"/>
      <c r="FL116" s="682"/>
      <c r="FM116" s="682"/>
      <c r="FN116" s="683"/>
      <c r="FO116" s="684"/>
      <c r="FP116" s="680"/>
      <c r="FQ116" s="681"/>
      <c r="FR116" s="682"/>
      <c r="FS116" s="682"/>
      <c r="FT116" s="683"/>
      <c r="FU116" s="684"/>
      <c r="FV116" s="680"/>
      <c r="FW116" s="681"/>
      <c r="FX116" s="682"/>
      <c r="FY116" s="682"/>
      <c r="FZ116" s="683"/>
      <c r="GA116" s="684"/>
      <c r="GB116" s="675"/>
      <c r="GC116" s="676">
        <f t="shared" si="125"/>
        <v>0</v>
      </c>
      <c r="GD116" s="677">
        <f t="shared" si="126"/>
        <v>0</v>
      </c>
      <c r="GE116" s="677">
        <f t="shared" si="172"/>
        <v>0</v>
      </c>
      <c r="GF116" s="678">
        <f t="shared" si="173"/>
        <v>0</v>
      </c>
      <c r="GG116" s="679">
        <f t="shared" si="174"/>
        <v>0</v>
      </c>
      <c r="GH116" s="680"/>
      <c r="GI116" s="681"/>
      <c r="GJ116" s="682"/>
      <c r="GK116" s="682"/>
      <c r="GL116" s="683"/>
      <c r="GM116" s="684"/>
      <c r="GN116" s="680"/>
      <c r="GO116" s="681"/>
      <c r="GP116" s="682"/>
      <c r="GQ116" s="682"/>
      <c r="GR116" s="683"/>
      <c r="GS116" s="684"/>
      <c r="GT116" s="680"/>
      <c r="GU116" s="681"/>
      <c r="GV116" s="682"/>
      <c r="GW116" s="682"/>
      <c r="GX116" s="683"/>
      <c r="GY116" s="684"/>
      <c r="GZ116" s="680"/>
      <c r="HA116" s="147"/>
      <c r="HB116" s="148"/>
      <c r="HC116" s="148"/>
      <c r="HD116" s="149"/>
      <c r="HE116" s="150"/>
      <c r="HF116" s="506"/>
      <c r="HG116" s="502"/>
      <c r="HH116" s="502"/>
      <c r="HI116" s="502"/>
      <c r="HJ116" s="8"/>
    </row>
    <row r="117" spans="2:218" ht="21" hidden="1">
      <c r="B117" s="488">
        <v>73</v>
      </c>
      <c r="C117" s="489" t="s">
        <v>400</v>
      </c>
      <c r="D117" s="490" t="s">
        <v>213</v>
      </c>
      <c r="E117" s="491" t="s">
        <v>214</v>
      </c>
      <c r="F117" s="492"/>
      <c r="G117" s="493"/>
      <c r="H117" s="146" t="s">
        <v>97</v>
      </c>
      <c r="I117" s="494" t="str">
        <f t="shared" si="92"/>
        <v>n.v.t.</v>
      </c>
      <c r="J117" s="495"/>
      <c r="K117" s="151">
        <v>0</v>
      </c>
      <c r="L117" s="256"/>
      <c r="M117" s="256">
        <f>IF($C$5&lt;3000,(Bron!H106*$C$5)+Bron!I106,(Bron!M106*$C$5)+Bron!N106)</f>
        <v>0</v>
      </c>
      <c r="N117" s="496">
        <f t="shared" si="90"/>
        <v>0</v>
      </c>
      <c r="O117" s="497" t="str">
        <f t="shared" si="91"/>
        <v/>
      </c>
      <c r="P117" s="257">
        <f>IF($C$5&lt;3000,$AN$32*Bron!J106,$AN$32*Bron!O106)</f>
        <v>0</v>
      </c>
      <c r="Q117" s="257">
        <f>IF($C$5&lt;3000,$AN$31*Bron!K106,$AN$31*Bron!P106)</f>
        <v>0</v>
      </c>
      <c r="R117" s="257">
        <f>IF($C$5&lt;3000,$AN$33*Bron!J106,$AN$33*Bron!O106)</f>
        <v>0</v>
      </c>
      <c r="S117" s="344"/>
      <c r="T117" s="258">
        <f t="shared" si="93"/>
        <v>0</v>
      </c>
      <c r="U117" s="259">
        <f t="shared" si="94"/>
        <v>0</v>
      </c>
      <c r="V117" s="675"/>
      <c r="W117" s="676">
        <f t="shared" si="95"/>
        <v>0</v>
      </c>
      <c r="X117" s="677">
        <f t="shared" si="96"/>
        <v>0</v>
      </c>
      <c r="Y117" s="677">
        <f t="shared" si="127"/>
        <v>0</v>
      </c>
      <c r="Z117" s="678">
        <f t="shared" si="128"/>
        <v>0</v>
      </c>
      <c r="AA117" s="679">
        <f t="shared" si="129"/>
        <v>0</v>
      </c>
      <c r="AB117" s="675"/>
      <c r="AC117" s="676">
        <f t="shared" si="97"/>
        <v>0</v>
      </c>
      <c r="AD117" s="677">
        <f t="shared" si="98"/>
        <v>0</v>
      </c>
      <c r="AE117" s="677">
        <f t="shared" si="130"/>
        <v>0</v>
      </c>
      <c r="AF117" s="678">
        <f t="shared" si="131"/>
        <v>0</v>
      </c>
      <c r="AG117" s="679">
        <f t="shared" si="132"/>
        <v>0</v>
      </c>
      <c r="AH117" s="675"/>
      <c r="AI117" s="676">
        <f t="shared" si="99"/>
        <v>0</v>
      </c>
      <c r="AJ117" s="677">
        <f t="shared" si="100"/>
        <v>0</v>
      </c>
      <c r="AK117" s="677">
        <f t="shared" si="133"/>
        <v>0</v>
      </c>
      <c r="AL117" s="678">
        <f t="shared" si="134"/>
        <v>0</v>
      </c>
      <c r="AM117" s="679">
        <f t="shared" si="135"/>
        <v>0</v>
      </c>
      <c r="AN117" s="675"/>
      <c r="AO117" s="676">
        <f t="shared" si="101"/>
        <v>0</v>
      </c>
      <c r="AP117" s="677">
        <f t="shared" si="102"/>
        <v>0</v>
      </c>
      <c r="AQ117" s="677">
        <f t="shared" si="136"/>
        <v>0</v>
      </c>
      <c r="AR117" s="678">
        <f t="shared" si="137"/>
        <v>0</v>
      </c>
      <c r="AS117" s="679">
        <f t="shared" si="138"/>
        <v>0</v>
      </c>
      <c r="AT117" s="675"/>
      <c r="AU117" s="676">
        <f t="shared" si="103"/>
        <v>0</v>
      </c>
      <c r="AV117" s="677">
        <f t="shared" si="104"/>
        <v>0</v>
      </c>
      <c r="AW117" s="677">
        <f t="shared" si="139"/>
        <v>0</v>
      </c>
      <c r="AX117" s="678">
        <f t="shared" si="140"/>
        <v>0</v>
      </c>
      <c r="AY117" s="679">
        <f t="shared" si="141"/>
        <v>0</v>
      </c>
      <c r="AZ117" s="675"/>
      <c r="BA117" s="676">
        <f t="shared" si="105"/>
        <v>0</v>
      </c>
      <c r="BB117" s="677">
        <f t="shared" si="106"/>
        <v>0</v>
      </c>
      <c r="BC117" s="677">
        <f t="shared" si="142"/>
        <v>0</v>
      </c>
      <c r="BD117" s="678">
        <f t="shared" si="143"/>
        <v>0</v>
      </c>
      <c r="BE117" s="679">
        <f t="shared" si="144"/>
        <v>0</v>
      </c>
      <c r="BF117" s="675"/>
      <c r="BG117" s="676">
        <f t="shared" si="107"/>
        <v>0</v>
      </c>
      <c r="BH117" s="677">
        <f t="shared" si="108"/>
        <v>0</v>
      </c>
      <c r="BI117" s="677">
        <f t="shared" si="145"/>
        <v>0</v>
      </c>
      <c r="BJ117" s="678">
        <f t="shared" si="146"/>
        <v>0</v>
      </c>
      <c r="BK117" s="679">
        <f t="shared" si="147"/>
        <v>0</v>
      </c>
      <c r="BL117" s="675"/>
      <c r="BM117" s="676">
        <f t="shared" si="109"/>
        <v>0</v>
      </c>
      <c r="BN117" s="677">
        <f t="shared" si="110"/>
        <v>0</v>
      </c>
      <c r="BO117" s="677">
        <f t="shared" si="148"/>
        <v>0</v>
      </c>
      <c r="BP117" s="678">
        <f t="shared" si="149"/>
        <v>0</v>
      </c>
      <c r="BQ117" s="679">
        <f t="shared" si="150"/>
        <v>0</v>
      </c>
      <c r="BR117" s="675"/>
      <c r="BS117" s="676">
        <f t="shared" si="111"/>
        <v>0</v>
      </c>
      <c r="BT117" s="677">
        <f t="shared" si="112"/>
        <v>0</v>
      </c>
      <c r="BU117" s="677">
        <f t="shared" si="151"/>
        <v>0</v>
      </c>
      <c r="BV117" s="678">
        <f t="shared" si="152"/>
        <v>0</v>
      </c>
      <c r="BW117" s="679">
        <f t="shared" si="153"/>
        <v>0</v>
      </c>
      <c r="BX117" s="675"/>
      <c r="BY117" s="676">
        <f t="shared" si="113"/>
        <v>0</v>
      </c>
      <c r="BZ117" s="677">
        <f t="shared" si="114"/>
        <v>0</v>
      </c>
      <c r="CA117" s="677">
        <f t="shared" si="154"/>
        <v>0</v>
      </c>
      <c r="CB117" s="678">
        <f t="shared" si="155"/>
        <v>0</v>
      </c>
      <c r="CC117" s="679">
        <f t="shared" si="156"/>
        <v>0</v>
      </c>
      <c r="CD117" s="675"/>
      <c r="CE117" s="676">
        <f t="shared" si="115"/>
        <v>0</v>
      </c>
      <c r="CF117" s="677">
        <f t="shared" si="116"/>
        <v>0</v>
      </c>
      <c r="CG117" s="677">
        <f t="shared" si="157"/>
        <v>0</v>
      </c>
      <c r="CH117" s="678">
        <f t="shared" si="158"/>
        <v>0</v>
      </c>
      <c r="CI117" s="679">
        <f t="shared" si="159"/>
        <v>0</v>
      </c>
      <c r="CJ117" s="675"/>
      <c r="CK117" s="676">
        <f t="shared" si="117"/>
        <v>0</v>
      </c>
      <c r="CL117" s="677">
        <f t="shared" si="118"/>
        <v>0</v>
      </c>
      <c r="CM117" s="677">
        <f t="shared" si="160"/>
        <v>0</v>
      </c>
      <c r="CN117" s="678">
        <f t="shared" si="161"/>
        <v>0</v>
      </c>
      <c r="CO117" s="679">
        <f t="shared" si="162"/>
        <v>0</v>
      </c>
      <c r="CP117" s="675"/>
      <c r="CQ117" s="676">
        <f t="shared" si="119"/>
        <v>0</v>
      </c>
      <c r="CR117" s="677">
        <f t="shared" si="120"/>
        <v>0</v>
      </c>
      <c r="CS117" s="677">
        <f t="shared" si="163"/>
        <v>0</v>
      </c>
      <c r="CT117" s="678">
        <f t="shared" si="164"/>
        <v>0</v>
      </c>
      <c r="CU117" s="679">
        <f t="shared" si="165"/>
        <v>0</v>
      </c>
      <c r="CV117" s="685"/>
      <c r="CW117" s="681"/>
      <c r="CX117" s="682"/>
      <c r="CY117" s="682"/>
      <c r="CZ117" s="683"/>
      <c r="DA117" s="684"/>
      <c r="DB117" s="685"/>
      <c r="DC117" s="681"/>
      <c r="DD117" s="682"/>
      <c r="DE117" s="682"/>
      <c r="DF117" s="683"/>
      <c r="DG117" s="684"/>
      <c r="DH117" s="685"/>
      <c r="DI117" s="681"/>
      <c r="DJ117" s="682"/>
      <c r="DK117" s="682"/>
      <c r="DL117" s="683"/>
      <c r="DM117" s="684"/>
      <c r="DN117" s="685"/>
      <c r="DO117" s="681"/>
      <c r="DP117" s="682"/>
      <c r="DQ117" s="682"/>
      <c r="DR117" s="683"/>
      <c r="DS117" s="684"/>
      <c r="DT117" s="675"/>
      <c r="DU117" s="676">
        <f t="shared" si="121"/>
        <v>0</v>
      </c>
      <c r="DV117" s="677">
        <f t="shared" si="122"/>
        <v>0</v>
      </c>
      <c r="DW117" s="677">
        <f t="shared" si="166"/>
        <v>0</v>
      </c>
      <c r="DX117" s="678">
        <f t="shared" si="167"/>
        <v>0</v>
      </c>
      <c r="DY117" s="679">
        <f t="shared" si="168"/>
        <v>0</v>
      </c>
      <c r="DZ117" s="680"/>
      <c r="EA117" s="681"/>
      <c r="EB117" s="682"/>
      <c r="EC117" s="682"/>
      <c r="ED117" s="683"/>
      <c r="EE117" s="684"/>
      <c r="EF117" s="680"/>
      <c r="EG117" s="681"/>
      <c r="EH117" s="682"/>
      <c r="EI117" s="682"/>
      <c r="EJ117" s="683"/>
      <c r="EK117" s="684"/>
      <c r="EL117" s="680"/>
      <c r="EM117" s="681"/>
      <c r="EN117" s="682"/>
      <c r="EO117" s="682"/>
      <c r="EP117" s="683"/>
      <c r="EQ117" s="684"/>
      <c r="ER117" s="680"/>
      <c r="ES117" s="681"/>
      <c r="ET117" s="682"/>
      <c r="EU117" s="682"/>
      <c r="EV117" s="683"/>
      <c r="EW117" s="684"/>
      <c r="EX117" s="675"/>
      <c r="EY117" s="676">
        <f t="shared" si="123"/>
        <v>0</v>
      </c>
      <c r="EZ117" s="677">
        <f t="shared" si="124"/>
        <v>0</v>
      </c>
      <c r="FA117" s="677">
        <f t="shared" si="169"/>
        <v>0</v>
      </c>
      <c r="FB117" s="678">
        <f t="shared" si="170"/>
        <v>0</v>
      </c>
      <c r="FC117" s="679">
        <f t="shared" si="171"/>
        <v>0</v>
      </c>
      <c r="FD117" s="680"/>
      <c r="FE117" s="681"/>
      <c r="FF117" s="682"/>
      <c r="FG117" s="682"/>
      <c r="FH117" s="683"/>
      <c r="FI117" s="684"/>
      <c r="FJ117" s="680"/>
      <c r="FK117" s="681"/>
      <c r="FL117" s="682"/>
      <c r="FM117" s="682"/>
      <c r="FN117" s="683"/>
      <c r="FO117" s="684"/>
      <c r="FP117" s="680"/>
      <c r="FQ117" s="681"/>
      <c r="FR117" s="682"/>
      <c r="FS117" s="682"/>
      <c r="FT117" s="683"/>
      <c r="FU117" s="684"/>
      <c r="FV117" s="680"/>
      <c r="FW117" s="681"/>
      <c r="FX117" s="682"/>
      <c r="FY117" s="682"/>
      <c r="FZ117" s="683"/>
      <c r="GA117" s="684"/>
      <c r="GB117" s="675"/>
      <c r="GC117" s="676">
        <f t="shared" si="125"/>
        <v>0</v>
      </c>
      <c r="GD117" s="677">
        <f t="shared" si="126"/>
        <v>0</v>
      </c>
      <c r="GE117" s="677">
        <f t="shared" si="172"/>
        <v>0</v>
      </c>
      <c r="GF117" s="678">
        <f t="shared" si="173"/>
        <v>0</v>
      </c>
      <c r="GG117" s="679">
        <f t="shared" si="174"/>
        <v>0</v>
      </c>
      <c r="GH117" s="680"/>
      <c r="GI117" s="681"/>
      <c r="GJ117" s="682"/>
      <c r="GK117" s="682"/>
      <c r="GL117" s="683"/>
      <c r="GM117" s="684"/>
      <c r="GN117" s="680"/>
      <c r="GO117" s="681"/>
      <c r="GP117" s="682"/>
      <c r="GQ117" s="682"/>
      <c r="GR117" s="683"/>
      <c r="GS117" s="684"/>
      <c r="GT117" s="680"/>
      <c r="GU117" s="681"/>
      <c r="GV117" s="682"/>
      <c r="GW117" s="682"/>
      <c r="GX117" s="683"/>
      <c r="GY117" s="684"/>
      <c r="GZ117" s="680"/>
      <c r="HA117" s="147"/>
      <c r="HB117" s="148"/>
      <c r="HC117" s="148"/>
      <c r="HD117" s="149"/>
      <c r="HE117" s="150"/>
      <c r="HF117" s="506"/>
      <c r="HG117" s="502"/>
      <c r="HH117" s="502"/>
      <c r="HI117" s="502"/>
      <c r="HJ117" s="8"/>
    </row>
    <row r="118" spans="2:218" ht="21" hidden="1">
      <c r="B118" s="488">
        <v>74</v>
      </c>
      <c r="C118" s="489" t="s">
        <v>400</v>
      </c>
      <c r="D118" s="490" t="s">
        <v>215</v>
      </c>
      <c r="E118" s="491" t="s">
        <v>855</v>
      </c>
      <c r="F118" s="492"/>
      <c r="G118" s="493"/>
      <c r="H118" s="146" t="s">
        <v>97</v>
      </c>
      <c r="I118" s="494" t="str">
        <f t="shared" si="92"/>
        <v>n.v.t.</v>
      </c>
      <c r="J118" s="495"/>
      <c r="K118" s="151">
        <v>0</v>
      </c>
      <c r="L118" s="256"/>
      <c r="M118" s="256">
        <f>IF($C$5&lt;3000,(Bron!H107*$C$5/$C$6)+Bron!I107,(Bron!M107*$C$5/$C$6)+Bron!N107)</f>
        <v>49922.879999999997</v>
      </c>
      <c r="N118" s="496">
        <f t="shared" si="90"/>
        <v>7100.2399999999989</v>
      </c>
      <c r="O118" s="497">
        <f t="shared" si="91"/>
        <v>7.0311538764886832</v>
      </c>
      <c r="P118" s="257">
        <f>IF($C$5&lt;3000,$AN$32*Bron!J107,$AN$32*Bron!O107)/$C$6</f>
        <v>0</v>
      </c>
      <c r="Q118" s="257">
        <f>IF($C$5&lt;3000,$AN$31*Bron!K107,$AN$31*Bron!P107)</f>
        <v>0</v>
      </c>
      <c r="R118" s="257">
        <f>IF($C$5&lt;3000,$AN$33*Bron!J107,$AN$33*Bron!O107)/$C$6</f>
        <v>143.14999999999998</v>
      </c>
      <c r="S118" s="344"/>
      <c r="T118" s="258">
        <f t="shared" si="93"/>
        <v>0</v>
      </c>
      <c r="U118" s="259">
        <f t="shared" si="94"/>
        <v>0</v>
      </c>
      <c r="V118" s="675"/>
      <c r="W118" s="676">
        <f t="shared" si="95"/>
        <v>0</v>
      </c>
      <c r="X118" s="677">
        <f t="shared" si="96"/>
        <v>0</v>
      </c>
      <c r="Y118" s="677">
        <f t="shared" si="127"/>
        <v>0</v>
      </c>
      <c r="Z118" s="678">
        <f t="shared" si="128"/>
        <v>0</v>
      </c>
      <c r="AA118" s="679">
        <f t="shared" si="129"/>
        <v>0</v>
      </c>
      <c r="AB118" s="675"/>
      <c r="AC118" s="676">
        <f t="shared" si="97"/>
        <v>0</v>
      </c>
      <c r="AD118" s="677">
        <f t="shared" si="98"/>
        <v>0</v>
      </c>
      <c r="AE118" s="677">
        <f t="shared" si="130"/>
        <v>0</v>
      </c>
      <c r="AF118" s="678">
        <f t="shared" si="131"/>
        <v>0</v>
      </c>
      <c r="AG118" s="679">
        <f t="shared" si="132"/>
        <v>0</v>
      </c>
      <c r="AH118" s="675"/>
      <c r="AI118" s="676">
        <f t="shared" si="99"/>
        <v>0</v>
      </c>
      <c r="AJ118" s="677">
        <f t="shared" si="100"/>
        <v>0</v>
      </c>
      <c r="AK118" s="677">
        <f t="shared" si="133"/>
        <v>0</v>
      </c>
      <c r="AL118" s="678">
        <f t="shared" si="134"/>
        <v>0</v>
      </c>
      <c r="AM118" s="679">
        <f t="shared" si="135"/>
        <v>0</v>
      </c>
      <c r="AN118" s="675"/>
      <c r="AO118" s="676">
        <f t="shared" si="101"/>
        <v>0</v>
      </c>
      <c r="AP118" s="677">
        <f t="shared" si="102"/>
        <v>0</v>
      </c>
      <c r="AQ118" s="677">
        <f t="shared" si="136"/>
        <v>0</v>
      </c>
      <c r="AR118" s="678">
        <f t="shared" si="137"/>
        <v>0</v>
      </c>
      <c r="AS118" s="679">
        <f t="shared" si="138"/>
        <v>0</v>
      </c>
      <c r="AT118" s="675"/>
      <c r="AU118" s="676">
        <f t="shared" si="103"/>
        <v>0</v>
      </c>
      <c r="AV118" s="677">
        <f t="shared" si="104"/>
        <v>0</v>
      </c>
      <c r="AW118" s="677">
        <f t="shared" si="139"/>
        <v>0</v>
      </c>
      <c r="AX118" s="678">
        <f t="shared" si="140"/>
        <v>0</v>
      </c>
      <c r="AY118" s="679">
        <f t="shared" si="141"/>
        <v>0</v>
      </c>
      <c r="AZ118" s="675"/>
      <c r="BA118" s="676">
        <f t="shared" si="105"/>
        <v>0</v>
      </c>
      <c r="BB118" s="677">
        <f t="shared" si="106"/>
        <v>0</v>
      </c>
      <c r="BC118" s="677">
        <f t="shared" si="142"/>
        <v>0</v>
      </c>
      <c r="BD118" s="678">
        <f t="shared" si="143"/>
        <v>0</v>
      </c>
      <c r="BE118" s="679">
        <f t="shared" si="144"/>
        <v>0</v>
      </c>
      <c r="BF118" s="675"/>
      <c r="BG118" s="676">
        <f t="shared" si="107"/>
        <v>0</v>
      </c>
      <c r="BH118" s="677">
        <f t="shared" si="108"/>
        <v>0</v>
      </c>
      <c r="BI118" s="677">
        <f t="shared" si="145"/>
        <v>0</v>
      </c>
      <c r="BJ118" s="678">
        <f t="shared" si="146"/>
        <v>0</v>
      </c>
      <c r="BK118" s="679">
        <f t="shared" si="147"/>
        <v>0</v>
      </c>
      <c r="BL118" s="675"/>
      <c r="BM118" s="676">
        <f t="shared" si="109"/>
        <v>0</v>
      </c>
      <c r="BN118" s="677">
        <f t="shared" si="110"/>
        <v>0</v>
      </c>
      <c r="BO118" s="677">
        <f t="shared" si="148"/>
        <v>0</v>
      </c>
      <c r="BP118" s="678">
        <f t="shared" si="149"/>
        <v>0</v>
      </c>
      <c r="BQ118" s="679">
        <f t="shared" si="150"/>
        <v>0</v>
      </c>
      <c r="BR118" s="675"/>
      <c r="BS118" s="676">
        <f t="shared" si="111"/>
        <v>0</v>
      </c>
      <c r="BT118" s="677">
        <f t="shared" si="112"/>
        <v>0</v>
      </c>
      <c r="BU118" s="677">
        <f t="shared" si="151"/>
        <v>0</v>
      </c>
      <c r="BV118" s="678">
        <f t="shared" si="152"/>
        <v>0</v>
      </c>
      <c r="BW118" s="679">
        <f t="shared" si="153"/>
        <v>0</v>
      </c>
      <c r="BX118" s="675"/>
      <c r="BY118" s="676">
        <f t="shared" si="113"/>
        <v>0</v>
      </c>
      <c r="BZ118" s="677">
        <f t="shared" si="114"/>
        <v>0</v>
      </c>
      <c r="CA118" s="677">
        <f t="shared" si="154"/>
        <v>0</v>
      </c>
      <c r="CB118" s="678">
        <f t="shared" si="155"/>
        <v>0</v>
      </c>
      <c r="CC118" s="679">
        <f t="shared" si="156"/>
        <v>0</v>
      </c>
      <c r="CD118" s="675"/>
      <c r="CE118" s="676">
        <f t="shared" si="115"/>
        <v>0</v>
      </c>
      <c r="CF118" s="677">
        <f t="shared" si="116"/>
        <v>0</v>
      </c>
      <c r="CG118" s="677">
        <f t="shared" si="157"/>
        <v>0</v>
      </c>
      <c r="CH118" s="678">
        <f t="shared" si="158"/>
        <v>0</v>
      </c>
      <c r="CI118" s="679">
        <f t="shared" si="159"/>
        <v>0</v>
      </c>
      <c r="CJ118" s="675"/>
      <c r="CK118" s="676">
        <f t="shared" si="117"/>
        <v>0</v>
      </c>
      <c r="CL118" s="677">
        <f t="shared" si="118"/>
        <v>0</v>
      </c>
      <c r="CM118" s="677">
        <f t="shared" si="160"/>
        <v>0</v>
      </c>
      <c r="CN118" s="678">
        <f t="shared" si="161"/>
        <v>0</v>
      </c>
      <c r="CO118" s="679">
        <f t="shared" si="162"/>
        <v>0</v>
      </c>
      <c r="CP118" s="675"/>
      <c r="CQ118" s="676">
        <f t="shared" si="119"/>
        <v>0</v>
      </c>
      <c r="CR118" s="677">
        <f t="shared" si="120"/>
        <v>0</v>
      </c>
      <c r="CS118" s="677">
        <f t="shared" si="163"/>
        <v>0</v>
      </c>
      <c r="CT118" s="678">
        <f t="shared" si="164"/>
        <v>0</v>
      </c>
      <c r="CU118" s="679">
        <f t="shared" si="165"/>
        <v>0</v>
      </c>
      <c r="CV118" s="685"/>
      <c r="CW118" s="681"/>
      <c r="CX118" s="682"/>
      <c r="CY118" s="682"/>
      <c r="CZ118" s="683"/>
      <c r="DA118" s="684"/>
      <c r="DB118" s="685"/>
      <c r="DC118" s="681"/>
      <c r="DD118" s="682"/>
      <c r="DE118" s="682"/>
      <c r="DF118" s="683"/>
      <c r="DG118" s="684"/>
      <c r="DH118" s="685"/>
      <c r="DI118" s="681"/>
      <c r="DJ118" s="682"/>
      <c r="DK118" s="682"/>
      <c r="DL118" s="683"/>
      <c r="DM118" s="684"/>
      <c r="DN118" s="685"/>
      <c r="DO118" s="681"/>
      <c r="DP118" s="682"/>
      <c r="DQ118" s="682"/>
      <c r="DR118" s="683"/>
      <c r="DS118" s="684"/>
      <c r="DT118" s="675"/>
      <c r="DU118" s="676">
        <f t="shared" si="121"/>
        <v>0</v>
      </c>
      <c r="DV118" s="677">
        <f t="shared" si="122"/>
        <v>0</v>
      </c>
      <c r="DW118" s="677">
        <f t="shared" si="166"/>
        <v>0</v>
      </c>
      <c r="DX118" s="678">
        <f t="shared" si="167"/>
        <v>0</v>
      </c>
      <c r="DY118" s="679">
        <f t="shared" si="168"/>
        <v>0</v>
      </c>
      <c r="DZ118" s="680"/>
      <c r="EA118" s="681"/>
      <c r="EB118" s="682"/>
      <c r="EC118" s="682"/>
      <c r="ED118" s="683"/>
      <c r="EE118" s="684"/>
      <c r="EF118" s="680"/>
      <c r="EG118" s="681"/>
      <c r="EH118" s="682"/>
      <c r="EI118" s="682"/>
      <c r="EJ118" s="683"/>
      <c r="EK118" s="684"/>
      <c r="EL118" s="680"/>
      <c r="EM118" s="681"/>
      <c r="EN118" s="682"/>
      <c r="EO118" s="682"/>
      <c r="EP118" s="683"/>
      <c r="EQ118" s="684"/>
      <c r="ER118" s="680"/>
      <c r="ES118" s="681"/>
      <c r="ET118" s="682"/>
      <c r="EU118" s="682"/>
      <c r="EV118" s="683"/>
      <c r="EW118" s="684"/>
      <c r="EX118" s="675"/>
      <c r="EY118" s="676">
        <f t="shared" si="123"/>
        <v>0</v>
      </c>
      <c r="EZ118" s="677">
        <f t="shared" si="124"/>
        <v>0</v>
      </c>
      <c r="FA118" s="677">
        <f t="shared" si="169"/>
        <v>0</v>
      </c>
      <c r="FB118" s="678">
        <f t="shared" si="170"/>
        <v>0</v>
      </c>
      <c r="FC118" s="679">
        <f t="shared" si="171"/>
        <v>0</v>
      </c>
      <c r="FD118" s="680"/>
      <c r="FE118" s="681"/>
      <c r="FF118" s="682"/>
      <c r="FG118" s="682"/>
      <c r="FH118" s="683"/>
      <c r="FI118" s="684"/>
      <c r="FJ118" s="680"/>
      <c r="FK118" s="681"/>
      <c r="FL118" s="682"/>
      <c r="FM118" s="682"/>
      <c r="FN118" s="683"/>
      <c r="FO118" s="684"/>
      <c r="FP118" s="680"/>
      <c r="FQ118" s="681"/>
      <c r="FR118" s="682"/>
      <c r="FS118" s="682"/>
      <c r="FT118" s="683"/>
      <c r="FU118" s="684"/>
      <c r="FV118" s="680"/>
      <c r="FW118" s="681"/>
      <c r="FX118" s="682"/>
      <c r="FY118" s="682"/>
      <c r="FZ118" s="683"/>
      <c r="GA118" s="684"/>
      <c r="GB118" s="675"/>
      <c r="GC118" s="676">
        <f t="shared" si="125"/>
        <v>0</v>
      </c>
      <c r="GD118" s="677">
        <f t="shared" si="126"/>
        <v>0</v>
      </c>
      <c r="GE118" s="677">
        <f t="shared" si="172"/>
        <v>0</v>
      </c>
      <c r="GF118" s="678">
        <f t="shared" si="173"/>
        <v>0</v>
      </c>
      <c r="GG118" s="679">
        <f t="shared" si="174"/>
        <v>0</v>
      </c>
      <c r="GH118" s="680"/>
      <c r="GI118" s="681"/>
      <c r="GJ118" s="682"/>
      <c r="GK118" s="682"/>
      <c r="GL118" s="683"/>
      <c r="GM118" s="684"/>
      <c r="GN118" s="680"/>
      <c r="GO118" s="681"/>
      <c r="GP118" s="682"/>
      <c r="GQ118" s="682"/>
      <c r="GR118" s="683"/>
      <c r="GS118" s="684"/>
      <c r="GT118" s="680"/>
      <c r="GU118" s="681"/>
      <c r="GV118" s="682"/>
      <c r="GW118" s="682"/>
      <c r="GX118" s="683"/>
      <c r="GY118" s="684"/>
      <c r="GZ118" s="680"/>
      <c r="HA118" s="147"/>
      <c r="HB118" s="148"/>
      <c r="HC118" s="148"/>
      <c r="HD118" s="149"/>
      <c r="HE118" s="150"/>
      <c r="HF118" s="506"/>
      <c r="HG118" s="502"/>
      <c r="HH118" s="502"/>
      <c r="HI118" s="502"/>
      <c r="HJ118" s="8"/>
    </row>
    <row r="119" spans="2:218" ht="21" hidden="1">
      <c r="B119" s="488">
        <v>75</v>
      </c>
      <c r="C119" s="489" t="s">
        <v>400</v>
      </c>
      <c r="D119" s="490" t="s">
        <v>216</v>
      </c>
      <c r="E119" s="491" t="s">
        <v>217</v>
      </c>
      <c r="F119" s="492"/>
      <c r="G119" s="493"/>
      <c r="H119" s="146" t="s">
        <v>97</v>
      </c>
      <c r="I119" s="494" t="str">
        <f t="shared" si="92"/>
        <v>n.v.t.</v>
      </c>
      <c r="J119" s="495"/>
      <c r="K119" s="151">
        <v>1</v>
      </c>
      <c r="L119" s="256"/>
      <c r="M119" s="256">
        <f>IF($C$5&lt;3000,(Bron!H108*$C$5)+Bron!I108,(Bron!M108*$C$5)+Bron!N108)</f>
        <v>43411.199999999997</v>
      </c>
      <c r="N119" s="496">
        <f t="shared" si="90"/>
        <v>7303.1039999999994</v>
      </c>
      <c r="O119" s="497">
        <f t="shared" si="91"/>
        <v>5.9442122144227989</v>
      </c>
      <c r="P119" s="257">
        <f>IF($C$5&lt;3000,$AN$32*Bron!J108,$AN$32*Bron!O108)</f>
        <v>0</v>
      </c>
      <c r="Q119" s="257">
        <f>IF($C$5&lt;3000,$AN$31*Bron!K108,$AN$31*Bron!P108)</f>
        <v>0</v>
      </c>
      <c r="R119" s="257">
        <f>IF($C$5&lt;3000,$AN$33*Bron!J108,$AN$33*Bron!O108)</f>
        <v>147.23999999999998</v>
      </c>
      <c r="S119" s="344"/>
      <c r="T119" s="258">
        <f t="shared" si="93"/>
        <v>1</v>
      </c>
      <c r="U119" s="259">
        <f t="shared" si="94"/>
        <v>0</v>
      </c>
      <c r="V119" s="675"/>
      <c r="W119" s="676">
        <f t="shared" si="95"/>
        <v>0</v>
      </c>
      <c r="X119" s="677">
        <f t="shared" si="96"/>
        <v>0</v>
      </c>
      <c r="Y119" s="677">
        <f t="shared" si="127"/>
        <v>0</v>
      </c>
      <c r="Z119" s="678">
        <f t="shared" si="128"/>
        <v>0</v>
      </c>
      <c r="AA119" s="679">
        <f t="shared" si="129"/>
        <v>0</v>
      </c>
      <c r="AB119" s="675"/>
      <c r="AC119" s="676">
        <f t="shared" si="97"/>
        <v>0</v>
      </c>
      <c r="AD119" s="677">
        <f t="shared" si="98"/>
        <v>0</v>
      </c>
      <c r="AE119" s="677">
        <f t="shared" si="130"/>
        <v>0</v>
      </c>
      <c r="AF119" s="678">
        <f t="shared" si="131"/>
        <v>0</v>
      </c>
      <c r="AG119" s="679">
        <f t="shared" si="132"/>
        <v>0</v>
      </c>
      <c r="AH119" s="675"/>
      <c r="AI119" s="676">
        <f t="shared" si="99"/>
        <v>0</v>
      </c>
      <c r="AJ119" s="677">
        <f t="shared" si="100"/>
        <v>0</v>
      </c>
      <c r="AK119" s="677">
        <f t="shared" si="133"/>
        <v>0</v>
      </c>
      <c r="AL119" s="678">
        <f t="shared" si="134"/>
        <v>0</v>
      </c>
      <c r="AM119" s="679">
        <f t="shared" si="135"/>
        <v>0</v>
      </c>
      <c r="AN119" s="675"/>
      <c r="AO119" s="676">
        <f t="shared" si="101"/>
        <v>0</v>
      </c>
      <c r="AP119" s="677">
        <f t="shared" si="102"/>
        <v>0</v>
      </c>
      <c r="AQ119" s="677">
        <f t="shared" si="136"/>
        <v>0</v>
      </c>
      <c r="AR119" s="678">
        <f t="shared" si="137"/>
        <v>0</v>
      </c>
      <c r="AS119" s="679">
        <f t="shared" si="138"/>
        <v>0</v>
      </c>
      <c r="AT119" s="675"/>
      <c r="AU119" s="676">
        <f t="shared" si="103"/>
        <v>0</v>
      </c>
      <c r="AV119" s="677">
        <f t="shared" si="104"/>
        <v>0</v>
      </c>
      <c r="AW119" s="677">
        <f t="shared" si="139"/>
        <v>0</v>
      </c>
      <c r="AX119" s="678">
        <f t="shared" si="140"/>
        <v>0</v>
      </c>
      <c r="AY119" s="679">
        <f t="shared" si="141"/>
        <v>0</v>
      </c>
      <c r="AZ119" s="675"/>
      <c r="BA119" s="676">
        <f t="shared" si="105"/>
        <v>0</v>
      </c>
      <c r="BB119" s="677">
        <f t="shared" si="106"/>
        <v>0</v>
      </c>
      <c r="BC119" s="677">
        <f t="shared" si="142"/>
        <v>0</v>
      </c>
      <c r="BD119" s="678">
        <f t="shared" si="143"/>
        <v>0</v>
      </c>
      <c r="BE119" s="679">
        <f t="shared" si="144"/>
        <v>0</v>
      </c>
      <c r="BF119" s="675"/>
      <c r="BG119" s="676">
        <f t="shared" si="107"/>
        <v>0</v>
      </c>
      <c r="BH119" s="677">
        <f t="shared" si="108"/>
        <v>0</v>
      </c>
      <c r="BI119" s="677">
        <f t="shared" si="145"/>
        <v>0</v>
      </c>
      <c r="BJ119" s="678">
        <f t="shared" si="146"/>
        <v>0</v>
      </c>
      <c r="BK119" s="679">
        <f t="shared" si="147"/>
        <v>0</v>
      </c>
      <c r="BL119" s="675"/>
      <c r="BM119" s="676">
        <f t="shared" si="109"/>
        <v>0</v>
      </c>
      <c r="BN119" s="677">
        <f t="shared" si="110"/>
        <v>0</v>
      </c>
      <c r="BO119" s="677">
        <f t="shared" si="148"/>
        <v>0</v>
      </c>
      <c r="BP119" s="678">
        <f t="shared" si="149"/>
        <v>0</v>
      </c>
      <c r="BQ119" s="679">
        <f t="shared" si="150"/>
        <v>0</v>
      </c>
      <c r="BR119" s="675"/>
      <c r="BS119" s="676">
        <f t="shared" si="111"/>
        <v>0</v>
      </c>
      <c r="BT119" s="677">
        <f t="shared" si="112"/>
        <v>0</v>
      </c>
      <c r="BU119" s="677">
        <f t="shared" si="151"/>
        <v>0</v>
      </c>
      <c r="BV119" s="678">
        <f t="shared" si="152"/>
        <v>0</v>
      </c>
      <c r="BW119" s="679">
        <f t="shared" si="153"/>
        <v>0</v>
      </c>
      <c r="BX119" s="675"/>
      <c r="BY119" s="676">
        <f t="shared" si="113"/>
        <v>0</v>
      </c>
      <c r="BZ119" s="677">
        <f t="shared" si="114"/>
        <v>0</v>
      </c>
      <c r="CA119" s="677">
        <f t="shared" si="154"/>
        <v>0</v>
      </c>
      <c r="CB119" s="678">
        <f t="shared" si="155"/>
        <v>0</v>
      </c>
      <c r="CC119" s="679">
        <f t="shared" si="156"/>
        <v>0</v>
      </c>
      <c r="CD119" s="675"/>
      <c r="CE119" s="676">
        <f t="shared" si="115"/>
        <v>0</v>
      </c>
      <c r="CF119" s="677">
        <f t="shared" si="116"/>
        <v>0</v>
      </c>
      <c r="CG119" s="677">
        <f t="shared" si="157"/>
        <v>0</v>
      </c>
      <c r="CH119" s="678">
        <f t="shared" si="158"/>
        <v>0</v>
      </c>
      <c r="CI119" s="679">
        <f t="shared" si="159"/>
        <v>0</v>
      </c>
      <c r="CJ119" s="675"/>
      <c r="CK119" s="676">
        <f t="shared" si="117"/>
        <v>0</v>
      </c>
      <c r="CL119" s="677">
        <f t="shared" si="118"/>
        <v>0</v>
      </c>
      <c r="CM119" s="677">
        <f t="shared" si="160"/>
        <v>0</v>
      </c>
      <c r="CN119" s="678">
        <f t="shared" si="161"/>
        <v>0</v>
      </c>
      <c r="CO119" s="679">
        <f t="shared" si="162"/>
        <v>0</v>
      </c>
      <c r="CP119" s="675"/>
      <c r="CQ119" s="676">
        <f t="shared" si="119"/>
        <v>0</v>
      </c>
      <c r="CR119" s="677">
        <f t="shared" si="120"/>
        <v>0</v>
      </c>
      <c r="CS119" s="677">
        <f t="shared" si="163"/>
        <v>0</v>
      </c>
      <c r="CT119" s="678">
        <f t="shared" si="164"/>
        <v>0</v>
      </c>
      <c r="CU119" s="679">
        <f t="shared" si="165"/>
        <v>0</v>
      </c>
      <c r="CV119" s="685"/>
      <c r="CW119" s="681"/>
      <c r="CX119" s="682"/>
      <c r="CY119" s="682"/>
      <c r="CZ119" s="683"/>
      <c r="DA119" s="684"/>
      <c r="DB119" s="685"/>
      <c r="DC119" s="681"/>
      <c r="DD119" s="682"/>
      <c r="DE119" s="682"/>
      <c r="DF119" s="683"/>
      <c r="DG119" s="684"/>
      <c r="DH119" s="685"/>
      <c r="DI119" s="681"/>
      <c r="DJ119" s="682"/>
      <c r="DK119" s="682"/>
      <c r="DL119" s="683"/>
      <c r="DM119" s="684"/>
      <c r="DN119" s="685"/>
      <c r="DO119" s="681"/>
      <c r="DP119" s="682"/>
      <c r="DQ119" s="682"/>
      <c r="DR119" s="683"/>
      <c r="DS119" s="684"/>
      <c r="DT119" s="675"/>
      <c r="DU119" s="676">
        <f t="shared" si="121"/>
        <v>0</v>
      </c>
      <c r="DV119" s="677">
        <f t="shared" si="122"/>
        <v>0</v>
      </c>
      <c r="DW119" s="677">
        <f t="shared" si="166"/>
        <v>0</v>
      </c>
      <c r="DX119" s="678">
        <f t="shared" si="167"/>
        <v>0</v>
      </c>
      <c r="DY119" s="679">
        <f t="shared" si="168"/>
        <v>0</v>
      </c>
      <c r="DZ119" s="680"/>
      <c r="EA119" s="681"/>
      <c r="EB119" s="682"/>
      <c r="EC119" s="682"/>
      <c r="ED119" s="683"/>
      <c r="EE119" s="684"/>
      <c r="EF119" s="680"/>
      <c r="EG119" s="681"/>
      <c r="EH119" s="682"/>
      <c r="EI119" s="682"/>
      <c r="EJ119" s="683"/>
      <c r="EK119" s="684"/>
      <c r="EL119" s="680"/>
      <c r="EM119" s="681"/>
      <c r="EN119" s="682"/>
      <c r="EO119" s="682"/>
      <c r="EP119" s="683"/>
      <c r="EQ119" s="684"/>
      <c r="ER119" s="680"/>
      <c r="ES119" s="681"/>
      <c r="ET119" s="682"/>
      <c r="EU119" s="682"/>
      <c r="EV119" s="683"/>
      <c r="EW119" s="684"/>
      <c r="EX119" s="675"/>
      <c r="EY119" s="676">
        <f t="shared" si="123"/>
        <v>0</v>
      </c>
      <c r="EZ119" s="677">
        <f t="shared" si="124"/>
        <v>0</v>
      </c>
      <c r="FA119" s="677">
        <f t="shared" si="169"/>
        <v>0</v>
      </c>
      <c r="FB119" s="678">
        <f t="shared" si="170"/>
        <v>0</v>
      </c>
      <c r="FC119" s="679">
        <f t="shared" si="171"/>
        <v>0</v>
      </c>
      <c r="FD119" s="680"/>
      <c r="FE119" s="681"/>
      <c r="FF119" s="682"/>
      <c r="FG119" s="682"/>
      <c r="FH119" s="683"/>
      <c r="FI119" s="684"/>
      <c r="FJ119" s="680"/>
      <c r="FK119" s="681"/>
      <c r="FL119" s="682"/>
      <c r="FM119" s="682"/>
      <c r="FN119" s="683"/>
      <c r="FO119" s="684"/>
      <c r="FP119" s="680"/>
      <c r="FQ119" s="681"/>
      <c r="FR119" s="682"/>
      <c r="FS119" s="682"/>
      <c r="FT119" s="683"/>
      <c r="FU119" s="684"/>
      <c r="FV119" s="680"/>
      <c r="FW119" s="681"/>
      <c r="FX119" s="682"/>
      <c r="FY119" s="682"/>
      <c r="FZ119" s="683"/>
      <c r="GA119" s="684"/>
      <c r="GB119" s="675"/>
      <c r="GC119" s="676">
        <f t="shared" si="125"/>
        <v>0</v>
      </c>
      <c r="GD119" s="677">
        <f t="shared" si="126"/>
        <v>0</v>
      </c>
      <c r="GE119" s="677">
        <f t="shared" si="172"/>
        <v>0</v>
      </c>
      <c r="GF119" s="678">
        <f t="shared" si="173"/>
        <v>0</v>
      </c>
      <c r="GG119" s="679">
        <f t="shared" si="174"/>
        <v>0</v>
      </c>
      <c r="GH119" s="680"/>
      <c r="GI119" s="681"/>
      <c r="GJ119" s="682"/>
      <c r="GK119" s="682"/>
      <c r="GL119" s="683"/>
      <c r="GM119" s="684"/>
      <c r="GN119" s="680"/>
      <c r="GO119" s="681"/>
      <c r="GP119" s="682"/>
      <c r="GQ119" s="682"/>
      <c r="GR119" s="683"/>
      <c r="GS119" s="684"/>
      <c r="GT119" s="680"/>
      <c r="GU119" s="681"/>
      <c r="GV119" s="682"/>
      <c r="GW119" s="682"/>
      <c r="GX119" s="683"/>
      <c r="GY119" s="684"/>
      <c r="GZ119" s="680"/>
      <c r="HA119" s="147"/>
      <c r="HB119" s="148"/>
      <c r="HC119" s="148"/>
      <c r="HD119" s="149"/>
      <c r="HE119" s="150"/>
      <c r="HF119" s="506"/>
      <c r="HG119" s="502"/>
      <c r="HH119" s="502"/>
      <c r="HI119" s="502"/>
      <c r="HJ119" s="8"/>
    </row>
    <row r="120" spans="2:218" ht="21" hidden="1">
      <c r="B120" s="488">
        <v>76</v>
      </c>
      <c r="C120" s="489" t="s">
        <v>400</v>
      </c>
      <c r="D120" s="490" t="s">
        <v>218</v>
      </c>
      <c r="E120" s="491" t="s">
        <v>219</v>
      </c>
      <c r="F120" s="492"/>
      <c r="G120" s="493"/>
      <c r="H120" s="146" t="s">
        <v>97</v>
      </c>
      <c r="I120" s="494" t="str">
        <f t="shared" si="92"/>
        <v>n.v.t.</v>
      </c>
      <c r="J120" s="495"/>
      <c r="K120" s="151">
        <v>0</v>
      </c>
      <c r="L120" s="256"/>
      <c r="M120" s="256">
        <f>IF($C$5&lt;3000,(Bron!H109*$C$5)+Bron!I109,(Bron!M109*$C$5)+Bron!N109)</f>
        <v>43411.199999999997</v>
      </c>
      <c r="N120" s="496">
        <f t="shared" si="90"/>
        <v>4463.0080000000007</v>
      </c>
      <c r="O120" s="497">
        <f t="shared" si="91"/>
        <v>9.7268927145100328</v>
      </c>
      <c r="P120" s="257">
        <f>IF($C$5&lt;3000,$AN$32*Bron!J109,$AN$32*Bron!O109)</f>
        <v>0</v>
      </c>
      <c r="Q120" s="257"/>
      <c r="R120" s="257">
        <f>IF($C$5&lt;3000,$AN$33*Bron!J109,$AN$33*Bron!O109)</f>
        <v>89.98</v>
      </c>
      <c r="S120" s="344"/>
      <c r="T120" s="258">
        <f t="shared" si="93"/>
        <v>0</v>
      </c>
      <c r="U120" s="259">
        <f t="shared" si="94"/>
        <v>0</v>
      </c>
      <c r="V120" s="675"/>
      <c r="W120" s="676">
        <f t="shared" si="95"/>
        <v>0</v>
      </c>
      <c r="X120" s="677">
        <f t="shared" si="96"/>
        <v>0</v>
      </c>
      <c r="Y120" s="677">
        <f t="shared" si="127"/>
        <v>0</v>
      </c>
      <c r="Z120" s="678">
        <f t="shared" si="128"/>
        <v>0</v>
      </c>
      <c r="AA120" s="679">
        <f t="shared" si="129"/>
        <v>0</v>
      </c>
      <c r="AB120" s="675"/>
      <c r="AC120" s="676">
        <f t="shared" si="97"/>
        <v>0</v>
      </c>
      <c r="AD120" s="677">
        <f t="shared" si="98"/>
        <v>0</v>
      </c>
      <c r="AE120" s="677">
        <f t="shared" si="130"/>
        <v>0</v>
      </c>
      <c r="AF120" s="678">
        <f t="shared" si="131"/>
        <v>0</v>
      </c>
      <c r="AG120" s="679">
        <f t="shared" si="132"/>
        <v>0</v>
      </c>
      <c r="AH120" s="675"/>
      <c r="AI120" s="676">
        <f t="shared" si="99"/>
        <v>0</v>
      </c>
      <c r="AJ120" s="677">
        <f t="shared" si="100"/>
        <v>0</v>
      </c>
      <c r="AK120" s="677">
        <f t="shared" si="133"/>
        <v>0</v>
      </c>
      <c r="AL120" s="678">
        <f t="shared" si="134"/>
        <v>0</v>
      </c>
      <c r="AM120" s="679">
        <f t="shared" si="135"/>
        <v>0</v>
      </c>
      <c r="AN120" s="675"/>
      <c r="AO120" s="676">
        <f t="shared" si="101"/>
        <v>0</v>
      </c>
      <c r="AP120" s="677">
        <f t="shared" si="102"/>
        <v>0</v>
      </c>
      <c r="AQ120" s="677">
        <f t="shared" si="136"/>
        <v>0</v>
      </c>
      <c r="AR120" s="678">
        <f t="shared" si="137"/>
        <v>0</v>
      </c>
      <c r="AS120" s="679">
        <f t="shared" si="138"/>
        <v>0</v>
      </c>
      <c r="AT120" s="675"/>
      <c r="AU120" s="676">
        <f t="shared" si="103"/>
        <v>0</v>
      </c>
      <c r="AV120" s="677">
        <f t="shared" si="104"/>
        <v>0</v>
      </c>
      <c r="AW120" s="677">
        <f t="shared" si="139"/>
        <v>0</v>
      </c>
      <c r="AX120" s="678">
        <f t="shared" si="140"/>
        <v>0</v>
      </c>
      <c r="AY120" s="679">
        <f t="shared" si="141"/>
        <v>0</v>
      </c>
      <c r="AZ120" s="675"/>
      <c r="BA120" s="676">
        <f t="shared" si="105"/>
        <v>0</v>
      </c>
      <c r="BB120" s="677">
        <f t="shared" si="106"/>
        <v>0</v>
      </c>
      <c r="BC120" s="677">
        <f t="shared" si="142"/>
        <v>0</v>
      </c>
      <c r="BD120" s="678">
        <f t="shared" si="143"/>
        <v>0</v>
      </c>
      <c r="BE120" s="679">
        <f t="shared" si="144"/>
        <v>0</v>
      </c>
      <c r="BF120" s="675"/>
      <c r="BG120" s="676">
        <f t="shared" si="107"/>
        <v>0</v>
      </c>
      <c r="BH120" s="677">
        <f t="shared" si="108"/>
        <v>0</v>
      </c>
      <c r="BI120" s="677">
        <f t="shared" si="145"/>
        <v>0</v>
      </c>
      <c r="BJ120" s="678">
        <f t="shared" si="146"/>
        <v>0</v>
      </c>
      <c r="BK120" s="679">
        <f t="shared" si="147"/>
        <v>0</v>
      </c>
      <c r="BL120" s="675"/>
      <c r="BM120" s="676">
        <f t="shared" si="109"/>
        <v>0</v>
      </c>
      <c r="BN120" s="677">
        <f t="shared" si="110"/>
        <v>0</v>
      </c>
      <c r="BO120" s="677">
        <f t="shared" si="148"/>
        <v>0</v>
      </c>
      <c r="BP120" s="678">
        <f t="shared" si="149"/>
        <v>0</v>
      </c>
      <c r="BQ120" s="679">
        <f t="shared" si="150"/>
        <v>0</v>
      </c>
      <c r="BR120" s="675"/>
      <c r="BS120" s="676">
        <f t="shared" si="111"/>
        <v>0</v>
      </c>
      <c r="BT120" s="677">
        <f t="shared" si="112"/>
        <v>0</v>
      </c>
      <c r="BU120" s="677">
        <f t="shared" si="151"/>
        <v>0</v>
      </c>
      <c r="BV120" s="678">
        <f t="shared" si="152"/>
        <v>0</v>
      </c>
      <c r="BW120" s="679">
        <f t="shared" si="153"/>
        <v>0</v>
      </c>
      <c r="BX120" s="675"/>
      <c r="BY120" s="676">
        <f t="shared" si="113"/>
        <v>0</v>
      </c>
      <c r="BZ120" s="677">
        <f t="shared" si="114"/>
        <v>0</v>
      </c>
      <c r="CA120" s="677">
        <f t="shared" si="154"/>
        <v>0</v>
      </c>
      <c r="CB120" s="678">
        <f t="shared" si="155"/>
        <v>0</v>
      </c>
      <c r="CC120" s="679">
        <f t="shared" si="156"/>
        <v>0</v>
      </c>
      <c r="CD120" s="675"/>
      <c r="CE120" s="676">
        <f t="shared" si="115"/>
        <v>0</v>
      </c>
      <c r="CF120" s="677">
        <f t="shared" si="116"/>
        <v>0</v>
      </c>
      <c r="CG120" s="677">
        <f t="shared" si="157"/>
        <v>0</v>
      </c>
      <c r="CH120" s="678">
        <f t="shared" si="158"/>
        <v>0</v>
      </c>
      <c r="CI120" s="679">
        <f t="shared" si="159"/>
        <v>0</v>
      </c>
      <c r="CJ120" s="675"/>
      <c r="CK120" s="676">
        <f t="shared" si="117"/>
        <v>0</v>
      </c>
      <c r="CL120" s="677">
        <f t="shared" si="118"/>
        <v>0</v>
      </c>
      <c r="CM120" s="677">
        <f t="shared" si="160"/>
        <v>0</v>
      </c>
      <c r="CN120" s="678">
        <f t="shared" si="161"/>
        <v>0</v>
      </c>
      <c r="CO120" s="679">
        <f t="shared" si="162"/>
        <v>0</v>
      </c>
      <c r="CP120" s="675"/>
      <c r="CQ120" s="676">
        <f t="shared" si="119"/>
        <v>0</v>
      </c>
      <c r="CR120" s="677">
        <f t="shared" si="120"/>
        <v>0</v>
      </c>
      <c r="CS120" s="677">
        <f t="shared" si="163"/>
        <v>0</v>
      </c>
      <c r="CT120" s="678">
        <f t="shared" si="164"/>
        <v>0</v>
      </c>
      <c r="CU120" s="679">
        <f t="shared" si="165"/>
        <v>0</v>
      </c>
      <c r="CV120" s="685"/>
      <c r="CW120" s="681"/>
      <c r="CX120" s="682"/>
      <c r="CY120" s="682"/>
      <c r="CZ120" s="683"/>
      <c r="DA120" s="684"/>
      <c r="DB120" s="685"/>
      <c r="DC120" s="681"/>
      <c r="DD120" s="682"/>
      <c r="DE120" s="682"/>
      <c r="DF120" s="683"/>
      <c r="DG120" s="684"/>
      <c r="DH120" s="685"/>
      <c r="DI120" s="681"/>
      <c r="DJ120" s="682"/>
      <c r="DK120" s="682"/>
      <c r="DL120" s="683"/>
      <c r="DM120" s="684"/>
      <c r="DN120" s="685"/>
      <c r="DO120" s="681"/>
      <c r="DP120" s="682"/>
      <c r="DQ120" s="682"/>
      <c r="DR120" s="683"/>
      <c r="DS120" s="684"/>
      <c r="DT120" s="675"/>
      <c r="DU120" s="676">
        <f t="shared" si="121"/>
        <v>0</v>
      </c>
      <c r="DV120" s="677">
        <f t="shared" si="122"/>
        <v>0</v>
      </c>
      <c r="DW120" s="677">
        <f t="shared" si="166"/>
        <v>0</v>
      </c>
      <c r="DX120" s="678">
        <f t="shared" si="167"/>
        <v>0</v>
      </c>
      <c r="DY120" s="679">
        <f t="shared" si="168"/>
        <v>0</v>
      </c>
      <c r="DZ120" s="680"/>
      <c r="EA120" s="681"/>
      <c r="EB120" s="682"/>
      <c r="EC120" s="682"/>
      <c r="ED120" s="683"/>
      <c r="EE120" s="684"/>
      <c r="EF120" s="680"/>
      <c r="EG120" s="681"/>
      <c r="EH120" s="682"/>
      <c r="EI120" s="682"/>
      <c r="EJ120" s="683"/>
      <c r="EK120" s="684"/>
      <c r="EL120" s="680"/>
      <c r="EM120" s="681"/>
      <c r="EN120" s="682"/>
      <c r="EO120" s="682"/>
      <c r="EP120" s="683"/>
      <c r="EQ120" s="684"/>
      <c r="ER120" s="680"/>
      <c r="ES120" s="681"/>
      <c r="ET120" s="682"/>
      <c r="EU120" s="682"/>
      <c r="EV120" s="683"/>
      <c r="EW120" s="684"/>
      <c r="EX120" s="675"/>
      <c r="EY120" s="676">
        <f t="shared" si="123"/>
        <v>0</v>
      </c>
      <c r="EZ120" s="677">
        <f t="shared" si="124"/>
        <v>0</v>
      </c>
      <c r="FA120" s="677">
        <f t="shared" si="169"/>
        <v>0</v>
      </c>
      <c r="FB120" s="678">
        <f t="shared" si="170"/>
        <v>0</v>
      </c>
      <c r="FC120" s="679">
        <f t="shared" si="171"/>
        <v>0</v>
      </c>
      <c r="FD120" s="680"/>
      <c r="FE120" s="681"/>
      <c r="FF120" s="682"/>
      <c r="FG120" s="682"/>
      <c r="FH120" s="683"/>
      <c r="FI120" s="684"/>
      <c r="FJ120" s="680"/>
      <c r="FK120" s="681"/>
      <c r="FL120" s="682"/>
      <c r="FM120" s="682"/>
      <c r="FN120" s="683"/>
      <c r="FO120" s="684"/>
      <c r="FP120" s="680"/>
      <c r="FQ120" s="681"/>
      <c r="FR120" s="682"/>
      <c r="FS120" s="682"/>
      <c r="FT120" s="683"/>
      <c r="FU120" s="684"/>
      <c r="FV120" s="680"/>
      <c r="FW120" s="681"/>
      <c r="FX120" s="682"/>
      <c r="FY120" s="682"/>
      <c r="FZ120" s="683"/>
      <c r="GA120" s="684"/>
      <c r="GB120" s="675"/>
      <c r="GC120" s="676">
        <f t="shared" si="125"/>
        <v>0</v>
      </c>
      <c r="GD120" s="677">
        <f t="shared" si="126"/>
        <v>0</v>
      </c>
      <c r="GE120" s="677">
        <f t="shared" si="172"/>
        <v>0</v>
      </c>
      <c r="GF120" s="678">
        <f t="shared" si="173"/>
        <v>0</v>
      </c>
      <c r="GG120" s="679">
        <f t="shared" si="174"/>
        <v>0</v>
      </c>
      <c r="GH120" s="680"/>
      <c r="GI120" s="681"/>
      <c r="GJ120" s="682"/>
      <c r="GK120" s="682"/>
      <c r="GL120" s="683"/>
      <c r="GM120" s="684"/>
      <c r="GN120" s="680"/>
      <c r="GO120" s="681"/>
      <c r="GP120" s="682"/>
      <c r="GQ120" s="682"/>
      <c r="GR120" s="683"/>
      <c r="GS120" s="684"/>
      <c r="GT120" s="680"/>
      <c r="GU120" s="681"/>
      <c r="GV120" s="682"/>
      <c r="GW120" s="682"/>
      <c r="GX120" s="683"/>
      <c r="GY120" s="684"/>
      <c r="GZ120" s="680"/>
      <c r="HA120" s="147"/>
      <c r="HB120" s="148"/>
      <c r="HC120" s="148"/>
      <c r="HD120" s="149"/>
      <c r="HE120" s="150"/>
      <c r="HF120" s="506"/>
      <c r="HG120" s="502"/>
      <c r="HH120" s="502"/>
      <c r="HI120" s="502"/>
      <c r="HJ120" s="8"/>
    </row>
    <row r="121" spans="2:218" ht="21" hidden="1">
      <c r="B121" s="488">
        <v>77</v>
      </c>
      <c r="C121" s="489" t="s">
        <v>400</v>
      </c>
      <c r="D121" s="490" t="s">
        <v>220</v>
      </c>
      <c r="E121" s="491" t="s">
        <v>221</v>
      </c>
      <c r="F121" s="492"/>
      <c r="G121" s="493"/>
      <c r="H121" s="146" t="s">
        <v>97</v>
      </c>
      <c r="I121" s="494" t="str">
        <f t="shared" si="92"/>
        <v>n.v.t.</v>
      </c>
      <c r="J121" s="495"/>
      <c r="K121" s="151">
        <v>0</v>
      </c>
      <c r="L121" s="256"/>
      <c r="M121" s="256">
        <f>IF($C$5&lt;3000,(Bron!H110*$C$5)+Bron!I110,(Bron!M110*$C$5)+Bron!N110)</f>
        <v>0</v>
      </c>
      <c r="N121" s="496">
        <f t="shared" si="90"/>
        <v>0</v>
      </c>
      <c r="O121" s="497" t="str">
        <f t="shared" si="91"/>
        <v/>
      </c>
      <c r="P121" s="257">
        <f>IF($C$5&lt;3000,$AN$32*Bron!J110,$AN$32*Bron!O110)</f>
        <v>0</v>
      </c>
      <c r="Q121" s="257">
        <f>IF($C$5&lt;3000,$AN$31*Bron!K110,$AN$31*Bron!P110)</f>
        <v>0</v>
      </c>
      <c r="R121" s="257">
        <f>IF($C$5&lt;3000,$AN$33*Bron!J110,$AN$33*Bron!O110)</f>
        <v>0</v>
      </c>
      <c r="S121" s="344"/>
      <c r="T121" s="258">
        <f t="shared" si="93"/>
        <v>0</v>
      </c>
      <c r="U121" s="259">
        <f t="shared" si="94"/>
        <v>0</v>
      </c>
      <c r="V121" s="675"/>
      <c r="W121" s="676">
        <f t="shared" si="95"/>
        <v>0</v>
      </c>
      <c r="X121" s="677">
        <f t="shared" si="96"/>
        <v>0</v>
      </c>
      <c r="Y121" s="677">
        <f t="shared" si="127"/>
        <v>0</v>
      </c>
      <c r="Z121" s="678">
        <f t="shared" si="128"/>
        <v>0</v>
      </c>
      <c r="AA121" s="679">
        <f t="shared" si="129"/>
        <v>0</v>
      </c>
      <c r="AB121" s="675"/>
      <c r="AC121" s="676">
        <f t="shared" si="97"/>
        <v>0</v>
      </c>
      <c r="AD121" s="677">
        <f t="shared" si="98"/>
        <v>0</v>
      </c>
      <c r="AE121" s="677">
        <f t="shared" si="130"/>
        <v>0</v>
      </c>
      <c r="AF121" s="678">
        <f t="shared" si="131"/>
        <v>0</v>
      </c>
      <c r="AG121" s="679">
        <f t="shared" si="132"/>
        <v>0</v>
      </c>
      <c r="AH121" s="675"/>
      <c r="AI121" s="676">
        <f t="shared" si="99"/>
        <v>0</v>
      </c>
      <c r="AJ121" s="677">
        <f t="shared" si="100"/>
        <v>0</v>
      </c>
      <c r="AK121" s="677">
        <f t="shared" si="133"/>
        <v>0</v>
      </c>
      <c r="AL121" s="678">
        <f t="shared" si="134"/>
        <v>0</v>
      </c>
      <c r="AM121" s="679">
        <f t="shared" si="135"/>
        <v>0</v>
      </c>
      <c r="AN121" s="675"/>
      <c r="AO121" s="676">
        <f t="shared" si="101"/>
        <v>0</v>
      </c>
      <c r="AP121" s="677">
        <f t="shared" si="102"/>
        <v>0</v>
      </c>
      <c r="AQ121" s="677">
        <f t="shared" si="136"/>
        <v>0</v>
      </c>
      <c r="AR121" s="678">
        <f t="shared" si="137"/>
        <v>0</v>
      </c>
      <c r="AS121" s="679">
        <f t="shared" si="138"/>
        <v>0</v>
      </c>
      <c r="AT121" s="675"/>
      <c r="AU121" s="676">
        <f t="shared" si="103"/>
        <v>0</v>
      </c>
      <c r="AV121" s="677">
        <f t="shared" si="104"/>
        <v>0</v>
      </c>
      <c r="AW121" s="677">
        <f t="shared" si="139"/>
        <v>0</v>
      </c>
      <c r="AX121" s="678">
        <f t="shared" si="140"/>
        <v>0</v>
      </c>
      <c r="AY121" s="679">
        <f t="shared" si="141"/>
        <v>0</v>
      </c>
      <c r="AZ121" s="675"/>
      <c r="BA121" s="676">
        <f t="shared" si="105"/>
        <v>0</v>
      </c>
      <c r="BB121" s="677">
        <f t="shared" si="106"/>
        <v>0</v>
      </c>
      <c r="BC121" s="677">
        <f t="shared" si="142"/>
        <v>0</v>
      </c>
      <c r="BD121" s="678">
        <f t="shared" si="143"/>
        <v>0</v>
      </c>
      <c r="BE121" s="679">
        <f t="shared" si="144"/>
        <v>0</v>
      </c>
      <c r="BF121" s="675"/>
      <c r="BG121" s="676">
        <f t="shared" si="107"/>
        <v>0</v>
      </c>
      <c r="BH121" s="677">
        <f t="shared" si="108"/>
        <v>0</v>
      </c>
      <c r="BI121" s="677">
        <f t="shared" si="145"/>
        <v>0</v>
      </c>
      <c r="BJ121" s="678">
        <f t="shared" si="146"/>
        <v>0</v>
      </c>
      <c r="BK121" s="679">
        <f t="shared" si="147"/>
        <v>0</v>
      </c>
      <c r="BL121" s="675"/>
      <c r="BM121" s="676">
        <f t="shared" si="109"/>
        <v>0</v>
      </c>
      <c r="BN121" s="677">
        <f t="shared" si="110"/>
        <v>0</v>
      </c>
      <c r="BO121" s="677">
        <f t="shared" si="148"/>
        <v>0</v>
      </c>
      <c r="BP121" s="678">
        <f t="shared" si="149"/>
        <v>0</v>
      </c>
      <c r="BQ121" s="679">
        <f t="shared" si="150"/>
        <v>0</v>
      </c>
      <c r="BR121" s="675"/>
      <c r="BS121" s="676">
        <f t="shared" si="111"/>
        <v>0</v>
      </c>
      <c r="BT121" s="677">
        <f t="shared" si="112"/>
        <v>0</v>
      </c>
      <c r="BU121" s="677">
        <f t="shared" si="151"/>
        <v>0</v>
      </c>
      <c r="BV121" s="678">
        <f t="shared" si="152"/>
        <v>0</v>
      </c>
      <c r="BW121" s="679">
        <f t="shared" si="153"/>
        <v>0</v>
      </c>
      <c r="BX121" s="675"/>
      <c r="BY121" s="676">
        <f t="shared" si="113"/>
        <v>0</v>
      </c>
      <c r="BZ121" s="677">
        <f t="shared" si="114"/>
        <v>0</v>
      </c>
      <c r="CA121" s="677">
        <f t="shared" si="154"/>
        <v>0</v>
      </c>
      <c r="CB121" s="678">
        <f t="shared" si="155"/>
        <v>0</v>
      </c>
      <c r="CC121" s="679">
        <f t="shared" si="156"/>
        <v>0</v>
      </c>
      <c r="CD121" s="675"/>
      <c r="CE121" s="676">
        <f t="shared" si="115"/>
        <v>0</v>
      </c>
      <c r="CF121" s="677">
        <f t="shared" si="116"/>
        <v>0</v>
      </c>
      <c r="CG121" s="677">
        <f t="shared" si="157"/>
        <v>0</v>
      </c>
      <c r="CH121" s="678">
        <f t="shared" si="158"/>
        <v>0</v>
      </c>
      <c r="CI121" s="679">
        <f t="shared" si="159"/>
        <v>0</v>
      </c>
      <c r="CJ121" s="675"/>
      <c r="CK121" s="676">
        <f t="shared" si="117"/>
        <v>0</v>
      </c>
      <c r="CL121" s="677">
        <f t="shared" si="118"/>
        <v>0</v>
      </c>
      <c r="CM121" s="677">
        <f t="shared" si="160"/>
        <v>0</v>
      </c>
      <c r="CN121" s="678">
        <f t="shared" si="161"/>
        <v>0</v>
      </c>
      <c r="CO121" s="679">
        <f t="shared" si="162"/>
        <v>0</v>
      </c>
      <c r="CP121" s="675"/>
      <c r="CQ121" s="676">
        <f t="shared" si="119"/>
        <v>0</v>
      </c>
      <c r="CR121" s="677">
        <f t="shared" si="120"/>
        <v>0</v>
      </c>
      <c r="CS121" s="677">
        <f t="shared" si="163"/>
        <v>0</v>
      </c>
      <c r="CT121" s="678">
        <f t="shared" si="164"/>
        <v>0</v>
      </c>
      <c r="CU121" s="679">
        <f t="shared" si="165"/>
        <v>0</v>
      </c>
      <c r="CV121" s="685"/>
      <c r="CW121" s="681"/>
      <c r="CX121" s="682"/>
      <c r="CY121" s="682"/>
      <c r="CZ121" s="683"/>
      <c r="DA121" s="684"/>
      <c r="DB121" s="685"/>
      <c r="DC121" s="681"/>
      <c r="DD121" s="682"/>
      <c r="DE121" s="682"/>
      <c r="DF121" s="683"/>
      <c r="DG121" s="684"/>
      <c r="DH121" s="685"/>
      <c r="DI121" s="681"/>
      <c r="DJ121" s="682"/>
      <c r="DK121" s="682"/>
      <c r="DL121" s="683"/>
      <c r="DM121" s="684"/>
      <c r="DN121" s="685"/>
      <c r="DO121" s="681"/>
      <c r="DP121" s="682"/>
      <c r="DQ121" s="682"/>
      <c r="DR121" s="683"/>
      <c r="DS121" s="684"/>
      <c r="DT121" s="675"/>
      <c r="DU121" s="676">
        <f t="shared" si="121"/>
        <v>0</v>
      </c>
      <c r="DV121" s="677">
        <f t="shared" si="122"/>
        <v>0</v>
      </c>
      <c r="DW121" s="677">
        <f t="shared" si="166"/>
        <v>0</v>
      </c>
      <c r="DX121" s="678">
        <f t="shared" si="167"/>
        <v>0</v>
      </c>
      <c r="DY121" s="679">
        <f t="shared" si="168"/>
        <v>0</v>
      </c>
      <c r="DZ121" s="680"/>
      <c r="EA121" s="681"/>
      <c r="EB121" s="682"/>
      <c r="EC121" s="682"/>
      <c r="ED121" s="683"/>
      <c r="EE121" s="684"/>
      <c r="EF121" s="680"/>
      <c r="EG121" s="681"/>
      <c r="EH121" s="682"/>
      <c r="EI121" s="682"/>
      <c r="EJ121" s="683"/>
      <c r="EK121" s="684"/>
      <c r="EL121" s="680"/>
      <c r="EM121" s="681"/>
      <c r="EN121" s="682"/>
      <c r="EO121" s="682"/>
      <c r="EP121" s="683"/>
      <c r="EQ121" s="684"/>
      <c r="ER121" s="680"/>
      <c r="ES121" s="681"/>
      <c r="ET121" s="682"/>
      <c r="EU121" s="682"/>
      <c r="EV121" s="683"/>
      <c r="EW121" s="684"/>
      <c r="EX121" s="675"/>
      <c r="EY121" s="676">
        <f t="shared" si="123"/>
        <v>0</v>
      </c>
      <c r="EZ121" s="677">
        <f t="shared" si="124"/>
        <v>0</v>
      </c>
      <c r="FA121" s="677">
        <f t="shared" si="169"/>
        <v>0</v>
      </c>
      <c r="FB121" s="678">
        <f t="shared" si="170"/>
        <v>0</v>
      </c>
      <c r="FC121" s="679">
        <f t="shared" si="171"/>
        <v>0</v>
      </c>
      <c r="FD121" s="680"/>
      <c r="FE121" s="681"/>
      <c r="FF121" s="682"/>
      <c r="FG121" s="682"/>
      <c r="FH121" s="683"/>
      <c r="FI121" s="684"/>
      <c r="FJ121" s="680"/>
      <c r="FK121" s="681"/>
      <c r="FL121" s="682"/>
      <c r="FM121" s="682"/>
      <c r="FN121" s="683"/>
      <c r="FO121" s="684"/>
      <c r="FP121" s="680"/>
      <c r="FQ121" s="681"/>
      <c r="FR121" s="682"/>
      <c r="FS121" s="682"/>
      <c r="FT121" s="683"/>
      <c r="FU121" s="684"/>
      <c r="FV121" s="680"/>
      <c r="FW121" s="681"/>
      <c r="FX121" s="682"/>
      <c r="FY121" s="682"/>
      <c r="FZ121" s="683"/>
      <c r="GA121" s="684"/>
      <c r="GB121" s="675"/>
      <c r="GC121" s="676">
        <f t="shared" si="125"/>
        <v>0</v>
      </c>
      <c r="GD121" s="677">
        <f t="shared" si="126"/>
        <v>0</v>
      </c>
      <c r="GE121" s="677">
        <f t="shared" si="172"/>
        <v>0</v>
      </c>
      <c r="GF121" s="678">
        <f t="shared" si="173"/>
        <v>0</v>
      </c>
      <c r="GG121" s="679">
        <f t="shared" si="174"/>
        <v>0</v>
      </c>
      <c r="GH121" s="680"/>
      <c r="GI121" s="681"/>
      <c r="GJ121" s="682"/>
      <c r="GK121" s="682"/>
      <c r="GL121" s="683"/>
      <c r="GM121" s="684"/>
      <c r="GN121" s="680"/>
      <c r="GO121" s="681"/>
      <c r="GP121" s="682"/>
      <c r="GQ121" s="682"/>
      <c r="GR121" s="683"/>
      <c r="GS121" s="684"/>
      <c r="GT121" s="680"/>
      <c r="GU121" s="681"/>
      <c r="GV121" s="682"/>
      <c r="GW121" s="682"/>
      <c r="GX121" s="683"/>
      <c r="GY121" s="684"/>
      <c r="GZ121" s="680"/>
      <c r="HA121" s="147"/>
      <c r="HB121" s="148"/>
      <c r="HC121" s="148"/>
      <c r="HD121" s="149"/>
      <c r="HE121" s="150"/>
      <c r="HF121" s="506"/>
      <c r="HG121" s="502"/>
      <c r="HH121" s="502"/>
      <c r="HI121" s="502"/>
      <c r="HJ121" s="8"/>
    </row>
    <row r="122" spans="2:218" ht="21" hidden="1">
      <c r="B122" s="488">
        <v>78</v>
      </c>
      <c r="C122" s="489" t="s">
        <v>400</v>
      </c>
      <c r="D122" s="490" t="s">
        <v>222</v>
      </c>
      <c r="E122" s="491" t="s">
        <v>223</v>
      </c>
      <c r="F122" s="492"/>
      <c r="G122" s="493"/>
      <c r="H122" s="146" t="s">
        <v>97</v>
      </c>
      <c r="I122" s="494" t="str">
        <f t="shared" si="92"/>
        <v>n.v.t.</v>
      </c>
      <c r="J122" s="495"/>
      <c r="K122" s="151">
        <v>0</v>
      </c>
      <c r="L122" s="256"/>
      <c r="M122" s="256">
        <f>IF($C$5&lt;3000,(Bron!H111*$C$5)+Bron!I111,(Bron!M111*$C$5)+Bron!N111)</f>
        <v>0</v>
      </c>
      <c r="N122" s="496">
        <f t="shared" si="90"/>
        <v>0</v>
      </c>
      <c r="O122" s="497" t="str">
        <f t="shared" si="91"/>
        <v/>
      </c>
      <c r="P122" s="257">
        <f>IF($C$5&lt;3000,$AN$32*Bron!J111,$AN$32*Bron!O111)</f>
        <v>0</v>
      </c>
      <c r="Q122" s="257">
        <f>IF($C$5&lt;3000,$AN$31*Bron!K111,$AN$31*Bron!P111)</f>
        <v>0</v>
      </c>
      <c r="R122" s="257">
        <f>IF($C$5&lt;3000,$AN$33*Bron!J111,$AN$33*Bron!O111)</f>
        <v>0</v>
      </c>
      <c r="S122" s="344"/>
      <c r="T122" s="258">
        <f t="shared" si="93"/>
        <v>0</v>
      </c>
      <c r="U122" s="259">
        <f t="shared" si="94"/>
        <v>0</v>
      </c>
      <c r="V122" s="675"/>
      <c r="W122" s="676">
        <f t="shared" si="95"/>
        <v>0</v>
      </c>
      <c r="X122" s="677">
        <f t="shared" si="96"/>
        <v>0</v>
      </c>
      <c r="Y122" s="677">
        <f t="shared" si="127"/>
        <v>0</v>
      </c>
      <c r="Z122" s="678">
        <f t="shared" si="128"/>
        <v>0</v>
      </c>
      <c r="AA122" s="679">
        <f t="shared" si="129"/>
        <v>0</v>
      </c>
      <c r="AB122" s="675"/>
      <c r="AC122" s="676">
        <f t="shared" si="97"/>
        <v>0</v>
      </c>
      <c r="AD122" s="677">
        <f t="shared" si="98"/>
        <v>0</v>
      </c>
      <c r="AE122" s="677">
        <f t="shared" si="130"/>
        <v>0</v>
      </c>
      <c r="AF122" s="678">
        <f t="shared" si="131"/>
        <v>0</v>
      </c>
      <c r="AG122" s="679">
        <f t="shared" si="132"/>
        <v>0</v>
      </c>
      <c r="AH122" s="675"/>
      <c r="AI122" s="676">
        <f t="shared" si="99"/>
        <v>0</v>
      </c>
      <c r="AJ122" s="677">
        <f t="shared" si="100"/>
        <v>0</v>
      </c>
      <c r="AK122" s="677">
        <f t="shared" si="133"/>
        <v>0</v>
      </c>
      <c r="AL122" s="678">
        <f t="shared" si="134"/>
        <v>0</v>
      </c>
      <c r="AM122" s="679">
        <f t="shared" si="135"/>
        <v>0</v>
      </c>
      <c r="AN122" s="675"/>
      <c r="AO122" s="676">
        <f t="shared" si="101"/>
        <v>0</v>
      </c>
      <c r="AP122" s="677">
        <f t="shared" si="102"/>
        <v>0</v>
      </c>
      <c r="AQ122" s="677">
        <f t="shared" si="136"/>
        <v>0</v>
      </c>
      <c r="AR122" s="678">
        <f t="shared" si="137"/>
        <v>0</v>
      </c>
      <c r="AS122" s="679">
        <f t="shared" si="138"/>
        <v>0</v>
      </c>
      <c r="AT122" s="675"/>
      <c r="AU122" s="676">
        <f t="shared" si="103"/>
        <v>0</v>
      </c>
      <c r="AV122" s="677">
        <f t="shared" si="104"/>
        <v>0</v>
      </c>
      <c r="AW122" s="677">
        <f t="shared" si="139"/>
        <v>0</v>
      </c>
      <c r="AX122" s="678">
        <f t="shared" si="140"/>
        <v>0</v>
      </c>
      <c r="AY122" s="679">
        <f t="shared" si="141"/>
        <v>0</v>
      </c>
      <c r="AZ122" s="675"/>
      <c r="BA122" s="676">
        <f t="shared" si="105"/>
        <v>0</v>
      </c>
      <c r="BB122" s="677">
        <f t="shared" si="106"/>
        <v>0</v>
      </c>
      <c r="BC122" s="677">
        <f t="shared" si="142"/>
        <v>0</v>
      </c>
      <c r="BD122" s="678">
        <f t="shared" si="143"/>
        <v>0</v>
      </c>
      <c r="BE122" s="679">
        <f t="shared" si="144"/>
        <v>0</v>
      </c>
      <c r="BF122" s="675"/>
      <c r="BG122" s="676">
        <f t="shared" si="107"/>
        <v>0</v>
      </c>
      <c r="BH122" s="677">
        <f t="shared" si="108"/>
        <v>0</v>
      </c>
      <c r="BI122" s="677">
        <f t="shared" si="145"/>
        <v>0</v>
      </c>
      <c r="BJ122" s="678">
        <f t="shared" si="146"/>
        <v>0</v>
      </c>
      <c r="BK122" s="679">
        <f t="shared" si="147"/>
        <v>0</v>
      </c>
      <c r="BL122" s="675"/>
      <c r="BM122" s="676">
        <f t="shared" si="109"/>
        <v>0</v>
      </c>
      <c r="BN122" s="677">
        <f t="shared" si="110"/>
        <v>0</v>
      </c>
      <c r="BO122" s="677">
        <f t="shared" si="148"/>
        <v>0</v>
      </c>
      <c r="BP122" s="678">
        <f t="shared" si="149"/>
        <v>0</v>
      </c>
      <c r="BQ122" s="679">
        <f t="shared" si="150"/>
        <v>0</v>
      </c>
      <c r="BR122" s="675"/>
      <c r="BS122" s="676">
        <f t="shared" si="111"/>
        <v>0</v>
      </c>
      <c r="BT122" s="677">
        <f t="shared" si="112"/>
        <v>0</v>
      </c>
      <c r="BU122" s="677">
        <f t="shared" si="151"/>
        <v>0</v>
      </c>
      <c r="BV122" s="678">
        <f t="shared" si="152"/>
        <v>0</v>
      </c>
      <c r="BW122" s="679">
        <f t="shared" si="153"/>
        <v>0</v>
      </c>
      <c r="BX122" s="675"/>
      <c r="BY122" s="676">
        <f t="shared" si="113"/>
        <v>0</v>
      </c>
      <c r="BZ122" s="677">
        <f t="shared" si="114"/>
        <v>0</v>
      </c>
      <c r="CA122" s="677">
        <f t="shared" si="154"/>
        <v>0</v>
      </c>
      <c r="CB122" s="678">
        <f t="shared" si="155"/>
        <v>0</v>
      </c>
      <c r="CC122" s="679">
        <f t="shared" si="156"/>
        <v>0</v>
      </c>
      <c r="CD122" s="675"/>
      <c r="CE122" s="676">
        <f t="shared" si="115"/>
        <v>0</v>
      </c>
      <c r="CF122" s="677">
        <f t="shared" si="116"/>
        <v>0</v>
      </c>
      <c r="CG122" s="677">
        <f t="shared" si="157"/>
        <v>0</v>
      </c>
      <c r="CH122" s="678">
        <f t="shared" si="158"/>
        <v>0</v>
      </c>
      <c r="CI122" s="679">
        <f t="shared" si="159"/>
        <v>0</v>
      </c>
      <c r="CJ122" s="675"/>
      <c r="CK122" s="676">
        <f t="shared" si="117"/>
        <v>0</v>
      </c>
      <c r="CL122" s="677">
        <f t="shared" si="118"/>
        <v>0</v>
      </c>
      <c r="CM122" s="677">
        <f t="shared" si="160"/>
        <v>0</v>
      </c>
      <c r="CN122" s="678">
        <f t="shared" si="161"/>
        <v>0</v>
      </c>
      <c r="CO122" s="679">
        <f t="shared" si="162"/>
        <v>0</v>
      </c>
      <c r="CP122" s="675"/>
      <c r="CQ122" s="676">
        <f t="shared" si="119"/>
        <v>0</v>
      </c>
      <c r="CR122" s="677">
        <f t="shared" si="120"/>
        <v>0</v>
      </c>
      <c r="CS122" s="677">
        <f t="shared" si="163"/>
        <v>0</v>
      </c>
      <c r="CT122" s="678">
        <f t="shared" si="164"/>
        <v>0</v>
      </c>
      <c r="CU122" s="679">
        <f t="shared" si="165"/>
        <v>0</v>
      </c>
      <c r="CV122" s="685"/>
      <c r="CW122" s="681"/>
      <c r="CX122" s="682"/>
      <c r="CY122" s="682"/>
      <c r="CZ122" s="683"/>
      <c r="DA122" s="684"/>
      <c r="DB122" s="685"/>
      <c r="DC122" s="681"/>
      <c r="DD122" s="682"/>
      <c r="DE122" s="682"/>
      <c r="DF122" s="683"/>
      <c r="DG122" s="684"/>
      <c r="DH122" s="685"/>
      <c r="DI122" s="681"/>
      <c r="DJ122" s="682"/>
      <c r="DK122" s="682"/>
      <c r="DL122" s="683"/>
      <c r="DM122" s="684"/>
      <c r="DN122" s="685"/>
      <c r="DO122" s="681"/>
      <c r="DP122" s="682"/>
      <c r="DQ122" s="682"/>
      <c r="DR122" s="683"/>
      <c r="DS122" s="684"/>
      <c r="DT122" s="675"/>
      <c r="DU122" s="676">
        <f t="shared" si="121"/>
        <v>0</v>
      </c>
      <c r="DV122" s="677">
        <f t="shared" si="122"/>
        <v>0</v>
      </c>
      <c r="DW122" s="677">
        <f t="shared" si="166"/>
        <v>0</v>
      </c>
      <c r="DX122" s="678">
        <f t="shared" si="167"/>
        <v>0</v>
      </c>
      <c r="DY122" s="679">
        <f t="shared" si="168"/>
        <v>0</v>
      </c>
      <c r="DZ122" s="680"/>
      <c r="EA122" s="681"/>
      <c r="EB122" s="682"/>
      <c r="EC122" s="682"/>
      <c r="ED122" s="683"/>
      <c r="EE122" s="684"/>
      <c r="EF122" s="680"/>
      <c r="EG122" s="681"/>
      <c r="EH122" s="682"/>
      <c r="EI122" s="682"/>
      <c r="EJ122" s="683"/>
      <c r="EK122" s="684"/>
      <c r="EL122" s="680"/>
      <c r="EM122" s="681"/>
      <c r="EN122" s="682"/>
      <c r="EO122" s="682"/>
      <c r="EP122" s="683"/>
      <c r="EQ122" s="684"/>
      <c r="ER122" s="680"/>
      <c r="ES122" s="681"/>
      <c r="ET122" s="682"/>
      <c r="EU122" s="682"/>
      <c r="EV122" s="683"/>
      <c r="EW122" s="684"/>
      <c r="EX122" s="675"/>
      <c r="EY122" s="676">
        <f t="shared" si="123"/>
        <v>0</v>
      </c>
      <c r="EZ122" s="677">
        <f t="shared" si="124"/>
        <v>0</v>
      </c>
      <c r="FA122" s="677">
        <f t="shared" si="169"/>
        <v>0</v>
      </c>
      <c r="FB122" s="678">
        <f t="shared" si="170"/>
        <v>0</v>
      </c>
      <c r="FC122" s="679">
        <f t="shared" si="171"/>
        <v>0</v>
      </c>
      <c r="FD122" s="680"/>
      <c r="FE122" s="681"/>
      <c r="FF122" s="682"/>
      <c r="FG122" s="682"/>
      <c r="FH122" s="683"/>
      <c r="FI122" s="684"/>
      <c r="FJ122" s="680"/>
      <c r="FK122" s="681"/>
      <c r="FL122" s="682"/>
      <c r="FM122" s="682"/>
      <c r="FN122" s="683"/>
      <c r="FO122" s="684"/>
      <c r="FP122" s="680"/>
      <c r="FQ122" s="681"/>
      <c r="FR122" s="682"/>
      <c r="FS122" s="682"/>
      <c r="FT122" s="683"/>
      <c r="FU122" s="684"/>
      <c r="FV122" s="680"/>
      <c r="FW122" s="681"/>
      <c r="FX122" s="682"/>
      <c r="FY122" s="682"/>
      <c r="FZ122" s="683"/>
      <c r="GA122" s="684"/>
      <c r="GB122" s="675"/>
      <c r="GC122" s="676">
        <f t="shared" si="125"/>
        <v>0</v>
      </c>
      <c r="GD122" s="677">
        <f t="shared" si="126"/>
        <v>0</v>
      </c>
      <c r="GE122" s="677">
        <f t="shared" si="172"/>
        <v>0</v>
      </c>
      <c r="GF122" s="678">
        <f t="shared" si="173"/>
        <v>0</v>
      </c>
      <c r="GG122" s="679">
        <f t="shared" si="174"/>
        <v>0</v>
      </c>
      <c r="GH122" s="680"/>
      <c r="GI122" s="681"/>
      <c r="GJ122" s="682"/>
      <c r="GK122" s="682"/>
      <c r="GL122" s="683"/>
      <c r="GM122" s="684"/>
      <c r="GN122" s="680"/>
      <c r="GO122" s="681"/>
      <c r="GP122" s="682"/>
      <c r="GQ122" s="682"/>
      <c r="GR122" s="683"/>
      <c r="GS122" s="684"/>
      <c r="GT122" s="680"/>
      <c r="GU122" s="681"/>
      <c r="GV122" s="682"/>
      <c r="GW122" s="682"/>
      <c r="GX122" s="683"/>
      <c r="GY122" s="684"/>
      <c r="GZ122" s="680"/>
      <c r="HA122" s="147"/>
      <c r="HB122" s="148"/>
      <c r="HC122" s="148"/>
      <c r="HD122" s="149"/>
      <c r="HE122" s="150"/>
      <c r="HF122" s="506"/>
      <c r="HG122" s="502"/>
      <c r="HH122" s="502"/>
      <c r="HI122" s="502"/>
      <c r="HJ122" s="8"/>
    </row>
    <row r="123" spans="2:218" ht="21" hidden="1">
      <c r="B123" s="488">
        <v>79</v>
      </c>
      <c r="C123" s="489" t="s">
        <v>400</v>
      </c>
      <c r="D123" s="490" t="s">
        <v>493</v>
      </c>
      <c r="E123" s="491" t="s">
        <v>856</v>
      </c>
      <c r="F123" s="492"/>
      <c r="G123" s="493"/>
      <c r="H123" s="146" t="s">
        <v>97</v>
      </c>
      <c r="I123" s="494" t="str">
        <f t="shared" si="92"/>
        <v>n.v.t.</v>
      </c>
      <c r="J123" s="495"/>
      <c r="K123" s="151">
        <v>0</v>
      </c>
      <c r="L123" s="256"/>
      <c r="M123" s="256">
        <f>IF($C$5&lt;3000,(Bron!H112*$C$5)+Bron!I112,(Bron!M112*$C$5)+Bron!N112)</f>
        <v>34728.959999999999</v>
      </c>
      <c r="N123" s="496">
        <f t="shared" si="90"/>
        <v>14200.479999999998</v>
      </c>
      <c r="O123" s="497">
        <f t="shared" si="91"/>
        <v>2.4456187396482374</v>
      </c>
      <c r="P123" s="257">
        <f>IF($C$5&lt;3000,$AN$32*Bron!J112,$AN$32*Bron!O112)</f>
        <v>0</v>
      </c>
      <c r="Q123" s="257">
        <f>IF($C$5&lt;3000,$AN$31*Bron!K112,$AN$31*Bron!P112)</f>
        <v>0</v>
      </c>
      <c r="R123" s="257">
        <f>IF($C$5&lt;3000,$AN$33*Bron!J112,$AN$33*Bron!O112)</f>
        <v>286.29999999999995</v>
      </c>
      <c r="S123" s="344"/>
      <c r="T123" s="258">
        <f t="shared" si="93"/>
        <v>0</v>
      </c>
      <c r="U123" s="259">
        <f t="shared" si="94"/>
        <v>0</v>
      </c>
      <c r="V123" s="675"/>
      <c r="W123" s="676">
        <f t="shared" si="95"/>
        <v>0</v>
      </c>
      <c r="X123" s="677">
        <f t="shared" si="96"/>
        <v>0</v>
      </c>
      <c r="Y123" s="677">
        <f t="shared" si="127"/>
        <v>0</v>
      </c>
      <c r="Z123" s="678">
        <f t="shared" si="128"/>
        <v>0</v>
      </c>
      <c r="AA123" s="679">
        <f t="shared" si="129"/>
        <v>0</v>
      </c>
      <c r="AB123" s="675"/>
      <c r="AC123" s="676">
        <f t="shared" si="97"/>
        <v>0</v>
      </c>
      <c r="AD123" s="677">
        <f t="shared" si="98"/>
        <v>0</v>
      </c>
      <c r="AE123" s="677">
        <f t="shared" si="130"/>
        <v>0</v>
      </c>
      <c r="AF123" s="678">
        <f t="shared" si="131"/>
        <v>0</v>
      </c>
      <c r="AG123" s="679">
        <f t="shared" si="132"/>
        <v>0</v>
      </c>
      <c r="AH123" s="675"/>
      <c r="AI123" s="676">
        <f t="shared" si="99"/>
        <v>0</v>
      </c>
      <c r="AJ123" s="677">
        <f t="shared" si="100"/>
        <v>0</v>
      </c>
      <c r="AK123" s="677">
        <f t="shared" si="133"/>
        <v>0</v>
      </c>
      <c r="AL123" s="678">
        <f t="shared" si="134"/>
        <v>0</v>
      </c>
      <c r="AM123" s="679">
        <f t="shared" si="135"/>
        <v>0</v>
      </c>
      <c r="AN123" s="675"/>
      <c r="AO123" s="676">
        <f t="shared" si="101"/>
        <v>0</v>
      </c>
      <c r="AP123" s="677">
        <f t="shared" si="102"/>
        <v>0</v>
      </c>
      <c r="AQ123" s="677">
        <f t="shared" si="136"/>
        <v>0</v>
      </c>
      <c r="AR123" s="678">
        <f t="shared" si="137"/>
        <v>0</v>
      </c>
      <c r="AS123" s="679">
        <f t="shared" si="138"/>
        <v>0</v>
      </c>
      <c r="AT123" s="675"/>
      <c r="AU123" s="676">
        <f t="shared" si="103"/>
        <v>0</v>
      </c>
      <c r="AV123" s="677">
        <f t="shared" si="104"/>
        <v>0</v>
      </c>
      <c r="AW123" s="677">
        <f t="shared" si="139"/>
        <v>0</v>
      </c>
      <c r="AX123" s="678">
        <f t="shared" si="140"/>
        <v>0</v>
      </c>
      <c r="AY123" s="679">
        <f t="shared" si="141"/>
        <v>0</v>
      </c>
      <c r="AZ123" s="675"/>
      <c r="BA123" s="676">
        <f t="shared" si="105"/>
        <v>0</v>
      </c>
      <c r="BB123" s="677">
        <f t="shared" si="106"/>
        <v>0</v>
      </c>
      <c r="BC123" s="677">
        <f t="shared" si="142"/>
        <v>0</v>
      </c>
      <c r="BD123" s="678">
        <f t="shared" si="143"/>
        <v>0</v>
      </c>
      <c r="BE123" s="679">
        <f t="shared" si="144"/>
        <v>0</v>
      </c>
      <c r="BF123" s="675"/>
      <c r="BG123" s="676">
        <f t="shared" si="107"/>
        <v>0</v>
      </c>
      <c r="BH123" s="677">
        <f t="shared" si="108"/>
        <v>0</v>
      </c>
      <c r="BI123" s="677">
        <f t="shared" si="145"/>
        <v>0</v>
      </c>
      <c r="BJ123" s="678">
        <f t="shared" si="146"/>
        <v>0</v>
      </c>
      <c r="BK123" s="679">
        <f t="shared" si="147"/>
        <v>0</v>
      </c>
      <c r="BL123" s="675"/>
      <c r="BM123" s="676">
        <f t="shared" si="109"/>
        <v>0</v>
      </c>
      <c r="BN123" s="677">
        <f t="shared" si="110"/>
        <v>0</v>
      </c>
      <c r="BO123" s="677">
        <f t="shared" si="148"/>
        <v>0</v>
      </c>
      <c r="BP123" s="678">
        <f t="shared" si="149"/>
        <v>0</v>
      </c>
      <c r="BQ123" s="679">
        <f t="shared" si="150"/>
        <v>0</v>
      </c>
      <c r="BR123" s="675"/>
      <c r="BS123" s="676">
        <f t="shared" si="111"/>
        <v>0</v>
      </c>
      <c r="BT123" s="677">
        <f t="shared" si="112"/>
        <v>0</v>
      </c>
      <c r="BU123" s="677">
        <f t="shared" si="151"/>
        <v>0</v>
      </c>
      <c r="BV123" s="678">
        <f t="shared" si="152"/>
        <v>0</v>
      </c>
      <c r="BW123" s="679">
        <f t="shared" si="153"/>
        <v>0</v>
      </c>
      <c r="BX123" s="675"/>
      <c r="BY123" s="676">
        <f t="shared" si="113"/>
        <v>0</v>
      </c>
      <c r="BZ123" s="677">
        <f t="shared" si="114"/>
        <v>0</v>
      </c>
      <c r="CA123" s="677">
        <f t="shared" si="154"/>
        <v>0</v>
      </c>
      <c r="CB123" s="678">
        <f t="shared" si="155"/>
        <v>0</v>
      </c>
      <c r="CC123" s="679">
        <f t="shared" si="156"/>
        <v>0</v>
      </c>
      <c r="CD123" s="675"/>
      <c r="CE123" s="676">
        <f t="shared" si="115"/>
        <v>0</v>
      </c>
      <c r="CF123" s="677">
        <f t="shared" si="116"/>
        <v>0</v>
      </c>
      <c r="CG123" s="677">
        <f t="shared" si="157"/>
        <v>0</v>
      </c>
      <c r="CH123" s="678">
        <f t="shared" si="158"/>
        <v>0</v>
      </c>
      <c r="CI123" s="679">
        <f t="shared" si="159"/>
        <v>0</v>
      </c>
      <c r="CJ123" s="675"/>
      <c r="CK123" s="676">
        <f t="shared" si="117"/>
        <v>0</v>
      </c>
      <c r="CL123" s="677">
        <f t="shared" si="118"/>
        <v>0</v>
      </c>
      <c r="CM123" s="677">
        <f t="shared" si="160"/>
        <v>0</v>
      </c>
      <c r="CN123" s="678">
        <f t="shared" si="161"/>
        <v>0</v>
      </c>
      <c r="CO123" s="679">
        <f t="shared" si="162"/>
        <v>0</v>
      </c>
      <c r="CP123" s="675"/>
      <c r="CQ123" s="676">
        <f t="shared" si="119"/>
        <v>0</v>
      </c>
      <c r="CR123" s="677">
        <f t="shared" si="120"/>
        <v>0</v>
      </c>
      <c r="CS123" s="677">
        <f t="shared" si="163"/>
        <v>0</v>
      </c>
      <c r="CT123" s="678">
        <f t="shared" si="164"/>
        <v>0</v>
      </c>
      <c r="CU123" s="679">
        <f t="shared" si="165"/>
        <v>0</v>
      </c>
      <c r="CV123" s="685"/>
      <c r="CW123" s="681"/>
      <c r="CX123" s="682"/>
      <c r="CY123" s="682"/>
      <c r="CZ123" s="683"/>
      <c r="DA123" s="684"/>
      <c r="DB123" s="685"/>
      <c r="DC123" s="681"/>
      <c r="DD123" s="682"/>
      <c r="DE123" s="682"/>
      <c r="DF123" s="683"/>
      <c r="DG123" s="684"/>
      <c r="DH123" s="685"/>
      <c r="DI123" s="681"/>
      <c r="DJ123" s="682"/>
      <c r="DK123" s="682"/>
      <c r="DL123" s="683"/>
      <c r="DM123" s="684"/>
      <c r="DN123" s="685"/>
      <c r="DO123" s="681"/>
      <c r="DP123" s="682"/>
      <c r="DQ123" s="682"/>
      <c r="DR123" s="683"/>
      <c r="DS123" s="684"/>
      <c r="DT123" s="675"/>
      <c r="DU123" s="676">
        <f t="shared" si="121"/>
        <v>0</v>
      </c>
      <c r="DV123" s="677">
        <f t="shared" si="122"/>
        <v>0</v>
      </c>
      <c r="DW123" s="677">
        <f t="shared" si="166"/>
        <v>0</v>
      </c>
      <c r="DX123" s="678">
        <f t="shared" si="167"/>
        <v>0</v>
      </c>
      <c r="DY123" s="679">
        <f t="shared" si="168"/>
        <v>0</v>
      </c>
      <c r="DZ123" s="680"/>
      <c r="EA123" s="681"/>
      <c r="EB123" s="682"/>
      <c r="EC123" s="682"/>
      <c r="ED123" s="683"/>
      <c r="EE123" s="684"/>
      <c r="EF123" s="680"/>
      <c r="EG123" s="681"/>
      <c r="EH123" s="682"/>
      <c r="EI123" s="682"/>
      <c r="EJ123" s="683"/>
      <c r="EK123" s="684"/>
      <c r="EL123" s="680"/>
      <c r="EM123" s="681"/>
      <c r="EN123" s="682"/>
      <c r="EO123" s="682"/>
      <c r="EP123" s="683"/>
      <c r="EQ123" s="684"/>
      <c r="ER123" s="680"/>
      <c r="ES123" s="681"/>
      <c r="ET123" s="682"/>
      <c r="EU123" s="682"/>
      <c r="EV123" s="683"/>
      <c r="EW123" s="684"/>
      <c r="EX123" s="675"/>
      <c r="EY123" s="676">
        <f t="shared" si="123"/>
        <v>0</v>
      </c>
      <c r="EZ123" s="677">
        <f t="shared" si="124"/>
        <v>0</v>
      </c>
      <c r="FA123" s="677">
        <f t="shared" si="169"/>
        <v>0</v>
      </c>
      <c r="FB123" s="678">
        <f t="shared" si="170"/>
        <v>0</v>
      </c>
      <c r="FC123" s="679">
        <f t="shared" si="171"/>
        <v>0</v>
      </c>
      <c r="FD123" s="680"/>
      <c r="FE123" s="681"/>
      <c r="FF123" s="682"/>
      <c r="FG123" s="682"/>
      <c r="FH123" s="683"/>
      <c r="FI123" s="684"/>
      <c r="FJ123" s="680"/>
      <c r="FK123" s="681"/>
      <c r="FL123" s="682"/>
      <c r="FM123" s="682"/>
      <c r="FN123" s="683"/>
      <c r="FO123" s="684"/>
      <c r="FP123" s="680"/>
      <c r="FQ123" s="681"/>
      <c r="FR123" s="682"/>
      <c r="FS123" s="682"/>
      <c r="FT123" s="683"/>
      <c r="FU123" s="684"/>
      <c r="FV123" s="680"/>
      <c r="FW123" s="681"/>
      <c r="FX123" s="682"/>
      <c r="FY123" s="682"/>
      <c r="FZ123" s="683"/>
      <c r="GA123" s="684"/>
      <c r="GB123" s="675"/>
      <c r="GC123" s="676">
        <f t="shared" si="125"/>
        <v>0</v>
      </c>
      <c r="GD123" s="677">
        <f t="shared" si="126"/>
        <v>0</v>
      </c>
      <c r="GE123" s="677">
        <f t="shared" si="172"/>
        <v>0</v>
      </c>
      <c r="GF123" s="678">
        <f t="shared" si="173"/>
        <v>0</v>
      </c>
      <c r="GG123" s="679">
        <f t="shared" si="174"/>
        <v>0</v>
      </c>
      <c r="GH123" s="680"/>
      <c r="GI123" s="681"/>
      <c r="GJ123" s="682"/>
      <c r="GK123" s="682"/>
      <c r="GL123" s="683"/>
      <c r="GM123" s="684"/>
      <c r="GN123" s="680"/>
      <c r="GO123" s="681"/>
      <c r="GP123" s="682"/>
      <c r="GQ123" s="682"/>
      <c r="GR123" s="683"/>
      <c r="GS123" s="684"/>
      <c r="GT123" s="680"/>
      <c r="GU123" s="681"/>
      <c r="GV123" s="682"/>
      <c r="GW123" s="682"/>
      <c r="GX123" s="683"/>
      <c r="GY123" s="684"/>
      <c r="GZ123" s="680"/>
      <c r="HA123" s="147"/>
      <c r="HB123" s="148"/>
      <c r="HC123" s="148"/>
      <c r="HD123" s="149"/>
      <c r="HE123" s="150"/>
      <c r="HF123" s="506"/>
      <c r="HG123" s="502"/>
      <c r="HH123" s="502"/>
      <c r="HI123" s="502"/>
      <c r="HJ123" s="8"/>
    </row>
    <row r="124" spans="2:218" ht="21" hidden="1">
      <c r="B124" s="488">
        <v>80</v>
      </c>
      <c r="C124" s="489" t="s">
        <v>400</v>
      </c>
      <c r="D124" s="490" t="s">
        <v>493</v>
      </c>
      <c r="E124" s="491" t="s">
        <v>444</v>
      </c>
      <c r="F124" s="492"/>
      <c r="G124" s="493"/>
      <c r="H124" s="146" t="s">
        <v>97</v>
      </c>
      <c r="I124" s="494" t="str">
        <f t="shared" si="92"/>
        <v>n.v.t.</v>
      </c>
      <c r="J124" s="495" t="s">
        <v>487</v>
      </c>
      <c r="K124" s="151">
        <v>0</v>
      </c>
      <c r="L124" s="256">
        <f>IF($C$5&lt;3000,(Bron!H113*$C$5)+Bron!I113,(Bron!M113*$C$5)+Bron!N113)</f>
        <v>262637.76</v>
      </c>
      <c r="M124" s="256"/>
      <c r="N124" s="496">
        <f t="shared" si="90"/>
        <v>6085.9199999999992</v>
      </c>
      <c r="O124" s="497">
        <f t="shared" si="91"/>
        <v>43.154980676709528</v>
      </c>
      <c r="P124" s="257">
        <f>IF($C$5&lt;3000,$AN$32*Bron!J113,$AN$32*Bron!O113)</f>
        <v>0</v>
      </c>
      <c r="Q124" s="257"/>
      <c r="R124" s="257">
        <f>IF($C$5&lt;3000,$AN$33*Bron!J113,$AN$33*Bron!O113)</f>
        <v>122.69999999999999</v>
      </c>
      <c r="S124" s="344"/>
      <c r="T124" s="258">
        <f t="shared" si="93"/>
        <v>0</v>
      </c>
      <c r="U124" s="259">
        <f t="shared" si="94"/>
        <v>0</v>
      </c>
      <c r="V124" s="675"/>
      <c r="W124" s="676">
        <f t="shared" si="95"/>
        <v>0</v>
      </c>
      <c r="X124" s="677">
        <f t="shared" si="96"/>
        <v>0</v>
      </c>
      <c r="Y124" s="677">
        <f t="shared" si="127"/>
        <v>0</v>
      </c>
      <c r="Z124" s="678">
        <f t="shared" si="128"/>
        <v>0</v>
      </c>
      <c r="AA124" s="679">
        <f t="shared" si="129"/>
        <v>0</v>
      </c>
      <c r="AB124" s="675"/>
      <c r="AC124" s="676">
        <f t="shared" si="97"/>
        <v>0</v>
      </c>
      <c r="AD124" s="677">
        <f t="shared" si="98"/>
        <v>0</v>
      </c>
      <c r="AE124" s="677">
        <f t="shared" si="130"/>
        <v>0</v>
      </c>
      <c r="AF124" s="678">
        <f t="shared" si="131"/>
        <v>0</v>
      </c>
      <c r="AG124" s="679">
        <f t="shared" si="132"/>
        <v>0</v>
      </c>
      <c r="AH124" s="675"/>
      <c r="AI124" s="676">
        <f t="shared" si="99"/>
        <v>0</v>
      </c>
      <c r="AJ124" s="677">
        <f t="shared" si="100"/>
        <v>0</v>
      </c>
      <c r="AK124" s="677">
        <f t="shared" si="133"/>
        <v>0</v>
      </c>
      <c r="AL124" s="678">
        <f t="shared" si="134"/>
        <v>0</v>
      </c>
      <c r="AM124" s="679">
        <f t="shared" si="135"/>
        <v>0</v>
      </c>
      <c r="AN124" s="675"/>
      <c r="AO124" s="676">
        <f t="shared" si="101"/>
        <v>0</v>
      </c>
      <c r="AP124" s="677">
        <f t="shared" si="102"/>
        <v>0</v>
      </c>
      <c r="AQ124" s="677">
        <f t="shared" si="136"/>
        <v>0</v>
      </c>
      <c r="AR124" s="678">
        <f t="shared" si="137"/>
        <v>0</v>
      </c>
      <c r="AS124" s="679">
        <f t="shared" si="138"/>
        <v>0</v>
      </c>
      <c r="AT124" s="675"/>
      <c r="AU124" s="676">
        <f t="shared" si="103"/>
        <v>0</v>
      </c>
      <c r="AV124" s="677">
        <f t="shared" si="104"/>
        <v>0</v>
      </c>
      <c r="AW124" s="677">
        <f t="shared" si="139"/>
        <v>0</v>
      </c>
      <c r="AX124" s="678">
        <f t="shared" si="140"/>
        <v>0</v>
      </c>
      <c r="AY124" s="679">
        <f t="shared" si="141"/>
        <v>0</v>
      </c>
      <c r="AZ124" s="675"/>
      <c r="BA124" s="676">
        <f t="shared" si="105"/>
        <v>0</v>
      </c>
      <c r="BB124" s="677">
        <f t="shared" si="106"/>
        <v>0</v>
      </c>
      <c r="BC124" s="677">
        <f t="shared" si="142"/>
        <v>0</v>
      </c>
      <c r="BD124" s="678">
        <f t="shared" si="143"/>
        <v>0</v>
      </c>
      <c r="BE124" s="679">
        <f t="shared" si="144"/>
        <v>0</v>
      </c>
      <c r="BF124" s="675"/>
      <c r="BG124" s="676">
        <f t="shared" si="107"/>
        <v>0</v>
      </c>
      <c r="BH124" s="677">
        <f t="shared" si="108"/>
        <v>0</v>
      </c>
      <c r="BI124" s="677">
        <f t="shared" si="145"/>
        <v>0</v>
      </c>
      <c r="BJ124" s="678">
        <f t="shared" si="146"/>
        <v>0</v>
      </c>
      <c r="BK124" s="679">
        <f t="shared" si="147"/>
        <v>0</v>
      </c>
      <c r="BL124" s="675"/>
      <c r="BM124" s="676">
        <f t="shared" si="109"/>
        <v>0</v>
      </c>
      <c r="BN124" s="677">
        <f t="shared" si="110"/>
        <v>0</v>
      </c>
      <c r="BO124" s="677">
        <f t="shared" si="148"/>
        <v>0</v>
      </c>
      <c r="BP124" s="678">
        <f t="shared" si="149"/>
        <v>0</v>
      </c>
      <c r="BQ124" s="679">
        <f t="shared" si="150"/>
        <v>0</v>
      </c>
      <c r="BR124" s="675"/>
      <c r="BS124" s="676">
        <f t="shared" si="111"/>
        <v>0</v>
      </c>
      <c r="BT124" s="677">
        <f t="shared" si="112"/>
        <v>0</v>
      </c>
      <c r="BU124" s="677">
        <f t="shared" si="151"/>
        <v>0</v>
      </c>
      <c r="BV124" s="678">
        <f t="shared" si="152"/>
        <v>0</v>
      </c>
      <c r="BW124" s="679">
        <f t="shared" si="153"/>
        <v>0</v>
      </c>
      <c r="BX124" s="675"/>
      <c r="BY124" s="676">
        <f t="shared" si="113"/>
        <v>0</v>
      </c>
      <c r="BZ124" s="677">
        <f t="shared" si="114"/>
        <v>0</v>
      </c>
      <c r="CA124" s="677">
        <f t="shared" si="154"/>
        <v>0</v>
      </c>
      <c r="CB124" s="678">
        <f t="shared" si="155"/>
        <v>0</v>
      </c>
      <c r="CC124" s="679">
        <f t="shared" si="156"/>
        <v>0</v>
      </c>
      <c r="CD124" s="675"/>
      <c r="CE124" s="676">
        <f t="shared" si="115"/>
        <v>0</v>
      </c>
      <c r="CF124" s="677">
        <f t="shared" si="116"/>
        <v>0</v>
      </c>
      <c r="CG124" s="677">
        <f t="shared" si="157"/>
        <v>0</v>
      </c>
      <c r="CH124" s="678">
        <f t="shared" si="158"/>
        <v>0</v>
      </c>
      <c r="CI124" s="679">
        <f t="shared" si="159"/>
        <v>0</v>
      </c>
      <c r="CJ124" s="675"/>
      <c r="CK124" s="676">
        <f t="shared" si="117"/>
        <v>0</v>
      </c>
      <c r="CL124" s="677">
        <f t="shared" si="118"/>
        <v>0</v>
      </c>
      <c r="CM124" s="677">
        <f t="shared" si="160"/>
        <v>0</v>
      </c>
      <c r="CN124" s="678">
        <f t="shared" si="161"/>
        <v>0</v>
      </c>
      <c r="CO124" s="679">
        <f t="shared" si="162"/>
        <v>0</v>
      </c>
      <c r="CP124" s="675"/>
      <c r="CQ124" s="676">
        <f t="shared" si="119"/>
        <v>0</v>
      </c>
      <c r="CR124" s="677">
        <f t="shared" si="120"/>
        <v>0</v>
      </c>
      <c r="CS124" s="677">
        <f t="shared" si="163"/>
        <v>0</v>
      </c>
      <c r="CT124" s="678">
        <f t="shared" si="164"/>
        <v>0</v>
      </c>
      <c r="CU124" s="679">
        <f t="shared" si="165"/>
        <v>0</v>
      </c>
      <c r="CV124" s="685"/>
      <c r="CW124" s="681"/>
      <c r="CX124" s="682"/>
      <c r="CY124" s="682"/>
      <c r="CZ124" s="683"/>
      <c r="DA124" s="684"/>
      <c r="DB124" s="685"/>
      <c r="DC124" s="681"/>
      <c r="DD124" s="682"/>
      <c r="DE124" s="682"/>
      <c r="DF124" s="683"/>
      <c r="DG124" s="684"/>
      <c r="DH124" s="685"/>
      <c r="DI124" s="681"/>
      <c r="DJ124" s="682"/>
      <c r="DK124" s="682"/>
      <c r="DL124" s="683"/>
      <c r="DM124" s="684"/>
      <c r="DN124" s="685"/>
      <c r="DO124" s="681"/>
      <c r="DP124" s="682"/>
      <c r="DQ124" s="682"/>
      <c r="DR124" s="683"/>
      <c r="DS124" s="684"/>
      <c r="DT124" s="675"/>
      <c r="DU124" s="676">
        <f t="shared" si="121"/>
        <v>0</v>
      </c>
      <c r="DV124" s="677">
        <f t="shared" si="122"/>
        <v>0</v>
      </c>
      <c r="DW124" s="677">
        <f t="shared" si="166"/>
        <v>0</v>
      </c>
      <c r="DX124" s="678">
        <f t="shared" si="167"/>
        <v>0</v>
      </c>
      <c r="DY124" s="679">
        <f t="shared" si="168"/>
        <v>0</v>
      </c>
      <c r="DZ124" s="680"/>
      <c r="EA124" s="681"/>
      <c r="EB124" s="682"/>
      <c r="EC124" s="682"/>
      <c r="ED124" s="683"/>
      <c r="EE124" s="684"/>
      <c r="EF124" s="680"/>
      <c r="EG124" s="681"/>
      <c r="EH124" s="682"/>
      <c r="EI124" s="682"/>
      <c r="EJ124" s="683"/>
      <c r="EK124" s="684"/>
      <c r="EL124" s="680"/>
      <c r="EM124" s="681"/>
      <c r="EN124" s="682"/>
      <c r="EO124" s="682"/>
      <c r="EP124" s="683"/>
      <c r="EQ124" s="684"/>
      <c r="ER124" s="680"/>
      <c r="ES124" s="681"/>
      <c r="ET124" s="682"/>
      <c r="EU124" s="682"/>
      <c r="EV124" s="683"/>
      <c r="EW124" s="684"/>
      <c r="EX124" s="675"/>
      <c r="EY124" s="676">
        <f t="shared" si="123"/>
        <v>0</v>
      </c>
      <c r="EZ124" s="677">
        <f t="shared" si="124"/>
        <v>0</v>
      </c>
      <c r="FA124" s="677">
        <f t="shared" si="169"/>
        <v>0</v>
      </c>
      <c r="FB124" s="678">
        <f t="shared" si="170"/>
        <v>0</v>
      </c>
      <c r="FC124" s="679">
        <f t="shared" si="171"/>
        <v>0</v>
      </c>
      <c r="FD124" s="680"/>
      <c r="FE124" s="681"/>
      <c r="FF124" s="682"/>
      <c r="FG124" s="682"/>
      <c r="FH124" s="683"/>
      <c r="FI124" s="684"/>
      <c r="FJ124" s="680"/>
      <c r="FK124" s="681"/>
      <c r="FL124" s="682"/>
      <c r="FM124" s="682"/>
      <c r="FN124" s="683"/>
      <c r="FO124" s="684"/>
      <c r="FP124" s="680"/>
      <c r="FQ124" s="681"/>
      <c r="FR124" s="682"/>
      <c r="FS124" s="682"/>
      <c r="FT124" s="683"/>
      <c r="FU124" s="684"/>
      <c r="FV124" s="680"/>
      <c r="FW124" s="681"/>
      <c r="FX124" s="682"/>
      <c r="FY124" s="682"/>
      <c r="FZ124" s="683"/>
      <c r="GA124" s="684"/>
      <c r="GB124" s="675"/>
      <c r="GC124" s="676">
        <f t="shared" si="125"/>
        <v>0</v>
      </c>
      <c r="GD124" s="677">
        <f t="shared" si="126"/>
        <v>0</v>
      </c>
      <c r="GE124" s="677">
        <f t="shared" si="172"/>
        <v>0</v>
      </c>
      <c r="GF124" s="678">
        <f t="shared" si="173"/>
        <v>0</v>
      </c>
      <c r="GG124" s="679">
        <f t="shared" si="174"/>
        <v>0</v>
      </c>
      <c r="GH124" s="680"/>
      <c r="GI124" s="681"/>
      <c r="GJ124" s="682"/>
      <c r="GK124" s="682"/>
      <c r="GL124" s="683"/>
      <c r="GM124" s="684"/>
      <c r="GN124" s="680"/>
      <c r="GO124" s="681"/>
      <c r="GP124" s="682"/>
      <c r="GQ124" s="682"/>
      <c r="GR124" s="683"/>
      <c r="GS124" s="684"/>
      <c r="GT124" s="680"/>
      <c r="GU124" s="681"/>
      <c r="GV124" s="682"/>
      <c r="GW124" s="682"/>
      <c r="GX124" s="683"/>
      <c r="GY124" s="684"/>
      <c r="GZ124" s="680"/>
      <c r="HA124" s="147"/>
      <c r="HB124" s="148"/>
      <c r="HC124" s="148"/>
      <c r="HD124" s="149"/>
      <c r="HE124" s="150"/>
      <c r="HF124" s="506"/>
      <c r="HG124" s="502"/>
      <c r="HH124" s="502"/>
      <c r="HI124" s="502"/>
      <c r="HJ124" s="8"/>
    </row>
    <row r="125" spans="2:218" ht="21">
      <c r="B125" s="488">
        <v>81</v>
      </c>
      <c r="C125" s="489" t="s">
        <v>400</v>
      </c>
      <c r="D125" s="490" t="s">
        <v>493</v>
      </c>
      <c r="E125" s="491" t="s">
        <v>857</v>
      </c>
      <c r="F125" s="492"/>
      <c r="G125" s="493"/>
      <c r="H125" s="146" t="s">
        <v>852</v>
      </c>
      <c r="I125" s="494" t="str">
        <f>IF(H125="X","n.v.t.",IF(H125="I","ons",IF(H125="V","verhuurder",IF(H125="H","huurder",""))))</f>
        <v>verhuurder</v>
      </c>
      <c r="J125" s="495"/>
      <c r="K125" s="151">
        <v>0</v>
      </c>
      <c r="L125" s="256"/>
      <c r="M125" s="256">
        <f>IF($C$5&lt;3000,(Bron!H114*$C$5/$C$6)+Bron!I114,(Bron!M114*$C$5/$C$6)+Bron!N114)</f>
        <v>161706.72</v>
      </c>
      <c r="N125" s="496">
        <f t="shared" si="90"/>
        <v>2028.6400000000003</v>
      </c>
      <c r="O125" s="497">
        <f t="shared" si="91"/>
        <v>79.711885795409714</v>
      </c>
      <c r="P125" s="257">
        <f>IF($C$5&lt;3000,$AN$32*Bron!J114,$AN$32*Bron!O114)/$C$6</f>
        <v>0</v>
      </c>
      <c r="Q125" s="257"/>
      <c r="R125" s="257">
        <f>IF($C$5&lt;3000,$AN$33*Bron!J114,$AN$33*Bron!O114)/$C$6</f>
        <v>40.900000000000006</v>
      </c>
      <c r="S125" s="344"/>
      <c r="T125" s="258">
        <f t="shared" si="93"/>
        <v>1</v>
      </c>
      <c r="U125" s="259">
        <f t="shared" si="94"/>
        <v>161706.72</v>
      </c>
      <c r="V125" s="675"/>
      <c r="W125" s="676">
        <f t="shared" si="95"/>
        <v>0</v>
      </c>
      <c r="X125" s="677">
        <f t="shared" si="96"/>
        <v>0</v>
      </c>
      <c r="Y125" s="677">
        <f t="shared" si="127"/>
        <v>0</v>
      </c>
      <c r="Z125" s="678">
        <f t="shared" si="128"/>
        <v>0</v>
      </c>
      <c r="AA125" s="679">
        <f t="shared" si="129"/>
        <v>0</v>
      </c>
      <c r="AB125" s="675"/>
      <c r="AC125" s="676">
        <f t="shared" si="97"/>
        <v>0</v>
      </c>
      <c r="AD125" s="677">
        <f t="shared" si="98"/>
        <v>0</v>
      </c>
      <c r="AE125" s="677">
        <f t="shared" si="130"/>
        <v>0</v>
      </c>
      <c r="AF125" s="678">
        <f t="shared" si="131"/>
        <v>0</v>
      </c>
      <c r="AG125" s="679">
        <f t="shared" si="132"/>
        <v>0</v>
      </c>
      <c r="AH125" s="675"/>
      <c r="AI125" s="676">
        <f t="shared" si="99"/>
        <v>0</v>
      </c>
      <c r="AJ125" s="677">
        <f t="shared" si="100"/>
        <v>0</v>
      </c>
      <c r="AK125" s="677">
        <f t="shared" si="133"/>
        <v>0</v>
      </c>
      <c r="AL125" s="678">
        <f t="shared" si="134"/>
        <v>0</v>
      </c>
      <c r="AM125" s="679">
        <f t="shared" si="135"/>
        <v>0</v>
      </c>
      <c r="AN125" s="675"/>
      <c r="AO125" s="676">
        <f t="shared" si="101"/>
        <v>0</v>
      </c>
      <c r="AP125" s="677">
        <f t="shared" si="102"/>
        <v>0</v>
      </c>
      <c r="AQ125" s="677">
        <f t="shared" si="136"/>
        <v>0</v>
      </c>
      <c r="AR125" s="678">
        <f t="shared" si="137"/>
        <v>0</v>
      </c>
      <c r="AS125" s="679">
        <f t="shared" si="138"/>
        <v>0</v>
      </c>
      <c r="AT125" s="675"/>
      <c r="AU125" s="676">
        <f t="shared" si="103"/>
        <v>0</v>
      </c>
      <c r="AV125" s="677">
        <f t="shared" si="104"/>
        <v>0</v>
      </c>
      <c r="AW125" s="677">
        <f t="shared" si="139"/>
        <v>0</v>
      </c>
      <c r="AX125" s="678">
        <f t="shared" si="140"/>
        <v>0</v>
      </c>
      <c r="AY125" s="679">
        <f t="shared" si="141"/>
        <v>0</v>
      </c>
      <c r="AZ125" s="675"/>
      <c r="BA125" s="676">
        <f t="shared" si="105"/>
        <v>0</v>
      </c>
      <c r="BB125" s="677">
        <f t="shared" si="106"/>
        <v>0</v>
      </c>
      <c r="BC125" s="677">
        <f t="shared" si="142"/>
        <v>0</v>
      </c>
      <c r="BD125" s="678">
        <f t="shared" si="143"/>
        <v>0</v>
      </c>
      <c r="BE125" s="679">
        <f t="shared" si="144"/>
        <v>0</v>
      </c>
      <c r="BF125" s="675">
        <v>1</v>
      </c>
      <c r="BG125" s="676">
        <f t="shared" si="107"/>
        <v>161706.72</v>
      </c>
      <c r="BH125" s="677">
        <f t="shared" si="108"/>
        <v>0</v>
      </c>
      <c r="BI125" s="677">
        <f t="shared" si="145"/>
        <v>0</v>
      </c>
      <c r="BJ125" s="678">
        <f t="shared" si="146"/>
        <v>40.900000000000006</v>
      </c>
      <c r="BK125" s="679">
        <f t="shared" si="147"/>
        <v>2028.6400000000003</v>
      </c>
      <c r="BL125" s="675"/>
      <c r="BM125" s="676">
        <f t="shared" si="109"/>
        <v>0</v>
      </c>
      <c r="BN125" s="677">
        <f t="shared" si="110"/>
        <v>0</v>
      </c>
      <c r="BO125" s="677">
        <f t="shared" si="148"/>
        <v>0</v>
      </c>
      <c r="BP125" s="678">
        <f t="shared" si="149"/>
        <v>0</v>
      </c>
      <c r="BQ125" s="679">
        <f t="shared" si="150"/>
        <v>0</v>
      </c>
      <c r="BR125" s="675"/>
      <c r="BS125" s="676">
        <f t="shared" si="111"/>
        <v>0</v>
      </c>
      <c r="BT125" s="677">
        <f t="shared" si="112"/>
        <v>0</v>
      </c>
      <c r="BU125" s="677">
        <f t="shared" si="151"/>
        <v>0</v>
      </c>
      <c r="BV125" s="678">
        <f t="shared" si="152"/>
        <v>0</v>
      </c>
      <c r="BW125" s="679">
        <f t="shared" si="153"/>
        <v>0</v>
      </c>
      <c r="BX125" s="675"/>
      <c r="BY125" s="676">
        <f t="shared" si="113"/>
        <v>0</v>
      </c>
      <c r="BZ125" s="677">
        <f t="shared" si="114"/>
        <v>0</v>
      </c>
      <c r="CA125" s="677">
        <f t="shared" si="154"/>
        <v>0</v>
      </c>
      <c r="CB125" s="678">
        <f t="shared" si="155"/>
        <v>0</v>
      </c>
      <c r="CC125" s="679">
        <f t="shared" si="156"/>
        <v>0</v>
      </c>
      <c r="CD125" s="675"/>
      <c r="CE125" s="676">
        <f t="shared" si="115"/>
        <v>0</v>
      </c>
      <c r="CF125" s="677">
        <f t="shared" si="116"/>
        <v>0</v>
      </c>
      <c r="CG125" s="677">
        <f t="shared" si="157"/>
        <v>0</v>
      </c>
      <c r="CH125" s="678">
        <f t="shared" si="158"/>
        <v>0</v>
      </c>
      <c r="CI125" s="679">
        <f t="shared" si="159"/>
        <v>0</v>
      </c>
      <c r="CJ125" s="675"/>
      <c r="CK125" s="676">
        <f t="shared" si="117"/>
        <v>0</v>
      </c>
      <c r="CL125" s="677">
        <f t="shared" si="118"/>
        <v>0</v>
      </c>
      <c r="CM125" s="677">
        <f t="shared" si="160"/>
        <v>0</v>
      </c>
      <c r="CN125" s="678">
        <f t="shared" si="161"/>
        <v>0</v>
      </c>
      <c r="CO125" s="679">
        <f t="shared" si="162"/>
        <v>0</v>
      </c>
      <c r="CP125" s="675"/>
      <c r="CQ125" s="676">
        <f t="shared" si="119"/>
        <v>0</v>
      </c>
      <c r="CR125" s="677">
        <f t="shared" si="120"/>
        <v>0</v>
      </c>
      <c r="CS125" s="677">
        <f t="shared" si="163"/>
        <v>0</v>
      </c>
      <c r="CT125" s="678">
        <f t="shared" si="164"/>
        <v>0</v>
      </c>
      <c r="CU125" s="679">
        <f t="shared" si="165"/>
        <v>0</v>
      </c>
      <c r="CV125" s="685"/>
      <c r="CW125" s="681"/>
      <c r="CX125" s="682"/>
      <c r="CY125" s="682"/>
      <c r="CZ125" s="683"/>
      <c r="DA125" s="684"/>
      <c r="DB125" s="685"/>
      <c r="DC125" s="681"/>
      <c r="DD125" s="682"/>
      <c r="DE125" s="682"/>
      <c r="DF125" s="683"/>
      <c r="DG125" s="684"/>
      <c r="DH125" s="685"/>
      <c r="DI125" s="681"/>
      <c r="DJ125" s="682"/>
      <c r="DK125" s="682"/>
      <c r="DL125" s="683"/>
      <c r="DM125" s="684"/>
      <c r="DN125" s="685"/>
      <c r="DO125" s="681"/>
      <c r="DP125" s="682"/>
      <c r="DQ125" s="682"/>
      <c r="DR125" s="683"/>
      <c r="DS125" s="684"/>
      <c r="DT125" s="675"/>
      <c r="DU125" s="676">
        <f t="shared" si="121"/>
        <v>0</v>
      </c>
      <c r="DV125" s="677">
        <f t="shared" si="122"/>
        <v>0</v>
      </c>
      <c r="DW125" s="677">
        <f t="shared" si="166"/>
        <v>0</v>
      </c>
      <c r="DX125" s="678">
        <f t="shared" si="167"/>
        <v>0</v>
      </c>
      <c r="DY125" s="679">
        <f t="shared" si="168"/>
        <v>0</v>
      </c>
      <c r="DZ125" s="680"/>
      <c r="EA125" s="681"/>
      <c r="EB125" s="682"/>
      <c r="EC125" s="682"/>
      <c r="ED125" s="683"/>
      <c r="EE125" s="684"/>
      <c r="EF125" s="680"/>
      <c r="EG125" s="681"/>
      <c r="EH125" s="682"/>
      <c r="EI125" s="682"/>
      <c r="EJ125" s="683"/>
      <c r="EK125" s="684"/>
      <c r="EL125" s="680"/>
      <c r="EM125" s="681"/>
      <c r="EN125" s="682"/>
      <c r="EO125" s="682"/>
      <c r="EP125" s="683"/>
      <c r="EQ125" s="684"/>
      <c r="ER125" s="680"/>
      <c r="ES125" s="681"/>
      <c r="ET125" s="682"/>
      <c r="EU125" s="682"/>
      <c r="EV125" s="683"/>
      <c r="EW125" s="684"/>
      <c r="EX125" s="675"/>
      <c r="EY125" s="676">
        <f t="shared" si="123"/>
        <v>0</v>
      </c>
      <c r="EZ125" s="677">
        <f t="shared" si="124"/>
        <v>0</v>
      </c>
      <c r="FA125" s="677">
        <f t="shared" si="169"/>
        <v>0</v>
      </c>
      <c r="FB125" s="678">
        <f t="shared" si="170"/>
        <v>0</v>
      </c>
      <c r="FC125" s="679">
        <f t="shared" si="171"/>
        <v>0</v>
      </c>
      <c r="FD125" s="680"/>
      <c r="FE125" s="681"/>
      <c r="FF125" s="682"/>
      <c r="FG125" s="682"/>
      <c r="FH125" s="683"/>
      <c r="FI125" s="684"/>
      <c r="FJ125" s="680"/>
      <c r="FK125" s="681"/>
      <c r="FL125" s="682"/>
      <c r="FM125" s="682"/>
      <c r="FN125" s="683"/>
      <c r="FO125" s="684"/>
      <c r="FP125" s="680"/>
      <c r="FQ125" s="681"/>
      <c r="FR125" s="682"/>
      <c r="FS125" s="682"/>
      <c r="FT125" s="683"/>
      <c r="FU125" s="684"/>
      <c r="FV125" s="680"/>
      <c r="FW125" s="681"/>
      <c r="FX125" s="682"/>
      <c r="FY125" s="682"/>
      <c r="FZ125" s="683"/>
      <c r="GA125" s="684"/>
      <c r="GB125" s="675"/>
      <c r="GC125" s="676">
        <f t="shared" si="125"/>
        <v>0</v>
      </c>
      <c r="GD125" s="677">
        <f t="shared" si="126"/>
        <v>0</v>
      </c>
      <c r="GE125" s="677">
        <f t="shared" si="172"/>
        <v>0</v>
      </c>
      <c r="GF125" s="678">
        <f t="shared" si="173"/>
        <v>0</v>
      </c>
      <c r="GG125" s="679">
        <f t="shared" si="174"/>
        <v>0</v>
      </c>
      <c r="GH125" s="680"/>
      <c r="GI125" s="681"/>
      <c r="GJ125" s="682"/>
      <c r="GK125" s="682"/>
      <c r="GL125" s="683"/>
      <c r="GM125" s="684"/>
      <c r="GN125" s="680"/>
      <c r="GO125" s="681"/>
      <c r="GP125" s="682"/>
      <c r="GQ125" s="682"/>
      <c r="GR125" s="683"/>
      <c r="GS125" s="684"/>
      <c r="GT125" s="680"/>
      <c r="GU125" s="681"/>
      <c r="GV125" s="682"/>
      <c r="GW125" s="682"/>
      <c r="GX125" s="683"/>
      <c r="GY125" s="684"/>
      <c r="GZ125" s="680"/>
      <c r="HA125" s="147"/>
      <c r="HB125" s="148"/>
      <c r="HC125" s="148"/>
      <c r="HD125" s="149"/>
      <c r="HE125" s="150"/>
      <c r="HF125" s="506"/>
      <c r="HG125" s="502"/>
      <c r="HH125" s="502"/>
      <c r="HI125" s="502"/>
      <c r="HJ125" s="8"/>
    </row>
    <row r="126" spans="2:218" ht="21" hidden="1">
      <c r="B126" s="488">
        <v>82</v>
      </c>
      <c r="C126" s="489" t="s">
        <v>400</v>
      </c>
      <c r="D126" s="490" t="s">
        <v>493</v>
      </c>
      <c r="E126" s="491" t="s">
        <v>598</v>
      </c>
      <c r="F126" s="492"/>
      <c r="G126" s="493"/>
      <c r="H126" s="146" t="s">
        <v>97</v>
      </c>
      <c r="I126" s="494" t="str">
        <f t="shared" si="92"/>
        <v>n.v.t.</v>
      </c>
      <c r="J126" s="495"/>
      <c r="K126" s="151">
        <v>0</v>
      </c>
      <c r="L126" s="256"/>
      <c r="M126" s="256">
        <f>IF($C$5&lt;3000,(Bron!H115*$C$5*1.4/$C$6)+Bron!I115,(Bron!M115*$C$5*1.4/$C$6)+Bron!N115)</f>
        <v>113954.4</v>
      </c>
      <c r="N126" s="496">
        <f t="shared" si="90"/>
        <v>6085.9199999999992</v>
      </c>
      <c r="O126" s="497">
        <f t="shared" si="91"/>
        <v>18.724268475431817</v>
      </c>
      <c r="P126" s="257">
        <f>IF($C$5&lt;3000,$AN$32*Bron!J115,$AN$32*Bron!O115)/$C$6</f>
        <v>0</v>
      </c>
      <c r="Q126" s="257">
        <f>IF($C$5&lt;3000,$AN$31*Bron!K115,$AN$31*Bron!P115)</f>
        <v>0</v>
      </c>
      <c r="R126" s="257">
        <f>IF($C$5&lt;3000,$AN$33*Bron!J115,$AN$33*Bron!O115)/$C$6</f>
        <v>122.69999999999999</v>
      </c>
      <c r="S126" s="344"/>
      <c r="T126" s="258">
        <f t="shared" si="93"/>
        <v>0</v>
      </c>
      <c r="U126" s="259">
        <f t="shared" si="94"/>
        <v>0</v>
      </c>
      <c r="V126" s="675"/>
      <c r="W126" s="676">
        <f t="shared" si="95"/>
        <v>0</v>
      </c>
      <c r="X126" s="677">
        <f t="shared" si="96"/>
        <v>0</v>
      </c>
      <c r="Y126" s="677">
        <f t="shared" si="127"/>
        <v>0</v>
      </c>
      <c r="Z126" s="678">
        <f t="shared" si="128"/>
        <v>0</v>
      </c>
      <c r="AA126" s="679">
        <f t="shared" si="129"/>
        <v>0</v>
      </c>
      <c r="AB126" s="675"/>
      <c r="AC126" s="676">
        <f t="shared" si="97"/>
        <v>0</v>
      </c>
      <c r="AD126" s="677">
        <f t="shared" si="98"/>
        <v>0</v>
      </c>
      <c r="AE126" s="677">
        <f t="shared" si="130"/>
        <v>0</v>
      </c>
      <c r="AF126" s="678">
        <f t="shared" si="131"/>
        <v>0</v>
      </c>
      <c r="AG126" s="679">
        <f t="shared" si="132"/>
        <v>0</v>
      </c>
      <c r="AH126" s="675"/>
      <c r="AI126" s="676">
        <f t="shared" si="99"/>
        <v>0</v>
      </c>
      <c r="AJ126" s="677">
        <f t="shared" si="100"/>
        <v>0</v>
      </c>
      <c r="AK126" s="677">
        <f t="shared" si="133"/>
        <v>0</v>
      </c>
      <c r="AL126" s="678">
        <f t="shared" si="134"/>
        <v>0</v>
      </c>
      <c r="AM126" s="679">
        <f t="shared" si="135"/>
        <v>0</v>
      </c>
      <c r="AN126" s="675"/>
      <c r="AO126" s="676">
        <f t="shared" si="101"/>
        <v>0</v>
      </c>
      <c r="AP126" s="677">
        <f t="shared" si="102"/>
        <v>0</v>
      </c>
      <c r="AQ126" s="677">
        <f t="shared" si="136"/>
        <v>0</v>
      </c>
      <c r="AR126" s="678">
        <f t="shared" si="137"/>
        <v>0</v>
      </c>
      <c r="AS126" s="679">
        <f t="shared" si="138"/>
        <v>0</v>
      </c>
      <c r="AT126" s="675"/>
      <c r="AU126" s="676">
        <f t="shared" si="103"/>
        <v>0</v>
      </c>
      <c r="AV126" s="677">
        <f t="shared" si="104"/>
        <v>0</v>
      </c>
      <c r="AW126" s="677">
        <f t="shared" si="139"/>
        <v>0</v>
      </c>
      <c r="AX126" s="678">
        <f t="shared" si="140"/>
        <v>0</v>
      </c>
      <c r="AY126" s="679">
        <f t="shared" si="141"/>
        <v>0</v>
      </c>
      <c r="AZ126" s="675"/>
      <c r="BA126" s="676">
        <f t="shared" si="105"/>
        <v>0</v>
      </c>
      <c r="BB126" s="677">
        <f t="shared" si="106"/>
        <v>0</v>
      </c>
      <c r="BC126" s="677">
        <f t="shared" si="142"/>
        <v>0</v>
      </c>
      <c r="BD126" s="678">
        <f t="shared" si="143"/>
        <v>0</v>
      </c>
      <c r="BE126" s="679">
        <f t="shared" si="144"/>
        <v>0</v>
      </c>
      <c r="BF126" s="675"/>
      <c r="BG126" s="676">
        <f t="shared" si="107"/>
        <v>0</v>
      </c>
      <c r="BH126" s="677">
        <f t="shared" si="108"/>
        <v>0</v>
      </c>
      <c r="BI126" s="677">
        <f t="shared" si="145"/>
        <v>0</v>
      </c>
      <c r="BJ126" s="678">
        <f t="shared" si="146"/>
        <v>0</v>
      </c>
      <c r="BK126" s="679">
        <f t="shared" si="147"/>
        <v>0</v>
      </c>
      <c r="BL126" s="675"/>
      <c r="BM126" s="676">
        <f t="shared" si="109"/>
        <v>0</v>
      </c>
      <c r="BN126" s="677">
        <f t="shared" si="110"/>
        <v>0</v>
      </c>
      <c r="BO126" s="677">
        <f t="shared" si="148"/>
        <v>0</v>
      </c>
      <c r="BP126" s="678">
        <f t="shared" si="149"/>
        <v>0</v>
      </c>
      <c r="BQ126" s="679">
        <f t="shared" si="150"/>
        <v>0</v>
      </c>
      <c r="BR126" s="675"/>
      <c r="BS126" s="676">
        <f t="shared" si="111"/>
        <v>0</v>
      </c>
      <c r="BT126" s="677">
        <f t="shared" si="112"/>
        <v>0</v>
      </c>
      <c r="BU126" s="677">
        <f t="shared" si="151"/>
        <v>0</v>
      </c>
      <c r="BV126" s="678">
        <f t="shared" si="152"/>
        <v>0</v>
      </c>
      <c r="BW126" s="679">
        <f t="shared" si="153"/>
        <v>0</v>
      </c>
      <c r="BX126" s="675"/>
      <c r="BY126" s="676">
        <f t="shared" si="113"/>
        <v>0</v>
      </c>
      <c r="BZ126" s="677">
        <f t="shared" si="114"/>
        <v>0</v>
      </c>
      <c r="CA126" s="677">
        <f t="shared" si="154"/>
        <v>0</v>
      </c>
      <c r="CB126" s="678">
        <f t="shared" si="155"/>
        <v>0</v>
      </c>
      <c r="CC126" s="679">
        <f t="shared" si="156"/>
        <v>0</v>
      </c>
      <c r="CD126" s="675"/>
      <c r="CE126" s="676">
        <f t="shared" si="115"/>
        <v>0</v>
      </c>
      <c r="CF126" s="677">
        <f t="shared" si="116"/>
        <v>0</v>
      </c>
      <c r="CG126" s="677">
        <f t="shared" si="157"/>
        <v>0</v>
      </c>
      <c r="CH126" s="678">
        <f t="shared" si="158"/>
        <v>0</v>
      </c>
      <c r="CI126" s="679">
        <f t="shared" si="159"/>
        <v>0</v>
      </c>
      <c r="CJ126" s="675"/>
      <c r="CK126" s="676">
        <f t="shared" si="117"/>
        <v>0</v>
      </c>
      <c r="CL126" s="677">
        <f t="shared" si="118"/>
        <v>0</v>
      </c>
      <c r="CM126" s="677">
        <f t="shared" si="160"/>
        <v>0</v>
      </c>
      <c r="CN126" s="678">
        <f t="shared" si="161"/>
        <v>0</v>
      </c>
      <c r="CO126" s="679">
        <f t="shared" si="162"/>
        <v>0</v>
      </c>
      <c r="CP126" s="675"/>
      <c r="CQ126" s="676">
        <f t="shared" si="119"/>
        <v>0</v>
      </c>
      <c r="CR126" s="677">
        <f t="shared" si="120"/>
        <v>0</v>
      </c>
      <c r="CS126" s="677">
        <f t="shared" si="163"/>
        <v>0</v>
      </c>
      <c r="CT126" s="678">
        <f t="shared" si="164"/>
        <v>0</v>
      </c>
      <c r="CU126" s="679">
        <f t="shared" si="165"/>
        <v>0</v>
      </c>
      <c r="CV126" s="685"/>
      <c r="CW126" s="681"/>
      <c r="CX126" s="682"/>
      <c r="CY126" s="682"/>
      <c r="CZ126" s="683"/>
      <c r="DA126" s="684"/>
      <c r="DB126" s="685"/>
      <c r="DC126" s="681"/>
      <c r="DD126" s="682"/>
      <c r="DE126" s="682"/>
      <c r="DF126" s="683"/>
      <c r="DG126" s="684"/>
      <c r="DH126" s="685"/>
      <c r="DI126" s="681"/>
      <c r="DJ126" s="682"/>
      <c r="DK126" s="682"/>
      <c r="DL126" s="683"/>
      <c r="DM126" s="684"/>
      <c r="DN126" s="685"/>
      <c r="DO126" s="681"/>
      <c r="DP126" s="682"/>
      <c r="DQ126" s="682"/>
      <c r="DR126" s="683"/>
      <c r="DS126" s="684"/>
      <c r="DT126" s="675"/>
      <c r="DU126" s="676">
        <f t="shared" si="121"/>
        <v>0</v>
      </c>
      <c r="DV126" s="677">
        <f t="shared" si="122"/>
        <v>0</v>
      </c>
      <c r="DW126" s="677">
        <f t="shared" si="166"/>
        <v>0</v>
      </c>
      <c r="DX126" s="678">
        <f t="shared" si="167"/>
        <v>0</v>
      </c>
      <c r="DY126" s="679">
        <f t="shared" si="168"/>
        <v>0</v>
      </c>
      <c r="DZ126" s="680"/>
      <c r="EA126" s="681"/>
      <c r="EB126" s="682"/>
      <c r="EC126" s="682"/>
      <c r="ED126" s="683"/>
      <c r="EE126" s="684"/>
      <c r="EF126" s="680"/>
      <c r="EG126" s="681"/>
      <c r="EH126" s="682"/>
      <c r="EI126" s="682"/>
      <c r="EJ126" s="683"/>
      <c r="EK126" s="684"/>
      <c r="EL126" s="680"/>
      <c r="EM126" s="681"/>
      <c r="EN126" s="682"/>
      <c r="EO126" s="682"/>
      <c r="EP126" s="683"/>
      <c r="EQ126" s="684"/>
      <c r="ER126" s="680"/>
      <c r="ES126" s="681"/>
      <c r="ET126" s="682"/>
      <c r="EU126" s="682"/>
      <c r="EV126" s="683"/>
      <c r="EW126" s="684"/>
      <c r="EX126" s="675"/>
      <c r="EY126" s="676">
        <f t="shared" si="123"/>
        <v>0</v>
      </c>
      <c r="EZ126" s="677">
        <f t="shared" si="124"/>
        <v>0</v>
      </c>
      <c r="FA126" s="677">
        <f t="shared" si="169"/>
        <v>0</v>
      </c>
      <c r="FB126" s="678">
        <f t="shared" si="170"/>
        <v>0</v>
      </c>
      <c r="FC126" s="679">
        <f t="shared" si="171"/>
        <v>0</v>
      </c>
      <c r="FD126" s="680"/>
      <c r="FE126" s="681"/>
      <c r="FF126" s="682"/>
      <c r="FG126" s="682"/>
      <c r="FH126" s="683"/>
      <c r="FI126" s="684"/>
      <c r="FJ126" s="680"/>
      <c r="FK126" s="681"/>
      <c r="FL126" s="682"/>
      <c r="FM126" s="682"/>
      <c r="FN126" s="683"/>
      <c r="FO126" s="684"/>
      <c r="FP126" s="680"/>
      <c r="FQ126" s="681"/>
      <c r="FR126" s="682"/>
      <c r="FS126" s="682"/>
      <c r="FT126" s="683"/>
      <c r="FU126" s="684"/>
      <c r="FV126" s="680"/>
      <c r="FW126" s="681"/>
      <c r="FX126" s="682"/>
      <c r="FY126" s="682"/>
      <c r="FZ126" s="683"/>
      <c r="GA126" s="684"/>
      <c r="GB126" s="675"/>
      <c r="GC126" s="676">
        <f t="shared" si="125"/>
        <v>0</v>
      </c>
      <c r="GD126" s="677">
        <f t="shared" si="126"/>
        <v>0</v>
      </c>
      <c r="GE126" s="677">
        <f t="shared" si="172"/>
        <v>0</v>
      </c>
      <c r="GF126" s="678">
        <f t="shared" si="173"/>
        <v>0</v>
      </c>
      <c r="GG126" s="679">
        <f t="shared" si="174"/>
        <v>0</v>
      </c>
      <c r="GH126" s="680"/>
      <c r="GI126" s="681"/>
      <c r="GJ126" s="682"/>
      <c r="GK126" s="682"/>
      <c r="GL126" s="683"/>
      <c r="GM126" s="684"/>
      <c r="GN126" s="680"/>
      <c r="GO126" s="681"/>
      <c r="GP126" s="682"/>
      <c r="GQ126" s="682"/>
      <c r="GR126" s="683"/>
      <c r="GS126" s="684"/>
      <c r="GT126" s="680"/>
      <c r="GU126" s="681"/>
      <c r="GV126" s="682"/>
      <c r="GW126" s="682"/>
      <c r="GX126" s="683"/>
      <c r="GY126" s="684"/>
      <c r="GZ126" s="680"/>
      <c r="HA126" s="147"/>
      <c r="HB126" s="148"/>
      <c r="HC126" s="148"/>
      <c r="HD126" s="149"/>
      <c r="HE126" s="150"/>
      <c r="HF126" s="506"/>
      <c r="HG126" s="502"/>
      <c r="HH126" s="502"/>
      <c r="HI126" s="502"/>
      <c r="HJ126" s="8"/>
    </row>
    <row r="127" spans="2:218" ht="21" hidden="1">
      <c r="B127" s="488">
        <v>83</v>
      </c>
      <c r="C127" s="489" t="s">
        <v>400</v>
      </c>
      <c r="D127" s="490" t="s">
        <v>493</v>
      </c>
      <c r="E127" s="491" t="s">
        <v>445</v>
      </c>
      <c r="F127" s="492"/>
      <c r="G127" s="493"/>
      <c r="H127" s="146" t="s">
        <v>97</v>
      </c>
      <c r="I127" s="494" t="str">
        <f t="shared" si="92"/>
        <v>n.v.t.</v>
      </c>
      <c r="J127" s="495" t="s">
        <v>487</v>
      </c>
      <c r="K127" s="151">
        <v>0</v>
      </c>
      <c r="L127" s="256">
        <f>IF($C$5&lt;3000,(Bron!H116*$C$5/$C$6)+Bron!I116,(Bron!M116*$C$5/$C$6)+Bron!N116)</f>
        <v>57519.839999999997</v>
      </c>
      <c r="M127" s="256"/>
      <c r="N127" s="496">
        <f t="shared" si="90"/>
        <v>2434.3679999999999</v>
      </c>
      <c r="O127" s="497">
        <f t="shared" si="91"/>
        <v>23.628243552330623</v>
      </c>
      <c r="P127" s="257">
        <f>IF($C$5&lt;3000,$AN$32*Bron!J116,$AN$32*Bron!O116)/$C$6</f>
        <v>0</v>
      </c>
      <c r="Q127" s="257"/>
      <c r="R127" s="257">
        <f>IF($C$5&lt;3000,$AN$33*Bron!J116,$AN$33*Bron!O116)/$C$6</f>
        <v>49.08</v>
      </c>
      <c r="S127" s="344"/>
      <c r="T127" s="258">
        <f t="shared" si="93"/>
        <v>0</v>
      </c>
      <c r="U127" s="259">
        <f t="shared" si="94"/>
        <v>0</v>
      </c>
      <c r="V127" s="675"/>
      <c r="W127" s="676">
        <f t="shared" si="95"/>
        <v>0</v>
      </c>
      <c r="X127" s="677">
        <f t="shared" si="96"/>
        <v>0</v>
      </c>
      <c r="Y127" s="677">
        <f t="shared" si="127"/>
        <v>0</v>
      </c>
      <c r="Z127" s="678">
        <f t="shared" si="128"/>
        <v>0</v>
      </c>
      <c r="AA127" s="679">
        <f t="shared" si="129"/>
        <v>0</v>
      </c>
      <c r="AB127" s="675"/>
      <c r="AC127" s="676">
        <f t="shared" si="97"/>
        <v>0</v>
      </c>
      <c r="AD127" s="677">
        <f t="shared" si="98"/>
        <v>0</v>
      </c>
      <c r="AE127" s="677">
        <f t="shared" si="130"/>
        <v>0</v>
      </c>
      <c r="AF127" s="678">
        <f t="shared" si="131"/>
        <v>0</v>
      </c>
      <c r="AG127" s="679">
        <f t="shared" si="132"/>
        <v>0</v>
      </c>
      <c r="AH127" s="675"/>
      <c r="AI127" s="676">
        <f t="shared" si="99"/>
        <v>0</v>
      </c>
      <c r="AJ127" s="677">
        <f t="shared" si="100"/>
        <v>0</v>
      </c>
      <c r="AK127" s="677">
        <f t="shared" si="133"/>
        <v>0</v>
      </c>
      <c r="AL127" s="678">
        <f t="shared" si="134"/>
        <v>0</v>
      </c>
      <c r="AM127" s="679">
        <f t="shared" si="135"/>
        <v>0</v>
      </c>
      <c r="AN127" s="675"/>
      <c r="AO127" s="676">
        <f t="shared" si="101"/>
        <v>0</v>
      </c>
      <c r="AP127" s="677">
        <f t="shared" si="102"/>
        <v>0</v>
      </c>
      <c r="AQ127" s="677">
        <f t="shared" si="136"/>
        <v>0</v>
      </c>
      <c r="AR127" s="678">
        <f t="shared" si="137"/>
        <v>0</v>
      </c>
      <c r="AS127" s="679">
        <f t="shared" si="138"/>
        <v>0</v>
      </c>
      <c r="AT127" s="675"/>
      <c r="AU127" s="676">
        <f t="shared" si="103"/>
        <v>0</v>
      </c>
      <c r="AV127" s="677">
        <f t="shared" si="104"/>
        <v>0</v>
      </c>
      <c r="AW127" s="677">
        <f t="shared" si="139"/>
        <v>0</v>
      </c>
      <c r="AX127" s="678">
        <f t="shared" si="140"/>
        <v>0</v>
      </c>
      <c r="AY127" s="679">
        <f t="shared" si="141"/>
        <v>0</v>
      </c>
      <c r="AZ127" s="675"/>
      <c r="BA127" s="676">
        <f t="shared" si="105"/>
        <v>0</v>
      </c>
      <c r="BB127" s="677">
        <f t="shared" si="106"/>
        <v>0</v>
      </c>
      <c r="BC127" s="677">
        <f t="shared" si="142"/>
        <v>0</v>
      </c>
      <c r="BD127" s="678">
        <f t="shared" si="143"/>
        <v>0</v>
      </c>
      <c r="BE127" s="679">
        <f t="shared" si="144"/>
        <v>0</v>
      </c>
      <c r="BF127" s="675"/>
      <c r="BG127" s="676">
        <f t="shared" si="107"/>
        <v>0</v>
      </c>
      <c r="BH127" s="677">
        <f t="shared" si="108"/>
        <v>0</v>
      </c>
      <c r="BI127" s="677">
        <f t="shared" si="145"/>
        <v>0</v>
      </c>
      <c r="BJ127" s="678">
        <f t="shared" si="146"/>
        <v>0</v>
      </c>
      <c r="BK127" s="679">
        <f t="shared" si="147"/>
        <v>0</v>
      </c>
      <c r="BL127" s="675"/>
      <c r="BM127" s="676">
        <f t="shared" si="109"/>
        <v>0</v>
      </c>
      <c r="BN127" s="677">
        <f t="shared" si="110"/>
        <v>0</v>
      </c>
      <c r="BO127" s="677">
        <f t="shared" si="148"/>
        <v>0</v>
      </c>
      <c r="BP127" s="678">
        <f t="shared" si="149"/>
        <v>0</v>
      </c>
      <c r="BQ127" s="679">
        <f t="shared" si="150"/>
        <v>0</v>
      </c>
      <c r="BR127" s="675"/>
      <c r="BS127" s="676">
        <f t="shared" si="111"/>
        <v>0</v>
      </c>
      <c r="BT127" s="677">
        <f t="shared" si="112"/>
        <v>0</v>
      </c>
      <c r="BU127" s="677">
        <f t="shared" si="151"/>
        <v>0</v>
      </c>
      <c r="BV127" s="678">
        <f t="shared" si="152"/>
        <v>0</v>
      </c>
      <c r="BW127" s="679">
        <f t="shared" si="153"/>
        <v>0</v>
      </c>
      <c r="BX127" s="675"/>
      <c r="BY127" s="676">
        <f t="shared" si="113"/>
        <v>0</v>
      </c>
      <c r="BZ127" s="677">
        <f t="shared" si="114"/>
        <v>0</v>
      </c>
      <c r="CA127" s="677">
        <f t="shared" si="154"/>
        <v>0</v>
      </c>
      <c r="CB127" s="678">
        <f t="shared" si="155"/>
        <v>0</v>
      </c>
      <c r="CC127" s="679">
        <f t="shared" si="156"/>
        <v>0</v>
      </c>
      <c r="CD127" s="675"/>
      <c r="CE127" s="676">
        <f t="shared" si="115"/>
        <v>0</v>
      </c>
      <c r="CF127" s="677">
        <f t="shared" si="116"/>
        <v>0</v>
      </c>
      <c r="CG127" s="677">
        <f t="shared" si="157"/>
        <v>0</v>
      </c>
      <c r="CH127" s="678">
        <f t="shared" si="158"/>
        <v>0</v>
      </c>
      <c r="CI127" s="679">
        <f t="shared" si="159"/>
        <v>0</v>
      </c>
      <c r="CJ127" s="675"/>
      <c r="CK127" s="676">
        <f t="shared" si="117"/>
        <v>0</v>
      </c>
      <c r="CL127" s="677">
        <f t="shared" si="118"/>
        <v>0</v>
      </c>
      <c r="CM127" s="677">
        <f t="shared" si="160"/>
        <v>0</v>
      </c>
      <c r="CN127" s="678">
        <f t="shared" si="161"/>
        <v>0</v>
      </c>
      <c r="CO127" s="679">
        <f t="shared" si="162"/>
        <v>0</v>
      </c>
      <c r="CP127" s="675"/>
      <c r="CQ127" s="676">
        <f t="shared" si="119"/>
        <v>0</v>
      </c>
      <c r="CR127" s="677">
        <f t="shared" si="120"/>
        <v>0</v>
      </c>
      <c r="CS127" s="677">
        <f t="shared" si="163"/>
        <v>0</v>
      </c>
      <c r="CT127" s="678">
        <f t="shared" si="164"/>
        <v>0</v>
      </c>
      <c r="CU127" s="679">
        <f t="shared" si="165"/>
        <v>0</v>
      </c>
      <c r="CV127" s="685"/>
      <c r="CW127" s="681"/>
      <c r="CX127" s="682"/>
      <c r="CY127" s="682"/>
      <c r="CZ127" s="683"/>
      <c r="DA127" s="684"/>
      <c r="DB127" s="685"/>
      <c r="DC127" s="681"/>
      <c r="DD127" s="682"/>
      <c r="DE127" s="682"/>
      <c r="DF127" s="683"/>
      <c r="DG127" s="684"/>
      <c r="DH127" s="685"/>
      <c r="DI127" s="681"/>
      <c r="DJ127" s="682"/>
      <c r="DK127" s="682"/>
      <c r="DL127" s="683"/>
      <c r="DM127" s="684"/>
      <c r="DN127" s="685"/>
      <c r="DO127" s="681"/>
      <c r="DP127" s="682"/>
      <c r="DQ127" s="682"/>
      <c r="DR127" s="683"/>
      <c r="DS127" s="684"/>
      <c r="DT127" s="675"/>
      <c r="DU127" s="676">
        <f t="shared" si="121"/>
        <v>0</v>
      </c>
      <c r="DV127" s="677">
        <f t="shared" si="122"/>
        <v>0</v>
      </c>
      <c r="DW127" s="677">
        <f t="shared" si="166"/>
        <v>0</v>
      </c>
      <c r="DX127" s="678">
        <f t="shared" si="167"/>
        <v>0</v>
      </c>
      <c r="DY127" s="679">
        <f t="shared" si="168"/>
        <v>0</v>
      </c>
      <c r="DZ127" s="680"/>
      <c r="EA127" s="681"/>
      <c r="EB127" s="682"/>
      <c r="EC127" s="682"/>
      <c r="ED127" s="683"/>
      <c r="EE127" s="684"/>
      <c r="EF127" s="680"/>
      <c r="EG127" s="681"/>
      <c r="EH127" s="682"/>
      <c r="EI127" s="682"/>
      <c r="EJ127" s="683"/>
      <c r="EK127" s="684"/>
      <c r="EL127" s="680"/>
      <c r="EM127" s="681"/>
      <c r="EN127" s="682"/>
      <c r="EO127" s="682"/>
      <c r="EP127" s="683"/>
      <c r="EQ127" s="684"/>
      <c r="ER127" s="680"/>
      <c r="ES127" s="681"/>
      <c r="ET127" s="682"/>
      <c r="EU127" s="682"/>
      <c r="EV127" s="683"/>
      <c r="EW127" s="684"/>
      <c r="EX127" s="675"/>
      <c r="EY127" s="676">
        <f t="shared" si="123"/>
        <v>0</v>
      </c>
      <c r="EZ127" s="677">
        <f t="shared" si="124"/>
        <v>0</v>
      </c>
      <c r="FA127" s="677">
        <f t="shared" si="169"/>
        <v>0</v>
      </c>
      <c r="FB127" s="678">
        <f t="shared" si="170"/>
        <v>0</v>
      </c>
      <c r="FC127" s="679">
        <f t="shared" si="171"/>
        <v>0</v>
      </c>
      <c r="FD127" s="680"/>
      <c r="FE127" s="681"/>
      <c r="FF127" s="682"/>
      <c r="FG127" s="682"/>
      <c r="FH127" s="683"/>
      <c r="FI127" s="684"/>
      <c r="FJ127" s="680"/>
      <c r="FK127" s="681"/>
      <c r="FL127" s="682"/>
      <c r="FM127" s="682"/>
      <c r="FN127" s="683"/>
      <c r="FO127" s="684"/>
      <c r="FP127" s="680"/>
      <c r="FQ127" s="681"/>
      <c r="FR127" s="682"/>
      <c r="FS127" s="682"/>
      <c r="FT127" s="683"/>
      <c r="FU127" s="684"/>
      <c r="FV127" s="680"/>
      <c r="FW127" s="681"/>
      <c r="FX127" s="682"/>
      <c r="FY127" s="682"/>
      <c r="FZ127" s="683"/>
      <c r="GA127" s="684"/>
      <c r="GB127" s="675"/>
      <c r="GC127" s="676">
        <f t="shared" si="125"/>
        <v>0</v>
      </c>
      <c r="GD127" s="677">
        <f t="shared" si="126"/>
        <v>0</v>
      </c>
      <c r="GE127" s="677">
        <f t="shared" si="172"/>
        <v>0</v>
      </c>
      <c r="GF127" s="678">
        <f t="shared" si="173"/>
        <v>0</v>
      </c>
      <c r="GG127" s="679">
        <f t="shared" si="174"/>
        <v>0</v>
      </c>
      <c r="GH127" s="680"/>
      <c r="GI127" s="681"/>
      <c r="GJ127" s="682"/>
      <c r="GK127" s="682"/>
      <c r="GL127" s="683"/>
      <c r="GM127" s="684"/>
      <c r="GN127" s="680"/>
      <c r="GO127" s="681"/>
      <c r="GP127" s="682"/>
      <c r="GQ127" s="682"/>
      <c r="GR127" s="683"/>
      <c r="GS127" s="684"/>
      <c r="GT127" s="680"/>
      <c r="GU127" s="681"/>
      <c r="GV127" s="682"/>
      <c r="GW127" s="682"/>
      <c r="GX127" s="683"/>
      <c r="GY127" s="684"/>
      <c r="GZ127" s="680"/>
      <c r="HA127" s="147"/>
      <c r="HB127" s="148"/>
      <c r="HC127" s="148"/>
      <c r="HD127" s="149"/>
      <c r="HE127" s="150"/>
      <c r="HF127" s="506"/>
      <c r="HG127" s="502"/>
      <c r="HH127" s="502"/>
      <c r="HI127" s="502"/>
      <c r="HJ127" s="8"/>
    </row>
    <row r="128" spans="2:218" ht="21" hidden="1">
      <c r="B128" s="488">
        <v>84</v>
      </c>
      <c r="C128" s="489" t="s">
        <v>400</v>
      </c>
      <c r="D128" s="490" t="s">
        <v>493</v>
      </c>
      <c r="E128" s="491" t="s">
        <v>612</v>
      </c>
      <c r="F128" s="492"/>
      <c r="G128" s="493"/>
      <c r="H128" s="146" t="s">
        <v>97</v>
      </c>
      <c r="I128" s="494" t="str">
        <f t="shared" si="92"/>
        <v>n.v.t.</v>
      </c>
      <c r="J128" s="495"/>
      <c r="K128" s="151">
        <v>0</v>
      </c>
      <c r="L128" s="256"/>
      <c r="M128" s="256">
        <f>IF($C$5&lt;3000,(Bron!H117*$C$5)+Bron!I117,(Bron!M117*$C$5)+Bron!N117)</f>
        <v>0</v>
      </c>
      <c r="N128" s="496">
        <f t="shared" si="90"/>
        <v>4868.7359999999999</v>
      </c>
      <c r="O128" s="497">
        <f t="shared" si="91"/>
        <v>0</v>
      </c>
      <c r="P128" s="257">
        <f>IF($C$5&lt;3000,$AN$32*Bron!J117,$AN$32*Bron!O117)</f>
        <v>0</v>
      </c>
      <c r="Q128" s="257">
        <f>IF($C$5&lt;3000,$AN$31*Bron!K117,$AN$31*Bron!P117)</f>
        <v>0</v>
      </c>
      <c r="R128" s="257">
        <f>IF($C$5&lt;3000,$AN$33*Bron!J117,$AN$33*Bron!O117)</f>
        <v>98.16</v>
      </c>
      <c r="S128" s="344"/>
      <c r="T128" s="258">
        <f t="shared" si="93"/>
        <v>0</v>
      </c>
      <c r="U128" s="259">
        <f t="shared" si="94"/>
        <v>0</v>
      </c>
      <c r="V128" s="675"/>
      <c r="W128" s="676">
        <f t="shared" si="95"/>
        <v>0</v>
      </c>
      <c r="X128" s="677">
        <f t="shared" si="96"/>
        <v>0</v>
      </c>
      <c r="Y128" s="677">
        <f t="shared" si="127"/>
        <v>0</v>
      </c>
      <c r="Z128" s="678">
        <f t="shared" si="128"/>
        <v>0</v>
      </c>
      <c r="AA128" s="679">
        <f t="shared" si="129"/>
        <v>0</v>
      </c>
      <c r="AB128" s="675"/>
      <c r="AC128" s="676">
        <f t="shared" si="97"/>
        <v>0</v>
      </c>
      <c r="AD128" s="677">
        <f t="shared" si="98"/>
        <v>0</v>
      </c>
      <c r="AE128" s="677">
        <f t="shared" si="130"/>
        <v>0</v>
      </c>
      <c r="AF128" s="678">
        <f t="shared" si="131"/>
        <v>0</v>
      </c>
      <c r="AG128" s="679">
        <f t="shared" si="132"/>
        <v>0</v>
      </c>
      <c r="AH128" s="675"/>
      <c r="AI128" s="676">
        <f t="shared" si="99"/>
        <v>0</v>
      </c>
      <c r="AJ128" s="677">
        <f t="shared" si="100"/>
        <v>0</v>
      </c>
      <c r="AK128" s="677">
        <f t="shared" si="133"/>
        <v>0</v>
      </c>
      <c r="AL128" s="678">
        <f t="shared" si="134"/>
        <v>0</v>
      </c>
      <c r="AM128" s="679">
        <f t="shared" si="135"/>
        <v>0</v>
      </c>
      <c r="AN128" s="675"/>
      <c r="AO128" s="676">
        <f t="shared" si="101"/>
        <v>0</v>
      </c>
      <c r="AP128" s="677">
        <f t="shared" si="102"/>
        <v>0</v>
      </c>
      <c r="AQ128" s="677">
        <f t="shared" si="136"/>
        <v>0</v>
      </c>
      <c r="AR128" s="678">
        <f t="shared" si="137"/>
        <v>0</v>
      </c>
      <c r="AS128" s="679">
        <f t="shared" si="138"/>
        <v>0</v>
      </c>
      <c r="AT128" s="675"/>
      <c r="AU128" s="676">
        <f t="shared" si="103"/>
        <v>0</v>
      </c>
      <c r="AV128" s="677">
        <f t="shared" si="104"/>
        <v>0</v>
      </c>
      <c r="AW128" s="677">
        <f t="shared" si="139"/>
        <v>0</v>
      </c>
      <c r="AX128" s="678">
        <f t="shared" si="140"/>
        <v>0</v>
      </c>
      <c r="AY128" s="679">
        <f t="shared" si="141"/>
        <v>0</v>
      </c>
      <c r="AZ128" s="675"/>
      <c r="BA128" s="676">
        <f t="shared" si="105"/>
        <v>0</v>
      </c>
      <c r="BB128" s="677">
        <f t="shared" si="106"/>
        <v>0</v>
      </c>
      <c r="BC128" s="677">
        <f t="shared" si="142"/>
        <v>0</v>
      </c>
      <c r="BD128" s="678">
        <f t="shared" si="143"/>
        <v>0</v>
      </c>
      <c r="BE128" s="679">
        <f t="shared" si="144"/>
        <v>0</v>
      </c>
      <c r="BF128" s="675"/>
      <c r="BG128" s="676">
        <f t="shared" si="107"/>
        <v>0</v>
      </c>
      <c r="BH128" s="677">
        <f t="shared" si="108"/>
        <v>0</v>
      </c>
      <c r="BI128" s="677">
        <f t="shared" si="145"/>
        <v>0</v>
      </c>
      <c r="BJ128" s="678">
        <f t="shared" si="146"/>
        <v>0</v>
      </c>
      <c r="BK128" s="679">
        <f t="shared" si="147"/>
        <v>0</v>
      </c>
      <c r="BL128" s="675"/>
      <c r="BM128" s="676">
        <f t="shared" si="109"/>
        <v>0</v>
      </c>
      <c r="BN128" s="677">
        <f t="shared" si="110"/>
        <v>0</v>
      </c>
      <c r="BO128" s="677">
        <f t="shared" si="148"/>
        <v>0</v>
      </c>
      <c r="BP128" s="678">
        <f t="shared" si="149"/>
        <v>0</v>
      </c>
      <c r="BQ128" s="679">
        <f t="shared" si="150"/>
        <v>0</v>
      </c>
      <c r="BR128" s="675"/>
      <c r="BS128" s="676">
        <f t="shared" si="111"/>
        <v>0</v>
      </c>
      <c r="BT128" s="677">
        <f t="shared" si="112"/>
        <v>0</v>
      </c>
      <c r="BU128" s="677">
        <f t="shared" si="151"/>
        <v>0</v>
      </c>
      <c r="BV128" s="678">
        <f t="shared" si="152"/>
        <v>0</v>
      </c>
      <c r="BW128" s="679">
        <f t="shared" si="153"/>
        <v>0</v>
      </c>
      <c r="BX128" s="675"/>
      <c r="BY128" s="676">
        <f t="shared" si="113"/>
        <v>0</v>
      </c>
      <c r="BZ128" s="677">
        <f t="shared" si="114"/>
        <v>0</v>
      </c>
      <c r="CA128" s="677">
        <f t="shared" si="154"/>
        <v>0</v>
      </c>
      <c r="CB128" s="678">
        <f t="shared" si="155"/>
        <v>0</v>
      </c>
      <c r="CC128" s="679">
        <f t="shared" si="156"/>
        <v>0</v>
      </c>
      <c r="CD128" s="675"/>
      <c r="CE128" s="676">
        <f t="shared" si="115"/>
        <v>0</v>
      </c>
      <c r="CF128" s="677">
        <f t="shared" si="116"/>
        <v>0</v>
      </c>
      <c r="CG128" s="677">
        <f t="shared" si="157"/>
        <v>0</v>
      </c>
      <c r="CH128" s="678">
        <f t="shared" si="158"/>
        <v>0</v>
      </c>
      <c r="CI128" s="679">
        <f t="shared" si="159"/>
        <v>0</v>
      </c>
      <c r="CJ128" s="675"/>
      <c r="CK128" s="676">
        <f t="shared" si="117"/>
        <v>0</v>
      </c>
      <c r="CL128" s="677">
        <f t="shared" si="118"/>
        <v>0</v>
      </c>
      <c r="CM128" s="677">
        <f t="shared" si="160"/>
        <v>0</v>
      </c>
      <c r="CN128" s="678">
        <f t="shared" si="161"/>
        <v>0</v>
      </c>
      <c r="CO128" s="679">
        <f t="shared" si="162"/>
        <v>0</v>
      </c>
      <c r="CP128" s="675"/>
      <c r="CQ128" s="676">
        <f t="shared" si="119"/>
        <v>0</v>
      </c>
      <c r="CR128" s="677">
        <f t="shared" si="120"/>
        <v>0</v>
      </c>
      <c r="CS128" s="677">
        <f t="shared" si="163"/>
        <v>0</v>
      </c>
      <c r="CT128" s="678">
        <f t="shared" si="164"/>
        <v>0</v>
      </c>
      <c r="CU128" s="679">
        <f t="shared" si="165"/>
        <v>0</v>
      </c>
      <c r="CV128" s="685"/>
      <c r="CW128" s="681"/>
      <c r="CX128" s="682"/>
      <c r="CY128" s="682"/>
      <c r="CZ128" s="683"/>
      <c r="DA128" s="684"/>
      <c r="DB128" s="685"/>
      <c r="DC128" s="681"/>
      <c r="DD128" s="682"/>
      <c r="DE128" s="682"/>
      <c r="DF128" s="683"/>
      <c r="DG128" s="684"/>
      <c r="DH128" s="685"/>
      <c r="DI128" s="681"/>
      <c r="DJ128" s="682"/>
      <c r="DK128" s="682"/>
      <c r="DL128" s="683"/>
      <c r="DM128" s="684"/>
      <c r="DN128" s="685"/>
      <c r="DO128" s="681"/>
      <c r="DP128" s="682"/>
      <c r="DQ128" s="682"/>
      <c r="DR128" s="683"/>
      <c r="DS128" s="684"/>
      <c r="DT128" s="675"/>
      <c r="DU128" s="676">
        <f t="shared" si="121"/>
        <v>0</v>
      </c>
      <c r="DV128" s="677">
        <f t="shared" si="122"/>
        <v>0</v>
      </c>
      <c r="DW128" s="677">
        <f t="shared" si="166"/>
        <v>0</v>
      </c>
      <c r="DX128" s="678">
        <f t="shared" si="167"/>
        <v>0</v>
      </c>
      <c r="DY128" s="679">
        <f t="shared" si="168"/>
        <v>0</v>
      </c>
      <c r="DZ128" s="680"/>
      <c r="EA128" s="681"/>
      <c r="EB128" s="682"/>
      <c r="EC128" s="682"/>
      <c r="ED128" s="683"/>
      <c r="EE128" s="684"/>
      <c r="EF128" s="680"/>
      <c r="EG128" s="681"/>
      <c r="EH128" s="682"/>
      <c r="EI128" s="682"/>
      <c r="EJ128" s="683"/>
      <c r="EK128" s="684"/>
      <c r="EL128" s="680"/>
      <c r="EM128" s="681"/>
      <c r="EN128" s="682"/>
      <c r="EO128" s="682"/>
      <c r="EP128" s="683"/>
      <c r="EQ128" s="684"/>
      <c r="ER128" s="680"/>
      <c r="ES128" s="681"/>
      <c r="ET128" s="682"/>
      <c r="EU128" s="682"/>
      <c r="EV128" s="683"/>
      <c r="EW128" s="684"/>
      <c r="EX128" s="675"/>
      <c r="EY128" s="676">
        <f t="shared" si="123"/>
        <v>0</v>
      </c>
      <c r="EZ128" s="677">
        <f t="shared" si="124"/>
        <v>0</v>
      </c>
      <c r="FA128" s="677">
        <f t="shared" si="169"/>
        <v>0</v>
      </c>
      <c r="FB128" s="678">
        <f t="shared" si="170"/>
        <v>0</v>
      </c>
      <c r="FC128" s="679">
        <f t="shared" si="171"/>
        <v>0</v>
      </c>
      <c r="FD128" s="680"/>
      <c r="FE128" s="681"/>
      <c r="FF128" s="682"/>
      <c r="FG128" s="682"/>
      <c r="FH128" s="683"/>
      <c r="FI128" s="684"/>
      <c r="FJ128" s="680"/>
      <c r="FK128" s="681"/>
      <c r="FL128" s="682"/>
      <c r="FM128" s="682"/>
      <c r="FN128" s="683"/>
      <c r="FO128" s="684"/>
      <c r="FP128" s="680"/>
      <c r="FQ128" s="681"/>
      <c r="FR128" s="682"/>
      <c r="FS128" s="682"/>
      <c r="FT128" s="683"/>
      <c r="FU128" s="684"/>
      <c r="FV128" s="680"/>
      <c r="FW128" s="681"/>
      <c r="FX128" s="682"/>
      <c r="FY128" s="682"/>
      <c r="FZ128" s="683"/>
      <c r="GA128" s="684"/>
      <c r="GB128" s="675"/>
      <c r="GC128" s="676">
        <f t="shared" si="125"/>
        <v>0</v>
      </c>
      <c r="GD128" s="677">
        <f t="shared" si="126"/>
        <v>0</v>
      </c>
      <c r="GE128" s="677">
        <f t="shared" si="172"/>
        <v>0</v>
      </c>
      <c r="GF128" s="678">
        <f t="shared" si="173"/>
        <v>0</v>
      </c>
      <c r="GG128" s="679">
        <f t="shared" si="174"/>
        <v>0</v>
      </c>
      <c r="GH128" s="680"/>
      <c r="GI128" s="681"/>
      <c r="GJ128" s="682"/>
      <c r="GK128" s="682"/>
      <c r="GL128" s="683"/>
      <c r="GM128" s="684"/>
      <c r="GN128" s="680"/>
      <c r="GO128" s="681"/>
      <c r="GP128" s="682"/>
      <c r="GQ128" s="682"/>
      <c r="GR128" s="683"/>
      <c r="GS128" s="684"/>
      <c r="GT128" s="680"/>
      <c r="GU128" s="681"/>
      <c r="GV128" s="682"/>
      <c r="GW128" s="682"/>
      <c r="GX128" s="683"/>
      <c r="GY128" s="684"/>
      <c r="GZ128" s="680"/>
      <c r="HA128" s="147"/>
      <c r="HB128" s="148"/>
      <c r="HC128" s="148"/>
      <c r="HD128" s="149"/>
      <c r="HE128" s="150"/>
      <c r="HF128" s="506"/>
      <c r="HG128" s="502"/>
      <c r="HH128" s="502"/>
      <c r="HI128" s="502"/>
      <c r="HJ128" s="8"/>
    </row>
    <row r="129" spans="2:218" ht="21" hidden="1">
      <c r="B129" s="488">
        <v>85</v>
      </c>
      <c r="C129" s="489" t="s">
        <v>400</v>
      </c>
      <c r="D129" s="490" t="s">
        <v>493</v>
      </c>
      <c r="E129" s="491" t="s">
        <v>600</v>
      </c>
      <c r="F129" s="492"/>
      <c r="G129" s="493"/>
      <c r="H129" s="146" t="s">
        <v>97</v>
      </c>
      <c r="I129" s="494" t="str">
        <f t="shared" si="92"/>
        <v>n.v.t.</v>
      </c>
      <c r="J129" s="495"/>
      <c r="K129" s="151">
        <v>0</v>
      </c>
      <c r="L129" s="256"/>
      <c r="M129" s="256">
        <f>IF($C$5&lt;3000,(Bron!H118*$C$5)+Bron!I118,(Bron!M118*$C$5)+Bron!N118)</f>
        <v>62946.239999999998</v>
      </c>
      <c r="N129" s="496">
        <f t="shared" si="90"/>
        <v>7708.8320000000012</v>
      </c>
      <c r="O129" s="497">
        <f t="shared" si="91"/>
        <v>8.1654704629702639</v>
      </c>
      <c r="P129" s="257">
        <f>IF($C$5&lt;3000,$AN$32*Bron!J118,$AN$32*Bron!O118)</f>
        <v>0</v>
      </c>
      <c r="Q129" s="257"/>
      <c r="R129" s="257">
        <f>IF($C$5&lt;3000,$AN$33*Bron!J118,$AN$33*Bron!O118)</f>
        <v>155.42000000000002</v>
      </c>
      <c r="S129" s="344"/>
      <c r="T129" s="258">
        <f t="shared" si="93"/>
        <v>0</v>
      </c>
      <c r="U129" s="259">
        <f t="shared" si="94"/>
        <v>0</v>
      </c>
      <c r="V129" s="675"/>
      <c r="W129" s="676">
        <f t="shared" si="95"/>
        <v>0</v>
      </c>
      <c r="X129" s="677">
        <f t="shared" si="96"/>
        <v>0</v>
      </c>
      <c r="Y129" s="677">
        <f t="shared" si="127"/>
        <v>0</v>
      </c>
      <c r="Z129" s="678">
        <f t="shared" si="128"/>
        <v>0</v>
      </c>
      <c r="AA129" s="679">
        <f t="shared" si="129"/>
        <v>0</v>
      </c>
      <c r="AB129" s="675"/>
      <c r="AC129" s="676">
        <f t="shared" si="97"/>
        <v>0</v>
      </c>
      <c r="AD129" s="677">
        <f t="shared" si="98"/>
        <v>0</v>
      </c>
      <c r="AE129" s="677">
        <f t="shared" si="130"/>
        <v>0</v>
      </c>
      <c r="AF129" s="678">
        <f t="shared" si="131"/>
        <v>0</v>
      </c>
      <c r="AG129" s="679">
        <f t="shared" si="132"/>
        <v>0</v>
      </c>
      <c r="AH129" s="675"/>
      <c r="AI129" s="676">
        <f t="shared" si="99"/>
        <v>0</v>
      </c>
      <c r="AJ129" s="677">
        <f t="shared" si="100"/>
        <v>0</v>
      </c>
      <c r="AK129" s="677">
        <f t="shared" si="133"/>
        <v>0</v>
      </c>
      <c r="AL129" s="678">
        <f t="shared" si="134"/>
        <v>0</v>
      </c>
      <c r="AM129" s="679">
        <f t="shared" si="135"/>
        <v>0</v>
      </c>
      <c r="AN129" s="675"/>
      <c r="AO129" s="676">
        <f t="shared" si="101"/>
        <v>0</v>
      </c>
      <c r="AP129" s="677">
        <f t="shared" si="102"/>
        <v>0</v>
      </c>
      <c r="AQ129" s="677">
        <f t="shared" si="136"/>
        <v>0</v>
      </c>
      <c r="AR129" s="678">
        <f t="shared" si="137"/>
        <v>0</v>
      </c>
      <c r="AS129" s="679">
        <f t="shared" si="138"/>
        <v>0</v>
      </c>
      <c r="AT129" s="675"/>
      <c r="AU129" s="676">
        <f t="shared" si="103"/>
        <v>0</v>
      </c>
      <c r="AV129" s="677">
        <f t="shared" si="104"/>
        <v>0</v>
      </c>
      <c r="AW129" s="677">
        <f t="shared" si="139"/>
        <v>0</v>
      </c>
      <c r="AX129" s="678">
        <f t="shared" si="140"/>
        <v>0</v>
      </c>
      <c r="AY129" s="679">
        <f t="shared" si="141"/>
        <v>0</v>
      </c>
      <c r="AZ129" s="675"/>
      <c r="BA129" s="676">
        <f t="shared" si="105"/>
        <v>0</v>
      </c>
      <c r="BB129" s="677">
        <f t="shared" si="106"/>
        <v>0</v>
      </c>
      <c r="BC129" s="677">
        <f t="shared" si="142"/>
        <v>0</v>
      </c>
      <c r="BD129" s="678">
        <f t="shared" si="143"/>
        <v>0</v>
      </c>
      <c r="BE129" s="679">
        <f t="shared" si="144"/>
        <v>0</v>
      </c>
      <c r="BF129" s="675"/>
      <c r="BG129" s="676">
        <f t="shared" si="107"/>
        <v>0</v>
      </c>
      <c r="BH129" s="677">
        <f t="shared" si="108"/>
        <v>0</v>
      </c>
      <c r="BI129" s="677">
        <f t="shared" si="145"/>
        <v>0</v>
      </c>
      <c r="BJ129" s="678">
        <f t="shared" si="146"/>
        <v>0</v>
      </c>
      <c r="BK129" s="679">
        <f t="shared" si="147"/>
        <v>0</v>
      </c>
      <c r="BL129" s="675"/>
      <c r="BM129" s="676">
        <f t="shared" si="109"/>
        <v>0</v>
      </c>
      <c r="BN129" s="677">
        <f t="shared" si="110"/>
        <v>0</v>
      </c>
      <c r="BO129" s="677">
        <f t="shared" si="148"/>
        <v>0</v>
      </c>
      <c r="BP129" s="678">
        <f t="shared" si="149"/>
        <v>0</v>
      </c>
      <c r="BQ129" s="679">
        <f t="shared" si="150"/>
        <v>0</v>
      </c>
      <c r="BR129" s="675"/>
      <c r="BS129" s="676">
        <f t="shared" si="111"/>
        <v>0</v>
      </c>
      <c r="BT129" s="677">
        <f t="shared" si="112"/>
        <v>0</v>
      </c>
      <c r="BU129" s="677">
        <f t="shared" si="151"/>
        <v>0</v>
      </c>
      <c r="BV129" s="678">
        <f t="shared" si="152"/>
        <v>0</v>
      </c>
      <c r="BW129" s="679">
        <f t="shared" si="153"/>
        <v>0</v>
      </c>
      <c r="BX129" s="675"/>
      <c r="BY129" s="676">
        <f t="shared" si="113"/>
        <v>0</v>
      </c>
      <c r="BZ129" s="677">
        <f t="shared" si="114"/>
        <v>0</v>
      </c>
      <c r="CA129" s="677">
        <f t="shared" si="154"/>
        <v>0</v>
      </c>
      <c r="CB129" s="678">
        <f t="shared" si="155"/>
        <v>0</v>
      </c>
      <c r="CC129" s="679">
        <f t="shared" si="156"/>
        <v>0</v>
      </c>
      <c r="CD129" s="675"/>
      <c r="CE129" s="676">
        <f t="shared" si="115"/>
        <v>0</v>
      </c>
      <c r="CF129" s="677">
        <f t="shared" si="116"/>
        <v>0</v>
      </c>
      <c r="CG129" s="677">
        <f t="shared" si="157"/>
        <v>0</v>
      </c>
      <c r="CH129" s="678">
        <f t="shared" si="158"/>
        <v>0</v>
      </c>
      <c r="CI129" s="679">
        <f t="shared" si="159"/>
        <v>0</v>
      </c>
      <c r="CJ129" s="675"/>
      <c r="CK129" s="676">
        <f t="shared" si="117"/>
        <v>0</v>
      </c>
      <c r="CL129" s="677">
        <f t="shared" si="118"/>
        <v>0</v>
      </c>
      <c r="CM129" s="677">
        <f t="shared" si="160"/>
        <v>0</v>
      </c>
      <c r="CN129" s="678">
        <f t="shared" si="161"/>
        <v>0</v>
      </c>
      <c r="CO129" s="679">
        <f t="shared" si="162"/>
        <v>0</v>
      </c>
      <c r="CP129" s="675"/>
      <c r="CQ129" s="676">
        <f t="shared" si="119"/>
        <v>0</v>
      </c>
      <c r="CR129" s="677">
        <f t="shared" si="120"/>
        <v>0</v>
      </c>
      <c r="CS129" s="677">
        <f t="shared" si="163"/>
        <v>0</v>
      </c>
      <c r="CT129" s="678">
        <f t="shared" si="164"/>
        <v>0</v>
      </c>
      <c r="CU129" s="679">
        <f t="shared" si="165"/>
        <v>0</v>
      </c>
      <c r="CV129" s="685"/>
      <c r="CW129" s="681"/>
      <c r="CX129" s="682"/>
      <c r="CY129" s="682"/>
      <c r="CZ129" s="683"/>
      <c r="DA129" s="684"/>
      <c r="DB129" s="685"/>
      <c r="DC129" s="681"/>
      <c r="DD129" s="682"/>
      <c r="DE129" s="682"/>
      <c r="DF129" s="683"/>
      <c r="DG129" s="684"/>
      <c r="DH129" s="685"/>
      <c r="DI129" s="681"/>
      <c r="DJ129" s="682"/>
      <c r="DK129" s="682"/>
      <c r="DL129" s="683"/>
      <c r="DM129" s="684"/>
      <c r="DN129" s="685"/>
      <c r="DO129" s="681"/>
      <c r="DP129" s="682"/>
      <c r="DQ129" s="682"/>
      <c r="DR129" s="683"/>
      <c r="DS129" s="684"/>
      <c r="DT129" s="675"/>
      <c r="DU129" s="676">
        <f t="shared" si="121"/>
        <v>0</v>
      </c>
      <c r="DV129" s="677">
        <f t="shared" si="122"/>
        <v>0</v>
      </c>
      <c r="DW129" s="677">
        <f t="shared" si="166"/>
        <v>0</v>
      </c>
      <c r="DX129" s="678">
        <f t="shared" si="167"/>
        <v>0</v>
      </c>
      <c r="DY129" s="679">
        <f t="shared" si="168"/>
        <v>0</v>
      </c>
      <c r="DZ129" s="680"/>
      <c r="EA129" s="681"/>
      <c r="EB129" s="682"/>
      <c r="EC129" s="682"/>
      <c r="ED129" s="683"/>
      <c r="EE129" s="684"/>
      <c r="EF129" s="680"/>
      <c r="EG129" s="681"/>
      <c r="EH129" s="682"/>
      <c r="EI129" s="682"/>
      <c r="EJ129" s="683"/>
      <c r="EK129" s="684"/>
      <c r="EL129" s="680"/>
      <c r="EM129" s="681"/>
      <c r="EN129" s="682"/>
      <c r="EO129" s="682"/>
      <c r="EP129" s="683"/>
      <c r="EQ129" s="684"/>
      <c r="ER129" s="680"/>
      <c r="ES129" s="681"/>
      <c r="ET129" s="682"/>
      <c r="EU129" s="682"/>
      <c r="EV129" s="683"/>
      <c r="EW129" s="684"/>
      <c r="EX129" s="675"/>
      <c r="EY129" s="676">
        <f t="shared" si="123"/>
        <v>0</v>
      </c>
      <c r="EZ129" s="677">
        <f t="shared" si="124"/>
        <v>0</v>
      </c>
      <c r="FA129" s="677">
        <f t="shared" si="169"/>
        <v>0</v>
      </c>
      <c r="FB129" s="678">
        <f t="shared" si="170"/>
        <v>0</v>
      </c>
      <c r="FC129" s="679">
        <f t="shared" si="171"/>
        <v>0</v>
      </c>
      <c r="FD129" s="680"/>
      <c r="FE129" s="681"/>
      <c r="FF129" s="682"/>
      <c r="FG129" s="682"/>
      <c r="FH129" s="683"/>
      <c r="FI129" s="684"/>
      <c r="FJ129" s="680"/>
      <c r="FK129" s="681"/>
      <c r="FL129" s="682"/>
      <c r="FM129" s="682"/>
      <c r="FN129" s="683"/>
      <c r="FO129" s="684"/>
      <c r="FP129" s="680"/>
      <c r="FQ129" s="681"/>
      <c r="FR129" s="682"/>
      <c r="FS129" s="682"/>
      <c r="FT129" s="683"/>
      <c r="FU129" s="684"/>
      <c r="FV129" s="680"/>
      <c r="FW129" s="681"/>
      <c r="FX129" s="682"/>
      <c r="FY129" s="682"/>
      <c r="FZ129" s="683"/>
      <c r="GA129" s="684"/>
      <c r="GB129" s="675"/>
      <c r="GC129" s="676">
        <f t="shared" si="125"/>
        <v>0</v>
      </c>
      <c r="GD129" s="677">
        <f t="shared" si="126"/>
        <v>0</v>
      </c>
      <c r="GE129" s="677">
        <f t="shared" si="172"/>
        <v>0</v>
      </c>
      <c r="GF129" s="678">
        <f t="shared" si="173"/>
        <v>0</v>
      </c>
      <c r="GG129" s="679">
        <f t="shared" si="174"/>
        <v>0</v>
      </c>
      <c r="GH129" s="680"/>
      <c r="GI129" s="681"/>
      <c r="GJ129" s="682"/>
      <c r="GK129" s="682"/>
      <c r="GL129" s="683"/>
      <c r="GM129" s="684"/>
      <c r="GN129" s="680"/>
      <c r="GO129" s="681"/>
      <c r="GP129" s="682"/>
      <c r="GQ129" s="682"/>
      <c r="GR129" s="683"/>
      <c r="GS129" s="684"/>
      <c r="GT129" s="680"/>
      <c r="GU129" s="681"/>
      <c r="GV129" s="682"/>
      <c r="GW129" s="682"/>
      <c r="GX129" s="683"/>
      <c r="GY129" s="684"/>
      <c r="GZ129" s="680"/>
      <c r="HA129" s="147"/>
      <c r="HB129" s="148"/>
      <c r="HC129" s="148"/>
      <c r="HD129" s="149"/>
      <c r="HE129" s="150"/>
      <c r="HF129" s="506"/>
      <c r="HG129" s="502"/>
      <c r="HH129" s="502"/>
      <c r="HI129" s="502"/>
      <c r="HJ129" s="8"/>
    </row>
    <row r="130" spans="2:218" ht="21" hidden="1">
      <c r="B130" s="488">
        <v>86</v>
      </c>
      <c r="C130" s="489" t="s">
        <v>400</v>
      </c>
      <c r="D130" s="490" t="s">
        <v>493</v>
      </c>
      <c r="E130" s="491" t="s">
        <v>446</v>
      </c>
      <c r="F130" s="492"/>
      <c r="G130" s="493"/>
      <c r="H130" s="146" t="s">
        <v>97</v>
      </c>
      <c r="I130" s="494" t="str">
        <f t="shared" si="92"/>
        <v>n.v.t.</v>
      </c>
      <c r="J130" s="495" t="s">
        <v>487</v>
      </c>
      <c r="K130" s="151">
        <v>0</v>
      </c>
      <c r="L130" s="256">
        <f>IF($C$5&lt;3000,(Bron!H119*$C$5)+Bron!I119,(Bron!M119*$C$5)+Bron!N119)</f>
        <v>34728.959999999999</v>
      </c>
      <c r="M130" s="256"/>
      <c r="N130" s="496">
        <f t="shared" si="90"/>
        <v>4057.2800000000007</v>
      </c>
      <c r="O130" s="497">
        <f t="shared" si="91"/>
        <v>8.5596655887688282</v>
      </c>
      <c r="P130" s="257">
        <f>IF($C$5&lt;3000,$AN$32*Bron!J119,$AN$32*Bron!O119)</f>
        <v>0</v>
      </c>
      <c r="Q130" s="257"/>
      <c r="R130" s="257">
        <f>IF($C$5&lt;3000,$AN$33*Bron!J119,$AN$33*Bron!O119)</f>
        <v>81.800000000000011</v>
      </c>
      <c r="S130" s="344"/>
      <c r="T130" s="258">
        <f t="shared" si="93"/>
        <v>0</v>
      </c>
      <c r="U130" s="259">
        <f t="shared" si="94"/>
        <v>0</v>
      </c>
      <c r="V130" s="675"/>
      <c r="W130" s="676">
        <f t="shared" si="95"/>
        <v>0</v>
      </c>
      <c r="X130" s="677">
        <f t="shared" si="96"/>
        <v>0</v>
      </c>
      <c r="Y130" s="677">
        <f t="shared" si="127"/>
        <v>0</v>
      </c>
      <c r="Z130" s="678">
        <f t="shared" si="128"/>
        <v>0</v>
      </c>
      <c r="AA130" s="679">
        <f t="shared" si="129"/>
        <v>0</v>
      </c>
      <c r="AB130" s="675"/>
      <c r="AC130" s="676">
        <f t="shared" si="97"/>
        <v>0</v>
      </c>
      <c r="AD130" s="677">
        <f t="shared" si="98"/>
        <v>0</v>
      </c>
      <c r="AE130" s="677">
        <f t="shared" si="130"/>
        <v>0</v>
      </c>
      <c r="AF130" s="678">
        <f t="shared" si="131"/>
        <v>0</v>
      </c>
      <c r="AG130" s="679">
        <f t="shared" si="132"/>
        <v>0</v>
      </c>
      <c r="AH130" s="675"/>
      <c r="AI130" s="676">
        <f t="shared" si="99"/>
        <v>0</v>
      </c>
      <c r="AJ130" s="677">
        <f t="shared" si="100"/>
        <v>0</v>
      </c>
      <c r="AK130" s="677">
        <f t="shared" si="133"/>
        <v>0</v>
      </c>
      <c r="AL130" s="678">
        <f t="shared" si="134"/>
        <v>0</v>
      </c>
      <c r="AM130" s="679">
        <f t="shared" si="135"/>
        <v>0</v>
      </c>
      <c r="AN130" s="675"/>
      <c r="AO130" s="676">
        <f t="shared" si="101"/>
        <v>0</v>
      </c>
      <c r="AP130" s="677">
        <f t="shared" si="102"/>
        <v>0</v>
      </c>
      <c r="AQ130" s="677">
        <f t="shared" si="136"/>
        <v>0</v>
      </c>
      <c r="AR130" s="678">
        <f t="shared" si="137"/>
        <v>0</v>
      </c>
      <c r="AS130" s="679">
        <f t="shared" si="138"/>
        <v>0</v>
      </c>
      <c r="AT130" s="675"/>
      <c r="AU130" s="676">
        <f t="shared" si="103"/>
        <v>0</v>
      </c>
      <c r="AV130" s="677">
        <f t="shared" si="104"/>
        <v>0</v>
      </c>
      <c r="AW130" s="677">
        <f t="shared" si="139"/>
        <v>0</v>
      </c>
      <c r="AX130" s="678">
        <f t="shared" si="140"/>
        <v>0</v>
      </c>
      <c r="AY130" s="679">
        <f t="shared" si="141"/>
        <v>0</v>
      </c>
      <c r="AZ130" s="675"/>
      <c r="BA130" s="676">
        <f t="shared" si="105"/>
        <v>0</v>
      </c>
      <c r="BB130" s="677">
        <f t="shared" si="106"/>
        <v>0</v>
      </c>
      <c r="BC130" s="677">
        <f t="shared" si="142"/>
        <v>0</v>
      </c>
      <c r="BD130" s="678">
        <f t="shared" si="143"/>
        <v>0</v>
      </c>
      <c r="BE130" s="679">
        <f t="shared" si="144"/>
        <v>0</v>
      </c>
      <c r="BF130" s="675"/>
      <c r="BG130" s="676">
        <f t="shared" si="107"/>
        <v>0</v>
      </c>
      <c r="BH130" s="677">
        <f t="shared" si="108"/>
        <v>0</v>
      </c>
      <c r="BI130" s="677">
        <f t="shared" si="145"/>
        <v>0</v>
      </c>
      <c r="BJ130" s="678">
        <f t="shared" si="146"/>
        <v>0</v>
      </c>
      <c r="BK130" s="679">
        <f t="shared" si="147"/>
        <v>0</v>
      </c>
      <c r="BL130" s="675"/>
      <c r="BM130" s="676">
        <f t="shared" si="109"/>
        <v>0</v>
      </c>
      <c r="BN130" s="677">
        <f t="shared" si="110"/>
        <v>0</v>
      </c>
      <c r="BO130" s="677">
        <f t="shared" si="148"/>
        <v>0</v>
      </c>
      <c r="BP130" s="678">
        <f t="shared" si="149"/>
        <v>0</v>
      </c>
      <c r="BQ130" s="679">
        <f t="shared" si="150"/>
        <v>0</v>
      </c>
      <c r="BR130" s="675"/>
      <c r="BS130" s="676">
        <f t="shared" si="111"/>
        <v>0</v>
      </c>
      <c r="BT130" s="677">
        <f t="shared" si="112"/>
        <v>0</v>
      </c>
      <c r="BU130" s="677">
        <f t="shared" si="151"/>
        <v>0</v>
      </c>
      <c r="BV130" s="678">
        <f t="shared" si="152"/>
        <v>0</v>
      </c>
      <c r="BW130" s="679">
        <f t="shared" si="153"/>
        <v>0</v>
      </c>
      <c r="BX130" s="675"/>
      <c r="BY130" s="676">
        <f t="shared" si="113"/>
        <v>0</v>
      </c>
      <c r="BZ130" s="677">
        <f t="shared" si="114"/>
        <v>0</v>
      </c>
      <c r="CA130" s="677">
        <f t="shared" si="154"/>
        <v>0</v>
      </c>
      <c r="CB130" s="678">
        <f t="shared" si="155"/>
        <v>0</v>
      </c>
      <c r="CC130" s="679">
        <f t="shared" si="156"/>
        <v>0</v>
      </c>
      <c r="CD130" s="675"/>
      <c r="CE130" s="676">
        <f t="shared" si="115"/>
        <v>0</v>
      </c>
      <c r="CF130" s="677">
        <f t="shared" si="116"/>
        <v>0</v>
      </c>
      <c r="CG130" s="677">
        <f t="shared" si="157"/>
        <v>0</v>
      </c>
      <c r="CH130" s="678">
        <f t="shared" si="158"/>
        <v>0</v>
      </c>
      <c r="CI130" s="679">
        <f t="shared" si="159"/>
        <v>0</v>
      </c>
      <c r="CJ130" s="675"/>
      <c r="CK130" s="676">
        <f t="shared" si="117"/>
        <v>0</v>
      </c>
      <c r="CL130" s="677">
        <f t="shared" si="118"/>
        <v>0</v>
      </c>
      <c r="CM130" s="677">
        <f t="shared" si="160"/>
        <v>0</v>
      </c>
      <c r="CN130" s="678">
        <f t="shared" si="161"/>
        <v>0</v>
      </c>
      <c r="CO130" s="679">
        <f t="shared" si="162"/>
        <v>0</v>
      </c>
      <c r="CP130" s="675"/>
      <c r="CQ130" s="676">
        <f t="shared" si="119"/>
        <v>0</v>
      </c>
      <c r="CR130" s="677">
        <f t="shared" si="120"/>
        <v>0</v>
      </c>
      <c r="CS130" s="677">
        <f t="shared" si="163"/>
        <v>0</v>
      </c>
      <c r="CT130" s="678">
        <f t="shared" si="164"/>
        <v>0</v>
      </c>
      <c r="CU130" s="679">
        <f t="shared" si="165"/>
        <v>0</v>
      </c>
      <c r="CV130" s="685"/>
      <c r="CW130" s="681"/>
      <c r="CX130" s="682"/>
      <c r="CY130" s="682"/>
      <c r="CZ130" s="683"/>
      <c r="DA130" s="684"/>
      <c r="DB130" s="685"/>
      <c r="DC130" s="681"/>
      <c r="DD130" s="682"/>
      <c r="DE130" s="682"/>
      <c r="DF130" s="683"/>
      <c r="DG130" s="684"/>
      <c r="DH130" s="685"/>
      <c r="DI130" s="681"/>
      <c r="DJ130" s="682"/>
      <c r="DK130" s="682"/>
      <c r="DL130" s="683"/>
      <c r="DM130" s="684"/>
      <c r="DN130" s="685"/>
      <c r="DO130" s="681"/>
      <c r="DP130" s="682"/>
      <c r="DQ130" s="682"/>
      <c r="DR130" s="683"/>
      <c r="DS130" s="684"/>
      <c r="DT130" s="675"/>
      <c r="DU130" s="676">
        <f t="shared" si="121"/>
        <v>0</v>
      </c>
      <c r="DV130" s="677">
        <f t="shared" si="122"/>
        <v>0</v>
      </c>
      <c r="DW130" s="677">
        <f t="shared" si="166"/>
        <v>0</v>
      </c>
      <c r="DX130" s="678">
        <f t="shared" si="167"/>
        <v>0</v>
      </c>
      <c r="DY130" s="679">
        <f t="shared" si="168"/>
        <v>0</v>
      </c>
      <c r="DZ130" s="680"/>
      <c r="EA130" s="681"/>
      <c r="EB130" s="682"/>
      <c r="EC130" s="682"/>
      <c r="ED130" s="683"/>
      <c r="EE130" s="684"/>
      <c r="EF130" s="680"/>
      <c r="EG130" s="681"/>
      <c r="EH130" s="682"/>
      <c r="EI130" s="682"/>
      <c r="EJ130" s="683"/>
      <c r="EK130" s="684"/>
      <c r="EL130" s="680"/>
      <c r="EM130" s="681"/>
      <c r="EN130" s="682"/>
      <c r="EO130" s="682"/>
      <c r="EP130" s="683"/>
      <c r="EQ130" s="684"/>
      <c r="ER130" s="680"/>
      <c r="ES130" s="681"/>
      <c r="ET130" s="682"/>
      <c r="EU130" s="682"/>
      <c r="EV130" s="683"/>
      <c r="EW130" s="684"/>
      <c r="EX130" s="675"/>
      <c r="EY130" s="676">
        <f t="shared" si="123"/>
        <v>0</v>
      </c>
      <c r="EZ130" s="677">
        <f t="shared" si="124"/>
        <v>0</v>
      </c>
      <c r="FA130" s="677">
        <f t="shared" si="169"/>
        <v>0</v>
      </c>
      <c r="FB130" s="678">
        <f t="shared" si="170"/>
        <v>0</v>
      </c>
      <c r="FC130" s="679">
        <f t="shared" si="171"/>
        <v>0</v>
      </c>
      <c r="FD130" s="680"/>
      <c r="FE130" s="681"/>
      <c r="FF130" s="682"/>
      <c r="FG130" s="682"/>
      <c r="FH130" s="683"/>
      <c r="FI130" s="684"/>
      <c r="FJ130" s="680"/>
      <c r="FK130" s="681"/>
      <c r="FL130" s="682"/>
      <c r="FM130" s="682"/>
      <c r="FN130" s="683"/>
      <c r="FO130" s="684"/>
      <c r="FP130" s="680"/>
      <c r="FQ130" s="681"/>
      <c r="FR130" s="682"/>
      <c r="FS130" s="682"/>
      <c r="FT130" s="683"/>
      <c r="FU130" s="684"/>
      <c r="FV130" s="680"/>
      <c r="FW130" s="681"/>
      <c r="FX130" s="682"/>
      <c r="FY130" s="682"/>
      <c r="FZ130" s="683"/>
      <c r="GA130" s="684"/>
      <c r="GB130" s="675"/>
      <c r="GC130" s="676">
        <f t="shared" si="125"/>
        <v>0</v>
      </c>
      <c r="GD130" s="677">
        <f t="shared" si="126"/>
        <v>0</v>
      </c>
      <c r="GE130" s="677">
        <f t="shared" si="172"/>
        <v>0</v>
      </c>
      <c r="GF130" s="678">
        <f t="shared" si="173"/>
        <v>0</v>
      </c>
      <c r="GG130" s="679">
        <f t="shared" si="174"/>
        <v>0</v>
      </c>
      <c r="GH130" s="680"/>
      <c r="GI130" s="681"/>
      <c r="GJ130" s="682"/>
      <c r="GK130" s="682"/>
      <c r="GL130" s="683"/>
      <c r="GM130" s="684"/>
      <c r="GN130" s="680"/>
      <c r="GO130" s="681"/>
      <c r="GP130" s="682"/>
      <c r="GQ130" s="682"/>
      <c r="GR130" s="683"/>
      <c r="GS130" s="684"/>
      <c r="GT130" s="680"/>
      <c r="GU130" s="681"/>
      <c r="GV130" s="682"/>
      <c r="GW130" s="682"/>
      <c r="GX130" s="683"/>
      <c r="GY130" s="684"/>
      <c r="GZ130" s="680"/>
      <c r="HA130" s="147"/>
      <c r="HB130" s="148"/>
      <c r="HC130" s="148"/>
      <c r="HD130" s="149"/>
      <c r="HE130" s="150"/>
      <c r="HF130" s="506"/>
      <c r="HG130" s="502"/>
      <c r="HH130" s="502"/>
      <c r="HI130" s="502"/>
      <c r="HJ130" s="8"/>
    </row>
    <row r="131" spans="2:218" ht="21">
      <c r="B131" s="488">
        <v>87</v>
      </c>
      <c r="C131" s="489" t="s">
        <v>224</v>
      </c>
      <c r="D131" s="490" t="s">
        <v>1</v>
      </c>
      <c r="E131" s="491" t="s">
        <v>225</v>
      </c>
      <c r="F131" s="492"/>
      <c r="G131" s="493"/>
      <c r="H131" s="146" t="s">
        <v>852</v>
      </c>
      <c r="I131" s="494" t="str">
        <f t="shared" si="92"/>
        <v>verhuurder</v>
      </c>
      <c r="J131" s="495" t="s">
        <v>487</v>
      </c>
      <c r="K131" s="151">
        <v>1</v>
      </c>
      <c r="L131" s="256">
        <f>IF($C$5&lt;3000,(Bron!H120*$C$5)+Bron!I120,(Bron!M120*$C$5)+Bron!N120)</f>
        <v>2170.56</v>
      </c>
      <c r="M131" s="256"/>
      <c r="N131" s="496">
        <f t="shared" si="90"/>
        <v>1622.912</v>
      </c>
      <c r="O131" s="497">
        <f t="shared" si="91"/>
        <v>1.3374477482451297</v>
      </c>
      <c r="P131" s="257">
        <f>IF($C$5&lt;3000,$AN$32*Bron!J120,$AN$32*Bron!O120)</f>
        <v>0</v>
      </c>
      <c r="Q131" s="257"/>
      <c r="R131" s="257">
        <f>IF($C$5&lt;3000,$AN$33*Bron!J120,$AN$33*Bron!O120)</f>
        <v>32.72</v>
      </c>
      <c r="S131" s="344"/>
      <c r="T131" s="258">
        <f t="shared" si="93"/>
        <v>1</v>
      </c>
      <c r="U131" s="259">
        <f t="shared" si="94"/>
        <v>0</v>
      </c>
      <c r="V131" s="675"/>
      <c r="W131" s="676">
        <f t="shared" si="95"/>
        <v>0</v>
      </c>
      <c r="X131" s="677">
        <f t="shared" si="96"/>
        <v>0</v>
      </c>
      <c r="Y131" s="677">
        <f t="shared" si="127"/>
        <v>0</v>
      </c>
      <c r="Z131" s="678">
        <f t="shared" si="128"/>
        <v>0</v>
      </c>
      <c r="AA131" s="679">
        <f t="shared" si="129"/>
        <v>0</v>
      </c>
      <c r="AB131" s="675"/>
      <c r="AC131" s="676">
        <f t="shared" si="97"/>
        <v>0</v>
      </c>
      <c r="AD131" s="677">
        <f t="shared" si="98"/>
        <v>0</v>
      </c>
      <c r="AE131" s="677">
        <f t="shared" si="130"/>
        <v>0</v>
      </c>
      <c r="AF131" s="678">
        <f t="shared" si="131"/>
        <v>0</v>
      </c>
      <c r="AG131" s="679">
        <f t="shared" si="132"/>
        <v>0</v>
      </c>
      <c r="AH131" s="675"/>
      <c r="AI131" s="676">
        <f t="shared" si="99"/>
        <v>0</v>
      </c>
      <c r="AJ131" s="677">
        <f t="shared" si="100"/>
        <v>0</v>
      </c>
      <c r="AK131" s="677">
        <f t="shared" si="133"/>
        <v>0</v>
      </c>
      <c r="AL131" s="678">
        <f t="shared" si="134"/>
        <v>0</v>
      </c>
      <c r="AM131" s="679">
        <f t="shared" si="135"/>
        <v>0</v>
      </c>
      <c r="AN131" s="675"/>
      <c r="AO131" s="676">
        <f t="shared" si="101"/>
        <v>0</v>
      </c>
      <c r="AP131" s="677">
        <f t="shared" si="102"/>
        <v>0</v>
      </c>
      <c r="AQ131" s="677">
        <f t="shared" si="136"/>
        <v>0</v>
      </c>
      <c r="AR131" s="678">
        <f t="shared" si="137"/>
        <v>0</v>
      </c>
      <c r="AS131" s="679">
        <f t="shared" si="138"/>
        <v>0</v>
      </c>
      <c r="AT131" s="675"/>
      <c r="AU131" s="676">
        <f t="shared" si="103"/>
        <v>0</v>
      </c>
      <c r="AV131" s="677">
        <f t="shared" si="104"/>
        <v>0</v>
      </c>
      <c r="AW131" s="677">
        <f t="shared" si="139"/>
        <v>0</v>
      </c>
      <c r="AX131" s="678">
        <f t="shared" si="140"/>
        <v>0</v>
      </c>
      <c r="AY131" s="679">
        <f t="shared" si="141"/>
        <v>0</v>
      </c>
      <c r="AZ131" s="675"/>
      <c r="BA131" s="676">
        <f t="shared" si="105"/>
        <v>0</v>
      </c>
      <c r="BB131" s="677">
        <f t="shared" si="106"/>
        <v>0</v>
      </c>
      <c r="BC131" s="677">
        <f t="shared" si="142"/>
        <v>0</v>
      </c>
      <c r="BD131" s="678">
        <f t="shared" si="143"/>
        <v>0</v>
      </c>
      <c r="BE131" s="679">
        <f t="shared" si="144"/>
        <v>0</v>
      </c>
      <c r="BF131" s="675"/>
      <c r="BG131" s="676">
        <f t="shared" si="107"/>
        <v>0</v>
      </c>
      <c r="BH131" s="677">
        <f t="shared" si="108"/>
        <v>0</v>
      </c>
      <c r="BI131" s="677">
        <f t="shared" si="145"/>
        <v>0</v>
      </c>
      <c r="BJ131" s="678">
        <f t="shared" si="146"/>
        <v>0</v>
      </c>
      <c r="BK131" s="679">
        <f t="shared" si="147"/>
        <v>0</v>
      </c>
      <c r="BL131" s="675"/>
      <c r="BM131" s="676">
        <f t="shared" si="109"/>
        <v>0</v>
      </c>
      <c r="BN131" s="677">
        <f t="shared" si="110"/>
        <v>0</v>
      </c>
      <c r="BO131" s="677">
        <f t="shared" si="148"/>
        <v>0</v>
      </c>
      <c r="BP131" s="678">
        <f t="shared" si="149"/>
        <v>0</v>
      </c>
      <c r="BQ131" s="679">
        <f t="shared" si="150"/>
        <v>0</v>
      </c>
      <c r="BR131" s="675"/>
      <c r="BS131" s="676">
        <f t="shared" si="111"/>
        <v>0</v>
      </c>
      <c r="BT131" s="677">
        <f t="shared" si="112"/>
        <v>0</v>
      </c>
      <c r="BU131" s="677">
        <f t="shared" si="151"/>
        <v>0</v>
      </c>
      <c r="BV131" s="678">
        <f t="shared" si="152"/>
        <v>0</v>
      </c>
      <c r="BW131" s="679">
        <f t="shared" si="153"/>
        <v>0</v>
      </c>
      <c r="BX131" s="675"/>
      <c r="BY131" s="676">
        <f t="shared" si="113"/>
        <v>0</v>
      </c>
      <c r="BZ131" s="677">
        <f t="shared" si="114"/>
        <v>0</v>
      </c>
      <c r="CA131" s="677">
        <f t="shared" si="154"/>
        <v>0</v>
      </c>
      <c r="CB131" s="678">
        <f t="shared" si="155"/>
        <v>0</v>
      </c>
      <c r="CC131" s="679">
        <f t="shared" si="156"/>
        <v>0</v>
      </c>
      <c r="CD131" s="675"/>
      <c r="CE131" s="676">
        <f t="shared" si="115"/>
        <v>0</v>
      </c>
      <c r="CF131" s="677">
        <f t="shared" si="116"/>
        <v>0</v>
      </c>
      <c r="CG131" s="677">
        <f t="shared" si="157"/>
        <v>0</v>
      </c>
      <c r="CH131" s="678">
        <f t="shared" si="158"/>
        <v>0</v>
      </c>
      <c r="CI131" s="679">
        <f t="shared" si="159"/>
        <v>0</v>
      </c>
      <c r="CJ131" s="675"/>
      <c r="CK131" s="676">
        <f t="shared" si="117"/>
        <v>0</v>
      </c>
      <c r="CL131" s="677">
        <f t="shared" si="118"/>
        <v>0</v>
      </c>
      <c r="CM131" s="677">
        <f t="shared" si="160"/>
        <v>0</v>
      </c>
      <c r="CN131" s="678">
        <f t="shared" si="161"/>
        <v>0</v>
      </c>
      <c r="CO131" s="679">
        <f t="shared" si="162"/>
        <v>0</v>
      </c>
      <c r="CP131" s="675"/>
      <c r="CQ131" s="676">
        <f t="shared" si="119"/>
        <v>0</v>
      </c>
      <c r="CR131" s="677">
        <f t="shared" si="120"/>
        <v>0</v>
      </c>
      <c r="CS131" s="677">
        <f t="shared" si="163"/>
        <v>0</v>
      </c>
      <c r="CT131" s="678">
        <f t="shared" si="164"/>
        <v>0</v>
      </c>
      <c r="CU131" s="679">
        <f t="shared" si="165"/>
        <v>0</v>
      </c>
      <c r="CV131" s="685"/>
      <c r="CW131" s="681"/>
      <c r="CX131" s="682"/>
      <c r="CY131" s="682"/>
      <c r="CZ131" s="683"/>
      <c r="DA131" s="684"/>
      <c r="DB131" s="685"/>
      <c r="DC131" s="681"/>
      <c r="DD131" s="682"/>
      <c r="DE131" s="682"/>
      <c r="DF131" s="683"/>
      <c r="DG131" s="684"/>
      <c r="DH131" s="685"/>
      <c r="DI131" s="681"/>
      <c r="DJ131" s="682"/>
      <c r="DK131" s="682"/>
      <c r="DL131" s="683"/>
      <c r="DM131" s="684"/>
      <c r="DN131" s="685"/>
      <c r="DO131" s="681"/>
      <c r="DP131" s="682"/>
      <c r="DQ131" s="682"/>
      <c r="DR131" s="683"/>
      <c r="DS131" s="684"/>
      <c r="DT131" s="675"/>
      <c r="DU131" s="676">
        <f t="shared" si="121"/>
        <v>0</v>
      </c>
      <c r="DV131" s="677">
        <f t="shared" si="122"/>
        <v>0</v>
      </c>
      <c r="DW131" s="677">
        <f t="shared" si="166"/>
        <v>0</v>
      </c>
      <c r="DX131" s="678">
        <f t="shared" si="167"/>
        <v>0</v>
      </c>
      <c r="DY131" s="679">
        <f t="shared" si="168"/>
        <v>0</v>
      </c>
      <c r="DZ131" s="680"/>
      <c r="EA131" s="681"/>
      <c r="EB131" s="682"/>
      <c r="EC131" s="682"/>
      <c r="ED131" s="683"/>
      <c r="EE131" s="684"/>
      <c r="EF131" s="680"/>
      <c r="EG131" s="681"/>
      <c r="EH131" s="682"/>
      <c r="EI131" s="682"/>
      <c r="EJ131" s="683"/>
      <c r="EK131" s="684"/>
      <c r="EL131" s="680"/>
      <c r="EM131" s="681"/>
      <c r="EN131" s="682"/>
      <c r="EO131" s="682"/>
      <c r="EP131" s="683"/>
      <c r="EQ131" s="684"/>
      <c r="ER131" s="680"/>
      <c r="ES131" s="681"/>
      <c r="ET131" s="682"/>
      <c r="EU131" s="682"/>
      <c r="EV131" s="683"/>
      <c r="EW131" s="684"/>
      <c r="EX131" s="675"/>
      <c r="EY131" s="676">
        <f t="shared" si="123"/>
        <v>0</v>
      </c>
      <c r="EZ131" s="677">
        <f t="shared" si="124"/>
        <v>0</v>
      </c>
      <c r="FA131" s="677">
        <f t="shared" si="169"/>
        <v>0</v>
      </c>
      <c r="FB131" s="678">
        <f t="shared" si="170"/>
        <v>0</v>
      </c>
      <c r="FC131" s="679">
        <f t="shared" si="171"/>
        <v>0</v>
      </c>
      <c r="FD131" s="680"/>
      <c r="FE131" s="681"/>
      <c r="FF131" s="682"/>
      <c r="FG131" s="682"/>
      <c r="FH131" s="683"/>
      <c r="FI131" s="684"/>
      <c r="FJ131" s="680"/>
      <c r="FK131" s="681"/>
      <c r="FL131" s="682"/>
      <c r="FM131" s="682"/>
      <c r="FN131" s="683"/>
      <c r="FO131" s="684"/>
      <c r="FP131" s="680"/>
      <c r="FQ131" s="681"/>
      <c r="FR131" s="682"/>
      <c r="FS131" s="682"/>
      <c r="FT131" s="683"/>
      <c r="FU131" s="684"/>
      <c r="FV131" s="680"/>
      <c r="FW131" s="681"/>
      <c r="FX131" s="682"/>
      <c r="FY131" s="682"/>
      <c r="FZ131" s="683"/>
      <c r="GA131" s="684"/>
      <c r="GB131" s="675"/>
      <c r="GC131" s="676">
        <f t="shared" si="125"/>
        <v>0</v>
      </c>
      <c r="GD131" s="677">
        <f t="shared" si="126"/>
        <v>0</v>
      </c>
      <c r="GE131" s="677">
        <f t="shared" si="172"/>
        <v>0</v>
      </c>
      <c r="GF131" s="678">
        <f t="shared" si="173"/>
        <v>0</v>
      </c>
      <c r="GG131" s="679">
        <f t="shared" si="174"/>
        <v>0</v>
      </c>
      <c r="GH131" s="680"/>
      <c r="GI131" s="681"/>
      <c r="GJ131" s="682"/>
      <c r="GK131" s="682"/>
      <c r="GL131" s="683"/>
      <c r="GM131" s="684"/>
      <c r="GN131" s="680"/>
      <c r="GO131" s="681"/>
      <c r="GP131" s="682"/>
      <c r="GQ131" s="682"/>
      <c r="GR131" s="683"/>
      <c r="GS131" s="684"/>
      <c r="GT131" s="680"/>
      <c r="GU131" s="681"/>
      <c r="GV131" s="682"/>
      <c r="GW131" s="682"/>
      <c r="GX131" s="683"/>
      <c r="GY131" s="684"/>
      <c r="GZ131" s="680"/>
      <c r="HA131" s="147"/>
      <c r="HB131" s="148"/>
      <c r="HC131" s="148"/>
      <c r="HD131" s="149"/>
      <c r="HE131" s="150"/>
      <c r="HF131" s="506"/>
      <c r="HG131" s="502"/>
      <c r="HH131" s="502"/>
      <c r="HI131" s="502"/>
      <c r="HJ131" s="8"/>
    </row>
    <row r="132" spans="2:218" ht="21" hidden="1">
      <c r="B132" s="488">
        <v>88</v>
      </c>
      <c r="C132" s="489" t="s">
        <v>224</v>
      </c>
      <c r="D132" s="490" t="s">
        <v>2</v>
      </c>
      <c r="E132" s="491" t="s">
        <v>492</v>
      </c>
      <c r="F132" s="492"/>
      <c r="G132" s="493"/>
      <c r="H132" s="146" t="s">
        <v>97</v>
      </c>
      <c r="I132" s="494" t="str">
        <f t="shared" si="92"/>
        <v>n.v.t.</v>
      </c>
      <c r="J132" s="495" t="s">
        <v>487</v>
      </c>
      <c r="K132" s="151">
        <v>0</v>
      </c>
      <c r="L132" s="256">
        <f>IF($C$5&lt;3000,(Bron!H121*$C$5)+Bron!I121,(Bron!M121*$C$5)+Bron!N121)</f>
        <v>85640.16</v>
      </c>
      <c r="M132" s="256"/>
      <c r="N132" s="496">
        <f t="shared" si="90"/>
        <v>23126.495999999999</v>
      </c>
      <c r="O132" s="497">
        <f t="shared" si="91"/>
        <v>3.7031187085151163</v>
      </c>
      <c r="P132" s="257">
        <f>IF($C$5&lt;3000,$AN$32*Bron!J121,$AN$32*Bron!O121)</f>
        <v>0</v>
      </c>
      <c r="Q132" s="257">
        <f>(-P132*(35.17/3.6*0.95)/3.5)</f>
        <v>0</v>
      </c>
      <c r="R132" s="257">
        <f>IF($C$5&lt;3000,$AN$33*Bron!J121,$AN$33*Bron!O121)</f>
        <v>466.25999999999993</v>
      </c>
      <c r="S132" s="344"/>
      <c r="T132" s="258">
        <f t="shared" si="93"/>
        <v>0</v>
      </c>
      <c r="U132" s="259">
        <f t="shared" si="94"/>
        <v>0</v>
      </c>
      <c r="V132" s="675"/>
      <c r="W132" s="676">
        <f t="shared" si="95"/>
        <v>0</v>
      </c>
      <c r="X132" s="677">
        <f t="shared" si="96"/>
        <v>0</v>
      </c>
      <c r="Y132" s="677">
        <f t="shared" si="127"/>
        <v>0</v>
      </c>
      <c r="Z132" s="678">
        <f t="shared" si="128"/>
        <v>0</v>
      </c>
      <c r="AA132" s="679">
        <f t="shared" si="129"/>
        <v>0</v>
      </c>
      <c r="AB132" s="675"/>
      <c r="AC132" s="676">
        <f t="shared" si="97"/>
        <v>0</v>
      </c>
      <c r="AD132" s="677">
        <f t="shared" si="98"/>
        <v>0</v>
      </c>
      <c r="AE132" s="677">
        <f t="shared" si="130"/>
        <v>0</v>
      </c>
      <c r="AF132" s="678">
        <f t="shared" si="131"/>
        <v>0</v>
      </c>
      <c r="AG132" s="679">
        <f t="shared" si="132"/>
        <v>0</v>
      </c>
      <c r="AH132" s="675"/>
      <c r="AI132" s="676">
        <f t="shared" si="99"/>
        <v>0</v>
      </c>
      <c r="AJ132" s="677">
        <f t="shared" si="100"/>
        <v>0</v>
      </c>
      <c r="AK132" s="677">
        <f t="shared" si="133"/>
        <v>0</v>
      </c>
      <c r="AL132" s="678">
        <f t="shared" si="134"/>
        <v>0</v>
      </c>
      <c r="AM132" s="679">
        <f t="shared" si="135"/>
        <v>0</v>
      </c>
      <c r="AN132" s="675"/>
      <c r="AO132" s="676">
        <f t="shared" si="101"/>
        <v>0</v>
      </c>
      <c r="AP132" s="677">
        <f t="shared" si="102"/>
        <v>0</v>
      </c>
      <c r="AQ132" s="677">
        <f t="shared" si="136"/>
        <v>0</v>
      </c>
      <c r="AR132" s="678">
        <f t="shared" si="137"/>
        <v>0</v>
      </c>
      <c r="AS132" s="679">
        <f t="shared" si="138"/>
        <v>0</v>
      </c>
      <c r="AT132" s="675"/>
      <c r="AU132" s="676">
        <f t="shared" si="103"/>
        <v>0</v>
      </c>
      <c r="AV132" s="677">
        <f t="shared" si="104"/>
        <v>0</v>
      </c>
      <c r="AW132" s="677">
        <f t="shared" si="139"/>
        <v>0</v>
      </c>
      <c r="AX132" s="678">
        <f t="shared" si="140"/>
        <v>0</v>
      </c>
      <c r="AY132" s="679">
        <f t="shared" si="141"/>
        <v>0</v>
      </c>
      <c r="AZ132" s="675"/>
      <c r="BA132" s="676">
        <f t="shared" si="105"/>
        <v>0</v>
      </c>
      <c r="BB132" s="677">
        <f t="shared" si="106"/>
        <v>0</v>
      </c>
      <c r="BC132" s="677">
        <f t="shared" si="142"/>
        <v>0</v>
      </c>
      <c r="BD132" s="678">
        <f t="shared" si="143"/>
        <v>0</v>
      </c>
      <c r="BE132" s="679">
        <f t="shared" si="144"/>
        <v>0</v>
      </c>
      <c r="BF132" s="675"/>
      <c r="BG132" s="676">
        <f t="shared" si="107"/>
        <v>0</v>
      </c>
      <c r="BH132" s="677">
        <f t="shared" si="108"/>
        <v>0</v>
      </c>
      <c r="BI132" s="677">
        <f t="shared" si="145"/>
        <v>0</v>
      </c>
      <c r="BJ132" s="678">
        <f t="shared" si="146"/>
        <v>0</v>
      </c>
      <c r="BK132" s="679">
        <f t="shared" si="147"/>
        <v>0</v>
      </c>
      <c r="BL132" s="675"/>
      <c r="BM132" s="676">
        <f t="shared" si="109"/>
        <v>0</v>
      </c>
      <c r="BN132" s="677">
        <f t="shared" si="110"/>
        <v>0</v>
      </c>
      <c r="BO132" s="677">
        <f t="shared" si="148"/>
        <v>0</v>
      </c>
      <c r="BP132" s="678">
        <f t="shared" si="149"/>
        <v>0</v>
      </c>
      <c r="BQ132" s="679">
        <f t="shared" si="150"/>
        <v>0</v>
      </c>
      <c r="BR132" s="675"/>
      <c r="BS132" s="676">
        <f t="shared" si="111"/>
        <v>0</v>
      </c>
      <c r="BT132" s="677">
        <f t="shared" si="112"/>
        <v>0</v>
      </c>
      <c r="BU132" s="677">
        <f t="shared" si="151"/>
        <v>0</v>
      </c>
      <c r="BV132" s="678">
        <f t="shared" si="152"/>
        <v>0</v>
      </c>
      <c r="BW132" s="679">
        <f t="shared" si="153"/>
        <v>0</v>
      </c>
      <c r="BX132" s="675"/>
      <c r="BY132" s="676">
        <f t="shared" si="113"/>
        <v>0</v>
      </c>
      <c r="BZ132" s="677">
        <f t="shared" si="114"/>
        <v>0</v>
      </c>
      <c r="CA132" s="677">
        <f t="shared" si="154"/>
        <v>0</v>
      </c>
      <c r="CB132" s="678">
        <f t="shared" si="155"/>
        <v>0</v>
      </c>
      <c r="CC132" s="679">
        <f t="shared" si="156"/>
        <v>0</v>
      </c>
      <c r="CD132" s="675"/>
      <c r="CE132" s="676">
        <f t="shared" si="115"/>
        <v>0</v>
      </c>
      <c r="CF132" s="677">
        <f t="shared" si="116"/>
        <v>0</v>
      </c>
      <c r="CG132" s="677">
        <f t="shared" si="157"/>
        <v>0</v>
      </c>
      <c r="CH132" s="678">
        <f t="shared" si="158"/>
        <v>0</v>
      </c>
      <c r="CI132" s="679">
        <f t="shared" si="159"/>
        <v>0</v>
      </c>
      <c r="CJ132" s="675"/>
      <c r="CK132" s="676">
        <f t="shared" si="117"/>
        <v>0</v>
      </c>
      <c r="CL132" s="677">
        <f t="shared" si="118"/>
        <v>0</v>
      </c>
      <c r="CM132" s="677">
        <f t="shared" si="160"/>
        <v>0</v>
      </c>
      <c r="CN132" s="678">
        <f t="shared" si="161"/>
        <v>0</v>
      </c>
      <c r="CO132" s="679">
        <f t="shared" si="162"/>
        <v>0</v>
      </c>
      <c r="CP132" s="675"/>
      <c r="CQ132" s="676">
        <f t="shared" si="119"/>
        <v>0</v>
      </c>
      <c r="CR132" s="677">
        <f t="shared" si="120"/>
        <v>0</v>
      </c>
      <c r="CS132" s="677">
        <f t="shared" si="163"/>
        <v>0</v>
      </c>
      <c r="CT132" s="678">
        <f t="shared" si="164"/>
        <v>0</v>
      </c>
      <c r="CU132" s="679">
        <f t="shared" si="165"/>
        <v>0</v>
      </c>
      <c r="CV132" s="685"/>
      <c r="CW132" s="681"/>
      <c r="CX132" s="682"/>
      <c r="CY132" s="682"/>
      <c r="CZ132" s="683"/>
      <c r="DA132" s="684"/>
      <c r="DB132" s="685"/>
      <c r="DC132" s="681"/>
      <c r="DD132" s="682"/>
      <c r="DE132" s="682"/>
      <c r="DF132" s="683"/>
      <c r="DG132" s="684"/>
      <c r="DH132" s="685"/>
      <c r="DI132" s="681"/>
      <c r="DJ132" s="682"/>
      <c r="DK132" s="682"/>
      <c r="DL132" s="683"/>
      <c r="DM132" s="684"/>
      <c r="DN132" s="685"/>
      <c r="DO132" s="681"/>
      <c r="DP132" s="682"/>
      <c r="DQ132" s="682"/>
      <c r="DR132" s="683"/>
      <c r="DS132" s="684"/>
      <c r="DT132" s="675"/>
      <c r="DU132" s="676">
        <f t="shared" si="121"/>
        <v>0</v>
      </c>
      <c r="DV132" s="677">
        <f t="shared" si="122"/>
        <v>0</v>
      </c>
      <c r="DW132" s="677">
        <f t="shared" si="166"/>
        <v>0</v>
      </c>
      <c r="DX132" s="678">
        <f t="shared" si="167"/>
        <v>0</v>
      </c>
      <c r="DY132" s="679">
        <f t="shared" si="168"/>
        <v>0</v>
      </c>
      <c r="DZ132" s="680"/>
      <c r="EA132" s="681"/>
      <c r="EB132" s="682"/>
      <c r="EC132" s="682"/>
      <c r="ED132" s="683"/>
      <c r="EE132" s="684"/>
      <c r="EF132" s="680"/>
      <c r="EG132" s="681"/>
      <c r="EH132" s="682"/>
      <c r="EI132" s="682"/>
      <c r="EJ132" s="683"/>
      <c r="EK132" s="684"/>
      <c r="EL132" s="680"/>
      <c r="EM132" s="681"/>
      <c r="EN132" s="682"/>
      <c r="EO132" s="682"/>
      <c r="EP132" s="683"/>
      <c r="EQ132" s="684"/>
      <c r="ER132" s="680"/>
      <c r="ES132" s="681"/>
      <c r="ET132" s="682"/>
      <c r="EU132" s="682"/>
      <c r="EV132" s="683"/>
      <c r="EW132" s="684"/>
      <c r="EX132" s="675"/>
      <c r="EY132" s="676">
        <f t="shared" si="123"/>
        <v>0</v>
      </c>
      <c r="EZ132" s="677">
        <f t="shared" si="124"/>
        <v>0</v>
      </c>
      <c r="FA132" s="677">
        <f t="shared" si="169"/>
        <v>0</v>
      </c>
      <c r="FB132" s="678">
        <f t="shared" si="170"/>
        <v>0</v>
      </c>
      <c r="FC132" s="679">
        <f t="shared" si="171"/>
        <v>0</v>
      </c>
      <c r="FD132" s="680"/>
      <c r="FE132" s="681"/>
      <c r="FF132" s="682"/>
      <c r="FG132" s="682"/>
      <c r="FH132" s="683"/>
      <c r="FI132" s="684"/>
      <c r="FJ132" s="680"/>
      <c r="FK132" s="681"/>
      <c r="FL132" s="682"/>
      <c r="FM132" s="682"/>
      <c r="FN132" s="683"/>
      <c r="FO132" s="684"/>
      <c r="FP132" s="680"/>
      <c r="FQ132" s="681"/>
      <c r="FR132" s="682"/>
      <c r="FS132" s="682"/>
      <c r="FT132" s="683"/>
      <c r="FU132" s="684"/>
      <c r="FV132" s="680"/>
      <c r="FW132" s="681"/>
      <c r="FX132" s="682"/>
      <c r="FY132" s="682"/>
      <c r="FZ132" s="683"/>
      <c r="GA132" s="684"/>
      <c r="GB132" s="675"/>
      <c r="GC132" s="676">
        <f t="shared" si="125"/>
        <v>0</v>
      </c>
      <c r="GD132" s="677">
        <f t="shared" si="126"/>
        <v>0</v>
      </c>
      <c r="GE132" s="677">
        <f t="shared" si="172"/>
        <v>0</v>
      </c>
      <c r="GF132" s="678">
        <f t="shared" si="173"/>
        <v>0</v>
      </c>
      <c r="GG132" s="679">
        <f t="shared" si="174"/>
        <v>0</v>
      </c>
      <c r="GH132" s="680"/>
      <c r="GI132" s="681"/>
      <c r="GJ132" s="682"/>
      <c r="GK132" s="682"/>
      <c r="GL132" s="683"/>
      <c r="GM132" s="684"/>
      <c r="GN132" s="680"/>
      <c r="GO132" s="681"/>
      <c r="GP132" s="682"/>
      <c r="GQ132" s="682"/>
      <c r="GR132" s="683"/>
      <c r="GS132" s="684"/>
      <c r="GT132" s="680"/>
      <c r="GU132" s="681"/>
      <c r="GV132" s="682"/>
      <c r="GW132" s="682"/>
      <c r="GX132" s="683"/>
      <c r="GY132" s="684"/>
      <c r="GZ132" s="680"/>
      <c r="HA132" s="147"/>
      <c r="HB132" s="148"/>
      <c r="HC132" s="148"/>
      <c r="HD132" s="149"/>
      <c r="HE132" s="150"/>
      <c r="HF132" s="506"/>
      <c r="HG132" s="502"/>
      <c r="HH132" s="502"/>
      <c r="HI132" s="502"/>
      <c r="HJ132" s="8"/>
    </row>
    <row r="133" spans="2:218" ht="21">
      <c r="B133" s="488">
        <v>89</v>
      </c>
      <c r="C133" s="489" t="s">
        <v>224</v>
      </c>
      <c r="D133" s="490" t="s">
        <v>94</v>
      </c>
      <c r="E133" s="491" t="s">
        <v>226</v>
      </c>
      <c r="F133" s="492"/>
      <c r="G133" s="493"/>
      <c r="H133" s="146" t="s">
        <v>852</v>
      </c>
      <c r="I133" s="494" t="str">
        <f t="shared" si="92"/>
        <v>verhuurder</v>
      </c>
      <c r="J133" s="495" t="s">
        <v>487</v>
      </c>
      <c r="K133" s="151">
        <v>1</v>
      </c>
      <c r="L133" s="256">
        <f>IF($C$5&lt;3000,(Bron!H122*$C$5)+Bron!I122,(Bron!M122*$C$5)+Bron!N122)</f>
        <v>2604.672</v>
      </c>
      <c r="M133" s="256"/>
      <c r="N133" s="496">
        <f t="shared" si="90"/>
        <v>1622.912</v>
      </c>
      <c r="O133" s="497">
        <f t="shared" si="91"/>
        <v>1.6049372978941556</v>
      </c>
      <c r="P133" s="257">
        <f>IF($C$5&lt;3000,$AN$32*Bron!J122,$AN$32*Bron!O122)</f>
        <v>0</v>
      </c>
      <c r="Q133" s="257"/>
      <c r="R133" s="257">
        <f>IF($C$5&lt;3000,$AN$33*Bron!J122,$AN$33*Bron!O122)</f>
        <v>32.72</v>
      </c>
      <c r="S133" s="344"/>
      <c r="T133" s="258">
        <f t="shared" si="93"/>
        <v>1</v>
      </c>
      <c r="U133" s="259">
        <f t="shared" si="94"/>
        <v>0</v>
      </c>
      <c r="V133" s="675"/>
      <c r="W133" s="676">
        <f t="shared" si="95"/>
        <v>0</v>
      </c>
      <c r="X133" s="677">
        <f t="shared" si="96"/>
        <v>0</v>
      </c>
      <c r="Y133" s="677">
        <f t="shared" si="127"/>
        <v>0</v>
      </c>
      <c r="Z133" s="678">
        <f t="shared" si="128"/>
        <v>0</v>
      </c>
      <c r="AA133" s="679">
        <f t="shared" si="129"/>
        <v>0</v>
      </c>
      <c r="AB133" s="675"/>
      <c r="AC133" s="676">
        <f t="shared" si="97"/>
        <v>0</v>
      </c>
      <c r="AD133" s="677">
        <f t="shared" si="98"/>
        <v>0</v>
      </c>
      <c r="AE133" s="677">
        <f t="shared" si="130"/>
        <v>0</v>
      </c>
      <c r="AF133" s="678">
        <f t="shared" si="131"/>
        <v>0</v>
      </c>
      <c r="AG133" s="679">
        <f t="shared" si="132"/>
        <v>0</v>
      </c>
      <c r="AH133" s="675"/>
      <c r="AI133" s="676">
        <f t="shared" si="99"/>
        <v>0</v>
      </c>
      <c r="AJ133" s="677">
        <f t="shared" si="100"/>
        <v>0</v>
      </c>
      <c r="AK133" s="677">
        <f t="shared" si="133"/>
        <v>0</v>
      </c>
      <c r="AL133" s="678">
        <f t="shared" si="134"/>
        <v>0</v>
      </c>
      <c r="AM133" s="679">
        <f t="shared" si="135"/>
        <v>0</v>
      </c>
      <c r="AN133" s="675"/>
      <c r="AO133" s="676">
        <f t="shared" si="101"/>
        <v>0</v>
      </c>
      <c r="AP133" s="677">
        <f t="shared" si="102"/>
        <v>0</v>
      </c>
      <c r="AQ133" s="677">
        <f t="shared" si="136"/>
        <v>0</v>
      </c>
      <c r="AR133" s="678">
        <f t="shared" si="137"/>
        <v>0</v>
      </c>
      <c r="AS133" s="679">
        <f t="shared" si="138"/>
        <v>0</v>
      </c>
      <c r="AT133" s="675"/>
      <c r="AU133" s="676">
        <f t="shared" si="103"/>
        <v>0</v>
      </c>
      <c r="AV133" s="677">
        <f t="shared" si="104"/>
        <v>0</v>
      </c>
      <c r="AW133" s="677">
        <f t="shared" si="139"/>
        <v>0</v>
      </c>
      <c r="AX133" s="678">
        <f t="shared" si="140"/>
        <v>0</v>
      </c>
      <c r="AY133" s="679">
        <f t="shared" si="141"/>
        <v>0</v>
      </c>
      <c r="AZ133" s="675"/>
      <c r="BA133" s="676">
        <f t="shared" si="105"/>
        <v>0</v>
      </c>
      <c r="BB133" s="677">
        <f t="shared" si="106"/>
        <v>0</v>
      </c>
      <c r="BC133" s="677">
        <f t="shared" si="142"/>
        <v>0</v>
      </c>
      <c r="BD133" s="678">
        <f t="shared" si="143"/>
        <v>0</v>
      </c>
      <c r="BE133" s="679">
        <f t="shared" si="144"/>
        <v>0</v>
      </c>
      <c r="BF133" s="675"/>
      <c r="BG133" s="676">
        <f t="shared" si="107"/>
        <v>0</v>
      </c>
      <c r="BH133" s="677">
        <f t="shared" si="108"/>
        <v>0</v>
      </c>
      <c r="BI133" s="677">
        <f t="shared" si="145"/>
        <v>0</v>
      </c>
      <c r="BJ133" s="678">
        <f t="shared" si="146"/>
        <v>0</v>
      </c>
      <c r="BK133" s="679">
        <f t="shared" si="147"/>
        <v>0</v>
      </c>
      <c r="BL133" s="675"/>
      <c r="BM133" s="676">
        <f t="shared" si="109"/>
        <v>0</v>
      </c>
      <c r="BN133" s="677">
        <f t="shared" si="110"/>
        <v>0</v>
      </c>
      <c r="BO133" s="677">
        <f t="shared" si="148"/>
        <v>0</v>
      </c>
      <c r="BP133" s="678">
        <f t="shared" si="149"/>
        <v>0</v>
      </c>
      <c r="BQ133" s="679">
        <f t="shared" si="150"/>
        <v>0</v>
      </c>
      <c r="BR133" s="675"/>
      <c r="BS133" s="676">
        <f t="shared" si="111"/>
        <v>0</v>
      </c>
      <c r="BT133" s="677">
        <f t="shared" si="112"/>
        <v>0</v>
      </c>
      <c r="BU133" s="677">
        <f t="shared" si="151"/>
        <v>0</v>
      </c>
      <c r="BV133" s="678">
        <f t="shared" si="152"/>
        <v>0</v>
      </c>
      <c r="BW133" s="679">
        <f t="shared" si="153"/>
        <v>0</v>
      </c>
      <c r="BX133" s="675"/>
      <c r="BY133" s="676">
        <f t="shared" si="113"/>
        <v>0</v>
      </c>
      <c r="BZ133" s="677">
        <f t="shared" si="114"/>
        <v>0</v>
      </c>
      <c r="CA133" s="677">
        <f t="shared" si="154"/>
        <v>0</v>
      </c>
      <c r="CB133" s="678">
        <f t="shared" si="155"/>
        <v>0</v>
      </c>
      <c r="CC133" s="679">
        <f t="shared" si="156"/>
        <v>0</v>
      </c>
      <c r="CD133" s="675"/>
      <c r="CE133" s="676">
        <f t="shared" si="115"/>
        <v>0</v>
      </c>
      <c r="CF133" s="677">
        <f t="shared" si="116"/>
        <v>0</v>
      </c>
      <c r="CG133" s="677">
        <f t="shared" si="157"/>
        <v>0</v>
      </c>
      <c r="CH133" s="678">
        <f t="shared" si="158"/>
        <v>0</v>
      </c>
      <c r="CI133" s="679">
        <f t="shared" si="159"/>
        <v>0</v>
      </c>
      <c r="CJ133" s="675"/>
      <c r="CK133" s="676">
        <f t="shared" si="117"/>
        <v>0</v>
      </c>
      <c r="CL133" s="677">
        <f t="shared" si="118"/>
        <v>0</v>
      </c>
      <c r="CM133" s="677">
        <f t="shared" si="160"/>
        <v>0</v>
      </c>
      <c r="CN133" s="678">
        <f t="shared" si="161"/>
        <v>0</v>
      </c>
      <c r="CO133" s="679">
        <f t="shared" si="162"/>
        <v>0</v>
      </c>
      <c r="CP133" s="675"/>
      <c r="CQ133" s="676">
        <f t="shared" si="119"/>
        <v>0</v>
      </c>
      <c r="CR133" s="677">
        <f t="shared" si="120"/>
        <v>0</v>
      </c>
      <c r="CS133" s="677">
        <f t="shared" si="163"/>
        <v>0</v>
      </c>
      <c r="CT133" s="678">
        <f t="shared" si="164"/>
        <v>0</v>
      </c>
      <c r="CU133" s="679">
        <f t="shared" si="165"/>
        <v>0</v>
      </c>
      <c r="CV133" s="685"/>
      <c r="CW133" s="681"/>
      <c r="CX133" s="682"/>
      <c r="CY133" s="682"/>
      <c r="CZ133" s="683"/>
      <c r="DA133" s="684"/>
      <c r="DB133" s="685"/>
      <c r="DC133" s="681"/>
      <c r="DD133" s="682"/>
      <c r="DE133" s="682"/>
      <c r="DF133" s="683"/>
      <c r="DG133" s="684"/>
      <c r="DH133" s="685"/>
      <c r="DI133" s="681"/>
      <c r="DJ133" s="682"/>
      <c r="DK133" s="682"/>
      <c r="DL133" s="683"/>
      <c r="DM133" s="684"/>
      <c r="DN133" s="685"/>
      <c r="DO133" s="681"/>
      <c r="DP133" s="682"/>
      <c r="DQ133" s="682"/>
      <c r="DR133" s="683"/>
      <c r="DS133" s="684"/>
      <c r="DT133" s="675"/>
      <c r="DU133" s="676">
        <f t="shared" si="121"/>
        <v>0</v>
      </c>
      <c r="DV133" s="677">
        <f t="shared" si="122"/>
        <v>0</v>
      </c>
      <c r="DW133" s="677">
        <f t="shared" si="166"/>
        <v>0</v>
      </c>
      <c r="DX133" s="678">
        <f t="shared" si="167"/>
        <v>0</v>
      </c>
      <c r="DY133" s="679">
        <f t="shared" si="168"/>
        <v>0</v>
      </c>
      <c r="DZ133" s="680"/>
      <c r="EA133" s="681"/>
      <c r="EB133" s="682"/>
      <c r="EC133" s="682"/>
      <c r="ED133" s="683"/>
      <c r="EE133" s="684"/>
      <c r="EF133" s="680"/>
      <c r="EG133" s="681"/>
      <c r="EH133" s="682"/>
      <c r="EI133" s="682"/>
      <c r="EJ133" s="683"/>
      <c r="EK133" s="684"/>
      <c r="EL133" s="680"/>
      <c r="EM133" s="681"/>
      <c r="EN133" s="682"/>
      <c r="EO133" s="682"/>
      <c r="EP133" s="683"/>
      <c r="EQ133" s="684"/>
      <c r="ER133" s="680"/>
      <c r="ES133" s="681"/>
      <c r="ET133" s="682"/>
      <c r="EU133" s="682"/>
      <c r="EV133" s="683"/>
      <c r="EW133" s="684"/>
      <c r="EX133" s="675"/>
      <c r="EY133" s="676">
        <f t="shared" si="123"/>
        <v>0</v>
      </c>
      <c r="EZ133" s="677">
        <f t="shared" si="124"/>
        <v>0</v>
      </c>
      <c r="FA133" s="677">
        <f t="shared" si="169"/>
        <v>0</v>
      </c>
      <c r="FB133" s="678">
        <f t="shared" si="170"/>
        <v>0</v>
      </c>
      <c r="FC133" s="679">
        <f t="shared" si="171"/>
        <v>0</v>
      </c>
      <c r="FD133" s="680"/>
      <c r="FE133" s="681"/>
      <c r="FF133" s="682"/>
      <c r="FG133" s="682"/>
      <c r="FH133" s="683"/>
      <c r="FI133" s="684"/>
      <c r="FJ133" s="680"/>
      <c r="FK133" s="681"/>
      <c r="FL133" s="682"/>
      <c r="FM133" s="682"/>
      <c r="FN133" s="683"/>
      <c r="FO133" s="684"/>
      <c r="FP133" s="680"/>
      <c r="FQ133" s="681"/>
      <c r="FR133" s="682"/>
      <c r="FS133" s="682"/>
      <c r="FT133" s="683"/>
      <c r="FU133" s="684"/>
      <c r="FV133" s="680"/>
      <c r="FW133" s="681"/>
      <c r="FX133" s="682"/>
      <c r="FY133" s="682"/>
      <c r="FZ133" s="683"/>
      <c r="GA133" s="684"/>
      <c r="GB133" s="675"/>
      <c r="GC133" s="676">
        <f t="shared" si="125"/>
        <v>0</v>
      </c>
      <c r="GD133" s="677">
        <f t="shared" si="126"/>
        <v>0</v>
      </c>
      <c r="GE133" s="677">
        <f t="shared" si="172"/>
        <v>0</v>
      </c>
      <c r="GF133" s="678">
        <f t="shared" si="173"/>
        <v>0</v>
      </c>
      <c r="GG133" s="679">
        <f t="shared" si="174"/>
        <v>0</v>
      </c>
      <c r="GH133" s="680"/>
      <c r="GI133" s="681"/>
      <c r="GJ133" s="682"/>
      <c r="GK133" s="682"/>
      <c r="GL133" s="683"/>
      <c r="GM133" s="684"/>
      <c r="GN133" s="680"/>
      <c r="GO133" s="681"/>
      <c r="GP133" s="682"/>
      <c r="GQ133" s="682"/>
      <c r="GR133" s="683"/>
      <c r="GS133" s="684"/>
      <c r="GT133" s="680"/>
      <c r="GU133" s="681"/>
      <c r="GV133" s="682"/>
      <c r="GW133" s="682"/>
      <c r="GX133" s="683"/>
      <c r="GY133" s="684"/>
      <c r="GZ133" s="680"/>
      <c r="HA133" s="147"/>
      <c r="HB133" s="148"/>
      <c r="HC133" s="148"/>
      <c r="HD133" s="149"/>
      <c r="HE133" s="150"/>
      <c r="HF133" s="506"/>
      <c r="HG133" s="502"/>
      <c r="HH133" s="502"/>
      <c r="HI133" s="502"/>
      <c r="HJ133" s="8"/>
    </row>
    <row r="134" spans="2:218" ht="21">
      <c r="B134" s="488">
        <v>90</v>
      </c>
      <c r="C134" s="489" t="s">
        <v>224</v>
      </c>
      <c r="D134" s="490" t="s">
        <v>3</v>
      </c>
      <c r="E134" s="491" t="s">
        <v>227</v>
      </c>
      <c r="F134" s="492"/>
      <c r="G134" s="493"/>
      <c r="H134" s="146" t="s">
        <v>852</v>
      </c>
      <c r="I134" s="494" t="str">
        <f t="shared" si="92"/>
        <v>verhuurder</v>
      </c>
      <c r="J134" s="495" t="s">
        <v>487</v>
      </c>
      <c r="K134" s="151">
        <v>0</v>
      </c>
      <c r="L134" s="256">
        <f>IF($C$5&lt;3000,(Bron!H123*$C$5)+Bron!I123,(Bron!M123*$C$5)+Bron!N123)</f>
        <v>2604.672</v>
      </c>
      <c r="M134" s="256"/>
      <c r="N134" s="496">
        <f t="shared" si="90"/>
        <v>405.72800000000001</v>
      </c>
      <c r="O134" s="497">
        <f t="shared" si="91"/>
        <v>6.4197491915766225</v>
      </c>
      <c r="P134" s="257">
        <f>IF($C$5&lt;3000,$AN$32*Bron!J123,$AN$32*Bron!O123)</f>
        <v>0</v>
      </c>
      <c r="Q134" s="257"/>
      <c r="R134" s="257">
        <f>IF($C$5&lt;3000,$AN$33*Bron!J123,$AN$33*Bron!O123)</f>
        <v>8.18</v>
      </c>
      <c r="S134" s="344"/>
      <c r="T134" s="258">
        <f t="shared" si="93"/>
        <v>1</v>
      </c>
      <c r="U134" s="259">
        <f t="shared" si="94"/>
        <v>2604.672</v>
      </c>
      <c r="V134" s="675"/>
      <c r="W134" s="676">
        <f t="shared" si="95"/>
        <v>0</v>
      </c>
      <c r="X134" s="677">
        <f t="shared" si="96"/>
        <v>0</v>
      </c>
      <c r="Y134" s="677">
        <f t="shared" si="127"/>
        <v>0</v>
      </c>
      <c r="Z134" s="678">
        <f t="shared" si="128"/>
        <v>0</v>
      </c>
      <c r="AA134" s="679">
        <f t="shared" si="129"/>
        <v>0</v>
      </c>
      <c r="AB134" s="675"/>
      <c r="AC134" s="676">
        <f t="shared" si="97"/>
        <v>0</v>
      </c>
      <c r="AD134" s="677">
        <f t="shared" si="98"/>
        <v>0</v>
      </c>
      <c r="AE134" s="677">
        <f t="shared" si="130"/>
        <v>0</v>
      </c>
      <c r="AF134" s="678">
        <f t="shared" si="131"/>
        <v>0</v>
      </c>
      <c r="AG134" s="679">
        <f t="shared" si="132"/>
        <v>0</v>
      </c>
      <c r="AH134" s="675"/>
      <c r="AI134" s="676">
        <f t="shared" si="99"/>
        <v>0</v>
      </c>
      <c r="AJ134" s="677">
        <f t="shared" si="100"/>
        <v>0</v>
      </c>
      <c r="AK134" s="677">
        <f t="shared" si="133"/>
        <v>0</v>
      </c>
      <c r="AL134" s="678">
        <f t="shared" si="134"/>
        <v>0</v>
      </c>
      <c r="AM134" s="679">
        <f t="shared" si="135"/>
        <v>0</v>
      </c>
      <c r="AN134" s="675"/>
      <c r="AO134" s="676">
        <f t="shared" si="101"/>
        <v>0</v>
      </c>
      <c r="AP134" s="677">
        <f t="shared" si="102"/>
        <v>0</v>
      </c>
      <c r="AQ134" s="677">
        <f t="shared" si="136"/>
        <v>0</v>
      </c>
      <c r="AR134" s="678">
        <f t="shared" si="137"/>
        <v>0</v>
      </c>
      <c r="AS134" s="679">
        <f t="shared" si="138"/>
        <v>0</v>
      </c>
      <c r="AT134" s="675">
        <v>1</v>
      </c>
      <c r="AU134" s="676">
        <f t="shared" si="103"/>
        <v>2604.672</v>
      </c>
      <c r="AV134" s="677">
        <f t="shared" si="104"/>
        <v>0</v>
      </c>
      <c r="AW134" s="677">
        <f t="shared" si="139"/>
        <v>0</v>
      </c>
      <c r="AX134" s="678">
        <f t="shared" si="140"/>
        <v>8.18</v>
      </c>
      <c r="AY134" s="679">
        <f t="shared" si="141"/>
        <v>405.72800000000001</v>
      </c>
      <c r="AZ134" s="675"/>
      <c r="BA134" s="676">
        <f t="shared" si="105"/>
        <v>0</v>
      </c>
      <c r="BB134" s="677">
        <f t="shared" si="106"/>
        <v>0</v>
      </c>
      <c r="BC134" s="677">
        <f t="shared" si="142"/>
        <v>0</v>
      </c>
      <c r="BD134" s="678">
        <f t="shared" si="143"/>
        <v>0</v>
      </c>
      <c r="BE134" s="679">
        <f t="shared" si="144"/>
        <v>0</v>
      </c>
      <c r="BF134" s="675"/>
      <c r="BG134" s="676">
        <f t="shared" si="107"/>
        <v>0</v>
      </c>
      <c r="BH134" s="677">
        <f t="shared" si="108"/>
        <v>0</v>
      </c>
      <c r="BI134" s="677">
        <f t="shared" si="145"/>
        <v>0</v>
      </c>
      <c r="BJ134" s="678">
        <f t="shared" si="146"/>
        <v>0</v>
      </c>
      <c r="BK134" s="679">
        <f t="shared" si="147"/>
        <v>0</v>
      </c>
      <c r="BL134" s="675"/>
      <c r="BM134" s="676">
        <f t="shared" si="109"/>
        <v>0</v>
      </c>
      <c r="BN134" s="677">
        <f t="shared" si="110"/>
        <v>0</v>
      </c>
      <c r="BO134" s="677">
        <f t="shared" si="148"/>
        <v>0</v>
      </c>
      <c r="BP134" s="678">
        <f t="shared" si="149"/>
        <v>0</v>
      </c>
      <c r="BQ134" s="679">
        <f t="shared" si="150"/>
        <v>0</v>
      </c>
      <c r="BR134" s="675"/>
      <c r="BS134" s="676">
        <f t="shared" si="111"/>
        <v>0</v>
      </c>
      <c r="BT134" s="677">
        <f t="shared" si="112"/>
        <v>0</v>
      </c>
      <c r="BU134" s="677">
        <f t="shared" si="151"/>
        <v>0</v>
      </c>
      <c r="BV134" s="678">
        <f t="shared" si="152"/>
        <v>0</v>
      </c>
      <c r="BW134" s="679">
        <f t="shared" si="153"/>
        <v>0</v>
      </c>
      <c r="BX134" s="675"/>
      <c r="BY134" s="676">
        <f t="shared" si="113"/>
        <v>0</v>
      </c>
      <c r="BZ134" s="677">
        <f t="shared" si="114"/>
        <v>0</v>
      </c>
      <c r="CA134" s="677">
        <f t="shared" si="154"/>
        <v>0</v>
      </c>
      <c r="CB134" s="678">
        <f t="shared" si="155"/>
        <v>0</v>
      </c>
      <c r="CC134" s="679">
        <f t="shared" si="156"/>
        <v>0</v>
      </c>
      <c r="CD134" s="675"/>
      <c r="CE134" s="676">
        <f t="shared" si="115"/>
        <v>0</v>
      </c>
      <c r="CF134" s="677">
        <f t="shared" si="116"/>
        <v>0</v>
      </c>
      <c r="CG134" s="677">
        <f t="shared" si="157"/>
        <v>0</v>
      </c>
      <c r="CH134" s="678">
        <f t="shared" si="158"/>
        <v>0</v>
      </c>
      <c r="CI134" s="679">
        <f t="shared" si="159"/>
        <v>0</v>
      </c>
      <c r="CJ134" s="675"/>
      <c r="CK134" s="676">
        <f t="shared" si="117"/>
        <v>0</v>
      </c>
      <c r="CL134" s="677">
        <f t="shared" si="118"/>
        <v>0</v>
      </c>
      <c r="CM134" s="677">
        <f t="shared" si="160"/>
        <v>0</v>
      </c>
      <c r="CN134" s="678">
        <f t="shared" si="161"/>
        <v>0</v>
      </c>
      <c r="CO134" s="679">
        <f t="shared" si="162"/>
        <v>0</v>
      </c>
      <c r="CP134" s="675"/>
      <c r="CQ134" s="676">
        <f t="shared" si="119"/>
        <v>0</v>
      </c>
      <c r="CR134" s="677">
        <f t="shared" si="120"/>
        <v>0</v>
      </c>
      <c r="CS134" s="677">
        <f t="shared" si="163"/>
        <v>0</v>
      </c>
      <c r="CT134" s="678">
        <f t="shared" si="164"/>
        <v>0</v>
      </c>
      <c r="CU134" s="679">
        <f t="shared" si="165"/>
        <v>0</v>
      </c>
      <c r="CV134" s="685"/>
      <c r="CW134" s="681"/>
      <c r="CX134" s="682"/>
      <c r="CY134" s="682"/>
      <c r="CZ134" s="683"/>
      <c r="DA134" s="684"/>
      <c r="DB134" s="685"/>
      <c r="DC134" s="681"/>
      <c r="DD134" s="682"/>
      <c r="DE134" s="682"/>
      <c r="DF134" s="683"/>
      <c r="DG134" s="684"/>
      <c r="DH134" s="685"/>
      <c r="DI134" s="681"/>
      <c r="DJ134" s="682"/>
      <c r="DK134" s="682"/>
      <c r="DL134" s="683"/>
      <c r="DM134" s="684"/>
      <c r="DN134" s="685"/>
      <c r="DO134" s="681"/>
      <c r="DP134" s="682"/>
      <c r="DQ134" s="682"/>
      <c r="DR134" s="683"/>
      <c r="DS134" s="684"/>
      <c r="DT134" s="675"/>
      <c r="DU134" s="676">
        <f t="shared" si="121"/>
        <v>0</v>
      </c>
      <c r="DV134" s="677">
        <f t="shared" si="122"/>
        <v>0</v>
      </c>
      <c r="DW134" s="677">
        <f t="shared" si="166"/>
        <v>0</v>
      </c>
      <c r="DX134" s="678">
        <f t="shared" si="167"/>
        <v>0</v>
      </c>
      <c r="DY134" s="679">
        <f t="shared" si="168"/>
        <v>0</v>
      </c>
      <c r="DZ134" s="680"/>
      <c r="EA134" s="681"/>
      <c r="EB134" s="682"/>
      <c r="EC134" s="682"/>
      <c r="ED134" s="683"/>
      <c r="EE134" s="684"/>
      <c r="EF134" s="680"/>
      <c r="EG134" s="681"/>
      <c r="EH134" s="682"/>
      <c r="EI134" s="682"/>
      <c r="EJ134" s="683"/>
      <c r="EK134" s="684"/>
      <c r="EL134" s="680"/>
      <c r="EM134" s="681"/>
      <c r="EN134" s="682"/>
      <c r="EO134" s="682"/>
      <c r="EP134" s="683"/>
      <c r="EQ134" s="684"/>
      <c r="ER134" s="680"/>
      <c r="ES134" s="681"/>
      <c r="ET134" s="682"/>
      <c r="EU134" s="682"/>
      <c r="EV134" s="683"/>
      <c r="EW134" s="684"/>
      <c r="EX134" s="675"/>
      <c r="EY134" s="676">
        <f t="shared" si="123"/>
        <v>0</v>
      </c>
      <c r="EZ134" s="677">
        <f t="shared" si="124"/>
        <v>0</v>
      </c>
      <c r="FA134" s="677">
        <f t="shared" si="169"/>
        <v>0</v>
      </c>
      <c r="FB134" s="678">
        <f t="shared" si="170"/>
        <v>0</v>
      </c>
      <c r="FC134" s="679">
        <f t="shared" si="171"/>
        <v>0</v>
      </c>
      <c r="FD134" s="680"/>
      <c r="FE134" s="681"/>
      <c r="FF134" s="682"/>
      <c r="FG134" s="682"/>
      <c r="FH134" s="683"/>
      <c r="FI134" s="684"/>
      <c r="FJ134" s="680"/>
      <c r="FK134" s="681"/>
      <c r="FL134" s="682"/>
      <c r="FM134" s="682"/>
      <c r="FN134" s="683"/>
      <c r="FO134" s="684"/>
      <c r="FP134" s="680"/>
      <c r="FQ134" s="681"/>
      <c r="FR134" s="682"/>
      <c r="FS134" s="682"/>
      <c r="FT134" s="683"/>
      <c r="FU134" s="684"/>
      <c r="FV134" s="680"/>
      <c r="FW134" s="681"/>
      <c r="FX134" s="682"/>
      <c r="FY134" s="682"/>
      <c r="FZ134" s="683"/>
      <c r="GA134" s="684"/>
      <c r="GB134" s="675"/>
      <c r="GC134" s="676">
        <f t="shared" si="125"/>
        <v>0</v>
      </c>
      <c r="GD134" s="677">
        <f t="shared" si="126"/>
        <v>0</v>
      </c>
      <c r="GE134" s="677">
        <f t="shared" si="172"/>
        <v>0</v>
      </c>
      <c r="GF134" s="678">
        <f t="shared" si="173"/>
        <v>0</v>
      </c>
      <c r="GG134" s="679">
        <f t="shared" si="174"/>
        <v>0</v>
      </c>
      <c r="GH134" s="680"/>
      <c r="GI134" s="681"/>
      <c r="GJ134" s="682"/>
      <c r="GK134" s="682"/>
      <c r="GL134" s="683"/>
      <c r="GM134" s="684"/>
      <c r="GN134" s="680"/>
      <c r="GO134" s="681"/>
      <c r="GP134" s="682"/>
      <c r="GQ134" s="682"/>
      <c r="GR134" s="683"/>
      <c r="GS134" s="684"/>
      <c r="GT134" s="680"/>
      <c r="GU134" s="681"/>
      <c r="GV134" s="682"/>
      <c r="GW134" s="682"/>
      <c r="GX134" s="683"/>
      <c r="GY134" s="684"/>
      <c r="GZ134" s="680"/>
      <c r="HA134" s="147"/>
      <c r="HB134" s="148"/>
      <c r="HC134" s="148"/>
      <c r="HD134" s="149"/>
      <c r="HE134" s="150"/>
      <c r="HF134" s="506"/>
      <c r="HG134" s="502"/>
      <c r="HH134" s="502"/>
      <c r="HI134" s="502"/>
      <c r="HJ134" s="8"/>
    </row>
    <row r="135" spans="2:218" ht="21">
      <c r="B135" s="488">
        <v>91</v>
      </c>
      <c r="C135" s="489" t="s">
        <v>224</v>
      </c>
      <c r="D135" s="490" t="s">
        <v>228</v>
      </c>
      <c r="E135" s="491" t="s">
        <v>229</v>
      </c>
      <c r="F135" s="492"/>
      <c r="G135" s="493"/>
      <c r="H135" s="146" t="s">
        <v>852</v>
      </c>
      <c r="I135" s="494" t="str">
        <f t="shared" si="92"/>
        <v>verhuurder</v>
      </c>
      <c r="J135" s="495" t="s">
        <v>487</v>
      </c>
      <c r="K135" s="151">
        <v>0</v>
      </c>
      <c r="L135" s="256">
        <f>IF($C$5&lt;3000,(Bron!H124*$C$5)+Bron!I124,(Bron!M124*$C$5)+Bron!N124)</f>
        <v>2604.672</v>
      </c>
      <c r="M135" s="256"/>
      <c r="N135" s="496">
        <f t="shared" si="90"/>
        <v>1014.3200000000002</v>
      </c>
      <c r="O135" s="497">
        <f t="shared" si="91"/>
        <v>2.5678996766306486</v>
      </c>
      <c r="P135" s="257">
        <f>IF($C$5&lt;3000,$AN$32*Bron!J124,$AN$32*Bron!O124)</f>
        <v>0</v>
      </c>
      <c r="Q135" s="257"/>
      <c r="R135" s="257">
        <f>IF($C$5&lt;3000,$AN$33*Bron!J124,$AN$33*Bron!O124)</f>
        <v>20.450000000000003</v>
      </c>
      <c r="S135" s="344"/>
      <c r="T135" s="258">
        <f t="shared" si="93"/>
        <v>1</v>
      </c>
      <c r="U135" s="259">
        <f t="shared" si="94"/>
        <v>2604.672</v>
      </c>
      <c r="V135" s="675"/>
      <c r="W135" s="676">
        <f t="shared" si="95"/>
        <v>0</v>
      </c>
      <c r="X135" s="677">
        <f t="shared" si="96"/>
        <v>0</v>
      </c>
      <c r="Y135" s="677">
        <f t="shared" si="127"/>
        <v>0</v>
      </c>
      <c r="Z135" s="678">
        <f t="shared" si="128"/>
        <v>0</v>
      </c>
      <c r="AA135" s="679">
        <f t="shared" si="129"/>
        <v>0</v>
      </c>
      <c r="AB135" s="675"/>
      <c r="AC135" s="676">
        <f t="shared" si="97"/>
        <v>0</v>
      </c>
      <c r="AD135" s="677">
        <f t="shared" si="98"/>
        <v>0</v>
      </c>
      <c r="AE135" s="677">
        <f t="shared" si="130"/>
        <v>0</v>
      </c>
      <c r="AF135" s="678">
        <f t="shared" si="131"/>
        <v>0</v>
      </c>
      <c r="AG135" s="679">
        <f t="shared" si="132"/>
        <v>0</v>
      </c>
      <c r="AH135" s="675"/>
      <c r="AI135" s="676">
        <f t="shared" si="99"/>
        <v>0</v>
      </c>
      <c r="AJ135" s="677">
        <f t="shared" si="100"/>
        <v>0</v>
      </c>
      <c r="AK135" s="677">
        <f t="shared" si="133"/>
        <v>0</v>
      </c>
      <c r="AL135" s="678">
        <f t="shared" si="134"/>
        <v>0</v>
      </c>
      <c r="AM135" s="679">
        <f t="shared" si="135"/>
        <v>0</v>
      </c>
      <c r="AN135" s="675"/>
      <c r="AO135" s="676">
        <f t="shared" si="101"/>
        <v>0</v>
      </c>
      <c r="AP135" s="677">
        <f t="shared" si="102"/>
        <v>0</v>
      </c>
      <c r="AQ135" s="677">
        <f t="shared" si="136"/>
        <v>0</v>
      </c>
      <c r="AR135" s="678">
        <f t="shared" si="137"/>
        <v>0</v>
      </c>
      <c r="AS135" s="679">
        <f t="shared" si="138"/>
        <v>0</v>
      </c>
      <c r="AT135" s="675">
        <v>1</v>
      </c>
      <c r="AU135" s="676">
        <f t="shared" si="103"/>
        <v>2604.672</v>
      </c>
      <c r="AV135" s="677">
        <f t="shared" si="104"/>
        <v>0</v>
      </c>
      <c r="AW135" s="677">
        <f t="shared" si="139"/>
        <v>0</v>
      </c>
      <c r="AX135" s="678">
        <f t="shared" si="140"/>
        <v>20.450000000000003</v>
      </c>
      <c r="AY135" s="679">
        <f t="shared" si="141"/>
        <v>1014.3200000000002</v>
      </c>
      <c r="AZ135" s="675"/>
      <c r="BA135" s="676">
        <f t="shared" si="105"/>
        <v>0</v>
      </c>
      <c r="BB135" s="677">
        <f t="shared" si="106"/>
        <v>0</v>
      </c>
      <c r="BC135" s="677">
        <f t="shared" si="142"/>
        <v>0</v>
      </c>
      <c r="BD135" s="678">
        <f t="shared" si="143"/>
        <v>0</v>
      </c>
      <c r="BE135" s="679">
        <f t="shared" si="144"/>
        <v>0</v>
      </c>
      <c r="BF135" s="675"/>
      <c r="BG135" s="676">
        <f t="shared" si="107"/>
        <v>0</v>
      </c>
      <c r="BH135" s="677">
        <f t="shared" si="108"/>
        <v>0</v>
      </c>
      <c r="BI135" s="677">
        <f t="shared" si="145"/>
        <v>0</v>
      </c>
      <c r="BJ135" s="678">
        <f t="shared" si="146"/>
        <v>0</v>
      </c>
      <c r="BK135" s="679">
        <f t="shared" si="147"/>
        <v>0</v>
      </c>
      <c r="BL135" s="675"/>
      <c r="BM135" s="676">
        <f t="shared" si="109"/>
        <v>0</v>
      </c>
      <c r="BN135" s="677">
        <f t="shared" si="110"/>
        <v>0</v>
      </c>
      <c r="BO135" s="677">
        <f t="shared" si="148"/>
        <v>0</v>
      </c>
      <c r="BP135" s="678">
        <f t="shared" si="149"/>
        <v>0</v>
      </c>
      <c r="BQ135" s="679">
        <f t="shared" si="150"/>
        <v>0</v>
      </c>
      <c r="BR135" s="675"/>
      <c r="BS135" s="676">
        <f t="shared" si="111"/>
        <v>0</v>
      </c>
      <c r="BT135" s="677">
        <f t="shared" si="112"/>
        <v>0</v>
      </c>
      <c r="BU135" s="677">
        <f t="shared" si="151"/>
        <v>0</v>
      </c>
      <c r="BV135" s="678">
        <f t="shared" si="152"/>
        <v>0</v>
      </c>
      <c r="BW135" s="679">
        <f t="shared" si="153"/>
        <v>0</v>
      </c>
      <c r="BX135" s="675"/>
      <c r="BY135" s="676">
        <f t="shared" si="113"/>
        <v>0</v>
      </c>
      <c r="BZ135" s="677">
        <f t="shared" si="114"/>
        <v>0</v>
      </c>
      <c r="CA135" s="677">
        <f t="shared" si="154"/>
        <v>0</v>
      </c>
      <c r="CB135" s="678">
        <f t="shared" si="155"/>
        <v>0</v>
      </c>
      <c r="CC135" s="679">
        <f t="shared" si="156"/>
        <v>0</v>
      </c>
      <c r="CD135" s="675"/>
      <c r="CE135" s="676">
        <f t="shared" si="115"/>
        <v>0</v>
      </c>
      <c r="CF135" s="677">
        <f t="shared" si="116"/>
        <v>0</v>
      </c>
      <c r="CG135" s="677">
        <f t="shared" si="157"/>
        <v>0</v>
      </c>
      <c r="CH135" s="678">
        <f t="shared" si="158"/>
        <v>0</v>
      </c>
      <c r="CI135" s="679">
        <f t="shared" si="159"/>
        <v>0</v>
      </c>
      <c r="CJ135" s="675"/>
      <c r="CK135" s="676">
        <f t="shared" si="117"/>
        <v>0</v>
      </c>
      <c r="CL135" s="677">
        <f t="shared" si="118"/>
        <v>0</v>
      </c>
      <c r="CM135" s="677">
        <f t="shared" si="160"/>
        <v>0</v>
      </c>
      <c r="CN135" s="678">
        <f t="shared" si="161"/>
        <v>0</v>
      </c>
      <c r="CO135" s="679">
        <f t="shared" si="162"/>
        <v>0</v>
      </c>
      <c r="CP135" s="675"/>
      <c r="CQ135" s="676">
        <f t="shared" si="119"/>
        <v>0</v>
      </c>
      <c r="CR135" s="677">
        <f t="shared" si="120"/>
        <v>0</v>
      </c>
      <c r="CS135" s="677">
        <f t="shared" si="163"/>
        <v>0</v>
      </c>
      <c r="CT135" s="678">
        <f t="shared" si="164"/>
        <v>0</v>
      </c>
      <c r="CU135" s="679">
        <f t="shared" si="165"/>
        <v>0</v>
      </c>
      <c r="CV135" s="685"/>
      <c r="CW135" s="681"/>
      <c r="CX135" s="682"/>
      <c r="CY135" s="682"/>
      <c r="CZ135" s="683"/>
      <c r="DA135" s="684"/>
      <c r="DB135" s="685"/>
      <c r="DC135" s="681"/>
      <c r="DD135" s="682"/>
      <c r="DE135" s="682"/>
      <c r="DF135" s="683"/>
      <c r="DG135" s="684"/>
      <c r="DH135" s="685"/>
      <c r="DI135" s="681"/>
      <c r="DJ135" s="682"/>
      <c r="DK135" s="682"/>
      <c r="DL135" s="683"/>
      <c r="DM135" s="684"/>
      <c r="DN135" s="685"/>
      <c r="DO135" s="681"/>
      <c r="DP135" s="682"/>
      <c r="DQ135" s="682"/>
      <c r="DR135" s="683"/>
      <c r="DS135" s="684"/>
      <c r="DT135" s="675"/>
      <c r="DU135" s="676">
        <f t="shared" si="121"/>
        <v>0</v>
      </c>
      <c r="DV135" s="677">
        <f t="shared" si="122"/>
        <v>0</v>
      </c>
      <c r="DW135" s="677">
        <f t="shared" si="166"/>
        <v>0</v>
      </c>
      <c r="DX135" s="678">
        <f t="shared" si="167"/>
        <v>0</v>
      </c>
      <c r="DY135" s="679">
        <f t="shared" si="168"/>
        <v>0</v>
      </c>
      <c r="DZ135" s="680"/>
      <c r="EA135" s="681"/>
      <c r="EB135" s="682"/>
      <c r="EC135" s="682"/>
      <c r="ED135" s="683"/>
      <c r="EE135" s="684"/>
      <c r="EF135" s="680"/>
      <c r="EG135" s="681"/>
      <c r="EH135" s="682"/>
      <c r="EI135" s="682"/>
      <c r="EJ135" s="683"/>
      <c r="EK135" s="684"/>
      <c r="EL135" s="680"/>
      <c r="EM135" s="681"/>
      <c r="EN135" s="682"/>
      <c r="EO135" s="682"/>
      <c r="EP135" s="683"/>
      <c r="EQ135" s="684"/>
      <c r="ER135" s="680"/>
      <c r="ES135" s="681"/>
      <c r="ET135" s="682"/>
      <c r="EU135" s="682"/>
      <c r="EV135" s="683"/>
      <c r="EW135" s="684"/>
      <c r="EX135" s="675"/>
      <c r="EY135" s="676">
        <f t="shared" si="123"/>
        <v>0</v>
      </c>
      <c r="EZ135" s="677">
        <f t="shared" si="124"/>
        <v>0</v>
      </c>
      <c r="FA135" s="677">
        <f t="shared" si="169"/>
        <v>0</v>
      </c>
      <c r="FB135" s="678">
        <f t="shared" si="170"/>
        <v>0</v>
      </c>
      <c r="FC135" s="679">
        <f t="shared" si="171"/>
        <v>0</v>
      </c>
      <c r="FD135" s="680"/>
      <c r="FE135" s="681"/>
      <c r="FF135" s="682"/>
      <c r="FG135" s="682"/>
      <c r="FH135" s="683"/>
      <c r="FI135" s="684"/>
      <c r="FJ135" s="680"/>
      <c r="FK135" s="681"/>
      <c r="FL135" s="682"/>
      <c r="FM135" s="682"/>
      <c r="FN135" s="683"/>
      <c r="FO135" s="684"/>
      <c r="FP135" s="680"/>
      <c r="FQ135" s="681"/>
      <c r="FR135" s="682"/>
      <c r="FS135" s="682"/>
      <c r="FT135" s="683"/>
      <c r="FU135" s="684"/>
      <c r="FV135" s="680"/>
      <c r="FW135" s="681"/>
      <c r="FX135" s="682"/>
      <c r="FY135" s="682"/>
      <c r="FZ135" s="683"/>
      <c r="GA135" s="684"/>
      <c r="GB135" s="675"/>
      <c r="GC135" s="676">
        <f t="shared" si="125"/>
        <v>0</v>
      </c>
      <c r="GD135" s="677">
        <f t="shared" si="126"/>
        <v>0</v>
      </c>
      <c r="GE135" s="677">
        <f t="shared" si="172"/>
        <v>0</v>
      </c>
      <c r="GF135" s="678">
        <f t="shared" si="173"/>
        <v>0</v>
      </c>
      <c r="GG135" s="679">
        <f t="shared" si="174"/>
        <v>0</v>
      </c>
      <c r="GH135" s="680"/>
      <c r="GI135" s="681"/>
      <c r="GJ135" s="682"/>
      <c r="GK135" s="682"/>
      <c r="GL135" s="683"/>
      <c r="GM135" s="684"/>
      <c r="GN135" s="680"/>
      <c r="GO135" s="681"/>
      <c r="GP135" s="682"/>
      <c r="GQ135" s="682"/>
      <c r="GR135" s="683"/>
      <c r="GS135" s="684"/>
      <c r="GT135" s="680"/>
      <c r="GU135" s="681"/>
      <c r="GV135" s="682"/>
      <c r="GW135" s="682"/>
      <c r="GX135" s="683"/>
      <c r="GY135" s="684"/>
      <c r="GZ135" s="680"/>
      <c r="HA135" s="147"/>
      <c r="HB135" s="148"/>
      <c r="HC135" s="148"/>
      <c r="HD135" s="149"/>
      <c r="HE135" s="150"/>
      <c r="HF135" s="506"/>
      <c r="HG135" s="502"/>
      <c r="HH135" s="502"/>
      <c r="HI135" s="502"/>
      <c r="HJ135" s="8"/>
    </row>
    <row r="136" spans="2:218" ht="21">
      <c r="B136" s="488">
        <v>92</v>
      </c>
      <c r="C136" s="489" t="s">
        <v>224</v>
      </c>
      <c r="D136" s="490" t="s">
        <v>230</v>
      </c>
      <c r="E136" s="491" t="s">
        <v>231</v>
      </c>
      <c r="F136" s="492"/>
      <c r="G136" s="493"/>
      <c r="H136" s="146" t="s">
        <v>852</v>
      </c>
      <c r="I136" s="494" t="str">
        <f t="shared" si="92"/>
        <v>verhuurder</v>
      </c>
      <c r="J136" s="495"/>
      <c r="K136" s="151">
        <v>1</v>
      </c>
      <c r="L136" s="256"/>
      <c r="M136" s="256">
        <f>IF($C$5&lt;3000,(Bron!H125*$C$5)+Bron!I125,(Bron!M125*$C$5)+Bron!N125)</f>
        <v>8465.1839999999993</v>
      </c>
      <c r="N136" s="496">
        <f t="shared" si="90"/>
        <v>1420.0480000000002</v>
      </c>
      <c r="O136" s="497">
        <f t="shared" si="91"/>
        <v>5.9611956778925768</v>
      </c>
      <c r="P136" s="257">
        <f>IF($C$5&lt;3000,$AN$32*Bron!J125,$AN$32*Bron!O125)</f>
        <v>0</v>
      </c>
      <c r="Q136" s="257"/>
      <c r="R136" s="257">
        <f>IF($C$5&lt;3000,$AN$33*Bron!J125,$AN$33*Bron!O125)</f>
        <v>28.630000000000003</v>
      </c>
      <c r="S136" s="344"/>
      <c r="T136" s="258">
        <f t="shared" si="93"/>
        <v>1</v>
      </c>
      <c r="U136" s="259">
        <f t="shared" si="94"/>
        <v>0</v>
      </c>
      <c r="V136" s="675"/>
      <c r="W136" s="676">
        <f t="shared" si="95"/>
        <v>0</v>
      </c>
      <c r="X136" s="677">
        <f t="shared" si="96"/>
        <v>0</v>
      </c>
      <c r="Y136" s="677">
        <f t="shared" si="127"/>
        <v>0</v>
      </c>
      <c r="Z136" s="678">
        <f t="shared" si="128"/>
        <v>0</v>
      </c>
      <c r="AA136" s="679">
        <f t="shared" si="129"/>
        <v>0</v>
      </c>
      <c r="AB136" s="675"/>
      <c r="AC136" s="676">
        <f t="shared" si="97"/>
        <v>0</v>
      </c>
      <c r="AD136" s="677">
        <f t="shared" si="98"/>
        <v>0</v>
      </c>
      <c r="AE136" s="677">
        <f t="shared" si="130"/>
        <v>0</v>
      </c>
      <c r="AF136" s="678">
        <f t="shared" si="131"/>
        <v>0</v>
      </c>
      <c r="AG136" s="679">
        <f t="shared" si="132"/>
        <v>0</v>
      </c>
      <c r="AH136" s="675"/>
      <c r="AI136" s="676">
        <f t="shared" si="99"/>
        <v>0</v>
      </c>
      <c r="AJ136" s="677">
        <f t="shared" si="100"/>
        <v>0</v>
      </c>
      <c r="AK136" s="677">
        <f t="shared" si="133"/>
        <v>0</v>
      </c>
      <c r="AL136" s="678">
        <f t="shared" si="134"/>
        <v>0</v>
      </c>
      <c r="AM136" s="679">
        <f t="shared" si="135"/>
        <v>0</v>
      </c>
      <c r="AN136" s="675"/>
      <c r="AO136" s="676">
        <f t="shared" si="101"/>
        <v>0</v>
      </c>
      <c r="AP136" s="677">
        <f t="shared" si="102"/>
        <v>0</v>
      </c>
      <c r="AQ136" s="677">
        <f t="shared" si="136"/>
        <v>0</v>
      </c>
      <c r="AR136" s="678">
        <f t="shared" si="137"/>
        <v>0</v>
      </c>
      <c r="AS136" s="679">
        <f t="shared" si="138"/>
        <v>0</v>
      </c>
      <c r="AT136" s="675"/>
      <c r="AU136" s="676">
        <f t="shared" si="103"/>
        <v>0</v>
      </c>
      <c r="AV136" s="677">
        <f t="shared" si="104"/>
        <v>0</v>
      </c>
      <c r="AW136" s="677">
        <f t="shared" si="139"/>
        <v>0</v>
      </c>
      <c r="AX136" s="678">
        <f t="shared" si="140"/>
        <v>0</v>
      </c>
      <c r="AY136" s="679">
        <f t="shared" si="141"/>
        <v>0</v>
      </c>
      <c r="AZ136" s="675"/>
      <c r="BA136" s="676">
        <f t="shared" si="105"/>
        <v>0</v>
      </c>
      <c r="BB136" s="677">
        <f t="shared" si="106"/>
        <v>0</v>
      </c>
      <c r="BC136" s="677">
        <f t="shared" si="142"/>
        <v>0</v>
      </c>
      <c r="BD136" s="678">
        <f t="shared" si="143"/>
        <v>0</v>
      </c>
      <c r="BE136" s="679">
        <f t="shared" si="144"/>
        <v>0</v>
      </c>
      <c r="BF136" s="675"/>
      <c r="BG136" s="676">
        <f t="shared" si="107"/>
        <v>0</v>
      </c>
      <c r="BH136" s="677">
        <f t="shared" si="108"/>
        <v>0</v>
      </c>
      <c r="BI136" s="677">
        <f t="shared" si="145"/>
        <v>0</v>
      </c>
      <c r="BJ136" s="678">
        <f t="shared" si="146"/>
        <v>0</v>
      </c>
      <c r="BK136" s="679">
        <f t="shared" si="147"/>
        <v>0</v>
      </c>
      <c r="BL136" s="675"/>
      <c r="BM136" s="676">
        <f t="shared" si="109"/>
        <v>0</v>
      </c>
      <c r="BN136" s="677">
        <f t="shared" si="110"/>
        <v>0</v>
      </c>
      <c r="BO136" s="677">
        <f t="shared" si="148"/>
        <v>0</v>
      </c>
      <c r="BP136" s="678">
        <f t="shared" si="149"/>
        <v>0</v>
      </c>
      <c r="BQ136" s="679">
        <f t="shared" si="150"/>
        <v>0</v>
      </c>
      <c r="BR136" s="675"/>
      <c r="BS136" s="676">
        <f t="shared" si="111"/>
        <v>0</v>
      </c>
      <c r="BT136" s="677">
        <f t="shared" si="112"/>
        <v>0</v>
      </c>
      <c r="BU136" s="677">
        <f t="shared" si="151"/>
        <v>0</v>
      </c>
      <c r="BV136" s="678">
        <f t="shared" si="152"/>
        <v>0</v>
      </c>
      <c r="BW136" s="679">
        <f t="shared" si="153"/>
        <v>0</v>
      </c>
      <c r="BX136" s="675"/>
      <c r="BY136" s="676">
        <f t="shared" si="113"/>
        <v>0</v>
      </c>
      <c r="BZ136" s="677">
        <f t="shared" si="114"/>
        <v>0</v>
      </c>
      <c r="CA136" s="677">
        <f t="shared" si="154"/>
        <v>0</v>
      </c>
      <c r="CB136" s="678">
        <f t="shared" si="155"/>
        <v>0</v>
      </c>
      <c r="CC136" s="679">
        <f t="shared" si="156"/>
        <v>0</v>
      </c>
      <c r="CD136" s="675"/>
      <c r="CE136" s="676">
        <f t="shared" si="115"/>
        <v>0</v>
      </c>
      <c r="CF136" s="677">
        <f t="shared" si="116"/>
        <v>0</v>
      </c>
      <c r="CG136" s="677">
        <f t="shared" si="157"/>
        <v>0</v>
      </c>
      <c r="CH136" s="678">
        <f t="shared" si="158"/>
        <v>0</v>
      </c>
      <c r="CI136" s="679">
        <f t="shared" si="159"/>
        <v>0</v>
      </c>
      <c r="CJ136" s="675"/>
      <c r="CK136" s="676">
        <f t="shared" si="117"/>
        <v>0</v>
      </c>
      <c r="CL136" s="677">
        <f t="shared" si="118"/>
        <v>0</v>
      </c>
      <c r="CM136" s="677">
        <f t="shared" si="160"/>
        <v>0</v>
      </c>
      <c r="CN136" s="678">
        <f t="shared" si="161"/>
        <v>0</v>
      </c>
      <c r="CO136" s="679">
        <f t="shared" si="162"/>
        <v>0</v>
      </c>
      <c r="CP136" s="675"/>
      <c r="CQ136" s="676">
        <f t="shared" si="119"/>
        <v>0</v>
      </c>
      <c r="CR136" s="677">
        <f t="shared" si="120"/>
        <v>0</v>
      </c>
      <c r="CS136" s="677">
        <f t="shared" si="163"/>
        <v>0</v>
      </c>
      <c r="CT136" s="678">
        <f t="shared" si="164"/>
        <v>0</v>
      </c>
      <c r="CU136" s="679">
        <f t="shared" si="165"/>
        <v>0</v>
      </c>
      <c r="CV136" s="685"/>
      <c r="CW136" s="681"/>
      <c r="CX136" s="682"/>
      <c r="CY136" s="682"/>
      <c r="CZ136" s="683"/>
      <c r="DA136" s="684"/>
      <c r="DB136" s="685"/>
      <c r="DC136" s="681"/>
      <c r="DD136" s="682"/>
      <c r="DE136" s="682"/>
      <c r="DF136" s="683"/>
      <c r="DG136" s="684"/>
      <c r="DH136" s="685"/>
      <c r="DI136" s="681"/>
      <c r="DJ136" s="682"/>
      <c r="DK136" s="682"/>
      <c r="DL136" s="683"/>
      <c r="DM136" s="684"/>
      <c r="DN136" s="685"/>
      <c r="DO136" s="681"/>
      <c r="DP136" s="682"/>
      <c r="DQ136" s="682"/>
      <c r="DR136" s="683"/>
      <c r="DS136" s="684"/>
      <c r="DT136" s="675"/>
      <c r="DU136" s="676">
        <f t="shared" si="121"/>
        <v>0</v>
      </c>
      <c r="DV136" s="677">
        <f t="shared" si="122"/>
        <v>0</v>
      </c>
      <c r="DW136" s="677">
        <f t="shared" si="166"/>
        <v>0</v>
      </c>
      <c r="DX136" s="678">
        <f t="shared" si="167"/>
        <v>0</v>
      </c>
      <c r="DY136" s="679">
        <f t="shared" si="168"/>
        <v>0</v>
      </c>
      <c r="DZ136" s="680"/>
      <c r="EA136" s="681"/>
      <c r="EB136" s="682"/>
      <c r="EC136" s="682"/>
      <c r="ED136" s="683"/>
      <c r="EE136" s="684"/>
      <c r="EF136" s="680"/>
      <c r="EG136" s="681"/>
      <c r="EH136" s="682"/>
      <c r="EI136" s="682"/>
      <c r="EJ136" s="683"/>
      <c r="EK136" s="684"/>
      <c r="EL136" s="680"/>
      <c r="EM136" s="681"/>
      <c r="EN136" s="682"/>
      <c r="EO136" s="682"/>
      <c r="EP136" s="683"/>
      <c r="EQ136" s="684"/>
      <c r="ER136" s="680"/>
      <c r="ES136" s="681"/>
      <c r="ET136" s="682"/>
      <c r="EU136" s="682"/>
      <c r="EV136" s="683"/>
      <c r="EW136" s="684"/>
      <c r="EX136" s="675"/>
      <c r="EY136" s="676">
        <f t="shared" si="123"/>
        <v>0</v>
      </c>
      <c r="EZ136" s="677">
        <f t="shared" si="124"/>
        <v>0</v>
      </c>
      <c r="FA136" s="677">
        <f t="shared" si="169"/>
        <v>0</v>
      </c>
      <c r="FB136" s="678">
        <f t="shared" si="170"/>
        <v>0</v>
      </c>
      <c r="FC136" s="679">
        <f t="shared" si="171"/>
        <v>0</v>
      </c>
      <c r="FD136" s="680"/>
      <c r="FE136" s="681"/>
      <c r="FF136" s="682"/>
      <c r="FG136" s="682"/>
      <c r="FH136" s="683"/>
      <c r="FI136" s="684"/>
      <c r="FJ136" s="680"/>
      <c r="FK136" s="681"/>
      <c r="FL136" s="682"/>
      <c r="FM136" s="682"/>
      <c r="FN136" s="683"/>
      <c r="FO136" s="684"/>
      <c r="FP136" s="680"/>
      <c r="FQ136" s="681"/>
      <c r="FR136" s="682"/>
      <c r="FS136" s="682"/>
      <c r="FT136" s="683"/>
      <c r="FU136" s="684"/>
      <c r="FV136" s="680"/>
      <c r="FW136" s="681"/>
      <c r="FX136" s="682"/>
      <c r="FY136" s="682"/>
      <c r="FZ136" s="683"/>
      <c r="GA136" s="684"/>
      <c r="GB136" s="675"/>
      <c r="GC136" s="676">
        <f t="shared" si="125"/>
        <v>0</v>
      </c>
      <c r="GD136" s="677">
        <f t="shared" si="126"/>
        <v>0</v>
      </c>
      <c r="GE136" s="677">
        <f t="shared" si="172"/>
        <v>0</v>
      </c>
      <c r="GF136" s="678">
        <f t="shared" si="173"/>
        <v>0</v>
      </c>
      <c r="GG136" s="679">
        <f t="shared" si="174"/>
        <v>0</v>
      </c>
      <c r="GH136" s="680"/>
      <c r="GI136" s="681"/>
      <c r="GJ136" s="682"/>
      <c r="GK136" s="682"/>
      <c r="GL136" s="683"/>
      <c r="GM136" s="684"/>
      <c r="GN136" s="680"/>
      <c r="GO136" s="681"/>
      <c r="GP136" s="682"/>
      <c r="GQ136" s="682"/>
      <c r="GR136" s="683"/>
      <c r="GS136" s="684"/>
      <c r="GT136" s="680"/>
      <c r="GU136" s="681"/>
      <c r="GV136" s="682"/>
      <c r="GW136" s="682"/>
      <c r="GX136" s="683"/>
      <c r="GY136" s="684"/>
      <c r="GZ136" s="680"/>
      <c r="HA136" s="147"/>
      <c r="HB136" s="148"/>
      <c r="HC136" s="148"/>
      <c r="HD136" s="149"/>
      <c r="HE136" s="150"/>
      <c r="HF136" s="506"/>
      <c r="HG136" s="502"/>
      <c r="HH136" s="502"/>
      <c r="HI136" s="502"/>
      <c r="HJ136" s="8"/>
    </row>
    <row r="137" spans="2:218" ht="21">
      <c r="B137" s="488">
        <v>93</v>
      </c>
      <c r="C137" s="489" t="s">
        <v>224</v>
      </c>
      <c r="D137" s="490" t="s">
        <v>232</v>
      </c>
      <c r="E137" s="491" t="s">
        <v>233</v>
      </c>
      <c r="F137" s="492"/>
      <c r="G137" s="493"/>
      <c r="H137" s="146" t="s">
        <v>852</v>
      </c>
      <c r="I137" s="494" t="str">
        <f t="shared" si="92"/>
        <v>verhuurder</v>
      </c>
      <c r="J137" s="495"/>
      <c r="K137" s="151">
        <v>1</v>
      </c>
      <c r="L137" s="256"/>
      <c r="M137" s="256">
        <f>IF($C$5&lt;3000,(Bron!H126*$C$5)+Bron!I126,(Bron!M126*$C$5)+Bron!N126)</f>
        <v>0</v>
      </c>
      <c r="N137" s="496">
        <f t="shared" si="90"/>
        <v>679.04664800000012</v>
      </c>
      <c r="O137" s="497">
        <f t="shared" si="91"/>
        <v>0</v>
      </c>
      <c r="P137" s="257">
        <f>IF($C$5&lt;3000,$AN$32*Bron!J126,$AN$32*Bron!O126)</f>
        <v>0</v>
      </c>
      <c r="Q137" s="257">
        <f>IF($C$5&lt;3000,$AN$31*Bron!K126,$AN$31*Bron!P126)</f>
        <v>2673.4120000000003</v>
      </c>
      <c r="R137" s="257">
        <f>IF($C$5&lt;3000,$AN$33*Bron!J126,$AN$33*Bron!O126)</f>
        <v>0</v>
      </c>
      <c r="S137" s="344"/>
      <c r="T137" s="258">
        <f t="shared" si="93"/>
        <v>1</v>
      </c>
      <c r="U137" s="259">
        <f t="shared" si="94"/>
        <v>0</v>
      </c>
      <c r="V137" s="675"/>
      <c r="W137" s="676">
        <f t="shared" si="95"/>
        <v>0</v>
      </c>
      <c r="X137" s="677">
        <f t="shared" si="96"/>
        <v>0</v>
      </c>
      <c r="Y137" s="677">
        <f t="shared" si="127"/>
        <v>0</v>
      </c>
      <c r="Z137" s="678">
        <f t="shared" si="128"/>
        <v>0</v>
      </c>
      <c r="AA137" s="679">
        <f t="shared" si="129"/>
        <v>0</v>
      </c>
      <c r="AB137" s="675"/>
      <c r="AC137" s="676">
        <f t="shared" si="97"/>
        <v>0</v>
      </c>
      <c r="AD137" s="677">
        <f t="shared" si="98"/>
        <v>0</v>
      </c>
      <c r="AE137" s="677">
        <f t="shared" si="130"/>
        <v>0</v>
      </c>
      <c r="AF137" s="678">
        <f t="shared" si="131"/>
        <v>0</v>
      </c>
      <c r="AG137" s="679">
        <f t="shared" si="132"/>
        <v>0</v>
      </c>
      <c r="AH137" s="675"/>
      <c r="AI137" s="676">
        <f t="shared" si="99"/>
        <v>0</v>
      </c>
      <c r="AJ137" s="677">
        <f t="shared" si="100"/>
        <v>0</v>
      </c>
      <c r="AK137" s="677">
        <f t="shared" si="133"/>
        <v>0</v>
      </c>
      <c r="AL137" s="678">
        <f t="shared" si="134"/>
        <v>0</v>
      </c>
      <c r="AM137" s="679">
        <f t="shared" si="135"/>
        <v>0</v>
      </c>
      <c r="AN137" s="675"/>
      <c r="AO137" s="676">
        <f t="shared" si="101"/>
        <v>0</v>
      </c>
      <c r="AP137" s="677">
        <f t="shared" si="102"/>
        <v>0</v>
      </c>
      <c r="AQ137" s="677">
        <f t="shared" si="136"/>
        <v>0</v>
      </c>
      <c r="AR137" s="678">
        <f t="shared" si="137"/>
        <v>0</v>
      </c>
      <c r="AS137" s="679">
        <f t="shared" si="138"/>
        <v>0</v>
      </c>
      <c r="AT137" s="675"/>
      <c r="AU137" s="676">
        <f t="shared" si="103"/>
        <v>0</v>
      </c>
      <c r="AV137" s="677">
        <f t="shared" si="104"/>
        <v>0</v>
      </c>
      <c r="AW137" s="677">
        <f t="shared" si="139"/>
        <v>0</v>
      </c>
      <c r="AX137" s="678">
        <f t="shared" si="140"/>
        <v>0</v>
      </c>
      <c r="AY137" s="679">
        <f t="shared" si="141"/>
        <v>0</v>
      </c>
      <c r="AZ137" s="675"/>
      <c r="BA137" s="676">
        <f t="shared" si="105"/>
        <v>0</v>
      </c>
      <c r="BB137" s="677">
        <f t="shared" si="106"/>
        <v>0</v>
      </c>
      <c r="BC137" s="677">
        <f t="shared" si="142"/>
        <v>0</v>
      </c>
      <c r="BD137" s="678">
        <f t="shared" si="143"/>
        <v>0</v>
      </c>
      <c r="BE137" s="679">
        <f t="shared" si="144"/>
        <v>0</v>
      </c>
      <c r="BF137" s="675"/>
      <c r="BG137" s="676">
        <f t="shared" si="107"/>
        <v>0</v>
      </c>
      <c r="BH137" s="677">
        <f t="shared" si="108"/>
        <v>0</v>
      </c>
      <c r="BI137" s="677">
        <f t="shared" si="145"/>
        <v>0</v>
      </c>
      <c r="BJ137" s="678">
        <f t="shared" si="146"/>
        <v>0</v>
      </c>
      <c r="BK137" s="679">
        <f t="shared" si="147"/>
        <v>0</v>
      </c>
      <c r="BL137" s="675"/>
      <c r="BM137" s="676">
        <f t="shared" si="109"/>
        <v>0</v>
      </c>
      <c r="BN137" s="677">
        <f t="shared" si="110"/>
        <v>0</v>
      </c>
      <c r="BO137" s="677">
        <f t="shared" si="148"/>
        <v>0</v>
      </c>
      <c r="BP137" s="678">
        <f t="shared" si="149"/>
        <v>0</v>
      </c>
      <c r="BQ137" s="679">
        <f t="shared" si="150"/>
        <v>0</v>
      </c>
      <c r="BR137" s="675"/>
      <c r="BS137" s="676">
        <f t="shared" si="111"/>
        <v>0</v>
      </c>
      <c r="BT137" s="677">
        <f t="shared" si="112"/>
        <v>0</v>
      </c>
      <c r="BU137" s="677">
        <f t="shared" si="151"/>
        <v>0</v>
      </c>
      <c r="BV137" s="678">
        <f t="shared" si="152"/>
        <v>0</v>
      </c>
      <c r="BW137" s="679">
        <f t="shared" si="153"/>
        <v>0</v>
      </c>
      <c r="BX137" s="675"/>
      <c r="BY137" s="676">
        <f t="shared" si="113"/>
        <v>0</v>
      </c>
      <c r="BZ137" s="677">
        <f t="shared" si="114"/>
        <v>0</v>
      </c>
      <c r="CA137" s="677">
        <f t="shared" si="154"/>
        <v>0</v>
      </c>
      <c r="CB137" s="678">
        <f t="shared" si="155"/>
        <v>0</v>
      </c>
      <c r="CC137" s="679">
        <f t="shared" si="156"/>
        <v>0</v>
      </c>
      <c r="CD137" s="675"/>
      <c r="CE137" s="676">
        <f t="shared" si="115"/>
        <v>0</v>
      </c>
      <c r="CF137" s="677">
        <f t="shared" si="116"/>
        <v>0</v>
      </c>
      <c r="CG137" s="677">
        <f t="shared" si="157"/>
        <v>0</v>
      </c>
      <c r="CH137" s="678">
        <f t="shared" si="158"/>
        <v>0</v>
      </c>
      <c r="CI137" s="679">
        <f t="shared" si="159"/>
        <v>0</v>
      </c>
      <c r="CJ137" s="675"/>
      <c r="CK137" s="676">
        <f t="shared" si="117"/>
        <v>0</v>
      </c>
      <c r="CL137" s="677">
        <f t="shared" si="118"/>
        <v>0</v>
      </c>
      <c r="CM137" s="677">
        <f t="shared" si="160"/>
        <v>0</v>
      </c>
      <c r="CN137" s="678">
        <f t="shared" si="161"/>
        <v>0</v>
      </c>
      <c r="CO137" s="679">
        <f t="shared" si="162"/>
        <v>0</v>
      </c>
      <c r="CP137" s="675"/>
      <c r="CQ137" s="676">
        <f t="shared" si="119"/>
        <v>0</v>
      </c>
      <c r="CR137" s="677">
        <f t="shared" si="120"/>
        <v>0</v>
      </c>
      <c r="CS137" s="677">
        <f t="shared" si="163"/>
        <v>0</v>
      </c>
      <c r="CT137" s="678">
        <f t="shared" si="164"/>
        <v>0</v>
      </c>
      <c r="CU137" s="679">
        <f t="shared" si="165"/>
        <v>0</v>
      </c>
      <c r="CV137" s="685"/>
      <c r="CW137" s="681"/>
      <c r="CX137" s="682"/>
      <c r="CY137" s="682"/>
      <c r="CZ137" s="683"/>
      <c r="DA137" s="684"/>
      <c r="DB137" s="685"/>
      <c r="DC137" s="681"/>
      <c r="DD137" s="682"/>
      <c r="DE137" s="682"/>
      <c r="DF137" s="683"/>
      <c r="DG137" s="684"/>
      <c r="DH137" s="685"/>
      <c r="DI137" s="681"/>
      <c r="DJ137" s="682"/>
      <c r="DK137" s="682"/>
      <c r="DL137" s="683"/>
      <c r="DM137" s="684"/>
      <c r="DN137" s="685"/>
      <c r="DO137" s="681"/>
      <c r="DP137" s="682"/>
      <c r="DQ137" s="682"/>
      <c r="DR137" s="683"/>
      <c r="DS137" s="684"/>
      <c r="DT137" s="675"/>
      <c r="DU137" s="676">
        <f t="shared" si="121"/>
        <v>0</v>
      </c>
      <c r="DV137" s="677">
        <f t="shared" si="122"/>
        <v>0</v>
      </c>
      <c r="DW137" s="677">
        <f t="shared" si="166"/>
        <v>0</v>
      </c>
      <c r="DX137" s="678">
        <f t="shared" si="167"/>
        <v>0</v>
      </c>
      <c r="DY137" s="679">
        <f t="shared" si="168"/>
        <v>0</v>
      </c>
      <c r="DZ137" s="680"/>
      <c r="EA137" s="681"/>
      <c r="EB137" s="682"/>
      <c r="EC137" s="682"/>
      <c r="ED137" s="683"/>
      <c r="EE137" s="684"/>
      <c r="EF137" s="680"/>
      <c r="EG137" s="681"/>
      <c r="EH137" s="682"/>
      <c r="EI137" s="682"/>
      <c r="EJ137" s="683"/>
      <c r="EK137" s="684"/>
      <c r="EL137" s="680"/>
      <c r="EM137" s="681"/>
      <c r="EN137" s="682"/>
      <c r="EO137" s="682"/>
      <c r="EP137" s="683"/>
      <c r="EQ137" s="684"/>
      <c r="ER137" s="680"/>
      <c r="ES137" s="681"/>
      <c r="ET137" s="682"/>
      <c r="EU137" s="682"/>
      <c r="EV137" s="683"/>
      <c r="EW137" s="684"/>
      <c r="EX137" s="675"/>
      <c r="EY137" s="676">
        <f t="shared" si="123"/>
        <v>0</v>
      </c>
      <c r="EZ137" s="677">
        <f t="shared" si="124"/>
        <v>0</v>
      </c>
      <c r="FA137" s="677">
        <f t="shared" si="169"/>
        <v>0</v>
      </c>
      <c r="FB137" s="678">
        <f t="shared" si="170"/>
        <v>0</v>
      </c>
      <c r="FC137" s="679">
        <f t="shared" si="171"/>
        <v>0</v>
      </c>
      <c r="FD137" s="680"/>
      <c r="FE137" s="681"/>
      <c r="FF137" s="682"/>
      <c r="FG137" s="682"/>
      <c r="FH137" s="683"/>
      <c r="FI137" s="684"/>
      <c r="FJ137" s="680"/>
      <c r="FK137" s="681"/>
      <c r="FL137" s="682"/>
      <c r="FM137" s="682"/>
      <c r="FN137" s="683"/>
      <c r="FO137" s="684"/>
      <c r="FP137" s="680"/>
      <c r="FQ137" s="681"/>
      <c r="FR137" s="682"/>
      <c r="FS137" s="682"/>
      <c r="FT137" s="683"/>
      <c r="FU137" s="684"/>
      <c r="FV137" s="680"/>
      <c r="FW137" s="681"/>
      <c r="FX137" s="682"/>
      <c r="FY137" s="682"/>
      <c r="FZ137" s="683"/>
      <c r="GA137" s="684"/>
      <c r="GB137" s="675"/>
      <c r="GC137" s="676">
        <f t="shared" si="125"/>
        <v>0</v>
      </c>
      <c r="GD137" s="677">
        <f t="shared" si="126"/>
        <v>0</v>
      </c>
      <c r="GE137" s="677">
        <f t="shared" si="172"/>
        <v>0</v>
      </c>
      <c r="GF137" s="678">
        <f t="shared" si="173"/>
        <v>0</v>
      </c>
      <c r="GG137" s="679">
        <f t="shared" si="174"/>
        <v>0</v>
      </c>
      <c r="GH137" s="680"/>
      <c r="GI137" s="681"/>
      <c r="GJ137" s="682"/>
      <c r="GK137" s="682"/>
      <c r="GL137" s="683"/>
      <c r="GM137" s="684"/>
      <c r="GN137" s="680"/>
      <c r="GO137" s="681"/>
      <c r="GP137" s="682"/>
      <c r="GQ137" s="682"/>
      <c r="GR137" s="683"/>
      <c r="GS137" s="684"/>
      <c r="GT137" s="680"/>
      <c r="GU137" s="681"/>
      <c r="GV137" s="682"/>
      <c r="GW137" s="682"/>
      <c r="GX137" s="683"/>
      <c r="GY137" s="684"/>
      <c r="GZ137" s="680"/>
      <c r="HA137" s="147"/>
      <c r="HB137" s="148"/>
      <c r="HC137" s="148"/>
      <c r="HD137" s="149"/>
      <c r="HE137" s="150"/>
      <c r="HF137" s="506"/>
      <c r="HG137" s="502"/>
      <c r="HH137" s="502"/>
      <c r="HI137" s="502"/>
      <c r="HJ137" s="8"/>
    </row>
    <row r="138" spans="2:218" ht="21" hidden="1">
      <c r="B138" s="488">
        <v>94</v>
      </c>
      <c r="C138" s="489" t="s">
        <v>224</v>
      </c>
      <c r="D138" s="490" t="s">
        <v>21</v>
      </c>
      <c r="E138" s="491" t="s">
        <v>424</v>
      </c>
      <c r="F138" s="492"/>
      <c r="G138" s="493"/>
      <c r="H138" s="146" t="s">
        <v>97</v>
      </c>
      <c r="I138" s="494" t="str">
        <f t="shared" si="92"/>
        <v>n.v.t.</v>
      </c>
      <c r="J138" s="495"/>
      <c r="K138" s="151">
        <v>0</v>
      </c>
      <c r="L138" s="256"/>
      <c r="M138" s="256">
        <f>IF($C$5&lt;3000,(Bron!H127*$C$5)+Bron!I127,(Bron!M127*$C$5)+Bron!N127)</f>
        <v>0</v>
      </c>
      <c r="N138" s="496">
        <f t="shared" si="90"/>
        <v>0</v>
      </c>
      <c r="O138" s="497" t="str">
        <f t="shared" si="91"/>
        <v/>
      </c>
      <c r="P138" s="257">
        <f>IF($C$5&lt;3000,$AN$32*Bron!J127,$AN$32*Bron!O127)</f>
        <v>0</v>
      </c>
      <c r="Q138" s="257">
        <f>IF($C$5&lt;3000,$AN$31*Bron!K127,$AN$31*Bron!P127)</f>
        <v>0</v>
      </c>
      <c r="R138" s="257">
        <f>IF($C$5&lt;3000,$AN$33*Bron!J127,$AN$33*Bron!O127)</f>
        <v>0</v>
      </c>
      <c r="S138" s="344"/>
      <c r="T138" s="258">
        <f t="shared" si="93"/>
        <v>0</v>
      </c>
      <c r="U138" s="259">
        <f t="shared" si="94"/>
        <v>0</v>
      </c>
      <c r="V138" s="675"/>
      <c r="W138" s="676">
        <f t="shared" si="95"/>
        <v>0</v>
      </c>
      <c r="X138" s="677">
        <f t="shared" si="96"/>
        <v>0</v>
      </c>
      <c r="Y138" s="677">
        <f t="shared" si="127"/>
        <v>0</v>
      </c>
      <c r="Z138" s="678">
        <f t="shared" si="128"/>
        <v>0</v>
      </c>
      <c r="AA138" s="679">
        <f t="shared" si="129"/>
        <v>0</v>
      </c>
      <c r="AB138" s="675"/>
      <c r="AC138" s="676">
        <f t="shared" si="97"/>
        <v>0</v>
      </c>
      <c r="AD138" s="677">
        <f t="shared" si="98"/>
        <v>0</v>
      </c>
      <c r="AE138" s="677">
        <f t="shared" si="130"/>
        <v>0</v>
      </c>
      <c r="AF138" s="678">
        <f t="shared" si="131"/>
        <v>0</v>
      </c>
      <c r="AG138" s="679">
        <f t="shared" si="132"/>
        <v>0</v>
      </c>
      <c r="AH138" s="675"/>
      <c r="AI138" s="676">
        <f t="shared" si="99"/>
        <v>0</v>
      </c>
      <c r="AJ138" s="677">
        <f t="shared" si="100"/>
        <v>0</v>
      </c>
      <c r="AK138" s="677">
        <f t="shared" si="133"/>
        <v>0</v>
      </c>
      <c r="AL138" s="678">
        <f t="shared" si="134"/>
        <v>0</v>
      </c>
      <c r="AM138" s="679">
        <f t="shared" si="135"/>
        <v>0</v>
      </c>
      <c r="AN138" s="675"/>
      <c r="AO138" s="676">
        <f t="shared" si="101"/>
        <v>0</v>
      </c>
      <c r="AP138" s="677">
        <f t="shared" si="102"/>
        <v>0</v>
      </c>
      <c r="AQ138" s="677">
        <f t="shared" si="136"/>
        <v>0</v>
      </c>
      <c r="AR138" s="678">
        <f t="shared" si="137"/>
        <v>0</v>
      </c>
      <c r="AS138" s="679">
        <f t="shared" si="138"/>
        <v>0</v>
      </c>
      <c r="AT138" s="675"/>
      <c r="AU138" s="676">
        <f t="shared" si="103"/>
        <v>0</v>
      </c>
      <c r="AV138" s="677">
        <f t="shared" si="104"/>
        <v>0</v>
      </c>
      <c r="AW138" s="677">
        <f t="shared" si="139"/>
        <v>0</v>
      </c>
      <c r="AX138" s="678">
        <f t="shared" si="140"/>
        <v>0</v>
      </c>
      <c r="AY138" s="679">
        <f t="shared" si="141"/>
        <v>0</v>
      </c>
      <c r="AZ138" s="675"/>
      <c r="BA138" s="676">
        <f t="shared" si="105"/>
        <v>0</v>
      </c>
      <c r="BB138" s="677">
        <f t="shared" si="106"/>
        <v>0</v>
      </c>
      <c r="BC138" s="677">
        <f t="shared" si="142"/>
        <v>0</v>
      </c>
      <c r="BD138" s="678">
        <f t="shared" si="143"/>
        <v>0</v>
      </c>
      <c r="BE138" s="679">
        <f t="shared" si="144"/>
        <v>0</v>
      </c>
      <c r="BF138" s="675"/>
      <c r="BG138" s="676">
        <f t="shared" si="107"/>
        <v>0</v>
      </c>
      <c r="BH138" s="677">
        <f t="shared" si="108"/>
        <v>0</v>
      </c>
      <c r="BI138" s="677">
        <f t="shared" si="145"/>
        <v>0</v>
      </c>
      <c r="BJ138" s="678">
        <f t="shared" si="146"/>
        <v>0</v>
      </c>
      <c r="BK138" s="679">
        <f t="shared" si="147"/>
        <v>0</v>
      </c>
      <c r="BL138" s="675"/>
      <c r="BM138" s="676">
        <f t="shared" si="109"/>
        <v>0</v>
      </c>
      <c r="BN138" s="677">
        <f t="shared" si="110"/>
        <v>0</v>
      </c>
      <c r="BO138" s="677">
        <f t="shared" si="148"/>
        <v>0</v>
      </c>
      <c r="BP138" s="678">
        <f t="shared" si="149"/>
        <v>0</v>
      </c>
      <c r="BQ138" s="679">
        <f t="shared" si="150"/>
        <v>0</v>
      </c>
      <c r="BR138" s="675"/>
      <c r="BS138" s="676">
        <f t="shared" si="111"/>
        <v>0</v>
      </c>
      <c r="BT138" s="677">
        <f t="shared" si="112"/>
        <v>0</v>
      </c>
      <c r="BU138" s="677">
        <f t="shared" si="151"/>
        <v>0</v>
      </c>
      <c r="BV138" s="678">
        <f t="shared" si="152"/>
        <v>0</v>
      </c>
      <c r="BW138" s="679">
        <f t="shared" si="153"/>
        <v>0</v>
      </c>
      <c r="BX138" s="675"/>
      <c r="BY138" s="676">
        <f t="shared" si="113"/>
        <v>0</v>
      </c>
      <c r="BZ138" s="677">
        <f t="shared" si="114"/>
        <v>0</v>
      </c>
      <c r="CA138" s="677">
        <f t="shared" si="154"/>
        <v>0</v>
      </c>
      <c r="CB138" s="678">
        <f t="shared" si="155"/>
        <v>0</v>
      </c>
      <c r="CC138" s="679">
        <f t="shared" si="156"/>
        <v>0</v>
      </c>
      <c r="CD138" s="675"/>
      <c r="CE138" s="676">
        <f t="shared" si="115"/>
        <v>0</v>
      </c>
      <c r="CF138" s="677">
        <f t="shared" si="116"/>
        <v>0</v>
      </c>
      <c r="CG138" s="677">
        <f t="shared" si="157"/>
        <v>0</v>
      </c>
      <c r="CH138" s="678">
        <f t="shared" si="158"/>
        <v>0</v>
      </c>
      <c r="CI138" s="679">
        <f t="shared" si="159"/>
        <v>0</v>
      </c>
      <c r="CJ138" s="675"/>
      <c r="CK138" s="676">
        <f t="shared" si="117"/>
        <v>0</v>
      </c>
      <c r="CL138" s="677">
        <f t="shared" si="118"/>
        <v>0</v>
      </c>
      <c r="CM138" s="677">
        <f t="shared" si="160"/>
        <v>0</v>
      </c>
      <c r="CN138" s="678">
        <f t="shared" si="161"/>
        <v>0</v>
      </c>
      <c r="CO138" s="679">
        <f t="shared" si="162"/>
        <v>0</v>
      </c>
      <c r="CP138" s="675"/>
      <c r="CQ138" s="676">
        <f t="shared" si="119"/>
        <v>0</v>
      </c>
      <c r="CR138" s="677">
        <f t="shared" si="120"/>
        <v>0</v>
      </c>
      <c r="CS138" s="677">
        <f t="shared" si="163"/>
        <v>0</v>
      </c>
      <c r="CT138" s="678">
        <f t="shared" si="164"/>
        <v>0</v>
      </c>
      <c r="CU138" s="679">
        <f t="shared" si="165"/>
        <v>0</v>
      </c>
      <c r="CV138" s="685"/>
      <c r="CW138" s="681"/>
      <c r="CX138" s="682"/>
      <c r="CY138" s="682"/>
      <c r="CZ138" s="683"/>
      <c r="DA138" s="684"/>
      <c r="DB138" s="685"/>
      <c r="DC138" s="681"/>
      <c r="DD138" s="682"/>
      <c r="DE138" s="682"/>
      <c r="DF138" s="683"/>
      <c r="DG138" s="684"/>
      <c r="DH138" s="685"/>
      <c r="DI138" s="681"/>
      <c r="DJ138" s="682"/>
      <c r="DK138" s="682"/>
      <c r="DL138" s="683"/>
      <c r="DM138" s="684"/>
      <c r="DN138" s="685"/>
      <c r="DO138" s="681"/>
      <c r="DP138" s="682"/>
      <c r="DQ138" s="682"/>
      <c r="DR138" s="683"/>
      <c r="DS138" s="684"/>
      <c r="DT138" s="675"/>
      <c r="DU138" s="676">
        <f t="shared" si="121"/>
        <v>0</v>
      </c>
      <c r="DV138" s="677">
        <f t="shared" si="122"/>
        <v>0</v>
      </c>
      <c r="DW138" s="677">
        <f t="shared" si="166"/>
        <v>0</v>
      </c>
      <c r="DX138" s="678">
        <f t="shared" si="167"/>
        <v>0</v>
      </c>
      <c r="DY138" s="679">
        <f t="shared" si="168"/>
        <v>0</v>
      </c>
      <c r="DZ138" s="680"/>
      <c r="EA138" s="681"/>
      <c r="EB138" s="682"/>
      <c r="EC138" s="682"/>
      <c r="ED138" s="683"/>
      <c r="EE138" s="684"/>
      <c r="EF138" s="680"/>
      <c r="EG138" s="681"/>
      <c r="EH138" s="682"/>
      <c r="EI138" s="682"/>
      <c r="EJ138" s="683"/>
      <c r="EK138" s="684"/>
      <c r="EL138" s="680"/>
      <c r="EM138" s="681"/>
      <c r="EN138" s="682"/>
      <c r="EO138" s="682"/>
      <c r="EP138" s="683"/>
      <c r="EQ138" s="684"/>
      <c r="ER138" s="680"/>
      <c r="ES138" s="681"/>
      <c r="ET138" s="682"/>
      <c r="EU138" s="682"/>
      <c r="EV138" s="683"/>
      <c r="EW138" s="684"/>
      <c r="EX138" s="675"/>
      <c r="EY138" s="676">
        <f t="shared" si="123"/>
        <v>0</v>
      </c>
      <c r="EZ138" s="677">
        <f t="shared" si="124"/>
        <v>0</v>
      </c>
      <c r="FA138" s="677">
        <f t="shared" si="169"/>
        <v>0</v>
      </c>
      <c r="FB138" s="678">
        <f t="shared" si="170"/>
        <v>0</v>
      </c>
      <c r="FC138" s="679">
        <f t="shared" si="171"/>
        <v>0</v>
      </c>
      <c r="FD138" s="680"/>
      <c r="FE138" s="681"/>
      <c r="FF138" s="682"/>
      <c r="FG138" s="682"/>
      <c r="FH138" s="683"/>
      <c r="FI138" s="684"/>
      <c r="FJ138" s="680"/>
      <c r="FK138" s="681"/>
      <c r="FL138" s="682"/>
      <c r="FM138" s="682"/>
      <c r="FN138" s="683"/>
      <c r="FO138" s="684"/>
      <c r="FP138" s="680"/>
      <c r="FQ138" s="681"/>
      <c r="FR138" s="682"/>
      <c r="FS138" s="682"/>
      <c r="FT138" s="683"/>
      <c r="FU138" s="684"/>
      <c r="FV138" s="680"/>
      <c r="FW138" s="681"/>
      <c r="FX138" s="682"/>
      <c r="FY138" s="682"/>
      <c r="FZ138" s="683"/>
      <c r="GA138" s="684"/>
      <c r="GB138" s="675"/>
      <c r="GC138" s="676">
        <f t="shared" si="125"/>
        <v>0</v>
      </c>
      <c r="GD138" s="677">
        <f t="shared" si="126"/>
        <v>0</v>
      </c>
      <c r="GE138" s="677">
        <f t="shared" si="172"/>
        <v>0</v>
      </c>
      <c r="GF138" s="678">
        <f t="shared" si="173"/>
        <v>0</v>
      </c>
      <c r="GG138" s="679">
        <f t="shared" si="174"/>
        <v>0</v>
      </c>
      <c r="GH138" s="680"/>
      <c r="GI138" s="681"/>
      <c r="GJ138" s="682"/>
      <c r="GK138" s="682"/>
      <c r="GL138" s="683"/>
      <c r="GM138" s="684"/>
      <c r="GN138" s="680"/>
      <c r="GO138" s="681"/>
      <c r="GP138" s="682"/>
      <c r="GQ138" s="682"/>
      <c r="GR138" s="683"/>
      <c r="GS138" s="684"/>
      <c r="GT138" s="680"/>
      <c r="GU138" s="681"/>
      <c r="GV138" s="682"/>
      <c r="GW138" s="682"/>
      <c r="GX138" s="683"/>
      <c r="GY138" s="684"/>
      <c r="GZ138" s="680"/>
      <c r="HA138" s="147"/>
      <c r="HB138" s="148"/>
      <c r="HC138" s="148"/>
      <c r="HD138" s="149"/>
      <c r="HE138" s="150"/>
      <c r="HF138" s="506"/>
      <c r="HG138" s="502"/>
      <c r="HH138" s="502"/>
      <c r="HI138" s="502"/>
      <c r="HJ138" s="8"/>
    </row>
    <row r="139" spans="2:218" ht="21" hidden="1">
      <c r="B139" s="488">
        <v>95</v>
      </c>
      <c r="C139" s="489" t="s">
        <v>224</v>
      </c>
      <c r="D139" s="490" t="s">
        <v>493</v>
      </c>
      <c r="E139" s="491" t="s">
        <v>601</v>
      </c>
      <c r="F139" s="492"/>
      <c r="G139" s="493"/>
      <c r="H139" s="146" t="s">
        <v>97</v>
      </c>
      <c r="I139" s="494" t="str">
        <f t="shared" si="92"/>
        <v>n.v.t.</v>
      </c>
      <c r="J139" s="495" t="s">
        <v>487</v>
      </c>
      <c r="K139" s="151">
        <v>0.9</v>
      </c>
      <c r="L139" s="256">
        <f>IF($C$5&lt;3000,(Bron!H128*$C$5)+Bron!I128,(Bron!M128*$C$5)+Bron!N128)</f>
        <v>34728.959999999999</v>
      </c>
      <c r="M139" s="256"/>
      <c r="N139" s="496">
        <f t="shared" si="90"/>
        <v>6491.6480000000001</v>
      </c>
      <c r="O139" s="497">
        <f t="shared" si="91"/>
        <v>5.3497909929805187</v>
      </c>
      <c r="P139" s="257">
        <f>IF($C$5&lt;3000,$AN$32*Bron!J128,$AN$32*Bron!O128)</f>
        <v>0</v>
      </c>
      <c r="Q139" s="257"/>
      <c r="R139" s="257">
        <f>IF($C$5&lt;3000,$AN$33*Bron!J128,$AN$33*Bron!O128)</f>
        <v>130.88</v>
      </c>
      <c r="S139" s="344"/>
      <c r="T139" s="258">
        <f t="shared" si="93"/>
        <v>0.9</v>
      </c>
      <c r="U139" s="259">
        <f t="shared" si="94"/>
        <v>0</v>
      </c>
      <c r="V139" s="675"/>
      <c r="W139" s="676">
        <f t="shared" si="95"/>
        <v>0</v>
      </c>
      <c r="X139" s="677">
        <f t="shared" si="96"/>
        <v>0</v>
      </c>
      <c r="Y139" s="677">
        <f t="shared" si="127"/>
        <v>0</v>
      </c>
      <c r="Z139" s="678">
        <f t="shared" si="128"/>
        <v>0</v>
      </c>
      <c r="AA139" s="679">
        <f t="shared" si="129"/>
        <v>0</v>
      </c>
      <c r="AB139" s="675"/>
      <c r="AC139" s="676">
        <f t="shared" si="97"/>
        <v>0</v>
      </c>
      <c r="AD139" s="677">
        <f t="shared" si="98"/>
        <v>0</v>
      </c>
      <c r="AE139" s="677">
        <f t="shared" si="130"/>
        <v>0</v>
      </c>
      <c r="AF139" s="678">
        <f t="shared" si="131"/>
        <v>0</v>
      </c>
      <c r="AG139" s="679">
        <f t="shared" si="132"/>
        <v>0</v>
      </c>
      <c r="AH139" s="675"/>
      <c r="AI139" s="676">
        <f t="shared" si="99"/>
        <v>0</v>
      </c>
      <c r="AJ139" s="677">
        <f t="shared" si="100"/>
        <v>0</v>
      </c>
      <c r="AK139" s="677">
        <f t="shared" si="133"/>
        <v>0</v>
      </c>
      <c r="AL139" s="678">
        <f t="shared" si="134"/>
        <v>0</v>
      </c>
      <c r="AM139" s="679">
        <f t="shared" si="135"/>
        <v>0</v>
      </c>
      <c r="AN139" s="675"/>
      <c r="AO139" s="676">
        <f t="shared" si="101"/>
        <v>0</v>
      </c>
      <c r="AP139" s="677">
        <f t="shared" si="102"/>
        <v>0</v>
      </c>
      <c r="AQ139" s="677">
        <f t="shared" si="136"/>
        <v>0</v>
      </c>
      <c r="AR139" s="678">
        <f t="shared" si="137"/>
        <v>0</v>
      </c>
      <c r="AS139" s="679">
        <f t="shared" si="138"/>
        <v>0</v>
      </c>
      <c r="AT139" s="675"/>
      <c r="AU139" s="676">
        <f t="shared" si="103"/>
        <v>0</v>
      </c>
      <c r="AV139" s="677">
        <f t="shared" si="104"/>
        <v>0</v>
      </c>
      <c r="AW139" s="677">
        <f t="shared" si="139"/>
        <v>0</v>
      </c>
      <c r="AX139" s="678">
        <f t="shared" si="140"/>
        <v>0</v>
      </c>
      <c r="AY139" s="679">
        <f t="shared" si="141"/>
        <v>0</v>
      </c>
      <c r="AZ139" s="675"/>
      <c r="BA139" s="676">
        <f t="shared" si="105"/>
        <v>0</v>
      </c>
      <c r="BB139" s="677">
        <f t="shared" si="106"/>
        <v>0</v>
      </c>
      <c r="BC139" s="677">
        <f t="shared" si="142"/>
        <v>0</v>
      </c>
      <c r="BD139" s="678">
        <f t="shared" si="143"/>
        <v>0</v>
      </c>
      <c r="BE139" s="679">
        <f t="shared" si="144"/>
        <v>0</v>
      </c>
      <c r="BF139" s="675"/>
      <c r="BG139" s="676">
        <f t="shared" si="107"/>
        <v>0</v>
      </c>
      <c r="BH139" s="677">
        <f t="shared" si="108"/>
        <v>0</v>
      </c>
      <c r="BI139" s="677">
        <f t="shared" si="145"/>
        <v>0</v>
      </c>
      <c r="BJ139" s="678">
        <f t="shared" si="146"/>
        <v>0</v>
      </c>
      <c r="BK139" s="679">
        <f t="shared" si="147"/>
        <v>0</v>
      </c>
      <c r="BL139" s="675"/>
      <c r="BM139" s="676">
        <f t="shared" si="109"/>
        <v>0</v>
      </c>
      <c r="BN139" s="677">
        <f t="shared" si="110"/>
        <v>0</v>
      </c>
      <c r="BO139" s="677">
        <f t="shared" si="148"/>
        <v>0</v>
      </c>
      <c r="BP139" s="678">
        <f t="shared" si="149"/>
        <v>0</v>
      </c>
      <c r="BQ139" s="679">
        <f t="shared" si="150"/>
        <v>0</v>
      </c>
      <c r="BR139" s="675"/>
      <c r="BS139" s="676">
        <f t="shared" si="111"/>
        <v>0</v>
      </c>
      <c r="BT139" s="677">
        <f t="shared" si="112"/>
        <v>0</v>
      </c>
      <c r="BU139" s="677">
        <f t="shared" si="151"/>
        <v>0</v>
      </c>
      <c r="BV139" s="678">
        <f t="shared" si="152"/>
        <v>0</v>
      </c>
      <c r="BW139" s="679">
        <f t="shared" si="153"/>
        <v>0</v>
      </c>
      <c r="BX139" s="675"/>
      <c r="BY139" s="676">
        <f t="shared" si="113"/>
        <v>0</v>
      </c>
      <c r="BZ139" s="677">
        <f t="shared" si="114"/>
        <v>0</v>
      </c>
      <c r="CA139" s="677">
        <f t="shared" si="154"/>
        <v>0</v>
      </c>
      <c r="CB139" s="678">
        <f t="shared" si="155"/>
        <v>0</v>
      </c>
      <c r="CC139" s="679">
        <f t="shared" si="156"/>
        <v>0</v>
      </c>
      <c r="CD139" s="675"/>
      <c r="CE139" s="676">
        <f t="shared" si="115"/>
        <v>0</v>
      </c>
      <c r="CF139" s="677">
        <f t="shared" si="116"/>
        <v>0</v>
      </c>
      <c r="CG139" s="677">
        <f t="shared" si="157"/>
        <v>0</v>
      </c>
      <c r="CH139" s="678">
        <f t="shared" si="158"/>
        <v>0</v>
      </c>
      <c r="CI139" s="679">
        <f t="shared" si="159"/>
        <v>0</v>
      </c>
      <c r="CJ139" s="675"/>
      <c r="CK139" s="676">
        <f t="shared" si="117"/>
        <v>0</v>
      </c>
      <c r="CL139" s="677">
        <f t="shared" si="118"/>
        <v>0</v>
      </c>
      <c r="CM139" s="677">
        <f t="shared" si="160"/>
        <v>0</v>
      </c>
      <c r="CN139" s="678">
        <f t="shared" si="161"/>
        <v>0</v>
      </c>
      <c r="CO139" s="679">
        <f t="shared" si="162"/>
        <v>0</v>
      </c>
      <c r="CP139" s="675"/>
      <c r="CQ139" s="676">
        <f t="shared" si="119"/>
        <v>0</v>
      </c>
      <c r="CR139" s="677">
        <f t="shared" si="120"/>
        <v>0</v>
      </c>
      <c r="CS139" s="677">
        <f t="shared" si="163"/>
        <v>0</v>
      </c>
      <c r="CT139" s="678">
        <f t="shared" si="164"/>
        <v>0</v>
      </c>
      <c r="CU139" s="679">
        <f t="shared" si="165"/>
        <v>0</v>
      </c>
      <c r="CV139" s="685"/>
      <c r="CW139" s="681"/>
      <c r="CX139" s="682"/>
      <c r="CY139" s="682"/>
      <c r="CZ139" s="683"/>
      <c r="DA139" s="684"/>
      <c r="DB139" s="685"/>
      <c r="DC139" s="681"/>
      <c r="DD139" s="682"/>
      <c r="DE139" s="682"/>
      <c r="DF139" s="683"/>
      <c r="DG139" s="684"/>
      <c r="DH139" s="685"/>
      <c r="DI139" s="681"/>
      <c r="DJ139" s="682"/>
      <c r="DK139" s="682"/>
      <c r="DL139" s="683"/>
      <c r="DM139" s="684"/>
      <c r="DN139" s="685"/>
      <c r="DO139" s="681"/>
      <c r="DP139" s="682"/>
      <c r="DQ139" s="682"/>
      <c r="DR139" s="683"/>
      <c r="DS139" s="684"/>
      <c r="DT139" s="675"/>
      <c r="DU139" s="676">
        <f t="shared" si="121"/>
        <v>0</v>
      </c>
      <c r="DV139" s="677">
        <f t="shared" si="122"/>
        <v>0</v>
      </c>
      <c r="DW139" s="677">
        <f t="shared" si="166"/>
        <v>0</v>
      </c>
      <c r="DX139" s="678">
        <f t="shared" si="167"/>
        <v>0</v>
      </c>
      <c r="DY139" s="679">
        <f t="shared" si="168"/>
        <v>0</v>
      </c>
      <c r="DZ139" s="680"/>
      <c r="EA139" s="681"/>
      <c r="EB139" s="682"/>
      <c r="EC139" s="682"/>
      <c r="ED139" s="683"/>
      <c r="EE139" s="684"/>
      <c r="EF139" s="680"/>
      <c r="EG139" s="681"/>
      <c r="EH139" s="682"/>
      <c r="EI139" s="682"/>
      <c r="EJ139" s="683"/>
      <c r="EK139" s="684"/>
      <c r="EL139" s="680"/>
      <c r="EM139" s="681"/>
      <c r="EN139" s="682"/>
      <c r="EO139" s="682"/>
      <c r="EP139" s="683"/>
      <c r="EQ139" s="684"/>
      <c r="ER139" s="680"/>
      <c r="ES139" s="681"/>
      <c r="ET139" s="682"/>
      <c r="EU139" s="682"/>
      <c r="EV139" s="683"/>
      <c r="EW139" s="684"/>
      <c r="EX139" s="675"/>
      <c r="EY139" s="676">
        <f t="shared" si="123"/>
        <v>0</v>
      </c>
      <c r="EZ139" s="677">
        <f t="shared" si="124"/>
        <v>0</v>
      </c>
      <c r="FA139" s="677">
        <f t="shared" si="169"/>
        <v>0</v>
      </c>
      <c r="FB139" s="678">
        <f t="shared" si="170"/>
        <v>0</v>
      </c>
      <c r="FC139" s="679">
        <f t="shared" si="171"/>
        <v>0</v>
      </c>
      <c r="FD139" s="680"/>
      <c r="FE139" s="681"/>
      <c r="FF139" s="682"/>
      <c r="FG139" s="682"/>
      <c r="FH139" s="683"/>
      <c r="FI139" s="684"/>
      <c r="FJ139" s="680"/>
      <c r="FK139" s="681"/>
      <c r="FL139" s="682"/>
      <c r="FM139" s="682"/>
      <c r="FN139" s="683"/>
      <c r="FO139" s="684"/>
      <c r="FP139" s="680"/>
      <c r="FQ139" s="681"/>
      <c r="FR139" s="682"/>
      <c r="FS139" s="682"/>
      <c r="FT139" s="683"/>
      <c r="FU139" s="684"/>
      <c r="FV139" s="680"/>
      <c r="FW139" s="681"/>
      <c r="FX139" s="682"/>
      <c r="FY139" s="682"/>
      <c r="FZ139" s="683"/>
      <c r="GA139" s="684"/>
      <c r="GB139" s="675"/>
      <c r="GC139" s="676">
        <f t="shared" si="125"/>
        <v>0</v>
      </c>
      <c r="GD139" s="677">
        <f t="shared" si="126"/>
        <v>0</v>
      </c>
      <c r="GE139" s="677">
        <f t="shared" si="172"/>
        <v>0</v>
      </c>
      <c r="GF139" s="678">
        <f t="shared" si="173"/>
        <v>0</v>
      </c>
      <c r="GG139" s="679">
        <f t="shared" si="174"/>
        <v>0</v>
      </c>
      <c r="GH139" s="680"/>
      <c r="GI139" s="681"/>
      <c r="GJ139" s="682"/>
      <c r="GK139" s="682"/>
      <c r="GL139" s="683"/>
      <c r="GM139" s="684"/>
      <c r="GN139" s="680"/>
      <c r="GO139" s="681"/>
      <c r="GP139" s="682"/>
      <c r="GQ139" s="682"/>
      <c r="GR139" s="683"/>
      <c r="GS139" s="684"/>
      <c r="GT139" s="680"/>
      <c r="GU139" s="681"/>
      <c r="GV139" s="682"/>
      <c r="GW139" s="682"/>
      <c r="GX139" s="683"/>
      <c r="GY139" s="684"/>
      <c r="GZ139" s="680"/>
      <c r="HA139" s="147"/>
      <c r="HB139" s="148"/>
      <c r="HC139" s="148"/>
      <c r="HD139" s="149"/>
      <c r="HE139" s="150"/>
      <c r="HF139" s="506"/>
      <c r="HG139" s="502"/>
      <c r="HH139" s="502"/>
      <c r="HI139" s="502"/>
      <c r="HJ139" s="8"/>
    </row>
    <row r="140" spans="2:218" ht="21">
      <c r="B140" s="488">
        <v>96</v>
      </c>
      <c r="C140" s="489" t="s">
        <v>224</v>
      </c>
      <c r="D140" s="490" t="s">
        <v>493</v>
      </c>
      <c r="E140" s="491" t="s">
        <v>441</v>
      </c>
      <c r="F140" s="492"/>
      <c r="G140" s="493"/>
      <c r="H140" s="146" t="s">
        <v>852</v>
      </c>
      <c r="I140" s="494" t="str">
        <f t="shared" si="92"/>
        <v>verhuurder</v>
      </c>
      <c r="J140" s="495" t="s">
        <v>487</v>
      </c>
      <c r="K140" s="151">
        <v>0</v>
      </c>
      <c r="L140" s="256">
        <f>IF($C$5&lt;3000,(Bron!H129*$C$5)+Bron!I129,(Bron!M129*$C$5)+Bron!N129)</f>
        <v>868.22400000000005</v>
      </c>
      <c r="M140" s="256"/>
      <c r="N140" s="496">
        <f t="shared" si="90"/>
        <v>405.72800000000001</v>
      </c>
      <c r="O140" s="497">
        <f t="shared" si="91"/>
        <v>2.1399163971922075</v>
      </c>
      <c r="P140" s="257">
        <f>IF($C$5&lt;3000,$AN$32*Bron!J129,$AN$32*Bron!O129)</f>
        <v>0</v>
      </c>
      <c r="Q140" s="257"/>
      <c r="R140" s="257">
        <f>IF($C$5&lt;3000,$AN$33*Bron!J129,$AN$33*Bron!O129)</f>
        <v>8.18</v>
      </c>
      <c r="S140" s="344"/>
      <c r="T140" s="258">
        <f t="shared" si="93"/>
        <v>0</v>
      </c>
      <c r="U140" s="259">
        <f t="shared" si="94"/>
        <v>0</v>
      </c>
      <c r="V140" s="675"/>
      <c r="W140" s="676">
        <f t="shared" si="95"/>
        <v>0</v>
      </c>
      <c r="X140" s="677">
        <f t="shared" si="96"/>
        <v>0</v>
      </c>
      <c r="Y140" s="677">
        <f t="shared" si="127"/>
        <v>0</v>
      </c>
      <c r="Z140" s="678">
        <f t="shared" si="128"/>
        <v>0</v>
      </c>
      <c r="AA140" s="679">
        <f t="shared" si="129"/>
        <v>0</v>
      </c>
      <c r="AB140" s="675"/>
      <c r="AC140" s="676">
        <f t="shared" si="97"/>
        <v>0</v>
      </c>
      <c r="AD140" s="677">
        <f t="shared" si="98"/>
        <v>0</v>
      </c>
      <c r="AE140" s="677">
        <f t="shared" si="130"/>
        <v>0</v>
      </c>
      <c r="AF140" s="678">
        <f t="shared" si="131"/>
        <v>0</v>
      </c>
      <c r="AG140" s="679">
        <f t="shared" si="132"/>
        <v>0</v>
      </c>
      <c r="AH140" s="675"/>
      <c r="AI140" s="676">
        <f t="shared" si="99"/>
        <v>0</v>
      </c>
      <c r="AJ140" s="677">
        <f t="shared" si="100"/>
        <v>0</v>
      </c>
      <c r="AK140" s="677">
        <f t="shared" si="133"/>
        <v>0</v>
      </c>
      <c r="AL140" s="678">
        <f t="shared" si="134"/>
        <v>0</v>
      </c>
      <c r="AM140" s="679">
        <f t="shared" si="135"/>
        <v>0</v>
      </c>
      <c r="AN140" s="675"/>
      <c r="AO140" s="676">
        <f t="shared" si="101"/>
        <v>0</v>
      </c>
      <c r="AP140" s="677">
        <f t="shared" si="102"/>
        <v>0</v>
      </c>
      <c r="AQ140" s="677">
        <f t="shared" si="136"/>
        <v>0</v>
      </c>
      <c r="AR140" s="678">
        <f t="shared" si="137"/>
        <v>0</v>
      </c>
      <c r="AS140" s="679">
        <f t="shared" si="138"/>
        <v>0</v>
      </c>
      <c r="AT140" s="675"/>
      <c r="AU140" s="676">
        <f t="shared" si="103"/>
        <v>0</v>
      </c>
      <c r="AV140" s="677">
        <f t="shared" si="104"/>
        <v>0</v>
      </c>
      <c r="AW140" s="677">
        <f t="shared" si="139"/>
        <v>0</v>
      </c>
      <c r="AX140" s="678">
        <f t="shared" si="140"/>
        <v>0</v>
      </c>
      <c r="AY140" s="679">
        <f t="shared" si="141"/>
        <v>0</v>
      </c>
      <c r="AZ140" s="675"/>
      <c r="BA140" s="676">
        <f t="shared" si="105"/>
        <v>0</v>
      </c>
      <c r="BB140" s="677">
        <f t="shared" si="106"/>
        <v>0</v>
      </c>
      <c r="BC140" s="677">
        <f t="shared" si="142"/>
        <v>0</v>
      </c>
      <c r="BD140" s="678">
        <f t="shared" si="143"/>
        <v>0</v>
      </c>
      <c r="BE140" s="679">
        <f t="shared" si="144"/>
        <v>0</v>
      </c>
      <c r="BF140" s="675"/>
      <c r="BG140" s="676">
        <f t="shared" si="107"/>
        <v>0</v>
      </c>
      <c r="BH140" s="677">
        <f t="shared" si="108"/>
        <v>0</v>
      </c>
      <c r="BI140" s="677">
        <f t="shared" si="145"/>
        <v>0</v>
      </c>
      <c r="BJ140" s="678">
        <f t="shared" si="146"/>
        <v>0</v>
      </c>
      <c r="BK140" s="679">
        <f t="shared" si="147"/>
        <v>0</v>
      </c>
      <c r="BL140" s="675"/>
      <c r="BM140" s="676">
        <f t="shared" si="109"/>
        <v>0</v>
      </c>
      <c r="BN140" s="677">
        <f t="shared" si="110"/>
        <v>0</v>
      </c>
      <c r="BO140" s="677">
        <f t="shared" si="148"/>
        <v>0</v>
      </c>
      <c r="BP140" s="678">
        <f t="shared" si="149"/>
        <v>0</v>
      </c>
      <c r="BQ140" s="679">
        <f t="shared" si="150"/>
        <v>0</v>
      </c>
      <c r="BR140" s="675"/>
      <c r="BS140" s="676">
        <f t="shared" si="111"/>
        <v>0</v>
      </c>
      <c r="BT140" s="677">
        <f t="shared" si="112"/>
        <v>0</v>
      </c>
      <c r="BU140" s="677">
        <f t="shared" si="151"/>
        <v>0</v>
      </c>
      <c r="BV140" s="678">
        <f t="shared" si="152"/>
        <v>0</v>
      </c>
      <c r="BW140" s="679">
        <f t="shared" si="153"/>
        <v>0</v>
      </c>
      <c r="BX140" s="675"/>
      <c r="BY140" s="676">
        <f t="shared" si="113"/>
        <v>0</v>
      </c>
      <c r="BZ140" s="677">
        <f t="shared" si="114"/>
        <v>0</v>
      </c>
      <c r="CA140" s="677">
        <f t="shared" si="154"/>
        <v>0</v>
      </c>
      <c r="CB140" s="678">
        <f t="shared" si="155"/>
        <v>0</v>
      </c>
      <c r="CC140" s="679">
        <f t="shared" si="156"/>
        <v>0</v>
      </c>
      <c r="CD140" s="675"/>
      <c r="CE140" s="676">
        <f t="shared" si="115"/>
        <v>0</v>
      </c>
      <c r="CF140" s="677">
        <f t="shared" si="116"/>
        <v>0</v>
      </c>
      <c r="CG140" s="677">
        <f t="shared" si="157"/>
        <v>0</v>
      </c>
      <c r="CH140" s="678">
        <f t="shared" si="158"/>
        <v>0</v>
      </c>
      <c r="CI140" s="679">
        <f t="shared" si="159"/>
        <v>0</v>
      </c>
      <c r="CJ140" s="675"/>
      <c r="CK140" s="676">
        <f t="shared" si="117"/>
        <v>0</v>
      </c>
      <c r="CL140" s="677">
        <f t="shared" si="118"/>
        <v>0</v>
      </c>
      <c r="CM140" s="677">
        <f t="shared" si="160"/>
        <v>0</v>
      </c>
      <c r="CN140" s="678">
        <f t="shared" si="161"/>
        <v>0</v>
      </c>
      <c r="CO140" s="679">
        <f t="shared" si="162"/>
        <v>0</v>
      </c>
      <c r="CP140" s="675"/>
      <c r="CQ140" s="676">
        <f t="shared" si="119"/>
        <v>0</v>
      </c>
      <c r="CR140" s="677">
        <f t="shared" si="120"/>
        <v>0</v>
      </c>
      <c r="CS140" s="677">
        <f t="shared" si="163"/>
        <v>0</v>
      </c>
      <c r="CT140" s="678">
        <f t="shared" si="164"/>
        <v>0</v>
      </c>
      <c r="CU140" s="679">
        <f t="shared" si="165"/>
        <v>0</v>
      </c>
      <c r="CV140" s="685"/>
      <c r="CW140" s="681"/>
      <c r="CX140" s="682"/>
      <c r="CY140" s="682"/>
      <c r="CZ140" s="683"/>
      <c r="DA140" s="684"/>
      <c r="DB140" s="685"/>
      <c r="DC140" s="681"/>
      <c r="DD140" s="682"/>
      <c r="DE140" s="682"/>
      <c r="DF140" s="683"/>
      <c r="DG140" s="684"/>
      <c r="DH140" s="685"/>
      <c r="DI140" s="681"/>
      <c r="DJ140" s="682"/>
      <c r="DK140" s="682"/>
      <c r="DL140" s="683"/>
      <c r="DM140" s="684"/>
      <c r="DN140" s="685"/>
      <c r="DO140" s="681"/>
      <c r="DP140" s="682"/>
      <c r="DQ140" s="682"/>
      <c r="DR140" s="683"/>
      <c r="DS140" s="684"/>
      <c r="DT140" s="675"/>
      <c r="DU140" s="676">
        <f t="shared" si="121"/>
        <v>0</v>
      </c>
      <c r="DV140" s="677">
        <f t="shared" si="122"/>
        <v>0</v>
      </c>
      <c r="DW140" s="677">
        <f t="shared" si="166"/>
        <v>0</v>
      </c>
      <c r="DX140" s="678">
        <f t="shared" si="167"/>
        <v>0</v>
      </c>
      <c r="DY140" s="679">
        <f t="shared" si="168"/>
        <v>0</v>
      </c>
      <c r="DZ140" s="680"/>
      <c r="EA140" s="681"/>
      <c r="EB140" s="682"/>
      <c r="EC140" s="682"/>
      <c r="ED140" s="683"/>
      <c r="EE140" s="684"/>
      <c r="EF140" s="680"/>
      <c r="EG140" s="681"/>
      <c r="EH140" s="682"/>
      <c r="EI140" s="682"/>
      <c r="EJ140" s="683"/>
      <c r="EK140" s="684"/>
      <c r="EL140" s="680"/>
      <c r="EM140" s="681"/>
      <c r="EN140" s="682"/>
      <c r="EO140" s="682"/>
      <c r="EP140" s="683"/>
      <c r="EQ140" s="684"/>
      <c r="ER140" s="680"/>
      <c r="ES140" s="681"/>
      <c r="ET140" s="682"/>
      <c r="EU140" s="682"/>
      <c r="EV140" s="683"/>
      <c r="EW140" s="684"/>
      <c r="EX140" s="675"/>
      <c r="EY140" s="676">
        <f t="shared" si="123"/>
        <v>0</v>
      </c>
      <c r="EZ140" s="677">
        <f t="shared" si="124"/>
        <v>0</v>
      </c>
      <c r="FA140" s="677">
        <f t="shared" si="169"/>
        <v>0</v>
      </c>
      <c r="FB140" s="678">
        <f t="shared" si="170"/>
        <v>0</v>
      </c>
      <c r="FC140" s="679">
        <f t="shared" si="171"/>
        <v>0</v>
      </c>
      <c r="FD140" s="680"/>
      <c r="FE140" s="681"/>
      <c r="FF140" s="682"/>
      <c r="FG140" s="682"/>
      <c r="FH140" s="683"/>
      <c r="FI140" s="684"/>
      <c r="FJ140" s="680"/>
      <c r="FK140" s="681"/>
      <c r="FL140" s="682"/>
      <c r="FM140" s="682"/>
      <c r="FN140" s="683"/>
      <c r="FO140" s="684"/>
      <c r="FP140" s="680"/>
      <c r="FQ140" s="681"/>
      <c r="FR140" s="682"/>
      <c r="FS140" s="682"/>
      <c r="FT140" s="683"/>
      <c r="FU140" s="684"/>
      <c r="FV140" s="680"/>
      <c r="FW140" s="681"/>
      <c r="FX140" s="682"/>
      <c r="FY140" s="682"/>
      <c r="FZ140" s="683"/>
      <c r="GA140" s="684"/>
      <c r="GB140" s="675"/>
      <c r="GC140" s="676">
        <f t="shared" si="125"/>
        <v>0</v>
      </c>
      <c r="GD140" s="677">
        <f t="shared" si="126"/>
        <v>0</v>
      </c>
      <c r="GE140" s="677">
        <f t="shared" si="172"/>
        <v>0</v>
      </c>
      <c r="GF140" s="678">
        <f t="shared" si="173"/>
        <v>0</v>
      </c>
      <c r="GG140" s="679">
        <f t="shared" si="174"/>
        <v>0</v>
      </c>
      <c r="GH140" s="680"/>
      <c r="GI140" s="681"/>
      <c r="GJ140" s="682"/>
      <c r="GK140" s="682"/>
      <c r="GL140" s="683"/>
      <c r="GM140" s="684"/>
      <c r="GN140" s="680"/>
      <c r="GO140" s="681"/>
      <c r="GP140" s="682"/>
      <c r="GQ140" s="682"/>
      <c r="GR140" s="683"/>
      <c r="GS140" s="684"/>
      <c r="GT140" s="680"/>
      <c r="GU140" s="681"/>
      <c r="GV140" s="682"/>
      <c r="GW140" s="682"/>
      <c r="GX140" s="683"/>
      <c r="GY140" s="684"/>
      <c r="GZ140" s="680"/>
      <c r="HA140" s="147"/>
      <c r="HB140" s="148"/>
      <c r="HC140" s="148"/>
      <c r="HD140" s="149"/>
      <c r="HE140" s="150"/>
      <c r="HF140" s="506"/>
      <c r="HG140" s="502"/>
      <c r="HH140" s="502"/>
      <c r="HI140" s="502"/>
      <c r="HJ140" s="8"/>
    </row>
    <row r="141" spans="2:218" ht="21" hidden="1">
      <c r="B141" s="488">
        <v>97</v>
      </c>
      <c r="C141" s="489" t="s">
        <v>224</v>
      </c>
      <c r="D141" s="490" t="s">
        <v>493</v>
      </c>
      <c r="E141" s="491" t="s">
        <v>442</v>
      </c>
      <c r="F141" s="492"/>
      <c r="G141" s="493"/>
      <c r="H141" s="146" t="s">
        <v>97</v>
      </c>
      <c r="I141" s="494" t="str">
        <f t="shared" si="92"/>
        <v>n.v.t.</v>
      </c>
      <c r="J141" s="495" t="s">
        <v>487</v>
      </c>
      <c r="K141" s="151">
        <v>1</v>
      </c>
      <c r="L141" s="256">
        <f>IF($C$5&lt;3000,(Bron!H130*$C$5)+Bron!I130,(Bron!M130*$C$5)+Bron!N130)</f>
        <v>158450.88</v>
      </c>
      <c r="M141" s="256"/>
      <c r="N141" s="496">
        <f t="shared" si="90"/>
        <v>811.45600000000002</v>
      </c>
      <c r="O141" s="497">
        <f t="shared" si="91"/>
        <v>195.26737124378894</v>
      </c>
      <c r="P141" s="257">
        <f>IF($C$5&lt;3000,$AN$32*Bron!J130,$AN$32*Bron!O130)</f>
        <v>0</v>
      </c>
      <c r="Q141" s="257"/>
      <c r="R141" s="257">
        <f>IF($C$5&lt;3000,$AN$33*Bron!J130,$AN$33*Bron!O130)</f>
        <v>16.36</v>
      </c>
      <c r="S141" s="344"/>
      <c r="T141" s="258">
        <f t="shared" si="93"/>
        <v>1</v>
      </c>
      <c r="U141" s="259">
        <f t="shared" si="94"/>
        <v>0</v>
      </c>
      <c r="V141" s="675"/>
      <c r="W141" s="676">
        <f t="shared" si="95"/>
        <v>0</v>
      </c>
      <c r="X141" s="677">
        <f t="shared" si="96"/>
        <v>0</v>
      </c>
      <c r="Y141" s="677">
        <f t="shared" si="127"/>
        <v>0</v>
      </c>
      <c r="Z141" s="678">
        <f t="shared" si="128"/>
        <v>0</v>
      </c>
      <c r="AA141" s="679">
        <f t="shared" si="129"/>
        <v>0</v>
      </c>
      <c r="AB141" s="675"/>
      <c r="AC141" s="676">
        <f t="shared" si="97"/>
        <v>0</v>
      </c>
      <c r="AD141" s="677">
        <f t="shared" si="98"/>
        <v>0</v>
      </c>
      <c r="AE141" s="677">
        <f t="shared" si="130"/>
        <v>0</v>
      </c>
      <c r="AF141" s="678">
        <f t="shared" si="131"/>
        <v>0</v>
      </c>
      <c r="AG141" s="679">
        <f t="shared" si="132"/>
        <v>0</v>
      </c>
      <c r="AH141" s="675"/>
      <c r="AI141" s="676">
        <f t="shared" si="99"/>
        <v>0</v>
      </c>
      <c r="AJ141" s="677">
        <f t="shared" si="100"/>
        <v>0</v>
      </c>
      <c r="AK141" s="677">
        <f t="shared" si="133"/>
        <v>0</v>
      </c>
      <c r="AL141" s="678">
        <f t="shared" si="134"/>
        <v>0</v>
      </c>
      <c r="AM141" s="679">
        <f t="shared" si="135"/>
        <v>0</v>
      </c>
      <c r="AN141" s="675"/>
      <c r="AO141" s="676">
        <f t="shared" si="101"/>
        <v>0</v>
      </c>
      <c r="AP141" s="677">
        <f t="shared" si="102"/>
        <v>0</v>
      </c>
      <c r="AQ141" s="677">
        <f t="shared" si="136"/>
        <v>0</v>
      </c>
      <c r="AR141" s="678">
        <f t="shared" si="137"/>
        <v>0</v>
      </c>
      <c r="AS141" s="679">
        <f t="shared" si="138"/>
        <v>0</v>
      </c>
      <c r="AT141" s="675"/>
      <c r="AU141" s="676">
        <f t="shared" si="103"/>
        <v>0</v>
      </c>
      <c r="AV141" s="677">
        <f t="shared" si="104"/>
        <v>0</v>
      </c>
      <c r="AW141" s="677">
        <f t="shared" si="139"/>
        <v>0</v>
      </c>
      <c r="AX141" s="678">
        <f t="shared" si="140"/>
        <v>0</v>
      </c>
      <c r="AY141" s="679">
        <f t="shared" si="141"/>
        <v>0</v>
      </c>
      <c r="AZ141" s="675"/>
      <c r="BA141" s="676">
        <f t="shared" si="105"/>
        <v>0</v>
      </c>
      <c r="BB141" s="677">
        <f t="shared" si="106"/>
        <v>0</v>
      </c>
      <c r="BC141" s="677">
        <f t="shared" si="142"/>
        <v>0</v>
      </c>
      <c r="BD141" s="678">
        <f t="shared" si="143"/>
        <v>0</v>
      </c>
      <c r="BE141" s="679">
        <f t="shared" si="144"/>
        <v>0</v>
      </c>
      <c r="BF141" s="675"/>
      <c r="BG141" s="676">
        <f t="shared" si="107"/>
        <v>0</v>
      </c>
      <c r="BH141" s="677">
        <f t="shared" si="108"/>
        <v>0</v>
      </c>
      <c r="BI141" s="677">
        <f t="shared" si="145"/>
        <v>0</v>
      </c>
      <c r="BJ141" s="678">
        <f t="shared" si="146"/>
        <v>0</v>
      </c>
      <c r="BK141" s="679">
        <f t="shared" si="147"/>
        <v>0</v>
      </c>
      <c r="BL141" s="675"/>
      <c r="BM141" s="676">
        <f t="shared" si="109"/>
        <v>0</v>
      </c>
      <c r="BN141" s="677">
        <f t="shared" si="110"/>
        <v>0</v>
      </c>
      <c r="BO141" s="677">
        <f t="shared" si="148"/>
        <v>0</v>
      </c>
      <c r="BP141" s="678">
        <f t="shared" si="149"/>
        <v>0</v>
      </c>
      <c r="BQ141" s="679">
        <f t="shared" si="150"/>
        <v>0</v>
      </c>
      <c r="BR141" s="675"/>
      <c r="BS141" s="676">
        <f t="shared" si="111"/>
        <v>0</v>
      </c>
      <c r="BT141" s="677">
        <f t="shared" si="112"/>
        <v>0</v>
      </c>
      <c r="BU141" s="677">
        <f t="shared" si="151"/>
        <v>0</v>
      </c>
      <c r="BV141" s="678">
        <f t="shared" si="152"/>
        <v>0</v>
      </c>
      <c r="BW141" s="679">
        <f t="shared" si="153"/>
        <v>0</v>
      </c>
      <c r="BX141" s="675"/>
      <c r="BY141" s="676">
        <f t="shared" si="113"/>
        <v>0</v>
      </c>
      <c r="BZ141" s="677">
        <f t="shared" si="114"/>
        <v>0</v>
      </c>
      <c r="CA141" s="677">
        <f t="shared" si="154"/>
        <v>0</v>
      </c>
      <c r="CB141" s="678">
        <f t="shared" si="155"/>
        <v>0</v>
      </c>
      <c r="CC141" s="679">
        <f t="shared" si="156"/>
        <v>0</v>
      </c>
      <c r="CD141" s="675"/>
      <c r="CE141" s="676">
        <f t="shared" si="115"/>
        <v>0</v>
      </c>
      <c r="CF141" s="677">
        <f t="shared" si="116"/>
        <v>0</v>
      </c>
      <c r="CG141" s="677">
        <f t="shared" si="157"/>
        <v>0</v>
      </c>
      <c r="CH141" s="678">
        <f t="shared" si="158"/>
        <v>0</v>
      </c>
      <c r="CI141" s="679">
        <f t="shared" si="159"/>
        <v>0</v>
      </c>
      <c r="CJ141" s="675"/>
      <c r="CK141" s="676">
        <f t="shared" si="117"/>
        <v>0</v>
      </c>
      <c r="CL141" s="677">
        <f t="shared" si="118"/>
        <v>0</v>
      </c>
      <c r="CM141" s="677">
        <f t="shared" si="160"/>
        <v>0</v>
      </c>
      <c r="CN141" s="678">
        <f t="shared" si="161"/>
        <v>0</v>
      </c>
      <c r="CO141" s="679">
        <f t="shared" si="162"/>
        <v>0</v>
      </c>
      <c r="CP141" s="675"/>
      <c r="CQ141" s="676">
        <f t="shared" si="119"/>
        <v>0</v>
      </c>
      <c r="CR141" s="677">
        <f t="shared" si="120"/>
        <v>0</v>
      </c>
      <c r="CS141" s="677">
        <f t="shared" si="163"/>
        <v>0</v>
      </c>
      <c r="CT141" s="678">
        <f t="shared" si="164"/>
        <v>0</v>
      </c>
      <c r="CU141" s="679">
        <f t="shared" si="165"/>
        <v>0</v>
      </c>
      <c r="CV141" s="685"/>
      <c r="CW141" s="681"/>
      <c r="CX141" s="682"/>
      <c r="CY141" s="682"/>
      <c r="CZ141" s="683"/>
      <c r="DA141" s="684"/>
      <c r="DB141" s="685"/>
      <c r="DC141" s="681"/>
      <c r="DD141" s="682"/>
      <c r="DE141" s="682"/>
      <c r="DF141" s="683"/>
      <c r="DG141" s="684"/>
      <c r="DH141" s="685"/>
      <c r="DI141" s="681"/>
      <c r="DJ141" s="682"/>
      <c r="DK141" s="682"/>
      <c r="DL141" s="683"/>
      <c r="DM141" s="684"/>
      <c r="DN141" s="685"/>
      <c r="DO141" s="681"/>
      <c r="DP141" s="682"/>
      <c r="DQ141" s="682"/>
      <c r="DR141" s="683"/>
      <c r="DS141" s="684"/>
      <c r="DT141" s="675"/>
      <c r="DU141" s="676">
        <f t="shared" si="121"/>
        <v>0</v>
      </c>
      <c r="DV141" s="677">
        <f t="shared" si="122"/>
        <v>0</v>
      </c>
      <c r="DW141" s="677">
        <f t="shared" si="166"/>
        <v>0</v>
      </c>
      <c r="DX141" s="678">
        <f t="shared" si="167"/>
        <v>0</v>
      </c>
      <c r="DY141" s="679">
        <f t="shared" si="168"/>
        <v>0</v>
      </c>
      <c r="DZ141" s="680"/>
      <c r="EA141" s="681"/>
      <c r="EB141" s="682"/>
      <c r="EC141" s="682"/>
      <c r="ED141" s="683"/>
      <c r="EE141" s="684"/>
      <c r="EF141" s="680"/>
      <c r="EG141" s="681"/>
      <c r="EH141" s="682"/>
      <c r="EI141" s="682"/>
      <c r="EJ141" s="683"/>
      <c r="EK141" s="684"/>
      <c r="EL141" s="680"/>
      <c r="EM141" s="681"/>
      <c r="EN141" s="682"/>
      <c r="EO141" s="682"/>
      <c r="EP141" s="683"/>
      <c r="EQ141" s="684"/>
      <c r="ER141" s="680"/>
      <c r="ES141" s="681"/>
      <c r="ET141" s="682"/>
      <c r="EU141" s="682"/>
      <c r="EV141" s="683"/>
      <c r="EW141" s="684"/>
      <c r="EX141" s="675"/>
      <c r="EY141" s="676">
        <f t="shared" si="123"/>
        <v>0</v>
      </c>
      <c r="EZ141" s="677">
        <f t="shared" si="124"/>
        <v>0</v>
      </c>
      <c r="FA141" s="677">
        <f t="shared" si="169"/>
        <v>0</v>
      </c>
      <c r="FB141" s="678">
        <f t="shared" si="170"/>
        <v>0</v>
      </c>
      <c r="FC141" s="679">
        <f t="shared" si="171"/>
        <v>0</v>
      </c>
      <c r="FD141" s="680"/>
      <c r="FE141" s="681"/>
      <c r="FF141" s="682"/>
      <c r="FG141" s="682"/>
      <c r="FH141" s="683"/>
      <c r="FI141" s="684"/>
      <c r="FJ141" s="680"/>
      <c r="FK141" s="681"/>
      <c r="FL141" s="682"/>
      <c r="FM141" s="682"/>
      <c r="FN141" s="683"/>
      <c r="FO141" s="684"/>
      <c r="FP141" s="680"/>
      <c r="FQ141" s="681"/>
      <c r="FR141" s="682"/>
      <c r="FS141" s="682"/>
      <c r="FT141" s="683"/>
      <c r="FU141" s="684"/>
      <c r="FV141" s="680"/>
      <c r="FW141" s="681"/>
      <c r="FX141" s="682"/>
      <c r="FY141" s="682"/>
      <c r="FZ141" s="683"/>
      <c r="GA141" s="684"/>
      <c r="GB141" s="675"/>
      <c r="GC141" s="676">
        <f t="shared" si="125"/>
        <v>0</v>
      </c>
      <c r="GD141" s="677">
        <f t="shared" si="126"/>
        <v>0</v>
      </c>
      <c r="GE141" s="677">
        <f t="shared" si="172"/>
        <v>0</v>
      </c>
      <c r="GF141" s="678">
        <f t="shared" si="173"/>
        <v>0</v>
      </c>
      <c r="GG141" s="679">
        <f t="shared" si="174"/>
        <v>0</v>
      </c>
      <c r="GH141" s="680"/>
      <c r="GI141" s="681"/>
      <c r="GJ141" s="682"/>
      <c r="GK141" s="682"/>
      <c r="GL141" s="683"/>
      <c r="GM141" s="684"/>
      <c r="GN141" s="680"/>
      <c r="GO141" s="681"/>
      <c r="GP141" s="682"/>
      <c r="GQ141" s="682"/>
      <c r="GR141" s="683"/>
      <c r="GS141" s="684"/>
      <c r="GT141" s="680"/>
      <c r="GU141" s="681"/>
      <c r="GV141" s="682"/>
      <c r="GW141" s="682"/>
      <c r="GX141" s="683"/>
      <c r="GY141" s="684"/>
      <c r="GZ141" s="680"/>
      <c r="HA141" s="147"/>
      <c r="HB141" s="148"/>
      <c r="HC141" s="148"/>
      <c r="HD141" s="149"/>
      <c r="HE141" s="150"/>
      <c r="HF141" s="506"/>
      <c r="HG141" s="502"/>
      <c r="HH141" s="502"/>
      <c r="HI141" s="502"/>
      <c r="HJ141" s="8"/>
    </row>
    <row r="142" spans="2:218" ht="21" hidden="1">
      <c r="B142" s="488">
        <v>98</v>
      </c>
      <c r="C142" s="489" t="s">
        <v>224</v>
      </c>
      <c r="D142" s="490" t="s">
        <v>493</v>
      </c>
      <c r="E142" s="491" t="s">
        <v>443</v>
      </c>
      <c r="F142" s="492"/>
      <c r="G142" s="493"/>
      <c r="H142" s="146" t="s">
        <v>97</v>
      </c>
      <c r="I142" s="494" t="str">
        <f t="shared" si="92"/>
        <v>n.v.t.</v>
      </c>
      <c r="J142" s="495"/>
      <c r="K142" s="151">
        <v>0</v>
      </c>
      <c r="L142" s="256"/>
      <c r="M142" s="256">
        <f>IF($C$5&lt;3000,(Bron!H131*$C$5)+Bron!I131,(Bron!M131*$C$5)+Bron!N131)</f>
        <v>325000</v>
      </c>
      <c r="N142" s="496">
        <f t="shared" si="90"/>
        <v>40572.800000000003</v>
      </c>
      <c r="O142" s="497">
        <f t="shared" si="91"/>
        <v>8.0102926098272729</v>
      </c>
      <c r="P142" s="257">
        <f>IF($C$5&lt;3000,$AN$32*Bron!J131,$AN$32*Bron!O131)</f>
        <v>0</v>
      </c>
      <c r="Q142" s="257">
        <f>(-P142*(35.17/3.6*0.95)/4)</f>
        <v>0</v>
      </c>
      <c r="R142" s="257">
        <f>IF($C$5&lt;3000,$AN$33*Bron!J131,$AN$33*Bron!O131)</f>
        <v>818</v>
      </c>
      <c r="S142" s="344"/>
      <c r="T142" s="258">
        <f t="shared" si="93"/>
        <v>0</v>
      </c>
      <c r="U142" s="259">
        <f t="shared" si="94"/>
        <v>0</v>
      </c>
      <c r="V142" s="675"/>
      <c r="W142" s="676">
        <f t="shared" si="95"/>
        <v>0</v>
      </c>
      <c r="X142" s="677">
        <f t="shared" si="96"/>
        <v>0</v>
      </c>
      <c r="Y142" s="677">
        <f t="shared" si="127"/>
        <v>0</v>
      </c>
      <c r="Z142" s="678">
        <f t="shared" si="128"/>
        <v>0</v>
      </c>
      <c r="AA142" s="679">
        <f t="shared" si="129"/>
        <v>0</v>
      </c>
      <c r="AB142" s="675"/>
      <c r="AC142" s="676">
        <f t="shared" si="97"/>
        <v>0</v>
      </c>
      <c r="AD142" s="677">
        <f t="shared" si="98"/>
        <v>0</v>
      </c>
      <c r="AE142" s="677">
        <f t="shared" si="130"/>
        <v>0</v>
      </c>
      <c r="AF142" s="678">
        <f t="shared" si="131"/>
        <v>0</v>
      </c>
      <c r="AG142" s="679">
        <f t="shared" si="132"/>
        <v>0</v>
      </c>
      <c r="AH142" s="675"/>
      <c r="AI142" s="676">
        <f t="shared" si="99"/>
        <v>0</v>
      </c>
      <c r="AJ142" s="677">
        <f t="shared" si="100"/>
        <v>0</v>
      </c>
      <c r="AK142" s="677">
        <f t="shared" si="133"/>
        <v>0</v>
      </c>
      <c r="AL142" s="678">
        <f t="shared" si="134"/>
        <v>0</v>
      </c>
      <c r="AM142" s="679">
        <f t="shared" si="135"/>
        <v>0</v>
      </c>
      <c r="AN142" s="675"/>
      <c r="AO142" s="676">
        <f t="shared" si="101"/>
        <v>0</v>
      </c>
      <c r="AP142" s="677">
        <f t="shared" si="102"/>
        <v>0</v>
      </c>
      <c r="AQ142" s="677">
        <f t="shared" si="136"/>
        <v>0</v>
      </c>
      <c r="AR142" s="678">
        <f t="shared" si="137"/>
        <v>0</v>
      </c>
      <c r="AS142" s="679">
        <f t="shared" si="138"/>
        <v>0</v>
      </c>
      <c r="AT142" s="675"/>
      <c r="AU142" s="676">
        <f t="shared" si="103"/>
        <v>0</v>
      </c>
      <c r="AV142" s="677">
        <f t="shared" si="104"/>
        <v>0</v>
      </c>
      <c r="AW142" s="677">
        <f t="shared" si="139"/>
        <v>0</v>
      </c>
      <c r="AX142" s="678">
        <f t="shared" si="140"/>
        <v>0</v>
      </c>
      <c r="AY142" s="679">
        <f t="shared" si="141"/>
        <v>0</v>
      </c>
      <c r="AZ142" s="675"/>
      <c r="BA142" s="676">
        <f t="shared" si="105"/>
        <v>0</v>
      </c>
      <c r="BB142" s="677">
        <f t="shared" si="106"/>
        <v>0</v>
      </c>
      <c r="BC142" s="677">
        <f t="shared" si="142"/>
        <v>0</v>
      </c>
      <c r="BD142" s="678">
        <f t="shared" si="143"/>
        <v>0</v>
      </c>
      <c r="BE142" s="679">
        <f t="shared" si="144"/>
        <v>0</v>
      </c>
      <c r="BF142" s="675"/>
      <c r="BG142" s="676">
        <f t="shared" si="107"/>
        <v>0</v>
      </c>
      <c r="BH142" s="677">
        <f t="shared" si="108"/>
        <v>0</v>
      </c>
      <c r="BI142" s="677">
        <f t="shared" si="145"/>
        <v>0</v>
      </c>
      <c r="BJ142" s="678">
        <f t="shared" si="146"/>
        <v>0</v>
      </c>
      <c r="BK142" s="679">
        <f t="shared" si="147"/>
        <v>0</v>
      </c>
      <c r="BL142" s="675"/>
      <c r="BM142" s="676">
        <f t="shared" si="109"/>
        <v>0</v>
      </c>
      <c r="BN142" s="677">
        <f t="shared" si="110"/>
        <v>0</v>
      </c>
      <c r="BO142" s="677">
        <f t="shared" si="148"/>
        <v>0</v>
      </c>
      <c r="BP142" s="678">
        <f t="shared" si="149"/>
        <v>0</v>
      </c>
      <c r="BQ142" s="679">
        <f t="shared" si="150"/>
        <v>0</v>
      </c>
      <c r="BR142" s="675"/>
      <c r="BS142" s="676">
        <f t="shared" si="111"/>
        <v>0</v>
      </c>
      <c r="BT142" s="677">
        <f t="shared" si="112"/>
        <v>0</v>
      </c>
      <c r="BU142" s="677">
        <f t="shared" si="151"/>
        <v>0</v>
      </c>
      <c r="BV142" s="678">
        <f t="shared" si="152"/>
        <v>0</v>
      </c>
      <c r="BW142" s="679">
        <f t="shared" si="153"/>
        <v>0</v>
      </c>
      <c r="BX142" s="675"/>
      <c r="BY142" s="676">
        <f t="shared" si="113"/>
        <v>0</v>
      </c>
      <c r="BZ142" s="677">
        <f t="shared" si="114"/>
        <v>0</v>
      </c>
      <c r="CA142" s="677">
        <f t="shared" si="154"/>
        <v>0</v>
      </c>
      <c r="CB142" s="678">
        <f t="shared" si="155"/>
        <v>0</v>
      </c>
      <c r="CC142" s="679">
        <f t="shared" si="156"/>
        <v>0</v>
      </c>
      <c r="CD142" s="675"/>
      <c r="CE142" s="676">
        <f t="shared" si="115"/>
        <v>0</v>
      </c>
      <c r="CF142" s="677">
        <f t="shared" si="116"/>
        <v>0</v>
      </c>
      <c r="CG142" s="677">
        <f t="shared" si="157"/>
        <v>0</v>
      </c>
      <c r="CH142" s="678">
        <f t="shared" si="158"/>
        <v>0</v>
      </c>
      <c r="CI142" s="679">
        <f t="shared" si="159"/>
        <v>0</v>
      </c>
      <c r="CJ142" s="675"/>
      <c r="CK142" s="676">
        <f t="shared" si="117"/>
        <v>0</v>
      </c>
      <c r="CL142" s="677">
        <f t="shared" si="118"/>
        <v>0</v>
      </c>
      <c r="CM142" s="677">
        <f t="shared" si="160"/>
        <v>0</v>
      </c>
      <c r="CN142" s="678">
        <f t="shared" si="161"/>
        <v>0</v>
      </c>
      <c r="CO142" s="679">
        <f t="shared" si="162"/>
        <v>0</v>
      </c>
      <c r="CP142" s="675"/>
      <c r="CQ142" s="676">
        <f t="shared" si="119"/>
        <v>0</v>
      </c>
      <c r="CR142" s="677">
        <f t="shared" si="120"/>
        <v>0</v>
      </c>
      <c r="CS142" s="677">
        <f t="shared" si="163"/>
        <v>0</v>
      </c>
      <c r="CT142" s="678">
        <f t="shared" si="164"/>
        <v>0</v>
      </c>
      <c r="CU142" s="679">
        <f t="shared" si="165"/>
        <v>0</v>
      </c>
      <c r="CV142" s="685"/>
      <c r="CW142" s="681"/>
      <c r="CX142" s="682"/>
      <c r="CY142" s="682"/>
      <c r="CZ142" s="683"/>
      <c r="DA142" s="684"/>
      <c r="DB142" s="685"/>
      <c r="DC142" s="681"/>
      <c r="DD142" s="682"/>
      <c r="DE142" s="682"/>
      <c r="DF142" s="683"/>
      <c r="DG142" s="684"/>
      <c r="DH142" s="685"/>
      <c r="DI142" s="681"/>
      <c r="DJ142" s="682"/>
      <c r="DK142" s="682"/>
      <c r="DL142" s="683"/>
      <c r="DM142" s="684"/>
      <c r="DN142" s="685"/>
      <c r="DO142" s="681"/>
      <c r="DP142" s="682"/>
      <c r="DQ142" s="682"/>
      <c r="DR142" s="683"/>
      <c r="DS142" s="684"/>
      <c r="DT142" s="675"/>
      <c r="DU142" s="676">
        <f t="shared" si="121"/>
        <v>0</v>
      </c>
      <c r="DV142" s="677">
        <f t="shared" si="122"/>
        <v>0</v>
      </c>
      <c r="DW142" s="677">
        <f t="shared" si="166"/>
        <v>0</v>
      </c>
      <c r="DX142" s="678">
        <f t="shared" si="167"/>
        <v>0</v>
      </c>
      <c r="DY142" s="679">
        <f t="shared" si="168"/>
        <v>0</v>
      </c>
      <c r="DZ142" s="680"/>
      <c r="EA142" s="681"/>
      <c r="EB142" s="682"/>
      <c r="EC142" s="682"/>
      <c r="ED142" s="683"/>
      <c r="EE142" s="684"/>
      <c r="EF142" s="680"/>
      <c r="EG142" s="681"/>
      <c r="EH142" s="682"/>
      <c r="EI142" s="682"/>
      <c r="EJ142" s="683"/>
      <c r="EK142" s="684"/>
      <c r="EL142" s="680"/>
      <c r="EM142" s="681"/>
      <c r="EN142" s="682"/>
      <c r="EO142" s="682"/>
      <c r="EP142" s="683"/>
      <c r="EQ142" s="684"/>
      <c r="ER142" s="680"/>
      <c r="ES142" s="681"/>
      <c r="ET142" s="682"/>
      <c r="EU142" s="682"/>
      <c r="EV142" s="683"/>
      <c r="EW142" s="684"/>
      <c r="EX142" s="675"/>
      <c r="EY142" s="676">
        <f t="shared" si="123"/>
        <v>0</v>
      </c>
      <c r="EZ142" s="677">
        <f t="shared" si="124"/>
        <v>0</v>
      </c>
      <c r="FA142" s="677">
        <f t="shared" si="169"/>
        <v>0</v>
      </c>
      <c r="FB142" s="678">
        <f t="shared" si="170"/>
        <v>0</v>
      </c>
      <c r="FC142" s="679">
        <f t="shared" si="171"/>
        <v>0</v>
      </c>
      <c r="FD142" s="680"/>
      <c r="FE142" s="681"/>
      <c r="FF142" s="682"/>
      <c r="FG142" s="682"/>
      <c r="FH142" s="683"/>
      <c r="FI142" s="684"/>
      <c r="FJ142" s="680"/>
      <c r="FK142" s="681"/>
      <c r="FL142" s="682"/>
      <c r="FM142" s="682"/>
      <c r="FN142" s="683"/>
      <c r="FO142" s="684"/>
      <c r="FP142" s="680"/>
      <c r="FQ142" s="681"/>
      <c r="FR142" s="682"/>
      <c r="FS142" s="682"/>
      <c r="FT142" s="683"/>
      <c r="FU142" s="684"/>
      <c r="FV142" s="680"/>
      <c r="FW142" s="681"/>
      <c r="FX142" s="682"/>
      <c r="FY142" s="682"/>
      <c r="FZ142" s="683"/>
      <c r="GA142" s="684"/>
      <c r="GB142" s="675"/>
      <c r="GC142" s="676">
        <f t="shared" si="125"/>
        <v>0</v>
      </c>
      <c r="GD142" s="677">
        <f t="shared" si="126"/>
        <v>0</v>
      </c>
      <c r="GE142" s="677">
        <f t="shared" si="172"/>
        <v>0</v>
      </c>
      <c r="GF142" s="678">
        <f t="shared" si="173"/>
        <v>0</v>
      </c>
      <c r="GG142" s="679">
        <f t="shared" si="174"/>
        <v>0</v>
      </c>
      <c r="GH142" s="680"/>
      <c r="GI142" s="681"/>
      <c r="GJ142" s="682"/>
      <c r="GK142" s="682"/>
      <c r="GL142" s="683"/>
      <c r="GM142" s="684"/>
      <c r="GN142" s="680"/>
      <c r="GO142" s="681"/>
      <c r="GP142" s="682"/>
      <c r="GQ142" s="682"/>
      <c r="GR142" s="683"/>
      <c r="GS142" s="684"/>
      <c r="GT142" s="680"/>
      <c r="GU142" s="681"/>
      <c r="GV142" s="682"/>
      <c r="GW142" s="682"/>
      <c r="GX142" s="683"/>
      <c r="GY142" s="684"/>
      <c r="GZ142" s="680"/>
      <c r="HA142" s="147"/>
      <c r="HB142" s="148"/>
      <c r="HC142" s="148"/>
      <c r="HD142" s="149"/>
      <c r="HE142" s="150"/>
      <c r="HF142" s="506"/>
      <c r="HG142" s="502"/>
      <c r="HH142" s="502"/>
      <c r="HI142" s="502"/>
      <c r="HJ142" s="8"/>
    </row>
    <row r="143" spans="2:218" ht="21" hidden="1">
      <c r="B143" s="488">
        <v>99</v>
      </c>
      <c r="C143" s="489" t="s">
        <v>234</v>
      </c>
      <c r="D143" s="490" t="s">
        <v>4</v>
      </c>
      <c r="E143" s="491" t="s">
        <v>235</v>
      </c>
      <c r="F143" s="492"/>
      <c r="G143" s="493"/>
      <c r="H143" s="146" t="s">
        <v>858</v>
      </c>
      <c r="I143" s="494" t="str">
        <f t="shared" si="92"/>
        <v/>
      </c>
      <c r="J143" s="495" t="s">
        <v>489</v>
      </c>
      <c r="K143" s="151">
        <v>1</v>
      </c>
      <c r="L143" s="256">
        <f>IF($C$5&lt;3000,(Bron!H132*$C$5)+Bron!I132,(Bron!M132*$C$5)+Bron!N132)</f>
        <v>9333.4079999999994</v>
      </c>
      <c r="M143" s="256"/>
      <c r="N143" s="496">
        <f t="shared" si="90"/>
        <v>2998.7066400000003</v>
      </c>
      <c r="O143" s="497">
        <f t="shared" si="91"/>
        <v>3.1124778514513172</v>
      </c>
      <c r="P143" s="257">
        <f>IF($C$5&lt;3000,$AN$32*Bron!J132,$AN$32*Bron!O132)</f>
        <v>0</v>
      </c>
      <c r="Q143" s="257">
        <f>IF($C$5&lt;3000,$AN$31*Bron!K132,$AN$31*Bron!P132)</f>
        <v>3819.16</v>
      </c>
      <c r="R143" s="257">
        <f>IF($C$5&lt;3000,$AN$33*Bron!J132,$AN$33*Bron!O132)</f>
        <v>40.900000000000006</v>
      </c>
      <c r="S143" s="344"/>
      <c r="T143" s="258">
        <f t="shared" si="93"/>
        <v>1</v>
      </c>
      <c r="U143" s="259">
        <f t="shared" si="94"/>
        <v>0</v>
      </c>
      <c r="V143" s="675"/>
      <c r="W143" s="676">
        <f t="shared" si="95"/>
        <v>0</v>
      </c>
      <c r="X143" s="677">
        <f t="shared" si="96"/>
        <v>0</v>
      </c>
      <c r="Y143" s="677">
        <f t="shared" si="127"/>
        <v>0</v>
      </c>
      <c r="Z143" s="678">
        <f t="shared" si="128"/>
        <v>0</v>
      </c>
      <c r="AA143" s="679">
        <f t="shared" si="129"/>
        <v>0</v>
      </c>
      <c r="AB143" s="675"/>
      <c r="AC143" s="676">
        <f t="shared" si="97"/>
        <v>0</v>
      </c>
      <c r="AD143" s="677">
        <f t="shared" si="98"/>
        <v>0</v>
      </c>
      <c r="AE143" s="677">
        <f t="shared" si="130"/>
        <v>0</v>
      </c>
      <c r="AF143" s="678">
        <f t="shared" si="131"/>
        <v>0</v>
      </c>
      <c r="AG143" s="679">
        <f t="shared" si="132"/>
        <v>0</v>
      </c>
      <c r="AH143" s="675"/>
      <c r="AI143" s="676">
        <f t="shared" si="99"/>
        <v>0</v>
      </c>
      <c r="AJ143" s="677">
        <f t="shared" si="100"/>
        <v>0</v>
      </c>
      <c r="AK143" s="677">
        <f t="shared" si="133"/>
        <v>0</v>
      </c>
      <c r="AL143" s="678">
        <f t="shared" si="134"/>
        <v>0</v>
      </c>
      <c r="AM143" s="679">
        <f t="shared" si="135"/>
        <v>0</v>
      </c>
      <c r="AN143" s="675"/>
      <c r="AO143" s="676">
        <f t="shared" si="101"/>
        <v>0</v>
      </c>
      <c r="AP143" s="677">
        <f t="shared" si="102"/>
        <v>0</v>
      </c>
      <c r="AQ143" s="677">
        <f t="shared" si="136"/>
        <v>0</v>
      </c>
      <c r="AR143" s="678">
        <f t="shared" si="137"/>
        <v>0</v>
      </c>
      <c r="AS143" s="679">
        <f t="shared" si="138"/>
        <v>0</v>
      </c>
      <c r="AT143" s="675"/>
      <c r="AU143" s="676">
        <f t="shared" si="103"/>
        <v>0</v>
      </c>
      <c r="AV143" s="677">
        <f t="shared" si="104"/>
        <v>0</v>
      </c>
      <c r="AW143" s="677">
        <f t="shared" si="139"/>
        <v>0</v>
      </c>
      <c r="AX143" s="678">
        <f t="shared" si="140"/>
        <v>0</v>
      </c>
      <c r="AY143" s="679">
        <f t="shared" si="141"/>
        <v>0</v>
      </c>
      <c r="AZ143" s="675"/>
      <c r="BA143" s="676">
        <f t="shared" si="105"/>
        <v>0</v>
      </c>
      <c r="BB143" s="677">
        <f t="shared" si="106"/>
        <v>0</v>
      </c>
      <c r="BC143" s="677">
        <f t="shared" si="142"/>
        <v>0</v>
      </c>
      <c r="BD143" s="678">
        <f t="shared" si="143"/>
        <v>0</v>
      </c>
      <c r="BE143" s="679">
        <f t="shared" si="144"/>
        <v>0</v>
      </c>
      <c r="BF143" s="675"/>
      <c r="BG143" s="676">
        <f t="shared" si="107"/>
        <v>0</v>
      </c>
      <c r="BH143" s="677">
        <f t="shared" si="108"/>
        <v>0</v>
      </c>
      <c r="BI143" s="677">
        <f t="shared" si="145"/>
        <v>0</v>
      </c>
      <c r="BJ143" s="678">
        <f t="shared" si="146"/>
        <v>0</v>
      </c>
      <c r="BK143" s="679">
        <f t="shared" si="147"/>
        <v>0</v>
      </c>
      <c r="BL143" s="675"/>
      <c r="BM143" s="676">
        <f t="shared" si="109"/>
        <v>0</v>
      </c>
      <c r="BN143" s="677">
        <f t="shared" si="110"/>
        <v>0</v>
      </c>
      <c r="BO143" s="677">
        <f t="shared" si="148"/>
        <v>0</v>
      </c>
      <c r="BP143" s="678">
        <f t="shared" si="149"/>
        <v>0</v>
      </c>
      <c r="BQ143" s="679">
        <f t="shared" si="150"/>
        <v>0</v>
      </c>
      <c r="BR143" s="675"/>
      <c r="BS143" s="676">
        <f t="shared" si="111"/>
        <v>0</v>
      </c>
      <c r="BT143" s="677">
        <f t="shared" si="112"/>
        <v>0</v>
      </c>
      <c r="BU143" s="677">
        <f t="shared" si="151"/>
        <v>0</v>
      </c>
      <c r="BV143" s="678">
        <f t="shared" si="152"/>
        <v>0</v>
      </c>
      <c r="BW143" s="679">
        <f t="shared" si="153"/>
        <v>0</v>
      </c>
      <c r="BX143" s="675"/>
      <c r="BY143" s="676">
        <f t="shared" si="113"/>
        <v>0</v>
      </c>
      <c r="BZ143" s="677">
        <f t="shared" si="114"/>
        <v>0</v>
      </c>
      <c r="CA143" s="677">
        <f t="shared" si="154"/>
        <v>0</v>
      </c>
      <c r="CB143" s="678">
        <f t="shared" si="155"/>
        <v>0</v>
      </c>
      <c r="CC143" s="679">
        <f t="shared" si="156"/>
        <v>0</v>
      </c>
      <c r="CD143" s="675"/>
      <c r="CE143" s="676">
        <f t="shared" si="115"/>
        <v>0</v>
      </c>
      <c r="CF143" s="677">
        <f t="shared" si="116"/>
        <v>0</v>
      </c>
      <c r="CG143" s="677">
        <f t="shared" si="157"/>
        <v>0</v>
      </c>
      <c r="CH143" s="678">
        <f t="shared" si="158"/>
        <v>0</v>
      </c>
      <c r="CI143" s="679">
        <f t="shared" si="159"/>
        <v>0</v>
      </c>
      <c r="CJ143" s="675"/>
      <c r="CK143" s="676">
        <f t="shared" si="117"/>
        <v>0</v>
      </c>
      <c r="CL143" s="677">
        <f t="shared" si="118"/>
        <v>0</v>
      </c>
      <c r="CM143" s="677">
        <f t="shared" si="160"/>
        <v>0</v>
      </c>
      <c r="CN143" s="678">
        <f t="shared" si="161"/>
        <v>0</v>
      </c>
      <c r="CO143" s="679">
        <f t="shared" si="162"/>
        <v>0</v>
      </c>
      <c r="CP143" s="675"/>
      <c r="CQ143" s="676">
        <f t="shared" si="119"/>
        <v>0</v>
      </c>
      <c r="CR143" s="677">
        <f t="shared" si="120"/>
        <v>0</v>
      </c>
      <c r="CS143" s="677">
        <f t="shared" si="163"/>
        <v>0</v>
      </c>
      <c r="CT143" s="678">
        <f t="shared" si="164"/>
        <v>0</v>
      </c>
      <c r="CU143" s="679">
        <f t="shared" si="165"/>
        <v>0</v>
      </c>
      <c r="CV143" s="685"/>
      <c r="CW143" s="681"/>
      <c r="CX143" s="682"/>
      <c r="CY143" s="682"/>
      <c r="CZ143" s="683"/>
      <c r="DA143" s="684"/>
      <c r="DB143" s="685"/>
      <c r="DC143" s="681"/>
      <c r="DD143" s="682"/>
      <c r="DE143" s="682"/>
      <c r="DF143" s="683"/>
      <c r="DG143" s="684"/>
      <c r="DH143" s="685"/>
      <c r="DI143" s="681"/>
      <c r="DJ143" s="682"/>
      <c r="DK143" s="682"/>
      <c r="DL143" s="683"/>
      <c r="DM143" s="684"/>
      <c r="DN143" s="685"/>
      <c r="DO143" s="681"/>
      <c r="DP143" s="682"/>
      <c r="DQ143" s="682"/>
      <c r="DR143" s="683"/>
      <c r="DS143" s="684"/>
      <c r="DT143" s="675"/>
      <c r="DU143" s="676">
        <f t="shared" si="121"/>
        <v>0</v>
      </c>
      <c r="DV143" s="677">
        <f t="shared" si="122"/>
        <v>0</v>
      </c>
      <c r="DW143" s="677">
        <f t="shared" si="166"/>
        <v>0</v>
      </c>
      <c r="DX143" s="678">
        <f t="shared" si="167"/>
        <v>0</v>
      </c>
      <c r="DY143" s="679">
        <f t="shared" si="168"/>
        <v>0</v>
      </c>
      <c r="DZ143" s="680"/>
      <c r="EA143" s="681"/>
      <c r="EB143" s="682"/>
      <c r="EC143" s="682"/>
      <c r="ED143" s="683"/>
      <c r="EE143" s="684"/>
      <c r="EF143" s="680"/>
      <c r="EG143" s="681"/>
      <c r="EH143" s="682"/>
      <c r="EI143" s="682"/>
      <c r="EJ143" s="683"/>
      <c r="EK143" s="684"/>
      <c r="EL143" s="680"/>
      <c r="EM143" s="681"/>
      <c r="EN143" s="682"/>
      <c r="EO143" s="682"/>
      <c r="EP143" s="683"/>
      <c r="EQ143" s="684"/>
      <c r="ER143" s="680"/>
      <c r="ES143" s="681"/>
      <c r="ET143" s="682"/>
      <c r="EU143" s="682"/>
      <c r="EV143" s="683"/>
      <c r="EW143" s="684"/>
      <c r="EX143" s="675"/>
      <c r="EY143" s="676">
        <f t="shared" si="123"/>
        <v>0</v>
      </c>
      <c r="EZ143" s="677">
        <f t="shared" si="124"/>
        <v>0</v>
      </c>
      <c r="FA143" s="677">
        <f t="shared" si="169"/>
        <v>0</v>
      </c>
      <c r="FB143" s="678">
        <f t="shared" si="170"/>
        <v>0</v>
      </c>
      <c r="FC143" s="679">
        <f t="shared" si="171"/>
        <v>0</v>
      </c>
      <c r="FD143" s="680"/>
      <c r="FE143" s="681"/>
      <c r="FF143" s="682"/>
      <c r="FG143" s="682"/>
      <c r="FH143" s="683"/>
      <c r="FI143" s="684"/>
      <c r="FJ143" s="680"/>
      <c r="FK143" s="681"/>
      <c r="FL143" s="682"/>
      <c r="FM143" s="682"/>
      <c r="FN143" s="683"/>
      <c r="FO143" s="684"/>
      <c r="FP143" s="680"/>
      <c r="FQ143" s="681"/>
      <c r="FR143" s="682"/>
      <c r="FS143" s="682"/>
      <c r="FT143" s="683"/>
      <c r="FU143" s="684"/>
      <c r="FV143" s="680"/>
      <c r="FW143" s="681"/>
      <c r="FX143" s="682"/>
      <c r="FY143" s="682"/>
      <c r="FZ143" s="683"/>
      <c r="GA143" s="684"/>
      <c r="GB143" s="675"/>
      <c r="GC143" s="676">
        <f t="shared" si="125"/>
        <v>0</v>
      </c>
      <c r="GD143" s="677">
        <f t="shared" si="126"/>
        <v>0</v>
      </c>
      <c r="GE143" s="677">
        <f t="shared" si="172"/>
        <v>0</v>
      </c>
      <c r="GF143" s="678">
        <f t="shared" si="173"/>
        <v>0</v>
      </c>
      <c r="GG143" s="679">
        <f t="shared" si="174"/>
        <v>0</v>
      </c>
      <c r="GH143" s="680"/>
      <c r="GI143" s="681"/>
      <c r="GJ143" s="682"/>
      <c r="GK143" s="682"/>
      <c r="GL143" s="683"/>
      <c r="GM143" s="684"/>
      <c r="GN143" s="680"/>
      <c r="GO143" s="681"/>
      <c r="GP143" s="682"/>
      <c r="GQ143" s="682"/>
      <c r="GR143" s="683"/>
      <c r="GS143" s="684"/>
      <c r="GT143" s="680"/>
      <c r="GU143" s="681"/>
      <c r="GV143" s="682"/>
      <c r="GW143" s="682"/>
      <c r="GX143" s="683"/>
      <c r="GY143" s="684"/>
      <c r="GZ143" s="680"/>
      <c r="HA143" s="147"/>
      <c r="HB143" s="148"/>
      <c r="HC143" s="148"/>
      <c r="HD143" s="149"/>
      <c r="HE143" s="150"/>
      <c r="HF143" s="506"/>
      <c r="HG143" s="502"/>
      <c r="HH143" s="502"/>
      <c r="HI143" s="502"/>
      <c r="HJ143" s="8"/>
    </row>
    <row r="144" spans="2:218" ht="21" hidden="1">
      <c r="B144" s="488">
        <v>100</v>
      </c>
      <c r="C144" s="489" t="s">
        <v>234</v>
      </c>
      <c r="D144" s="490" t="s">
        <v>236</v>
      </c>
      <c r="E144" s="491" t="s">
        <v>237</v>
      </c>
      <c r="F144" s="492"/>
      <c r="G144" s="493"/>
      <c r="H144" s="146" t="s">
        <v>858</v>
      </c>
      <c r="I144" s="494" t="str">
        <f t="shared" si="92"/>
        <v/>
      </c>
      <c r="J144" s="495" t="s">
        <v>487</v>
      </c>
      <c r="K144" s="151">
        <v>1</v>
      </c>
      <c r="L144" s="256">
        <f>IF($C$5&lt;3000,(Bron!H133*$C$5)+Bron!I133,(Bron!M133*$C$5)+Bron!N133)</f>
        <v>34728.959999999999</v>
      </c>
      <c r="M144" s="256"/>
      <c r="N144" s="496">
        <f t="shared" si="90"/>
        <v>11360.384000000002</v>
      </c>
      <c r="O144" s="497">
        <f t="shared" si="91"/>
        <v>3.0570234245602959</v>
      </c>
      <c r="P144" s="257">
        <f>IF($C$5&lt;3000,$AN$32*Bron!J133,$AN$32*Bron!O133)</f>
        <v>0</v>
      </c>
      <c r="Q144" s="257"/>
      <c r="R144" s="257">
        <f>IF($C$5&lt;3000,$AN$33*Bron!J133,$AN$33*Bron!O133)</f>
        <v>229.04000000000002</v>
      </c>
      <c r="S144" s="344"/>
      <c r="T144" s="258">
        <f t="shared" si="93"/>
        <v>1</v>
      </c>
      <c r="U144" s="259">
        <f t="shared" si="94"/>
        <v>0</v>
      </c>
      <c r="V144" s="675"/>
      <c r="W144" s="676">
        <f t="shared" si="95"/>
        <v>0</v>
      </c>
      <c r="X144" s="677">
        <f t="shared" si="96"/>
        <v>0</v>
      </c>
      <c r="Y144" s="677">
        <f t="shared" si="127"/>
        <v>0</v>
      </c>
      <c r="Z144" s="678">
        <f t="shared" si="128"/>
        <v>0</v>
      </c>
      <c r="AA144" s="679">
        <f t="shared" si="129"/>
        <v>0</v>
      </c>
      <c r="AB144" s="675"/>
      <c r="AC144" s="676">
        <f t="shared" si="97"/>
        <v>0</v>
      </c>
      <c r="AD144" s="677">
        <f t="shared" si="98"/>
        <v>0</v>
      </c>
      <c r="AE144" s="677">
        <f t="shared" si="130"/>
        <v>0</v>
      </c>
      <c r="AF144" s="678">
        <f t="shared" si="131"/>
        <v>0</v>
      </c>
      <c r="AG144" s="679">
        <f t="shared" si="132"/>
        <v>0</v>
      </c>
      <c r="AH144" s="675"/>
      <c r="AI144" s="676">
        <f t="shared" si="99"/>
        <v>0</v>
      </c>
      <c r="AJ144" s="677">
        <f t="shared" si="100"/>
        <v>0</v>
      </c>
      <c r="AK144" s="677">
        <f t="shared" si="133"/>
        <v>0</v>
      </c>
      <c r="AL144" s="678">
        <f t="shared" si="134"/>
        <v>0</v>
      </c>
      <c r="AM144" s="679">
        <f t="shared" si="135"/>
        <v>0</v>
      </c>
      <c r="AN144" s="675"/>
      <c r="AO144" s="676">
        <f t="shared" si="101"/>
        <v>0</v>
      </c>
      <c r="AP144" s="677">
        <f t="shared" si="102"/>
        <v>0</v>
      </c>
      <c r="AQ144" s="677">
        <f t="shared" si="136"/>
        <v>0</v>
      </c>
      <c r="AR144" s="678">
        <f t="shared" si="137"/>
        <v>0</v>
      </c>
      <c r="AS144" s="679">
        <f t="shared" si="138"/>
        <v>0</v>
      </c>
      <c r="AT144" s="675"/>
      <c r="AU144" s="676">
        <f t="shared" si="103"/>
        <v>0</v>
      </c>
      <c r="AV144" s="677">
        <f t="shared" si="104"/>
        <v>0</v>
      </c>
      <c r="AW144" s="677">
        <f t="shared" si="139"/>
        <v>0</v>
      </c>
      <c r="AX144" s="678">
        <f t="shared" si="140"/>
        <v>0</v>
      </c>
      <c r="AY144" s="679">
        <f t="shared" si="141"/>
        <v>0</v>
      </c>
      <c r="AZ144" s="675"/>
      <c r="BA144" s="676">
        <f t="shared" si="105"/>
        <v>0</v>
      </c>
      <c r="BB144" s="677">
        <f t="shared" si="106"/>
        <v>0</v>
      </c>
      <c r="BC144" s="677">
        <f t="shared" si="142"/>
        <v>0</v>
      </c>
      <c r="BD144" s="678">
        <f t="shared" si="143"/>
        <v>0</v>
      </c>
      <c r="BE144" s="679">
        <f t="shared" si="144"/>
        <v>0</v>
      </c>
      <c r="BF144" s="675"/>
      <c r="BG144" s="676">
        <f t="shared" si="107"/>
        <v>0</v>
      </c>
      <c r="BH144" s="677">
        <f t="shared" si="108"/>
        <v>0</v>
      </c>
      <c r="BI144" s="677">
        <f t="shared" si="145"/>
        <v>0</v>
      </c>
      <c r="BJ144" s="678">
        <f t="shared" si="146"/>
        <v>0</v>
      </c>
      <c r="BK144" s="679">
        <f t="shared" si="147"/>
        <v>0</v>
      </c>
      <c r="BL144" s="675"/>
      <c r="BM144" s="676">
        <f t="shared" si="109"/>
        <v>0</v>
      </c>
      <c r="BN144" s="677">
        <f t="shared" si="110"/>
        <v>0</v>
      </c>
      <c r="BO144" s="677">
        <f t="shared" si="148"/>
        <v>0</v>
      </c>
      <c r="BP144" s="678">
        <f t="shared" si="149"/>
        <v>0</v>
      </c>
      <c r="BQ144" s="679">
        <f t="shared" si="150"/>
        <v>0</v>
      </c>
      <c r="BR144" s="675"/>
      <c r="BS144" s="676">
        <f t="shared" si="111"/>
        <v>0</v>
      </c>
      <c r="BT144" s="677">
        <f t="shared" si="112"/>
        <v>0</v>
      </c>
      <c r="BU144" s="677">
        <f t="shared" si="151"/>
        <v>0</v>
      </c>
      <c r="BV144" s="678">
        <f t="shared" si="152"/>
        <v>0</v>
      </c>
      <c r="BW144" s="679">
        <f t="shared" si="153"/>
        <v>0</v>
      </c>
      <c r="BX144" s="675"/>
      <c r="BY144" s="676">
        <f t="shared" si="113"/>
        <v>0</v>
      </c>
      <c r="BZ144" s="677">
        <f t="shared" si="114"/>
        <v>0</v>
      </c>
      <c r="CA144" s="677">
        <f t="shared" si="154"/>
        <v>0</v>
      </c>
      <c r="CB144" s="678">
        <f t="shared" si="155"/>
        <v>0</v>
      </c>
      <c r="CC144" s="679">
        <f t="shared" si="156"/>
        <v>0</v>
      </c>
      <c r="CD144" s="675"/>
      <c r="CE144" s="676">
        <f t="shared" si="115"/>
        <v>0</v>
      </c>
      <c r="CF144" s="677">
        <f t="shared" si="116"/>
        <v>0</v>
      </c>
      <c r="CG144" s="677">
        <f t="shared" si="157"/>
        <v>0</v>
      </c>
      <c r="CH144" s="678">
        <f t="shared" si="158"/>
        <v>0</v>
      </c>
      <c r="CI144" s="679">
        <f t="shared" si="159"/>
        <v>0</v>
      </c>
      <c r="CJ144" s="675"/>
      <c r="CK144" s="676">
        <f t="shared" si="117"/>
        <v>0</v>
      </c>
      <c r="CL144" s="677">
        <f t="shared" si="118"/>
        <v>0</v>
      </c>
      <c r="CM144" s="677">
        <f t="shared" si="160"/>
        <v>0</v>
      </c>
      <c r="CN144" s="678">
        <f t="shared" si="161"/>
        <v>0</v>
      </c>
      <c r="CO144" s="679">
        <f t="shared" si="162"/>
        <v>0</v>
      </c>
      <c r="CP144" s="675"/>
      <c r="CQ144" s="676">
        <f t="shared" si="119"/>
        <v>0</v>
      </c>
      <c r="CR144" s="677">
        <f t="shared" si="120"/>
        <v>0</v>
      </c>
      <c r="CS144" s="677">
        <f t="shared" si="163"/>
        <v>0</v>
      </c>
      <c r="CT144" s="678">
        <f t="shared" si="164"/>
        <v>0</v>
      </c>
      <c r="CU144" s="679">
        <f t="shared" si="165"/>
        <v>0</v>
      </c>
      <c r="CV144" s="685"/>
      <c r="CW144" s="681"/>
      <c r="CX144" s="682"/>
      <c r="CY144" s="682"/>
      <c r="CZ144" s="683"/>
      <c r="DA144" s="684"/>
      <c r="DB144" s="685"/>
      <c r="DC144" s="681"/>
      <c r="DD144" s="682"/>
      <c r="DE144" s="682"/>
      <c r="DF144" s="683"/>
      <c r="DG144" s="684"/>
      <c r="DH144" s="685"/>
      <c r="DI144" s="681"/>
      <c r="DJ144" s="682"/>
      <c r="DK144" s="682"/>
      <c r="DL144" s="683"/>
      <c r="DM144" s="684"/>
      <c r="DN144" s="685"/>
      <c r="DO144" s="681"/>
      <c r="DP144" s="682"/>
      <c r="DQ144" s="682"/>
      <c r="DR144" s="683"/>
      <c r="DS144" s="684"/>
      <c r="DT144" s="675"/>
      <c r="DU144" s="676">
        <f t="shared" si="121"/>
        <v>0</v>
      </c>
      <c r="DV144" s="677">
        <f t="shared" si="122"/>
        <v>0</v>
      </c>
      <c r="DW144" s="677">
        <f t="shared" si="166"/>
        <v>0</v>
      </c>
      <c r="DX144" s="678">
        <f t="shared" si="167"/>
        <v>0</v>
      </c>
      <c r="DY144" s="679">
        <f t="shared" si="168"/>
        <v>0</v>
      </c>
      <c r="DZ144" s="680"/>
      <c r="EA144" s="681"/>
      <c r="EB144" s="682"/>
      <c r="EC144" s="682"/>
      <c r="ED144" s="683"/>
      <c r="EE144" s="684"/>
      <c r="EF144" s="680"/>
      <c r="EG144" s="681"/>
      <c r="EH144" s="682"/>
      <c r="EI144" s="682"/>
      <c r="EJ144" s="683"/>
      <c r="EK144" s="684"/>
      <c r="EL144" s="680"/>
      <c r="EM144" s="681"/>
      <c r="EN144" s="682"/>
      <c r="EO144" s="682"/>
      <c r="EP144" s="683"/>
      <c r="EQ144" s="684"/>
      <c r="ER144" s="680"/>
      <c r="ES144" s="681"/>
      <c r="ET144" s="682"/>
      <c r="EU144" s="682"/>
      <c r="EV144" s="683"/>
      <c r="EW144" s="684"/>
      <c r="EX144" s="675"/>
      <c r="EY144" s="676">
        <f t="shared" si="123"/>
        <v>0</v>
      </c>
      <c r="EZ144" s="677">
        <f t="shared" si="124"/>
        <v>0</v>
      </c>
      <c r="FA144" s="677">
        <f t="shared" si="169"/>
        <v>0</v>
      </c>
      <c r="FB144" s="678">
        <f t="shared" si="170"/>
        <v>0</v>
      </c>
      <c r="FC144" s="679">
        <f t="shared" si="171"/>
        <v>0</v>
      </c>
      <c r="FD144" s="680"/>
      <c r="FE144" s="681"/>
      <c r="FF144" s="682"/>
      <c r="FG144" s="682"/>
      <c r="FH144" s="683"/>
      <c r="FI144" s="684"/>
      <c r="FJ144" s="680"/>
      <c r="FK144" s="681"/>
      <c r="FL144" s="682"/>
      <c r="FM144" s="682"/>
      <c r="FN144" s="683"/>
      <c r="FO144" s="684"/>
      <c r="FP144" s="680"/>
      <c r="FQ144" s="681"/>
      <c r="FR144" s="682"/>
      <c r="FS144" s="682"/>
      <c r="FT144" s="683"/>
      <c r="FU144" s="684"/>
      <c r="FV144" s="680"/>
      <c r="FW144" s="681"/>
      <c r="FX144" s="682"/>
      <c r="FY144" s="682"/>
      <c r="FZ144" s="683"/>
      <c r="GA144" s="684"/>
      <c r="GB144" s="675"/>
      <c r="GC144" s="676">
        <f t="shared" si="125"/>
        <v>0</v>
      </c>
      <c r="GD144" s="677">
        <f t="shared" si="126"/>
        <v>0</v>
      </c>
      <c r="GE144" s="677">
        <f t="shared" si="172"/>
        <v>0</v>
      </c>
      <c r="GF144" s="678">
        <f t="shared" si="173"/>
        <v>0</v>
      </c>
      <c r="GG144" s="679">
        <f t="shared" si="174"/>
        <v>0</v>
      </c>
      <c r="GH144" s="680"/>
      <c r="GI144" s="681"/>
      <c r="GJ144" s="682"/>
      <c r="GK144" s="682"/>
      <c r="GL144" s="683"/>
      <c r="GM144" s="684"/>
      <c r="GN144" s="680"/>
      <c r="GO144" s="681"/>
      <c r="GP144" s="682"/>
      <c r="GQ144" s="682"/>
      <c r="GR144" s="683"/>
      <c r="GS144" s="684"/>
      <c r="GT144" s="680"/>
      <c r="GU144" s="681"/>
      <c r="GV144" s="682"/>
      <c r="GW144" s="682"/>
      <c r="GX144" s="683"/>
      <c r="GY144" s="684"/>
      <c r="GZ144" s="680"/>
      <c r="HA144" s="147"/>
      <c r="HB144" s="148"/>
      <c r="HC144" s="148"/>
      <c r="HD144" s="149"/>
      <c r="HE144" s="150"/>
      <c r="HF144" s="506"/>
      <c r="HG144" s="502"/>
      <c r="HH144" s="502"/>
      <c r="HI144" s="502"/>
      <c r="HJ144" s="8"/>
    </row>
    <row r="145" spans="2:218" ht="21" hidden="1">
      <c r="B145" s="488">
        <v>101</v>
      </c>
      <c r="C145" s="489" t="s">
        <v>234</v>
      </c>
      <c r="D145" s="490" t="s">
        <v>22</v>
      </c>
      <c r="E145" s="491" t="s">
        <v>238</v>
      </c>
      <c r="F145" s="492"/>
      <c r="G145" s="493"/>
      <c r="H145" s="146" t="s">
        <v>858</v>
      </c>
      <c r="I145" s="494" t="str">
        <f t="shared" si="92"/>
        <v/>
      </c>
      <c r="J145" s="495" t="s">
        <v>487</v>
      </c>
      <c r="K145" s="151">
        <v>0</v>
      </c>
      <c r="L145" s="256">
        <f>IF($C$5&lt;3000,(Bron!H134*$C$5)+Bron!I134,(Bron!M134*$C$5)+Bron!N134)</f>
        <v>16930.367999999999</v>
      </c>
      <c r="M145" s="256"/>
      <c r="N145" s="496">
        <f t="shared" si="90"/>
        <v>3880.26656</v>
      </c>
      <c r="O145" s="497">
        <f t="shared" si="91"/>
        <v>4.3631971510740746</v>
      </c>
      <c r="P145" s="257">
        <f>IF($C$5&lt;3000,$AN$32*Bron!J134,$AN$32*Bron!O134)</f>
        <v>0</v>
      </c>
      <c r="Q145" s="257">
        <f>IF($C$5&lt;3000,$AN$31*Bron!K134,$AN$31*Bron!P134)</f>
        <v>15276.64</v>
      </c>
      <c r="R145" s="257">
        <f>IF($C$5&lt;3000,$AN$33*Bron!J134,$AN$33*Bron!O134)</f>
        <v>0</v>
      </c>
      <c r="S145" s="344"/>
      <c r="T145" s="258">
        <f t="shared" si="93"/>
        <v>0</v>
      </c>
      <c r="U145" s="259">
        <f t="shared" si="94"/>
        <v>0</v>
      </c>
      <c r="V145" s="675"/>
      <c r="W145" s="676">
        <f t="shared" si="95"/>
        <v>0</v>
      </c>
      <c r="X145" s="677">
        <f t="shared" si="96"/>
        <v>0</v>
      </c>
      <c r="Y145" s="677">
        <f t="shared" si="127"/>
        <v>0</v>
      </c>
      <c r="Z145" s="678">
        <f t="shared" si="128"/>
        <v>0</v>
      </c>
      <c r="AA145" s="679">
        <f t="shared" si="129"/>
        <v>0</v>
      </c>
      <c r="AB145" s="675"/>
      <c r="AC145" s="676">
        <f t="shared" si="97"/>
        <v>0</v>
      </c>
      <c r="AD145" s="677">
        <f t="shared" si="98"/>
        <v>0</v>
      </c>
      <c r="AE145" s="677">
        <f t="shared" si="130"/>
        <v>0</v>
      </c>
      <c r="AF145" s="678">
        <f t="shared" si="131"/>
        <v>0</v>
      </c>
      <c r="AG145" s="679">
        <f t="shared" si="132"/>
        <v>0</v>
      </c>
      <c r="AH145" s="675"/>
      <c r="AI145" s="676">
        <f t="shared" si="99"/>
        <v>0</v>
      </c>
      <c r="AJ145" s="677">
        <f t="shared" si="100"/>
        <v>0</v>
      </c>
      <c r="AK145" s="677">
        <f t="shared" si="133"/>
        <v>0</v>
      </c>
      <c r="AL145" s="678">
        <f t="shared" si="134"/>
        <v>0</v>
      </c>
      <c r="AM145" s="679">
        <f t="shared" si="135"/>
        <v>0</v>
      </c>
      <c r="AN145" s="675"/>
      <c r="AO145" s="676">
        <f t="shared" si="101"/>
        <v>0</v>
      </c>
      <c r="AP145" s="677">
        <f t="shared" si="102"/>
        <v>0</v>
      </c>
      <c r="AQ145" s="677">
        <f t="shared" si="136"/>
        <v>0</v>
      </c>
      <c r="AR145" s="678">
        <f t="shared" si="137"/>
        <v>0</v>
      </c>
      <c r="AS145" s="679">
        <f t="shared" si="138"/>
        <v>0</v>
      </c>
      <c r="AT145" s="675"/>
      <c r="AU145" s="676">
        <f t="shared" si="103"/>
        <v>0</v>
      </c>
      <c r="AV145" s="677">
        <f t="shared" si="104"/>
        <v>0</v>
      </c>
      <c r="AW145" s="677">
        <f t="shared" si="139"/>
        <v>0</v>
      </c>
      <c r="AX145" s="678">
        <f t="shared" si="140"/>
        <v>0</v>
      </c>
      <c r="AY145" s="679">
        <f t="shared" si="141"/>
        <v>0</v>
      </c>
      <c r="AZ145" s="675"/>
      <c r="BA145" s="676">
        <f t="shared" si="105"/>
        <v>0</v>
      </c>
      <c r="BB145" s="677">
        <f t="shared" si="106"/>
        <v>0</v>
      </c>
      <c r="BC145" s="677">
        <f t="shared" si="142"/>
        <v>0</v>
      </c>
      <c r="BD145" s="678">
        <f t="shared" si="143"/>
        <v>0</v>
      </c>
      <c r="BE145" s="679">
        <f t="shared" si="144"/>
        <v>0</v>
      </c>
      <c r="BF145" s="675"/>
      <c r="BG145" s="676">
        <f t="shared" si="107"/>
        <v>0</v>
      </c>
      <c r="BH145" s="677">
        <f t="shared" si="108"/>
        <v>0</v>
      </c>
      <c r="BI145" s="677">
        <f t="shared" si="145"/>
        <v>0</v>
      </c>
      <c r="BJ145" s="678">
        <f t="shared" si="146"/>
        <v>0</v>
      </c>
      <c r="BK145" s="679">
        <f t="shared" si="147"/>
        <v>0</v>
      </c>
      <c r="BL145" s="675"/>
      <c r="BM145" s="676">
        <f t="shared" si="109"/>
        <v>0</v>
      </c>
      <c r="BN145" s="677">
        <f t="shared" si="110"/>
        <v>0</v>
      </c>
      <c r="BO145" s="677">
        <f t="shared" si="148"/>
        <v>0</v>
      </c>
      <c r="BP145" s="678">
        <f t="shared" si="149"/>
        <v>0</v>
      </c>
      <c r="BQ145" s="679">
        <f t="shared" si="150"/>
        <v>0</v>
      </c>
      <c r="BR145" s="675"/>
      <c r="BS145" s="676">
        <f t="shared" si="111"/>
        <v>0</v>
      </c>
      <c r="BT145" s="677">
        <f t="shared" si="112"/>
        <v>0</v>
      </c>
      <c r="BU145" s="677">
        <f t="shared" si="151"/>
        <v>0</v>
      </c>
      <c r="BV145" s="678">
        <f t="shared" si="152"/>
        <v>0</v>
      </c>
      <c r="BW145" s="679">
        <f t="shared" si="153"/>
        <v>0</v>
      </c>
      <c r="BX145" s="675"/>
      <c r="BY145" s="676">
        <f t="shared" si="113"/>
        <v>0</v>
      </c>
      <c r="BZ145" s="677">
        <f t="shared" si="114"/>
        <v>0</v>
      </c>
      <c r="CA145" s="677">
        <f t="shared" si="154"/>
        <v>0</v>
      </c>
      <c r="CB145" s="678">
        <f t="shared" si="155"/>
        <v>0</v>
      </c>
      <c r="CC145" s="679">
        <f t="shared" si="156"/>
        <v>0</v>
      </c>
      <c r="CD145" s="675"/>
      <c r="CE145" s="676">
        <f t="shared" si="115"/>
        <v>0</v>
      </c>
      <c r="CF145" s="677">
        <f t="shared" si="116"/>
        <v>0</v>
      </c>
      <c r="CG145" s="677">
        <f t="shared" si="157"/>
        <v>0</v>
      </c>
      <c r="CH145" s="678">
        <f t="shared" si="158"/>
        <v>0</v>
      </c>
      <c r="CI145" s="679">
        <f t="shared" si="159"/>
        <v>0</v>
      </c>
      <c r="CJ145" s="675"/>
      <c r="CK145" s="676">
        <f t="shared" si="117"/>
        <v>0</v>
      </c>
      <c r="CL145" s="677">
        <f t="shared" si="118"/>
        <v>0</v>
      </c>
      <c r="CM145" s="677">
        <f t="shared" si="160"/>
        <v>0</v>
      </c>
      <c r="CN145" s="678">
        <f t="shared" si="161"/>
        <v>0</v>
      </c>
      <c r="CO145" s="679">
        <f t="shared" si="162"/>
        <v>0</v>
      </c>
      <c r="CP145" s="675"/>
      <c r="CQ145" s="676">
        <f t="shared" si="119"/>
        <v>0</v>
      </c>
      <c r="CR145" s="677">
        <f t="shared" si="120"/>
        <v>0</v>
      </c>
      <c r="CS145" s="677">
        <f t="shared" si="163"/>
        <v>0</v>
      </c>
      <c r="CT145" s="678">
        <f t="shared" si="164"/>
        <v>0</v>
      </c>
      <c r="CU145" s="679">
        <f t="shared" si="165"/>
        <v>0</v>
      </c>
      <c r="CV145" s="685"/>
      <c r="CW145" s="681"/>
      <c r="CX145" s="682"/>
      <c r="CY145" s="682"/>
      <c r="CZ145" s="683"/>
      <c r="DA145" s="684"/>
      <c r="DB145" s="685"/>
      <c r="DC145" s="681"/>
      <c r="DD145" s="682"/>
      <c r="DE145" s="682"/>
      <c r="DF145" s="683"/>
      <c r="DG145" s="684"/>
      <c r="DH145" s="685"/>
      <c r="DI145" s="681"/>
      <c r="DJ145" s="682"/>
      <c r="DK145" s="682"/>
      <c r="DL145" s="683"/>
      <c r="DM145" s="684"/>
      <c r="DN145" s="685"/>
      <c r="DO145" s="681"/>
      <c r="DP145" s="682"/>
      <c r="DQ145" s="682"/>
      <c r="DR145" s="683"/>
      <c r="DS145" s="684"/>
      <c r="DT145" s="675"/>
      <c r="DU145" s="676">
        <f t="shared" si="121"/>
        <v>0</v>
      </c>
      <c r="DV145" s="677">
        <f t="shared" si="122"/>
        <v>0</v>
      </c>
      <c r="DW145" s="677">
        <f t="shared" si="166"/>
        <v>0</v>
      </c>
      <c r="DX145" s="678">
        <f t="shared" si="167"/>
        <v>0</v>
      </c>
      <c r="DY145" s="679">
        <f t="shared" si="168"/>
        <v>0</v>
      </c>
      <c r="DZ145" s="680"/>
      <c r="EA145" s="681"/>
      <c r="EB145" s="682"/>
      <c r="EC145" s="682"/>
      <c r="ED145" s="683"/>
      <c r="EE145" s="684"/>
      <c r="EF145" s="680"/>
      <c r="EG145" s="681"/>
      <c r="EH145" s="682"/>
      <c r="EI145" s="682"/>
      <c r="EJ145" s="683"/>
      <c r="EK145" s="684"/>
      <c r="EL145" s="680"/>
      <c r="EM145" s="681"/>
      <c r="EN145" s="682"/>
      <c r="EO145" s="682"/>
      <c r="EP145" s="683"/>
      <c r="EQ145" s="684"/>
      <c r="ER145" s="680"/>
      <c r="ES145" s="681"/>
      <c r="ET145" s="682"/>
      <c r="EU145" s="682"/>
      <c r="EV145" s="683"/>
      <c r="EW145" s="684"/>
      <c r="EX145" s="675"/>
      <c r="EY145" s="676">
        <f t="shared" si="123"/>
        <v>0</v>
      </c>
      <c r="EZ145" s="677">
        <f t="shared" si="124"/>
        <v>0</v>
      </c>
      <c r="FA145" s="677">
        <f t="shared" si="169"/>
        <v>0</v>
      </c>
      <c r="FB145" s="678">
        <f t="shared" si="170"/>
        <v>0</v>
      </c>
      <c r="FC145" s="679">
        <f t="shared" si="171"/>
        <v>0</v>
      </c>
      <c r="FD145" s="680"/>
      <c r="FE145" s="681"/>
      <c r="FF145" s="682"/>
      <c r="FG145" s="682"/>
      <c r="FH145" s="683"/>
      <c r="FI145" s="684"/>
      <c r="FJ145" s="680"/>
      <c r="FK145" s="681"/>
      <c r="FL145" s="682"/>
      <c r="FM145" s="682"/>
      <c r="FN145" s="683"/>
      <c r="FO145" s="684"/>
      <c r="FP145" s="680"/>
      <c r="FQ145" s="681"/>
      <c r="FR145" s="682"/>
      <c r="FS145" s="682"/>
      <c r="FT145" s="683"/>
      <c r="FU145" s="684"/>
      <c r="FV145" s="680"/>
      <c r="FW145" s="681"/>
      <c r="FX145" s="682"/>
      <c r="FY145" s="682"/>
      <c r="FZ145" s="683"/>
      <c r="GA145" s="684"/>
      <c r="GB145" s="675"/>
      <c r="GC145" s="676">
        <f t="shared" si="125"/>
        <v>0</v>
      </c>
      <c r="GD145" s="677">
        <f t="shared" si="126"/>
        <v>0</v>
      </c>
      <c r="GE145" s="677">
        <f t="shared" si="172"/>
        <v>0</v>
      </c>
      <c r="GF145" s="678">
        <f t="shared" si="173"/>
        <v>0</v>
      </c>
      <c r="GG145" s="679">
        <f t="shared" si="174"/>
        <v>0</v>
      </c>
      <c r="GH145" s="680"/>
      <c r="GI145" s="681"/>
      <c r="GJ145" s="682"/>
      <c r="GK145" s="682"/>
      <c r="GL145" s="683"/>
      <c r="GM145" s="684"/>
      <c r="GN145" s="680"/>
      <c r="GO145" s="681"/>
      <c r="GP145" s="682"/>
      <c r="GQ145" s="682"/>
      <c r="GR145" s="683"/>
      <c r="GS145" s="684"/>
      <c r="GT145" s="680"/>
      <c r="GU145" s="681"/>
      <c r="GV145" s="682"/>
      <c r="GW145" s="682"/>
      <c r="GX145" s="683"/>
      <c r="GY145" s="684"/>
      <c r="GZ145" s="680"/>
      <c r="HA145" s="147"/>
      <c r="HB145" s="148"/>
      <c r="HC145" s="148"/>
      <c r="HD145" s="149"/>
      <c r="HE145" s="150"/>
      <c r="HF145" s="506"/>
      <c r="HG145" s="502"/>
      <c r="HH145" s="502"/>
      <c r="HI145" s="502"/>
      <c r="HJ145" s="8"/>
    </row>
    <row r="146" spans="2:218" ht="21" hidden="1">
      <c r="B146" s="488">
        <v>102</v>
      </c>
      <c r="C146" s="489" t="s">
        <v>234</v>
      </c>
      <c r="D146" s="490" t="s">
        <v>239</v>
      </c>
      <c r="E146" s="491" t="s">
        <v>240</v>
      </c>
      <c r="F146" s="492"/>
      <c r="G146" s="493"/>
      <c r="H146" s="146" t="s">
        <v>858</v>
      </c>
      <c r="I146" s="494" t="str">
        <f t="shared" si="92"/>
        <v/>
      </c>
      <c r="J146" s="495" t="s">
        <v>487</v>
      </c>
      <c r="K146" s="151">
        <v>0</v>
      </c>
      <c r="L146" s="256">
        <f>IF($C$5&lt;3000,(Bron!H135*$C$5)+Bron!I135,(Bron!M135*$C$5)+Bron!N135)</f>
        <v>0</v>
      </c>
      <c r="M146" s="256"/>
      <c r="N146" s="496">
        <f t="shared" si="90"/>
        <v>0</v>
      </c>
      <c r="O146" s="497" t="str">
        <f t="shared" si="91"/>
        <v/>
      </c>
      <c r="P146" s="257">
        <f>IF($C$5&lt;3000,$AN$32*Bron!J135,$AN$32*Bron!O135)</f>
        <v>0</v>
      </c>
      <c r="Q146" s="257">
        <f>IF($C$5&lt;3000,$AN$31*Bron!K135,$AN$31*Bron!P135)</f>
        <v>0</v>
      </c>
      <c r="R146" s="257">
        <f>IF($C$5&lt;3000,$AN$33*Bron!J135,$AN$33*Bron!O135)</f>
        <v>0</v>
      </c>
      <c r="S146" s="344"/>
      <c r="T146" s="258">
        <f t="shared" si="93"/>
        <v>0</v>
      </c>
      <c r="U146" s="259">
        <f t="shared" si="94"/>
        <v>0</v>
      </c>
      <c r="V146" s="675"/>
      <c r="W146" s="676">
        <f t="shared" si="95"/>
        <v>0</v>
      </c>
      <c r="X146" s="677">
        <f t="shared" si="96"/>
        <v>0</v>
      </c>
      <c r="Y146" s="677">
        <f t="shared" si="127"/>
        <v>0</v>
      </c>
      <c r="Z146" s="678">
        <f t="shared" si="128"/>
        <v>0</v>
      </c>
      <c r="AA146" s="679">
        <f t="shared" si="129"/>
        <v>0</v>
      </c>
      <c r="AB146" s="675"/>
      <c r="AC146" s="676">
        <f t="shared" si="97"/>
        <v>0</v>
      </c>
      <c r="AD146" s="677">
        <f t="shared" si="98"/>
        <v>0</v>
      </c>
      <c r="AE146" s="677">
        <f t="shared" si="130"/>
        <v>0</v>
      </c>
      <c r="AF146" s="678">
        <f t="shared" si="131"/>
        <v>0</v>
      </c>
      <c r="AG146" s="679">
        <f t="shared" si="132"/>
        <v>0</v>
      </c>
      <c r="AH146" s="675"/>
      <c r="AI146" s="676">
        <f t="shared" si="99"/>
        <v>0</v>
      </c>
      <c r="AJ146" s="677">
        <f t="shared" si="100"/>
        <v>0</v>
      </c>
      <c r="AK146" s="677">
        <f t="shared" si="133"/>
        <v>0</v>
      </c>
      <c r="AL146" s="678">
        <f t="shared" si="134"/>
        <v>0</v>
      </c>
      <c r="AM146" s="679">
        <f t="shared" si="135"/>
        <v>0</v>
      </c>
      <c r="AN146" s="675"/>
      <c r="AO146" s="676">
        <f t="shared" si="101"/>
        <v>0</v>
      </c>
      <c r="AP146" s="677">
        <f t="shared" si="102"/>
        <v>0</v>
      </c>
      <c r="AQ146" s="677">
        <f t="shared" si="136"/>
        <v>0</v>
      </c>
      <c r="AR146" s="678">
        <f t="shared" si="137"/>
        <v>0</v>
      </c>
      <c r="AS146" s="679">
        <f t="shared" si="138"/>
        <v>0</v>
      </c>
      <c r="AT146" s="675"/>
      <c r="AU146" s="676">
        <f t="shared" si="103"/>
        <v>0</v>
      </c>
      <c r="AV146" s="677">
        <f t="shared" si="104"/>
        <v>0</v>
      </c>
      <c r="AW146" s="677">
        <f t="shared" si="139"/>
        <v>0</v>
      </c>
      <c r="AX146" s="678">
        <f t="shared" si="140"/>
        <v>0</v>
      </c>
      <c r="AY146" s="679">
        <f t="shared" si="141"/>
        <v>0</v>
      </c>
      <c r="AZ146" s="675"/>
      <c r="BA146" s="676">
        <f t="shared" si="105"/>
        <v>0</v>
      </c>
      <c r="BB146" s="677">
        <f t="shared" si="106"/>
        <v>0</v>
      </c>
      <c r="BC146" s="677">
        <f t="shared" si="142"/>
        <v>0</v>
      </c>
      <c r="BD146" s="678">
        <f t="shared" si="143"/>
        <v>0</v>
      </c>
      <c r="BE146" s="679">
        <f t="shared" si="144"/>
        <v>0</v>
      </c>
      <c r="BF146" s="675"/>
      <c r="BG146" s="676">
        <f t="shared" si="107"/>
        <v>0</v>
      </c>
      <c r="BH146" s="677">
        <f t="shared" si="108"/>
        <v>0</v>
      </c>
      <c r="BI146" s="677">
        <f t="shared" si="145"/>
        <v>0</v>
      </c>
      <c r="BJ146" s="678">
        <f t="shared" si="146"/>
        <v>0</v>
      </c>
      <c r="BK146" s="679">
        <f t="shared" si="147"/>
        <v>0</v>
      </c>
      <c r="BL146" s="675"/>
      <c r="BM146" s="676">
        <f t="shared" si="109"/>
        <v>0</v>
      </c>
      <c r="BN146" s="677">
        <f t="shared" si="110"/>
        <v>0</v>
      </c>
      <c r="BO146" s="677">
        <f t="shared" si="148"/>
        <v>0</v>
      </c>
      <c r="BP146" s="678">
        <f t="shared" si="149"/>
        <v>0</v>
      </c>
      <c r="BQ146" s="679">
        <f t="shared" si="150"/>
        <v>0</v>
      </c>
      <c r="BR146" s="675"/>
      <c r="BS146" s="676">
        <f t="shared" si="111"/>
        <v>0</v>
      </c>
      <c r="BT146" s="677">
        <f t="shared" si="112"/>
        <v>0</v>
      </c>
      <c r="BU146" s="677">
        <f t="shared" si="151"/>
        <v>0</v>
      </c>
      <c r="BV146" s="678">
        <f t="shared" si="152"/>
        <v>0</v>
      </c>
      <c r="BW146" s="679">
        <f t="shared" si="153"/>
        <v>0</v>
      </c>
      <c r="BX146" s="675"/>
      <c r="BY146" s="676">
        <f t="shared" si="113"/>
        <v>0</v>
      </c>
      <c r="BZ146" s="677">
        <f t="shared" si="114"/>
        <v>0</v>
      </c>
      <c r="CA146" s="677">
        <f t="shared" si="154"/>
        <v>0</v>
      </c>
      <c r="CB146" s="678">
        <f t="shared" si="155"/>
        <v>0</v>
      </c>
      <c r="CC146" s="679">
        <f t="shared" si="156"/>
        <v>0</v>
      </c>
      <c r="CD146" s="675"/>
      <c r="CE146" s="676">
        <f t="shared" si="115"/>
        <v>0</v>
      </c>
      <c r="CF146" s="677">
        <f t="shared" si="116"/>
        <v>0</v>
      </c>
      <c r="CG146" s="677">
        <f t="shared" si="157"/>
        <v>0</v>
      </c>
      <c r="CH146" s="678">
        <f t="shared" si="158"/>
        <v>0</v>
      </c>
      <c r="CI146" s="679">
        <f t="shared" si="159"/>
        <v>0</v>
      </c>
      <c r="CJ146" s="675"/>
      <c r="CK146" s="676">
        <f t="shared" si="117"/>
        <v>0</v>
      </c>
      <c r="CL146" s="677">
        <f t="shared" si="118"/>
        <v>0</v>
      </c>
      <c r="CM146" s="677">
        <f t="shared" si="160"/>
        <v>0</v>
      </c>
      <c r="CN146" s="678">
        <f t="shared" si="161"/>
        <v>0</v>
      </c>
      <c r="CO146" s="679">
        <f t="shared" si="162"/>
        <v>0</v>
      </c>
      <c r="CP146" s="675"/>
      <c r="CQ146" s="676">
        <f t="shared" si="119"/>
        <v>0</v>
      </c>
      <c r="CR146" s="677">
        <f t="shared" si="120"/>
        <v>0</v>
      </c>
      <c r="CS146" s="677">
        <f t="shared" si="163"/>
        <v>0</v>
      </c>
      <c r="CT146" s="678">
        <f t="shared" si="164"/>
        <v>0</v>
      </c>
      <c r="CU146" s="679">
        <f t="shared" si="165"/>
        <v>0</v>
      </c>
      <c r="CV146" s="685"/>
      <c r="CW146" s="681"/>
      <c r="CX146" s="682"/>
      <c r="CY146" s="682"/>
      <c r="CZ146" s="683"/>
      <c r="DA146" s="684"/>
      <c r="DB146" s="685"/>
      <c r="DC146" s="681"/>
      <c r="DD146" s="682"/>
      <c r="DE146" s="682"/>
      <c r="DF146" s="683"/>
      <c r="DG146" s="684"/>
      <c r="DH146" s="685"/>
      <c r="DI146" s="681"/>
      <c r="DJ146" s="682"/>
      <c r="DK146" s="682"/>
      <c r="DL146" s="683"/>
      <c r="DM146" s="684"/>
      <c r="DN146" s="685"/>
      <c r="DO146" s="681"/>
      <c r="DP146" s="682"/>
      <c r="DQ146" s="682"/>
      <c r="DR146" s="683"/>
      <c r="DS146" s="684"/>
      <c r="DT146" s="675"/>
      <c r="DU146" s="676">
        <f t="shared" si="121"/>
        <v>0</v>
      </c>
      <c r="DV146" s="677">
        <f t="shared" si="122"/>
        <v>0</v>
      </c>
      <c r="DW146" s="677">
        <f t="shared" si="166"/>
        <v>0</v>
      </c>
      <c r="DX146" s="678">
        <f t="shared" si="167"/>
        <v>0</v>
      </c>
      <c r="DY146" s="679">
        <f t="shared" si="168"/>
        <v>0</v>
      </c>
      <c r="DZ146" s="680"/>
      <c r="EA146" s="681"/>
      <c r="EB146" s="682"/>
      <c r="EC146" s="682"/>
      <c r="ED146" s="683"/>
      <c r="EE146" s="684"/>
      <c r="EF146" s="680"/>
      <c r="EG146" s="681"/>
      <c r="EH146" s="682"/>
      <c r="EI146" s="682"/>
      <c r="EJ146" s="683"/>
      <c r="EK146" s="684"/>
      <c r="EL146" s="680"/>
      <c r="EM146" s="681"/>
      <c r="EN146" s="682"/>
      <c r="EO146" s="682"/>
      <c r="EP146" s="683"/>
      <c r="EQ146" s="684"/>
      <c r="ER146" s="680"/>
      <c r="ES146" s="681"/>
      <c r="ET146" s="682"/>
      <c r="EU146" s="682"/>
      <c r="EV146" s="683"/>
      <c r="EW146" s="684"/>
      <c r="EX146" s="675"/>
      <c r="EY146" s="676">
        <f t="shared" si="123"/>
        <v>0</v>
      </c>
      <c r="EZ146" s="677">
        <f t="shared" si="124"/>
        <v>0</v>
      </c>
      <c r="FA146" s="677">
        <f t="shared" si="169"/>
        <v>0</v>
      </c>
      <c r="FB146" s="678">
        <f t="shared" si="170"/>
        <v>0</v>
      </c>
      <c r="FC146" s="679">
        <f t="shared" si="171"/>
        <v>0</v>
      </c>
      <c r="FD146" s="680"/>
      <c r="FE146" s="681"/>
      <c r="FF146" s="682"/>
      <c r="FG146" s="682"/>
      <c r="FH146" s="683"/>
      <c r="FI146" s="684"/>
      <c r="FJ146" s="680"/>
      <c r="FK146" s="681"/>
      <c r="FL146" s="682"/>
      <c r="FM146" s="682"/>
      <c r="FN146" s="683"/>
      <c r="FO146" s="684"/>
      <c r="FP146" s="680"/>
      <c r="FQ146" s="681"/>
      <c r="FR146" s="682"/>
      <c r="FS146" s="682"/>
      <c r="FT146" s="683"/>
      <c r="FU146" s="684"/>
      <c r="FV146" s="680"/>
      <c r="FW146" s="681"/>
      <c r="FX146" s="682"/>
      <c r="FY146" s="682"/>
      <c r="FZ146" s="683"/>
      <c r="GA146" s="684"/>
      <c r="GB146" s="675"/>
      <c r="GC146" s="676">
        <f t="shared" si="125"/>
        <v>0</v>
      </c>
      <c r="GD146" s="677">
        <f t="shared" si="126"/>
        <v>0</v>
      </c>
      <c r="GE146" s="677">
        <f t="shared" si="172"/>
        <v>0</v>
      </c>
      <c r="GF146" s="678">
        <f t="shared" si="173"/>
        <v>0</v>
      </c>
      <c r="GG146" s="679">
        <f t="shared" si="174"/>
        <v>0</v>
      </c>
      <c r="GH146" s="680"/>
      <c r="GI146" s="681"/>
      <c r="GJ146" s="682"/>
      <c r="GK146" s="682"/>
      <c r="GL146" s="683"/>
      <c r="GM146" s="684"/>
      <c r="GN146" s="680"/>
      <c r="GO146" s="681"/>
      <c r="GP146" s="682"/>
      <c r="GQ146" s="682"/>
      <c r="GR146" s="683"/>
      <c r="GS146" s="684"/>
      <c r="GT146" s="680"/>
      <c r="GU146" s="681"/>
      <c r="GV146" s="682"/>
      <c r="GW146" s="682"/>
      <c r="GX146" s="683"/>
      <c r="GY146" s="684"/>
      <c r="GZ146" s="680"/>
      <c r="HA146" s="147"/>
      <c r="HB146" s="148"/>
      <c r="HC146" s="148"/>
      <c r="HD146" s="149"/>
      <c r="HE146" s="150"/>
      <c r="HF146" s="506"/>
      <c r="HG146" s="502"/>
      <c r="HH146" s="502"/>
      <c r="HI146" s="502"/>
      <c r="HJ146" s="8"/>
    </row>
    <row r="147" spans="2:218" ht="21" hidden="1">
      <c r="B147" s="488">
        <v>103</v>
      </c>
      <c r="C147" s="489" t="s">
        <v>234</v>
      </c>
      <c r="D147" s="490" t="s">
        <v>241</v>
      </c>
      <c r="E147" s="491" t="s">
        <v>242</v>
      </c>
      <c r="F147" s="492"/>
      <c r="G147" s="493"/>
      <c r="H147" s="146" t="s">
        <v>858</v>
      </c>
      <c r="I147" s="494" t="str">
        <f t="shared" si="92"/>
        <v/>
      </c>
      <c r="J147" s="495" t="s">
        <v>487</v>
      </c>
      <c r="K147" s="151">
        <v>0</v>
      </c>
      <c r="L147" s="256">
        <f>IF($C$5&lt;3000,(Bron!H136*$C$5)+Bron!I136,(Bron!M136*$C$5)+Bron!N136)</f>
        <v>0</v>
      </c>
      <c r="M147" s="256"/>
      <c r="N147" s="496">
        <f t="shared" si="90"/>
        <v>0</v>
      </c>
      <c r="O147" s="497" t="str">
        <f t="shared" si="91"/>
        <v/>
      </c>
      <c r="P147" s="257">
        <f>IF($C$5&lt;3000,$AN$32*Bron!J136,$AN$32*Bron!O136)</f>
        <v>0</v>
      </c>
      <c r="Q147" s="257">
        <f>IF($C$5&lt;3000,$AN$31*Bron!K136,$AN$31*Bron!P136)</f>
        <v>0</v>
      </c>
      <c r="R147" s="257">
        <f>IF($C$5&lt;3000,$AN$33*Bron!J136,$AN$33*Bron!O136)</f>
        <v>0</v>
      </c>
      <c r="S147" s="344"/>
      <c r="T147" s="258">
        <f t="shared" si="93"/>
        <v>0</v>
      </c>
      <c r="U147" s="259">
        <f t="shared" si="94"/>
        <v>0</v>
      </c>
      <c r="V147" s="675"/>
      <c r="W147" s="676">
        <f t="shared" si="95"/>
        <v>0</v>
      </c>
      <c r="X147" s="677">
        <f t="shared" si="96"/>
        <v>0</v>
      </c>
      <c r="Y147" s="677">
        <f t="shared" si="127"/>
        <v>0</v>
      </c>
      <c r="Z147" s="678">
        <f t="shared" si="128"/>
        <v>0</v>
      </c>
      <c r="AA147" s="679">
        <f t="shared" si="129"/>
        <v>0</v>
      </c>
      <c r="AB147" s="675"/>
      <c r="AC147" s="676">
        <f t="shared" si="97"/>
        <v>0</v>
      </c>
      <c r="AD147" s="677">
        <f t="shared" si="98"/>
        <v>0</v>
      </c>
      <c r="AE147" s="677">
        <f t="shared" si="130"/>
        <v>0</v>
      </c>
      <c r="AF147" s="678">
        <f t="shared" si="131"/>
        <v>0</v>
      </c>
      <c r="AG147" s="679">
        <f t="shared" si="132"/>
        <v>0</v>
      </c>
      <c r="AH147" s="675"/>
      <c r="AI147" s="676">
        <f t="shared" si="99"/>
        <v>0</v>
      </c>
      <c r="AJ147" s="677">
        <f t="shared" si="100"/>
        <v>0</v>
      </c>
      <c r="AK147" s="677">
        <f t="shared" si="133"/>
        <v>0</v>
      </c>
      <c r="AL147" s="678">
        <f t="shared" si="134"/>
        <v>0</v>
      </c>
      <c r="AM147" s="679">
        <f t="shared" si="135"/>
        <v>0</v>
      </c>
      <c r="AN147" s="675"/>
      <c r="AO147" s="676">
        <f t="shared" si="101"/>
        <v>0</v>
      </c>
      <c r="AP147" s="677">
        <f t="shared" si="102"/>
        <v>0</v>
      </c>
      <c r="AQ147" s="677">
        <f t="shared" si="136"/>
        <v>0</v>
      </c>
      <c r="AR147" s="678">
        <f t="shared" si="137"/>
        <v>0</v>
      </c>
      <c r="AS147" s="679">
        <f t="shared" si="138"/>
        <v>0</v>
      </c>
      <c r="AT147" s="675"/>
      <c r="AU147" s="676">
        <f t="shared" si="103"/>
        <v>0</v>
      </c>
      <c r="AV147" s="677">
        <f t="shared" si="104"/>
        <v>0</v>
      </c>
      <c r="AW147" s="677">
        <f t="shared" si="139"/>
        <v>0</v>
      </c>
      <c r="AX147" s="678">
        <f t="shared" si="140"/>
        <v>0</v>
      </c>
      <c r="AY147" s="679">
        <f t="shared" si="141"/>
        <v>0</v>
      </c>
      <c r="AZ147" s="675"/>
      <c r="BA147" s="676">
        <f t="shared" si="105"/>
        <v>0</v>
      </c>
      <c r="BB147" s="677">
        <f t="shared" si="106"/>
        <v>0</v>
      </c>
      <c r="BC147" s="677">
        <f t="shared" si="142"/>
        <v>0</v>
      </c>
      <c r="BD147" s="678">
        <f t="shared" si="143"/>
        <v>0</v>
      </c>
      <c r="BE147" s="679">
        <f t="shared" si="144"/>
        <v>0</v>
      </c>
      <c r="BF147" s="675"/>
      <c r="BG147" s="676">
        <f t="shared" si="107"/>
        <v>0</v>
      </c>
      <c r="BH147" s="677">
        <f t="shared" si="108"/>
        <v>0</v>
      </c>
      <c r="BI147" s="677">
        <f t="shared" si="145"/>
        <v>0</v>
      </c>
      <c r="BJ147" s="678">
        <f t="shared" si="146"/>
        <v>0</v>
      </c>
      <c r="BK147" s="679">
        <f t="shared" si="147"/>
        <v>0</v>
      </c>
      <c r="BL147" s="675"/>
      <c r="BM147" s="676">
        <f t="shared" si="109"/>
        <v>0</v>
      </c>
      <c r="BN147" s="677">
        <f t="shared" si="110"/>
        <v>0</v>
      </c>
      <c r="BO147" s="677">
        <f t="shared" si="148"/>
        <v>0</v>
      </c>
      <c r="BP147" s="678">
        <f t="shared" si="149"/>
        <v>0</v>
      </c>
      <c r="BQ147" s="679">
        <f t="shared" si="150"/>
        <v>0</v>
      </c>
      <c r="BR147" s="675"/>
      <c r="BS147" s="676">
        <f t="shared" si="111"/>
        <v>0</v>
      </c>
      <c r="BT147" s="677">
        <f t="shared" si="112"/>
        <v>0</v>
      </c>
      <c r="BU147" s="677">
        <f t="shared" si="151"/>
        <v>0</v>
      </c>
      <c r="BV147" s="678">
        <f t="shared" si="152"/>
        <v>0</v>
      </c>
      <c r="BW147" s="679">
        <f t="shared" si="153"/>
        <v>0</v>
      </c>
      <c r="BX147" s="675"/>
      <c r="BY147" s="676">
        <f t="shared" si="113"/>
        <v>0</v>
      </c>
      <c r="BZ147" s="677">
        <f t="shared" si="114"/>
        <v>0</v>
      </c>
      <c r="CA147" s="677">
        <f t="shared" si="154"/>
        <v>0</v>
      </c>
      <c r="CB147" s="678">
        <f t="shared" si="155"/>
        <v>0</v>
      </c>
      <c r="CC147" s="679">
        <f t="shared" si="156"/>
        <v>0</v>
      </c>
      <c r="CD147" s="675"/>
      <c r="CE147" s="676">
        <f t="shared" si="115"/>
        <v>0</v>
      </c>
      <c r="CF147" s="677">
        <f t="shared" si="116"/>
        <v>0</v>
      </c>
      <c r="CG147" s="677">
        <f t="shared" si="157"/>
        <v>0</v>
      </c>
      <c r="CH147" s="678">
        <f t="shared" si="158"/>
        <v>0</v>
      </c>
      <c r="CI147" s="679">
        <f t="shared" si="159"/>
        <v>0</v>
      </c>
      <c r="CJ147" s="675"/>
      <c r="CK147" s="676">
        <f t="shared" si="117"/>
        <v>0</v>
      </c>
      <c r="CL147" s="677">
        <f t="shared" si="118"/>
        <v>0</v>
      </c>
      <c r="CM147" s="677">
        <f t="shared" si="160"/>
        <v>0</v>
      </c>
      <c r="CN147" s="678">
        <f t="shared" si="161"/>
        <v>0</v>
      </c>
      <c r="CO147" s="679">
        <f t="shared" si="162"/>
        <v>0</v>
      </c>
      <c r="CP147" s="675"/>
      <c r="CQ147" s="676">
        <f t="shared" si="119"/>
        <v>0</v>
      </c>
      <c r="CR147" s="677">
        <f t="shared" si="120"/>
        <v>0</v>
      </c>
      <c r="CS147" s="677">
        <f t="shared" si="163"/>
        <v>0</v>
      </c>
      <c r="CT147" s="678">
        <f t="shared" si="164"/>
        <v>0</v>
      </c>
      <c r="CU147" s="679">
        <f t="shared" si="165"/>
        <v>0</v>
      </c>
      <c r="CV147" s="685"/>
      <c r="CW147" s="681"/>
      <c r="CX147" s="682"/>
      <c r="CY147" s="682"/>
      <c r="CZ147" s="683"/>
      <c r="DA147" s="684"/>
      <c r="DB147" s="685"/>
      <c r="DC147" s="681"/>
      <c r="DD147" s="682"/>
      <c r="DE147" s="682"/>
      <c r="DF147" s="683"/>
      <c r="DG147" s="684"/>
      <c r="DH147" s="685"/>
      <c r="DI147" s="681"/>
      <c r="DJ147" s="682"/>
      <c r="DK147" s="682"/>
      <c r="DL147" s="683"/>
      <c r="DM147" s="684"/>
      <c r="DN147" s="685"/>
      <c r="DO147" s="681"/>
      <c r="DP147" s="682"/>
      <c r="DQ147" s="682"/>
      <c r="DR147" s="683"/>
      <c r="DS147" s="684"/>
      <c r="DT147" s="675"/>
      <c r="DU147" s="676">
        <f t="shared" si="121"/>
        <v>0</v>
      </c>
      <c r="DV147" s="677">
        <f t="shared" si="122"/>
        <v>0</v>
      </c>
      <c r="DW147" s="677">
        <f t="shared" si="166"/>
        <v>0</v>
      </c>
      <c r="DX147" s="678">
        <f t="shared" si="167"/>
        <v>0</v>
      </c>
      <c r="DY147" s="679">
        <f t="shared" si="168"/>
        <v>0</v>
      </c>
      <c r="DZ147" s="680"/>
      <c r="EA147" s="681"/>
      <c r="EB147" s="682"/>
      <c r="EC147" s="682"/>
      <c r="ED147" s="683"/>
      <c r="EE147" s="684"/>
      <c r="EF147" s="680"/>
      <c r="EG147" s="681"/>
      <c r="EH147" s="682"/>
      <c r="EI147" s="682"/>
      <c r="EJ147" s="683"/>
      <c r="EK147" s="684"/>
      <c r="EL147" s="680"/>
      <c r="EM147" s="681"/>
      <c r="EN147" s="682"/>
      <c r="EO147" s="682"/>
      <c r="EP147" s="683"/>
      <c r="EQ147" s="684"/>
      <c r="ER147" s="680"/>
      <c r="ES147" s="681"/>
      <c r="ET147" s="682"/>
      <c r="EU147" s="682"/>
      <c r="EV147" s="683"/>
      <c r="EW147" s="684"/>
      <c r="EX147" s="675"/>
      <c r="EY147" s="676">
        <f t="shared" si="123"/>
        <v>0</v>
      </c>
      <c r="EZ147" s="677">
        <f t="shared" si="124"/>
        <v>0</v>
      </c>
      <c r="FA147" s="677">
        <f t="shared" si="169"/>
        <v>0</v>
      </c>
      <c r="FB147" s="678">
        <f t="shared" si="170"/>
        <v>0</v>
      </c>
      <c r="FC147" s="679">
        <f t="shared" si="171"/>
        <v>0</v>
      </c>
      <c r="FD147" s="680"/>
      <c r="FE147" s="681"/>
      <c r="FF147" s="682"/>
      <c r="FG147" s="682"/>
      <c r="FH147" s="683"/>
      <c r="FI147" s="684"/>
      <c r="FJ147" s="680"/>
      <c r="FK147" s="681"/>
      <c r="FL147" s="682"/>
      <c r="FM147" s="682"/>
      <c r="FN147" s="683"/>
      <c r="FO147" s="684"/>
      <c r="FP147" s="680"/>
      <c r="FQ147" s="681"/>
      <c r="FR147" s="682"/>
      <c r="FS147" s="682"/>
      <c r="FT147" s="683"/>
      <c r="FU147" s="684"/>
      <c r="FV147" s="680"/>
      <c r="FW147" s="681"/>
      <c r="FX147" s="682"/>
      <c r="FY147" s="682"/>
      <c r="FZ147" s="683"/>
      <c r="GA147" s="684"/>
      <c r="GB147" s="675"/>
      <c r="GC147" s="676">
        <f t="shared" si="125"/>
        <v>0</v>
      </c>
      <c r="GD147" s="677">
        <f t="shared" si="126"/>
        <v>0</v>
      </c>
      <c r="GE147" s="677">
        <f t="shared" si="172"/>
        <v>0</v>
      </c>
      <c r="GF147" s="678">
        <f t="shared" si="173"/>
        <v>0</v>
      </c>
      <c r="GG147" s="679">
        <f t="shared" si="174"/>
        <v>0</v>
      </c>
      <c r="GH147" s="680"/>
      <c r="GI147" s="681"/>
      <c r="GJ147" s="682"/>
      <c r="GK147" s="682"/>
      <c r="GL147" s="683"/>
      <c r="GM147" s="684"/>
      <c r="GN147" s="680"/>
      <c r="GO147" s="681"/>
      <c r="GP147" s="682"/>
      <c r="GQ147" s="682"/>
      <c r="GR147" s="683"/>
      <c r="GS147" s="684"/>
      <c r="GT147" s="680"/>
      <c r="GU147" s="681"/>
      <c r="GV147" s="682"/>
      <c r="GW147" s="682"/>
      <c r="GX147" s="683"/>
      <c r="GY147" s="684"/>
      <c r="GZ147" s="680"/>
      <c r="HA147" s="147"/>
      <c r="HB147" s="148"/>
      <c r="HC147" s="148"/>
      <c r="HD147" s="149"/>
      <c r="HE147" s="150"/>
      <c r="HF147" s="506"/>
      <c r="HG147" s="502"/>
      <c r="HH147" s="502"/>
      <c r="HI147" s="502"/>
      <c r="HJ147" s="8"/>
    </row>
    <row r="148" spans="2:218" ht="21" hidden="1">
      <c r="B148" s="488">
        <v>104</v>
      </c>
      <c r="C148" s="489" t="s">
        <v>234</v>
      </c>
      <c r="D148" s="490" t="s">
        <v>243</v>
      </c>
      <c r="E148" s="491" t="s">
        <v>244</v>
      </c>
      <c r="F148" s="492"/>
      <c r="G148" s="493"/>
      <c r="H148" s="146" t="s">
        <v>858</v>
      </c>
      <c r="I148" s="494" t="str">
        <f t="shared" si="92"/>
        <v/>
      </c>
      <c r="J148" s="495" t="s">
        <v>487</v>
      </c>
      <c r="K148" s="151">
        <v>0</v>
      </c>
      <c r="L148" s="256">
        <f>IF($C$5&lt;3000,(Bron!H137*$C$5)+Bron!I137,(Bron!M137*$C$5)+Bron!N137)</f>
        <v>0</v>
      </c>
      <c r="M148" s="256"/>
      <c r="N148" s="496">
        <f t="shared" si="90"/>
        <v>0</v>
      </c>
      <c r="O148" s="497" t="str">
        <f t="shared" si="91"/>
        <v/>
      </c>
      <c r="P148" s="257">
        <f>IF($C$5&lt;3000,$AN$32*Bron!J137,$AN$32*Bron!O137)</f>
        <v>0</v>
      </c>
      <c r="Q148" s="257">
        <f>IF($C$5&lt;3000,$AN$31*Bron!K137,$AN$31*Bron!P137)</f>
        <v>0</v>
      </c>
      <c r="R148" s="257">
        <f>IF($C$5&lt;3000,$AN$33*Bron!J137,$AN$33*Bron!O137)</f>
        <v>0</v>
      </c>
      <c r="S148" s="344"/>
      <c r="T148" s="258">
        <f t="shared" si="93"/>
        <v>0</v>
      </c>
      <c r="U148" s="259">
        <f t="shared" si="94"/>
        <v>0</v>
      </c>
      <c r="V148" s="675"/>
      <c r="W148" s="676">
        <f t="shared" si="95"/>
        <v>0</v>
      </c>
      <c r="X148" s="677">
        <f t="shared" si="96"/>
        <v>0</v>
      </c>
      <c r="Y148" s="677">
        <f t="shared" si="127"/>
        <v>0</v>
      </c>
      <c r="Z148" s="678">
        <f t="shared" si="128"/>
        <v>0</v>
      </c>
      <c r="AA148" s="679">
        <f t="shared" si="129"/>
        <v>0</v>
      </c>
      <c r="AB148" s="675"/>
      <c r="AC148" s="676">
        <f t="shared" si="97"/>
        <v>0</v>
      </c>
      <c r="AD148" s="677">
        <f t="shared" si="98"/>
        <v>0</v>
      </c>
      <c r="AE148" s="677">
        <f t="shared" si="130"/>
        <v>0</v>
      </c>
      <c r="AF148" s="678">
        <f t="shared" si="131"/>
        <v>0</v>
      </c>
      <c r="AG148" s="679">
        <f t="shared" si="132"/>
        <v>0</v>
      </c>
      <c r="AH148" s="675"/>
      <c r="AI148" s="676">
        <f t="shared" si="99"/>
        <v>0</v>
      </c>
      <c r="AJ148" s="677">
        <f t="shared" si="100"/>
        <v>0</v>
      </c>
      <c r="AK148" s="677">
        <f t="shared" si="133"/>
        <v>0</v>
      </c>
      <c r="AL148" s="678">
        <f t="shared" si="134"/>
        <v>0</v>
      </c>
      <c r="AM148" s="679">
        <f t="shared" si="135"/>
        <v>0</v>
      </c>
      <c r="AN148" s="675"/>
      <c r="AO148" s="676">
        <f t="shared" si="101"/>
        <v>0</v>
      </c>
      <c r="AP148" s="677">
        <f t="shared" si="102"/>
        <v>0</v>
      </c>
      <c r="AQ148" s="677">
        <f t="shared" si="136"/>
        <v>0</v>
      </c>
      <c r="AR148" s="678">
        <f t="shared" si="137"/>
        <v>0</v>
      </c>
      <c r="AS148" s="679">
        <f t="shared" si="138"/>
        <v>0</v>
      </c>
      <c r="AT148" s="675"/>
      <c r="AU148" s="676">
        <f t="shared" si="103"/>
        <v>0</v>
      </c>
      <c r="AV148" s="677">
        <f t="shared" si="104"/>
        <v>0</v>
      </c>
      <c r="AW148" s="677">
        <f t="shared" si="139"/>
        <v>0</v>
      </c>
      <c r="AX148" s="678">
        <f t="shared" si="140"/>
        <v>0</v>
      </c>
      <c r="AY148" s="679">
        <f t="shared" si="141"/>
        <v>0</v>
      </c>
      <c r="AZ148" s="675"/>
      <c r="BA148" s="676">
        <f t="shared" si="105"/>
        <v>0</v>
      </c>
      <c r="BB148" s="677">
        <f t="shared" si="106"/>
        <v>0</v>
      </c>
      <c r="BC148" s="677">
        <f t="shared" si="142"/>
        <v>0</v>
      </c>
      <c r="BD148" s="678">
        <f t="shared" si="143"/>
        <v>0</v>
      </c>
      <c r="BE148" s="679">
        <f t="shared" si="144"/>
        <v>0</v>
      </c>
      <c r="BF148" s="675"/>
      <c r="BG148" s="676">
        <f t="shared" si="107"/>
        <v>0</v>
      </c>
      <c r="BH148" s="677">
        <f t="shared" si="108"/>
        <v>0</v>
      </c>
      <c r="BI148" s="677">
        <f t="shared" si="145"/>
        <v>0</v>
      </c>
      <c r="BJ148" s="678">
        <f t="shared" si="146"/>
        <v>0</v>
      </c>
      <c r="BK148" s="679">
        <f t="shared" si="147"/>
        <v>0</v>
      </c>
      <c r="BL148" s="675"/>
      <c r="BM148" s="676">
        <f t="shared" si="109"/>
        <v>0</v>
      </c>
      <c r="BN148" s="677">
        <f t="shared" si="110"/>
        <v>0</v>
      </c>
      <c r="BO148" s="677">
        <f t="shared" si="148"/>
        <v>0</v>
      </c>
      <c r="BP148" s="678">
        <f t="shared" si="149"/>
        <v>0</v>
      </c>
      <c r="BQ148" s="679">
        <f t="shared" si="150"/>
        <v>0</v>
      </c>
      <c r="BR148" s="675"/>
      <c r="BS148" s="676">
        <f t="shared" si="111"/>
        <v>0</v>
      </c>
      <c r="BT148" s="677">
        <f t="shared" si="112"/>
        <v>0</v>
      </c>
      <c r="BU148" s="677">
        <f t="shared" si="151"/>
        <v>0</v>
      </c>
      <c r="BV148" s="678">
        <f t="shared" si="152"/>
        <v>0</v>
      </c>
      <c r="BW148" s="679">
        <f t="shared" si="153"/>
        <v>0</v>
      </c>
      <c r="BX148" s="675"/>
      <c r="BY148" s="676">
        <f t="shared" si="113"/>
        <v>0</v>
      </c>
      <c r="BZ148" s="677">
        <f t="shared" si="114"/>
        <v>0</v>
      </c>
      <c r="CA148" s="677">
        <f t="shared" si="154"/>
        <v>0</v>
      </c>
      <c r="CB148" s="678">
        <f t="shared" si="155"/>
        <v>0</v>
      </c>
      <c r="CC148" s="679">
        <f t="shared" si="156"/>
        <v>0</v>
      </c>
      <c r="CD148" s="675"/>
      <c r="CE148" s="676">
        <f t="shared" si="115"/>
        <v>0</v>
      </c>
      <c r="CF148" s="677">
        <f t="shared" si="116"/>
        <v>0</v>
      </c>
      <c r="CG148" s="677">
        <f t="shared" si="157"/>
        <v>0</v>
      </c>
      <c r="CH148" s="678">
        <f t="shared" si="158"/>
        <v>0</v>
      </c>
      <c r="CI148" s="679">
        <f t="shared" si="159"/>
        <v>0</v>
      </c>
      <c r="CJ148" s="675"/>
      <c r="CK148" s="676">
        <f t="shared" si="117"/>
        <v>0</v>
      </c>
      <c r="CL148" s="677">
        <f t="shared" si="118"/>
        <v>0</v>
      </c>
      <c r="CM148" s="677">
        <f t="shared" si="160"/>
        <v>0</v>
      </c>
      <c r="CN148" s="678">
        <f t="shared" si="161"/>
        <v>0</v>
      </c>
      <c r="CO148" s="679">
        <f t="shared" si="162"/>
        <v>0</v>
      </c>
      <c r="CP148" s="675"/>
      <c r="CQ148" s="676">
        <f t="shared" si="119"/>
        <v>0</v>
      </c>
      <c r="CR148" s="677">
        <f t="shared" si="120"/>
        <v>0</v>
      </c>
      <c r="CS148" s="677">
        <f t="shared" si="163"/>
        <v>0</v>
      </c>
      <c r="CT148" s="678">
        <f t="shared" si="164"/>
        <v>0</v>
      </c>
      <c r="CU148" s="679">
        <f t="shared" si="165"/>
        <v>0</v>
      </c>
      <c r="CV148" s="685"/>
      <c r="CW148" s="681"/>
      <c r="CX148" s="682"/>
      <c r="CY148" s="682"/>
      <c r="CZ148" s="683"/>
      <c r="DA148" s="684"/>
      <c r="DB148" s="685"/>
      <c r="DC148" s="681"/>
      <c r="DD148" s="682"/>
      <c r="DE148" s="682"/>
      <c r="DF148" s="683"/>
      <c r="DG148" s="684"/>
      <c r="DH148" s="685"/>
      <c r="DI148" s="681"/>
      <c r="DJ148" s="682"/>
      <c r="DK148" s="682"/>
      <c r="DL148" s="683"/>
      <c r="DM148" s="684"/>
      <c r="DN148" s="685"/>
      <c r="DO148" s="681"/>
      <c r="DP148" s="682"/>
      <c r="DQ148" s="682"/>
      <c r="DR148" s="683"/>
      <c r="DS148" s="684"/>
      <c r="DT148" s="675"/>
      <c r="DU148" s="676">
        <f t="shared" si="121"/>
        <v>0</v>
      </c>
      <c r="DV148" s="677">
        <f t="shared" si="122"/>
        <v>0</v>
      </c>
      <c r="DW148" s="677">
        <f t="shared" si="166"/>
        <v>0</v>
      </c>
      <c r="DX148" s="678">
        <f t="shared" si="167"/>
        <v>0</v>
      </c>
      <c r="DY148" s="679">
        <f t="shared" si="168"/>
        <v>0</v>
      </c>
      <c r="DZ148" s="680"/>
      <c r="EA148" s="681"/>
      <c r="EB148" s="682"/>
      <c r="EC148" s="682"/>
      <c r="ED148" s="683"/>
      <c r="EE148" s="684"/>
      <c r="EF148" s="680"/>
      <c r="EG148" s="681"/>
      <c r="EH148" s="682"/>
      <c r="EI148" s="682"/>
      <c r="EJ148" s="683"/>
      <c r="EK148" s="684"/>
      <c r="EL148" s="680"/>
      <c r="EM148" s="681"/>
      <c r="EN148" s="682"/>
      <c r="EO148" s="682"/>
      <c r="EP148" s="683"/>
      <c r="EQ148" s="684"/>
      <c r="ER148" s="680"/>
      <c r="ES148" s="681"/>
      <c r="ET148" s="682"/>
      <c r="EU148" s="682"/>
      <c r="EV148" s="683"/>
      <c r="EW148" s="684"/>
      <c r="EX148" s="675"/>
      <c r="EY148" s="676">
        <f t="shared" si="123"/>
        <v>0</v>
      </c>
      <c r="EZ148" s="677">
        <f t="shared" si="124"/>
        <v>0</v>
      </c>
      <c r="FA148" s="677">
        <f t="shared" si="169"/>
        <v>0</v>
      </c>
      <c r="FB148" s="678">
        <f t="shared" si="170"/>
        <v>0</v>
      </c>
      <c r="FC148" s="679">
        <f t="shared" si="171"/>
        <v>0</v>
      </c>
      <c r="FD148" s="680"/>
      <c r="FE148" s="681"/>
      <c r="FF148" s="682"/>
      <c r="FG148" s="682"/>
      <c r="FH148" s="683"/>
      <c r="FI148" s="684"/>
      <c r="FJ148" s="680"/>
      <c r="FK148" s="681"/>
      <c r="FL148" s="682"/>
      <c r="FM148" s="682"/>
      <c r="FN148" s="683"/>
      <c r="FO148" s="684"/>
      <c r="FP148" s="680"/>
      <c r="FQ148" s="681"/>
      <c r="FR148" s="682"/>
      <c r="FS148" s="682"/>
      <c r="FT148" s="683"/>
      <c r="FU148" s="684"/>
      <c r="FV148" s="680"/>
      <c r="FW148" s="681"/>
      <c r="FX148" s="682"/>
      <c r="FY148" s="682"/>
      <c r="FZ148" s="683"/>
      <c r="GA148" s="684"/>
      <c r="GB148" s="675"/>
      <c r="GC148" s="676">
        <f t="shared" si="125"/>
        <v>0</v>
      </c>
      <c r="GD148" s="677">
        <f t="shared" si="126"/>
        <v>0</v>
      </c>
      <c r="GE148" s="677">
        <f t="shared" si="172"/>
        <v>0</v>
      </c>
      <c r="GF148" s="678">
        <f t="shared" si="173"/>
        <v>0</v>
      </c>
      <c r="GG148" s="679">
        <f t="shared" si="174"/>
        <v>0</v>
      </c>
      <c r="GH148" s="680"/>
      <c r="GI148" s="681"/>
      <c r="GJ148" s="682"/>
      <c r="GK148" s="682"/>
      <c r="GL148" s="683"/>
      <c r="GM148" s="684"/>
      <c r="GN148" s="680"/>
      <c r="GO148" s="681"/>
      <c r="GP148" s="682"/>
      <c r="GQ148" s="682"/>
      <c r="GR148" s="683"/>
      <c r="GS148" s="684"/>
      <c r="GT148" s="680"/>
      <c r="GU148" s="681"/>
      <c r="GV148" s="682"/>
      <c r="GW148" s="682"/>
      <c r="GX148" s="683"/>
      <c r="GY148" s="684"/>
      <c r="GZ148" s="680"/>
      <c r="HA148" s="147"/>
      <c r="HB148" s="148"/>
      <c r="HC148" s="148"/>
      <c r="HD148" s="149"/>
      <c r="HE148" s="150"/>
      <c r="HF148" s="506"/>
      <c r="HG148" s="502"/>
      <c r="HH148" s="502"/>
      <c r="HI148" s="502"/>
      <c r="HJ148" s="8"/>
    </row>
    <row r="149" spans="2:218" ht="21" hidden="1">
      <c r="B149" s="488">
        <v>105</v>
      </c>
      <c r="C149" s="489" t="s">
        <v>234</v>
      </c>
      <c r="D149" s="490" t="s">
        <v>245</v>
      </c>
      <c r="E149" s="491" t="s">
        <v>246</v>
      </c>
      <c r="F149" s="492"/>
      <c r="G149" s="493"/>
      <c r="H149" s="146" t="s">
        <v>858</v>
      </c>
      <c r="I149" s="494" t="str">
        <f t="shared" si="92"/>
        <v/>
      </c>
      <c r="J149" s="495"/>
      <c r="K149" s="151">
        <v>0</v>
      </c>
      <c r="L149" s="256"/>
      <c r="M149" s="256">
        <f>IF($C$5&lt;3000,(Bron!H138*$C$5)+Bron!I138,(Bron!M138*$C$5)+Bron!N138)</f>
        <v>1519.3919999999998</v>
      </c>
      <c r="N149" s="496">
        <f t="shared" si="90"/>
        <v>2425.1666</v>
      </c>
      <c r="O149" s="497">
        <f t="shared" si="91"/>
        <v>0.62651036015422601</v>
      </c>
      <c r="P149" s="257">
        <f>IF($C$5&lt;3000,$AN$32*Bron!J138,$AN$32*Bron!O138)</f>
        <v>0</v>
      </c>
      <c r="Q149" s="257">
        <f>IF($C$5&lt;3000,$AN$31*Bron!K138,$AN$31*Bron!P138)</f>
        <v>9547.9</v>
      </c>
      <c r="R149" s="257">
        <f>IF($C$5&lt;3000,$AN$33*Bron!J138,$AN$33*Bron!O138)</f>
        <v>0</v>
      </c>
      <c r="S149" s="344"/>
      <c r="T149" s="258">
        <f t="shared" si="93"/>
        <v>0</v>
      </c>
      <c r="U149" s="259">
        <f t="shared" si="94"/>
        <v>0</v>
      </c>
      <c r="V149" s="675"/>
      <c r="W149" s="676">
        <f t="shared" si="95"/>
        <v>0</v>
      </c>
      <c r="X149" s="677">
        <f t="shared" si="96"/>
        <v>0</v>
      </c>
      <c r="Y149" s="677">
        <f t="shared" si="127"/>
        <v>0</v>
      </c>
      <c r="Z149" s="678">
        <f t="shared" si="128"/>
        <v>0</v>
      </c>
      <c r="AA149" s="679">
        <f t="shared" si="129"/>
        <v>0</v>
      </c>
      <c r="AB149" s="675"/>
      <c r="AC149" s="676">
        <f t="shared" si="97"/>
        <v>0</v>
      </c>
      <c r="AD149" s="677">
        <f t="shared" si="98"/>
        <v>0</v>
      </c>
      <c r="AE149" s="677">
        <f t="shared" si="130"/>
        <v>0</v>
      </c>
      <c r="AF149" s="678">
        <f t="shared" si="131"/>
        <v>0</v>
      </c>
      <c r="AG149" s="679">
        <f t="shared" si="132"/>
        <v>0</v>
      </c>
      <c r="AH149" s="675"/>
      <c r="AI149" s="676">
        <f t="shared" si="99"/>
        <v>0</v>
      </c>
      <c r="AJ149" s="677">
        <f t="shared" si="100"/>
        <v>0</v>
      </c>
      <c r="AK149" s="677">
        <f t="shared" si="133"/>
        <v>0</v>
      </c>
      <c r="AL149" s="678">
        <f t="shared" si="134"/>
        <v>0</v>
      </c>
      <c r="AM149" s="679">
        <f t="shared" si="135"/>
        <v>0</v>
      </c>
      <c r="AN149" s="675"/>
      <c r="AO149" s="676">
        <f t="shared" si="101"/>
        <v>0</v>
      </c>
      <c r="AP149" s="677">
        <f t="shared" si="102"/>
        <v>0</v>
      </c>
      <c r="AQ149" s="677">
        <f t="shared" si="136"/>
        <v>0</v>
      </c>
      <c r="AR149" s="678">
        <f t="shared" si="137"/>
        <v>0</v>
      </c>
      <c r="AS149" s="679">
        <f t="shared" si="138"/>
        <v>0</v>
      </c>
      <c r="AT149" s="675"/>
      <c r="AU149" s="676">
        <f t="shared" si="103"/>
        <v>0</v>
      </c>
      <c r="AV149" s="677">
        <f t="shared" si="104"/>
        <v>0</v>
      </c>
      <c r="AW149" s="677">
        <f t="shared" si="139"/>
        <v>0</v>
      </c>
      <c r="AX149" s="678">
        <f t="shared" si="140"/>
        <v>0</v>
      </c>
      <c r="AY149" s="679">
        <f t="shared" si="141"/>
        <v>0</v>
      </c>
      <c r="AZ149" s="675"/>
      <c r="BA149" s="676">
        <f t="shared" si="105"/>
        <v>0</v>
      </c>
      <c r="BB149" s="677">
        <f t="shared" si="106"/>
        <v>0</v>
      </c>
      <c r="BC149" s="677">
        <f t="shared" si="142"/>
        <v>0</v>
      </c>
      <c r="BD149" s="678">
        <f t="shared" si="143"/>
        <v>0</v>
      </c>
      <c r="BE149" s="679">
        <f t="shared" si="144"/>
        <v>0</v>
      </c>
      <c r="BF149" s="675"/>
      <c r="BG149" s="676">
        <f t="shared" si="107"/>
        <v>0</v>
      </c>
      <c r="BH149" s="677">
        <f t="shared" si="108"/>
        <v>0</v>
      </c>
      <c r="BI149" s="677">
        <f t="shared" si="145"/>
        <v>0</v>
      </c>
      <c r="BJ149" s="678">
        <f t="shared" si="146"/>
        <v>0</v>
      </c>
      <c r="BK149" s="679">
        <f t="shared" si="147"/>
        <v>0</v>
      </c>
      <c r="BL149" s="675"/>
      <c r="BM149" s="676">
        <f t="shared" si="109"/>
        <v>0</v>
      </c>
      <c r="BN149" s="677">
        <f t="shared" si="110"/>
        <v>0</v>
      </c>
      <c r="BO149" s="677">
        <f t="shared" si="148"/>
        <v>0</v>
      </c>
      <c r="BP149" s="678">
        <f t="shared" si="149"/>
        <v>0</v>
      </c>
      <c r="BQ149" s="679">
        <f t="shared" si="150"/>
        <v>0</v>
      </c>
      <c r="BR149" s="675"/>
      <c r="BS149" s="676">
        <f t="shared" si="111"/>
        <v>0</v>
      </c>
      <c r="BT149" s="677">
        <f t="shared" si="112"/>
        <v>0</v>
      </c>
      <c r="BU149" s="677">
        <f t="shared" si="151"/>
        <v>0</v>
      </c>
      <c r="BV149" s="678">
        <f t="shared" si="152"/>
        <v>0</v>
      </c>
      <c r="BW149" s="679">
        <f t="shared" si="153"/>
        <v>0</v>
      </c>
      <c r="BX149" s="675"/>
      <c r="BY149" s="676">
        <f t="shared" si="113"/>
        <v>0</v>
      </c>
      <c r="BZ149" s="677">
        <f t="shared" si="114"/>
        <v>0</v>
      </c>
      <c r="CA149" s="677">
        <f t="shared" si="154"/>
        <v>0</v>
      </c>
      <c r="CB149" s="678">
        <f t="shared" si="155"/>
        <v>0</v>
      </c>
      <c r="CC149" s="679">
        <f t="shared" si="156"/>
        <v>0</v>
      </c>
      <c r="CD149" s="675"/>
      <c r="CE149" s="676">
        <f t="shared" si="115"/>
        <v>0</v>
      </c>
      <c r="CF149" s="677">
        <f t="shared" si="116"/>
        <v>0</v>
      </c>
      <c r="CG149" s="677">
        <f t="shared" si="157"/>
        <v>0</v>
      </c>
      <c r="CH149" s="678">
        <f t="shared" si="158"/>
        <v>0</v>
      </c>
      <c r="CI149" s="679">
        <f t="shared" si="159"/>
        <v>0</v>
      </c>
      <c r="CJ149" s="675"/>
      <c r="CK149" s="676">
        <f t="shared" si="117"/>
        <v>0</v>
      </c>
      <c r="CL149" s="677">
        <f t="shared" si="118"/>
        <v>0</v>
      </c>
      <c r="CM149" s="677">
        <f t="shared" si="160"/>
        <v>0</v>
      </c>
      <c r="CN149" s="678">
        <f t="shared" si="161"/>
        <v>0</v>
      </c>
      <c r="CO149" s="679">
        <f t="shared" si="162"/>
        <v>0</v>
      </c>
      <c r="CP149" s="675"/>
      <c r="CQ149" s="676">
        <f t="shared" si="119"/>
        <v>0</v>
      </c>
      <c r="CR149" s="677">
        <f t="shared" si="120"/>
        <v>0</v>
      </c>
      <c r="CS149" s="677">
        <f t="shared" si="163"/>
        <v>0</v>
      </c>
      <c r="CT149" s="678">
        <f t="shared" si="164"/>
        <v>0</v>
      </c>
      <c r="CU149" s="679">
        <f t="shared" si="165"/>
        <v>0</v>
      </c>
      <c r="CV149" s="685"/>
      <c r="CW149" s="681"/>
      <c r="CX149" s="682"/>
      <c r="CY149" s="682"/>
      <c r="CZ149" s="683"/>
      <c r="DA149" s="684"/>
      <c r="DB149" s="685"/>
      <c r="DC149" s="681"/>
      <c r="DD149" s="682"/>
      <c r="DE149" s="682"/>
      <c r="DF149" s="683"/>
      <c r="DG149" s="684"/>
      <c r="DH149" s="685"/>
      <c r="DI149" s="681"/>
      <c r="DJ149" s="682"/>
      <c r="DK149" s="682"/>
      <c r="DL149" s="683"/>
      <c r="DM149" s="684"/>
      <c r="DN149" s="685"/>
      <c r="DO149" s="681"/>
      <c r="DP149" s="682"/>
      <c r="DQ149" s="682"/>
      <c r="DR149" s="683"/>
      <c r="DS149" s="684"/>
      <c r="DT149" s="675"/>
      <c r="DU149" s="676">
        <f t="shared" si="121"/>
        <v>0</v>
      </c>
      <c r="DV149" s="677">
        <f t="shared" si="122"/>
        <v>0</v>
      </c>
      <c r="DW149" s="677">
        <f t="shared" si="166"/>
        <v>0</v>
      </c>
      <c r="DX149" s="678">
        <f t="shared" si="167"/>
        <v>0</v>
      </c>
      <c r="DY149" s="679">
        <f t="shared" si="168"/>
        <v>0</v>
      </c>
      <c r="DZ149" s="680"/>
      <c r="EA149" s="681"/>
      <c r="EB149" s="682"/>
      <c r="EC149" s="682"/>
      <c r="ED149" s="683"/>
      <c r="EE149" s="684"/>
      <c r="EF149" s="680"/>
      <c r="EG149" s="681"/>
      <c r="EH149" s="682"/>
      <c r="EI149" s="682"/>
      <c r="EJ149" s="683"/>
      <c r="EK149" s="684"/>
      <c r="EL149" s="680"/>
      <c r="EM149" s="681"/>
      <c r="EN149" s="682"/>
      <c r="EO149" s="682"/>
      <c r="EP149" s="683"/>
      <c r="EQ149" s="684"/>
      <c r="ER149" s="680"/>
      <c r="ES149" s="681"/>
      <c r="ET149" s="682"/>
      <c r="EU149" s="682"/>
      <c r="EV149" s="683"/>
      <c r="EW149" s="684"/>
      <c r="EX149" s="675"/>
      <c r="EY149" s="676">
        <f t="shared" si="123"/>
        <v>0</v>
      </c>
      <c r="EZ149" s="677">
        <f t="shared" si="124"/>
        <v>0</v>
      </c>
      <c r="FA149" s="677">
        <f t="shared" si="169"/>
        <v>0</v>
      </c>
      <c r="FB149" s="678">
        <f t="shared" si="170"/>
        <v>0</v>
      </c>
      <c r="FC149" s="679">
        <f t="shared" si="171"/>
        <v>0</v>
      </c>
      <c r="FD149" s="680"/>
      <c r="FE149" s="681"/>
      <c r="FF149" s="682"/>
      <c r="FG149" s="682"/>
      <c r="FH149" s="683"/>
      <c r="FI149" s="684"/>
      <c r="FJ149" s="680"/>
      <c r="FK149" s="681"/>
      <c r="FL149" s="682"/>
      <c r="FM149" s="682"/>
      <c r="FN149" s="683"/>
      <c r="FO149" s="684"/>
      <c r="FP149" s="680"/>
      <c r="FQ149" s="681"/>
      <c r="FR149" s="682"/>
      <c r="FS149" s="682"/>
      <c r="FT149" s="683"/>
      <c r="FU149" s="684"/>
      <c r="FV149" s="680"/>
      <c r="FW149" s="681"/>
      <c r="FX149" s="682"/>
      <c r="FY149" s="682"/>
      <c r="FZ149" s="683"/>
      <c r="GA149" s="684"/>
      <c r="GB149" s="675"/>
      <c r="GC149" s="676">
        <f t="shared" si="125"/>
        <v>0</v>
      </c>
      <c r="GD149" s="677">
        <f t="shared" si="126"/>
        <v>0</v>
      </c>
      <c r="GE149" s="677">
        <f t="shared" si="172"/>
        <v>0</v>
      </c>
      <c r="GF149" s="678">
        <f t="shared" si="173"/>
        <v>0</v>
      </c>
      <c r="GG149" s="679">
        <f t="shared" si="174"/>
        <v>0</v>
      </c>
      <c r="GH149" s="680"/>
      <c r="GI149" s="681"/>
      <c r="GJ149" s="682"/>
      <c r="GK149" s="682"/>
      <c r="GL149" s="683"/>
      <c r="GM149" s="684"/>
      <c r="GN149" s="680"/>
      <c r="GO149" s="681"/>
      <c r="GP149" s="682"/>
      <c r="GQ149" s="682"/>
      <c r="GR149" s="683"/>
      <c r="GS149" s="684"/>
      <c r="GT149" s="680"/>
      <c r="GU149" s="681"/>
      <c r="GV149" s="682"/>
      <c r="GW149" s="682"/>
      <c r="GX149" s="683"/>
      <c r="GY149" s="684"/>
      <c r="GZ149" s="680"/>
      <c r="HA149" s="147"/>
      <c r="HB149" s="148"/>
      <c r="HC149" s="148"/>
      <c r="HD149" s="149"/>
      <c r="HE149" s="150"/>
      <c r="HF149" s="506"/>
      <c r="HG149" s="502"/>
      <c r="HH149" s="502"/>
      <c r="HI149" s="502"/>
      <c r="HJ149" s="8"/>
    </row>
    <row r="150" spans="2:218" ht="21" hidden="1">
      <c r="B150" s="488">
        <v>106</v>
      </c>
      <c r="C150" s="489" t="s">
        <v>234</v>
      </c>
      <c r="D150" s="490" t="s">
        <v>493</v>
      </c>
      <c r="E150" s="491" t="s">
        <v>579</v>
      </c>
      <c r="F150" s="492"/>
      <c r="G150" s="493"/>
      <c r="H150" s="146" t="s">
        <v>97</v>
      </c>
      <c r="I150" s="494" t="str">
        <f t="shared" si="92"/>
        <v>n.v.t.</v>
      </c>
      <c r="J150" s="495" t="s">
        <v>487</v>
      </c>
      <c r="K150" s="151">
        <v>0</v>
      </c>
      <c r="L150" s="256">
        <f>IF($C$5&lt;3000,(Bron!H139*$C$5)+Bron!I139,(Bron!M139*$C$5)+Bron!N139)</f>
        <v>15410.975999999999</v>
      </c>
      <c r="M150" s="256"/>
      <c r="N150" s="496">
        <f t="shared" si="90"/>
        <v>3880.26656</v>
      </c>
      <c r="O150" s="497">
        <f t="shared" si="91"/>
        <v>3.971628175977683</v>
      </c>
      <c r="P150" s="257">
        <f>IF($C$5&lt;3000,$AN$32*Bron!J139,$AN$32*Bron!O139)</f>
        <v>0</v>
      </c>
      <c r="Q150" s="257">
        <f>IF($C$5&lt;3000,$AN$31*Bron!K139,$AN$31*Bron!P139)</f>
        <v>15276.64</v>
      </c>
      <c r="R150" s="257">
        <f>IF($C$5&lt;3000,$AN$33*Bron!J139,$AN$33*Bron!O139)</f>
        <v>0</v>
      </c>
      <c r="S150" s="344"/>
      <c r="T150" s="258">
        <f t="shared" si="93"/>
        <v>0</v>
      </c>
      <c r="U150" s="259">
        <f t="shared" si="94"/>
        <v>0</v>
      </c>
      <c r="V150" s="675"/>
      <c r="W150" s="676">
        <f t="shared" si="95"/>
        <v>0</v>
      </c>
      <c r="X150" s="677">
        <f t="shared" si="96"/>
        <v>0</v>
      </c>
      <c r="Y150" s="677">
        <f t="shared" si="127"/>
        <v>0</v>
      </c>
      <c r="Z150" s="678">
        <f t="shared" si="128"/>
        <v>0</v>
      </c>
      <c r="AA150" s="679">
        <f t="shared" si="129"/>
        <v>0</v>
      </c>
      <c r="AB150" s="675"/>
      <c r="AC150" s="676">
        <f t="shared" si="97"/>
        <v>0</v>
      </c>
      <c r="AD150" s="677">
        <f t="shared" si="98"/>
        <v>0</v>
      </c>
      <c r="AE150" s="677">
        <f t="shared" si="130"/>
        <v>0</v>
      </c>
      <c r="AF150" s="678">
        <f t="shared" si="131"/>
        <v>0</v>
      </c>
      <c r="AG150" s="679">
        <f t="shared" si="132"/>
        <v>0</v>
      </c>
      <c r="AH150" s="675"/>
      <c r="AI150" s="676">
        <f t="shared" si="99"/>
        <v>0</v>
      </c>
      <c r="AJ150" s="677">
        <f t="shared" si="100"/>
        <v>0</v>
      </c>
      <c r="AK150" s="677">
        <f t="shared" si="133"/>
        <v>0</v>
      </c>
      <c r="AL150" s="678">
        <f t="shared" si="134"/>
        <v>0</v>
      </c>
      <c r="AM150" s="679">
        <f t="shared" si="135"/>
        <v>0</v>
      </c>
      <c r="AN150" s="675"/>
      <c r="AO150" s="676">
        <f t="shared" si="101"/>
        <v>0</v>
      </c>
      <c r="AP150" s="677">
        <f t="shared" si="102"/>
        <v>0</v>
      </c>
      <c r="AQ150" s="677">
        <f t="shared" si="136"/>
        <v>0</v>
      </c>
      <c r="AR150" s="678">
        <f t="shared" si="137"/>
        <v>0</v>
      </c>
      <c r="AS150" s="679">
        <f t="shared" si="138"/>
        <v>0</v>
      </c>
      <c r="AT150" s="675"/>
      <c r="AU150" s="676">
        <f t="shared" si="103"/>
        <v>0</v>
      </c>
      <c r="AV150" s="677">
        <f t="shared" si="104"/>
        <v>0</v>
      </c>
      <c r="AW150" s="677">
        <f t="shared" si="139"/>
        <v>0</v>
      </c>
      <c r="AX150" s="678">
        <f t="shared" si="140"/>
        <v>0</v>
      </c>
      <c r="AY150" s="679">
        <f t="shared" si="141"/>
        <v>0</v>
      </c>
      <c r="AZ150" s="675"/>
      <c r="BA150" s="676">
        <f t="shared" si="105"/>
        <v>0</v>
      </c>
      <c r="BB150" s="677">
        <f t="shared" si="106"/>
        <v>0</v>
      </c>
      <c r="BC150" s="677">
        <f t="shared" si="142"/>
        <v>0</v>
      </c>
      <c r="BD150" s="678">
        <f t="shared" si="143"/>
        <v>0</v>
      </c>
      <c r="BE150" s="679">
        <f t="shared" si="144"/>
        <v>0</v>
      </c>
      <c r="BF150" s="675"/>
      <c r="BG150" s="676">
        <f t="shared" si="107"/>
        <v>0</v>
      </c>
      <c r="BH150" s="677">
        <f t="shared" si="108"/>
        <v>0</v>
      </c>
      <c r="BI150" s="677">
        <f t="shared" si="145"/>
        <v>0</v>
      </c>
      <c r="BJ150" s="678">
        <f t="shared" si="146"/>
        <v>0</v>
      </c>
      <c r="BK150" s="679">
        <f t="shared" si="147"/>
        <v>0</v>
      </c>
      <c r="BL150" s="675"/>
      <c r="BM150" s="676">
        <f t="shared" si="109"/>
        <v>0</v>
      </c>
      <c r="BN150" s="677">
        <f t="shared" si="110"/>
        <v>0</v>
      </c>
      <c r="BO150" s="677">
        <f t="shared" si="148"/>
        <v>0</v>
      </c>
      <c r="BP150" s="678">
        <f t="shared" si="149"/>
        <v>0</v>
      </c>
      <c r="BQ150" s="679">
        <f t="shared" si="150"/>
        <v>0</v>
      </c>
      <c r="BR150" s="675"/>
      <c r="BS150" s="676">
        <f t="shared" si="111"/>
        <v>0</v>
      </c>
      <c r="BT150" s="677">
        <f t="shared" si="112"/>
        <v>0</v>
      </c>
      <c r="BU150" s="677">
        <f t="shared" si="151"/>
        <v>0</v>
      </c>
      <c r="BV150" s="678">
        <f t="shared" si="152"/>
        <v>0</v>
      </c>
      <c r="BW150" s="679">
        <f t="shared" si="153"/>
        <v>0</v>
      </c>
      <c r="BX150" s="675"/>
      <c r="BY150" s="676">
        <f t="shared" si="113"/>
        <v>0</v>
      </c>
      <c r="BZ150" s="677">
        <f t="shared" si="114"/>
        <v>0</v>
      </c>
      <c r="CA150" s="677">
        <f t="shared" si="154"/>
        <v>0</v>
      </c>
      <c r="CB150" s="678">
        <f t="shared" si="155"/>
        <v>0</v>
      </c>
      <c r="CC150" s="679">
        <f t="shared" si="156"/>
        <v>0</v>
      </c>
      <c r="CD150" s="675"/>
      <c r="CE150" s="676">
        <f t="shared" si="115"/>
        <v>0</v>
      </c>
      <c r="CF150" s="677">
        <f t="shared" si="116"/>
        <v>0</v>
      </c>
      <c r="CG150" s="677">
        <f t="shared" si="157"/>
        <v>0</v>
      </c>
      <c r="CH150" s="678">
        <f t="shared" si="158"/>
        <v>0</v>
      </c>
      <c r="CI150" s="679">
        <f t="shared" si="159"/>
        <v>0</v>
      </c>
      <c r="CJ150" s="675"/>
      <c r="CK150" s="676">
        <f t="shared" si="117"/>
        <v>0</v>
      </c>
      <c r="CL150" s="677">
        <f t="shared" si="118"/>
        <v>0</v>
      </c>
      <c r="CM150" s="677">
        <f t="shared" si="160"/>
        <v>0</v>
      </c>
      <c r="CN150" s="678">
        <f t="shared" si="161"/>
        <v>0</v>
      </c>
      <c r="CO150" s="679">
        <f t="shared" si="162"/>
        <v>0</v>
      </c>
      <c r="CP150" s="675"/>
      <c r="CQ150" s="676">
        <f t="shared" si="119"/>
        <v>0</v>
      </c>
      <c r="CR150" s="677">
        <f t="shared" si="120"/>
        <v>0</v>
      </c>
      <c r="CS150" s="677">
        <f t="shared" si="163"/>
        <v>0</v>
      </c>
      <c r="CT150" s="678">
        <f t="shared" si="164"/>
        <v>0</v>
      </c>
      <c r="CU150" s="679">
        <f t="shared" si="165"/>
        <v>0</v>
      </c>
      <c r="CV150" s="685"/>
      <c r="CW150" s="681"/>
      <c r="CX150" s="682"/>
      <c r="CY150" s="682"/>
      <c r="CZ150" s="683"/>
      <c r="DA150" s="684"/>
      <c r="DB150" s="685"/>
      <c r="DC150" s="681"/>
      <c r="DD150" s="682"/>
      <c r="DE150" s="682"/>
      <c r="DF150" s="683"/>
      <c r="DG150" s="684"/>
      <c r="DH150" s="685"/>
      <c r="DI150" s="681"/>
      <c r="DJ150" s="682"/>
      <c r="DK150" s="682"/>
      <c r="DL150" s="683"/>
      <c r="DM150" s="684"/>
      <c r="DN150" s="685"/>
      <c r="DO150" s="681"/>
      <c r="DP150" s="682"/>
      <c r="DQ150" s="682"/>
      <c r="DR150" s="683"/>
      <c r="DS150" s="684"/>
      <c r="DT150" s="675"/>
      <c r="DU150" s="676">
        <f t="shared" si="121"/>
        <v>0</v>
      </c>
      <c r="DV150" s="677">
        <f t="shared" si="122"/>
        <v>0</v>
      </c>
      <c r="DW150" s="677">
        <f t="shared" si="166"/>
        <v>0</v>
      </c>
      <c r="DX150" s="678">
        <f t="shared" si="167"/>
        <v>0</v>
      </c>
      <c r="DY150" s="679">
        <f t="shared" si="168"/>
        <v>0</v>
      </c>
      <c r="DZ150" s="680"/>
      <c r="EA150" s="681"/>
      <c r="EB150" s="682"/>
      <c r="EC150" s="682"/>
      <c r="ED150" s="683"/>
      <c r="EE150" s="684"/>
      <c r="EF150" s="680"/>
      <c r="EG150" s="681"/>
      <c r="EH150" s="682"/>
      <c r="EI150" s="682"/>
      <c r="EJ150" s="683"/>
      <c r="EK150" s="684"/>
      <c r="EL150" s="680"/>
      <c r="EM150" s="681"/>
      <c r="EN150" s="682"/>
      <c r="EO150" s="682"/>
      <c r="EP150" s="683"/>
      <c r="EQ150" s="684"/>
      <c r="ER150" s="680"/>
      <c r="ES150" s="681"/>
      <c r="ET150" s="682"/>
      <c r="EU150" s="682"/>
      <c r="EV150" s="683"/>
      <c r="EW150" s="684"/>
      <c r="EX150" s="675"/>
      <c r="EY150" s="676">
        <f t="shared" si="123"/>
        <v>0</v>
      </c>
      <c r="EZ150" s="677">
        <f t="shared" si="124"/>
        <v>0</v>
      </c>
      <c r="FA150" s="677">
        <f t="shared" si="169"/>
        <v>0</v>
      </c>
      <c r="FB150" s="678">
        <f t="shared" si="170"/>
        <v>0</v>
      </c>
      <c r="FC150" s="679">
        <f t="shared" si="171"/>
        <v>0</v>
      </c>
      <c r="FD150" s="680"/>
      <c r="FE150" s="681"/>
      <c r="FF150" s="682"/>
      <c r="FG150" s="682"/>
      <c r="FH150" s="683"/>
      <c r="FI150" s="684"/>
      <c r="FJ150" s="680"/>
      <c r="FK150" s="681"/>
      <c r="FL150" s="682"/>
      <c r="FM150" s="682"/>
      <c r="FN150" s="683"/>
      <c r="FO150" s="684"/>
      <c r="FP150" s="680"/>
      <c r="FQ150" s="681"/>
      <c r="FR150" s="682"/>
      <c r="FS150" s="682"/>
      <c r="FT150" s="683"/>
      <c r="FU150" s="684"/>
      <c r="FV150" s="680"/>
      <c r="FW150" s="681"/>
      <c r="FX150" s="682"/>
      <c r="FY150" s="682"/>
      <c r="FZ150" s="683"/>
      <c r="GA150" s="684"/>
      <c r="GB150" s="675"/>
      <c r="GC150" s="676">
        <f t="shared" si="125"/>
        <v>0</v>
      </c>
      <c r="GD150" s="677">
        <f t="shared" si="126"/>
        <v>0</v>
      </c>
      <c r="GE150" s="677">
        <f t="shared" si="172"/>
        <v>0</v>
      </c>
      <c r="GF150" s="678">
        <f t="shared" si="173"/>
        <v>0</v>
      </c>
      <c r="GG150" s="679">
        <f t="shared" si="174"/>
        <v>0</v>
      </c>
      <c r="GH150" s="680"/>
      <c r="GI150" s="681"/>
      <c r="GJ150" s="682"/>
      <c r="GK150" s="682"/>
      <c r="GL150" s="683"/>
      <c r="GM150" s="684"/>
      <c r="GN150" s="680"/>
      <c r="GO150" s="681"/>
      <c r="GP150" s="682"/>
      <c r="GQ150" s="682"/>
      <c r="GR150" s="683"/>
      <c r="GS150" s="684"/>
      <c r="GT150" s="680"/>
      <c r="GU150" s="681"/>
      <c r="GV150" s="682"/>
      <c r="GW150" s="682"/>
      <c r="GX150" s="683"/>
      <c r="GY150" s="684"/>
      <c r="GZ150" s="680"/>
      <c r="HA150" s="147"/>
      <c r="HB150" s="148"/>
      <c r="HC150" s="148"/>
      <c r="HD150" s="149"/>
      <c r="HE150" s="150"/>
      <c r="HF150" s="506"/>
      <c r="HG150" s="502"/>
      <c r="HH150" s="502"/>
      <c r="HI150" s="502"/>
      <c r="HJ150" s="8"/>
    </row>
    <row r="151" spans="2:218" ht="21" hidden="1">
      <c r="B151" s="488">
        <v>107</v>
      </c>
      <c r="C151" s="489" t="s">
        <v>234</v>
      </c>
      <c r="D151" s="490" t="s">
        <v>493</v>
      </c>
      <c r="E151" s="491" t="s">
        <v>584</v>
      </c>
      <c r="F151" s="492"/>
      <c r="G151" s="493"/>
      <c r="H151" s="146" t="s">
        <v>97</v>
      </c>
      <c r="I151" s="494" t="str">
        <f t="shared" si="92"/>
        <v>n.v.t.</v>
      </c>
      <c r="J151" s="495" t="s">
        <v>487</v>
      </c>
      <c r="K151" s="151">
        <v>0</v>
      </c>
      <c r="L151" s="256">
        <f>IF($C$5&lt;3000,(Bron!H140*$C$5)+Bron!I140,(Bron!M140*$C$5)+Bron!N140)</f>
        <v>8031.0720000000001</v>
      </c>
      <c r="M151" s="256"/>
      <c r="N151" s="496">
        <f t="shared" si="90"/>
        <v>2998.7066400000003</v>
      </c>
      <c r="O151" s="497">
        <f t="shared" si="91"/>
        <v>2.6781786163650869</v>
      </c>
      <c r="P151" s="257">
        <f>IF($C$5&lt;3000,$AN$32*Bron!J140,$AN$32*Bron!O140)</f>
        <v>0</v>
      </c>
      <c r="Q151" s="257">
        <f>IF($C$5&lt;3000,$AN$31*Bron!K140,$AN$31*Bron!P140)</f>
        <v>3819.16</v>
      </c>
      <c r="R151" s="257">
        <f>IF($C$5&lt;3000,$AN$33*Bron!J140,$AN$33*Bron!O140)</f>
        <v>40.900000000000006</v>
      </c>
      <c r="S151" s="344"/>
      <c r="T151" s="258">
        <f t="shared" si="93"/>
        <v>0</v>
      </c>
      <c r="U151" s="259">
        <f t="shared" si="94"/>
        <v>0</v>
      </c>
      <c r="V151" s="675"/>
      <c r="W151" s="676">
        <f t="shared" si="95"/>
        <v>0</v>
      </c>
      <c r="X151" s="677">
        <f t="shared" si="96"/>
        <v>0</v>
      </c>
      <c r="Y151" s="677">
        <f t="shared" si="127"/>
        <v>0</v>
      </c>
      <c r="Z151" s="678">
        <f t="shared" si="128"/>
        <v>0</v>
      </c>
      <c r="AA151" s="679">
        <f t="shared" si="129"/>
        <v>0</v>
      </c>
      <c r="AB151" s="675"/>
      <c r="AC151" s="676">
        <f t="shared" si="97"/>
        <v>0</v>
      </c>
      <c r="AD151" s="677">
        <f t="shared" si="98"/>
        <v>0</v>
      </c>
      <c r="AE151" s="677">
        <f t="shared" si="130"/>
        <v>0</v>
      </c>
      <c r="AF151" s="678">
        <f t="shared" si="131"/>
        <v>0</v>
      </c>
      <c r="AG151" s="679">
        <f t="shared" si="132"/>
        <v>0</v>
      </c>
      <c r="AH151" s="675"/>
      <c r="AI151" s="676">
        <f t="shared" si="99"/>
        <v>0</v>
      </c>
      <c r="AJ151" s="677">
        <f t="shared" si="100"/>
        <v>0</v>
      </c>
      <c r="AK151" s="677">
        <f t="shared" si="133"/>
        <v>0</v>
      </c>
      <c r="AL151" s="678">
        <f t="shared" si="134"/>
        <v>0</v>
      </c>
      <c r="AM151" s="679">
        <f t="shared" si="135"/>
        <v>0</v>
      </c>
      <c r="AN151" s="675"/>
      <c r="AO151" s="676">
        <f t="shared" si="101"/>
        <v>0</v>
      </c>
      <c r="AP151" s="677">
        <f t="shared" si="102"/>
        <v>0</v>
      </c>
      <c r="AQ151" s="677">
        <f t="shared" si="136"/>
        <v>0</v>
      </c>
      <c r="AR151" s="678">
        <f t="shared" si="137"/>
        <v>0</v>
      </c>
      <c r="AS151" s="679">
        <f t="shared" si="138"/>
        <v>0</v>
      </c>
      <c r="AT151" s="675"/>
      <c r="AU151" s="676">
        <f t="shared" si="103"/>
        <v>0</v>
      </c>
      <c r="AV151" s="677">
        <f t="shared" si="104"/>
        <v>0</v>
      </c>
      <c r="AW151" s="677">
        <f t="shared" si="139"/>
        <v>0</v>
      </c>
      <c r="AX151" s="678">
        <f t="shared" si="140"/>
        <v>0</v>
      </c>
      <c r="AY151" s="679">
        <f t="shared" si="141"/>
        <v>0</v>
      </c>
      <c r="AZ151" s="675"/>
      <c r="BA151" s="676">
        <f t="shared" si="105"/>
        <v>0</v>
      </c>
      <c r="BB151" s="677">
        <f t="shared" si="106"/>
        <v>0</v>
      </c>
      <c r="BC151" s="677">
        <f t="shared" si="142"/>
        <v>0</v>
      </c>
      <c r="BD151" s="678">
        <f t="shared" si="143"/>
        <v>0</v>
      </c>
      <c r="BE151" s="679">
        <f t="shared" si="144"/>
        <v>0</v>
      </c>
      <c r="BF151" s="675"/>
      <c r="BG151" s="676">
        <f t="shared" si="107"/>
        <v>0</v>
      </c>
      <c r="BH151" s="677">
        <f t="shared" si="108"/>
        <v>0</v>
      </c>
      <c r="BI151" s="677">
        <f t="shared" si="145"/>
        <v>0</v>
      </c>
      <c r="BJ151" s="678">
        <f t="shared" si="146"/>
        <v>0</v>
      </c>
      <c r="BK151" s="679">
        <f t="shared" si="147"/>
        <v>0</v>
      </c>
      <c r="BL151" s="675"/>
      <c r="BM151" s="676">
        <f t="shared" si="109"/>
        <v>0</v>
      </c>
      <c r="BN151" s="677">
        <f t="shared" si="110"/>
        <v>0</v>
      </c>
      <c r="BO151" s="677">
        <f t="shared" si="148"/>
        <v>0</v>
      </c>
      <c r="BP151" s="678">
        <f t="shared" si="149"/>
        <v>0</v>
      </c>
      <c r="BQ151" s="679">
        <f t="shared" si="150"/>
        <v>0</v>
      </c>
      <c r="BR151" s="675"/>
      <c r="BS151" s="676">
        <f t="shared" si="111"/>
        <v>0</v>
      </c>
      <c r="BT151" s="677">
        <f t="shared" si="112"/>
        <v>0</v>
      </c>
      <c r="BU151" s="677">
        <f t="shared" si="151"/>
        <v>0</v>
      </c>
      <c r="BV151" s="678">
        <f t="shared" si="152"/>
        <v>0</v>
      </c>
      <c r="BW151" s="679">
        <f t="shared" si="153"/>
        <v>0</v>
      </c>
      <c r="BX151" s="675"/>
      <c r="BY151" s="676">
        <f t="shared" si="113"/>
        <v>0</v>
      </c>
      <c r="BZ151" s="677">
        <f t="shared" si="114"/>
        <v>0</v>
      </c>
      <c r="CA151" s="677">
        <f t="shared" si="154"/>
        <v>0</v>
      </c>
      <c r="CB151" s="678">
        <f t="shared" si="155"/>
        <v>0</v>
      </c>
      <c r="CC151" s="679">
        <f t="shared" si="156"/>
        <v>0</v>
      </c>
      <c r="CD151" s="675"/>
      <c r="CE151" s="676">
        <f t="shared" si="115"/>
        <v>0</v>
      </c>
      <c r="CF151" s="677">
        <f t="shared" si="116"/>
        <v>0</v>
      </c>
      <c r="CG151" s="677">
        <f t="shared" si="157"/>
        <v>0</v>
      </c>
      <c r="CH151" s="678">
        <f t="shared" si="158"/>
        <v>0</v>
      </c>
      <c r="CI151" s="679">
        <f t="shared" si="159"/>
        <v>0</v>
      </c>
      <c r="CJ151" s="675"/>
      <c r="CK151" s="676">
        <f t="shared" si="117"/>
        <v>0</v>
      </c>
      <c r="CL151" s="677">
        <f t="shared" si="118"/>
        <v>0</v>
      </c>
      <c r="CM151" s="677">
        <f t="shared" si="160"/>
        <v>0</v>
      </c>
      <c r="CN151" s="678">
        <f t="shared" si="161"/>
        <v>0</v>
      </c>
      <c r="CO151" s="679">
        <f t="shared" si="162"/>
        <v>0</v>
      </c>
      <c r="CP151" s="675"/>
      <c r="CQ151" s="676">
        <f t="shared" si="119"/>
        <v>0</v>
      </c>
      <c r="CR151" s="677">
        <f t="shared" si="120"/>
        <v>0</v>
      </c>
      <c r="CS151" s="677">
        <f t="shared" si="163"/>
        <v>0</v>
      </c>
      <c r="CT151" s="678">
        <f t="shared" si="164"/>
        <v>0</v>
      </c>
      <c r="CU151" s="679">
        <f t="shared" si="165"/>
        <v>0</v>
      </c>
      <c r="CV151" s="685"/>
      <c r="CW151" s="681"/>
      <c r="CX151" s="682"/>
      <c r="CY151" s="682"/>
      <c r="CZ151" s="683"/>
      <c r="DA151" s="684"/>
      <c r="DB151" s="685"/>
      <c r="DC151" s="681"/>
      <c r="DD151" s="682"/>
      <c r="DE151" s="682"/>
      <c r="DF151" s="683"/>
      <c r="DG151" s="684"/>
      <c r="DH151" s="685"/>
      <c r="DI151" s="681"/>
      <c r="DJ151" s="682"/>
      <c r="DK151" s="682"/>
      <c r="DL151" s="683"/>
      <c r="DM151" s="684"/>
      <c r="DN151" s="685"/>
      <c r="DO151" s="681"/>
      <c r="DP151" s="682"/>
      <c r="DQ151" s="682"/>
      <c r="DR151" s="683"/>
      <c r="DS151" s="684"/>
      <c r="DT151" s="675"/>
      <c r="DU151" s="676">
        <f t="shared" si="121"/>
        <v>0</v>
      </c>
      <c r="DV151" s="677">
        <f t="shared" si="122"/>
        <v>0</v>
      </c>
      <c r="DW151" s="677">
        <f t="shared" si="166"/>
        <v>0</v>
      </c>
      <c r="DX151" s="678">
        <f t="shared" si="167"/>
        <v>0</v>
      </c>
      <c r="DY151" s="679">
        <f t="shared" si="168"/>
        <v>0</v>
      </c>
      <c r="DZ151" s="680"/>
      <c r="EA151" s="681"/>
      <c r="EB151" s="682"/>
      <c r="EC151" s="682"/>
      <c r="ED151" s="683"/>
      <c r="EE151" s="684"/>
      <c r="EF151" s="680"/>
      <c r="EG151" s="681"/>
      <c r="EH151" s="682"/>
      <c r="EI151" s="682"/>
      <c r="EJ151" s="683"/>
      <c r="EK151" s="684"/>
      <c r="EL151" s="680"/>
      <c r="EM151" s="681"/>
      <c r="EN151" s="682"/>
      <c r="EO151" s="682"/>
      <c r="EP151" s="683"/>
      <c r="EQ151" s="684"/>
      <c r="ER151" s="680"/>
      <c r="ES151" s="681"/>
      <c r="ET151" s="682"/>
      <c r="EU151" s="682"/>
      <c r="EV151" s="683"/>
      <c r="EW151" s="684"/>
      <c r="EX151" s="675"/>
      <c r="EY151" s="676">
        <f t="shared" si="123"/>
        <v>0</v>
      </c>
      <c r="EZ151" s="677">
        <f t="shared" si="124"/>
        <v>0</v>
      </c>
      <c r="FA151" s="677">
        <f t="shared" si="169"/>
        <v>0</v>
      </c>
      <c r="FB151" s="678">
        <f t="shared" si="170"/>
        <v>0</v>
      </c>
      <c r="FC151" s="679">
        <f t="shared" si="171"/>
        <v>0</v>
      </c>
      <c r="FD151" s="680"/>
      <c r="FE151" s="681"/>
      <c r="FF151" s="682"/>
      <c r="FG151" s="682"/>
      <c r="FH151" s="683"/>
      <c r="FI151" s="684"/>
      <c r="FJ151" s="680"/>
      <c r="FK151" s="681"/>
      <c r="FL151" s="682"/>
      <c r="FM151" s="682"/>
      <c r="FN151" s="683"/>
      <c r="FO151" s="684"/>
      <c r="FP151" s="680"/>
      <c r="FQ151" s="681"/>
      <c r="FR151" s="682"/>
      <c r="FS151" s="682"/>
      <c r="FT151" s="683"/>
      <c r="FU151" s="684"/>
      <c r="FV151" s="680"/>
      <c r="FW151" s="681"/>
      <c r="FX151" s="682"/>
      <c r="FY151" s="682"/>
      <c r="FZ151" s="683"/>
      <c r="GA151" s="684"/>
      <c r="GB151" s="675"/>
      <c r="GC151" s="676">
        <f t="shared" si="125"/>
        <v>0</v>
      </c>
      <c r="GD151" s="677">
        <f t="shared" si="126"/>
        <v>0</v>
      </c>
      <c r="GE151" s="677">
        <f t="shared" si="172"/>
        <v>0</v>
      </c>
      <c r="GF151" s="678">
        <f t="shared" si="173"/>
        <v>0</v>
      </c>
      <c r="GG151" s="679">
        <f t="shared" si="174"/>
        <v>0</v>
      </c>
      <c r="GH151" s="680"/>
      <c r="GI151" s="681"/>
      <c r="GJ151" s="682"/>
      <c r="GK151" s="682"/>
      <c r="GL151" s="683"/>
      <c r="GM151" s="684"/>
      <c r="GN151" s="680"/>
      <c r="GO151" s="681"/>
      <c r="GP151" s="682"/>
      <c r="GQ151" s="682"/>
      <c r="GR151" s="683"/>
      <c r="GS151" s="684"/>
      <c r="GT151" s="680"/>
      <c r="GU151" s="681"/>
      <c r="GV151" s="682"/>
      <c r="GW151" s="682"/>
      <c r="GX151" s="683"/>
      <c r="GY151" s="684"/>
      <c r="GZ151" s="680"/>
      <c r="HA151" s="147"/>
      <c r="HB151" s="148"/>
      <c r="HC151" s="148"/>
      <c r="HD151" s="149"/>
      <c r="HE151" s="150"/>
      <c r="HF151" s="506"/>
      <c r="HG151" s="502"/>
      <c r="HH151" s="502"/>
      <c r="HI151" s="502"/>
      <c r="HJ151" s="8"/>
    </row>
    <row r="152" spans="2:218" ht="21" hidden="1">
      <c r="B152" s="488">
        <v>108</v>
      </c>
      <c r="C152" s="489" t="s">
        <v>234</v>
      </c>
      <c r="D152" s="490" t="s">
        <v>493</v>
      </c>
      <c r="E152" s="491" t="s">
        <v>605</v>
      </c>
      <c r="F152" s="492"/>
      <c r="G152" s="493"/>
      <c r="H152" s="146" t="s">
        <v>97</v>
      </c>
      <c r="I152" s="494" t="str">
        <f t="shared" si="92"/>
        <v>n.v.t.</v>
      </c>
      <c r="J152" s="495"/>
      <c r="K152" s="151">
        <v>0</v>
      </c>
      <c r="L152" s="256"/>
      <c r="M152" s="256">
        <f>IF($C$5&lt;3000,(Bron!H141*$C$5)+Bron!I141,(Bron!M141*$C$5)+Bron!N141)</f>
        <v>97675.199999999997</v>
      </c>
      <c r="N152" s="496">
        <f t="shared" si="90"/>
        <v>14606.207999999999</v>
      </c>
      <c r="O152" s="497">
        <f t="shared" si="91"/>
        <v>6.6872387412256495</v>
      </c>
      <c r="P152" s="257">
        <f>IF($C$5&lt;3000,$AN$32*Bron!J141,$AN$32*Bron!O141)</f>
        <v>0</v>
      </c>
      <c r="Q152" s="257">
        <f>IF($C$5&lt;3000,$AN$31*Bron!K141,$AN$31*Bron!P141)</f>
        <v>0</v>
      </c>
      <c r="R152" s="257">
        <f>IF($C$5&lt;3000,$AN$33*Bron!J141,$AN$33*Bron!O141)</f>
        <v>294.47999999999996</v>
      </c>
      <c r="S152" s="344"/>
      <c r="T152" s="258">
        <f t="shared" si="93"/>
        <v>0</v>
      </c>
      <c r="U152" s="259">
        <f t="shared" si="94"/>
        <v>0</v>
      </c>
      <c r="V152" s="675"/>
      <c r="W152" s="676">
        <f t="shared" si="95"/>
        <v>0</v>
      </c>
      <c r="X152" s="677">
        <f t="shared" si="96"/>
        <v>0</v>
      </c>
      <c r="Y152" s="677">
        <f t="shared" si="127"/>
        <v>0</v>
      </c>
      <c r="Z152" s="678">
        <f t="shared" si="128"/>
        <v>0</v>
      </c>
      <c r="AA152" s="679">
        <f t="shared" si="129"/>
        <v>0</v>
      </c>
      <c r="AB152" s="675"/>
      <c r="AC152" s="676">
        <f t="shared" si="97"/>
        <v>0</v>
      </c>
      <c r="AD152" s="677">
        <f t="shared" si="98"/>
        <v>0</v>
      </c>
      <c r="AE152" s="677">
        <f t="shared" si="130"/>
        <v>0</v>
      </c>
      <c r="AF152" s="678">
        <f t="shared" si="131"/>
        <v>0</v>
      </c>
      <c r="AG152" s="679">
        <f t="shared" si="132"/>
        <v>0</v>
      </c>
      <c r="AH152" s="675"/>
      <c r="AI152" s="676">
        <f t="shared" si="99"/>
        <v>0</v>
      </c>
      <c r="AJ152" s="677">
        <f t="shared" si="100"/>
        <v>0</v>
      </c>
      <c r="AK152" s="677">
        <f t="shared" si="133"/>
        <v>0</v>
      </c>
      <c r="AL152" s="678">
        <f t="shared" si="134"/>
        <v>0</v>
      </c>
      <c r="AM152" s="679">
        <f t="shared" si="135"/>
        <v>0</v>
      </c>
      <c r="AN152" s="675"/>
      <c r="AO152" s="676">
        <f t="shared" si="101"/>
        <v>0</v>
      </c>
      <c r="AP152" s="677">
        <f t="shared" si="102"/>
        <v>0</v>
      </c>
      <c r="AQ152" s="677">
        <f t="shared" si="136"/>
        <v>0</v>
      </c>
      <c r="AR152" s="678">
        <f t="shared" si="137"/>
        <v>0</v>
      </c>
      <c r="AS152" s="679">
        <f t="shared" si="138"/>
        <v>0</v>
      </c>
      <c r="AT152" s="675"/>
      <c r="AU152" s="676">
        <f t="shared" si="103"/>
        <v>0</v>
      </c>
      <c r="AV152" s="677">
        <f t="shared" si="104"/>
        <v>0</v>
      </c>
      <c r="AW152" s="677">
        <f t="shared" si="139"/>
        <v>0</v>
      </c>
      <c r="AX152" s="678">
        <f t="shared" si="140"/>
        <v>0</v>
      </c>
      <c r="AY152" s="679">
        <f t="shared" si="141"/>
        <v>0</v>
      </c>
      <c r="AZ152" s="675"/>
      <c r="BA152" s="676">
        <f t="shared" si="105"/>
        <v>0</v>
      </c>
      <c r="BB152" s="677">
        <f t="shared" si="106"/>
        <v>0</v>
      </c>
      <c r="BC152" s="677">
        <f t="shared" si="142"/>
        <v>0</v>
      </c>
      <c r="BD152" s="678">
        <f t="shared" si="143"/>
        <v>0</v>
      </c>
      <c r="BE152" s="679">
        <f t="shared" si="144"/>
        <v>0</v>
      </c>
      <c r="BF152" s="675"/>
      <c r="BG152" s="676">
        <f t="shared" si="107"/>
        <v>0</v>
      </c>
      <c r="BH152" s="677">
        <f t="shared" si="108"/>
        <v>0</v>
      </c>
      <c r="BI152" s="677">
        <f t="shared" si="145"/>
        <v>0</v>
      </c>
      <c r="BJ152" s="678">
        <f t="shared" si="146"/>
        <v>0</v>
      </c>
      <c r="BK152" s="679">
        <f t="shared" si="147"/>
        <v>0</v>
      </c>
      <c r="BL152" s="675"/>
      <c r="BM152" s="676">
        <f t="shared" si="109"/>
        <v>0</v>
      </c>
      <c r="BN152" s="677">
        <f t="shared" si="110"/>
        <v>0</v>
      </c>
      <c r="BO152" s="677">
        <f t="shared" si="148"/>
        <v>0</v>
      </c>
      <c r="BP152" s="678">
        <f t="shared" si="149"/>
        <v>0</v>
      </c>
      <c r="BQ152" s="679">
        <f t="shared" si="150"/>
        <v>0</v>
      </c>
      <c r="BR152" s="675"/>
      <c r="BS152" s="676">
        <f t="shared" si="111"/>
        <v>0</v>
      </c>
      <c r="BT152" s="677">
        <f t="shared" si="112"/>
        <v>0</v>
      </c>
      <c r="BU152" s="677">
        <f t="shared" si="151"/>
        <v>0</v>
      </c>
      <c r="BV152" s="678">
        <f t="shared" si="152"/>
        <v>0</v>
      </c>
      <c r="BW152" s="679">
        <f t="shared" si="153"/>
        <v>0</v>
      </c>
      <c r="BX152" s="675"/>
      <c r="BY152" s="676">
        <f t="shared" si="113"/>
        <v>0</v>
      </c>
      <c r="BZ152" s="677">
        <f t="shared" si="114"/>
        <v>0</v>
      </c>
      <c r="CA152" s="677">
        <f t="shared" si="154"/>
        <v>0</v>
      </c>
      <c r="CB152" s="678">
        <f t="shared" si="155"/>
        <v>0</v>
      </c>
      <c r="CC152" s="679">
        <f t="shared" si="156"/>
        <v>0</v>
      </c>
      <c r="CD152" s="675"/>
      <c r="CE152" s="676">
        <f t="shared" si="115"/>
        <v>0</v>
      </c>
      <c r="CF152" s="677">
        <f t="shared" si="116"/>
        <v>0</v>
      </c>
      <c r="CG152" s="677">
        <f t="shared" si="157"/>
        <v>0</v>
      </c>
      <c r="CH152" s="678">
        <f t="shared" si="158"/>
        <v>0</v>
      </c>
      <c r="CI152" s="679">
        <f t="shared" si="159"/>
        <v>0</v>
      </c>
      <c r="CJ152" s="675"/>
      <c r="CK152" s="676">
        <f t="shared" si="117"/>
        <v>0</v>
      </c>
      <c r="CL152" s="677">
        <f t="shared" si="118"/>
        <v>0</v>
      </c>
      <c r="CM152" s="677">
        <f t="shared" si="160"/>
        <v>0</v>
      </c>
      <c r="CN152" s="678">
        <f t="shared" si="161"/>
        <v>0</v>
      </c>
      <c r="CO152" s="679">
        <f t="shared" si="162"/>
        <v>0</v>
      </c>
      <c r="CP152" s="675"/>
      <c r="CQ152" s="676">
        <f t="shared" si="119"/>
        <v>0</v>
      </c>
      <c r="CR152" s="677">
        <f t="shared" si="120"/>
        <v>0</v>
      </c>
      <c r="CS152" s="677">
        <f t="shared" si="163"/>
        <v>0</v>
      </c>
      <c r="CT152" s="678">
        <f t="shared" si="164"/>
        <v>0</v>
      </c>
      <c r="CU152" s="679">
        <f t="shared" si="165"/>
        <v>0</v>
      </c>
      <c r="CV152" s="685"/>
      <c r="CW152" s="681"/>
      <c r="CX152" s="682"/>
      <c r="CY152" s="682"/>
      <c r="CZ152" s="683"/>
      <c r="DA152" s="684"/>
      <c r="DB152" s="685"/>
      <c r="DC152" s="681"/>
      <c r="DD152" s="682"/>
      <c r="DE152" s="682"/>
      <c r="DF152" s="683"/>
      <c r="DG152" s="684"/>
      <c r="DH152" s="685"/>
      <c r="DI152" s="681"/>
      <c r="DJ152" s="682"/>
      <c r="DK152" s="682"/>
      <c r="DL152" s="683"/>
      <c r="DM152" s="684"/>
      <c r="DN152" s="685"/>
      <c r="DO152" s="681"/>
      <c r="DP152" s="682"/>
      <c r="DQ152" s="682"/>
      <c r="DR152" s="683"/>
      <c r="DS152" s="684"/>
      <c r="DT152" s="675"/>
      <c r="DU152" s="676">
        <f t="shared" si="121"/>
        <v>0</v>
      </c>
      <c r="DV152" s="677">
        <f t="shared" si="122"/>
        <v>0</v>
      </c>
      <c r="DW152" s="677">
        <f t="shared" si="166"/>
        <v>0</v>
      </c>
      <c r="DX152" s="678">
        <f t="shared" si="167"/>
        <v>0</v>
      </c>
      <c r="DY152" s="679">
        <f t="shared" si="168"/>
        <v>0</v>
      </c>
      <c r="DZ152" s="680"/>
      <c r="EA152" s="681"/>
      <c r="EB152" s="682"/>
      <c r="EC152" s="682"/>
      <c r="ED152" s="683"/>
      <c r="EE152" s="684"/>
      <c r="EF152" s="680"/>
      <c r="EG152" s="681"/>
      <c r="EH152" s="682"/>
      <c r="EI152" s="682"/>
      <c r="EJ152" s="683"/>
      <c r="EK152" s="684"/>
      <c r="EL152" s="680"/>
      <c r="EM152" s="681"/>
      <c r="EN152" s="682"/>
      <c r="EO152" s="682"/>
      <c r="EP152" s="683"/>
      <c r="EQ152" s="684"/>
      <c r="ER152" s="680"/>
      <c r="ES152" s="681"/>
      <c r="ET152" s="682"/>
      <c r="EU152" s="682"/>
      <c r="EV152" s="683"/>
      <c r="EW152" s="684"/>
      <c r="EX152" s="675"/>
      <c r="EY152" s="676">
        <f t="shared" si="123"/>
        <v>0</v>
      </c>
      <c r="EZ152" s="677">
        <f t="shared" si="124"/>
        <v>0</v>
      </c>
      <c r="FA152" s="677">
        <f t="shared" si="169"/>
        <v>0</v>
      </c>
      <c r="FB152" s="678">
        <f t="shared" si="170"/>
        <v>0</v>
      </c>
      <c r="FC152" s="679">
        <f t="shared" si="171"/>
        <v>0</v>
      </c>
      <c r="FD152" s="680"/>
      <c r="FE152" s="681"/>
      <c r="FF152" s="682"/>
      <c r="FG152" s="682"/>
      <c r="FH152" s="683"/>
      <c r="FI152" s="684"/>
      <c r="FJ152" s="680"/>
      <c r="FK152" s="681"/>
      <c r="FL152" s="682"/>
      <c r="FM152" s="682"/>
      <c r="FN152" s="683"/>
      <c r="FO152" s="684"/>
      <c r="FP152" s="680"/>
      <c r="FQ152" s="681"/>
      <c r="FR152" s="682"/>
      <c r="FS152" s="682"/>
      <c r="FT152" s="683"/>
      <c r="FU152" s="684"/>
      <c r="FV152" s="680"/>
      <c r="FW152" s="681"/>
      <c r="FX152" s="682"/>
      <c r="FY152" s="682"/>
      <c r="FZ152" s="683"/>
      <c r="GA152" s="684"/>
      <c r="GB152" s="675"/>
      <c r="GC152" s="676">
        <f t="shared" si="125"/>
        <v>0</v>
      </c>
      <c r="GD152" s="677">
        <f t="shared" si="126"/>
        <v>0</v>
      </c>
      <c r="GE152" s="677">
        <f t="shared" si="172"/>
        <v>0</v>
      </c>
      <c r="GF152" s="678">
        <f t="shared" si="173"/>
        <v>0</v>
      </c>
      <c r="GG152" s="679">
        <f t="shared" si="174"/>
        <v>0</v>
      </c>
      <c r="GH152" s="680"/>
      <c r="GI152" s="681"/>
      <c r="GJ152" s="682"/>
      <c r="GK152" s="682"/>
      <c r="GL152" s="683"/>
      <c r="GM152" s="684"/>
      <c r="GN152" s="680"/>
      <c r="GO152" s="681"/>
      <c r="GP152" s="682"/>
      <c r="GQ152" s="682"/>
      <c r="GR152" s="683"/>
      <c r="GS152" s="684"/>
      <c r="GT152" s="680"/>
      <c r="GU152" s="681"/>
      <c r="GV152" s="682"/>
      <c r="GW152" s="682"/>
      <c r="GX152" s="683"/>
      <c r="GY152" s="684"/>
      <c r="GZ152" s="680"/>
      <c r="HA152" s="147"/>
      <c r="HB152" s="148"/>
      <c r="HC152" s="148"/>
      <c r="HD152" s="149"/>
      <c r="HE152" s="150"/>
      <c r="HF152" s="506"/>
      <c r="HG152" s="502"/>
      <c r="HH152" s="502"/>
      <c r="HI152" s="502"/>
      <c r="HJ152" s="8"/>
    </row>
    <row r="153" spans="2:218" ht="21" hidden="1">
      <c r="B153" s="488">
        <v>109</v>
      </c>
      <c r="C153" s="489" t="s">
        <v>234</v>
      </c>
      <c r="D153" s="490" t="s">
        <v>493</v>
      </c>
      <c r="E153" s="491" t="s">
        <v>608</v>
      </c>
      <c r="F153" s="492"/>
      <c r="G153" s="493"/>
      <c r="H153" s="146" t="s">
        <v>97</v>
      </c>
      <c r="I153" s="494" t="str">
        <f t="shared" si="92"/>
        <v>n.v.t.</v>
      </c>
      <c r="J153" s="495"/>
      <c r="K153" s="151">
        <v>0</v>
      </c>
      <c r="L153" s="256"/>
      <c r="M153" s="256">
        <f>IF($C$5&lt;3000,(Bron!H142*$C$5)+Bron!I142,(Bron!M142*$C$5)+Bron!N142)</f>
        <v>58605.119999999995</v>
      </c>
      <c r="N153" s="496">
        <f t="shared" si="90"/>
        <v>9737.4719999999998</v>
      </c>
      <c r="O153" s="497">
        <f t="shared" si="91"/>
        <v>6.0185148671030833</v>
      </c>
      <c r="P153" s="257">
        <f>IF($C$5&lt;3000,$AN$32*Bron!J142,$AN$32*Bron!O142)</f>
        <v>0</v>
      </c>
      <c r="Q153" s="257">
        <f>IF($C$5&lt;3000,$AN$31*Bron!K142,$AN$31*Bron!P142)</f>
        <v>0</v>
      </c>
      <c r="R153" s="257">
        <f>IF($C$5&lt;3000,$AN$33*Bron!J142,$AN$33*Bron!O142)</f>
        <v>196.32</v>
      </c>
      <c r="S153" s="344"/>
      <c r="T153" s="258">
        <f t="shared" si="93"/>
        <v>0</v>
      </c>
      <c r="U153" s="259">
        <f t="shared" si="94"/>
        <v>0</v>
      </c>
      <c r="V153" s="675"/>
      <c r="W153" s="676">
        <f t="shared" si="95"/>
        <v>0</v>
      </c>
      <c r="X153" s="677">
        <f t="shared" si="96"/>
        <v>0</v>
      </c>
      <c r="Y153" s="677">
        <f t="shared" si="127"/>
        <v>0</v>
      </c>
      <c r="Z153" s="678">
        <f t="shared" si="128"/>
        <v>0</v>
      </c>
      <c r="AA153" s="679">
        <f t="shared" si="129"/>
        <v>0</v>
      </c>
      <c r="AB153" s="675"/>
      <c r="AC153" s="676">
        <f t="shared" si="97"/>
        <v>0</v>
      </c>
      <c r="AD153" s="677">
        <f t="shared" si="98"/>
        <v>0</v>
      </c>
      <c r="AE153" s="677">
        <f t="shared" si="130"/>
        <v>0</v>
      </c>
      <c r="AF153" s="678">
        <f t="shared" si="131"/>
        <v>0</v>
      </c>
      <c r="AG153" s="679">
        <f t="shared" si="132"/>
        <v>0</v>
      </c>
      <c r="AH153" s="675"/>
      <c r="AI153" s="676">
        <f t="shared" si="99"/>
        <v>0</v>
      </c>
      <c r="AJ153" s="677">
        <f t="shared" si="100"/>
        <v>0</v>
      </c>
      <c r="AK153" s="677">
        <f t="shared" si="133"/>
        <v>0</v>
      </c>
      <c r="AL153" s="678">
        <f t="shared" si="134"/>
        <v>0</v>
      </c>
      <c r="AM153" s="679">
        <f t="shared" si="135"/>
        <v>0</v>
      </c>
      <c r="AN153" s="675"/>
      <c r="AO153" s="676">
        <f t="shared" si="101"/>
        <v>0</v>
      </c>
      <c r="AP153" s="677">
        <f t="shared" si="102"/>
        <v>0</v>
      </c>
      <c r="AQ153" s="677">
        <f t="shared" si="136"/>
        <v>0</v>
      </c>
      <c r="AR153" s="678">
        <f t="shared" si="137"/>
        <v>0</v>
      </c>
      <c r="AS153" s="679">
        <f t="shared" si="138"/>
        <v>0</v>
      </c>
      <c r="AT153" s="675"/>
      <c r="AU153" s="676">
        <f t="shared" si="103"/>
        <v>0</v>
      </c>
      <c r="AV153" s="677">
        <f t="shared" si="104"/>
        <v>0</v>
      </c>
      <c r="AW153" s="677">
        <f t="shared" si="139"/>
        <v>0</v>
      </c>
      <c r="AX153" s="678">
        <f t="shared" si="140"/>
        <v>0</v>
      </c>
      <c r="AY153" s="679">
        <f t="shared" si="141"/>
        <v>0</v>
      </c>
      <c r="AZ153" s="675"/>
      <c r="BA153" s="676">
        <f t="shared" si="105"/>
        <v>0</v>
      </c>
      <c r="BB153" s="677">
        <f t="shared" si="106"/>
        <v>0</v>
      </c>
      <c r="BC153" s="677">
        <f t="shared" si="142"/>
        <v>0</v>
      </c>
      <c r="BD153" s="678">
        <f t="shared" si="143"/>
        <v>0</v>
      </c>
      <c r="BE153" s="679">
        <f t="shared" si="144"/>
        <v>0</v>
      </c>
      <c r="BF153" s="675"/>
      <c r="BG153" s="676">
        <f t="shared" si="107"/>
        <v>0</v>
      </c>
      <c r="BH153" s="677">
        <f t="shared" si="108"/>
        <v>0</v>
      </c>
      <c r="BI153" s="677">
        <f t="shared" si="145"/>
        <v>0</v>
      </c>
      <c r="BJ153" s="678">
        <f t="shared" si="146"/>
        <v>0</v>
      </c>
      <c r="BK153" s="679">
        <f t="shared" si="147"/>
        <v>0</v>
      </c>
      <c r="BL153" s="675"/>
      <c r="BM153" s="676">
        <f t="shared" si="109"/>
        <v>0</v>
      </c>
      <c r="BN153" s="677">
        <f t="shared" si="110"/>
        <v>0</v>
      </c>
      <c r="BO153" s="677">
        <f t="shared" si="148"/>
        <v>0</v>
      </c>
      <c r="BP153" s="678">
        <f t="shared" si="149"/>
        <v>0</v>
      </c>
      <c r="BQ153" s="679">
        <f t="shared" si="150"/>
        <v>0</v>
      </c>
      <c r="BR153" s="675"/>
      <c r="BS153" s="676">
        <f t="shared" si="111"/>
        <v>0</v>
      </c>
      <c r="BT153" s="677">
        <f t="shared" si="112"/>
        <v>0</v>
      </c>
      <c r="BU153" s="677">
        <f t="shared" si="151"/>
        <v>0</v>
      </c>
      <c r="BV153" s="678">
        <f t="shared" si="152"/>
        <v>0</v>
      </c>
      <c r="BW153" s="679">
        <f t="shared" si="153"/>
        <v>0</v>
      </c>
      <c r="BX153" s="675"/>
      <c r="BY153" s="676">
        <f t="shared" si="113"/>
        <v>0</v>
      </c>
      <c r="BZ153" s="677">
        <f t="shared" si="114"/>
        <v>0</v>
      </c>
      <c r="CA153" s="677">
        <f t="shared" si="154"/>
        <v>0</v>
      </c>
      <c r="CB153" s="678">
        <f t="shared" si="155"/>
        <v>0</v>
      </c>
      <c r="CC153" s="679">
        <f t="shared" si="156"/>
        <v>0</v>
      </c>
      <c r="CD153" s="675"/>
      <c r="CE153" s="676">
        <f t="shared" si="115"/>
        <v>0</v>
      </c>
      <c r="CF153" s="677">
        <f t="shared" si="116"/>
        <v>0</v>
      </c>
      <c r="CG153" s="677">
        <f t="shared" si="157"/>
        <v>0</v>
      </c>
      <c r="CH153" s="678">
        <f t="shared" si="158"/>
        <v>0</v>
      </c>
      <c r="CI153" s="679">
        <f t="shared" si="159"/>
        <v>0</v>
      </c>
      <c r="CJ153" s="675"/>
      <c r="CK153" s="676">
        <f t="shared" si="117"/>
        <v>0</v>
      </c>
      <c r="CL153" s="677">
        <f t="shared" si="118"/>
        <v>0</v>
      </c>
      <c r="CM153" s="677">
        <f t="shared" si="160"/>
        <v>0</v>
      </c>
      <c r="CN153" s="678">
        <f t="shared" si="161"/>
        <v>0</v>
      </c>
      <c r="CO153" s="679">
        <f t="shared" si="162"/>
        <v>0</v>
      </c>
      <c r="CP153" s="675"/>
      <c r="CQ153" s="676">
        <f t="shared" si="119"/>
        <v>0</v>
      </c>
      <c r="CR153" s="677">
        <f t="shared" si="120"/>
        <v>0</v>
      </c>
      <c r="CS153" s="677">
        <f t="shared" si="163"/>
        <v>0</v>
      </c>
      <c r="CT153" s="678">
        <f t="shared" si="164"/>
        <v>0</v>
      </c>
      <c r="CU153" s="679">
        <f t="shared" si="165"/>
        <v>0</v>
      </c>
      <c r="CV153" s="685"/>
      <c r="CW153" s="681"/>
      <c r="CX153" s="682"/>
      <c r="CY153" s="682"/>
      <c r="CZ153" s="683"/>
      <c r="DA153" s="684"/>
      <c r="DB153" s="685"/>
      <c r="DC153" s="681"/>
      <c r="DD153" s="682"/>
      <c r="DE153" s="682"/>
      <c r="DF153" s="683"/>
      <c r="DG153" s="684"/>
      <c r="DH153" s="685"/>
      <c r="DI153" s="681"/>
      <c r="DJ153" s="682"/>
      <c r="DK153" s="682"/>
      <c r="DL153" s="683"/>
      <c r="DM153" s="684"/>
      <c r="DN153" s="685"/>
      <c r="DO153" s="681"/>
      <c r="DP153" s="682"/>
      <c r="DQ153" s="682"/>
      <c r="DR153" s="683"/>
      <c r="DS153" s="684"/>
      <c r="DT153" s="675"/>
      <c r="DU153" s="676">
        <f t="shared" si="121"/>
        <v>0</v>
      </c>
      <c r="DV153" s="677">
        <f t="shared" si="122"/>
        <v>0</v>
      </c>
      <c r="DW153" s="677">
        <f t="shared" si="166"/>
        <v>0</v>
      </c>
      <c r="DX153" s="678">
        <f t="shared" si="167"/>
        <v>0</v>
      </c>
      <c r="DY153" s="679">
        <f t="shared" si="168"/>
        <v>0</v>
      </c>
      <c r="DZ153" s="680"/>
      <c r="EA153" s="681"/>
      <c r="EB153" s="682"/>
      <c r="EC153" s="682"/>
      <c r="ED153" s="683"/>
      <c r="EE153" s="684"/>
      <c r="EF153" s="680"/>
      <c r="EG153" s="681"/>
      <c r="EH153" s="682"/>
      <c r="EI153" s="682"/>
      <c r="EJ153" s="683"/>
      <c r="EK153" s="684"/>
      <c r="EL153" s="680"/>
      <c r="EM153" s="681"/>
      <c r="EN153" s="682"/>
      <c r="EO153" s="682"/>
      <c r="EP153" s="683"/>
      <c r="EQ153" s="684"/>
      <c r="ER153" s="680"/>
      <c r="ES153" s="681"/>
      <c r="ET153" s="682"/>
      <c r="EU153" s="682"/>
      <c r="EV153" s="683"/>
      <c r="EW153" s="684"/>
      <c r="EX153" s="675"/>
      <c r="EY153" s="676">
        <f t="shared" si="123"/>
        <v>0</v>
      </c>
      <c r="EZ153" s="677">
        <f t="shared" si="124"/>
        <v>0</v>
      </c>
      <c r="FA153" s="677">
        <f t="shared" si="169"/>
        <v>0</v>
      </c>
      <c r="FB153" s="678">
        <f t="shared" si="170"/>
        <v>0</v>
      </c>
      <c r="FC153" s="679">
        <f t="shared" si="171"/>
        <v>0</v>
      </c>
      <c r="FD153" s="680"/>
      <c r="FE153" s="681"/>
      <c r="FF153" s="682"/>
      <c r="FG153" s="682"/>
      <c r="FH153" s="683"/>
      <c r="FI153" s="684"/>
      <c r="FJ153" s="680"/>
      <c r="FK153" s="681"/>
      <c r="FL153" s="682"/>
      <c r="FM153" s="682"/>
      <c r="FN153" s="683"/>
      <c r="FO153" s="684"/>
      <c r="FP153" s="680"/>
      <c r="FQ153" s="681"/>
      <c r="FR153" s="682"/>
      <c r="FS153" s="682"/>
      <c r="FT153" s="683"/>
      <c r="FU153" s="684"/>
      <c r="FV153" s="680"/>
      <c r="FW153" s="681"/>
      <c r="FX153" s="682"/>
      <c r="FY153" s="682"/>
      <c r="FZ153" s="683"/>
      <c r="GA153" s="684"/>
      <c r="GB153" s="675"/>
      <c r="GC153" s="676">
        <f t="shared" si="125"/>
        <v>0</v>
      </c>
      <c r="GD153" s="677">
        <f t="shared" si="126"/>
        <v>0</v>
      </c>
      <c r="GE153" s="677">
        <f t="shared" si="172"/>
        <v>0</v>
      </c>
      <c r="GF153" s="678">
        <f t="shared" si="173"/>
        <v>0</v>
      </c>
      <c r="GG153" s="679">
        <f t="shared" si="174"/>
        <v>0</v>
      </c>
      <c r="GH153" s="680"/>
      <c r="GI153" s="681"/>
      <c r="GJ153" s="682"/>
      <c r="GK153" s="682"/>
      <c r="GL153" s="683"/>
      <c r="GM153" s="684"/>
      <c r="GN153" s="680"/>
      <c r="GO153" s="681"/>
      <c r="GP153" s="682"/>
      <c r="GQ153" s="682"/>
      <c r="GR153" s="683"/>
      <c r="GS153" s="684"/>
      <c r="GT153" s="680"/>
      <c r="GU153" s="681"/>
      <c r="GV153" s="682"/>
      <c r="GW153" s="682"/>
      <c r="GX153" s="683"/>
      <c r="GY153" s="684"/>
      <c r="GZ153" s="680"/>
      <c r="HA153" s="147"/>
      <c r="HB153" s="148"/>
      <c r="HC153" s="148"/>
      <c r="HD153" s="149"/>
      <c r="HE153" s="150"/>
      <c r="HF153" s="506"/>
      <c r="HG153" s="502"/>
      <c r="HH153" s="502"/>
      <c r="HI153" s="502"/>
      <c r="HJ153" s="8"/>
    </row>
    <row r="154" spans="2:218" ht="21">
      <c r="B154" s="488">
        <v>110</v>
      </c>
      <c r="C154" s="489" t="s">
        <v>248</v>
      </c>
      <c r="D154" s="490" t="s">
        <v>247</v>
      </c>
      <c r="E154" s="491" t="s">
        <v>249</v>
      </c>
      <c r="F154" s="492"/>
      <c r="G154" s="493"/>
      <c r="H154" s="146" t="s">
        <v>852</v>
      </c>
      <c r="I154" s="494" t="str">
        <f t="shared" si="92"/>
        <v>verhuurder</v>
      </c>
      <c r="J154" s="495" t="s">
        <v>487</v>
      </c>
      <c r="K154" s="151">
        <v>0</v>
      </c>
      <c r="L154" s="256">
        <f>IF($C$5&lt;3000,(Bron!H143*$C$5)+Bron!I143,(Bron!M143*$C$5)+Bron!N143)</f>
        <v>2604.672</v>
      </c>
      <c r="M154" s="256"/>
      <c r="N154" s="496">
        <f t="shared" si="90"/>
        <v>405.72800000000001</v>
      </c>
      <c r="O154" s="497">
        <f t="shared" si="91"/>
        <v>6.4197491915766225</v>
      </c>
      <c r="P154" s="257">
        <f>IF($C$5&lt;3000,$AN$32*Bron!J143,$AN$32*Bron!O143)</f>
        <v>0</v>
      </c>
      <c r="Q154" s="257"/>
      <c r="R154" s="257">
        <f>IF($C$5&lt;3000,$AN$33*Bron!J143,$AN$33*Bron!O143)</f>
        <v>8.18</v>
      </c>
      <c r="S154" s="344"/>
      <c r="T154" s="258">
        <f t="shared" si="93"/>
        <v>1</v>
      </c>
      <c r="U154" s="259">
        <f t="shared" si="94"/>
        <v>2604.672</v>
      </c>
      <c r="V154" s="675"/>
      <c r="W154" s="676">
        <f t="shared" si="95"/>
        <v>0</v>
      </c>
      <c r="X154" s="677">
        <f t="shared" si="96"/>
        <v>0</v>
      </c>
      <c r="Y154" s="677">
        <f t="shared" si="127"/>
        <v>0</v>
      </c>
      <c r="Z154" s="678">
        <f t="shared" si="128"/>
        <v>0</v>
      </c>
      <c r="AA154" s="679">
        <f t="shared" si="129"/>
        <v>0</v>
      </c>
      <c r="AB154" s="675"/>
      <c r="AC154" s="676">
        <f t="shared" si="97"/>
        <v>0</v>
      </c>
      <c r="AD154" s="677">
        <f t="shared" si="98"/>
        <v>0</v>
      </c>
      <c r="AE154" s="677">
        <f t="shared" si="130"/>
        <v>0</v>
      </c>
      <c r="AF154" s="678">
        <f t="shared" si="131"/>
        <v>0</v>
      </c>
      <c r="AG154" s="679">
        <f t="shared" si="132"/>
        <v>0</v>
      </c>
      <c r="AH154" s="675"/>
      <c r="AI154" s="676">
        <f t="shared" si="99"/>
        <v>0</v>
      </c>
      <c r="AJ154" s="677">
        <f t="shared" si="100"/>
        <v>0</v>
      </c>
      <c r="AK154" s="677">
        <f t="shared" si="133"/>
        <v>0</v>
      </c>
      <c r="AL154" s="678">
        <f t="shared" si="134"/>
        <v>0</v>
      </c>
      <c r="AM154" s="679">
        <f t="shared" si="135"/>
        <v>0</v>
      </c>
      <c r="AN154" s="675"/>
      <c r="AO154" s="676">
        <f t="shared" si="101"/>
        <v>0</v>
      </c>
      <c r="AP154" s="677">
        <f t="shared" si="102"/>
        <v>0</v>
      </c>
      <c r="AQ154" s="677">
        <f t="shared" si="136"/>
        <v>0</v>
      </c>
      <c r="AR154" s="678">
        <f t="shared" si="137"/>
        <v>0</v>
      </c>
      <c r="AS154" s="679">
        <f t="shared" si="138"/>
        <v>0</v>
      </c>
      <c r="AT154" s="675">
        <v>1</v>
      </c>
      <c r="AU154" s="676">
        <f t="shared" si="103"/>
        <v>2604.672</v>
      </c>
      <c r="AV154" s="677">
        <f t="shared" si="104"/>
        <v>0</v>
      </c>
      <c r="AW154" s="677">
        <f t="shared" si="139"/>
        <v>0</v>
      </c>
      <c r="AX154" s="678">
        <f t="shared" si="140"/>
        <v>8.18</v>
      </c>
      <c r="AY154" s="679">
        <f t="shared" si="141"/>
        <v>405.72800000000001</v>
      </c>
      <c r="AZ154" s="675"/>
      <c r="BA154" s="676">
        <f t="shared" si="105"/>
        <v>0</v>
      </c>
      <c r="BB154" s="677">
        <f t="shared" si="106"/>
        <v>0</v>
      </c>
      <c r="BC154" s="677">
        <f t="shared" si="142"/>
        <v>0</v>
      </c>
      <c r="BD154" s="678">
        <f t="shared" si="143"/>
        <v>0</v>
      </c>
      <c r="BE154" s="679">
        <f t="shared" si="144"/>
        <v>0</v>
      </c>
      <c r="BF154" s="675"/>
      <c r="BG154" s="676">
        <f t="shared" si="107"/>
        <v>0</v>
      </c>
      <c r="BH154" s="677">
        <f t="shared" si="108"/>
        <v>0</v>
      </c>
      <c r="BI154" s="677">
        <f t="shared" si="145"/>
        <v>0</v>
      </c>
      <c r="BJ154" s="678">
        <f t="shared" si="146"/>
        <v>0</v>
      </c>
      <c r="BK154" s="679">
        <f t="shared" si="147"/>
        <v>0</v>
      </c>
      <c r="BL154" s="675"/>
      <c r="BM154" s="676">
        <f t="shared" si="109"/>
        <v>0</v>
      </c>
      <c r="BN154" s="677">
        <f t="shared" si="110"/>
        <v>0</v>
      </c>
      <c r="BO154" s="677">
        <f t="shared" si="148"/>
        <v>0</v>
      </c>
      <c r="BP154" s="678">
        <f t="shared" si="149"/>
        <v>0</v>
      </c>
      <c r="BQ154" s="679">
        <f t="shared" si="150"/>
        <v>0</v>
      </c>
      <c r="BR154" s="675"/>
      <c r="BS154" s="676">
        <f t="shared" si="111"/>
        <v>0</v>
      </c>
      <c r="BT154" s="677">
        <f t="shared" si="112"/>
        <v>0</v>
      </c>
      <c r="BU154" s="677">
        <f t="shared" si="151"/>
        <v>0</v>
      </c>
      <c r="BV154" s="678">
        <f t="shared" si="152"/>
        <v>0</v>
      </c>
      <c r="BW154" s="679">
        <f t="shared" si="153"/>
        <v>0</v>
      </c>
      <c r="BX154" s="675"/>
      <c r="BY154" s="676">
        <f t="shared" si="113"/>
        <v>0</v>
      </c>
      <c r="BZ154" s="677">
        <f t="shared" si="114"/>
        <v>0</v>
      </c>
      <c r="CA154" s="677">
        <f t="shared" si="154"/>
        <v>0</v>
      </c>
      <c r="CB154" s="678">
        <f t="shared" si="155"/>
        <v>0</v>
      </c>
      <c r="CC154" s="679">
        <f t="shared" si="156"/>
        <v>0</v>
      </c>
      <c r="CD154" s="675"/>
      <c r="CE154" s="676">
        <f t="shared" si="115"/>
        <v>0</v>
      </c>
      <c r="CF154" s="677">
        <f t="shared" si="116"/>
        <v>0</v>
      </c>
      <c r="CG154" s="677">
        <f t="shared" si="157"/>
        <v>0</v>
      </c>
      <c r="CH154" s="678">
        <f t="shared" si="158"/>
        <v>0</v>
      </c>
      <c r="CI154" s="679">
        <f t="shared" si="159"/>
        <v>0</v>
      </c>
      <c r="CJ154" s="675"/>
      <c r="CK154" s="676">
        <f t="shared" si="117"/>
        <v>0</v>
      </c>
      <c r="CL154" s="677">
        <f t="shared" si="118"/>
        <v>0</v>
      </c>
      <c r="CM154" s="677">
        <f t="shared" si="160"/>
        <v>0</v>
      </c>
      <c r="CN154" s="678">
        <f t="shared" si="161"/>
        <v>0</v>
      </c>
      <c r="CO154" s="679">
        <f t="shared" si="162"/>
        <v>0</v>
      </c>
      <c r="CP154" s="675"/>
      <c r="CQ154" s="676">
        <f t="shared" si="119"/>
        <v>0</v>
      </c>
      <c r="CR154" s="677">
        <f t="shared" si="120"/>
        <v>0</v>
      </c>
      <c r="CS154" s="677">
        <f t="shared" si="163"/>
        <v>0</v>
      </c>
      <c r="CT154" s="678">
        <f t="shared" si="164"/>
        <v>0</v>
      </c>
      <c r="CU154" s="679">
        <f t="shared" si="165"/>
        <v>0</v>
      </c>
      <c r="CV154" s="685"/>
      <c r="CW154" s="681"/>
      <c r="CX154" s="682"/>
      <c r="CY154" s="682"/>
      <c r="CZ154" s="683"/>
      <c r="DA154" s="684"/>
      <c r="DB154" s="685"/>
      <c r="DC154" s="681"/>
      <c r="DD154" s="682"/>
      <c r="DE154" s="682"/>
      <c r="DF154" s="683"/>
      <c r="DG154" s="684"/>
      <c r="DH154" s="685"/>
      <c r="DI154" s="681"/>
      <c r="DJ154" s="682"/>
      <c r="DK154" s="682"/>
      <c r="DL154" s="683"/>
      <c r="DM154" s="684"/>
      <c r="DN154" s="685"/>
      <c r="DO154" s="681"/>
      <c r="DP154" s="682"/>
      <c r="DQ154" s="682"/>
      <c r="DR154" s="683"/>
      <c r="DS154" s="684"/>
      <c r="DT154" s="675"/>
      <c r="DU154" s="676">
        <f t="shared" si="121"/>
        <v>0</v>
      </c>
      <c r="DV154" s="677">
        <f t="shared" si="122"/>
        <v>0</v>
      </c>
      <c r="DW154" s="677">
        <f t="shared" si="166"/>
        <v>0</v>
      </c>
      <c r="DX154" s="678">
        <f t="shared" si="167"/>
        <v>0</v>
      </c>
      <c r="DY154" s="679">
        <f t="shared" si="168"/>
        <v>0</v>
      </c>
      <c r="DZ154" s="680"/>
      <c r="EA154" s="681"/>
      <c r="EB154" s="682"/>
      <c r="EC154" s="682"/>
      <c r="ED154" s="683"/>
      <c r="EE154" s="684"/>
      <c r="EF154" s="680"/>
      <c r="EG154" s="681"/>
      <c r="EH154" s="682"/>
      <c r="EI154" s="682"/>
      <c r="EJ154" s="683"/>
      <c r="EK154" s="684"/>
      <c r="EL154" s="680"/>
      <c r="EM154" s="681"/>
      <c r="EN154" s="682"/>
      <c r="EO154" s="682"/>
      <c r="EP154" s="683"/>
      <c r="EQ154" s="684"/>
      <c r="ER154" s="680"/>
      <c r="ES154" s="681"/>
      <c r="ET154" s="682"/>
      <c r="EU154" s="682"/>
      <c r="EV154" s="683"/>
      <c r="EW154" s="684"/>
      <c r="EX154" s="675"/>
      <c r="EY154" s="676">
        <f t="shared" si="123"/>
        <v>0</v>
      </c>
      <c r="EZ154" s="677">
        <f t="shared" si="124"/>
        <v>0</v>
      </c>
      <c r="FA154" s="677">
        <f t="shared" si="169"/>
        <v>0</v>
      </c>
      <c r="FB154" s="678">
        <f t="shared" si="170"/>
        <v>0</v>
      </c>
      <c r="FC154" s="679">
        <f t="shared" si="171"/>
        <v>0</v>
      </c>
      <c r="FD154" s="680"/>
      <c r="FE154" s="681"/>
      <c r="FF154" s="682"/>
      <c r="FG154" s="682"/>
      <c r="FH154" s="683"/>
      <c r="FI154" s="684"/>
      <c r="FJ154" s="680"/>
      <c r="FK154" s="681"/>
      <c r="FL154" s="682"/>
      <c r="FM154" s="682"/>
      <c r="FN154" s="683"/>
      <c r="FO154" s="684"/>
      <c r="FP154" s="680"/>
      <c r="FQ154" s="681"/>
      <c r="FR154" s="682"/>
      <c r="FS154" s="682"/>
      <c r="FT154" s="683"/>
      <c r="FU154" s="684"/>
      <c r="FV154" s="680"/>
      <c r="FW154" s="681"/>
      <c r="FX154" s="682"/>
      <c r="FY154" s="682"/>
      <c r="FZ154" s="683"/>
      <c r="GA154" s="684"/>
      <c r="GB154" s="675"/>
      <c r="GC154" s="676">
        <f t="shared" si="125"/>
        <v>0</v>
      </c>
      <c r="GD154" s="677">
        <f t="shared" si="126"/>
        <v>0</v>
      </c>
      <c r="GE154" s="677">
        <f t="shared" si="172"/>
        <v>0</v>
      </c>
      <c r="GF154" s="678">
        <f t="shared" si="173"/>
        <v>0</v>
      </c>
      <c r="GG154" s="679">
        <f t="shared" si="174"/>
        <v>0</v>
      </c>
      <c r="GH154" s="680"/>
      <c r="GI154" s="681"/>
      <c r="GJ154" s="682"/>
      <c r="GK154" s="682"/>
      <c r="GL154" s="683"/>
      <c r="GM154" s="684"/>
      <c r="GN154" s="680"/>
      <c r="GO154" s="681"/>
      <c r="GP154" s="682"/>
      <c r="GQ154" s="682"/>
      <c r="GR154" s="683"/>
      <c r="GS154" s="684"/>
      <c r="GT154" s="680"/>
      <c r="GU154" s="681"/>
      <c r="GV154" s="682"/>
      <c r="GW154" s="682"/>
      <c r="GX154" s="683"/>
      <c r="GY154" s="684"/>
      <c r="GZ154" s="680"/>
      <c r="HA154" s="147"/>
      <c r="HB154" s="148"/>
      <c r="HC154" s="148"/>
      <c r="HD154" s="149"/>
      <c r="HE154" s="150"/>
      <c r="HF154" s="506"/>
      <c r="HG154" s="502"/>
      <c r="HH154" s="502"/>
      <c r="HI154" s="502"/>
      <c r="HJ154" s="8"/>
    </row>
    <row r="155" spans="2:218" ht="21">
      <c r="B155" s="488">
        <v>111</v>
      </c>
      <c r="C155" s="489" t="s">
        <v>248</v>
      </c>
      <c r="D155" s="490" t="s">
        <v>250</v>
      </c>
      <c r="E155" s="491" t="s">
        <v>251</v>
      </c>
      <c r="F155" s="492"/>
      <c r="G155" s="493"/>
      <c r="H155" s="146" t="s">
        <v>486</v>
      </c>
      <c r="I155" s="494" t="str">
        <f t="shared" si="92"/>
        <v>ons</v>
      </c>
      <c r="J155" s="495" t="s">
        <v>487</v>
      </c>
      <c r="K155" s="151">
        <v>0</v>
      </c>
      <c r="L155" s="256">
        <f>IF($C$5&lt;3000,(Bron!H144*$C$5)+Bron!I144,(Bron!M144*$C$5)+Bron!N144)</f>
        <v>2067.1999999999998</v>
      </c>
      <c r="M155" s="256"/>
      <c r="N155" s="496">
        <f t="shared" ref="N155:N181" si="175">($C$19*P155)+($C$18*Q155)+($C$20*R155)</f>
        <v>446.30079999999998</v>
      </c>
      <c r="O155" s="497">
        <f t="shared" ref="O155:O181" si="176">IF(N155=0,"",(L155+M155)/N155)</f>
        <v>4.6318536735762068</v>
      </c>
      <c r="P155" s="257">
        <f>IF($C$5&lt;3000,$AN$32*Bron!J144,$AN$32*Bron!O144)</f>
        <v>0</v>
      </c>
      <c r="Q155" s="257">
        <f>IF($C$5&lt;3000,$AN$31*Bron!K144,$AN$31*Bron!P144)</f>
        <v>0</v>
      </c>
      <c r="R155" s="257">
        <f>IF($C$5&lt;3000,$AN$33*Bron!J144,$AN$33*Bron!O144)</f>
        <v>8.9979999999999993</v>
      </c>
      <c r="S155" s="344"/>
      <c r="T155" s="258">
        <f t="shared" si="93"/>
        <v>1</v>
      </c>
      <c r="U155" s="259">
        <f t="shared" si="94"/>
        <v>2067.1999999999998</v>
      </c>
      <c r="V155" s="675"/>
      <c r="W155" s="676">
        <f t="shared" si="95"/>
        <v>0</v>
      </c>
      <c r="X155" s="677">
        <f t="shared" si="96"/>
        <v>0</v>
      </c>
      <c r="Y155" s="677">
        <f t="shared" si="127"/>
        <v>0</v>
      </c>
      <c r="Z155" s="678">
        <f t="shared" si="128"/>
        <v>0</v>
      </c>
      <c r="AA155" s="679">
        <f t="shared" si="129"/>
        <v>0</v>
      </c>
      <c r="AB155" s="675"/>
      <c r="AC155" s="676">
        <f t="shared" si="97"/>
        <v>0</v>
      </c>
      <c r="AD155" s="677">
        <f t="shared" si="98"/>
        <v>0</v>
      </c>
      <c r="AE155" s="677">
        <f t="shared" si="130"/>
        <v>0</v>
      </c>
      <c r="AF155" s="678">
        <f t="shared" si="131"/>
        <v>0</v>
      </c>
      <c r="AG155" s="679">
        <f t="shared" si="132"/>
        <v>0</v>
      </c>
      <c r="AH155" s="675"/>
      <c r="AI155" s="676">
        <f t="shared" si="99"/>
        <v>0</v>
      </c>
      <c r="AJ155" s="677">
        <f t="shared" si="100"/>
        <v>0</v>
      </c>
      <c r="AK155" s="677">
        <f t="shared" si="133"/>
        <v>0</v>
      </c>
      <c r="AL155" s="678">
        <f t="shared" si="134"/>
        <v>0</v>
      </c>
      <c r="AM155" s="679">
        <f t="shared" si="135"/>
        <v>0</v>
      </c>
      <c r="AN155" s="675"/>
      <c r="AO155" s="676">
        <f t="shared" si="101"/>
        <v>0</v>
      </c>
      <c r="AP155" s="677">
        <f t="shared" si="102"/>
        <v>0</v>
      </c>
      <c r="AQ155" s="677">
        <f t="shared" si="136"/>
        <v>0</v>
      </c>
      <c r="AR155" s="678">
        <f t="shared" si="137"/>
        <v>0</v>
      </c>
      <c r="AS155" s="679">
        <f t="shared" si="138"/>
        <v>0</v>
      </c>
      <c r="AT155" s="675">
        <v>1</v>
      </c>
      <c r="AU155" s="676">
        <f t="shared" si="103"/>
        <v>2067.1999999999998</v>
      </c>
      <c r="AV155" s="677">
        <f t="shared" si="104"/>
        <v>0</v>
      </c>
      <c r="AW155" s="677">
        <f t="shared" si="139"/>
        <v>0</v>
      </c>
      <c r="AX155" s="678">
        <f t="shared" si="140"/>
        <v>8.9979999999999993</v>
      </c>
      <c r="AY155" s="679">
        <f t="shared" si="141"/>
        <v>446.30079999999998</v>
      </c>
      <c r="AZ155" s="675"/>
      <c r="BA155" s="676">
        <f t="shared" si="105"/>
        <v>0</v>
      </c>
      <c r="BB155" s="677">
        <f t="shared" si="106"/>
        <v>0</v>
      </c>
      <c r="BC155" s="677">
        <f t="shared" si="142"/>
        <v>0</v>
      </c>
      <c r="BD155" s="678">
        <f t="shared" si="143"/>
        <v>0</v>
      </c>
      <c r="BE155" s="679">
        <f t="shared" si="144"/>
        <v>0</v>
      </c>
      <c r="BF155" s="675"/>
      <c r="BG155" s="676">
        <f t="shared" si="107"/>
        <v>0</v>
      </c>
      <c r="BH155" s="677">
        <f t="shared" si="108"/>
        <v>0</v>
      </c>
      <c r="BI155" s="677">
        <f t="shared" si="145"/>
        <v>0</v>
      </c>
      <c r="BJ155" s="678">
        <f t="shared" si="146"/>
        <v>0</v>
      </c>
      <c r="BK155" s="679">
        <f t="shared" si="147"/>
        <v>0</v>
      </c>
      <c r="BL155" s="675"/>
      <c r="BM155" s="676">
        <f t="shared" si="109"/>
        <v>0</v>
      </c>
      <c r="BN155" s="677">
        <f t="shared" si="110"/>
        <v>0</v>
      </c>
      <c r="BO155" s="677">
        <f t="shared" si="148"/>
        <v>0</v>
      </c>
      <c r="BP155" s="678">
        <f t="shared" si="149"/>
        <v>0</v>
      </c>
      <c r="BQ155" s="679">
        <f t="shared" si="150"/>
        <v>0</v>
      </c>
      <c r="BR155" s="675"/>
      <c r="BS155" s="676">
        <f t="shared" si="111"/>
        <v>0</v>
      </c>
      <c r="BT155" s="677">
        <f t="shared" si="112"/>
        <v>0</v>
      </c>
      <c r="BU155" s="677">
        <f t="shared" si="151"/>
        <v>0</v>
      </c>
      <c r="BV155" s="678">
        <f t="shared" si="152"/>
        <v>0</v>
      </c>
      <c r="BW155" s="679">
        <f t="shared" si="153"/>
        <v>0</v>
      </c>
      <c r="BX155" s="675"/>
      <c r="BY155" s="676">
        <f t="shared" si="113"/>
        <v>0</v>
      </c>
      <c r="BZ155" s="677">
        <f t="shared" si="114"/>
        <v>0</v>
      </c>
      <c r="CA155" s="677">
        <f t="shared" si="154"/>
        <v>0</v>
      </c>
      <c r="CB155" s="678">
        <f t="shared" si="155"/>
        <v>0</v>
      </c>
      <c r="CC155" s="679">
        <f t="shared" si="156"/>
        <v>0</v>
      </c>
      <c r="CD155" s="675"/>
      <c r="CE155" s="676">
        <f t="shared" si="115"/>
        <v>0</v>
      </c>
      <c r="CF155" s="677">
        <f t="shared" si="116"/>
        <v>0</v>
      </c>
      <c r="CG155" s="677">
        <f t="shared" si="157"/>
        <v>0</v>
      </c>
      <c r="CH155" s="678">
        <f t="shared" si="158"/>
        <v>0</v>
      </c>
      <c r="CI155" s="679">
        <f t="shared" si="159"/>
        <v>0</v>
      </c>
      <c r="CJ155" s="675"/>
      <c r="CK155" s="676">
        <f t="shared" si="117"/>
        <v>0</v>
      </c>
      <c r="CL155" s="677">
        <f t="shared" si="118"/>
        <v>0</v>
      </c>
      <c r="CM155" s="677">
        <f t="shared" si="160"/>
        <v>0</v>
      </c>
      <c r="CN155" s="678">
        <f t="shared" si="161"/>
        <v>0</v>
      </c>
      <c r="CO155" s="679">
        <f t="shared" si="162"/>
        <v>0</v>
      </c>
      <c r="CP155" s="675"/>
      <c r="CQ155" s="676">
        <f t="shared" si="119"/>
        <v>0</v>
      </c>
      <c r="CR155" s="677">
        <f t="shared" si="120"/>
        <v>0</v>
      </c>
      <c r="CS155" s="677">
        <f t="shared" si="163"/>
        <v>0</v>
      </c>
      <c r="CT155" s="678">
        <f t="shared" si="164"/>
        <v>0</v>
      </c>
      <c r="CU155" s="679">
        <f t="shared" si="165"/>
        <v>0</v>
      </c>
      <c r="CV155" s="685"/>
      <c r="CW155" s="681"/>
      <c r="CX155" s="682"/>
      <c r="CY155" s="682"/>
      <c r="CZ155" s="683"/>
      <c r="DA155" s="684"/>
      <c r="DB155" s="685"/>
      <c r="DC155" s="681"/>
      <c r="DD155" s="682"/>
      <c r="DE155" s="682"/>
      <c r="DF155" s="683"/>
      <c r="DG155" s="684"/>
      <c r="DH155" s="685"/>
      <c r="DI155" s="681"/>
      <c r="DJ155" s="682"/>
      <c r="DK155" s="682"/>
      <c r="DL155" s="683"/>
      <c r="DM155" s="684"/>
      <c r="DN155" s="685"/>
      <c r="DO155" s="681"/>
      <c r="DP155" s="682"/>
      <c r="DQ155" s="682"/>
      <c r="DR155" s="683"/>
      <c r="DS155" s="684"/>
      <c r="DT155" s="675"/>
      <c r="DU155" s="676">
        <f t="shared" si="121"/>
        <v>0</v>
      </c>
      <c r="DV155" s="677">
        <f t="shared" si="122"/>
        <v>0</v>
      </c>
      <c r="DW155" s="677">
        <f t="shared" si="166"/>
        <v>0</v>
      </c>
      <c r="DX155" s="678">
        <f t="shared" si="167"/>
        <v>0</v>
      </c>
      <c r="DY155" s="679">
        <f t="shared" si="168"/>
        <v>0</v>
      </c>
      <c r="DZ155" s="680"/>
      <c r="EA155" s="681"/>
      <c r="EB155" s="682"/>
      <c r="EC155" s="682"/>
      <c r="ED155" s="683"/>
      <c r="EE155" s="684"/>
      <c r="EF155" s="680"/>
      <c r="EG155" s="681"/>
      <c r="EH155" s="682"/>
      <c r="EI155" s="682"/>
      <c r="EJ155" s="683"/>
      <c r="EK155" s="684"/>
      <c r="EL155" s="680"/>
      <c r="EM155" s="681"/>
      <c r="EN155" s="682"/>
      <c r="EO155" s="682"/>
      <c r="EP155" s="683"/>
      <c r="EQ155" s="684"/>
      <c r="ER155" s="680"/>
      <c r="ES155" s="681"/>
      <c r="ET155" s="682"/>
      <c r="EU155" s="682"/>
      <c r="EV155" s="683"/>
      <c r="EW155" s="684"/>
      <c r="EX155" s="675"/>
      <c r="EY155" s="676">
        <f t="shared" si="123"/>
        <v>0</v>
      </c>
      <c r="EZ155" s="677">
        <f t="shared" si="124"/>
        <v>0</v>
      </c>
      <c r="FA155" s="677">
        <f t="shared" si="169"/>
        <v>0</v>
      </c>
      <c r="FB155" s="678">
        <f t="shared" si="170"/>
        <v>0</v>
      </c>
      <c r="FC155" s="679">
        <f t="shared" si="171"/>
        <v>0</v>
      </c>
      <c r="FD155" s="680"/>
      <c r="FE155" s="681"/>
      <c r="FF155" s="682"/>
      <c r="FG155" s="682"/>
      <c r="FH155" s="683"/>
      <c r="FI155" s="684"/>
      <c r="FJ155" s="680"/>
      <c r="FK155" s="681"/>
      <c r="FL155" s="682"/>
      <c r="FM155" s="682"/>
      <c r="FN155" s="683"/>
      <c r="FO155" s="684"/>
      <c r="FP155" s="680"/>
      <c r="FQ155" s="681"/>
      <c r="FR155" s="682"/>
      <c r="FS155" s="682"/>
      <c r="FT155" s="683"/>
      <c r="FU155" s="684"/>
      <c r="FV155" s="680"/>
      <c r="FW155" s="681"/>
      <c r="FX155" s="682"/>
      <c r="FY155" s="682"/>
      <c r="FZ155" s="683"/>
      <c r="GA155" s="684"/>
      <c r="GB155" s="675"/>
      <c r="GC155" s="676">
        <f t="shared" si="125"/>
        <v>0</v>
      </c>
      <c r="GD155" s="677">
        <f t="shared" si="126"/>
        <v>0</v>
      </c>
      <c r="GE155" s="677">
        <f t="shared" si="172"/>
        <v>0</v>
      </c>
      <c r="GF155" s="678">
        <f t="shared" si="173"/>
        <v>0</v>
      </c>
      <c r="GG155" s="679">
        <f t="shared" si="174"/>
        <v>0</v>
      </c>
      <c r="GH155" s="680"/>
      <c r="GI155" s="681"/>
      <c r="GJ155" s="682"/>
      <c r="GK155" s="682"/>
      <c r="GL155" s="683"/>
      <c r="GM155" s="684"/>
      <c r="GN155" s="680"/>
      <c r="GO155" s="681"/>
      <c r="GP155" s="682"/>
      <c r="GQ155" s="682"/>
      <c r="GR155" s="683"/>
      <c r="GS155" s="684"/>
      <c r="GT155" s="680"/>
      <c r="GU155" s="681"/>
      <c r="GV155" s="682"/>
      <c r="GW155" s="682"/>
      <c r="GX155" s="683"/>
      <c r="GY155" s="684"/>
      <c r="GZ155" s="680"/>
      <c r="HA155" s="147"/>
      <c r="HB155" s="148"/>
      <c r="HC155" s="148"/>
      <c r="HD155" s="149"/>
      <c r="HE155" s="150"/>
      <c r="HF155" s="506"/>
      <c r="HG155" s="502"/>
      <c r="HH155" s="502"/>
      <c r="HI155" s="502"/>
      <c r="HJ155" s="8"/>
    </row>
    <row r="156" spans="2:218" ht="21" hidden="1">
      <c r="B156" s="488">
        <v>112</v>
      </c>
      <c r="C156" s="489" t="s">
        <v>248</v>
      </c>
      <c r="D156" s="490" t="s">
        <v>252</v>
      </c>
      <c r="E156" s="491" t="s">
        <v>253</v>
      </c>
      <c r="F156" s="492"/>
      <c r="G156" s="493"/>
      <c r="H156" s="146" t="s">
        <v>97</v>
      </c>
      <c r="I156" s="494" t="str">
        <f t="shared" si="92"/>
        <v>n.v.t.</v>
      </c>
      <c r="J156" s="495"/>
      <c r="K156" s="151">
        <v>0</v>
      </c>
      <c r="L156" s="256"/>
      <c r="M156" s="256">
        <f>IF($C$5&lt;3000,(Bron!H145*$C$5)+Bron!I145,(Bron!M145*$C$5)+Bron!N145)</f>
        <v>0</v>
      </c>
      <c r="N156" s="496">
        <f t="shared" si="175"/>
        <v>1622.912</v>
      </c>
      <c r="O156" s="497">
        <f t="shared" si="176"/>
        <v>0</v>
      </c>
      <c r="P156" s="257">
        <f>IF($C$5&lt;3000,$AN$32*Bron!J145,$AN$32*Bron!O145)</f>
        <v>0</v>
      </c>
      <c r="Q156" s="257"/>
      <c r="R156" s="257">
        <f>IF($C$5&lt;3000,$AN$33*Bron!J145,$AN$33*Bron!O145)</f>
        <v>32.72</v>
      </c>
      <c r="S156" s="344"/>
      <c r="T156" s="258">
        <f t="shared" si="93"/>
        <v>0</v>
      </c>
      <c r="U156" s="259">
        <f t="shared" si="94"/>
        <v>0</v>
      </c>
      <c r="V156" s="675"/>
      <c r="W156" s="676">
        <f t="shared" si="95"/>
        <v>0</v>
      </c>
      <c r="X156" s="677">
        <f t="shared" si="96"/>
        <v>0</v>
      </c>
      <c r="Y156" s="677">
        <f t="shared" si="127"/>
        <v>0</v>
      </c>
      <c r="Z156" s="678">
        <f t="shared" si="128"/>
        <v>0</v>
      </c>
      <c r="AA156" s="679">
        <f t="shared" si="129"/>
        <v>0</v>
      </c>
      <c r="AB156" s="675"/>
      <c r="AC156" s="676">
        <f t="shared" si="97"/>
        <v>0</v>
      </c>
      <c r="AD156" s="677">
        <f t="shared" si="98"/>
        <v>0</v>
      </c>
      <c r="AE156" s="677">
        <f t="shared" si="130"/>
        <v>0</v>
      </c>
      <c r="AF156" s="678">
        <f t="shared" si="131"/>
        <v>0</v>
      </c>
      <c r="AG156" s="679">
        <f t="shared" si="132"/>
        <v>0</v>
      </c>
      <c r="AH156" s="675"/>
      <c r="AI156" s="676">
        <f t="shared" si="99"/>
        <v>0</v>
      </c>
      <c r="AJ156" s="677">
        <f t="shared" si="100"/>
        <v>0</v>
      </c>
      <c r="AK156" s="677">
        <f t="shared" si="133"/>
        <v>0</v>
      </c>
      <c r="AL156" s="678">
        <f t="shared" si="134"/>
        <v>0</v>
      </c>
      <c r="AM156" s="679">
        <f t="shared" si="135"/>
        <v>0</v>
      </c>
      <c r="AN156" s="675"/>
      <c r="AO156" s="676">
        <f t="shared" si="101"/>
        <v>0</v>
      </c>
      <c r="AP156" s="677">
        <f t="shared" si="102"/>
        <v>0</v>
      </c>
      <c r="AQ156" s="677">
        <f t="shared" si="136"/>
        <v>0</v>
      </c>
      <c r="AR156" s="678">
        <f t="shared" si="137"/>
        <v>0</v>
      </c>
      <c r="AS156" s="679">
        <f t="shared" si="138"/>
        <v>0</v>
      </c>
      <c r="AT156" s="675"/>
      <c r="AU156" s="676">
        <f t="shared" si="103"/>
        <v>0</v>
      </c>
      <c r="AV156" s="677">
        <f t="shared" si="104"/>
        <v>0</v>
      </c>
      <c r="AW156" s="677">
        <f t="shared" si="139"/>
        <v>0</v>
      </c>
      <c r="AX156" s="678">
        <f t="shared" si="140"/>
        <v>0</v>
      </c>
      <c r="AY156" s="679">
        <f t="shared" si="141"/>
        <v>0</v>
      </c>
      <c r="AZ156" s="675"/>
      <c r="BA156" s="676">
        <f t="shared" si="105"/>
        <v>0</v>
      </c>
      <c r="BB156" s="677">
        <f t="shared" si="106"/>
        <v>0</v>
      </c>
      <c r="BC156" s="677">
        <f t="shared" si="142"/>
        <v>0</v>
      </c>
      <c r="BD156" s="678">
        <f t="shared" si="143"/>
        <v>0</v>
      </c>
      <c r="BE156" s="679">
        <f t="shared" si="144"/>
        <v>0</v>
      </c>
      <c r="BF156" s="675"/>
      <c r="BG156" s="676">
        <f t="shared" si="107"/>
        <v>0</v>
      </c>
      <c r="BH156" s="677">
        <f t="shared" si="108"/>
        <v>0</v>
      </c>
      <c r="BI156" s="677">
        <f t="shared" si="145"/>
        <v>0</v>
      </c>
      <c r="BJ156" s="678">
        <f t="shared" si="146"/>
        <v>0</v>
      </c>
      <c r="BK156" s="679">
        <f t="shared" si="147"/>
        <v>0</v>
      </c>
      <c r="BL156" s="675"/>
      <c r="BM156" s="676">
        <f t="shared" si="109"/>
        <v>0</v>
      </c>
      <c r="BN156" s="677">
        <f t="shared" si="110"/>
        <v>0</v>
      </c>
      <c r="BO156" s="677">
        <f t="shared" si="148"/>
        <v>0</v>
      </c>
      <c r="BP156" s="678">
        <f t="shared" si="149"/>
        <v>0</v>
      </c>
      <c r="BQ156" s="679">
        <f t="shared" si="150"/>
        <v>0</v>
      </c>
      <c r="BR156" s="675"/>
      <c r="BS156" s="676">
        <f t="shared" si="111"/>
        <v>0</v>
      </c>
      <c r="BT156" s="677">
        <f t="shared" si="112"/>
        <v>0</v>
      </c>
      <c r="BU156" s="677">
        <f t="shared" si="151"/>
        <v>0</v>
      </c>
      <c r="BV156" s="678">
        <f t="shared" si="152"/>
        <v>0</v>
      </c>
      <c r="BW156" s="679">
        <f t="shared" si="153"/>
        <v>0</v>
      </c>
      <c r="BX156" s="675"/>
      <c r="BY156" s="676">
        <f t="shared" si="113"/>
        <v>0</v>
      </c>
      <c r="BZ156" s="677">
        <f t="shared" si="114"/>
        <v>0</v>
      </c>
      <c r="CA156" s="677">
        <f t="shared" si="154"/>
        <v>0</v>
      </c>
      <c r="CB156" s="678">
        <f t="shared" si="155"/>
        <v>0</v>
      </c>
      <c r="CC156" s="679">
        <f t="shared" si="156"/>
        <v>0</v>
      </c>
      <c r="CD156" s="675"/>
      <c r="CE156" s="676">
        <f t="shared" si="115"/>
        <v>0</v>
      </c>
      <c r="CF156" s="677">
        <f t="shared" si="116"/>
        <v>0</v>
      </c>
      <c r="CG156" s="677">
        <f t="shared" si="157"/>
        <v>0</v>
      </c>
      <c r="CH156" s="678">
        <f t="shared" si="158"/>
        <v>0</v>
      </c>
      <c r="CI156" s="679">
        <f t="shared" si="159"/>
        <v>0</v>
      </c>
      <c r="CJ156" s="675"/>
      <c r="CK156" s="676">
        <f t="shared" si="117"/>
        <v>0</v>
      </c>
      <c r="CL156" s="677">
        <f t="shared" si="118"/>
        <v>0</v>
      </c>
      <c r="CM156" s="677">
        <f t="shared" si="160"/>
        <v>0</v>
      </c>
      <c r="CN156" s="678">
        <f t="shared" si="161"/>
        <v>0</v>
      </c>
      <c r="CO156" s="679">
        <f t="shared" si="162"/>
        <v>0</v>
      </c>
      <c r="CP156" s="675"/>
      <c r="CQ156" s="676">
        <f t="shared" si="119"/>
        <v>0</v>
      </c>
      <c r="CR156" s="677">
        <f t="shared" si="120"/>
        <v>0</v>
      </c>
      <c r="CS156" s="677">
        <f t="shared" si="163"/>
        <v>0</v>
      </c>
      <c r="CT156" s="678">
        <f t="shared" si="164"/>
        <v>0</v>
      </c>
      <c r="CU156" s="679">
        <f t="shared" si="165"/>
        <v>0</v>
      </c>
      <c r="CV156" s="685"/>
      <c r="CW156" s="681"/>
      <c r="CX156" s="682"/>
      <c r="CY156" s="682"/>
      <c r="CZ156" s="683"/>
      <c r="DA156" s="684"/>
      <c r="DB156" s="685"/>
      <c r="DC156" s="681"/>
      <c r="DD156" s="682"/>
      <c r="DE156" s="682"/>
      <c r="DF156" s="683"/>
      <c r="DG156" s="684"/>
      <c r="DH156" s="685"/>
      <c r="DI156" s="681"/>
      <c r="DJ156" s="682"/>
      <c r="DK156" s="682"/>
      <c r="DL156" s="683"/>
      <c r="DM156" s="684"/>
      <c r="DN156" s="685"/>
      <c r="DO156" s="681"/>
      <c r="DP156" s="682"/>
      <c r="DQ156" s="682"/>
      <c r="DR156" s="683"/>
      <c r="DS156" s="684"/>
      <c r="DT156" s="675"/>
      <c r="DU156" s="676">
        <f t="shared" si="121"/>
        <v>0</v>
      </c>
      <c r="DV156" s="677">
        <f t="shared" si="122"/>
        <v>0</v>
      </c>
      <c r="DW156" s="677">
        <f t="shared" si="166"/>
        <v>0</v>
      </c>
      <c r="DX156" s="678">
        <f t="shared" si="167"/>
        <v>0</v>
      </c>
      <c r="DY156" s="679">
        <f t="shared" si="168"/>
        <v>0</v>
      </c>
      <c r="DZ156" s="680"/>
      <c r="EA156" s="681"/>
      <c r="EB156" s="682"/>
      <c r="EC156" s="682"/>
      <c r="ED156" s="683"/>
      <c r="EE156" s="684"/>
      <c r="EF156" s="680"/>
      <c r="EG156" s="681"/>
      <c r="EH156" s="682"/>
      <c r="EI156" s="682"/>
      <c r="EJ156" s="683"/>
      <c r="EK156" s="684"/>
      <c r="EL156" s="680"/>
      <c r="EM156" s="681"/>
      <c r="EN156" s="682"/>
      <c r="EO156" s="682"/>
      <c r="EP156" s="683"/>
      <c r="EQ156" s="684"/>
      <c r="ER156" s="680"/>
      <c r="ES156" s="681"/>
      <c r="ET156" s="682"/>
      <c r="EU156" s="682"/>
      <c r="EV156" s="683"/>
      <c r="EW156" s="684"/>
      <c r="EX156" s="675"/>
      <c r="EY156" s="676">
        <f t="shared" si="123"/>
        <v>0</v>
      </c>
      <c r="EZ156" s="677">
        <f t="shared" si="124"/>
        <v>0</v>
      </c>
      <c r="FA156" s="677">
        <f t="shared" si="169"/>
        <v>0</v>
      </c>
      <c r="FB156" s="678">
        <f t="shared" si="170"/>
        <v>0</v>
      </c>
      <c r="FC156" s="679">
        <f t="shared" si="171"/>
        <v>0</v>
      </c>
      <c r="FD156" s="680"/>
      <c r="FE156" s="681"/>
      <c r="FF156" s="682"/>
      <c r="FG156" s="682"/>
      <c r="FH156" s="683"/>
      <c r="FI156" s="684"/>
      <c r="FJ156" s="680"/>
      <c r="FK156" s="681"/>
      <c r="FL156" s="682"/>
      <c r="FM156" s="682"/>
      <c r="FN156" s="683"/>
      <c r="FO156" s="684"/>
      <c r="FP156" s="680"/>
      <c r="FQ156" s="681"/>
      <c r="FR156" s="682"/>
      <c r="FS156" s="682"/>
      <c r="FT156" s="683"/>
      <c r="FU156" s="684"/>
      <c r="FV156" s="680"/>
      <c r="FW156" s="681"/>
      <c r="FX156" s="682"/>
      <c r="FY156" s="682"/>
      <c r="FZ156" s="683"/>
      <c r="GA156" s="684"/>
      <c r="GB156" s="675"/>
      <c r="GC156" s="676">
        <f t="shared" si="125"/>
        <v>0</v>
      </c>
      <c r="GD156" s="677">
        <f t="shared" si="126"/>
        <v>0</v>
      </c>
      <c r="GE156" s="677">
        <f t="shared" si="172"/>
        <v>0</v>
      </c>
      <c r="GF156" s="678">
        <f t="shared" si="173"/>
        <v>0</v>
      </c>
      <c r="GG156" s="679">
        <f t="shared" si="174"/>
        <v>0</v>
      </c>
      <c r="GH156" s="680"/>
      <c r="GI156" s="681"/>
      <c r="GJ156" s="682"/>
      <c r="GK156" s="682"/>
      <c r="GL156" s="683"/>
      <c r="GM156" s="684"/>
      <c r="GN156" s="680"/>
      <c r="GO156" s="681"/>
      <c r="GP156" s="682"/>
      <c r="GQ156" s="682"/>
      <c r="GR156" s="683"/>
      <c r="GS156" s="684"/>
      <c r="GT156" s="680"/>
      <c r="GU156" s="681"/>
      <c r="GV156" s="682"/>
      <c r="GW156" s="682"/>
      <c r="GX156" s="683"/>
      <c r="GY156" s="684"/>
      <c r="GZ156" s="680"/>
      <c r="HA156" s="147"/>
      <c r="HB156" s="148"/>
      <c r="HC156" s="148"/>
      <c r="HD156" s="149"/>
      <c r="HE156" s="150"/>
      <c r="HF156" s="506"/>
      <c r="HG156" s="502"/>
      <c r="HH156" s="502"/>
      <c r="HI156" s="502"/>
      <c r="HJ156" s="8"/>
    </row>
    <row r="157" spans="2:218" ht="21" hidden="1">
      <c r="B157" s="488">
        <v>113</v>
      </c>
      <c r="C157" s="489" t="s">
        <v>248</v>
      </c>
      <c r="D157" s="490" t="s">
        <v>493</v>
      </c>
      <c r="E157" s="491" t="s">
        <v>447</v>
      </c>
      <c r="F157" s="492"/>
      <c r="G157" s="493"/>
      <c r="H157" s="146" t="s">
        <v>97</v>
      </c>
      <c r="I157" s="494" t="str">
        <f t="shared" si="92"/>
        <v>n.v.t.</v>
      </c>
      <c r="J157" s="495"/>
      <c r="K157" s="151">
        <v>0</v>
      </c>
      <c r="L157" s="256"/>
      <c r="M157" s="256">
        <f>IF($C$5&lt;3000,(Bron!H146*$C$5)+Bron!I146,(Bron!M146*$C$5)+Bron!N146)</f>
        <v>21705.599999999999</v>
      </c>
      <c r="N157" s="496">
        <f t="shared" si="175"/>
        <v>933.17439999999999</v>
      </c>
      <c r="O157" s="497">
        <f t="shared" si="176"/>
        <v>23.259960839045732</v>
      </c>
      <c r="P157" s="257">
        <f>IF($C$5&lt;3000,$AN$32*Bron!J146,$AN$32*Bron!O146)</f>
        <v>0</v>
      </c>
      <c r="Q157" s="257"/>
      <c r="R157" s="257">
        <f>IF($C$5&lt;3000,$AN$33*Bron!J146,$AN$33*Bron!O146)</f>
        <v>18.814</v>
      </c>
      <c r="S157" s="344"/>
      <c r="T157" s="258">
        <f t="shared" si="93"/>
        <v>0</v>
      </c>
      <c r="U157" s="259">
        <f t="shared" si="94"/>
        <v>0</v>
      </c>
      <c r="V157" s="675"/>
      <c r="W157" s="676">
        <f t="shared" si="95"/>
        <v>0</v>
      </c>
      <c r="X157" s="677">
        <f t="shared" si="96"/>
        <v>0</v>
      </c>
      <c r="Y157" s="677">
        <f t="shared" si="127"/>
        <v>0</v>
      </c>
      <c r="Z157" s="678">
        <f t="shared" si="128"/>
        <v>0</v>
      </c>
      <c r="AA157" s="679">
        <f t="shared" si="129"/>
        <v>0</v>
      </c>
      <c r="AB157" s="675"/>
      <c r="AC157" s="676">
        <f t="shared" si="97"/>
        <v>0</v>
      </c>
      <c r="AD157" s="677">
        <f t="shared" si="98"/>
        <v>0</v>
      </c>
      <c r="AE157" s="677">
        <f t="shared" si="130"/>
        <v>0</v>
      </c>
      <c r="AF157" s="678">
        <f t="shared" si="131"/>
        <v>0</v>
      </c>
      <c r="AG157" s="679">
        <f t="shared" si="132"/>
        <v>0</v>
      </c>
      <c r="AH157" s="675"/>
      <c r="AI157" s="676">
        <f t="shared" si="99"/>
        <v>0</v>
      </c>
      <c r="AJ157" s="677">
        <f t="shared" si="100"/>
        <v>0</v>
      </c>
      <c r="AK157" s="677">
        <f t="shared" si="133"/>
        <v>0</v>
      </c>
      <c r="AL157" s="678">
        <f t="shared" si="134"/>
        <v>0</v>
      </c>
      <c r="AM157" s="679">
        <f t="shared" si="135"/>
        <v>0</v>
      </c>
      <c r="AN157" s="675"/>
      <c r="AO157" s="676">
        <f t="shared" si="101"/>
        <v>0</v>
      </c>
      <c r="AP157" s="677">
        <f t="shared" si="102"/>
        <v>0</v>
      </c>
      <c r="AQ157" s="677">
        <f t="shared" si="136"/>
        <v>0</v>
      </c>
      <c r="AR157" s="678">
        <f t="shared" si="137"/>
        <v>0</v>
      </c>
      <c r="AS157" s="679">
        <f t="shared" si="138"/>
        <v>0</v>
      </c>
      <c r="AT157" s="675"/>
      <c r="AU157" s="676">
        <f t="shared" si="103"/>
        <v>0</v>
      </c>
      <c r="AV157" s="677">
        <f t="shared" si="104"/>
        <v>0</v>
      </c>
      <c r="AW157" s="677">
        <f t="shared" si="139"/>
        <v>0</v>
      </c>
      <c r="AX157" s="678">
        <f t="shared" si="140"/>
        <v>0</v>
      </c>
      <c r="AY157" s="679">
        <f t="shared" si="141"/>
        <v>0</v>
      </c>
      <c r="AZ157" s="675"/>
      <c r="BA157" s="676">
        <f t="shared" si="105"/>
        <v>0</v>
      </c>
      <c r="BB157" s="677">
        <f t="shared" si="106"/>
        <v>0</v>
      </c>
      <c r="BC157" s="677">
        <f t="shared" si="142"/>
        <v>0</v>
      </c>
      <c r="BD157" s="678">
        <f t="shared" si="143"/>
        <v>0</v>
      </c>
      <c r="BE157" s="679">
        <f t="shared" si="144"/>
        <v>0</v>
      </c>
      <c r="BF157" s="675"/>
      <c r="BG157" s="676">
        <f t="shared" si="107"/>
        <v>0</v>
      </c>
      <c r="BH157" s="677">
        <f t="shared" si="108"/>
        <v>0</v>
      </c>
      <c r="BI157" s="677">
        <f t="shared" si="145"/>
        <v>0</v>
      </c>
      <c r="BJ157" s="678">
        <f t="shared" si="146"/>
        <v>0</v>
      </c>
      <c r="BK157" s="679">
        <f t="shared" si="147"/>
        <v>0</v>
      </c>
      <c r="BL157" s="675"/>
      <c r="BM157" s="676">
        <f t="shared" si="109"/>
        <v>0</v>
      </c>
      <c r="BN157" s="677">
        <f t="shared" si="110"/>
        <v>0</v>
      </c>
      <c r="BO157" s="677">
        <f t="shared" si="148"/>
        <v>0</v>
      </c>
      <c r="BP157" s="678">
        <f t="shared" si="149"/>
        <v>0</v>
      </c>
      <c r="BQ157" s="679">
        <f t="shared" si="150"/>
        <v>0</v>
      </c>
      <c r="BR157" s="675"/>
      <c r="BS157" s="676">
        <f t="shared" si="111"/>
        <v>0</v>
      </c>
      <c r="BT157" s="677">
        <f t="shared" si="112"/>
        <v>0</v>
      </c>
      <c r="BU157" s="677">
        <f t="shared" si="151"/>
        <v>0</v>
      </c>
      <c r="BV157" s="678">
        <f t="shared" si="152"/>
        <v>0</v>
      </c>
      <c r="BW157" s="679">
        <f t="shared" si="153"/>
        <v>0</v>
      </c>
      <c r="BX157" s="675"/>
      <c r="BY157" s="676">
        <f t="shared" si="113"/>
        <v>0</v>
      </c>
      <c r="BZ157" s="677">
        <f t="shared" si="114"/>
        <v>0</v>
      </c>
      <c r="CA157" s="677">
        <f t="shared" si="154"/>
        <v>0</v>
      </c>
      <c r="CB157" s="678">
        <f t="shared" si="155"/>
        <v>0</v>
      </c>
      <c r="CC157" s="679">
        <f t="shared" si="156"/>
        <v>0</v>
      </c>
      <c r="CD157" s="675"/>
      <c r="CE157" s="676">
        <f t="shared" si="115"/>
        <v>0</v>
      </c>
      <c r="CF157" s="677">
        <f t="shared" si="116"/>
        <v>0</v>
      </c>
      <c r="CG157" s="677">
        <f t="shared" si="157"/>
        <v>0</v>
      </c>
      <c r="CH157" s="678">
        <f t="shared" si="158"/>
        <v>0</v>
      </c>
      <c r="CI157" s="679">
        <f t="shared" si="159"/>
        <v>0</v>
      </c>
      <c r="CJ157" s="675"/>
      <c r="CK157" s="676">
        <f t="shared" si="117"/>
        <v>0</v>
      </c>
      <c r="CL157" s="677">
        <f t="shared" si="118"/>
        <v>0</v>
      </c>
      <c r="CM157" s="677">
        <f t="shared" si="160"/>
        <v>0</v>
      </c>
      <c r="CN157" s="678">
        <f t="shared" si="161"/>
        <v>0</v>
      </c>
      <c r="CO157" s="679">
        <f t="shared" si="162"/>
        <v>0</v>
      </c>
      <c r="CP157" s="675"/>
      <c r="CQ157" s="676">
        <f t="shared" si="119"/>
        <v>0</v>
      </c>
      <c r="CR157" s="677">
        <f t="shared" si="120"/>
        <v>0</v>
      </c>
      <c r="CS157" s="677">
        <f t="shared" si="163"/>
        <v>0</v>
      </c>
      <c r="CT157" s="678">
        <f t="shared" si="164"/>
        <v>0</v>
      </c>
      <c r="CU157" s="679">
        <f t="shared" si="165"/>
        <v>0</v>
      </c>
      <c r="CV157" s="685"/>
      <c r="CW157" s="681"/>
      <c r="CX157" s="682"/>
      <c r="CY157" s="682"/>
      <c r="CZ157" s="683"/>
      <c r="DA157" s="684"/>
      <c r="DB157" s="685"/>
      <c r="DC157" s="681"/>
      <c r="DD157" s="682"/>
      <c r="DE157" s="682"/>
      <c r="DF157" s="683"/>
      <c r="DG157" s="684"/>
      <c r="DH157" s="685"/>
      <c r="DI157" s="681"/>
      <c r="DJ157" s="682"/>
      <c r="DK157" s="682"/>
      <c r="DL157" s="683"/>
      <c r="DM157" s="684"/>
      <c r="DN157" s="685"/>
      <c r="DO157" s="681"/>
      <c r="DP157" s="682"/>
      <c r="DQ157" s="682"/>
      <c r="DR157" s="683"/>
      <c r="DS157" s="684"/>
      <c r="DT157" s="675"/>
      <c r="DU157" s="676">
        <f t="shared" si="121"/>
        <v>0</v>
      </c>
      <c r="DV157" s="677">
        <f t="shared" si="122"/>
        <v>0</v>
      </c>
      <c r="DW157" s="677">
        <f t="shared" si="166"/>
        <v>0</v>
      </c>
      <c r="DX157" s="678">
        <f t="shared" si="167"/>
        <v>0</v>
      </c>
      <c r="DY157" s="679">
        <f t="shared" si="168"/>
        <v>0</v>
      </c>
      <c r="DZ157" s="680"/>
      <c r="EA157" s="681"/>
      <c r="EB157" s="682"/>
      <c r="EC157" s="682"/>
      <c r="ED157" s="683"/>
      <c r="EE157" s="684"/>
      <c r="EF157" s="680"/>
      <c r="EG157" s="681"/>
      <c r="EH157" s="682"/>
      <c r="EI157" s="682"/>
      <c r="EJ157" s="683"/>
      <c r="EK157" s="684"/>
      <c r="EL157" s="680"/>
      <c r="EM157" s="681"/>
      <c r="EN157" s="682"/>
      <c r="EO157" s="682"/>
      <c r="EP157" s="683"/>
      <c r="EQ157" s="684"/>
      <c r="ER157" s="680"/>
      <c r="ES157" s="681"/>
      <c r="ET157" s="682"/>
      <c r="EU157" s="682"/>
      <c r="EV157" s="683"/>
      <c r="EW157" s="684"/>
      <c r="EX157" s="675"/>
      <c r="EY157" s="676">
        <f t="shared" si="123"/>
        <v>0</v>
      </c>
      <c r="EZ157" s="677">
        <f t="shared" si="124"/>
        <v>0</v>
      </c>
      <c r="FA157" s="677">
        <f t="shared" si="169"/>
        <v>0</v>
      </c>
      <c r="FB157" s="678">
        <f t="shared" si="170"/>
        <v>0</v>
      </c>
      <c r="FC157" s="679">
        <f t="shared" si="171"/>
        <v>0</v>
      </c>
      <c r="FD157" s="680"/>
      <c r="FE157" s="681"/>
      <c r="FF157" s="682"/>
      <c r="FG157" s="682"/>
      <c r="FH157" s="683"/>
      <c r="FI157" s="684"/>
      <c r="FJ157" s="680"/>
      <c r="FK157" s="681"/>
      <c r="FL157" s="682"/>
      <c r="FM157" s="682"/>
      <c r="FN157" s="683"/>
      <c r="FO157" s="684"/>
      <c r="FP157" s="680"/>
      <c r="FQ157" s="681"/>
      <c r="FR157" s="682"/>
      <c r="FS157" s="682"/>
      <c r="FT157" s="683"/>
      <c r="FU157" s="684"/>
      <c r="FV157" s="680"/>
      <c r="FW157" s="681"/>
      <c r="FX157" s="682"/>
      <c r="FY157" s="682"/>
      <c r="FZ157" s="683"/>
      <c r="GA157" s="684"/>
      <c r="GB157" s="675"/>
      <c r="GC157" s="676">
        <f t="shared" si="125"/>
        <v>0</v>
      </c>
      <c r="GD157" s="677">
        <f t="shared" si="126"/>
        <v>0</v>
      </c>
      <c r="GE157" s="677">
        <f t="shared" si="172"/>
        <v>0</v>
      </c>
      <c r="GF157" s="678">
        <f t="shared" si="173"/>
        <v>0</v>
      </c>
      <c r="GG157" s="679">
        <f t="shared" si="174"/>
        <v>0</v>
      </c>
      <c r="GH157" s="680"/>
      <c r="GI157" s="681"/>
      <c r="GJ157" s="682"/>
      <c r="GK157" s="682"/>
      <c r="GL157" s="683"/>
      <c r="GM157" s="684"/>
      <c r="GN157" s="680"/>
      <c r="GO157" s="681"/>
      <c r="GP157" s="682"/>
      <c r="GQ157" s="682"/>
      <c r="GR157" s="683"/>
      <c r="GS157" s="684"/>
      <c r="GT157" s="680"/>
      <c r="GU157" s="681"/>
      <c r="GV157" s="682"/>
      <c r="GW157" s="682"/>
      <c r="GX157" s="683"/>
      <c r="GY157" s="684"/>
      <c r="GZ157" s="680"/>
      <c r="HA157" s="147"/>
      <c r="HB157" s="148"/>
      <c r="HC157" s="148"/>
      <c r="HD157" s="149"/>
      <c r="HE157" s="150"/>
      <c r="HF157" s="506"/>
      <c r="HG157" s="502"/>
      <c r="HH157" s="502"/>
      <c r="HI157" s="502"/>
      <c r="HJ157" s="8"/>
    </row>
    <row r="158" spans="2:218" ht="21" hidden="1">
      <c r="B158" s="488">
        <v>114</v>
      </c>
      <c r="C158" s="489" t="s">
        <v>248</v>
      </c>
      <c r="D158" s="490" t="s">
        <v>493</v>
      </c>
      <c r="E158" s="491" t="s">
        <v>448</v>
      </c>
      <c r="F158" s="492"/>
      <c r="G158" s="493"/>
      <c r="H158" s="146" t="s">
        <v>97</v>
      </c>
      <c r="I158" s="494" t="str">
        <f t="shared" si="92"/>
        <v>n.v.t.</v>
      </c>
      <c r="J158" s="495"/>
      <c r="K158" s="151">
        <v>0</v>
      </c>
      <c r="L158" s="256"/>
      <c r="M158" s="256">
        <f>IF($C$5&lt;3000,(Bron!H147*$C$5)+Bron!I147,(Bron!M147*$C$5)+Bron!N147)</f>
        <v>11069.856</v>
      </c>
      <c r="N158" s="496">
        <f t="shared" si="175"/>
        <v>7708.8320000000012</v>
      </c>
      <c r="O158" s="497">
        <f t="shared" si="176"/>
        <v>1.4359965296947705</v>
      </c>
      <c r="P158" s="257">
        <f>IF($C$5&lt;3000,$AN$32*Bron!J147,$AN$32*Bron!O147)</f>
        <v>0</v>
      </c>
      <c r="Q158" s="257">
        <f>(-P158*9.768/3.5)</f>
        <v>0</v>
      </c>
      <c r="R158" s="257">
        <f>IF($C$5&lt;3000,$AN$33*Bron!J147,$AN$33*Bron!O147)</f>
        <v>155.42000000000002</v>
      </c>
      <c r="S158" s="344"/>
      <c r="T158" s="258">
        <f t="shared" si="93"/>
        <v>0</v>
      </c>
      <c r="U158" s="259">
        <f t="shared" si="94"/>
        <v>0</v>
      </c>
      <c r="V158" s="675"/>
      <c r="W158" s="676">
        <f t="shared" si="95"/>
        <v>0</v>
      </c>
      <c r="X158" s="677">
        <f t="shared" si="96"/>
        <v>0</v>
      </c>
      <c r="Y158" s="677">
        <f t="shared" si="127"/>
        <v>0</v>
      </c>
      <c r="Z158" s="678">
        <f t="shared" si="128"/>
        <v>0</v>
      </c>
      <c r="AA158" s="679">
        <f t="shared" si="129"/>
        <v>0</v>
      </c>
      <c r="AB158" s="675"/>
      <c r="AC158" s="676">
        <f t="shared" si="97"/>
        <v>0</v>
      </c>
      <c r="AD158" s="677">
        <f t="shared" si="98"/>
        <v>0</v>
      </c>
      <c r="AE158" s="677">
        <f t="shared" si="130"/>
        <v>0</v>
      </c>
      <c r="AF158" s="678">
        <f t="shared" si="131"/>
        <v>0</v>
      </c>
      <c r="AG158" s="679">
        <f t="shared" si="132"/>
        <v>0</v>
      </c>
      <c r="AH158" s="675"/>
      <c r="AI158" s="676">
        <f t="shared" si="99"/>
        <v>0</v>
      </c>
      <c r="AJ158" s="677">
        <f t="shared" si="100"/>
        <v>0</v>
      </c>
      <c r="AK158" s="677">
        <f t="shared" si="133"/>
        <v>0</v>
      </c>
      <c r="AL158" s="678">
        <f t="shared" si="134"/>
        <v>0</v>
      </c>
      <c r="AM158" s="679">
        <f t="shared" si="135"/>
        <v>0</v>
      </c>
      <c r="AN158" s="675"/>
      <c r="AO158" s="676">
        <f t="shared" si="101"/>
        <v>0</v>
      </c>
      <c r="AP158" s="677">
        <f t="shared" si="102"/>
        <v>0</v>
      </c>
      <c r="AQ158" s="677">
        <f t="shared" si="136"/>
        <v>0</v>
      </c>
      <c r="AR158" s="678">
        <f t="shared" si="137"/>
        <v>0</v>
      </c>
      <c r="AS158" s="679">
        <f t="shared" si="138"/>
        <v>0</v>
      </c>
      <c r="AT158" s="675"/>
      <c r="AU158" s="676">
        <f t="shared" si="103"/>
        <v>0</v>
      </c>
      <c r="AV158" s="677">
        <f t="shared" si="104"/>
        <v>0</v>
      </c>
      <c r="AW158" s="677">
        <f t="shared" si="139"/>
        <v>0</v>
      </c>
      <c r="AX158" s="678">
        <f t="shared" si="140"/>
        <v>0</v>
      </c>
      <c r="AY158" s="679">
        <f t="shared" si="141"/>
        <v>0</v>
      </c>
      <c r="AZ158" s="675"/>
      <c r="BA158" s="676">
        <f t="shared" si="105"/>
        <v>0</v>
      </c>
      <c r="BB158" s="677">
        <f t="shared" si="106"/>
        <v>0</v>
      </c>
      <c r="BC158" s="677">
        <f t="shared" si="142"/>
        <v>0</v>
      </c>
      <c r="BD158" s="678">
        <f t="shared" si="143"/>
        <v>0</v>
      </c>
      <c r="BE158" s="679">
        <f t="shared" si="144"/>
        <v>0</v>
      </c>
      <c r="BF158" s="675"/>
      <c r="BG158" s="676">
        <f t="shared" si="107"/>
        <v>0</v>
      </c>
      <c r="BH158" s="677">
        <f t="shared" si="108"/>
        <v>0</v>
      </c>
      <c r="BI158" s="677">
        <f t="shared" si="145"/>
        <v>0</v>
      </c>
      <c r="BJ158" s="678">
        <f t="shared" si="146"/>
        <v>0</v>
      </c>
      <c r="BK158" s="679">
        <f t="shared" si="147"/>
        <v>0</v>
      </c>
      <c r="BL158" s="675"/>
      <c r="BM158" s="676">
        <f t="shared" si="109"/>
        <v>0</v>
      </c>
      <c r="BN158" s="677">
        <f t="shared" si="110"/>
        <v>0</v>
      </c>
      <c r="BO158" s="677">
        <f t="shared" si="148"/>
        <v>0</v>
      </c>
      <c r="BP158" s="678">
        <f t="shared" si="149"/>
        <v>0</v>
      </c>
      <c r="BQ158" s="679">
        <f t="shared" si="150"/>
        <v>0</v>
      </c>
      <c r="BR158" s="675"/>
      <c r="BS158" s="676">
        <f t="shared" si="111"/>
        <v>0</v>
      </c>
      <c r="BT158" s="677">
        <f t="shared" si="112"/>
        <v>0</v>
      </c>
      <c r="BU158" s="677">
        <f t="shared" si="151"/>
        <v>0</v>
      </c>
      <c r="BV158" s="678">
        <f t="shared" si="152"/>
        <v>0</v>
      </c>
      <c r="BW158" s="679">
        <f t="shared" si="153"/>
        <v>0</v>
      </c>
      <c r="BX158" s="675"/>
      <c r="BY158" s="676">
        <f t="shared" si="113"/>
        <v>0</v>
      </c>
      <c r="BZ158" s="677">
        <f t="shared" si="114"/>
        <v>0</v>
      </c>
      <c r="CA158" s="677">
        <f t="shared" si="154"/>
        <v>0</v>
      </c>
      <c r="CB158" s="678">
        <f t="shared" si="155"/>
        <v>0</v>
      </c>
      <c r="CC158" s="679">
        <f t="shared" si="156"/>
        <v>0</v>
      </c>
      <c r="CD158" s="675"/>
      <c r="CE158" s="676">
        <f t="shared" si="115"/>
        <v>0</v>
      </c>
      <c r="CF158" s="677">
        <f t="shared" si="116"/>
        <v>0</v>
      </c>
      <c r="CG158" s="677">
        <f t="shared" si="157"/>
        <v>0</v>
      </c>
      <c r="CH158" s="678">
        <f t="shared" si="158"/>
        <v>0</v>
      </c>
      <c r="CI158" s="679">
        <f t="shared" si="159"/>
        <v>0</v>
      </c>
      <c r="CJ158" s="675"/>
      <c r="CK158" s="676">
        <f t="shared" si="117"/>
        <v>0</v>
      </c>
      <c r="CL158" s="677">
        <f t="shared" si="118"/>
        <v>0</v>
      </c>
      <c r="CM158" s="677">
        <f t="shared" si="160"/>
        <v>0</v>
      </c>
      <c r="CN158" s="678">
        <f t="shared" si="161"/>
        <v>0</v>
      </c>
      <c r="CO158" s="679">
        <f t="shared" si="162"/>
        <v>0</v>
      </c>
      <c r="CP158" s="675"/>
      <c r="CQ158" s="676">
        <f t="shared" si="119"/>
        <v>0</v>
      </c>
      <c r="CR158" s="677">
        <f t="shared" si="120"/>
        <v>0</v>
      </c>
      <c r="CS158" s="677">
        <f t="shared" si="163"/>
        <v>0</v>
      </c>
      <c r="CT158" s="678">
        <f t="shared" si="164"/>
        <v>0</v>
      </c>
      <c r="CU158" s="679">
        <f t="shared" si="165"/>
        <v>0</v>
      </c>
      <c r="CV158" s="685"/>
      <c r="CW158" s="681"/>
      <c r="CX158" s="682"/>
      <c r="CY158" s="682"/>
      <c r="CZ158" s="683"/>
      <c r="DA158" s="684"/>
      <c r="DB158" s="685"/>
      <c r="DC158" s="681"/>
      <c r="DD158" s="682"/>
      <c r="DE158" s="682"/>
      <c r="DF158" s="683"/>
      <c r="DG158" s="684"/>
      <c r="DH158" s="685"/>
      <c r="DI158" s="681"/>
      <c r="DJ158" s="682"/>
      <c r="DK158" s="682"/>
      <c r="DL158" s="683"/>
      <c r="DM158" s="684"/>
      <c r="DN158" s="685"/>
      <c r="DO158" s="681"/>
      <c r="DP158" s="682"/>
      <c r="DQ158" s="682"/>
      <c r="DR158" s="683"/>
      <c r="DS158" s="684"/>
      <c r="DT158" s="675"/>
      <c r="DU158" s="676">
        <f t="shared" si="121"/>
        <v>0</v>
      </c>
      <c r="DV158" s="677">
        <f t="shared" si="122"/>
        <v>0</v>
      </c>
      <c r="DW158" s="677">
        <f t="shared" si="166"/>
        <v>0</v>
      </c>
      <c r="DX158" s="678">
        <f t="shared" si="167"/>
        <v>0</v>
      </c>
      <c r="DY158" s="679">
        <f t="shared" si="168"/>
        <v>0</v>
      </c>
      <c r="DZ158" s="680"/>
      <c r="EA158" s="681"/>
      <c r="EB158" s="682"/>
      <c r="EC158" s="682"/>
      <c r="ED158" s="683"/>
      <c r="EE158" s="684"/>
      <c r="EF158" s="680"/>
      <c r="EG158" s="681"/>
      <c r="EH158" s="682"/>
      <c r="EI158" s="682"/>
      <c r="EJ158" s="683"/>
      <c r="EK158" s="684"/>
      <c r="EL158" s="680"/>
      <c r="EM158" s="681"/>
      <c r="EN158" s="682"/>
      <c r="EO158" s="682"/>
      <c r="EP158" s="683"/>
      <c r="EQ158" s="684"/>
      <c r="ER158" s="680"/>
      <c r="ES158" s="681"/>
      <c r="ET158" s="682"/>
      <c r="EU158" s="682"/>
      <c r="EV158" s="683"/>
      <c r="EW158" s="684"/>
      <c r="EX158" s="675"/>
      <c r="EY158" s="676">
        <f t="shared" si="123"/>
        <v>0</v>
      </c>
      <c r="EZ158" s="677">
        <f t="shared" si="124"/>
        <v>0</v>
      </c>
      <c r="FA158" s="677">
        <f t="shared" si="169"/>
        <v>0</v>
      </c>
      <c r="FB158" s="678">
        <f t="shared" si="170"/>
        <v>0</v>
      </c>
      <c r="FC158" s="679">
        <f t="shared" si="171"/>
        <v>0</v>
      </c>
      <c r="FD158" s="680"/>
      <c r="FE158" s="681"/>
      <c r="FF158" s="682"/>
      <c r="FG158" s="682"/>
      <c r="FH158" s="683"/>
      <c r="FI158" s="684"/>
      <c r="FJ158" s="680"/>
      <c r="FK158" s="681"/>
      <c r="FL158" s="682"/>
      <c r="FM158" s="682"/>
      <c r="FN158" s="683"/>
      <c r="FO158" s="684"/>
      <c r="FP158" s="680"/>
      <c r="FQ158" s="681"/>
      <c r="FR158" s="682"/>
      <c r="FS158" s="682"/>
      <c r="FT158" s="683"/>
      <c r="FU158" s="684"/>
      <c r="FV158" s="680"/>
      <c r="FW158" s="681"/>
      <c r="FX158" s="682"/>
      <c r="FY158" s="682"/>
      <c r="FZ158" s="683"/>
      <c r="GA158" s="684"/>
      <c r="GB158" s="675"/>
      <c r="GC158" s="676">
        <f t="shared" si="125"/>
        <v>0</v>
      </c>
      <c r="GD158" s="677">
        <f t="shared" si="126"/>
        <v>0</v>
      </c>
      <c r="GE158" s="677">
        <f t="shared" si="172"/>
        <v>0</v>
      </c>
      <c r="GF158" s="678">
        <f t="shared" si="173"/>
        <v>0</v>
      </c>
      <c r="GG158" s="679">
        <f t="shared" si="174"/>
        <v>0</v>
      </c>
      <c r="GH158" s="680"/>
      <c r="GI158" s="681"/>
      <c r="GJ158" s="682"/>
      <c r="GK158" s="682"/>
      <c r="GL158" s="683"/>
      <c r="GM158" s="684"/>
      <c r="GN158" s="680"/>
      <c r="GO158" s="681"/>
      <c r="GP158" s="682"/>
      <c r="GQ158" s="682"/>
      <c r="GR158" s="683"/>
      <c r="GS158" s="684"/>
      <c r="GT158" s="680"/>
      <c r="GU158" s="681"/>
      <c r="GV158" s="682"/>
      <c r="GW158" s="682"/>
      <c r="GX158" s="683"/>
      <c r="GY158" s="684"/>
      <c r="GZ158" s="680"/>
      <c r="HA158" s="147"/>
      <c r="HB158" s="148"/>
      <c r="HC158" s="148"/>
      <c r="HD158" s="149"/>
      <c r="HE158" s="150"/>
      <c r="HF158" s="506"/>
      <c r="HG158" s="502"/>
      <c r="HH158" s="502"/>
      <c r="HI158" s="502"/>
      <c r="HJ158" s="8"/>
    </row>
    <row r="159" spans="2:218" ht="21" hidden="1">
      <c r="B159" s="488">
        <v>115</v>
      </c>
      <c r="C159" s="489" t="s">
        <v>248</v>
      </c>
      <c r="D159" s="490" t="s">
        <v>493</v>
      </c>
      <c r="E159" s="491" t="s">
        <v>449</v>
      </c>
      <c r="F159" s="492"/>
      <c r="G159" s="493"/>
      <c r="H159" s="146" t="s">
        <v>97</v>
      </c>
      <c r="I159" s="494" t="str">
        <f t="shared" si="92"/>
        <v>n.v.t.</v>
      </c>
      <c r="J159" s="495"/>
      <c r="K159" s="151">
        <v>0</v>
      </c>
      <c r="L159" s="256"/>
      <c r="M159" s="256">
        <f>IF($C$5&lt;3000,(Bron!H148*$C$5)+Bron!I148,(Bron!M148*$C$5)+Bron!N148)</f>
        <v>26046.720000000001</v>
      </c>
      <c r="N159" s="496">
        <f t="shared" si="175"/>
        <v>2434.3679999999999</v>
      </c>
      <c r="O159" s="497">
        <f t="shared" si="176"/>
        <v>10.699581985961039</v>
      </c>
      <c r="P159" s="257">
        <f>IF($C$5&lt;3000,$AN$32*Bron!J148,$AN$32*Bron!O148)</f>
        <v>0</v>
      </c>
      <c r="Q159" s="257"/>
      <c r="R159" s="257">
        <f>IF($C$5&lt;3000,$AN$33*Bron!J148,$AN$33*Bron!O148)</f>
        <v>49.08</v>
      </c>
      <c r="S159" s="344"/>
      <c r="T159" s="258">
        <f t="shared" si="93"/>
        <v>0</v>
      </c>
      <c r="U159" s="259">
        <f t="shared" si="94"/>
        <v>0</v>
      </c>
      <c r="V159" s="675"/>
      <c r="W159" s="676">
        <f t="shared" si="95"/>
        <v>0</v>
      </c>
      <c r="X159" s="677">
        <f t="shared" si="96"/>
        <v>0</v>
      </c>
      <c r="Y159" s="677">
        <f t="shared" si="127"/>
        <v>0</v>
      </c>
      <c r="Z159" s="678">
        <f t="shared" si="128"/>
        <v>0</v>
      </c>
      <c r="AA159" s="679">
        <f t="shared" si="129"/>
        <v>0</v>
      </c>
      <c r="AB159" s="675"/>
      <c r="AC159" s="676">
        <f t="shared" si="97"/>
        <v>0</v>
      </c>
      <c r="AD159" s="677">
        <f t="shared" si="98"/>
        <v>0</v>
      </c>
      <c r="AE159" s="677">
        <f t="shared" si="130"/>
        <v>0</v>
      </c>
      <c r="AF159" s="678">
        <f t="shared" si="131"/>
        <v>0</v>
      </c>
      <c r="AG159" s="679">
        <f t="shared" si="132"/>
        <v>0</v>
      </c>
      <c r="AH159" s="675"/>
      <c r="AI159" s="676">
        <f t="shared" si="99"/>
        <v>0</v>
      </c>
      <c r="AJ159" s="677">
        <f t="shared" si="100"/>
        <v>0</v>
      </c>
      <c r="AK159" s="677">
        <f t="shared" si="133"/>
        <v>0</v>
      </c>
      <c r="AL159" s="678">
        <f t="shared" si="134"/>
        <v>0</v>
      </c>
      <c r="AM159" s="679">
        <f t="shared" si="135"/>
        <v>0</v>
      </c>
      <c r="AN159" s="675"/>
      <c r="AO159" s="676">
        <f t="shared" si="101"/>
        <v>0</v>
      </c>
      <c r="AP159" s="677">
        <f t="shared" si="102"/>
        <v>0</v>
      </c>
      <c r="AQ159" s="677">
        <f t="shared" si="136"/>
        <v>0</v>
      </c>
      <c r="AR159" s="678">
        <f t="shared" si="137"/>
        <v>0</v>
      </c>
      <c r="AS159" s="679">
        <f t="shared" si="138"/>
        <v>0</v>
      </c>
      <c r="AT159" s="675"/>
      <c r="AU159" s="676">
        <f t="shared" si="103"/>
        <v>0</v>
      </c>
      <c r="AV159" s="677">
        <f t="shared" si="104"/>
        <v>0</v>
      </c>
      <c r="AW159" s="677">
        <f t="shared" si="139"/>
        <v>0</v>
      </c>
      <c r="AX159" s="678">
        <f t="shared" si="140"/>
        <v>0</v>
      </c>
      <c r="AY159" s="679">
        <f t="shared" si="141"/>
        <v>0</v>
      </c>
      <c r="AZ159" s="675"/>
      <c r="BA159" s="676">
        <f t="shared" si="105"/>
        <v>0</v>
      </c>
      <c r="BB159" s="677">
        <f t="shared" si="106"/>
        <v>0</v>
      </c>
      <c r="BC159" s="677">
        <f t="shared" si="142"/>
        <v>0</v>
      </c>
      <c r="BD159" s="678">
        <f t="shared" si="143"/>
        <v>0</v>
      </c>
      <c r="BE159" s="679">
        <f t="shared" si="144"/>
        <v>0</v>
      </c>
      <c r="BF159" s="675"/>
      <c r="BG159" s="676">
        <f t="shared" si="107"/>
        <v>0</v>
      </c>
      <c r="BH159" s="677">
        <f t="shared" si="108"/>
        <v>0</v>
      </c>
      <c r="BI159" s="677">
        <f t="shared" si="145"/>
        <v>0</v>
      </c>
      <c r="BJ159" s="678">
        <f t="shared" si="146"/>
        <v>0</v>
      </c>
      <c r="BK159" s="679">
        <f t="shared" si="147"/>
        <v>0</v>
      </c>
      <c r="BL159" s="675"/>
      <c r="BM159" s="676">
        <f t="shared" si="109"/>
        <v>0</v>
      </c>
      <c r="BN159" s="677">
        <f t="shared" si="110"/>
        <v>0</v>
      </c>
      <c r="BO159" s="677">
        <f t="shared" si="148"/>
        <v>0</v>
      </c>
      <c r="BP159" s="678">
        <f t="shared" si="149"/>
        <v>0</v>
      </c>
      <c r="BQ159" s="679">
        <f t="shared" si="150"/>
        <v>0</v>
      </c>
      <c r="BR159" s="675"/>
      <c r="BS159" s="676">
        <f t="shared" si="111"/>
        <v>0</v>
      </c>
      <c r="BT159" s="677">
        <f t="shared" si="112"/>
        <v>0</v>
      </c>
      <c r="BU159" s="677">
        <f t="shared" si="151"/>
        <v>0</v>
      </c>
      <c r="BV159" s="678">
        <f t="shared" si="152"/>
        <v>0</v>
      </c>
      <c r="BW159" s="679">
        <f t="shared" si="153"/>
        <v>0</v>
      </c>
      <c r="BX159" s="675"/>
      <c r="BY159" s="676">
        <f t="shared" si="113"/>
        <v>0</v>
      </c>
      <c r="BZ159" s="677">
        <f t="shared" si="114"/>
        <v>0</v>
      </c>
      <c r="CA159" s="677">
        <f t="shared" si="154"/>
        <v>0</v>
      </c>
      <c r="CB159" s="678">
        <f t="shared" si="155"/>
        <v>0</v>
      </c>
      <c r="CC159" s="679">
        <f t="shared" si="156"/>
        <v>0</v>
      </c>
      <c r="CD159" s="675"/>
      <c r="CE159" s="676">
        <f t="shared" si="115"/>
        <v>0</v>
      </c>
      <c r="CF159" s="677">
        <f t="shared" si="116"/>
        <v>0</v>
      </c>
      <c r="CG159" s="677">
        <f t="shared" si="157"/>
        <v>0</v>
      </c>
      <c r="CH159" s="678">
        <f t="shared" si="158"/>
        <v>0</v>
      </c>
      <c r="CI159" s="679">
        <f t="shared" si="159"/>
        <v>0</v>
      </c>
      <c r="CJ159" s="675"/>
      <c r="CK159" s="676">
        <f t="shared" si="117"/>
        <v>0</v>
      </c>
      <c r="CL159" s="677">
        <f t="shared" si="118"/>
        <v>0</v>
      </c>
      <c r="CM159" s="677">
        <f t="shared" si="160"/>
        <v>0</v>
      </c>
      <c r="CN159" s="678">
        <f t="shared" si="161"/>
        <v>0</v>
      </c>
      <c r="CO159" s="679">
        <f t="shared" si="162"/>
        <v>0</v>
      </c>
      <c r="CP159" s="675"/>
      <c r="CQ159" s="676">
        <f t="shared" si="119"/>
        <v>0</v>
      </c>
      <c r="CR159" s="677">
        <f t="shared" si="120"/>
        <v>0</v>
      </c>
      <c r="CS159" s="677">
        <f t="shared" si="163"/>
        <v>0</v>
      </c>
      <c r="CT159" s="678">
        <f t="shared" si="164"/>
        <v>0</v>
      </c>
      <c r="CU159" s="679">
        <f t="shared" si="165"/>
        <v>0</v>
      </c>
      <c r="CV159" s="685"/>
      <c r="CW159" s="681"/>
      <c r="CX159" s="682"/>
      <c r="CY159" s="682"/>
      <c r="CZ159" s="683"/>
      <c r="DA159" s="684"/>
      <c r="DB159" s="685"/>
      <c r="DC159" s="681"/>
      <c r="DD159" s="682"/>
      <c r="DE159" s="682"/>
      <c r="DF159" s="683"/>
      <c r="DG159" s="684"/>
      <c r="DH159" s="685"/>
      <c r="DI159" s="681"/>
      <c r="DJ159" s="682"/>
      <c r="DK159" s="682"/>
      <c r="DL159" s="683"/>
      <c r="DM159" s="684"/>
      <c r="DN159" s="685"/>
      <c r="DO159" s="681"/>
      <c r="DP159" s="682"/>
      <c r="DQ159" s="682"/>
      <c r="DR159" s="683"/>
      <c r="DS159" s="684"/>
      <c r="DT159" s="675"/>
      <c r="DU159" s="676">
        <f t="shared" si="121"/>
        <v>0</v>
      </c>
      <c r="DV159" s="677">
        <f t="shared" si="122"/>
        <v>0</v>
      </c>
      <c r="DW159" s="677">
        <f t="shared" si="166"/>
        <v>0</v>
      </c>
      <c r="DX159" s="678">
        <f t="shared" si="167"/>
        <v>0</v>
      </c>
      <c r="DY159" s="679">
        <f t="shared" si="168"/>
        <v>0</v>
      </c>
      <c r="DZ159" s="680"/>
      <c r="EA159" s="681"/>
      <c r="EB159" s="682"/>
      <c r="EC159" s="682"/>
      <c r="ED159" s="683"/>
      <c r="EE159" s="684"/>
      <c r="EF159" s="680"/>
      <c r="EG159" s="681"/>
      <c r="EH159" s="682"/>
      <c r="EI159" s="682"/>
      <c r="EJ159" s="683"/>
      <c r="EK159" s="684"/>
      <c r="EL159" s="680"/>
      <c r="EM159" s="681"/>
      <c r="EN159" s="682"/>
      <c r="EO159" s="682"/>
      <c r="EP159" s="683"/>
      <c r="EQ159" s="684"/>
      <c r="ER159" s="680"/>
      <c r="ES159" s="681"/>
      <c r="ET159" s="682"/>
      <c r="EU159" s="682"/>
      <c r="EV159" s="683"/>
      <c r="EW159" s="684"/>
      <c r="EX159" s="675"/>
      <c r="EY159" s="676">
        <f t="shared" si="123"/>
        <v>0</v>
      </c>
      <c r="EZ159" s="677">
        <f t="shared" si="124"/>
        <v>0</v>
      </c>
      <c r="FA159" s="677">
        <f t="shared" si="169"/>
        <v>0</v>
      </c>
      <c r="FB159" s="678">
        <f t="shared" si="170"/>
        <v>0</v>
      </c>
      <c r="FC159" s="679">
        <f t="shared" si="171"/>
        <v>0</v>
      </c>
      <c r="FD159" s="680"/>
      <c r="FE159" s="681"/>
      <c r="FF159" s="682"/>
      <c r="FG159" s="682"/>
      <c r="FH159" s="683"/>
      <c r="FI159" s="684"/>
      <c r="FJ159" s="680"/>
      <c r="FK159" s="681"/>
      <c r="FL159" s="682"/>
      <c r="FM159" s="682"/>
      <c r="FN159" s="683"/>
      <c r="FO159" s="684"/>
      <c r="FP159" s="680"/>
      <c r="FQ159" s="681"/>
      <c r="FR159" s="682"/>
      <c r="FS159" s="682"/>
      <c r="FT159" s="683"/>
      <c r="FU159" s="684"/>
      <c r="FV159" s="680"/>
      <c r="FW159" s="681"/>
      <c r="FX159" s="682"/>
      <c r="FY159" s="682"/>
      <c r="FZ159" s="683"/>
      <c r="GA159" s="684"/>
      <c r="GB159" s="675"/>
      <c r="GC159" s="676">
        <f t="shared" si="125"/>
        <v>0</v>
      </c>
      <c r="GD159" s="677">
        <f t="shared" si="126"/>
        <v>0</v>
      </c>
      <c r="GE159" s="677">
        <f t="shared" si="172"/>
        <v>0</v>
      </c>
      <c r="GF159" s="678">
        <f t="shared" si="173"/>
        <v>0</v>
      </c>
      <c r="GG159" s="679">
        <f t="shared" si="174"/>
        <v>0</v>
      </c>
      <c r="GH159" s="680"/>
      <c r="GI159" s="681"/>
      <c r="GJ159" s="682"/>
      <c r="GK159" s="682"/>
      <c r="GL159" s="683"/>
      <c r="GM159" s="684"/>
      <c r="GN159" s="680"/>
      <c r="GO159" s="681"/>
      <c r="GP159" s="682"/>
      <c r="GQ159" s="682"/>
      <c r="GR159" s="683"/>
      <c r="GS159" s="684"/>
      <c r="GT159" s="680"/>
      <c r="GU159" s="681"/>
      <c r="GV159" s="682"/>
      <c r="GW159" s="682"/>
      <c r="GX159" s="683"/>
      <c r="GY159" s="684"/>
      <c r="GZ159" s="680"/>
      <c r="HA159" s="147"/>
      <c r="HB159" s="148"/>
      <c r="HC159" s="148"/>
      <c r="HD159" s="149"/>
      <c r="HE159" s="150"/>
      <c r="HF159" s="506"/>
      <c r="HG159" s="502"/>
      <c r="HH159" s="502"/>
      <c r="HI159" s="502"/>
      <c r="HJ159" s="8"/>
    </row>
    <row r="160" spans="2:218" ht="21">
      <c r="B160" s="488">
        <v>116</v>
      </c>
      <c r="C160" s="489" t="s">
        <v>248</v>
      </c>
      <c r="D160" s="490" t="s">
        <v>493</v>
      </c>
      <c r="E160" s="491" t="s">
        <v>613</v>
      </c>
      <c r="F160" s="492"/>
      <c r="G160" s="493"/>
      <c r="H160" s="146" t="s">
        <v>852</v>
      </c>
      <c r="I160" s="494" t="str">
        <f t="shared" si="92"/>
        <v>verhuurder</v>
      </c>
      <c r="J160" s="495" t="s">
        <v>487</v>
      </c>
      <c r="K160" s="151">
        <v>1</v>
      </c>
      <c r="L160" s="256">
        <f>IF($C$5&lt;3000,(Bron!H149*$C$5)+Bron!I149,(Bron!M149*$C$5)+Bron!N149)</f>
        <v>17000</v>
      </c>
      <c r="M160" s="256"/>
      <c r="N160" s="496">
        <f t="shared" si="175"/>
        <v>1663.4848000000002</v>
      </c>
      <c r="O160" s="497">
        <f t="shared" si="176"/>
        <v>10.219510271449428</v>
      </c>
      <c r="P160" s="257">
        <f>IF($C$5&lt;3000,$AN$32*Bron!J149,$AN$32*Bron!O149)</f>
        <v>0</v>
      </c>
      <c r="Q160" s="257">
        <f>IF($C$5&lt;3000,$AN$31*Bron!K149,$AN$31*Bron!P149)</f>
        <v>0</v>
      </c>
      <c r="R160" s="257">
        <f>IF($C$5&lt;3000,$AN$33*Bron!J149,$AN$33*Bron!O149)</f>
        <v>33.538000000000004</v>
      </c>
      <c r="S160" s="344"/>
      <c r="T160" s="258">
        <f t="shared" si="93"/>
        <v>1</v>
      </c>
      <c r="U160" s="259">
        <f t="shared" si="94"/>
        <v>0</v>
      </c>
      <c r="V160" s="675"/>
      <c r="W160" s="676">
        <f t="shared" si="95"/>
        <v>0</v>
      </c>
      <c r="X160" s="677">
        <f t="shared" si="96"/>
        <v>0</v>
      </c>
      <c r="Y160" s="677">
        <f t="shared" si="127"/>
        <v>0</v>
      </c>
      <c r="Z160" s="678">
        <f t="shared" si="128"/>
        <v>0</v>
      </c>
      <c r="AA160" s="679">
        <f t="shared" si="129"/>
        <v>0</v>
      </c>
      <c r="AB160" s="675"/>
      <c r="AC160" s="676">
        <f t="shared" si="97"/>
        <v>0</v>
      </c>
      <c r="AD160" s="677">
        <f t="shared" si="98"/>
        <v>0</v>
      </c>
      <c r="AE160" s="677">
        <f t="shared" si="130"/>
        <v>0</v>
      </c>
      <c r="AF160" s="678">
        <f t="shared" si="131"/>
        <v>0</v>
      </c>
      <c r="AG160" s="679">
        <f t="shared" si="132"/>
        <v>0</v>
      </c>
      <c r="AH160" s="675"/>
      <c r="AI160" s="676">
        <f t="shared" si="99"/>
        <v>0</v>
      </c>
      <c r="AJ160" s="677">
        <f t="shared" si="100"/>
        <v>0</v>
      </c>
      <c r="AK160" s="677">
        <f t="shared" si="133"/>
        <v>0</v>
      </c>
      <c r="AL160" s="678">
        <f t="shared" si="134"/>
        <v>0</v>
      </c>
      <c r="AM160" s="679">
        <f t="shared" si="135"/>
        <v>0</v>
      </c>
      <c r="AN160" s="675"/>
      <c r="AO160" s="676">
        <f t="shared" si="101"/>
        <v>0</v>
      </c>
      <c r="AP160" s="677">
        <f t="shared" si="102"/>
        <v>0</v>
      </c>
      <c r="AQ160" s="677">
        <f t="shared" si="136"/>
        <v>0</v>
      </c>
      <c r="AR160" s="678">
        <f t="shared" si="137"/>
        <v>0</v>
      </c>
      <c r="AS160" s="679">
        <f t="shared" si="138"/>
        <v>0</v>
      </c>
      <c r="AT160" s="675"/>
      <c r="AU160" s="676">
        <f t="shared" si="103"/>
        <v>0</v>
      </c>
      <c r="AV160" s="677">
        <f t="shared" si="104"/>
        <v>0</v>
      </c>
      <c r="AW160" s="677">
        <f t="shared" si="139"/>
        <v>0</v>
      </c>
      <c r="AX160" s="678">
        <f t="shared" si="140"/>
        <v>0</v>
      </c>
      <c r="AY160" s="679">
        <f t="shared" si="141"/>
        <v>0</v>
      </c>
      <c r="AZ160" s="675"/>
      <c r="BA160" s="676">
        <f t="shared" si="105"/>
        <v>0</v>
      </c>
      <c r="BB160" s="677">
        <f t="shared" si="106"/>
        <v>0</v>
      </c>
      <c r="BC160" s="677">
        <f t="shared" si="142"/>
        <v>0</v>
      </c>
      <c r="BD160" s="678">
        <f t="shared" si="143"/>
        <v>0</v>
      </c>
      <c r="BE160" s="679">
        <f t="shared" si="144"/>
        <v>0</v>
      </c>
      <c r="BF160" s="675"/>
      <c r="BG160" s="676">
        <f t="shared" si="107"/>
        <v>0</v>
      </c>
      <c r="BH160" s="677">
        <f t="shared" si="108"/>
        <v>0</v>
      </c>
      <c r="BI160" s="677">
        <f t="shared" si="145"/>
        <v>0</v>
      </c>
      <c r="BJ160" s="678">
        <f t="shared" si="146"/>
        <v>0</v>
      </c>
      <c r="BK160" s="679">
        <f t="shared" si="147"/>
        <v>0</v>
      </c>
      <c r="BL160" s="675"/>
      <c r="BM160" s="676">
        <f t="shared" si="109"/>
        <v>0</v>
      </c>
      <c r="BN160" s="677">
        <f t="shared" si="110"/>
        <v>0</v>
      </c>
      <c r="BO160" s="677">
        <f t="shared" si="148"/>
        <v>0</v>
      </c>
      <c r="BP160" s="678">
        <f t="shared" si="149"/>
        <v>0</v>
      </c>
      <c r="BQ160" s="679">
        <f t="shared" si="150"/>
        <v>0</v>
      </c>
      <c r="BR160" s="675"/>
      <c r="BS160" s="676">
        <f t="shared" si="111"/>
        <v>0</v>
      </c>
      <c r="BT160" s="677">
        <f t="shared" si="112"/>
        <v>0</v>
      </c>
      <c r="BU160" s="677">
        <f t="shared" si="151"/>
        <v>0</v>
      </c>
      <c r="BV160" s="678">
        <f t="shared" si="152"/>
        <v>0</v>
      </c>
      <c r="BW160" s="679">
        <f t="shared" si="153"/>
        <v>0</v>
      </c>
      <c r="BX160" s="675"/>
      <c r="BY160" s="676">
        <f t="shared" si="113"/>
        <v>0</v>
      </c>
      <c r="BZ160" s="677">
        <f t="shared" si="114"/>
        <v>0</v>
      </c>
      <c r="CA160" s="677">
        <f t="shared" si="154"/>
        <v>0</v>
      </c>
      <c r="CB160" s="678">
        <f t="shared" si="155"/>
        <v>0</v>
      </c>
      <c r="CC160" s="679">
        <f t="shared" si="156"/>
        <v>0</v>
      </c>
      <c r="CD160" s="675"/>
      <c r="CE160" s="676">
        <f t="shared" si="115"/>
        <v>0</v>
      </c>
      <c r="CF160" s="677">
        <f t="shared" si="116"/>
        <v>0</v>
      </c>
      <c r="CG160" s="677">
        <f t="shared" si="157"/>
        <v>0</v>
      </c>
      <c r="CH160" s="678">
        <f t="shared" si="158"/>
        <v>0</v>
      </c>
      <c r="CI160" s="679">
        <f t="shared" si="159"/>
        <v>0</v>
      </c>
      <c r="CJ160" s="675"/>
      <c r="CK160" s="676">
        <f t="shared" si="117"/>
        <v>0</v>
      </c>
      <c r="CL160" s="677">
        <f t="shared" si="118"/>
        <v>0</v>
      </c>
      <c r="CM160" s="677">
        <f t="shared" si="160"/>
        <v>0</v>
      </c>
      <c r="CN160" s="678">
        <f t="shared" si="161"/>
        <v>0</v>
      </c>
      <c r="CO160" s="679">
        <f t="shared" si="162"/>
        <v>0</v>
      </c>
      <c r="CP160" s="675"/>
      <c r="CQ160" s="676">
        <f t="shared" si="119"/>
        <v>0</v>
      </c>
      <c r="CR160" s="677">
        <f t="shared" si="120"/>
        <v>0</v>
      </c>
      <c r="CS160" s="677">
        <f t="shared" si="163"/>
        <v>0</v>
      </c>
      <c r="CT160" s="678">
        <f t="shared" si="164"/>
        <v>0</v>
      </c>
      <c r="CU160" s="679">
        <f t="shared" si="165"/>
        <v>0</v>
      </c>
      <c r="CV160" s="685"/>
      <c r="CW160" s="681"/>
      <c r="CX160" s="682"/>
      <c r="CY160" s="682"/>
      <c r="CZ160" s="683"/>
      <c r="DA160" s="684"/>
      <c r="DB160" s="685"/>
      <c r="DC160" s="681"/>
      <c r="DD160" s="682"/>
      <c r="DE160" s="682"/>
      <c r="DF160" s="683"/>
      <c r="DG160" s="684"/>
      <c r="DH160" s="685"/>
      <c r="DI160" s="681"/>
      <c r="DJ160" s="682"/>
      <c r="DK160" s="682"/>
      <c r="DL160" s="683"/>
      <c r="DM160" s="684"/>
      <c r="DN160" s="685"/>
      <c r="DO160" s="681"/>
      <c r="DP160" s="682"/>
      <c r="DQ160" s="682"/>
      <c r="DR160" s="683"/>
      <c r="DS160" s="684"/>
      <c r="DT160" s="675"/>
      <c r="DU160" s="676">
        <f t="shared" si="121"/>
        <v>0</v>
      </c>
      <c r="DV160" s="677">
        <f t="shared" si="122"/>
        <v>0</v>
      </c>
      <c r="DW160" s="677">
        <f t="shared" si="166"/>
        <v>0</v>
      </c>
      <c r="DX160" s="678">
        <f t="shared" si="167"/>
        <v>0</v>
      </c>
      <c r="DY160" s="679">
        <f t="shared" si="168"/>
        <v>0</v>
      </c>
      <c r="DZ160" s="680"/>
      <c r="EA160" s="681"/>
      <c r="EB160" s="682"/>
      <c r="EC160" s="682"/>
      <c r="ED160" s="683"/>
      <c r="EE160" s="684"/>
      <c r="EF160" s="680"/>
      <c r="EG160" s="681"/>
      <c r="EH160" s="682"/>
      <c r="EI160" s="682"/>
      <c r="EJ160" s="683"/>
      <c r="EK160" s="684"/>
      <c r="EL160" s="680"/>
      <c r="EM160" s="681"/>
      <c r="EN160" s="682"/>
      <c r="EO160" s="682"/>
      <c r="EP160" s="683"/>
      <c r="EQ160" s="684"/>
      <c r="ER160" s="680"/>
      <c r="ES160" s="681"/>
      <c r="ET160" s="682"/>
      <c r="EU160" s="682"/>
      <c r="EV160" s="683"/>
      <c r="EW160" s="684"/>
      <c r="EX160" s="675"/>
      <c r="EY160" s="676">
        <f t="shared" si="123"/>
        <v>0</v>
      </c>
      <c r="EZ160" s="677">
        <f t="shared" si="124"/>
        <v>0</v>
      </c>
      <c r="FA160" s="677">
        <f t="shared" si="169"/>
        <v>0</v>
      </c>
      <c r="FB160" s="678">
        <f t="shared" si="170"/>
        <v>0</v>
      </c>
      <c r="FC160" s="679">
        <f t="shared" si="171"/>
        <v>0</v>
      </c>
      <c r="FD160" s="680"/>
      <c r="FE160" s="681"/>
      <c r="FF160" s="682"/>
      <c r="FG160" s="682"/>
      <c r="FH160" s="683"/>
      <c r="FI160" s="684"/>
      <c r="FJ160" s="680"/>
      <c r="FK160" s="681"/>
      <c r="FL160" s="682"/>
      <c r="FM160" s="682"/>
      <c r="FN160" s="683"/>
      <c r="FO160" s="684"/>
      <c r="FP160" s="680"/>
      <c r="FQ160" s="681"/>
      <c r="FR160" s="682"/>
      <c r="FS160" s="682"/>
      <c r="FT160" s="683"/>
      <c r="FU160" s="684"/>
      <c r="FV160" s="680"/>
      <c r="FW160" s="681"/>
      <c r="FX160" s="682"/>
      <c r="FY160" s="682"/>
      <c r="FZ160" s="683"/>
      <c r="GA160" s="684"/>
      <c r="GB160" s="675"/>
      <c r="GC160" s="676">
        <f t="shared" si="125"/>
        <v>0</v>
      </c>
      <c r="GD160" s="677">
        <f t="shared" si="126"/>
        <v>0</v>
      </c>
      <c r="GE160" s="677">
        <f t="shared" si="172"/>
        <v>0</v>
      </c>
      <c r="GF160" s="678">
        <f t="shared" si="173"/>
        <v>0</v>
      </c>
      <c r="GG160" s="679">
        <f t="shared" si="174"/>
        <v>0</v>
      </c>
      <c r="GH160" s="680"/>
      <c r="GI160" s="681"/>
      <c r="GJ160" s="682"/>
      <c r="GK160" s="682"/>
      <c r="GL160" s="683"/>
      <c r="GM160" s="684"/>
      <c r="GN160" s="680"/>
      <c r="GO160" s="681"/>
      <c r="GP160" s="682"/>
      <c r="GQ160" s="682"/>
      <c r="GR160" s="683"/>
      <c r="GS160" s="684"/>
      <c r="GT160" s="680"/>
      <c r="GU160" s="681"/>
      <c r="GV160" s="682"/>
      <c r="GW160" s="682"/>
      <c r="GX160" s="683"/>
      <c r="GY160" s="684"/>
      <c r="GZ160" s="680"/>
      <c r="HA160" s="147"/>
      <c r="HB160" s="148"/>
      <c r="HC160" s="148"/>
      <c r="HD160" s="149"/>
      <c r="HE160" s="150"/>
      <c r="HF160" s="506"/>
      <c r="HG160" s="502"/>
      <c r="HH160" s="502"/>
      <c r="HI160" s="502"/>
      <c r="HJ160" s="8"/>
    </row>
    <row r="161" spans="2:218" ht="21">
      <c r="B161" s="488">
        <v>117</v>
      </c>
      <c r="C161" s="489" t="s">
        <v>255</v>
      </c>
      <c r="D161" s="490" t="s">
        <v>254</v>
      </c>
      <c r="E161" s="491" t="s">
        <v>425</v>
      </c>
      <c r="F161" s="492"/>
      <c r="G161" s="493"/>
      <c r="H161" s="146" t="s">
        <v>486</v>
      </c>
      <c r="I161" s="494" t="str">
        <f t="shared" si="92"/>
        <v>ons</v>
      </c>
      <c r="J161" s="495" t="s">
        <v>487</v>
      </c>
      <c r="K161" s="151">
        <v>1</v>
      </c>
      <c r="L161" s="256">
        <f>IF($C$5&lt;3000,(Bron!H150*$C$5)+Bron!I150,(Bron!M150*$C$5)+Bron!N150)</f>
        <v>1736.4480000000001</v>
      </c>
      <c r="M161" s="256"/>
      <c r="N161" s="496">
        <f t="shared" si="175"/>
        <v>1261.0866319999998</v>
      </c>
      <c r="O161" s="497">
        <f t="shared" si="176"/>
        <v>1.376945846492805</v>
      </c>
      <c r="P161" s="257">
        <f>IF($C$5&lt;3000,$AN$32*Bron!J150,$AN$32*Bron!O150)</f>
        <v>0</v>
      </c>
      <c r="Q161" s="257">
        <f>IF($C$5&lt;3000,$AN$31*Bron!K150,$AN$31*Bron!P150)</f>
        <v>4964.9079999999994</v>
      </c>
      <c r="R161" s="257">
        <f>IF($C$5&lt;3000,$AN$33*Bron!J150,$AN$33*Bron!O150)</f>
        <v>0</v>
      </c>
      <c r="S161" s="344"/>
      <c r="T161" s="258">
        <f t="shared" si="93"/>
        <v>1</v>
      </c>
      <c r="U161" s="259">
        <f t="shared" si="94"/>
        <v>0</v>
      </c>
      <c r="V161" s="675"/>
      <c r="W161" s="676">
        <f t="shared" si="95"/>
        <v>0</v>
      </c>
      <c r="X161" s="677">
        <f t="shared" si="96"/>
        <v>0</v>
      </c>
      <c r="Y161" s="677">
        <f t="shared" si="127"/>
        <v>0</v>
      </c>
      <c r="Z161" s="678">
        <f t="shared" si="128"/>
        <v>0</v>
      </c>
      <c r="AA161" s="679">
        <f t="shared" si="129"/>
        <v>0</v>
      </c>
      <c r="AB161" s="675"/>
      <c r="AC161" s="676">
        <f t="shared" si="97"/>
        <v>0</v>
      </c>
      <c r="AD161" s="677">
        <f t="shared" si="98"/>
        <v>0</v>
      </c>
      <c r="AE161" s="677">
        <f t="shared" si="130"/>
        <v>0</v>
      </c>
      <c r="AF161" s="678">
        <f t="shared" si="131"/>
        <v>0</v>
      </c>
      <c r="AG161" s="679">
        <f t="shared" si="132"/>
        <v>0</v>
      </c>
      <c r="AH161" s="675"/>
      <c r="AI161" s="676">
        <f t="shared" si="99"/>
        <v>0</v>
      </c>
      <c r="AJ161" s="677">
        <f t="shared" si="100"/>
        <v>0</v>
      </c>
      <c r="AK161" s="677">
        <f t="shared" si="133"/>
        <v>0</v>
      </c>
      <c r="AL161" s="678">
        <f t="shared" si="134"/>
        <v>0</v>
      </c>
      <c r="AM161" s="679">
        <f t="shared" si="135"/>
        <v>0</v>
      </c>
      <c r="AN161" s="675"/>
      <c r="AO161" s="676">
        <f t="shared" si="101"/>
        <v>0</v>
      </c>
      <c r="AP161" s="677">
        <f t="shared" si="102"/>
        <v>0</v>
      </c>
      <c r="AQ161" s="677">
        <f t="shared" si="136"/>
        <v>0</v>
      </c>
      <c r="AR161" s="678">
        <f t="shared" si="137"/>
        <v>0</v>
      </c>
      <c r="AS161" s="679">
        <f t="shared" si="138"/>
        <v>0</v>
      </c>
      <c r="AT161" s="675"/>
      <c r="AU161" s="676">
        <f t="shared" si="103"/>
        <v>0</v>
      </c>
      <c r="AV161" s="677">
        <f t="shared" si="104"/>
        <v>0</v>
      </c>
      <c r="AW161" s="677">
        <f t="shared" si="139"/>
        <v>0</v>
      </c>
      <c r="AX161" s="678">
        <f t="shared" si="140"/>
        <v>0</v>
      </c>
      <c r="AY161" s="679">
        <f t="shared" si="141"/>
        <v>0</v>
      </c>
      <c r="AZ161" s="675"/>
      <c r="BA161" s="676">
        <f t="shared" si="105"/>
        <v>0</v>
      </c>
      <c r="BB161" s="677">
        <f t="shared" si="106"/>
        <v>0</v>
      </c>
      <c r="BC161" s="677">
        <f t="shared" si="142"/>
        <v>0</v>
      </c>
      <c r="BD161" s="678">
        <f t="shared" si="143"/>
        <v>0</v>
      </c>
      <c r="BE161" s="679">
        <f t="shared" si="144"/>
        <v>0</v>
      </c>
      <c r="BF161" s="675"/>
      <c r="BG161" s="676">
        <f t="shared" si="107"/>
        <v>0</v>
      </c>
      <c r="BH161" s="677">
        <f t="shared" si="108"/>
        <v>0</v>
      </c>
      <c r="BI161" s="677">
        <f t="shared" si="145"/>
        <v>0</v>
      </c>
      <c r="BJ161" s="678">
        <f t="shared" si="146"/>
        <v>0</v>
      </c>
      <c r="BK161" s="679">
        <f t="shared" si="147"/>
        <v>0</v>
      </c>
      <c r="BL161" s="675"/>
      <c r="BM161" s="676">
        <f t="shared" si="109"/>
        <v>0</v>
      </c>
      <c r="BN161" s="677">
        <f t="shared" si="110"/>
        <v>0</v>
      </c>
      <c r="BO161" s="677">
        <f t="shared" si="148"/>
        <v>0</v>
      </c>
      <c r="BP161" s="678">
        <f t="shared" si="149"/>
        <v>0</v>
      </c>
      <c r="BQ161" s="679">
        <f t="shared" si="150"/>
        <v>0</v>
      </c>
      <c r="BR161" s="675"/>
      <c r="BS161" s="676">
        <f t="shared" si="111"/>
        <v>0</v>
      </c>
      <c r="BT161" s="677">
        <f t="shared" si="112"/>
        <v>0</v>
      </c>
      <c r="BU161" s="677">
        <f t="shared" si="151"/>
        <v>0</v>
      </c>
      <c r="BV161" s="678">
        <f t="shared" si="152"/>
        <v>0</v>
      </c>
      <c r="BW161" s="679">
        <f t="shared" si="153"/>
        <v>0</v>
      </c>
      <c r="BX161" s="675"/>
      <c r="BY161" s="676">
        <f t="shared" si="113"/>
        <v>0</v>
      </c>
      <c r="BZ161" s="677">
        <f t="shared" si="114"/>
        <v>0</v>
      </c>
      <c r="CA161" s="677">
        <f t="shared" si="154"/>
        <v>0</v>
      </c>
      <c r="CB161" s="678">
        <f t="shared" si="155"/>
        <v>0</v>
      </c>
      <c r="CC161" s="679">
        <f t="shared" si="156"/>
        <v>0</v>
      </c>
      <c r="CD161" s="675"/>
      <c r="CE161" s="676">
        <f t="shared" si="115"/>
        <v>0</v>
      </c>
      <c r="CF161" s="677">
        <f t="shared" si="116"/>
        <v>0</v>
      </c>
      <c r="CG161" s="677">
        <f t="shared" si="157"/>
        <v>0</v>
      </c>
      <c r="CH161" s="678">
        <f t="shared" si="158"/>
        <v>0</v>
      </c>
      <c r="CI161" s="679">
        <f t="shared" si="159"/>
        <v>0</v>
      </c>
      <c r="CJ161" s="675"/>
      <c r="CK161" s="676">
        <f t="shared" si="117"/>
        <v>0</v>
      </c>
      <c r="CL161" s="677">
        <f t="shared" si="118"/>
        <v>0</v>
      </c>
      <c r="CM161" s="677">
        <f t="shared" si="160"/>
        <v>0</v>
      </c>
      <c r="CN161" s="678">
        <f t="shared" si="161"/>
        <v>0</v>
      </c>
      <c r="CO161" s="679">
        <f t="shared" si="162"/>
        <v>0</v>
      </c>
      <c r="CP161" s="675"/>
      <c r="CQ161" s="676">
        <f t="shared" si="119"/>
        <v>0</v>
      </c>
      <c r="CR161" s="677">
        <f t="shared" si="120"/>
        <v>0</v>
      </c>
      <c r="CS161" s="677">
        <f t="shared" si="163"/>
        <v>0</v>
      </c>
      <c r="CT161" s="678">
        <f t="shared" si="164"/>
        <v>0</v>
      </c>
      <c r="CU161" s="679">
        <f t="shared" si="165"/>
        <v>0</v>
      </c>
      <c r="CV161" s="685"/>
      <c r="CW161" s="681"/>
      <c r="CX161" s="682"/>
      <c r="CY161" s="682"/>
      <c r="CZ161" s="683"/>
      <c r="DA161" s="684"/>
      <c r="DB161" s="685"/>
      <c r="DC161" s="681"/>
      <c r="DD161" s="682"/>
      <c r="DE161" s="682"/>
      <c r="DF161" s="683"/>
      <c r="DG161" s="684"/>
      <c r="DH161" s="685"/>
      <c r="DI161" s="681"/>
      <c r="DJ161" s="682"/>
      <c r="DK161" s="682"/>
      <c r="DL161" s="683"/>
      <c r="DM161" s="684"/>
      <c r="DN161" s="685"/>
      <c r="DO161" s="681"/>
      <c r="DP161" s="682"/>
      <c r="DQ161" s="682"/>
      <c r="DR161" s="683"/>
      <c r="DS161" s="684"/>
      <c r="DT161" s="675"/>
      <c r="DU161" s="676">
        <f t="shared" si="121"/>
        <v>0</v>
      </c>
      <c r="DV161" s="677">
        <f t="shared" si="122"/>
        <v>0</v>
      </c>
      <c r="DW161" s="677">
        <f t="shared" si="166"/>
        <v>0</v>
      </c>
      <c r="DX161" s="678">
        <f t="shared" si="167"/>
        <v>0</v>
      </c>
      <c r="DY161" s="679">
        <f t="shared" si="168"/>
        <v>0</v>
      </c>
      <c r="DZ161" s="680"/>
      <c r="EA161" s="681"/>
      <c r="EB161" s="682"/>
      <c r="EC161" s="682"/>
      <c r="ED161" s="683"/>
      <c r="EE161" s="684"/>
      <c r="EF161" s="680"/>
      <c r="EG161" s="681"/>
      <c r="EH161" s="682"/>
      <c r="EI161" s="682"/>
      <c r="EJ161" s="683"/>
      <c r="EK161" s="684"/>
      <c r="EL161" s="680"/>
      <c r="EM161" s="681"/>
      <c r="EN161" s="682"/>
      <c r="EO161" s="682"/>
      <c r="EP161" s="683"/>
      <c r="EQ161" s="684"/>
      <c r="ER161" s="680"/>
      <c r="ES161" s="681"/>
      <c r="ET161" s="682"/>
      <c r="EU161" s="682"/>
      <c r="EV161" s="683"/>
      <c r="EW161" s="684"/>
      <c r="EX161" s="675"/>
      <c r="EY161" s="676">
        <f t="shared" si="123"/>
        <v>0</v>
      </c>
      <c r="EZ161" s="677">
        <f t="shared" si="124"/>
        <v>0</v>
      </c>
      <c r="FA161" s="677">
        <f t="shared" si="169"/>
        <v>0</v>
      </c>
      <c r="FB161" s="678">
        <f t="shared" si="170"/>
        <v>0</v>
      </c>
      <c r="FC161" s="679">
        <f t="shared" si="171"/>
        <v>0</v>
      </c>
      <c r="FD161" s="680"/>
      <c r="FE161" s="681"/>
      <c r="FF161" s="682"/>
      <c r="FG161" s="682"/>
      <c r="FH161" s="683"/>
      <c r="FI161" s="684"/>
      <c r="FJ161" s="680"/>
      <c r="FK161" s="681"/>
      <c r="FL161" s="682"/>
      <c r="FM161" s="682"/>
      <c r="FN161" s="683"/>
      <c r="FO161" s="684"/>
      <c r="FP161" s="680"/>
      <c r="FQ161" s="681"/>
      <c r="FR161" s="682"/>
      <c r="FS161" s="682"/>
      <c r="FT161" s="683"/>
      <c r="FU161" s="684"/>
      <c r="FV161" s="680"/>
      <c r="FW161" s="681"/>
      <c r="FX161" s="682"/>
      <c r="FY161" s="682"/>
      <c r="FZ161" s="683"/>
      <c r="GA161" s="684"/>
      <c r="GB161" s="675"/>
      <c r="GC161" s="676">
        <f t="shared" si="125"/>
        <v>0</v>
      </c>
      <c r="GD161" s="677">
        <f t="shared" si="126"/>
        <v>0</v>
      </c>
      <c r="GE161" s="677">
        <f t="shared" si="172"/>
        <v>0</v>
      </c>
      <c r="GF161" s="678">
        <f t="shared" si="173"/>
        <v>0</v>
      </c>
      <c r="GG161" s="679">
        <f t="shared" si="174"/>
        <v>0</v>
      </c>
      <c r="GH161" s="680"/>
      <c r="GI161" s="681"/>
      <c r="GJ161" s="682"/>
      <c r="GK161" s="682"/>
      <c r="GL161" s="683"/>
      <c r="GM161" s="684"/>
      <c r="GN161" s="680"/>
      <c r="GO161" s="681"/>
      <c r="GP161" s="682"/>
      <c r="GQ161" s="682"/>
      <c r="GR161" s="683"/>
      <c r="GS161" s="684"/>
      <c r="GT161" s="680"/>
      <c r="GU161" s="681"/>
      <c r="GV161" s="682"/>
      <c r="GW161" s="682"/>
      <c r="GX161" s="683"/>
      <c r="GY161" s="684"/>
      <c r="GZ161" s="680"/>
      <c r="HA161" s="147"/>
      <c r="HB161" s="148"/>
      <c r="HC161" s="148"/>
      <c r="HD161" s="149"/>
      <c r="HE161" s="150"/>
      <c r="HF161" s="506"/>
      <c r="HG161" s="502"/>
      <c r="HH161" s="502"/>
      <c r="HI161" s="502"/>
      <c r="HJ161" s="8"/>
    </row>
    <row r="162" spans="2:218" ht="21">
      <c r="B162" s="488">
        <v>118</v>
      </c>
      <c r="C162" s="489" t="s">
        <v>255</v>
      </c>
      <c r="D162" s="490" t="s">
        <v>256</v>
      </c>
      <c r="E162" s="491" t="s">
        <v>257</v>
      </c>
      <c r="F162" s="492"/>
      <c r="G162" s="493"/>
      <c r="H162" s="146" t="s">
        <v>486</v>
      </c>
      <c r="I162" s="494" t="str">
        <f t="shared" si="92"/>
        <v>ons</v>
      </c>
      <c r="J162" s="495" t="s">
        <v>487</v>
      </c>
      <c r="K162" s="151">
        <v>0.8</v>
      </c>
      <c r="L162" s="256">
        <f>IF($C$5&lt;3000,(Bron!H151*$C$5)+Bron!I151,(Bron!M151*$C$5)+Bron!N151)</f>
        <v>23876.16</v>
      </c>
      <c r="M162" s="256"/>
      <c r="N162" s="496">
        <f t="shared" si="175"/>
        <v>7760.5331200000001</v>
      </c>
      <c r="O162" s="497">
        <f t="shared" si="176"/>
        <v>3.0766133757573604</v>
      </c>
      <c r="P162" s="257"/>
      <c r="Q162" s="257">
        <f>IF($C$5&lt;3000,$AN$31*Bron!K151,$AN$31*Bron!P151)</f>
        <v>30553.279999999999</v>
      </c>
      <c r="R162" s="257">
        <f>IF($C$5&lt;3000,$AN$33*Bron!J151,$AN$33*Bron!O151)</f>
        <v>0</v>
      </c>
      <c r="S162" s="344"/>
      <c r="T162" s="258">
        <f t="shared" si="93"/>
        <v>1</v>
      </c>
      <c r="U162" s="259">
        <f t="shared" si="94"/>
        <v>4775.232</v>
      </c>
      <c r="V162" s="675"/>
      <c r="W162" s="676">
        <f t="shared" si="95"/>
        <v>0</v>
      </c>
      <c r="X162" s="677">
        <f t="shared" si="96"/>
        <v>0</v>
      </c>
      <c r="Y162" s="677">
        <f t="shared" si="127"/>
        <v>0</v>
      </c>
      <c r="Z162" s="678">
        <f t="shared" si="128"/>
        <v>0</v>
      </c>
      <c r="AA162" s="679">
        <f t="shared" si="129"/>
        <v>0</v>
      </c>
      <c r="AB162" s="675"/>
      <c r="AC162" s="676">
        <f t="shared" si="97"/>
        <v>0</v>
      </c>
      <c r="AD162" s="677">
        <f t="shared" si="98"/>
        <v>0</v>
      </c>
      <c r="AE162" s="677">
        <f t="shared" si="130"/>
        <v>0</v>
      </c>
      <c r="AF162" s="678">
        <f t="shared" si="131"/>
        <v>0</v>
      </c>
      <c r="AG162" s="679">
        <f t="shared" si="132"/>
        <v>0</v>
      </c>
      <c r="AH162" s="675"/>
      <c r="AI162" s="676">
        <f t="shared" si="99"/>
        <v>0</v>
      </c>
      <c r="AJ162" s="677">
        <f t="shared" si="100"/>
        <v>0</v>
      </c>
      <c r="AK162" s="677">
        <f t="shared" si="133"/>
        <v>0</v>
      </c>
      <c r="AL162" s="678">
        <f t="shared" si="134"/>
        <v>0</v>
      </c>
      <c r="AM162" s="679">
        <f t="shared" si="135"/>
        <v>0</v>
      </c>
      <c r="AN162" s="675"/>
      <c r="AO162" s="676">
        <f t="shared" si="101"/>
        <v>0</v>
      </c>
      <c r="AP162" s="677">
        <f t="shared" si="102"/>
        <v>0</v>
      </c>
      <c r="AQ162" s="677">
        <f t="shared" si="136"/>
        <v>0</v>
      </c>
      <c r="AR162" s="678">
        <f t="shared" si="137"/>
        <v>0</v>
      </c>
      <c r="AS162" s="679">
        <f t="shared" si="138"/>
        <v>0</v>
      </c>
      <c r="AT162" s="675">
        <v>0.2</v>
      </c>
      <c r="AU162" s="676">
        <f t="shared" si="103"/>
        <v>4775.232</v>
      </c>
      <c r="AV162" s="677">
        <f t="shared" si="104"/>
        <v>0</v>
      </c>
      <c r="AW162" s="677">
        <f t="shared" si="139"/>
        <v>6110.6559999999999</v>
      </c>
      <c r="AX162" s="678">
        <f t="shared" si="140"/>
        <v>0</v>
      </c>
      <c r="AY162" s="679">
        <f t="shared" si="141"/>
        <v>1552.106624</v>
      </c>
      <c r="AZ162" s="675"/>
      <c r="BA162" s="676">
        <f t="shared" si="105"/>
        <v>0</v>
      </c>
      <c r="BB162" s="677">
        <f t="shared" si="106"/>
        <v>0</v>
      </c>
      <c r="BC162" s="677">
        <f t="shared" si="142"/>
        <v>0</v>
      </c>
      <c r="BD162" s="678">
        <f t="shared" si="143"/>
        <v>0</v>
      </c>
      <c r="BE162" s="679">
        <f t="shared" si="144"/>
        <v>0</v>
      </c>
      <c r="BF162" s="675"/>
      <c r="BG162" s="676">
        <f t="shared" si="107"/>
        <v>0</v>
      </c>
      <c r="BH162" s="677">
        <f t="shared" si="108"/>
        <v>0</v>
      </c>
      <c r="BI162" s="677">
        <f t="shared" si="145"/>
        <v>0</v>
      </c>
      <c r="BJ162" s="678">
        <f t="shared" si="146"/>
        <v>0</v>
      </c>
      <c r="BK162" s="679">
        <f t="shared" si="147"/>
        <v>0</v>
      </c>
      <c r="BL162" s="675"/>
      <c r="BM162" s="676">
        <f t="shared" si="109"/>
        <v>0</v>
      </c>
      <c r="BN162" s="677">
        <f t="shared" si="110"/>
        <v>0</v>
      </c>
      <c r="BO162" s="677">
        <f t="shared" si="148"/>
        <v>0</v>
      </c>
      <c r="BP162" s="678">
        <f t="shared" si="149"/>
        <v>0</v>
      </c>
      <c r="BQ162" s="679">
        <f t="shared" si="150"/>
        <v>0</v>
      </c>
      <c r="BR162" s="675"/>
      <c r="BS162" s="676">
        <f t="shared" si="111"/>
        <v>0</v>
      </c>
      <c r="BT162" s="677">
        <f t="shared" si="112"/>
        <v>0</v>
      </c>
      <c r="BU162" s="677">
        <f t="shared" si="151"/>
        <v>0</v>
      </c>
      <c r="BV162" s="678">
        <f t="shared" si="152"/>
        <v>0</v>
      </c>
      <c r="BW162" s="679">
        <f t="shared" si="153"/>
        <v>0</v>
      </c>
      <c r="BX162" s="675"/>
      <c r="BY162" s="676">
        <f t="shared" si="113"/>
        <v>0</v>
      </c>
      <c r="BZ162" s="677">
        <f t="shared" si="114"/>
        <v>0</v>
      </c>
      <c r="CA162" s="677">
        <f t="shared" si="154"/>
        <v>0</v>
      </c>
      <c r="CB162" s="678">
        <f t="shared" si="155"/>
        <v>0</v>
      </c>
      <c r="CC162" s="679">
        <f t="shared" si="156"/>
        <v>0</v>
      </c>
      <c r="CD162" s="675"/>
      <c r="CE162" s="676">
        <f t="shared" si="115"/>
        <v>0</v>
      </c>
      <c r="CF162" s="677">
        <f t="shared" si="116"/>
        <v>0</v>
      </c>
      <c r="CG162" s="677">
        <f t="shared" si="157"/>
        <v>0</v>
      </c>
      <c r="CH162" s="678">
        <f t="shared" si="158"/>
        <v>0</v>
      </c>
      <c r="CI162" s="679">
        <f t="shared" si="159"/>
        <v>0</v>
      </c>
      <c r="CJ162" s="675"/>
      <c r="CK162" s="676">
        <f t="shared" si="117"/>
        <v>0</v>
      </c>
      <c r="CL162" s="677">
        <f t="shared" si="118"/>
        <v>0</v>
      </c>
      <c r="CM162" s="677">
        <f t="shared" si="160"/>
        <v>0</v>
      </c>
      <c r="CN162" s="678">
        <f t="shared" si="161"/>
        <v>0</v>
      </c>
      <c r="CO162" s="679">
        <f t="shared" si="162"/>
        <v>0</v>
      </c>
      <c r="CP162" s="675"/>
      <c r="CQ162" s="676">
        <f t="shared" si="119"/>
        <v>0</v>
      </c>
      <c r="CR162" s="677">
        <f t="shared" si="120"/>
        <v>0</v>
      </c>
      <c r="CS162" s="677">
        <f t="shared" si="163"/>
        <v>0</v>
      </c>
      <c r="CT162" s="678">
        <f t="shared" si="164"/>
        <v>0</v>
      </c>
      <c r="CU162" s="679">
        <f t="shared" si="165"/>
        <v>0</v>
      </c>
      <c r="CV162" s="685"/>
      <c r="CW162" s="681"/>
      <c r="CX162" s="682"/>
      <c r="CY162" s="682"/>
      <c r="CZ162" s="683"/>
      <c r="DA162" s="684"/>
      <c r="DB162" s="685"/>
      <c r="DC162" s="681"/>
      <c r="DD162" s="682"/>
      <c r="DE162" s="682"/>
      <c r="DF162" s="683"/>
      <c r="DG162" s="684"/>
      <c r="DH162" s="685"/>
      <c r="DI162" s="681"/>
      <c r="DJ162" s="682"/>
      <c r="DK162" s="682"/>
      <c r="DL162" s="683"/>
      <c r="DM162" s="684"/>
      <c r="DN162" s="685"/>
      <c r="DO162" s="681"/>
      <c r="DP162" s="682"/>
      <c r="DQ162" s="682"/>
      <c r="DR162" s="683"/>
      <c r="DS162" s="684"/>
      <c r="DT162" s="675"/>
      <c r="DU162" s="676">
        <f t="shared" si="121"/>
        <v>0</v>
      </c>
      <c r="DV162" s="677">
        <f t="shared" si="122"/>
        <v>0</v>
      </c>
      <c r="DW162" s="677">
        <f t="shared" si="166"/>
        <v>0</v>
      </c>
      <c r="DX162" s="678">
        <f t="shared" si="167"/>
        <v>0</v>
      </c>
      <c r="DY162" s="679">
        <f t="shared" si="168"/>
        <v>0</v>
      </c>
      <c r="DZ162" s="680"/>
      <c r="EA162" s="681"/>
      <c r="EB162" s="682"/>
      <c r="EC162" s="682"/>
      <c r="ED162" s="683"/>
      <c r="EE162" s="684"/>
      <c r="EF162" s="680"/>
      <c r="EG162" s="681"/>
      <c r="EH162" s="682"/>
      <c r="EI162" s="682"/>
      <c r="EJ162" s="683"/>
      <c r="EK162" s="684"/>
      <c r="EL162" s="680"/>
      <c r="EM162" s="681"/>
      <c r="EN162" s="682"/>
      <c r="EO162" s="682"/>
      <c r="EP162" s="683"/>
      <c r="EQ162" s="684"/>
      <c r="ER162" s="680"/>
      <c r="ES162" s="681"/>
      <c r="ET162" s="682"/>
      <c r="EU162" s="682"/>
      <c r="EV162" s="683"/>
      <c r="EW162" s="684"/>
      <c r="EX162" s="675"/>
      <c r="EY162" s="676">
        <f t="shared" si="123"/>
        <v>0</v>
      </c>
      <c r="EZ162" s="677">
        <f t="shared" si="124"/>
        <v>0</v>
      </c>
      <c r="FA162" s="677">
        <f t="shared" si="169"/>
        <v>0</v>
      </c>
      <c r="FB162" s="678">
        <f t="shared" si="170"/>
        <v>0</v>
      </c>
      <c r="FC162" s="679">
        <f t="shared" si="171"/>
        <v>0</v>
      </c>
      <c r="FD162" s="680"/>
      <c r="FE162" s="681"/>
      <c r="FF162" s="682"/>
      <c r="FG162" s="682"/>
      <c r="FH162" s="683"/>
      <c r="FI162" s="684"/>
      <c r="FJ162" s="680"/>
      <c r="FK162" s="681"/>
      <c r="FL162" s="682"/>
      <c r="FM162" s="682"/>
      <c r="FN162" s="683"/>
      <c r="FO162" s="684"/>
      <c r="FP162" s="680"/>
      <c r="FQ162" s="681"/>
      <c r="FR162" s="682"/>
      <c r="FS162" s="682"/>
      <c r="FT162" s="683"/>
      <c r="FU162" s="684"/>
      <c r="FV162" s="680"/>
      <c r="FW162" s="681"/>
      <c r="FX162" s="682"/>
      <c r="FY162" s="682"/>
      <c r="FZ162" s="683"/>
      <c r="GA162" s="684"/>
      <c r="GB162" s="675"/>
      <c r="GC162" s="676">
        <f t="shared" si="125"/>
        <v>0</v>
      </c>
      <c r="GD162" s="677">
        <f t="shared" si="126"/>
        <v>0</v>
      </c>
      <c r="GE162" s="677">
        <f t="shared" si="172"/>
        <v>0</v>
      </c>
      <c r="GF162" s="678">
        <f t="shared" si="173"/>
        <v>0</v>
      </c>
      <c r="GG162" s="679">
        <f t="shared" si="174"/>
        <v>0</v>
      </c>
      <c r="GH162" s="680"/>
      <c r="GI162" s="681"/>
      <c r="GJ162" s="682"/>
      <c r="GK162" s="682"/>
      <c r="GL162" s="683"/>
      <c r="GM162" s="684"/>
      <c r="GN162" s="680"/>
      <c r="GO162" s="681"/>
      <c r="GP162" s="682"/>
      <c r="GQ162" s="682"/>
      <c r="GR162" s="683"/>
      <c r="GS162" s="684"/>
      <c r="GT162" s="680"/>
      <c r="GU162" s="681"/>
      <c r="GV162" s="682"/>
      <c r="GW162" s="682"/>
      <c r="GX162" s="683"/>
      <c r="GY162" s="684"/>
      <c r="GZ162" s="680"/>
      <c r="HA162" s="147"/>
      <c r="HB162" s="148"/>
      <c r="HC162" s="148"/>
      <c r="HD162" s="149"/>
      <c r="HE162" s="150"/>
      <c r="HF162" s="506"/>
      <c r="HG162" s="502"/>
      <c r="HH162" s="502"/>
      <c r="HI162" s="502"/>
      <c r="HJ162" s="8"/>
    </row>
    <row r="163" spans="2:218" ht="21" hidden="1">
      <c r="B163" s="488">
        <v>119</v>
      </c>
      <c r="C163" s="489" t="s">
        <v>255</v>
      </c>
      <c r="D163" s="490" t="s">
        <v>258</v>
      </c>
      <c r="E163" s="491" t="s">
        <v>259</v>
      </c>
      <c r="F163" s="492"/>
      <c r="G163" s="493"/>
      <c r="H163" s="146" t="s">
        <v>97</v>
      </c>
      <c r="I163" s="494" t="str">
        <f t="shared" si="92"/>
        <v>n.v.t.</v>
      </c>
      <c r="J163" s="495" t="s">
        <v>487</v>
      </c>
      <c r="K163" s="151">
        <v>0</v>
      </c>
      <c r="L163" s="256">
        <f>IF($C$5&lt;3000,(Bron!H152*$C$5)+Bron!I152,(Bron!M152*$C$5)+Bron!N152)</f>
        <v>30387.84</v>
      </c>
      <c r="M163" s="256"/>
      <c r="N163" s="496">
        <f t="shared" si="175"/>
        <v>8730.599760000001</v>
      </c>
      <c r="O163" s="497">
        <f t="shared" si="176"/>
        <v>3.4806131119679224</v>
      </c>
      <c r="P163" s="257">
        <f>IF($C$5&lt;3000,$AN$32*Bron!J152,$AN$32*Bron!O152)</f>
        <v>0</v>
      </c>
      <c r="Q163" s="257">
        <f>IF($C$5&lt;3000,$AN$31*Bron!K152,$AN$31*Bron!P152)</f>
        <v>34372.44</v>
      </c>
      <c r="R163" s="257">
        <f>IF($C$5&lt;3000,$AN$33*Bron!J152,$AN$33*Bron!O152)</f>
        <v>0</v>
      </c>
      <c r="S163" s="344"/>
      <c r="T163" s="258">
        <f t="shared" si="93"/>
        <v>0</v>
      </c>
      <c r="U163" s="259">
        <f t="shared" si="94"/>
        <v>0</v>
      </c>
      <c r="V163" s="675"/>
      <c r="W163" s="676">
        <f t="shared" si="95"/>
        <v>0</v>
      </c>
      <c r="X163" s="677">
        <f t="shared" si="96"/>
        <v>0</v>
      </c>
      <c r="Y163" s="677">
        <f t="shared" si="127"/>
        <v>0</v>
      </c>
      <c r="Z163" s="678">
        <f t="shared" si="128"/>
        <v>0</v>
      </c>
      <c r="AA163" s="679">
        <f t="shared" si="129"/>
        <v>0</v>
      </c>
      <c r="AB163" s="675"/>
      <c r="AC163" s="676">
        <f t="shared" si="97"/>
        <v>0</v>
      </c>
      <c r="AD163" s="677">
        <f t="shared" si="98"/>
        <v>0</v>
      </c>
      <c r="AE163" s="677">
        <f t="shared" si="130"/>
        <v>0</v>
      </c>
      <c r="AF163" s="678">
        <f t="shared" si="131"/>
        <v>0</v>
      </c>
      <c r="AG163" s="679">
        <f t="shared" si="132"/>
        <v>0</v>
      </c>
      <c r="AH163" s="675"/>
      <c r="AI163" s="676">
        <f t="shared" si="99"/>
        <v>0</v>
      </c>
      <c r="AJ163" s="677">
        <f t="shared" si="100"/>
        <v>0</v>
      </c>
      <c r="AK163" s="677">
        <f t="shared" si="133"/>
        <v>0</v>
      </c>
      <c r="AL163" s="678">
        <f t="shared" si="134"/>
        <v>0</v>
      </c>
      <c r="AM163" s="679">
        <f t="shared" si="135"/>
        <v>0</v>
      </c>
      <c r="AN163" s="675"/>
      <c r="AO163" s="676">
        <f t="shared" si="101"/>
        <v>0</v>
      </c>
      <c r="AP163" s="677">
        <f t="shared" si="102"/>
        <v>0</v>
      </c>
      <c r="AQ163" s="677">
        <f t="shared" si="136"/>
        <v>0</v>
      </c>
      <c r="AR163" s="678">
        <f t="shared" si="137"/>
        <v>0</v>
      </c>
      <c r="AS163" s="679">
        <f t="shared" si="138"/>
        <v>0</v>
      </c>
      <c r="AT163" s="675"/>
      <c r="AU163" s="676">
        <f t="shared" si="103"/>
        <v>0</v>
      </c>
      <c r="AV163" s="677">
        <f t="shared" si="104"/>
        <v>0</v>
      </c>
      <c r="AW163" s="677">
        <f t="shared" si="139"/>
        <v>0</v>
      </c>
      <c r="AX163" s="678">
        <f t="shared" si="140"/>
        <v>0</v>
      </c>
      <c r="AY163" s="679">
        <f t="shared" si="141"/>
        <v>0</v>
      </c>
      <c r="AZ163" s="675"/>
      <c r="BA163" s="676">
        <f t="shared" si="105"/>
        <v>0</v>
      </c>
      <c r="BB163" s="677">
        <f t="shared" si="106"/>
        <v>0</v>
      </c>
      <c r="BC163" s="677">
        <f t="shared" si="142"/>
        <v>0</v>
      </c>
      <c r="BD163" s="678">
        <f t="shared" si="143"/>
        <v>0</v>
      </c>
      <c r="BE163" s="679">
        <f t="shared" si="144"/>
        <v>0</v>
      </c>
      <c r="BF163" s="675"/>
      <c r="BG163" s="676">
        <f t="shared" si="107"/>
        <v>0</v>
      </c>
      <c r="BH163" s="677">
        <f t="shared" si="108"/>
        <v>0</v>
      </c>
      <c r="BI163" s="677">
        <f t="shared" si="145"/>
        <v>0</v>
      </c>
      <c r="BJ163" s="678">
        <f t="shared" si="146"/>
        <v>0</v>
      </c>
      <c r="BK163" s="679">
        <f t="shared" si="147"/>
        <v>0</v>
      </c>
      <c r="BL163" s="675"/>
      <c r="BM163" s="676">
        <f t="shared" si="109"/>
        <v>0</v>
      </c>
      <c r="BN163" s="677">
        <f t="shared" si="110"/>
        <v>0</v>
      </c>
      <c r="BO163" s="677">
        <f t="shared" si="148"/>
        <v>0</v>
      </c>
      <c r="BP163" s="678">
        <f t="shared" si="149"/>
        <v>0</v>
      </c>
      <c r="BQ163" s="679">
        <f t="shared" si="150"/>
        <v>0</v>
      </c>
      <c r="BR163" s="675"/>
      <c r="BS163" s="676">
        <f t="shared" si="111"/>
        <v>0</v>
      </c>
      <c r="BT163" s="677">
        <f t="shared" si="112"/>
        <v>0</v>
      </c>
      <c r="BU163" s="677">
        <f t="shared" si="151"/>
        <v>0</v>
      </c>
      <c r="BV163" s="678">
        <f t="shared" si="152"/>
        <v>0</v>
      </c>
      <c r="BW163" s="679">
        <f t="shared" si="153"/>
        <v>0</v>
      </c>
      <c r="BX163" s="675"/>
      <c r="BY163" s="676">
        <f t="shared" si="113"/>
        <v>0</v>
      </c>
      <c r="BZ163" s="677">
        <f t="shared" si="114"/>
        <v>0</v>
      </c>
      <c r="CA163" s="677">
        <f t="shared" si="154"/>
        <v>0</v>
      </c>
      <c r="CB163" s="678">
        <f t="shared" si="155"/>
        <v>0</v>
      </c>
      <c r="CC163" s="679">
        <f t="shared" si="156"/>
        <v>0</v>
      </c>
      <c r="CD163" s="675"/>
      <c r="CE163" s="676">
        <f t="shared" si="115"/>
        <v>0</v>
      </c>
      <c r="CF163" s="677">
        <f t="shared" si="116"/>
        <v>0</v>
      </c>
      <c r="CG163" s="677">
        <f t="shared" si="157"/>
        <v>0</v>
      </c>
      <c r="CH163" s="678">
        <f t="shared" si="158"/>
        <v>0</v>
      </c>
      <c r="CI163" s="679">
        <f t="shared" si="159"/>
        <v>0</v>
      </c>
      <c r="CJ163" s="675"/>
      <c r="CK163" s="676">
        <f t="shared" si="117"/>
        <v>0</v>
      </c>
      <c r="CL163" s="677">
        <f t="shared" si="118"/>
        <v>0</v>
      </c>
      <c r="CM163" s="677">
        <f t="shared" si="160"/>
        <v>0</v>
      </c>
      <c r="CN163" s="678">
        <f t="shared" si="161"/>
        <v>0</v>
      </c>
      <c r="CO163" s="679">
        <f t="shared" si="162"/>
        <v>0</v>
      </c>
      <c r="CP163" s="675"/>
      <c r="CQ163" s="676">
        <f t="shared" si="119"/>
        <v>0</v>
      </c>
      <c r="CR163" s="677">
        <f t="shared" si="120"/>
        <v>0</v>
      </c>
      <c r="CS163" s="677">
        <f t="shared" si="163"/>
        <v>0</v>
      </c>
      <c r="CT163" s="678">
        <f t="shared" si="164"/>
        <v>0</v>
      </c>
      <c r="CU163" s="679">
        <f t="shared" si="165"/>
        <v>0</v>
      </c>
      <c r="CV163" s="685"/>
      <c r="CW163" s="681"/>
      <c r="CX163" s="682"/>
      <c r="CY163" s="682"/>
      <c r="CZ163" s="683"/>
      <c r="DA163" s="684"/>
      <c r="DB163" s="685"/>
      <c r="DC163" s="681"/>
      <c r="DD163" s="682"/>
      <c r="DE163" s="682"/>
      <c r="DF163" s="683"/>
      <c r="DG163" s="684"/>
      <c r="DH163" s="685"/>
      <c r="DI163" s="681"/>
      <c r="DJ163" s="682"/>
      <c r="DK163" s="682"/>
      <c r="DL163" s="683"/>
      <c r="DM163" s="684"/>
      <c r="DN163" s="685"/>
      <c r="DO163" s="681"/>
      <c r="DP163" s="682"/>
      <c r="DQ163" s="682"/>
      <c r="DR163" s="683"/>
      <c r="DS163" s="684"/>
      <c r="DT163" s="675"/>
      <c r="DU163" s="676">
        <f t="shared" si="121"/>
        <v>0</v>
      </c>
      <c r="DV163" s="677">
        <f t="shared" si="122"/>
        <v>0</v>
      </c>
      <c r="DW163" s="677">
        <f t="shared" si="166"/>
        <v>0</v>
      </c>
      <c r="DX163" s="678">
        <f t="shared" si="167"/>
        <v>0</v>
      </c>
      <c r="DY163" s="679">
        <f t="shared" si="168"/>
        <v>0</v>
      </c>
      <c r="DZ163" s="680"/>
      <c r="EA163" s="681"/>
      <c r="EB163" s="682"/>
      <c r="EC163" s="682"/>
      <c r="ED163" s="683"/>
      <c r="EE163" s="684"/>
      <c r="EF163" s="680"/>
      <c r="EG163" s="681"/>
      <c r="EH163" s="682"/>
      <c r="EI163" s="682"/>
      <c r="EJ163" s="683"/>
      <c r="EK163" s="684"/>
      <c r="EL163" s="680"/>
      <c r="EM163" s="681"/>
      <c r="EN163" s="682"/>
      <c r="EO163" s="682"/>
      <c r="EP163" s="683"/>
      <c r="EQ163" s="684"/>
      <c r="ER163" s="680"/>
      <c r="ES163" s="681"/>
      <c r="ET163" s="682"/>
      <c r="EU163" s="682"/>
      <c r="EV163" s="683"/>
      <c r="EW163" s="684"/>
      <c r="EX163" s="675"/>
      <c r="EY163" s="676">
        <f t="shared" si="123"/>
        <v>0</v>
      </c>
      <c r="EZ163" s="677">
        <f t="shared" si="124"/>
        <v>0</v>
      </c>
      <c r="FA163" s="677">
        <f t="shared" si="169"/>
        <v>0</v>
      </c>
      <c r="FB163" s="678">
        <f t="shared" si="170"/>
        <v>0</v>
      </c>
      <c r="FC163" s="679">
        <f t="shared" si="171"/>
        <v>0</v>
      </c>
      <c r="FD163" s="680"/>
      <c r="FE163" s="681"/>
      <c r="FF163" s="682"/>
      <c r="FG163" s="682"/>
      <c r="FH163" s="683"/>
      <c r="FI163" s="684"/>
      <c r="FJ163" s="680"/>
      <c r="FK163" s="681"/>
      <c r="FL163" s="682"/>
      <c r="FM163" s="682"/>
      <c r="FN163" s="683"/>
      <c r="FO163" s="684"/>
      <c r="FP163" s="680"/>
      <c r="FQ163" s="681"/>
      <c r="FR163" s="682"/>
      <c r="FS163" s="682"/>
      <c r="FT163" s="683"/>
      <c r="FU163" s="684"/>
      <c r="FV163" s="680"/>
      <c r="FW163" s="681"/>
      <c r="FX163" s="682"/>
      <c r="FY163" s="682"/>
      <c r="FZ163" s="683"/>
      <c r="GA163" s="684"/>
      <c r="GB163" s="675"/>
      <c r="GC163" s="676">
        <f t="shared" si="125"/>
        <v>0</v>
      </c>
      <c r="GD163" s="677">
        <f t="shared" si="126"/>
        <v>0</v>
      </c>
      <c r="GE163" s="677">
        <f t="shared" si="172"/>
        <v>0</v>
      </c>
      <c r="GF163" s="678">
        <f t="shared" si="173"/>
        <v>0</v>
      </c>
      <c r="GG163" s="679">
        <f t="shared" si="174"/>
        <v>0</v>
      </c>
      <c r="GH163" s="680"/>
      <c r="GI163" s="681"/>
      <c r="GJ163" s="682"/>
      <c r="GK163" s="682"/>
      <c r="GL163" s="683"/>
      <c r="GM163" s="684"/>
      <c r="GN163" s="680"/>
      <c r="GO163" s="681"/>
      <c r="GP163" s="682"/>
      <c r="GQ163" s="682"/>
      <c r="GR163" s="683"/>
      <c r="GS163" s="684"/>
      <c r="GT163" s="680"/>
      <c r="GU163" s="681"/>
      <c r="GV163" s="682"/>
      <c r="GW163" s="682"/>
      <c r="GX163" s="683"/>
      <c r="GY163" s="684"/>
      <c r="GZ163" s="680"/>
      <c r="HA163" s="147"/>
      <c r="HB163" s="148"/>
      <c r="HC163" s="148"/>
      <c r="HD163" s="149"/>
      <c r="HE163" s="150"/>
      <c r="HF163" s="506"/>
      <c r="HG163" s="502"/>
      <c r="HH163" s="502"/>
      <c r="HI163" s="502"/>
      <c r="HJ163" s="8"/>
    </row>
    <row r="164" spans="2:218" ht="21" hidden="1">
      <c r="B164" s="488">
        <v>120</v>
      </c>
      <c r="C164" s="489" t="s">
        <v>255</v>
      </c>
      <c r="D164" s="490" t="s">
        <v>260</v>
      </c>
      <c r="E164" s="491" t="s">
        <v>261</v>
      </c>
      <c r="F164" s="492"/>
      <c r="G164" s="493"/>
      <c r="H164" s="146" t="s">
        <v>97</v>
      </c>
      <c r="I164" s="494" t="str">
        <f t="shared" si="92"/>
        <v>n.v.t.</v>
      </c>
      <c r="J164" s="495" t="s">
        <v>487</v>
      </c>
      <c r="K164" s="151">
        <v>0.8</v>
      </c>
      <c r="L164" s="256">
        <f>IF($C$5&lt;3000,(Bron!H153*$C$5)+Bron!I153,(Bron!M153*$C$5)+Bron!N153)</f>
        <v>23876.16</v>
      </c>
      <c r="M164" s="256"/>
      <c r="N164" s="496">
        <f t="shared" si="175"/>
        <v>7760.5331200000001</v>
      </c>
      <c r="O164" s="497">
        <f t="shared" si="176"/>
        <v>3.0766133757573604</v>
      </c>
      <c r="P164" s="257"/>
      <c r="Q164" s="257">
        <f>IF($C$5&lt;3000,$AN$31*Bron!K153,$AN$31*Bron!P153)</f>
        <v>30553.279999999999</v>
      </c>
      <c r="R164" s="257">
        <f>IF($C$5&lt;3000,$AN$33*Bron!J153,$AN$33*Bron!O153)</f>
        <v>0</v>
      </c>
      <c r="S164" s="344"/>
      <c r="T164" s="258">
        <f t="shared" si="93"/>
        <v>0.8</v>
      </c>
      <c r="U164" s="259">
        <f t="shared" si="94"/>
        <v>0</v>
      </c>
      <c r="V164" s="675"/>
      <c r="W164" s="676">
        <f t="shared" si="95"/>
        <v>0</v>
      </c>
      <c r="X164" s="677">
        <f t="shared" si="96"/>
        <v>0</v>
      </c>
      <c r="Y164" s="677">
        <f t="shared" si="127"/>
        <v>0</v>
      </c>
      <c r="Z164" s="678">
        <f t="shared" si="128"/>
        <v>0</v>
      </c>
      <c r="AA164" s="679">
        <f t="shared" si="129"/>
        <v>0</v>
      </c>
      <c r="AB164" s="675"/>
      <c r="AC164" s="676">
        <f t="shared" si="97"/>
        <v>0</v>
      </c>
      <c r="AD164" s="677">
        <f t="shared" si="98"/>
        <v>0</v>
      </c>
      <c r="AE164" s="677">
        <f t="shared" si="130"/>
        <v>0</v>
      </c>
      <c r="AF164" s="678">
        <f t="shared" si="131"/>
        <v>0</v>
      </c>
      <c r="AG164" s="679">
        <f t="shared" si="132"/>
        <v>0</v>
      </c>
      <c r="AH164" s="675"/>
      <c r="AI164" s="676">
        <f t="shared" si="99"/>
        <v>0</v>
      </c>
      <c r="AJ164" s="677">
        <f t="shared" si="100"/>
        <v>0</v>
      </c>
      <c r="AK164" s="677">
        <f t="shared" si="133"/>
        <v>0</v>
      </c>
      <c r="AL164" s="678">
        <f t="shared" si="134"/>
        <v>0</v>
      </c>
      <c r="AM164" s="679">
        <f t="shared" si="135"/>
        <v>0</v>
      </c>
      <c r="AN164" s="675"/>
      <c r="AO164" s="676">
        <f t="shared" si="101"/>
        <v>0</v>
      </c>
      <c r="AP164" s="677">
        <f t="shared" si="102"/>
        <v>0</v>
      </c>
      <c r="AQ164" s="677">
        <f t="shared" si="136"/>
        <v>0</v>
      </c>
      <c r="AR164" s="678">
        <f t="shared" si="137"/>
        <v>0</v>
      </c>
      <c r="AS164" s="679">
        <f t="shared" si="138"/>
        <v>0</v>
      </c>
      <c r="AT164" s="675"/>
      <c r="AU164" s="676">
        <f t="shared" si="103"/>
        <v>0</v>
      </c>
      <c r="AV164" s="677">
        <f t="shared" si="104"/>
        <v>0</v>
      </c>
      <c r="AW164" s="677">
        <f t="shared" si="139"/>
        <v>0</v>
      </c>
      <c r="AX164" s="678">
        <f t="shared" si="140"/>
        <v>0</v>
      </c>
      <c r="AY164" s="679">
        <f t="shared" si="141"/>
        <v>0</v>
      </c>
      <c r="AZ164" s="675"/>
      <c r="BA164" s="676">
        <f t="shared" si="105"/>
        <v>0</v>
      </c>
      <c r="BB164" s="677">
        <f t="shared" si="106"/>
        <v>0</v>
      </c>
      <c r="BC164" s="677">
        <f t="shared" si="142"/>
        <v>0</v>
      </c>
      <c r="BD164" s="678">
        <f t="shared" si="143"/>
        <v>0</v>
      </c>
      <c r="BE164" s="679">
        <f t="shared" si="144"/>
        <v>0</v>
      </c>
      <c r="BF164" s="675"/>
      <c r="BG164" s="676">
        <f t="shared" si="107"/>
        <v>0</v>
      </c>
      <c r="BH164" s="677">
        <f t="shared" si="108"/>
        <v>0</v>
      </c>
      <c r="BI164" s="677">
        <f t="shared" si="145"/>
        <v>0</v>
      </c>
      <c r="BJ164" s="678">
        <f t="shared" si="146"/>
        <v>0</v>
      </c>
      <c r="BK164" s="679">
        <f t="shared" si="147"/>
        <v>0</v>
      </c>
      <c r="BL164" s="675"/>
      <c r="BM164" s="676">
        <f t="shared" si="109"/>
        <v>0</v>
      </c>
      <c r="BN164" s="677">
        <f t="shared" si="110"/>
        <v>0</v>
      </c>
      <c r="BO164" s="677">
        <f t="shared" si="148"/>
        <v>0</v>
      </c>
      <c r="BP164" s="678">
        <f t="shared" si="149"/>
        <v>0</v>
      </c>
      <c r="BQ164" s="679">
        <f t="shared" si="150"/>
        <v>0</v>
      </c>
      <c r="BR164" s="675"/>
      <c r="BS164" s="676">
        <f t="shared" si="111"/>
        <v>0</v>
      </c>
      <c r="BT164" s="677">
        <f t="shared" si="112"/>
        <v>0</v>
      </c>
      <c r="BU164" s="677">
        <f t="shared" si="151"/>
        <v>0</v>
      </c>
      <c r="BV164" s="678">
        <f t="shared" si="152"/>
        <v>0</v>
      </c>
      <c r="BW164" s="679">
        <f t="shared" si="153"/>
        <v>0</v>
      </c>
      <c r="BX164" s="675"/>
      <c r="BY164" s="676">
        <f t="shared" si="113"/>
        <v>0</v>
      </c>
      <c r="BZ164" s="677">
        <f t="shared" si="114"/>
        <v>0</v>
      </c>
      <c r="CA164" s="677">
        <f t="shared" si="154"/>
        <v>0</v>
      </c>
      <c r="CB164" s="678">
        <f t="shared" si="155"/>
        <v>0</v>
      </c>
      <c r="CC164" s="679">
        <f t="shared" si="156"/>
        <v>0</v>
      </c>
      <c r="CD164" s="675"/>
      <c r="CE164" s="676">
        <f t="shared" si="115"/>
        <v>0</v>
      </c>
      <c r="CF164" s="677">
        <f t="shared" si="116"/>
        <v>0</v>
      </c>
      <c r="CG164" s="677">
        <f t="shared" si="157"/>
        <v>0</v>
      </c>
      <c r="CH164" s="678">
        <f t="shared" si="158"/>
        <v>0</v>
      </c>
      <c r="CI164" s="679">
        <f t="shared" si="159"/>
        <v>0</v>
      </c>
      <c r="CJ164" s="675"/>
      <c r="CK164" s="676">
        <f t="shared" si="117"/>
        <v>0</v>
      </c>
      <c r="CL164" s="677">
        <f t="shared" si="118"/>
        <v>0</v>
      </c>
      <c r="CM164" s="677">
        <f t="shared" si="160"/>
        <v>0</v>
      </c>
      <c r="CN164" s="678">
        <f t="shared" si="161"/>
        <v>0</v>
      </c>
      <c r="CO164" s="679">
        <f t="shared" si="162"/>
        <v>0</v>
      </c>
      <c r="CP164" s="675"/>
      <c r="CQ164" s="676">
        <f t="shared" si="119"/>
        <v>0</v>
      </c>
      <c r="CR164" s="677">
        <f t="shared" si="120"/>
        <v>0</v>
      </c>
      <c r="CS164" s="677">
        <f t="shared" si="163"/>
        <v>0</v>
      </c>
      <c r="CT164" s="678">
        <f t="shared" si="164"/>
        <v>0</v>
      </c>
      <c r="CU164" s="679">
        <f t="shared" si="165"/>
        <v>0</v>
      </c>
      <c r="CV164" s="685"/>
      <c r="CW164" s="681"/>
      <c r="CX164" s="682"/>
      <c r="CY164" s="682"/>
      <c r="CZ164" s="683"/>
      <c r="DA164" s="684"/>
      <c r="DB164" s="685"/>
      <c r="DC164" s="681"/>
      <c r="DD164" s="682"/>
      <c r="DE164" s="682"/>
      <c r="DF164" s="683"/>
      <c r="DG164" s="684"/>
      <c r="DH164" s="685"/>
      <c r="DI164" s="681"/>
      <c r="DJ164" s="682"/>
      <c r="DK164" s="682"/>
      <c r="DL164" s="683"/>
      <c r="DM164" s="684"/>
      <c r="DN164" s="685"/>
      <c r="DO164" s="681"/>
      <c r="DP164" s="682"/>
      <c r="DQ164" s="682"/>
      <c r="DR164" s="683"/>
      <c r="DS164" s="684"/>
      <c r="DT164" s="675"/>
      <c r="DU164" s="676">
        <f t="shared" si="121"/>
        <v>0</v>
      </c>
      <c r="DV164" s="677">
        <f t="shared" si="122"/>
        <v>0</v>
      </c>
      <c r="DW164" s="677">
        <f t="shared" si="166"/>
        <v>0</v>
      </c>
      <c r="DX164" s="678">
        <f t="shared" si="167"/>
        <v>0</v>
      </c>
      <c r="DY164" s="679">
        <f t="shared" si="168"/>
        <v>0</v>
      </c>
      <c r="DZ164" s="680"/>
      <c r="EA164" s="681"/>
      <c r="EB164" s="682"/>
      <c r="EC164" s="682"/>
      <c r="ED164" s="683"/>
      <c r="EE164" s="684"/>
      <c r="EF164" s="680"/>
      <c r="EG164" s="681"/>
      <c r="EH164" s="682"/>
      <c r="EI164" s="682"/>
      <c r="EJ164" s="683"/>
      <c r="EK164" s="684"/>
      <c r="EL164" s="680"/>
      <c r="EM164" s="681"/>
      <c r="EN164" s="682"/>
      <c r="EO164" s="682"/>
      <c r="EP164" s="683"/>
      <c r="EQ164" s="684"/>
      <c r="ER164" s="680"/>
      <c r="ES164" s="681"/>
      <c r="ET164" s="682"/>
      <c r="EU164" s="682"/>
      <c r="EV164" s="683"/>
      <c r="EW164" s="684"/>
      <c r="EX164" s="675"/>
      <c r="EY164" s="676">
        <f t="shared" si="123"/>
        <v>0</v>
      </c>
      <c r="EZ164" s="677">
        <f t="shared" si="124"/>
        <v>0</v>
      </c>
      <c r="FA164" s="677">
        <f t="shared" si="169"/>
        <v>0</v>
      </c>
      <c r="FB164" s="678">
        <f t="shared" si="170"/>
        <v>0</v>
      </c>
      <c r="FC164" s="679">
        <f t="shared" si="171"/>
        <v>0</v>
      </c>
      <c r="FD164" s="680"/>
      <c r="FE164" s="681"/>
      <c r="FF164" s="682"/>
      <c r="FG164" s="682"/>
      <c r="FH164" s="683"/>
      <c r="FI164" s="684"/>
      <c r="FJ164" s="680"/>
      <c r="FK164" s="681"/>
      <c r="FL164" s="682"/>
      <c r="FM164" s="682"/>
      <c r="FN164" s="683"/>
      <c r="FO164" s="684"/>
      <c r="FP164" s="680"/>
      <c r="FQ164" s="681"/>
      <c r="FR164" s="682"/>
      <c r="FS164" s="682"/>
      <c r="FT164" s="683"/>
      <c r="FU164" s="684"/>
      <c r="FV164" s="680"/>
      <c r="FW164" s="681"/>
      <c r="FX164" s="682"/>
      <c r="FY164" s="682"/>
      <c r="FZ164" s="683"/>
      <c r="GA164" s="684"/>
      <c r="GB164" s="675"/>
      <c r="GC164" s="676">
        <f t="shared" si="125"/>
        <v>0</v>
      </c>
      <c r="GD164" s="677">
        <f t="shared" si="126"/>
        <v>0</v>
      </c>
      <c r="GE164" s="677">
        <f t="shared" si="172"/>
        <v>0</v>
      </c>
      <c r="GF164" s="678">
        <f t="shared" si="173"/>
        <v>0</v>
      </c>
      <c r="GG164" s="679">
        <f t="shared" si="174"/>
        <v>0</v>
      </c>
      <c r="GH164" s="680"/>
      <c r="GI164" s="681"/>
      <c r="GJ164" s="682"/>
      <c r="GK164" s="682"/>
      <c r="GL164" s="683"/>
      <c r="GM164" s="684"/>
      <c r="GN164" s="680"/>
      <c r="GO164" s="681"/>
      <c r="GP164" s="682"/>
      <c r="GQ164" s="682"/>
      <c r="GR164" s="683"/>
      <c r="GS164" s="684"/>
      <c r="GT164" s="680"/>
      <c r="GU164" s="681"/>
      <c r="GV164" s="682"/>
      <c r="GW164" s="682"/>
      <c r="GX164" s="683"/>
      <c r="GY164" s="684"/>
      <c r="GZ164" s="680"/>
      <c r="HA164" s="147"/>
      <c r="HB164" s="148"/>
      <c r="HC164" s="148"/>
      <c r="HD164" s="149"/>
      <c r="HE164" s="150"/>
      <c r="HF164" s="506"/>
      <c r="HG164" s="502"/>
      <c r="HH164" s="502"/>
      <c r="HI164" s="502"/>
      <c r="HJ164" s="8"/>
    </row>
    <row r="165" spans="2:218" ht="21" hidden="1">
      <c r="B165" s="488">
        <v>121</v>
      </c>
      <c r="C165" s="489" t="s">
        <v>255</v>
      </c>
      <c r="D165" s="490" t="s">
        <v>262</v>
      </c>
      <c r="E165" s="491" t="s">
        <v>263</v>
      </c>
      <c r="F165" s="492"/>
      <c r="G165" s="493"/>
      <c r="H165" s="146" t="s">
        <v>97</v>
      </c>
      <c r="I165" s="494" t="str">
        <f t="shared" si="92"/>
        <v>n.v.t.</v>
      </c>
      <c r="J165" s="495" t="s">
        <v>487</v>
      </c>
      <c r="K165" s="151">
        <v>0.8</v>
      </c>
      <c r="L165" s="256">
        <f>IF($C$5&lt;3000,(Bron!H154*$C$5)+Bron!I154,(Bron!M154*$C$5)+Bron!N154)</f>
        <v>434.11200000000002</v>
      </c>
      <c r="M165" s="256"/>
      <c r="N165" s="496">
        <f t="shared" si="175"/>
        <v>630.54331599999989</v>
      </c>
      <c r="O165" s="497">
        <f t="shared" si="176"/>
        <v>0.68847292324640252</v>
      </c>
      <c r="P165" s="257">
        <f>IF($C$5&lt;3000,$AN$32*Bron!J154,$AN$32*Bron!O154)</f>
        <v>0</v>
      </c>
      <c r="Q165" s="257">
        <f>IF($C$5&lt;3000,$AN$31*Bron!K154,$AN$31*Bron!P154)</f>
        <v>2482.4539999999997</v>
      </c>
      <c r="R165" s="257">
        <f>IF($C$5&lt;3000,$AN$33*Bron!J154,$AN$33*Bron!O154)</f>
        <v>0</v>
      </c>
      <c r="S165" s="344"/>
      <c r="T165" s="258">
        <f t="shared" si="93"/>
        <v>0.8</v>
      </c>
      <c r="U165" s="259">
        <f t="shared" si="94"/>
        <v>0</v>
      </c>
      <c r="V165" s="675"/>
      <c r="W165" s="676">
        <f t="shared" si="95"/>
        <v>0</v>
      </c>
      <c r="X165" s="677">
        <f t="shared" si="96"/>
        <v>0</v>
      </c>
      <c r="Y165" s="677">
        <f t="shared" si="127"/>
        <v>0</v>
      </c>
      <c r="Z165" s="678">
        <f t="shared" si="128"/>
        <v>0</v>
      </c>
      <c r="AA165" s="679">
        <f t="shared" si="129"/>
        <v>0</v>
      </c>
      <c r="AB165" s="675"/>
      <c r="AC165" s="676">
        <f t="shared" si="97"/>
        <v>0</v>
      </c>
      <c r="AD165" s="677">
        <f t="shared" si="98"/>
        <v>0</v>
      </c>
      <c r="AE165" s="677">
        <f t="shared" si="130"/>
        <v>0</v>
      </c>
      <c r="AF165" s="678">
        <f t="shared" si="131"/>
        <v>0</v>
      </c>
      <c r="AG165" s="679">
        <f t="shared" si="132"/>
        <v>0</v>
      </c>
      <c r="AH165" s="675"/>
      <c r="AI165" s="676">
        <f t="shared" si="99"/>
        <v>0</v>
      </c>
      <c r="AJ165" s="677">
        <f t="shared" si="100"/>
        <v>0</v>
      </c>
      <c r="AK165" s="677">
        <f t="shared" si="133"/>
        <v>0</v>
      </c>
      <c r="AL165" s="678">
        <f t="shared" si="134"/>
        <v>0</v>
      </c>
      <c r="AM165" s="679">
        <f t="shared" si="135"/>
        <v>0</v>
      </c>
      <c r="AN165" s="675"/>
      <c r="AO165" s="676">
        <f t="shared" si="101"/>
        <v>0</v>
      </c>
      <c r="AP165" s="677">
        <f t="shared" si="102"/>
        <v>0</v>
      </c>
      <c r="AQ165" s="677">
        <f t="shared" si="136"/>
        <v>0</v>
      </c>
      <c r="AR165" s="678">
        <f t="shared" si="137"/>
        <v>0</v>
      </c>
      <c r="AS165" s="679">
        <f t="shared" si="138"/>
        <v>0</v>
      </c>
      <c r="AT165" s="675"/>
      <c r="AU165" s="676">
        <f t="shared" si="103"/>
        <v>0</v>
      </c>
      <c r="AV165" s="677">
        <f t="shared" si="104"/>
        <v>0</v>
      </c>
      <c r="AW165" s="677">
        <f t="shared" si="139"/>
        <v>0</v>
      </c>
      <c r="AX165" s="678">
        <f t="shared" si="140"/>
        <v>0</v>
      </c>
      <c r="AY165" s="679">
        <f t="shared" si="141"/>
        <v>0</v>
      </c>
      <c r="AZ165" s="675"/>
      <c r="BA165" s="676">
        <f t="shared" si="105"/>
        <v>0</v>
      </c>
      <c r="BB165" s="677">
        <f t="shared" si="106"/>
        <v>0</v>
      </c>
      <c r="BC165" s="677">
        <f t="shared" si="142"/>
        <v>0</v>
      </c>
      <c r="BD165" s="678">
        <f t="shared" si="143"/>
        <v>0</v>
      </c>
      <c r="BE165" s="679">
        <f t="shared" si="144"/>
        <v>0</v>
      </c>
      <c r="BF165" s="675"/>
      <c r="BG165" s="676">
        <f t="shared" si="107"/>
        <v>0</v>
      </c>
      <c r="BH165" s="677">
        <f t="shared" si="108"/>
        <v>0</v>
      </c>
      <c r="BI165" s="677">
        <f t="shared" si="145"/>
        <v>0</v>
      </c>
      <c r="BJ165" s="678">
        <f t="shared" si="146"/>
        <v>0</v>
      </c>
      <c r="BK165" s="679">
        <f t="shared" si="147"/>
        <v>0</v>
      </c>
      <c r="BL165" s="675"/>
      <c r="BM165" s="676">
        <f t="shared" si="109"/>
        <v>0</v>
      </c>
      <c r="BN165" s="677">
        <f t="shared" si="110"/>
        <v>0</v>
      </c>
      <c r="BO165" s="677">
        <f t="shared" si="148"/>
        <v>0</v>
      </c>
      <c r="BP165" s="678">
        <f t="shared" si="149"/>
        <v>0</v>
      </c>
      <c r="BQ165" s="679">
        <f t="shared" si="150"/>
        <v>0</v>
      </c>
      <c r="BR165" s="675"/>
      <c r="BS165" s="676">
        <f t="shared" si="111"/>
        <v>0</v>
      </c>
      <c r="BT165" s="677">
        <f t="shared" si="112"/>
        <v>0</v>
      </c>
      <c r="BU165" s="677">
        <f t="shared" si="151"/>
        <v>0</v>
      </c>
      <c r="BV165" s="678">
        <f t="shared" si="152"/>
        <v>0</v>
      </c>
      <c r="BW165" s="679">
        <f t="shared" si="153"/>
        <v>0</v>
      </c>
      <c r="BX165" s="675"/>
      <c r="BY165" s="676">
        <f t="shared" si="113"/>
        <v>0</v>
      </c>
      <c r="BZ165" s="677">
        <f t="shared" si="114"/>
        <v>0</v>
      </c>
      <c r="CA165" s="677">
        <f t="shared" si="154"/>
        <v>0</v>
      </c>
      <c r="CB165" s="678">
        <f t="shared" si="155"/>
        <v>0</v>
      </c>
      <c r="CC165" s="679">
        <f t="shared" si="156"/>
        <v>0</v>
      </c>
      <c r="CD165" s="675"/>
      <c r="CE165" s="676">
        <f t="shared" si="115"/>
        <v>0</v>
      </c>
      <c r="CF165" s="677">
        <f t="shared" si="116"/>
        <v>0</v>
      </c>
      <c r="CG165" s="677">
        <f t="shared" si="157"/>
        <v>0</v>
      </c>
      <c r="CH165" s="678">
        <f t="shared" si="158"/>
        <v>0</v>
      </c>
      <c r="CI165" s="679">
        <f t="shared" si="159"/>
        <v>0</v>
      </c>
      <c r="CJ165" s="675"/>
      <c r="CK165" s="676">
        <f t="shared" si="117"/>
        <v>0</v>
      </c>
      <c r="CL165" s="677">
        <f t="shared" si="118"/>
        <v>0</v>
      </c>
      <c r="CM165" s="677">
        <f t="shared" si="160"/>
        <v>0</v>
      </c>
      <c r="CN165" s="678">
        <f t="shared" si="161"/>
        <v>0</v>
      </c>
      <c r="CO165" s="679">
        <f t="shared" si="162"/>
        <v>0</v>
      </c>
      <c r="CP165" s="675"/>
      <c r="CQ165" s="676">
        <f t="shared" si="119"/>
        <v>0</v>
      </c>
      <c r="CR165" s="677">
        <f t="shared" si="120"/>
        <v>0</v>
      </c>
      <c r="CS165" s="677">
        <f t="shared" si="163"/>
        <v>0</v>
      </c>
      <c r="CT165" s="678">
        <f t="shared" si="164"/>
        <v>0</v>
      </c>
      <c r="CU165" s="679">
        <f t="shared" si="165"/>
        <v>0</v>
      </c>
      <c r="CV165" s="685"/>
      <c r="CW165" s="681"/>
      <c r="CX165" s="682"/>
      <c r="CY165" s="682"/>
      <c r="CZ165" s="683"/>
      <c r="DA165" s="684"/>
      <c r="DB165" s="685"/>
      <c r="DC165" s="681"/>
      <c r="DD165" s="682"/>
      <c r="DE165" s="682"/>
      <c r="DF165" s="683"/>
      <c r="DG165" s="684"/>
      <c r="DH165" s="685"/>
      <c r="DI165" s="681"/>
      <c r="DJ165" s="682"/>
      <c r="DK165" s="682"/>
      <c r="DL165" s="683"/>
      <c r="DM165" s="684"/>
      <c r="DN165" s="685"/>
      <c r="DO165" s="681"/>
      <c r="DP165" s="682"/>
      <c r="DQ165" s="682"/>
      <c r="DR165" s="683"/>
      <c r="DS165" s="684"/>
      <c r="DT165" s="675"/>
      <c r="DU165" s="676">
        <f t="shared" si="121"/>
        <v>0</v>
      </c>
      <c r="DV165" s="677">
        <f t="shared" si="122"/>
        <v>0</v>
      </c>
      <c r="DW165" s="677">
        <f t="shared" si="166"/>
        <v>0</v>
      </c>
      <c r="DX165" s="678">
        <f t="shared" si="167"/>
        <v>0</v>
      </c>
      <c r="DY165" s="679">
        <f t="shared" si="168"/>
        <v>0</v>
      </c>
      <c r="DZ165" s="680"/>
      <c r="EA165" s="681"/>
      <c r="EB165" s="682"/>
      <c r="EC165" s="682"/>
      <c r="ED165" s="683"/>
      <c r="EE165" s="684"/>
      <c r="EF165" s="680"/>
      <c r="EG165" s="681"/>
      <c r="EH165" s="682"/>
      <c r="EI165" s="682"/>
      <c r="EJ165" s="683"/>
      <c r="EK165" s="684"/>
      <c r="EL165" s="680"/>
      <c r="EM165" s="681"/>
      <c r="EN165" s="682"/>
      <c r="EO165" s="682"/>
      <c r="EP165" s="683"/>
      <c r="EQ165" s="684"/>
      <c r="ER165" s="680"/>
      <c r="ES165" s="681"/>
      <c r="ET165" s="682"/>
      <c r="EU165" s="682"/>
      <c r="EV165" s="683"/>
      <c r="EW165" s="684"/>
      <c r="EX165" s="675"/>
      <c r="EY165" s="676">
        <f t="shared" si="123"/>
        <v>0</v>
      </c>
      <c r="EZ165" s="677">
        <f t="shared" si="124"/>
        <v>0</v>
      </c>
      <c r="FA165" s="677">
        <f t="shared" si="169"/>
        <v>0</v>
      </c>
      <c r="FB165" s="678">
        <f t="shared" si="170"/>
        <v>0</v>
      </c>
      <c r="FC165" s="679">
        <f t="shared" si="171"/>
        <v>0</v>
      </c>
      <c r="FD165" s="680"/>
      <c r="FE165" s="681"/>
      <c r="FF165" s="682"/>
      <c r="FG165" s="682"/>
      <c r="FH165" s="683"/>
      <c r="FI165" s="684"/>
      <c r="FJ165" s="680"/>
      <c r="FK165" s="681"/>
      <c r="FL165" s="682"/>
      <c r="FM165" s="682"/>
      <c r="FN165" s="683"/>
      <c r="FO165" s="684"/>
      <c r="FP165" s="680"/>
      <c r="FQ165" s="681"/>
      <c r="FR165" s="682"/>
      <c r="FS165" s="682"/>
      <c r="FT165" s="683"/>
      <c r="FU165" s="684"/>
      <c r="FV165" s="680"/>
      <c r="FW165" s="681"/>
      <c r="FX165" s="682"/>
      <c r="FY165" s="682"/>
      <c r="FZ165" s="683"/>
      <c r="GA165" s="684"/>
      <c r="GB165" s="675"/>
      <c r="GC165" s="676">
        <f t="shared" si="125"/>
        <v>0</v>
      </c>
      <c r="GD165" s="677">
        <f t="shared" si="126"/>
        <v>0</v>
      </c>
      <c r="GE165" s="677">
        <f t="shared" si="172"/>
        <v>0</v>
      </c>
      <c r="GF165" s="678">
        <f t="shared" si="173"/>
        <v>0</v>
      </c>
      <c r="GG165" s="679">
        <f t="shared" si="174"/>
        <v>0</v>
      </c>
      <c r="GH165" s="680"/>
      <c r="GI165" s="681"/>
      <c r="GJ165" s="682"/>
      <c r="GK165" s="682"/>
      <c r="GL165" s="683"/>
      <c r="GM165" s="684"/>
      <c r="GN165" s="680"/>
      <c r="GO165" s="681"/>
      <c r="GP165" s="682"/>
      <c r="GQ165" s="682"/>
      <c r="GR165" s="683"/>
      <c r="GS165" s="684"/>
      <c r="GT165" s="680"/>
      <c r="GU165" s="681"/>
      <c r="GV165" s="682"/>
      <c r="GW165" s="682"/>
      <c r="GX165" s="683"/>
      <c r="GY165" s="684"/>
      <c r="GZ165" s="680"/>
      <c r="HA165" s="147"/>
      <c r="HB165" s="148"/>
      <c r="HC165" s="148"/>
      <c r="HD165" s="149"/>
      <c r="HE165" s="150"/>
      <c r="HF165" s="506"/>
      <c r="HG165" s="502"/>
      <c r="HH165" s="502"/>
      <c r="HI165" s="502"/>
      <c r="HJ165" s="8"/>
    </row>
    <row r="166" spans="2:218" ht="21" hidden="1">
      <c r="B166" s="488">
        <v>122</v>
      </c>
      <c r="C166" s="489" t="s">
        <v>255</v>
      </c>
      <c r="D166" s="490" t="s">
        <v>264</v>
      </c>
      <c r="E166" s="491" t="s">
        <v>265</v>
      </c>
      <c r="F166" s="492"/>
      <c r="G166" s="493"/>
      <c r="H166" s="146" t="s">
        <v>97</v>
      </c>
      <c r="I166" s="494" t="str">
        <f t="shared" si="92"/>
        <v>n.v.t.</v>
      </c>
      <c r="J166" s="495" t="s">
        <v>487</v>
      </c>
      <c r="K166" s="151">
        <v>0.8</v>
      </c>
      <c r="L166" s="256">
        <f>IF($C$5&lt;3000,(Bron!H155*$C$5)+Bron!I155,(Bron!M155*$C$5)+Bron!N155)</f>
        <v>43411.199999999997</v>
      </c>
      <c r="M166" s="256"/>
      <c r="N166" s="496">
        <f t="shared" si="175"/>
        <v>13095.899640000001</v>
      </c>
      <c r="O166" s="497">
        <f t="shared" si="176"/>
        <v>3.31486963044564</v>
      </c>
      <c r="P166" s="257"/>
      <c r="Q166" s="257">
        <f>IF($C$5&lt;3000,$AN$31*Bron!K155,$AN$31*Bron!P155)</f>
        <v>51558.66</v>
      </c>
      <c r="R166" s="257">
        <f>IF($C$5&lt;3000,$AN$33*Bron!J155,$AN$33*Bron!O155)</f>
        <v>0</v>
      </c>
      <c r="S166" s="344"/>
      <c r="T166" s="258">
        <f t="shared" si="93"/>
        <v>0.8</v>
      </c>
      <c r="U166" s="259">
        <f t="shared" si="94"/>
        <v>0</v>
      </c>
      <c r="V166" s="675"/>
      <c r="W166" s="676">
        <f t="shared" si="95"/>
        <v>0</v>
      </c>
      <c r="X166" s="677">
        <f t="shared" si="96"/>
        <v>0</v>
      </c>
      <c r="Y166" s="677">
        <f t="shared" si="127"/>
        <v>0</v>
      </c>
      <c r="Z166" s="678">
        <f t="shared" si="128"/>
        <v>0</v>
      </c>
      <c r="AA166" s="679">
        <f t="shared" si="129"/>
        <v>0</v>
      </c>
      <c r="AB166" s="675"/>
      <c r="AC166" s="676">
        <f t="shared" si="97"/>
        <v>0</v>
      </c>
      <c r="AD166" s="677">
        <f t="shared" si="98"/>
        <v>0</v>
      </c>
      <c r="AE166" s="677">
        <f t="shared" si="130"/>
        <v>0</v>
      </c>
      <c r="AF166" s="678">
        <f t="shared" si="131"/>
        <v>0</v>
      </c>
      <c r="AG166" s="679">
        <f t="shared" si="132"/>
        <v>0</v>
      </c>
      <c r="AH166" s="675"/>
      <c r="AI166" s="676">
        <f t="shared" si="99"/>
        <v>0</v>
      </c>
      <c r="AJ166" s="677">
        <f t="shared" si="100"/>
        <v>0</v>
      </c>
      <c r="AK166" s="677">
        <f t="shared" si="133"/>
        <v>0</v>
      </c>
      <c r="AL166" s="678">
        <f t="shared" si="134"/>
        <v>0</v>
      </c>
      <c r="AM166" s="679">
        <f t="shared" si="135"/>
        <v>0</v>
      </c>
      <c r="AN166" s="675"/>
      <c r="AO166" s="676">
        <f t="shared" si="101"/>
        <v>0</v>
      </c>
      <c r="AP166" s="677">
        <f t="shared" si="102"/>
        <v>0</v>
      </c>
      <c r="AQ166" s="677">
        <f t="shared" si="136"/>
        <v>0</v>
      </c>
      <c r="AR166" s="678">
        <f t="shared" si="137"/>
        <v>0</v>
      </c>
      <c r="AS166" s="679">
        <f t="shared" si="138"/>
        <v>0</v>
      </c>
      <c r="AT166" s="675"/>
      <c r="AU166" s="676">
        <f t="shared" si="103"/>
        <v>0</v>
      </c>
      <c r="AV166" s="677">
        <f t="shared" si="104"/>
        <v>0</v>
      </c>
      <c r="AW166" s="677">
        <f t="shared" si="139"/>
        <v>0</v>
      </c>
      <c r="AX166" s="678">
        <f t="shared" si="140"/>
        <v>0</v>
      </c>
      <c r="AY166" s="679">
        <f t="shared" si="141"/>
        <v>0</v>
      </c>
      <c r="AZ166" s="675"/>
      <c r="BA166" s="676">
        <f t="shared" si="105"/>
        <v>0</v>
      </c>
      <c r="BB166" s="677">
        <f t="shared" si="106"/>
        <v>0</v>
      </c>
      <c r="BC166" s="677">
        <f t="shared" si="142"/>
        <v>0</v>
      </c>
      <c r="BD166" s="678">
        <f t="shared" si="143"/>
        <v>0</v>
      </c>
      <c r="BE166" s="679">
        <f t="shared" si="144"/>
        <v>0</v>
      </c>
      <c r="BF166" s="675"/>
      <c r="BG166" s="676">
        <f t="shared" si="107"/>
        <v>0</v>
      </c>
      <c r="BH166" s="677">
        <f t="shared" si="108"/>
        <v>0</v>
      </c>
      <c r="BI166" s="677">
        <f t="shared" si="145"/>
        <v>0</v>
      </c>
      <c r="BJ166" s="678">
        <f t="shared" si="146"/>
        <v>0</v>
      </c>
      <c r="BK166" s="679">
        <f t="shared" si="147"/>
        <v>0</v>
      </c>
      <c r="BL166" s="675"/>
      <c r="BM166" s="676">
        <f t="shared" si="109"/>
        <v>0</v>
      </c>
      <c r="BN166" s="677">
        <f t="shared" si="110"/>
        <v>0</v>
      </c>
      <c r="BO166" s="677">
        <f t="shared" si="148"/>
        <v>0</v>
      </c>
      <c r="BP166" s="678">
        <f t="shared" si="149"/>
        <v>0</v>
      </c>
      <c r="BQ166" s="679">
        <f t="shared" si="150"/>
        <v>0</v>
      </c>
      <c r="BR166" s="675"/>
      <c r="BS166" s="676">
        <f t="shared" si="111"/>
        <v>0</v>
      </c>
      <c r="BT166" s="677">
        <f t="shared" si="112"/>
        <v>0</v>
      </c>
      <c r="BU166" s="677">
        <f t="shared" si="151"/>
        <v>0</v>
      </c>
      <c r="BV166" s="678">
        <f t="shared" si="152"/>
        <v>0</v>
      </c>
      <c r="BW166" s="679">
        <f t="shared" si="153"/>
        <v>0</v>
      </c>
      <c r="BX166" s="675"/>
      <c r="BY166" s="676">
        <f t="shared" si="113"/>
        <v>0</v>
      </c>
      <c r="BZ166" s="677">
        <f t="shared" si="114"/>
        <v>0</v>
      </c>
      <c r="CA166" s="677">
        <f t="shared" si="154"/>
        <v>0</v>
      </c>
      <c r="CB166" s="678">
        <f t="shared" si="155"/>
        <v>0</v>
      </c>
      <c r="CC166" s="679">
        <f t="shared" si="156"/>
        <v>0</v>
      </c>
      <c r="CD166" s="675"/>
      <c r="CE166" s="676">
        <f t="shared" si="115"/>
        <v>0</v>
      </c>
      <c r="CF166" s="677">
        <f t="shared" si="116"/>
        <v>0</v>
      </c>
      <c r="CG166" s="677">
        <f t="shared" si="157"/>
        <v>0</v>
      </c>
      <c r="CH166" s="678">
        <f t="shared" si="158"/>
        <v>0</v>
      </c>
      <c r="CI166" s="679">
        <f t="shared" si="159"/>
        <v>0</v>
      </c>
      <c r="CJ166" s="675"/>
      <c r="CK166" s="676">
        <f t="shared" si="117"/>
        <v>0</v>
      </c>
      <c r="CL166" s="677">
        <f t="shared" si="118"/>
        <v>0</v>
      </c>
      <c r="CM166" s="677">
        <f t="shared" si="160"/>
        <v>0</v>
      </c>
      <c r="CN166" s="678">
        <f t="shared" si="161"/>
        <v>0</v>
      </c>
      <c r="CO166" s="679">
        <f t="shared" si="162"/>
        <v>0</v>
      </c>
      <c r="CP166" s="675"/>
      <c r="CQ166" s="676">
        <f t="shared" si="119"/>
        <v>0</v>
      </c>
      <c r="CR166" s="677">
        <f t="shared" si="120"/>
        <v>0</v>
      </c>
      <c r="CS166" s="677">
        <f t="shared" si="163"/>
        <v>0</v>
      </c>
      <c r="CT166" s="678">
        <f t="shared" si="164"/>
        <v>0</v>
      </c>
      <c r="CU166" s="679">
        <f t="shared" si="165"/>
        <v>0</v>
      </c>
      <c r="CV166" s="685"/>
      <c r="CW166" s="681"/>
      <c r="CX166" s="682"/>
      <c r="CY166" s="682"/>
      <c r="CZ166" s="683"/>
      <c r="DA166" s="684"/>
      <c r="DB166" s="685"/>
      <c r="DC166" s="681"/>
      <c r="DD166" s="682"/>
      <c r="DE166" s="682"/>
      <c r="DF166" s="683"/>
      <c r="DG166" s="684"/>
      <c r="DH166" s="685"/>
      <c r="DI166" s="681"/>
      <c r="DJ166" s="682"/>
      <c r="DK166" s="682"/>
      <c r="DL166" s="683"/>
      <c r="DM166" s="684"/>
      <c r="DN166" s="685"/>
      <c r="DO166" s="681"/>
      <c r="DP166" s="682"/>
      <c r="DQ166" s="682"/>
      <c r="DR166" s="683"/>
      <c r="DS166" s="684"/>
      <c r="DT166" s="675"/>
      <c r="DU166" s="676">
        <f t="shared" si="121"/>
        <v>0</v>
      </c>
      <c r="DV166" s="677">
        <f t="shared" si="122"/>
        <v>0</v>
      </c>
      <c r="DW166" s="677">
        <f t="shared" si="166"/>
        <v>0</v>
      </c>
      <c r="DX166" s="678">
        <f t="shared" si="167"/>
        <v>0</v>
      </c>
      <c r="DY166" s="679">
        <f t="shared" si="168"/>
        <v>0</v>
      </c>
      <c r="DZ166" s="680"/>
      <c r="EA166" s="681"/>
      <c r="EB166" s="682"/>
      <c r="EC166" s="682"/>
      <c r="ED166" s="683"/>
      <c r="EE166" s="684"/>
      <c r="EF166" s="680"/>
      <c r="EG166" s="681"/>
      <c r="EH166" s="682"/>
      <c r="EI166" s="682"/>
      <c r="EJ166" s="683"/>
      <c r="EK166" s="684"/>
      <c r="EL166" s="680"/>
      <c r="EM166" s="681"/>
      <c r="EN166" s="682"/>
      <c r="EO166" s="682"/>
      <c r="EP166" s="683"/>
      <c r="EQ166" s="684"/>
      <c r="ER166" s="680"/>
      <c r="ES166" s="681"/>
      <c r="ET166" s="682"/>
      <c r="EU166" s="682"/>
      <c r="EV166" s="683"/>
      <c r="EW166" s="684"/>
      <c r="EX166" s="675"/>
      <c r="EY166" s="676">
        <f t="shared" si="123"/>
        <v>0</v>
      </c>
      <c r="EZ166" s="677">
        <f t="shared" si="124"/>
        <v>0</v>
      </c>
      <c r="FA166" s="677">
        <f t="shared" si="169"/>
        <v>0</v>
      </c>
      <c r="FB166" s="678">
        <f t="shared" si="170"/>
        <v>0</v>
      </c>
      <c r="FC166" s="679">
        <f t="shared" si="171"/>
        <v>0</v>
      </c>
      <c r="FD166" s="680"/>
      <c r="FE166" s="681"/>
      <c r="FF166" s="682"/>
      <c r="FG166" s="682"/>
      <c r="FH166" s="683"/>
      <c r="FI166" s="684"/>
      <c r="FJ166" s="680"/>
      <c r="FK166" s="681"/>
      <c r="FL166" s="682"/>
      <c r="FM166" s="682"/>
      <c r="FN166" s="683"/>
      <c r="FO166" s="684"/>
      <c r="FP166" s="680"/>
      <c r="FQ166" s="681"/>
      <c r="FR166" s="682"/>
      <c r="FS166" s="682"/>
      <c r="FT166" s="683"/>
      <c r="FU166" s="684"/>
      <c r="FV166" s="680"/>
      <c r="FW166" s="681"/>
      <c r="FX166" s="682"/>
      <c r="FY166" s="682"/>
      <c r="FZ166" s="683"/>
      <c r="GA166" s="684"/>
      <c r="GB166" s="675"/>
      <c r="GC166" s="676">
        <f t="shared" si="125"/>
        <v>0</v>
      </c>
      <c r="GD166" s="677">
        <f t="shared" si="126"/>
        <v>0</v>
      </c>
      <c r="GE166" s="677">
        <f t="shared" si="172"/>
        <v>0</v>
      </c>
      <c r="GF166" s="678">
        <f t="shared" si="173"/>
        <v>0</v>
      </c>
      <c r="GG166" s="679">
        <f t="shared" si="174"/>
        <v>0</v>
      </c>
      <c r="GH166" s="680"/>
      <c r="GI166" s="681"/>
      <c r="GJ166" s="682"/>
      <c r="GK166" s="682"/>
      <c r="GL166" s="683"/>
      <c r="GM166" s="684"/>
      <c r="GN166" s="680"/>
      <c r="GO166" s="681"/>
      <c r="GP166" s="682"/>
      <c r="GQ166" s="682"/>
      <c r="GR166" s="683"/>
      <c r="GS166" s="684"/>
      <c r="GT166" s="680"/>
      <c r="GU166" s="681"/>
      <c r="GV166" s="682"/>
      <c r="GW166" s="682"/>
      <c r="GX166" s="683"/>
      <c r="GY166" s="684"/>
      <c r="GZ166" s="680"/>
      <c r="HA166" s="147"/>
      <c r="HB166" s="148"/>
      <c r="HC166" s="148"/>
      <c r="HD166" s="149"/>
      <c r="HE166" s="150"/>
      <c r="HF166" s="506"/>
      <c r="HG166" s="502"/>
      <c r="HH166" s="502"/>
      <c r="HI166" s="502"/>
      <c r="HJ166" s="8"/>
    </row>
    <row r="167" spans="2:218" ht="21" hidden="1">
      <c r="B167" s="488">
        <v>123</v>
      </c>
      <c r="C167" s="489" t="s">
        <v>255</v>
      </c>
      <c r="D167" s="490" t="s">
        <v>266</v>
      </c>
      <c r="E167" s="491" t="s">
        <v>267</v>
      </c>
      <c r="F167" s="492"/>
      <c r="G167" s="493"/>
      <c r="H167" s="146" t="s">
        <v>97</v>
      </c>
      <c r="I167" s="494" t="str">
        <f t="shared" si="92"/>
        <v>n.v.t.</v>
      </c>
      <c r="J167" s="495" t="s">
        <v>487</v>
      </c>
      <c r="K167" s="151">
        <v>0.8</v>
      </c>
      <c r="L167" s="256">
        <f>IF($C$5&lt;3000,(Bron!H156*$C$5)+Bron!I156,(Bron!M156*$C$5)+Bron!N156)</f>
        <v>34728.959999999999</v>
      </c>
      <c r="M167" s="256"/>
      <c r="N167" s="496">
        <f t="shared" si="175"/>
        <v>9700.6664000000001</v>
      </c>
      <c r="O167" s="497">
        <f t="shared" si="176"/>
        <v>3.5800592008812919</v>
      </c>
      <c r="P167" s="257">
        <f>IF($C$5&lt;3000,$AN$32*Bron!J156,$AN$32*Bron!O156)</f>
        <v>0</v>
      </c>
      <c r="Q167" s="257">
        <f>IF($C$5&lt;3000,$AN$31*Bron!K156,$AN$31*Bron!P156)</f>
        <v>38191.599999999999</v>
      </c>
      <c r="R167" s="257">
        <f>IF($C$5&lt;3000,$AN$33*Bron!J156,$AN$33*Bron!O156)</f>
        <v>0</v>
      </c>
      <c r="S167" s="344"/>
      <c r="T167" s="258">
        <f t="shared" si="93"/>
        <v>0.8</v>
      </c>
      <c r="U167" s="259">
        <f t="shared" si="94"/>
        <v>0</v>
      </c>
      <c r="V167" s="675"/>
      <c r="W167" s="676">
        <f t="shared" si="95"/>
        <v>0</v>
      </c>
      <c r="X167" s="677">
        <f t="shared" si="96"/>
        <v>0</v>
      </c>
      <c r="Y167" s="677">
        <f t="shared" si="127"/>
        <v>0</v>
      </c>
      <c r="Z167" s="678">
        <f t="shared" si="128"/>
        <v>0</v>
      </c>
      <c r="AA167" s="679">
        <f t="shared" si="129"/>
        <v>0</v>
      </c>
      <c r="AB167" s="675"/>
      <c r="AC167" s="676">
        <f t="shared" si="97"/>
        <v>0</v>
      </c>
      <c r="AD167" s="677">
        <f t="shared" si="98"/>
        <v>0</v>
      </c>
      <c r="AE167" s="677">
        <f t="shared" si="130"/>
        <v>0</v>
      </c>
      <c r="AF167" s="678">
        <f t="shared" si="131"/>
        <v>0</v>
      </c>
      <c r="AG167" s="679">
        <f t="shared" si="132"/>
        <v>0</v>
      </c>
      <c r="AH167" s="675"/>
      <c r="AI167" s="676">
        <f t="shared" si="99"/>
        <v>0</v>
      </c>
      <c r="AJ167" s="677">
        <f t="shared" si="100"/>
        <v>0</v>
      </c>
      <c r="AK167" s="677">
        <f t="shared" si="133"/>
        <v>0</v>
      </c>
      <c r="AL167" s="678">
        <f t="shared" si="134"/>
        <v>0</v>
      </c>
      <c r="AM167" s="679">
        <f t="shared" si="135"/>
        <v>0</v>
      </c>
      <c r="AN167" s="675"/>
      <c r="AO167" s="676">
        <f t="shared" si="101"/>
        <v>0</v>
      </c>
      <c r="AP167" s="677">
        <f t="shared" si="102"/>
        <v>0</v>
      </c>
      <c r="AQ167" s="677">
        <f t="shared" si="136"/>
        <v>0</v>
      </c>
      <c r="AR167" s="678">
        <f t="shared" si="137"/>
        <v>0</v>
      </c>
      <c r="AS167" s="679">
        <f t="shared" si="138"/>
        <v>0</v>
      </c>
      <c r="AT167" s="675"/>
      <c r="AU167" s="676">
        <f t="shared" si="103"/>
        <v>0</v>
      </c>
      <c r="AV167" s="677">
        <f t="shared" si="104"/>
        <v>0</v>
      </c>
      <c r="AW167" s="677">
        <f t="shared" si="139"/>
        <v>0</v>
      </c>
      <c r="AX167" s="678">
        <f t="shared" si="140"/>
        <v>0</v>
      </c>
      <c r="AY167" s="679">
        <f t="shared" si="141"/>
        <v>0</v>
      </c>
      <c r="AZ167" s="675"/>
      <c r="BA167" s="676">
        <f t="shared" si="105"/>
        <v>0</v>
      </c>
      <c r="BB167" s="677">
        <f t="shared" si="106"/>
        <v>0</v>
      </c>
      <c r="BC167" s="677">
        <f t="shared" si="142"/>
        <v>0</v>
      </c>
      <c r="BD167" s="678">
        <f t="shared" si="143"/>
        <v>0</v>
      </c>
      <c r="BE167" s="679">
        <f t="shared" si="144"/>
        <v>0</v>
      </c>
      <c r="BF167" s="675"/>
      <c r="BG167" s="676">
        <f t="shared" si="107"/>
        <v>0</v>
      </c>
      <c r="BH167" s="677">
        <f t="shared" si="108"/>
        <v>0</v>
      </c>
      <c r="BI167" s="677">
        <f t="shared" si="145"/>
        <v>0</v>
      </c>
      <c r="BJ167" s="678">
        <f t="shared" si="146"/>
        <v>0</v>
      </c>
      <c r="BK167" s="679">
        <f t="shared" si="147"/>
        <v>0</v>
      </c>
      <c r="BL167" s="675"/>
      <c r="BM167" s="676">
        <f t="shared" si="109"/>
        <v>0</v>
      </c>
      <c r="BN167" s="677">
        <f t="shared" si="110"/>
        <v>0</v>
      </c>
      <c r="BO167" s="677">
        <f t="shared" si="148"/>
        <v>0</v>
      </c>
      <c r="BP167" s="678">
        <f t="shared" si="149"/>
        <v>0</v>
      </c>
      <c r="BQ167" s="679">
        <f t="shared" si="150"/>
        <v>0</v>
      </c>
      <c r="BR167" s="675"/>
      <c r="BS167" s="676">
        <f t="shared" si="111"/>
        <v>0</v>
      </c>
      <c r="BT167" s="677">
        <f t="shared" si="112"/>
        <v>0</v>
      </c>
      <c r="BU167" s="677">
        <f t="shared" si="151"/>
        <v>0</v>
      </c>
      <c r="BV167" s="678">
        <f t="shared" si="152"/>
        <v>0</v>
      </c>
      <c r="BW167" s="679">
        <f t="shared" si="153"/>
        <v>0</v>
      </c>
      <c r="BX167" s="675"/>
      <c r="BY167" s="676">
        <f t="shared" si="113"/>
        <v>0</v>
      </c>
      <c r="BZ167" s="677">
        <f t="shared" si="114"/>
        <v>0</v>
      </c>
      <c r="CA167" s="677">
        <f t="shared" si="154"/>
        <v>0</v>
      </c>
      <c r="CB167" s="678">
        <f t="shared" si="155"/>
        <v>0</v>
      </c>
      <c r="CC167" s="679">
        <f t="shared" si="156"/>
        <v>0</v>
      </c>
      <c r="CD167" s="675"/>
      <c r="CE167" s="676">
        <f t="shared" si="115"/>
        <v>0</v>
      </c>
      <c r="CF167" s="677">
        <f t="shared" si="116"/>
        <v>0</v>
      </c>
      <c r="CG167" s="677">
        <f t="shared" si="157"/>
        <v>0</v>
      </c>
      <c r="CH167" s="678">
        <f t="shared" si="158"/>
        <v>0</v>
      </c>
      <c r="CI167" s="679">
        <f t="shared" si="159"/>
        <v>0</v>
      </c>
      <c r="CJ167" s="675"/>
      <c r="CK167" s="676">
        <f t="shared" si="117"/>
        <v>0</v>
      </c>
      <c r="CL167" s="677">
        <f t="shared" si="118"/>
        <v>0</v>
      </c>
      <c r="CM167" s="677">
        <f t="shared" si="160"/>
        <v>0</v>
      </c>
      <c r="CN167" s="678">
        <f t="shared" si="161"/>
        <v>0</v>
      </c>
      <c r="CO167" s="679">
        <f t="shared" si="162"/>
        <v>0</v>
      </c>
      <c r="CP167" s="675"/>
      <c r="CQ167" s="676">
        <f t="shared" si="119"/>
        <v>0</v>
      </c>
      <c r="CR167" s="677">
        <f t="shared" si="120"/>
        <v>0</v>
      </c>
      <c r="CS167" s="677">
        <f t="shared" si="163"/>
        <v>0</v>
      </c>
      <c r="CT167" s="678">
        <f t="shared" si="164"/>
        <v>0</v>
      </c>
      <c r="CU167" s="679">
        <f t="shared" si="165"/>
        <v>0</v>
      </c>
      <c r="CV167" s="685"/>
      <c r="CW167" s="681"/>
      <c r="CX167" s="682"/>
      <c r="CY167" s="682"/>
      <c r="CZ167" s="683"/>
      <c r="DA167" s="684"/>
      <c r="DB167" s="685"/>
      <c r="DC167" s="681"/>
      <c r="DD167" s="682"/>
      <c r="DE167" s="682"/>
      <c r="DF167" s="683"/>
      <c r="DG167" s="684"/>
      <c r="DH167" s="685"/>
      <c r="DI167" s="681"/>
      <c r="DJ167" s="682"/>
      <c r="DK167" s="682"/>
      <c r="DL167" s="683"/>
      <c r="DM167" s="684"/>
      <c r="DN167" s="685"/>
      <c r="DO167" s="681"/>
      <c r="DP167" s="682"/>
      <c r="DQ167" s="682"/>
      <c r="DR167" s="683"/>
      <c r="DS167" s="684"/>
      <c r="DT167" s="675"/>
      <c r="DU167" s="676">
        <f t="shared" si="121"/>
        <v>0</v>
      </c>
      <c r="DV167" s="677">
        <f t="shared" si="122"/>
        <v>0</v>
      </c>
      <c r="DW167" s="677">
        <f t="shared" si="166"/>
        <v>0</v>
      </c>
      <c r="DX167" s="678">
        <f t="shared" si="167"/>
        <v>0</v>
      </c>
      <c r="DY167" s="679">
        <f t="shared" si="168"/>
        <v>0</v>
      </c>
      <c r="DZ167" s="680"/>
      <c r="EA167" s="681"/>
      <c r="EB167" s="682"/>
      <c r="EC167" s="682"/>
      <c r="ED167" s="683"/>
      <c r="EE167" s="684"/>
      <c r="EF167" s="680"/>
      <c r="EG167" s="681"/>
      <c r="EH167" s="682"/>
      <c r="EI167" s="682"/>
      <c r="EJ167" s="683"/>
      <c r="EK167" s="684"/>
      <c r="EL167" s="680"/>
      <c r="EM167" s="681"/>
      <c r="EN167" s="682"/>
      <c r="EO167" s="682"/>
      <c r="EP167" s="683"/>
      <c r="EQ167" s="684"/>
      <c r="ER167" s="680"/>
      <c r="ES167" s="681"/>
      <c r="ET167" s="682"/>
      <c r="EU167" s="682"/>
      <c r="EV167" s="683"/>
      <c r="EW167" s="684"/>
      <c r="EX167" s="675"/>
      <c r="EY167" s="676">
        <f t="shared" si="123"/>
        <v>0</v>
      </c>
      <c r="EZ167" s="677">
        <f t="shared" si="124"/>
        <v>0</v>
      </c>
      <c r="FA167" s="677">
        <f t="shared" si="169"/>
        <v>0</v>
      </c>
      <c r="FB167" s="678">
        <f t="shared" si="170"/>
        <v>0</v>
      </c>
      <c r="FC167" s="679">
        <f t="shared" si="171"/>
        <v>0</v>
      </c>
      <c r="FD167" s="680"/>
      <c r="FE167" s="681"/>
      <c r="FF167" s="682"/>
      <c r="FG167" s="682"/>
      <c r="FH167" s="683"/>
      <c r="FI167" s="684"/>
      <c r="FJ167" s="680"/>
      <c r="FK167" s="681"/>
      <c r="FL167" s="682"/>
      <c r="FM167" s="682"/>
      <c r="FN167" s="683"/>
      <c r="FO167" s="684"/>
      <c r="FP167" s="680"/>
      <c r="FQ167" s="681"/>
      <c r="FR167" s="682"/>
      <c r="FS167" s="682"/>
      <c r="FT167" s="683"/>
      <c r="FU167" s="684"/>
      <c r="FV167" s="680"/>
      <c r="FW167" s="681"/>
      <c r="FX167" s="682"/>
      <c r="FY167" s="682"/>
      <c r="FZ167" s="683"/>
      <c r="GA167" s="684"/>
      <c r="GB167" s="675"/>
      <c r="GC167" s="676">
        <f t="shared" si="125"/>
        <v>0</v>
      </c>
      <c r="GD167" s="677">
        <f t="shared" si="126"/>
        <v>0</v>
      </c>
      <c r="GE167" s="677">
        <f t="shared" si="172"/>
        <v>0</v>
      </c>
      <c r="GF167" s="678">
        <f t="shared" si="173"/>
        <v>0</v>
      </c>
      <c r="GG167" s="679">
        <f t="shared" si="174"/>
        <v>0</v>
      </c>
      <c r="GH167" s="680"/>
      <c r="GI167" s="681"/>
      <c r="GJ167" s="682"/>
      <c r="GK167" s="682"/>
      <c r="GL167" s="683"/>
      <c r="GM167" s="684"/>
      <c r="GN167" s="680"/>
      <c r="GO167" s="681"/>
      <c r="GP167" s="682"/>
      <c r="GQ167" s="682"/>
      <c r="GR167" s="683"/>
      <c r="GS167" s="684"/>
      <c r="GT167" s="680"/>
      <c r="GU167" s="681"/>
      <c r="GV167" s="682"/>
      <c r="GW167" s="682"/>
      <c r="GX167" s="683"/>
      <c r="GY167" s="684"/>
      <c r="GZ167" s="680"/>
      <c r="HA167" s="147"/>
      <c r="HB167" s="148"/>
      <c r="HC167" s="148"/>
      <c r="HD167" s="149"/>
      <c r="HE167" s="150"/>
      <c r="HF167" s="506"/>
      <c r="HG167" s="502"/>
      <c r="HH167" s="502"/>
      <c r="HI167" s="502"/>
      <c r="HJ167" s="8"/>
    </row>
    <row r="168" spans="2:218" ht="21" hidden="1">
      <c r="B168" s="488">
        <v>124</v>
      </c>
      <c r="C168" s="489" t="s">
        <v>255</v>
      </c>
      <c r="D168" s="490" t="s">
        <v>268</v>
      </c>
      <c r="E168" s="491" t="s">
        <v>269</v>
      </c>
      <c r="F168" s="492"/>
      <c r="G168" s="493"/>
      <c r="H168" s="146" t="s">
        <v>97</v>
      </c>
      <c r="I168" s="494" t="str">
        <f t="shared" si="92"/>
        <v>n.v.t.</v>
      </c>
      <c r="J168" s="495" t="s">
        <v>487</v>
      </c>
      <c r="K168" s="151">
        <v>0.8</v>
      </c>
      <c r="L168" s="256">
        <f>IF($C$5&lt;3000,(Bron!H157*$C$5)+Bron!I157,(Bron!M157*$C$5)+Bron!N157)</f>
        <v>4992.2879999999996</v>
      </c>
      <c r="M168" s="256"/>
      <c r="N168" s="496">
        <f t="shared" si="175"/>
        <v>1503.603292</v>
      </c>
      <c r="O168" s="497">
        <f t="shared" si="176"/>
        <v>3.320216194365714</v>
      </c>
      <c r="P168" s="257">
        <f>IF($C$5&lt;3000,$AN$32*Bron!J157,$AN$32*Bron!O157)</f>
        <v>0</v>
      </c>
      <c r="Q168" s="257">
        <f>IF($C$5&lt;3000,$AN$31*Bron!K157,$AN$31*Bron!P157)</f>
        <v>5919.6980000000003</v>
      </c>
      <c r="R168" s="257">
        <f>IF($C$5&lt;3000,$AN$33*Bron!J157,$AN$33*Bron!O157)</f>
        <v>0</v>
      </c>
      <c r="S168" s="344"/>
      <c r="T168" s="258">
        <f t="shared" si="93"/>
        <v>0.8</v>
      </c>
      <c r="U168" s="259">
        <f t="shared" si="94"/>
        <v>0</v>
      </c>
      <c r="V168" s="675"/>
      <c r="W168" s="676">
        <f t="shared" si="95"/>
        <v>0</v>
      </c>
      <c r="X168" s="677">
        <f t="shared" si="96"/>
        <v>0</v>
      </c>
      <c r="Y168" s="677">
        <f t="shared" si="127"/>
        <v>0</v>
      </c>
      <c r="Z168" s="678">
        <f t="shared" si="128"/>
        <v>0</v>
      </c>
      <c r="AA168" s="679">
        <f t="shared" si="129"/>
        <v>0</v>
      </c>
      <c r="AB168" s="675"/>
      <c r="AC168" s="676">
        <f t="shared" si="97"/>
        <v>0</v>
      </c>
      <c r="AD168" s="677">
        <f t="shared" si="98"/>
        <v>0</v>
      </c>
      <c r="AE168" s="677">
        <f t="shared" si="130"/>
        <v>0</v>
      </c>
      <c r="AF168" s="678">
        <f t="shared" si="131"/>
        <v>0</v>
      </c>
      <c r="AG168" s="679">
        <f t="shared" si="132"/>
        <v>0</v>
      </c>
      <c r="AH168" s="675"/>
      <c r="AI168" s="676">
        <f t="shared" si="99"/>
        <v>0</v>
      </c>
      <c r="AJ168" s="677">
        <f t="shared" si="100"/>
        <v>0</v>
      </c>
      <c r="AK168" s="677">
        <f t="shared" si="133"/>
        <v>0</v>
      </c>
      <c r="AL168" s="678">
        <f t="shared" si="134"/>
        <v>0</v>
      </c>
      <c r="AM168" s="679">
        <f t="shared" si="135"/>
        <v>0</v>
      </c>
      <c r="AN168" s="675"/>
      <c r="AO168" s="676">
        <f t="shared" si="101"/>
        <v>0</v>
      </c>
      <c r="AP168" s="677">
        <f t="shared" si="102"/>
        <v>0</v>
      </c>
      <c r="AQ168" s="677">
        <f t="shared" si="136"/>
        <v>0</v>
      </c>
      <c r="AR168" s="678">
        <f t="shared" si="137"/>
        <v>0</v>
      </c>
      <c r="AS168" s="679">
        <f t="shared" si="138"/>
        <v>0</v>
      </c>
      <c r="AT168" s="675"/>
      <c r="AU168" s="676">
        <f t="shared" si="103"/>
        <v>0</v>
      </c>
      <c r="AV168" s="677">
        <f t="shared" si="104"/>
        <v>0</v>
      </c>
      <c r="AW168" s="677">
        <f t="shared" si="139"/>
        <v>0</v>
      </c>
      <c r="AX168" s="678">
        <f t="shared" si="140"/>
        <v>0</v>
      </c>
      <c r="AY168" s="679">
        <f t="shared" si="141"/>
        <v>0</v>
      </c>
      <c r="AZ168" s="675"/>
      <c r="BA168" s="676">
        <f t="shared" si="105"/>
        <v>0</v>
      </c>
      <c r="BB168" s="677">
        <f t="shared" si="106"/>
        <v>0</v>
      </c>
      <c r="BC168" s="677">
        <f t="shared" si="142"/>
        <v>0</v>
      </c>
      <c r="BD168" s="678">
        <f t="shared" si="143"/>
        <v>0</v>
      </c>
      <c r="BE168" s="679">
        <f t="shared" si="144"/>
        <v>0</v>
      </c>
      <c r="BF168" s="675"/>
      <c r="BG168" s="676">
        <f t="shared" si="107"/>
        <v>0</v>
      </c>
      <c r="BH168" s="677">
        <f t="shared" si="108"/>
        <v>0</v>
      </c>
      <c r="BI168" s="677">
        <f t="shared" si="145"/>
        <v>0</v>
      </c>
      <c r="BJ168" s="678">
        <f t="shared" si="146"/>
        <v>0</v>
      </c>
      <c r="BK168" s="679">
        <f t="shared" si="147"/>
        <v>0</v>
      </c>
      <c r="BL168" s="675"/>
      <c r="BM168" s="676">
        <f t="shared" si="109"/>
        <v>0</v>
      </c>
      <c r="BN168" s="677">
        <f t="shared" si="110"/>
        <v>0</v>
      </c>
      <c r="BO168" s="677">
        <f t="shared" si="148"/>
        <v>0</v>
      </c>
      <c r="BP168" s="678">
        <f t="shared" si="149"/>
        <v>0</v>
      </c>
      <c r="BQ168" s="679">
        <f t="shared" si="150"/>
        <v>0</v>
      </c>
      <c r="BR168" s="675"/>
      <c r="BS168" s="676">
        <f t="shared" si="111"/>
        <v>0</v>
      </c>
      <c r="BT168" s="677">
        <f t="shared" si="112"/>
        <v>0</v>
      </c>
      <c r="BU168" s="677">
        <f t="shared" si="151"/>
        <v>0</v>
      </c>
      <c r="BV168" s="678">
        <f t="shared" si="152"/>
        <v>0</v>
      </c>
      <c r="BW168" s="679">
        <f t="shared" si="153"/>
        <v>0</v>
      </c>
      <c r="BX168" s="675"/>
      <c r="BY168" s="676">
        <f t="shared" si="113"/>
        <v>0</v>
      </c>
      <c r="BZ168" s="677">
        <f t="shared" si="114"/>
        <v>0</v>
      </c>
      <c r="CA168" s="677">
        <f t="shared" si="154"/>
        <v>0</v>
      </c>
      <c r="CB168" s="678">
        <f t="shared" si="155"/>
        <v>0</v>
      </c>
      <c r="CC168" s="679">
        <f t="shared" si="156"/>
        <v>0</v>
      </c>
      <c r="CD168" s="675"/>
      <c r="CE168" s="676">
        <f t="shared" si="115"/>
        <v>0</v>
      </c>
      <c r="CF168" s="677">
        <f t="shared" si="116"/>
        <v>0</v>
      </c>
      <c r="CG168" s="677">
        <f t="shared" si="157"/>
        <v>0</v>
      </c>
      <c r="CH168" s="678">
        <f t="shared" si="158"/>
        <v>0</v>
      </c>
      <c r="CI168" s="679">
        <f t="shared" si="159"/>
        <v>0</v>
      </c>
      <c r="CJ168" s="675"/>
      <c r="CK168" s="676">
        <f t="shared" si="117"/>
        <v>0</v>
      </c>
      <c r="CL168" s="677">
        <f t="shared" si="118"/>
        <v>0</v>
      </c>
      <c r="CM168" s="677">
        <f t="shared" si="160"/>
        <v>0</v>
      </c>
      <c r="CN168" s="678">
        <f t="shared" si="161"/>
        <v>0</v>
      </c>
      <c r="CO168" s="679">
        <f t="shared" si="162"/>
        <v>0</v>
      </c>
      <c r="CP168" s="675"/>
      <c r="CQ168" s="676">
        <f t="shared" si="119"/>
        <v>0</v>
      </c>
      <c r="CR168" s="677">
        <f t="shared" si="120"/>
        <v>0</v>
      </c>
      <c r="CS168" s="677">
        <f t="shared" si="163"/>
        <v>0</v>
      </c>
      <c r="CT168" s="678">
        <f t="shared" si="164"/>
        <v>0</v>
      </c>
      <c r="CU168" s="679">
        <f t="shared" si="165"/>
        <v>0</v>
      </c>
      <c r="CV168" s="685"/>
      <c r="CW168" s="681"/>
      <c r="CX168" s="682"/>
      <c r="CY168" s="682"/>
      <c r="CZ168" s="683"/>
      <c r="DA168" s="684"/>
      <c r="DB168" s="685"/>
      <c r="DC168" s="681"/>
      <c r="DD168" s="682"/>
      <c r="DE168" s="682"/>
      <c r="DF168" s="683"/>
      <c r="DG168" s="684"/>
      <c r="DH168" s="685"/>
      <c r="DI168" s="681"/>
      <c r="DJ168" s="682"/>
      <c r="DK168" s="682"/>
      <c r="DL168" s="683"/>
      <c r="DM168" s="684"/>
      <c r="DN168" s="685"/>
      <c r="DO168" s="681"/>
      <c r="DP168" s="682"/>
      <c r="DQ168" s="682"/>
      <c r="DR168" s="683"/>
      <c r="DS168" s="684"/>
      <c r="DT168" s="675"/>
      <c r="DU168" s="676">
        <f t="shared" si="121"/>
        <v>0</v>
      </c>
      <c r="DV168" s="677">
        <f t="shared" si="122"/>
        <v>0</v>
      </c>
      <c r="DW168" s="677">
        <f t="shared" si="166"/>
        <v>0</v>
      </c>
      <c r="DX168" s="678">
        <f t="shared" si="167"/>
        <v>0</v>
      </c>
      <c r="DY168" s="679">
        <f t="shared" si="168"/>
        <v>0</v>
      </c>
      <c r="DZ168" s="680"/>
      <c r="EA168" s="681"/>
      <c r="EB168" s="682"/>
      <c r="EC168" s="682"/>
      <c r="ED168" s="683"/>
      <c r="EE168" s="684"/>
      <c r="EF168" s="680"/>
      <c r="EG168" s="681"/>
      <c r="EH168" s="682"/>
      <c r="EI168" s="682"/>
      <c r="EJ168" s="683"/>
      <c r="EK168" s="684"/>
      <c r="EL168" s="680"/>
      <c r="EM168" s="681"/>
      <c r="EN168" s="682"/>
      <c r="EO168" s="682"/>
      <c r="EP168" s="683"/>
      <c r="EQ168" s="684"/>
      <c r="ER168" s="680"/>
      <c r="ES168" s="681"/>
      <c r="ET168" s="682"/>
      <c r="EU168" s="682"/>
      <c r="EV168" s="683"/>
      <c r="EW168" s="684"/>
      <c r="EX168" s="675"/>
      <c r="EY168" s="676">
        <f t="shared" si="123"/>
        <v>0</v>
      </c>
      <c r="EZ168" s="677">
        <f t="shared" si="124"/>
        <v>0</v>
      </c>
      <c r="FA168" s="677">
        <f t="shared" si="169"/>
        <v>0</v>
      </c>
      <c r="FB168" s="678">
        <f t="shared" si="170"/>
        <v>0</v>
      </c>
      <c r="FC168" s="679">
        <f t="shared" si="171"/>
        <v>0</v>
      </c>
      <c r="FD168" s="680"/>
      <c r="FE168" s="681"/>
      <c r="FF168" s="682"/>
      <c r="FG168" s="682"/>
      <c r="FH168" s="683"/>
      <c r="FI168" s="684"/>
      <c r="FJ168" s="680"/>
      <c r="FK168" s="681"/>
      <c r="FL168" s="682"/>
      <c r="FM168" s="682"/>
      <c r="FN168" s="683"/>
      <c r="FO168" s="684"/>
      <c r="FP168" s="680"/>
      <c r="FQ168" s="681"/>
      <c r="FR168" s="682"/>
      <c r="FS168" s="682"/>
      <c r="FT168" s="683"/>
      <c r="FU168" s="684"/>
      <c r="FV168" s="680"/>
      <c r="FW168" s="681"/>
      <c r="FX168" s="682"/>
      <c r="FY168" s="682"/>
      <c r="FZ168" s="683"/>
      <c r="GA168" s="684"/>
      <c r="GB168" s="675"/>
      <c r="GC168" s="676">
        <f t="shared" si="125"/>
        <v>0</v>
      </c>
      <c r="GD168" s="677">
        <f t="shared" si="126"/>
        <v>0</v>
      </c>
      <c r="GE168" s="677">
        <f t="shared" si="172"/>
        <v>0</v>
      </c>
      <c r="GF168" s="678">
        <f t="shared" si="173"/>
        <v>0</v>
      </c>
      <c r="GG168" s="679">
        <f t="shared" si="174"/>
        <v>0</v>
      </c>
      <c r="GH168" s="680"/>
      <c r="GI168" s="681"/>
      <c r="GJ168" s="682"/>
      <c r="GK168" s="682"/>
      <c r="GL168" s="683"/>
      <c r="GM168" s="684"/>
      <c r="GN168" s="680"/>
      <c r="GO168" s="681"/>
      <c r="GP168" s="682"/>
      <c r="GQ168" s="682"/>
      <c r="GR168" s="683"/>
      <c r="GS168" s="684"/>
      <c r="GT168" s="680"/>
      <c r="GU168" s="681"/>
      <c r="GV168" s="682"/>
      <c r="GW168" s="682"/>
      <c r="GX168" s="683"/>
      <c r="GY168" s="684"/>
      <c r="GZ168" s="680"/>
      <c r="HA168" s="147"/>
      <c r="HB168" s="148"/>
      <c r="HC168" s="148"/>
      <c r="HD168" s="149"/>
      <c r="HE168" s="150"/>
      <c r="HF168" s="506"/>
      <c r="HG168" s="502"/>
      <c r="HH168" s="502"/>
      <c r="HI168" s="502"/>
      <c r="HJ168" s="8"/>
    </row>
    <row r="169" spans="2:218" ht="21" hidden="1">
      <c r="B169" s="488">
        <v>125</v>
      </c>
      <c r="C169" s="489" t="s">
        <v>255</v>
      </c>
      <c r="D169" s="490" t="s">
        <v>270</v>
      </c>
      <c r="E169" s="491" t="s">
        <v>271</v>
      </c>
      <c r="F169" s="492"/>
      <c r="G169" s="493"/>
      <c r="H169" s="146" t="s">
        <v>97</v>
      </c>
      <c r="I169" s="494" t="str">
        <f t="shared" si="92"/>
        <v>n.v.t.</v>
      </c>
      <c r="J169" s="495" t="s">
        <v>487</v>
      </c>
      <c r="K169" s="151">
        <v>0</v>
      </c>
      <c r="L169" s="256">
        <f>IF($C$5&lt;3000,(Bron!H158*$C$5)+Bron!I158,(Bron!M158*$C$5)+Bron!N158)</f>
        <v>625</v>
      </c>
      <c r="M169" s="256"/>
      <c r="N169" s="496">
        <f t="shared" si="175"/>
        <v>242.51666</v>
      </c>
      <c r="O169" s="497">
        <f t="shared" si="176"/>
        <v>2.5771425352798443</v>
      </c>
      <c r="P169" s="257">
        <f>IF($C$5&lt;3000,$AN$32*Bron!J158,$AN$32*Bron!O158)</f>
        <v>0</v>
      </c>
      <c r="Q169" s="257">
        <f>IF($C$5&lt;3000,$AN$31*Bron!K158,$AN$31*Bron!P158)</f>
        <v>954.79</v>
      </c>
      <c r="R169" s="257">
        <f>IF($C$5&lt;3000,$AN$33*Bron!J158,$AN$33*Bron!O158)</f>
        <v>0</v>
      </c>
      <c r="S169" s="344"/>
      <c r="T169" s="258">
        <f t="shared" si="93"/>
        <v>0</v>
      </c>
      <c r="U169" s="259">
        <f t="shared" si="94"/>
        <v>0</v>
      </c>
      <c r="V169" s="675"/>
      <c r="W169" s="676">
        <f t="shared" si="95"/>
        <v>0</v>
      </c>
      <c r="X169" s="677">
        <f t="shared" si="96"/>
        <v>0</v>
      </c>
      <c r="Y169" s="677">
        <f t="shared" si="127"/>
        <v>0</v>
      </c>
      <c r="Z169" s="678">
        <f t="shared" si="128"/>
        <v>0</v>
      </c>
      <c r="AA169" s="679">
        <f t="shared" si="129"/>
        <v>0</v>
      </c>
      <c r="AB169" s="675"/>
      <c r="AC169" s="676">
        <f t="shared" si="97"/>
        <v>0</v>
      </c>
      <c r="AD169" s="677">
        <f t="shared" si="98"/>
        <v>0</v>
      </c>
      <c r="AE169" s="677">
        <f t="shared" si="130"/>
        <v>0</v>
      </c>
      <c r="AF169" s="678">
        <f t="shared" si="131"/>
        <v>0</v>
      </c>
      <c r="AG169" s="679">
        <f t="shared" si="132"/>
        <v>0</v>
      </c>
      <c r="AH169" s="675"/>
      <c r="AI169" s="676">
        <f t="shared" si="99"/>
        <v>0</v>
      </c>
      <c r="AJ169" s="677">
        <f t="shared" si="100"/>
        <v>0</v>
      </c>
      <c r="AK169" s="677">
        <f t="shared" si="133"/>
        <v>0</v>
      </c>
      <c r="AL169" s="678">
        <f t="shared" si="134"/>
        <v>0</v>
      </c>
      <c r="AM169" s="679">
        <f t="shared" si="135"/>
        <v>0</v>
      </c>
      <c r="AN169" s="675"/>
      <c r="AO169" s="676">
        <f t="shared" si="101"/>
        <v>0</v>
      </c>
      <c r="AP169" s="677">
        <f t="shared" si="102"/>
        <v>0</v>
      </c>
      <c r="AQ169" s="677">
        <f t="shared" si="136"/>
        <v>0</v>
      </c>
      <c r="AR169" s="678">
        <f t="shared" si="137"/>
        <v>0</v>
      </c>
      <c r="AS169" s="679">
        <f t="shared" si="138"/>
        <v>0</v>
      </c>
      <c r="AT169" s="675"/>
      <c r="AU169" s="676">
        <f t="shared" si="103"/>
        <v>0</v>
      </c>
      <c r="AV169" s="677">
        <f t="shared" si="104"/>
        <v>0</v>
      </c>
      <c r="AW169" s="677">
        <f t="shared" si="139"/>
        <v>0</v>
      </c>
      <c r="AX169" s="678">
        <f t="shared" si="140"/>
        <v>0</v>
      </c>
      <c r="AY169" s="679">
        <f t="shared" si="141"/>
        <v>0</v>
      </c>
      <c r="AZ169" s="675"/>
      <c r="BA169" s="676">
        <f t="shared" si="105"/>
        <v>0</v>
      </c>
      <c r="BB169" s="677">
        <f t="shared" si="106"/>
        <v>0</v>
      </c>
      <c r="BC169" s="677">
        <f t="shared" si="142"/>
        <v>0</v>
      </c>
      <c r="BD169" s="678">
        <f t="shared" si="143"/>
        <v>0</v>
      </c>
      <c r="BE169" s="679">
        <f t="shared" si="144"/>
        <v>0</v>
      </c>
      <c r="BF169" s="675"/>
      <c r="BG169" s="676">
        <f t="shared" si="107"/>
        <v>0</v>
      </c>
      <c r="BH169" s="677">
        <f t="shared" si="108"/>
        <v>0</v>
      </c>
      <c r="BI169" s="677">
        <f t="shared" si="145"/>
        <v>0</v>
      </c>
      <c r="BJ169" s="678">
        <f t="shared" si="146"/>
        <v>0</v>
      </c>
      <c r="BK169" s="679">
        <f t="shared" si="147"/>
        <v>0</v>
      </c>
      <c r="BL169" s="675"/>
      <c r="BM169" s="676">
        <f t="shared" si="109"/>
        <v>0</v>
      </c>
      <c r="BN169" s="677">
        <f t="shared" si="110"/>
        <v>0</v>
      </c>
      <c r="BO169" s="677">
        <f t="shared" si="148"/>
        <v>0</v>
      </c>
      <c r="BP169" s="678">
        <f t="shared" si="149"/>
        <v>0</v>
      </c>
      <c r="BQ169" s="679">
        <f t="shared" si="150"/>
        <v>0</v>
      </c>
      <c r="BR169" s="675"/>
      <c r="BS169" s="676">
        <f t="shared" si="111"/>
        <v>0</v>
      </c>
      <c r="BT169" s="677">
        <f t="shared" si="112"/>
        <v>0</v>
      </c>
      <c r="BU169" s="677">
        <f t="shared" si="151"/>
        <v>0</v>
      </c>
      <c r="BV169" s="678">
        <f t="shared" si="152"/>
        <v>0</v>
      </c>
      <c r="BW169" s="679">
        <f t="shared" si="153"/>
        <v>0</v>
      </c>
      <c r="BX169" s="675"/>
      <c r="BY169" s="676">
        <f t="shared" si="113"/>
        <v>0</v>
      </c>
      <c r="BZ169" s="677">
        <f t="shared" si="114"/>
        <v>0</v>
      </c>
      <c r="CA169" s="677">
        <f t="shared" si="154"/>
        <v>0</v>
      </c>
      <c r="CB169" s="678">
        <f t="shared" si="155"/>
        <v>0</v>
      </c>
      <c r="CC169" s="679">
        <f t="shared" si="156"/>
        <v>0</v>
      </c>
      <c r="CD169" s="675"/>
      <c r="CE169" s="676">
        <f t="shared" si="115"/>
        <v>0</v>
      </c>
      <c r="CF169" s="677">
        <f t="shared" si="116"/>
        <v>0</v>
      </c>
      <c r="CG169" s="677">
        <f t="shared" si="157"/>
        <v>0</v>
      </c>
      <c r="CH169" s="678">
        <f t="shared" si="158"/>
        <v>0</v>
      </c>
      <c r="CI169" s="679">
        <f t="shared" si="159"/>
        <v>0</v>
      </c>
      <c r="CJ169" s="675"/>
      <c r="CK169" s="676">
        <f t="shared" si="117"/>
        <v>0</v>
      </c>
      <c r="CL169" s="677">
        <f t="shared" si="118"/>
        <v>0</v>
      </c>
      <c r="CM169" s="677">
        <f t="shared" si="160"/>
        <v>0</v>
      </c>
      <c r="CN169" s="678">
        <f t="shared" si="161"/>
        <v>0</v>
      </c>
      <c r="CO169" s="679">
        <f t="shared" si="162"/>
        <v>0</v>
      </c>
      <c r="CP169" s="675"/>
      <c r="CQ169" s="676">
        <f t="shared" si="119"/>
        <v>0</v>
      </c>
      <c r="CR169" s="677">
        <f t="shared" si="120"/>
        <v>0</v>
      </c>
      <c r="CS169" s="677">
        <f t="shared" si="163"/>
        <v>0</v>
      </c>
      <c r="CT169" s="678">
        <f t="shared" si="164"/>
        <v>0</v>
      </c>
      <c r="CU169" s="679">
        <f t="shared" si="165"/>
        <v>0</v>
      </c>
      <c r="CV169" s="685"/>
      <c r="CW169" s="681"/>
      <c r="CX169" s="682"/>
      <c r="CY169" s="682"/>
      <c r="CZ169" s="683"/>
      <c r="DA169" s="684"/>
      <c r="DB169" s="685"/>
      <c r="DC169" s="681"/>
      <c r="DD169" s="682"/>
      <c r="DE169" s="682"/>
      <c r="DF169" s="683"/>
      <c r="DG169" s="684"/>
      <c r="DH169" s="685"/>
      <c r="DI169" s="681"/>
      <c r="DJ169" s="682"/>
      <c r="DK169" s="682"/>
      <c r="DL169" s="683"/>
      <c r="DM169" s="684"/>
      <c r="DN169" s="685"/>
      <c r="DO169" s="681"/>
      <c r="DP169" s="682"/>
      <c r="DQ169" s="682"/>
      <c r="DR169" s="683"/>
      <c r="DS169" s="684"/>
      <c r="DT169" s="675"/>
      <c r="DU169" s="676">
        <f t="shared" si="121"/>
        <v>0</v>
      </c>
      <c r="DV169" s="677">
        <f t="shared" si="122"/>
        <v>0</v>
      </c>
      <c r="DW169" s="677">
        <f t="shared" si="166"/>
        <v>0</v>
      </c>
      <c r="DX169" s="678">
        <f t="shared" si="167"/>
        <v>0</v>
      </c>
      <c r="DY169" s="679">
        <f t="shared" si="168"/>
        <v>0</v>
      </c>
      <c r="DZ169" s="680"/>
      <c r="EA169" s="681"/>
      <c r="EB169" s="682"/>
      <c r="EC169" s="682"/>
      <c r="ED169" s="683"/>
      <c r="EE169" s="684"/>
      <c r="EF169" s="680"/>
      <c r="EG169" s="681"/>
      <c r="EH169" s="682"/>
      <c r="EI169" s="682"/>
      <c r="EJ169" s="683"/>
      <c r="EK169" s="684"/>
      <c r="EL169" s="680"/>
      <c r="EM169" s="681"/>
      <c r="EN169" s="682"/>
      <c r="EO169" s="682"/>
      <c r="EP169" s="683"/>
      <c r="EQ169" s="684"/>
      <c r="ER169" s="680"/>
      <c r="ES169" s="681"/>
      <c r="ET169" s="682"/>
      <c r="EU169" s="682"/>
      <c r="EV169" s="683"/>
      <c r="EW169" s="684"/>
      <c r="EX169" s="675"/>
      <c r="EY169" s="676">
        <f t="shared" si="123"/>
        <v>0</v>
      </c>
      <c r="EZ169" s="677">
        <f t="shared" si="124"/>
        <v>0</v>
      </c>
      <c r="FA169" s="677">
        <f t="shared" si="169"/>
        <v>0</v>
      </c>
      <c r="FB169" s="678">
        <f t="shared" si="170"/>
        <v>0</v>
      </c>
      <c r="FC169" s="679">
        <f t="shared" si="171"/>
        <v>0</v>
      </c>
      <c r="FD169" s="680"/>
      <c r="FE169" s="681"/>
      <c r="FF169" s="682"/>
      <c r="FG169" s="682"/>
      <c r="FH169" s="683"/>
      <c r="FI169" s="684"/>
      <c r="FJ169" s="680"/>
      <c r="FK169" s="681"/>
      <c r="FL169" s="682"/>
      <c r="FM169" s="682"/>
      <c r="FN169" s="683"/>
      <c r="FO169" s="684"/>
      <c r="FP169" s="680"/>
      <c r="FQ169" s="681"/>
      <c r="FR169" s="682"/>
      <c r="FS169" s="682"/>
      <c r="FT169" s="683"/>
      <c r="FU169" s="684"/>
      <c r="FV169" s="680"/>
      <c r="FW169" s="681"/>
      <c r="FX169" s="682"/>
      <c r="FY169" s="682"/>
      <c r="FZ169" s="683"/>
      <c r="GA169" s="684"/>
      <c r="GB169" s="675"/>
      <c r="GC169" s="676">
        <f t="shared" si="125"/>
        <v>0</v>
      </c>
      <c r="GD169" s="677">
        <f t="shared" si="126"/>
        <v>0</v>
      </c>
      <c r="GE169" s="677">
        <f t="shared" si="172"/>
        <v>0</v>
      </c>
      <c r="GF169" s="678">
        <f t="shared" si="173"/>
        <v>0</v>
      </c>
      <c r="GG169" s="679">
        <f t="shared" si="174"/>
        <v>0</v>
      </c>
      <c r="GH169" s="680"/>
      <c r="GI169" s="681"/>
      <c r="GJ169" s="682"/>
      <c r="GK169" s="682"/>
      <c r="GL169" s="683"/>
      <c r="GM169" s="684"/>
      <c r="GN169" s="680"/>
      <c r="GO169" s="681"/>
      <c r="GP169" s="682"/>
      <c r="GQ169" s="682"/>
      <c r="GR169" s="683"/>
      <c r="GS169" s="684"/>
      <c r="GT169" s="680"/>
      <c r="GU169" s="681"/>
      <c r="GV169" s="682"/>
      <c r="GW169" s="682"/>
      <c r="GX169" s="683"/>
      <c r="GY169" s="684"/>
      <c r="GZ169" s="680"/>
      <c r="HA169" s="147"/>
      <c r="HB169" s="148"/>
      <c r="HC169" s="148"/>
      <c r="HD169" s="149"/>
      <c r="HE169" s="150"/>
      <c r="HF169" s="506"/>
      <c r="HG169" s="502"/>
      <c r="HH169" s="502"/>
      <c r="HI169" s="502"/>
      <c r="HJ169" s="8"/>
    </row>
    <row r="170" spans="2:218" ht="21" hidden="1">
      <c r="B170" s="488">
        <v>126</v>
      </c>
      <c r="C170" s="489" t="s">
        <v>255</v>
      </c>
      <c r="D170" s="490" t="s">
        <v>272</v>
      </c>
      <c r="E170" s="491" t="s">
        <v>273</v>
      </c>
      <c r="F170" s="492"/>
      <c r="G170" s="493"/>
      <c r="H170" s="146" t="s">
        <v>97</v>
      </c>
      <c r="I170" s="494" t="str">
        <f t="shared" si="92"/>
        <v>n.v.t.</v>
      </c>
      <c r="J170" s="495" t="s">
        <v>487</v>
      </c>
      <c r="K170" s="151">
        <v>0.8</v>
      </c>
      <c r="L170" s="256">
        <f>IF($C$5&lt;3000,(Bron!H159*$C$5)+Bron!I159,(Bron!M159*$C$5)+Bron!N159)</f>
        <v>650</v>
      </c>
      <c r="M170" s="256"/>
      <c r="N170" s="496">
        <f t="shared" si="175"/>
        <v>291.019992</v>
      </c>
      <c r="O170" s="497">
        <f t="shared" si="176"/>
        <v>2.2335235305758649</v>
      </c>
      <c r="P170" s="257">
        <f>IF($C$5&lt;3000,$AN$32*Bron!J159,$AN$32*Bron!O159)</f>
        <v>0</v>
      </c>
      <c r="Q170" s="257">
        <f>IF($C$5&lt;3000,$AN$31*Bron!K159,$AN$31*Bron!P159)</f>
        <v>1145.748</v>
      </c>
      <c r="R170" s="257">
        <f>IF($C$5&lt;3000,$AN$33*Bron!J159,$AN$33*Bron!O159)</f>
        <v>0</v>
      </c>
      <c r="S170" s="344"/>
      <c r="T170" s="258">
        <f t="shared" si="93"/>
        <v>0.8</v>
      </c>
      <c r="U170" s="259">
        <f t="shared" si="94"/>
        <v>0</v>
      </c>
      <c r="V170" s="675"/>
      <c r="W170" s="676">
        <f t="shared" si="95"/>
        <v>0</v>
      </c>
      <c r="X170" s="677">
        <f t="shared" si="96"/>
        <v>0</v>
      </c>
      <c r="Y170" s="677">
        <f t="shared" si="127"/>
        <v>0</v>
      </c>
      <c r="Z170" s="678">
        <f t="shared" si="128"/>
        <v>0</v>
      </c>
      <c r="AA170" s="679">
        <f t="shared" si="129"/>
        <v>0</v>
      </c>
      <c r="AB170" s="675"/>
      <c r="AC170" s="676">
        <f t="shared" si="97"/>
        <v>0</v>
      </c>
      <c r="AD170" s="677">
        <f t="shared" si="98"/>
        <v>0</v>
      </c>
      <c r="AE170" s="677">
        <f t="shared" si="130"/>
        <v>0</v>
      </c>
      <c r="AF170" s="678">
        <f t="shared" si="131"/>
        <v>0</v>
      </c>
      <c r="AG170" s="679">
        <f t="shared" si="132"/>
        <v>0</v>
      </c>
      <c r="AH170" s="675"/>
      <c r="AI170" s="676">
        <f t="shared" si="99"/>
        <v>0</v>
      </c>
      <c r="AJ170" s="677">
        <f t="shared" si="100"/>
        <v>0</v>
      </c>
      <c r="AK170" s="677">
        <f t="shared" si="133"/>
        <v>0</v>
      </c>
      <c r="AL170" s="678">
        <f t="shared" si="134"/>
        <v>0</v>
      </c>
      <c r="AM170" s="679">
        <f t="shared" si="135"/>
        <v>0</v>
      </c>
      <c r="AN170" s="675"/>
      <c r="AO170" s="676">
        <f t="shared" si="101"/>
        <v>0</v>
      </c>
      <c r="AP170" s="677">
        <f t="shared" si="102"/>
        <v>0</v>
      </c>
      <c r="AQ170" s="677">
        <f t="shared" si="136"/>
        <v>0</v>
      </c>
      <c r="AR170" s="678">
        <f t="shared" si="137"/>
        <v>0</v>
      </c>
      <c r="AS170" s="679">
        <f t="shared" si="138"/>
        <v>0</v>
      </c>
      <c r="AT170" s="675"/>
      <c r="AU170" s="676">
        <f t="shared" si="103"/>
        <v>0</v>
      </c>
      <c r="AV170" s="677">
        <f t="shared" si="104"/>
        <v>0</v>
      </c>
      <c r="AW170" s="677">
        <f t="shared" si="139"/>
        <v>0</v>
      </c>
      <c r="AX170" s="678">
        <f t="shared" si="140"/>
        <v>0</v>
      </c>
      <c r="AY170" s="679">
        <f t="shared" si="141"/>
        <v>0</v>
      </c>
      <c r="AZ170" s="675"/>
      <c r="BA170" s="676">
        <f t="shared" si="105"/>
        <v>0</v>
      </c>
      <c r="BB170" s="677">
        <f t="shared" si="106"/>
        <v>0</v>
      </c>
      <c r="BC170" s="677">
        <f t="shared" si="142"/>
        <v>0</v>
      </c>
      <c r="BD170" s="678">
        <f t="shared" si="143"/>
        <v>0</v>
      </c>
      <c r="BE170" s="679">
        <f t="shared" si="144"/>
        <v>0</v>
      </c>
      <c r="BF170" s="675"/>
      <c r="BG170" s="676">
        <f t="shared" si="107"/>
        <v>0</v>
      </c>
      <c r="BH170" s="677">
        <f t="shared" si="108"/>
        <v>0</v>
      </c>
      <c r="BI170" s="677">
        <f t="shared" si="145"/>
        <v>0</v>
      </c>
      <c r="BJ170" s="678">
        <f t="shared" si="146"/>
        <v>0</v>
      </c>
      <c r="BK170" s="679">
        <f t="shared" si="147"/>
        <v>0</v>
      </c>
      <c r="BL170" s="675"/>
      <c r="BM170" s="676">
        <f t="shared" si="109"/>
        <v>0</v>
      </c>
      <c r="BN170" s="677">
        <f t="shared" si="110"/>
        <v>0</v>
      </c>
      <c r="BO170" s="677">
        <f t="shared" si="148"/>
        <v>0</v>
      </c>
      <c r="BP170" s="678">
        <f t="shared" si="149"/>
        <v>0</v>
      </c>
      <c r="BQ170" s="679">
        <f t="shared" si="150"/>
        <v>0</v>
      </c>
      <c r="BR170" s="675"/>
      <c r="BS170" s="676">
        <f t="shared" si="111"/>
        <v>0</v>
      </c>
      <c r="BT170" s="677">
        <f t="shared" si="112"/>
        <v>0</v>
      </c>
      <c r="BU170" s="677">
        <f t="shared" si="151"/>
        <v>0</v>
      </c>
      <c r="BV170" s="678">
        <f t="shared" si="152"/>
        <v>0</v>
      </c>
      <c r="BW170" s="679">
        <f t="shared" si="153"/>
        <v>0</v>
      </c>
      <c r="BX170" s="675"/>
      <c r="BY170" s="676">
        <f t="shared" si="113"/>
        <v>0</v>
      </c>
      <c r="BZ170" s="677">
        <f t="shared" si="114"/>
        <v>0</v>
      </c>
      <c r="CA170" s="677">
        <f t="shared" si="154"/>
        <v>0</v>
      </c>
      <c r="CB170" s="678">
        <f t="shared" si="155"/>
        <v>0</v>
      </c>
      <c r="CC170" s="679">
        <f t="shared" si="156"/>
        <v>0</v>
      </c>
      <c r="CD170" s="675"/>
      <c r="CE170" s="676">
        <f t="shared" si="115"/>
        <v>0</v>
      </c>
      <c r="CF170" s="677">
        <f t="shared" si="116"/>
        <v>0</v>
      </c>
      <c r="CG170" s="677">
        <f t="shared" si="157"/>
        <v>0</v>
      </c>
      <c r="CH170" s="678">
        <f t="shared" si="158"/>
        <v>0</v>
      </c>
      <c r="CI170" s="679">
        <f t="shared" si="159"/>
        <v>0</v>
      </c>
      <c r="CJ170" s="675"/>
      <c r="CK170" s="676">
        <f t="shared" si="117"/>
        <v>0</v>
      </c>
      <c r="CL170" s="677">
        <f t="shared" si="118"/>
        <v>0</v>
      </c>
      <c r="CM170" s="677">
        <f t="shared" si="160"/>
        <v>0</v>
      </c>
      <c r="CN170" s="678">
        <f t="shared" si="161"/>
        <v>0</v>
      </c>
      <c r="CO170" s="679">
        <f t="shared" si="162"/>
        <v>0</v>
      </c>
      <c r="CP170" s="675"/>
      <c r="CQ170" s="676">
        <f t="shared" si="119"/>
        <v>0</v>
      </c>
      <c r="CR170" s="677">
        <f t="shared" si="120"/>
        <v>0</v>
      </c>
      <c r="CS170" s="677">
        <f t="shared" si="163"/>
        <v>0</v>
      </c>
      <c r="CT170" s="678">
        <f t="shared" si="164"/>
        <v>0</v>
      </c>
      <c r="CU170" s="679">
        <f t="shared" si="165"/>
        <v>0</v>
      </c>
      <c r="CV170" s="685"/>
      <c r="CW170" s="681"/>
      <c r="CX170" s="682"/>
      <c r="CY170" s="682"/>
      <c r="CZ170" s="683"/>
      <c r="DA170" s="684"/>
      <c r="DB170" s="685"/>
      <c r="DC170" s="681"/>
      <c r="DD170" s="682"/>
      <c r="DE170" s="682"/>
      <c r="DF170" s="683"/>
      <c r="DG170" s="684"/>
      <c r="DH170" s="685"/>
      <c r="DI170" s="681"/>
      <c r="DJ170" s="682"/>
      <c r="DK170" s="682"/>
      <c r="DL170" s="683"/>
      <c r="DM170" s="684"/>
      <c r="DN170" s="685"/>
      <c r="DO170" s="681"/>
      <c r="DP170" s="682"/>
      <c r="DQ170" s="682"/>
      <c r="DR170" s="683"/>
      <c r="DS170" s="684"/>
      <c r="DT170" s="675"/>
      <c r="DU170" s="676">
        <f t="shared" si="121"/>
        <v>0</v>
      </c>
      <c r="DV170" s="677">
        <f t="shared" si="122"/>
        <v>0</v>
      </c>
      <c r="DW170" s="677">
        <f t="shared" si="166"/>
        <v>0</v>
      </c>
      <c r="DX170" s="678">
        <f t="shared" si="167"/>
        <v>0</v>
      </c>
      <c r="DY170" s="679">
        <f t="shared" si="168"/>
        <v>0</v>
      </c>
      <c r="DZ170" s="680"/>
      <c r="EA170" s="681"/>
      <c r="EB170" s="682"/>
      <c r="EC170" s="682"/>
      <c r="ED170" s="683"/>
      <c r="EE170" s="684"/>
      <c r="EF170" s="680"/>
      <c r="EG170" s="681"/>
      <c r="EH170" s="682"/>
      <c r="EI170" s="682"/>
      <c r="EJ170" s="683"/>
      <c r="EK170" s="684"/>
      <c r="EL170" s="680"/>
      <c r="EM170" s="681"/>
      <c r="EN170" s="682"/>
      <c r="EO170" s="682"/>
      <c r="EP170" s="683"/>
      <c r="EQ170" s="684"/>
      <c r="ER170" s="680"/>
      <c r="ES170" s="681"/>
      <c r="ET170" s="682"/>
      <c r="EU170" s="682"/>
      <c r="EV170" s="683"/>
      <c r="EW170" s="684"/>
      <c r="EX170" s="675"/>
      <c r="EY170" s="676">
        <f t="shared" si="123"/>
        <v>0</v>
      </c>
      <c r="EZ170" s="677">
        <f t="shared" si="124"/>
        <v>0</v>
      </c>
      <c r="FA170" s="677">
        <f t="shared" si="169"/>
        <v>0</v>
      </c>
      <c r="FB170" s="678">
        <f t="shared" si="170"/>
        <v>0</v>
      </c>
      <c r="FC170" s="679">
        <f t="shared" si="171"/>
        <v>0</v>
      </c>
      <c r="FD170" s="680"/>
      <c r="FE170" s="681"/>
      <c r="FF170" s="682"/>
      <c r="FG170" s="682"/>
      <c r="FH170" s="683"/>
      <c r="FI170" s="684"/>
      <c r="FJ170" s="680"/>
      <c r="FK170" s="681"/>
      <c r="FL170" s="682"/>
      <c r="FM170" s="682"/>
      <c r="FN170" s="683"/>
      <c r="FO170" s="684"/>
      <c r="FP170" s="680"/>
      <c r="FQ170" s="681"/>
      <c r="FR170" s="682"/>
      <c r="FS170" s="682"/>
      <c r="FT170" s="683"/>
      <c r="FU170" s="684"/>
      <c r="FV170" s="680"/>
      <c r="FW170" s="681"/>
      <c r="FX170" s="682"/>
      <c r="FY170" s="682"/>
      <c r="FZ170" s="683"/>
      <c r="GA170" s="684"/>
      <c r="GB170" s="675"/>
      <c r="GC170" s="676">
        <f t="shared" si="125"/>
        <v>0</v>
      </c>
      <c r="GD170" s="677">
        <f t="shared" si="126"/>
        <v>0</v>
      </c>
      <c r="GE170" s="677">
        <f t="shared" si="172"/>
        <v>0</v>
      </c>
      <c r="GF170" s="678">
        <f t="shared" si="173"/>
        <v>0</v>
      </c>
      <c r="GG170" s="679">
        <f t="shared" si="174"/>
        <v>0</v>
      </c>
      <c r="GH170" s="680"/>
      <c r="GI170" s="681"/>
      <c r="GJ170" s="682"/>
      <c r="GK170" s="682"/>
      <c r="GL170" s="683"/>
      <c r="GM170" s="684"/>
      <c r="GN170" s="680"/>
      <c r="GO170" s="681"/>
      <c r="GP170" s="682"/>
      <c r="GQ170" s="682"/>
      <c r="GR170" s="683"/>
      <c r="GS170" s="684"/>
      <c r="GT170" s="680"/>
      <c r="GU170" s="681"/>
      <c r="GV170" s="682"/>
      <c r="GW170" s="682"/>
      <c r="GX170" s="683"/>
      <c r="GY170" s="684"/>
      <c r="GZ170" s="680"/>
      <c r="HA170" s="147"/>
      <c r="HB170" s="148"/>
      <c r="HC170" s="148"/>
      <c r="HD170" s="149"/>
      <c r="HE170" s="150"/>
      <c r="HF170" s="506"/>
      <c r="HG170" s="502"/>
      <c r="HH170" s="502"/>
      <c r="HI170" s="502"/>
      <c r="HJ170" s="8"/>
    </row>
    <row r="171" spans="2:218" ht="21" hidden="1">
      <c r="B171" s="488">
        <v>127</v>
      </c>
      <c r="C171" s="489" t="s">
        <v>255</v>
      </c>
      <c r="D171" s="490" t="s">
        <v>274</v>
      </c>
      <c r="E171" s="491" t="s">
        <v>275</v>
      </c>
      <c r="F171" s="492"/>
      <c r="G171" s="493"/>
      <c r="H171" s="146" t="s">
        <v>97</v>
      </c>
      <c r="I171" s="494" t="str">
        <f t="shared" si="92"/>
        <v>n.v.t.</v>
      </c>
      <c r="J171" s="495" t="s">
        <v>487</v>
      </c>
      <c r="K171" s="151">
        <v>0</v>
      </c>
      <c r="L171" s="256">
        <f>IF($C$5&lt;3000,(Bron!H160*$C$5)+Bron!I160,(Bron!M160*$C$5)+Bron!N160)</f>
        <v>1000</v>
      </c>
      <c r="M171" s="256"/>
      <c r="N171" s="496">
        <f t="shared" si="175"/>
        <v>339.52332400000006</v>
      </c>
      <c r="O171" s="497">
        <f t="shared" si="176"/>
        <v>2.9453057546055357</v>
      </c>
      <c r="P171" s="257">
        <f>IF($C$5&lt;3000,$AN$32*Bron!J160,$AN$32*Bron!O160)</f>
        <v>0</v>
      </c>
      <c r="Q171" s="257">
        <f>IF($C$5&lt;3000,$AN$31*Bron!K160,$AN$31*Bron!P160)</f>
        <v>1336.7060000000001</v>
      </c>
      <c r="R171" s="257">
        <f>IF($C$5&lt;3000,$AN$33*Bron!J160,$AN$33*Bron!O160)</f>
        <v>0</v>
      </c>
      <c r="S171" s="344"/>
      <c r="T171" s="258">
        <f t="shared" si="93"/>
        <v>0</v>
      </c>
      <c r="U171" s="259">
        <f t="shared" si="94"/>
        <v>0</v>
      </c>
      <c r="V171" s="675"/>
      <c r="W171" s="676">
        <f t="shared" si="95"/>
        <v>0</v>
      </c>
      <c r="X171" s="677">
        <f t="shared" si="96"/>
        <v>0</v>
      </c>
      <c r="Y171" s="677">
        <f t="shared" si="127"/>
        <v>0</v>
      </c>
      <c r="Z171" s="678">
        <f t="shared" si="128"/>
        <v>0</v>
      </c>
      <c r="AA171" s="679">
        <f t="shared" si="129"/>
        <v>0</v>
      </c>
      <c r="AB171" s="675"/>
      <c r="AC171" s="676">
        <f t="shared" si="97"/>
        <v>0</v>
      </c>
      <c r="AD171" s="677">
        <f t="shared" si="98"/>
        <v>0</v>
      </c>
      <c r="AE171" s="677">
        <f t="shared" si="130"/>
        <v>0</v>
      </c>
      <c r="AF171" s="678">
        <f t="shared" si="131"/>
        <v>0</v>
      </c>
      <c r="AG171" s="679">
        <f t="shared" si="132"/>
        <v>0</v>
      </c>
      <c r="AH171" s="675"/>
      <c r="AI171" s="676">
        <f t="shared" si="99"/>
        <v>0</v>
      </c>
      <c r="AJ171" s="677">
        <f t="shared" si="100"/>
        <v>0</v>
      </c>
      <c r="AK171" s="677">
        <f t="shared" si="133"/>
        <v>0</v>
      </c>
      <c r="AL171" s="678">
        <f t="shared" si="134"/>
        <v>0</v>
      </c>
      <c r="AM171" s="679">
        <f t="shared" si="135"/>
        <v>0</v>
      </c>
      <c r="AN171" s="675"/>
      <c r="AO171" s="676">
        <f t="shared" si="101"/>
        <v>0</v>
      </c>
      <c r="AP171" s="677">
        <f t="shared" si="102"/>
        <v>0</v>
      </c>
      <c r="AQ171" s="677">
        <f t="shared" si="136"/>
        <v>0</v>
      </c>
      <c r="AR171" s="678">
        <f t="shared" si="137"/>
        <v>0</v>
      </c>
      <c r="AS171" s="679">
        <f t="shared" si="138"/>
        <v>0</v>
      </c>
      <c r="AT171" s="675"/>
      <c r="AU171" s="676">
        <f t="shared" si="103"/>
        <v>0</v>
      </c>
      <c r="AV171" s="677">
        <f t="shared" si="104"/>
        <v>0</v>
      </c>
      <c r="AW171" s="677">
        <f t="shared" si="139"/>
        <v>0</v>
      </c>
      <c r="AX171" s="678">
        <f t="shared" si="140"/>
        <v>0</v>
      </c>
      <c r="AY171" s="679">
        <f t="shared" si="141"/>
        <v>0</v>
      </c>
      <c r="AZ171" s="675"/>
      <c r="BA171" s="676">
        <f t="shared" si="105"/>
        <v>0</v>
      </c>
      <c r="BB171" s="677">
        <f t="shared" si="106"/>
        <v>0</v>
      </c>
      <c r="BC171" s="677">
        <f t="shared" si="142"/>
        <v>0</v>
      </c>
      <c r="BD171" s="678">
        <f t="shared" si="143"/>
        <v>0</v>
      </c>
      <c r="BE171" s="679">
        <f t="shared" si="144"/>
        <v>0</v>
      </c>
      <c r="BF171" s="675"/>
      <c r="BG171" s="676">
        <f t="shared" si="107"/>
        <v>0</v>
      </c>
      <c r="BH171" s="677">
        <f t="shared" si="108"/>
        <v>0</v>
      </c>
      <c r="BI171" s="677">
        <f t="shared" si="145"/>
        <v>0</v>
      </c>
      <c r="BJ171" s="678">
        <f t="shared" si="146"/>
        <v>0</v>
      </c>
      <c r="BK171" s="679">
        <f t="shared" si="147"/>
        <v>0</v>
      </c>
      <c r="BL171" s="675"/>
      <c r="BM171" s="676">
        <f t="shared" si="109"/>
        <v>0</v>
      </c>
      <c r="BN171" s="677">
        <f t="shared" si="110"/>
        <v>0</v>
      </c>
      <c r="BO171" s="677">
        <f t="shared" si="148"/>
        <v>0</v>
      </c>
      <c r="BP171" s="678">
        <f t="shared" si="149"/>
        <v>0</v>
      </c>
      <c r="BQ171" s="679">
        <f t="shared" si="150"/>
        <v>0</v>
      </c>
      <c r="BR171" s="675"/>
      <c r="BS171" s="676">
        <f t="shared" si="111"/>
        <v>0</v>
      </c>
      <c r="BT171" s="677">
        <f t="shared" si="112"/>
        <v>0</v>
      </c>
      <c r="BU171" s="677">
        <f t="shared" si="151"/>
        <v>0</v>
      </c>
      <c r="BV171" s="678">
        <f t="shared" si="152"/>
        <v>0</v>
      </c>
      <c r="BW171" s="679">
        <f t="shared" si="153"/>
        <v>0</v>
      </c>
      <c r="BX171" s="675"/>
      <c r="BY171" s="676">
        <f t="shared" si="113"/>
        <v>0</v>
      </c>
      <c r="BZ171" s="677">
        <f t="shared" si="114"/>
        <v>0</v>
      </c>
      <c r="CA171" s="677">
        <f t="shared" si="154"/>
        <v>0</v>
      </c>
      <c r="CB171" s="678">
        <f t="shared" si="155"/>
        <v>0</v>
      </c>
      <c r="CC171" s="679">
        <f t="shared" si="156"/>
        <v>0</v>
      </c>
      <c r="CD171" s="675"/>
      <c r="CE171" s="676">
        <f t="shared" si="115"/>
        <v>0</v>
      </c>
      <c r="CF171" s="677">
        <f t="shared" si="116"/>
        <v>0</v>
      </c>
      <c r="CG171" s="677">
        <f t="shared" si="157"/>
        <v>0</v>
      </c>
      <c r="CH171" s="678">
        <f t="shared" si="158"/>
        <v>0</v>
      </c>
      <c r="CI171" s="679">
        <f t="shared" si="159"/>
        <v>0</v>
      </c>
      <c r="CJ171" s="675"/>
      <c r="CK171" s="676">
        <f t="shared" si="117"/>
        <v>0</v>
      </c>
      <c r="CL171" s="677">
        <f t="shared" si="118"/>
        <v>0</v>
      </c>
      <c r="CM171" s="677">
        <f t="shared" si="160"/>
        <v>0</v>
      </c>
      <c r="CN171" s="678">
        <f t="shared" si="161"/>
        <v>0</v>
      </c>
      <c r="CO171" s="679">
        <f t="shared" si="162"/>
        <v>0</v>
      </c>
      <c r="CP171" s="675"/>
      <c r="CQ171" s="676">
        <f t="shared" si="119"/>
        <v>0</v>
      </c>
      <c r="CR171" s="677">
        <f t="shared" si="120"/>
        <v>0</v>
      </c>
      <c r="CS171" s="677">
        <f t="shared" si="163"/>
        <v>0</v>
      </c>
      <c r="CT171" s="678">
        <f t="shared" si="164"/>
        <v>0</v>
      </c>
      <c r="CU171" s="679">
        <f t="shared" si="165"/>
        <v>0</v>
      </c>
      <c r="CV171" s="685"/>
      <c r="CW171" s="681"/>
      <c r="CX171" s="682"/>
      <c r="CY171" s="682"/>
      <c r="CZ171" s="683"/>
      <c r="DA171" s="684"/>
      <c r="DB171" s="685"/>
      <c r="DC171" s="681"/>
      <c r="DD171" s="682"/>
      <c r="DE171" s="682"/>
      <c r="DF171" s="683"/>
      <c r="DG171" s="684"/>
      <c r="DH171" s="685"/>
      <c r="DI171" s="681"/>
      <c r="DJ171" s="682"/>
      <c r="DK171" s="682"/>
      <c r="DL171" s="683"/>
      <c r="DM171" s="684"/>
      <c r="DN171" s="685"/>
      <c r="DO171" s="681"/>
      <c r="DP171" s="682"/>
      <c r="DQ171" s="682"/>
      <c r="DR171" s="683"/>
      <c r="DS171" s="684"/>
      <c r="DT171" s="675"/>
      <c r="DU171" s="676">
        <f t="shared" si="121"/>
        <v>0</v>
      </c>
      <c r="DV171" s="677">
        <f t="shared" si="122"/>
        <v>0</v>
      </c>
      <c r="DW171" s="677">
        <f t="shared" si="166"/>
        <v>0</v>
      </c>
      <c r="DX171" s="678">
        <f t="shared" si="167"/>
        <v>0</v>
      </c>
      <c r="DY171" s="679">
        <f t="shared" si="168"/>
        <v>0</v>
      </c>
      <c r="DZ171" s="680"/>
      <c r="EA171" s="681"/>
      <c r="EB171" s="682"/>
      <c r="EC171" s="682"/>
      <c r="ED171" s="683"/>
      <c r="EE171" s="684"/>
      <c r="EF171" s="680"/>
      <c r="EG171" s="681"/>
      <c r="EH171" s="682"/>
      <c r="EI171" s="682"/>
      <c r="EJ171" s="683"/>
      <c r="EK171" s="684"/>
      <c r="EL171" s="680"/>
      <c r="EM171" s="681"/>
      <c r="EN171" s="682"/>
      <c r="EO171" s="682"/>
      <c r="EP171" s="683"/>
      <c r="EQ171" s="684"/>
      <c r="ER171" s="680"/>
      <c r="ES171" s="681"/>
      <c r="ET171" s="682"/>
      <c r="EU171" s="682"/>
      <c r="EV171" s="683"/>
      <c r="EW171" s="684"/>
      <c r="EX171" s="675"/>
      <c r="EY171" s="676">
        <f t="shared" si="123"/>
        <v>0</v>
      </c>
      <c r="EZ171" s="677">
        <f t="shared" si="124"/>
        <v>0</v>
      </c>
      <c r="FA171" s="677">
        <f t="shared" si="169"/>
        <v>0</v>
      </c>
      <c r="FB171" s="678">
        <f t="shared" si="170"/>
        <v>0</v>
      </c>
      <c r="FC171" s="679">
        <f t="shared" si="171"/>
        <v>0</v>
      </c>
      <c r="FD171" s="680"/>
      <c r="FE171" s="681"/>
      <c r="FF171" s="682"/>
      <c r="FG171" s="682"/>
      <c r="FH171" s="683"/>
      <c r="FI171" s="684"/>
      <c r="FJ171" s="680"/>
      <c r="FK171" s="681"/>
      <c r="FL171" s="682"/>
      <c r="FM171" s="682"/>
      <c r="FN171" s="683"/>
      <c r="FO171" s="684"/>
      <c r="FP171" s="680"/>
      <c r="FQ171" s="681"/>
      <c r="FR171" s="682"/>
      <c r="FS171" s="682"/>
      <c r="FT171" s="683"/>
      <c r="FU171" s="684"/>
      <c r="FV171" s="680"/>
      <c r="FW171" s="681"/>
      <c r="FX171" s="682"/>
      <c r="FY171" s="682"/>
      <c r="FZ171" s="683"/>
      <c r="GA171" s="684"/>
      <c r="GB171" s="675"/>
      <c r="GC171" s="676">
        <f t="shared" si="125"/>
        <v>0</v>
      </c>
      <c r="GD171" s="677">
        <f t="shared" si="126"/>
        <v>0</v>
      </c>
      <c r="GE171" s="677">
        <f t="shared" si="172"/>
        <v>0</v>
      </c>
      <c r="GF171" s="678">
        <f t="shared" si="173"/>
        <v>0</v>
      </c>
      <c r="GG171" s="679">
        <f t="shared" si="174"/>
        <v>0</v>
      </c>
      <c r="GH171" s="680"/>
      <c r="GI171" s="681"/>
      <c r="GJ171" s="682"/>
      <c r="GK171" s="682"/>
      <c r="GL171" s="683"/>
      <c r="GM171" s="684"/>
      <c r="GN171" s="680"/>
      <c r="GO171" s="681"/>
      <c r="GP171" s="682"/>
      <c r="GQ171" s="682"/>
      <c r="GR171" s="683"/>
      <c r="GS171" s="684"/>
      <c r="GT171" s="680"/>
      <c r="GU171" s="681"/>
      <c r="GV171" s="682"/>
      <c r="GW171" s="682"/>
      <c r="GX171" s="683"/>
      <c r="GY171" s="684"/>
      <c r="GZ171" s="680"/>
      <c r="HA171" s="147"/>
      <c r="HB171" s="148"/>
      <c r="HC171" s="148"/>
      <c r="HD171" s="149"/>
      <c r="HE171" s="150"/>
      <c r="HF171" s="506"/>
      <c r="HG171" s="502"/>
      <c r="HH171" s="502"/>
      <c r="HI171" s="502"/>
      <c r="HJ171" s="8"/>
    </row>
    <row r="172" spans="2:218" ht="21" hidden="1">
      <c r="B172" s="488">
        <v>128</v>
      </c>
      <c r="C172" s="489" t="s">
        <v>255</v>
      </c>
      <c r="D172" s="490" t="s">
        <v>276</v>
      </c>
      <c r="E172" s="491" t="s">
        <v>277</v>
      </c>
      <c r="F172" s="492"/>
      <c r="G172" s="493"/>
      <c r="H172" s="146" t="s">
        <v>97</v>
      </c>
      <c r="I172" s="494" t="str">
        <f t="shared" ref="I172:I215" si="177">IF(H172="X","n.v.t.",IF(H172="I","ons",IF(H172="V","verhuurder",IF(H172="H","huurder",""))))</f>
        <v>n.v.t.</v>
      </c>
      <c r="J172" s="495" t="s">
        <v>487</v>
      </c>
      <c r="K172" s="151">
        <v>0</v>
      </c>
      <c r="L172" s="256">
        <f>IF($C$5&lt;3000,(Bron!H161*$C$5)+Bron!I161,(Bron!M161*$C$5)+Bron!N161)</f>
        <v>1500</v>
      </c>
      <c r="M172" s="256"/>
      <c r="N172" s="496">
        <f t="shared" si="175"/>
        <v>582.039984</v>
      </c>
      <c r="O172" s="497">
        <f t="shared" si="176"/>
        <v>2.5771425352798443</v>
      </c>
      <c r="P172" s="257">
        <f>IF($C$5&lt;3000,$AN$32*Bron!J161,$AN$32*Bron!O161)</f>
        <v>0</v>
      </c>
      <c r="Q172" s="257">
        <f>IF($C$5&lt;3000,$AN$31*Bron!K161,$AN$31*Bron!P161)</f>
        <v>2291.4960000000001</v>
      </c>
      <c r="R172" s="257">
        <f>IF($C$5&lt;3000,$AN$33*Bron!J161,$AN$33*Bron!O161)</f>
        <v>0</v>
      </c>
      <c r="S172" s="344"/>
      <c r="T172" s="258">
        <f t="shared" ref="T172:T215" si="178">K172+V172+AB172+AH172+AN172+AT172+AZ172+BF172+BL172+BR172+BX172+CD172+CJ172+CP172+CV172+DB172+DH172+DN172+DT172+DZ172+EF172+EL172+ER172+EX172+FD172+FJ172+FP172+FV172+GB172+GH172+GN172+GT172+GZ172</f>
        <v>0</v>
      </c>
      <c r="U172" s="259">
        <f t="shared" ref="U172:U215" si="179">W172+AC172+AI172+AO172+AU172+BA172+BG172+BM172+BS172+BY172+CE172+CK172+CQ172+DU172+EY172+GC172</f>
        <v>0</v>
      </c>
      <c r="V172" s="675"/>
      <c r="W172" s="676">
        <f t="shared" ref="W172:W215" si="180">+V172*($L172+$M172)</f>
        <v>0</v>
      </c>
      <c r="X172" s="677">
        <f t="shared" ref="X172:X215" si="181">$P172*V172</f>
        <v>0</v>
      </c>
      <c r="Y172" s="677">
        <f t="shared" si="127"/>
        <v>0</v>
      </c>
      <c r="Z172" s="678">
        <f t="shared" si="128"/>
        <v>0</v>
      </c>
      <c r="AA172" s="679">
        <f t="shared" si="129"/>
        <v>0</v>
      </c>
      <c r="AB172" s="675"/>
      <c r="AC172" s="676">
        <f t="shared" ref="AC172:AC215" si="182">+AB172*($L172+$M172)</f>
        <v>0</v>
      </c>
      <c r="AD172" s="677">
        <f t="shared" ref="AD172:AD215" si="183">$P172*AB172</f>
        <v>0</v>
      </c>
      <c r="AE172" s="677">
        <f t="shared" si="130"/>
        <v>0</v>
      </c>
      <c r="AF172" s="678">
        <f t="shared" si="131"/>
        <v>0</v>
      </c>
      <c r="AG172" s="679">
        <f t="shared" si="132"/>
        <v>0</v>
      </c>
      <c r="AH172" s="675"/>
      <c r="AI172" s="676">
        <f t="shared" ref="AI172:AI215" si="184">+AH172*($L172+$M172)</f>
        <v>0</v>
      </c>
      <c r="AJ172" s="677">
        <f t="shared" ref="AJ172:AJ215" si="185">$P172*AH172</f>
        <v>0</v>
      </c>
      <c r="AK172" s="677">
        <f t="shared" si="133"/>
        <v>0</v>
      </c>
      <c r="AL172" s="678">
        <f t="shared" si="134"/>
        <v>0</v>
      </c>
      <c r="AM172" s="679">
        <f t="shared" si="135"/>
        <v>0</v>
      </c>
      <c r="AN172" s="675"/>
      <c r="AO172" s="676">
        <f t="shared" ref="AO172:AO215" si="186">+AN172*($L172+$M172)</f>
        <v>0</v>
      </c>
      <c r="AP172" s="677">
        <f t="shared" ref="AP172:AP215" si="187">$P172*AN172</f>
        <v>0</v>
      </c>
      <c r="AQ172" s="677">
        <f t="shared" si="136"/>
        <v>0</v>
      </c>
      <c r="AR172" s="678">
        <f t="shared" si="137"/>
        <v>0</v>
      </c>
      <c r="AS172" s="679">
        <f t="shared" si="138"/>
        <v>0</v>
      </c>
      <c r="AT172" s="675"/>
      <c r="AU172" s="676">
        <f t="shared" ref="AU172:AU215" si="188">+AT172*($L172+$M172)</f>
        <v>0</v>
      </c>
      <c r="AV172" s="677">
        <f t="shared" ref="AV172:AV215" si="189">$P172*AT172</f>
        <v>0</v>
      </c>
      <c r="AW172" s="677">
        <f t="shared" si="139"/>
        <v>0</v>
      </c>
      <c r="AX172" s="678">
        <f t="shared" si="140"/>
        <v>0</v>
      </c>
      <c r="AY172" s="679">
        <f t="shared" si="141"/>
        <v>0</v>
      </c>
      <c r="AZ172" s="675"/>
      <c r="BA172" s="676">
        <f t="shared" ref="BA172:BA215" si="190">+AZ172*($L172+$M172)</f>
        <v>0</v>
      </c>
      <c r="BB172" s="677">
        <f t="shared" ref="BB172:BB215" si="191">$P172*AZ172</f>
        <v>0</v>
      </c>
      <c r="BC172" s="677">
        <f t="shared" si="142"/>
        <v>0</v>
      </c>
      <c r="BD172" s="678">
        <f t="shared" si="143"/>
        <v>0</v>
      </c>
      <c r="BE172" s="679">
        <f t="shared" si="144"/>
        <v>0</v>
      </c>
      <c r="BF172" s="675"/>
      <c r="BG172" s="676">
        <f t="shared" ref="BG172:BG215" si="192">+BF172*($L172+$M172)</f>
        <v>0</v>
      </c>
      <c r="BH172" s="677">
        <f t="shared" ref="BH172:BH215" si="193">$P172*BF172</f>
        <v>0</v>
      </c>
      <c r="BI172" s="677">
        <f t="shared" si="145"/>
        <v>0</v>
      </c>
      <c r="BJ172" s="678">
        <f t="shared" si="146"/>
        <v>0</v>
      </c>
      <c r="BK172" s="679">
        <f t="shared" si="147"/>
        <v>0</v>
      </c>
      <c r="BL172" s="675"/>
      <c r="BM172" s="676">
        <f t="shared" ref="BM172:BM215" si="194">+BL172*($L172+$M172)</f>
        <v>0</v>
      </c>
      <c r="BN172" s="677">
        <f t="shared" ref="BN172:BN215" si="195">$P172*BL172</f>
        <v>0</v>
      </c>
      <c r="BO172" s="677">
        <f t="shared" si="148"/>
        <v>0</v>
      </c>
      <c r="BP172" s="678">
        <f t="shared" si="149"/>
        <v>0</v>
      </c>
      <c r="BQ172" s="679">
        <f t="shared" si="150"/>
        <v>0</v>
      </c>
      <c r="BR172" s="675"/>
      <c r="BS172" s="676">
        <f t="shared" ref="BS172:BS215" si="196">+BR172*($L172+$M172)</f>
        <v>0</v>
      </c>
      <c r="BT172" s="677">
        <f t="shared" ref="BT172:BT215" si="197">$P172*BR172</f>
        <v>0</v>
      </c>
      <c r="BU172" s="677">
        <f t="shared" si="151"/>
        <v>0</v>
      </c>
      <c r="BV172" s="678">
        <f t="shared" si="152"/>
        <v>0</v>
      </c>
      <c r="BW172" s="679">
        <f t="shared" si="153"/>
        <v>0</v>
      </c>
      <c r="BX172" s="675"/>
      <c r="BY172" s="676">
        <f t="shared" ref="BY172:BY215" si="198">+BX172*($L172+$M172)</f>
        <v>0</v>
      </c>
      <c r="BZ172" s="677">
        <f t="shared" ref="BZ172:BZ215" si="199">$P172*BX172</f>
        <v>0</v>
      </c>
      <c r="CA172" s="677">
        <f t="shared" si="154"/>
        <v>0</v>
      </c>
      <c r="CB172" s="678">
        <f t="shared" si="155"/>
        <v>0</v>
      </c>
      <c r="CC172" s="679">
        <f t="shared" si="156"/>
        <v>0</v>
      </c>
      <c r="CD172" s="675"/>
      <c r="CE172" s="676">
        <f t="shared" ref="CE172:CE215" si="200">+CD172*($L172+$M172)</f>
        <v>0</v>
      </c>
      <c r="CF172" s="677">
        <f t="shared" ref="CF172:CF215" si="201">$P172*CD172</f>
        <v>0</v>
      </c>
      <c r="CG172" s="677">
        <f t="shared" si="157"/>
        <v>0</v>
      </c>
      <c r="CH172" s="678">
        <f t="shared" si="158"/>
        <v>0</v>
      </c>
      <c r="CI172" s="679">
        <f t="shared" si="159"/>
        <v>0</v>
      </c>
      <c r="CJ172" s="675"/>
      <c r="CK172" s="676">
        <f t="shared" ref="CK172:CK215" si="202">+CJ172*($L172+$M172)</f>
        <v>0</v>
      </c>
      <c r="CL172" s="677">
        <f t="shared" ref="CL172:CL215" si="203">$P172*CJ172</f>
        <v>0</v>
      </c>
      <c r="CM172" s="677">
        <f t="shared" si="160"/>
        <v>0</v>
      </c>
      <c r="CN172" s="678">
        <f t="shared" si="161"/>
        <v>0</v>
      </c>
      <c r="CO172" s="679">
        <f t="shared" si="162"/>
        <v>0</v>
      </c>
      <c r="CP172" s="675"/>
      <c r="CQ172" s="676">
        <f t="shared" ref="CQ172:CQ215" si="204">+CP172*($L172+$M172)</f>
        <v>0</v>
      </c>
      <c r="CR172" s="677">
        <f t="shared" ref="CR172:CR215" si="205">$P172*CP172</f>
        <v>0</v>
      </c>
      <c r="CS172" s="677">
        <f t="shared" si="163"/>
        <v>0</v>
      </c>
      <c r="CT172" s="678">
        <f t="shared" si="164"/>
        <v>0</v>
      </c>
      <c r="CU172" s="679">
        <f t="shared" si="165"/>
        <v>0</v>
      </c>
      <c r="CV172" s="685"/>
      <c r="CW172" s="681"/>
      <c r="CX172" s="682"/>
      <c r="CY172" s="682"/>
      <c r="CZ172" s="683"/>
      <c r="DA172" s="684"/>
      <c r="DB172" s="685"/>
      <c r="DC172" s="681"/>
      <c r="DD172" s="682"/>
      <c r="DE172" s="682"/>
      <c r="DF172" s="683"/>
      <c r="DG172" s="684"/>
      <c r="DH172" s="685"/>
      <c r="DI172" s="681"/>
      <c r="DJ172" s="682"/>
      <c r="DK172" s="682"/>
      <c r="DL172" s="683"/>
      <c r="DM172" s="684"/>
      <c r="DN172" s="685"/>
      <c r="DO172" s="681"/>
      <c r="DP172" s="682"/>
      <c r="DQ172" s="682"/>
      <c r="DR172" s="683"/>
      <c r="DS172" s="684"/>
      <c r="DT172" s="675"/>
      <c r="DU172" s="676">
        <f t="shared" ref="DU172:DU215" si="206">+DT172*($L172+$M172)</f>
        <v>0</v>
      </c>
      <c r="DV172" s="677">
        <f t="shared" ref="DV172:DV215" si="207">$P172*DT172</f>
        <v>0</v>
      </c>
      <c r="DW172" s="677">
        <f t="shared" si="166"/>
        <v>0</v>
      </c>
      <c r="DX172" s="678">
        <f t="shared" si="167"/>
        <v>0</v>
      </c>
      <c r="DY172" s="679">
        <f t="shared" si="168"/>
        <v>0</v>
      </c>
      <c r="DZ172" s="680"/>
      <c r="EA172" s="681"/>
      <c r="EB172" s="682"/>
      <c r="EC172" s="682"/>
      <c r="ED172" s="683"/>
      <c r="EE172" s="684"/>
      <c r="EF172" s="680"/>
      <c r="EG172" s="681"/>
      <c r="EH172" s="682"/>
      <c r="EI172" s="682"/>
      <c r="EJ172" s="683"/>
      <c r="EK172" s="684"/>
      <c r="EL172" s="680"/>
      <c r="EM172" s="681"/>
      <c r="EN172" s="682"/>
      <c r="EO172" s="682"/>
      <c r="EP172" s="683"/>
      <c r="EQ172" s="684"/>
      <c r="ER172" s="680"/>
      <c r="ES172" s="681"/>
      <c r="ET172" s="682"/>
      <c r="EU172" s="682"/>
      <c r="EV172" s="683"/>
      <c r="EW172" s="684"/>
      <c r="EX172" s="675"/>
      <c r="EY172" s="676">
        <f t="shared" ref="EY172:EY215" si="208">+EX172*($L172+$M172)</f>
        <v>0</v>
      </c>
      <c r="EZ172" s="677">
        <f t="shared" ref="EZ172:EZ215" si="209">$P172*EX172</f>
        <v>0</v>
      </c>
      <c r="FA172" s="677">
        <f t="shared" si="169"/>
        <v>0</v>
      </c>
      <c r="FB172" s="678">
        <f t="shared" si="170"/>
        <v>0</v>
      </c>
      <c r="FC172" s="679">
        <f t="shared" si="171"/>
        <v>0</v>
      </c>
      <c r="FD172" s="680"/>
      <c r="FE172" s="681"/>
      <c r="FF172" s="682"/>
      <c r="FG172" s="682"/>
      <c r="FH172" s="683"/>
      <c r="FI172" s="684"/>
      <c r="FJ172" s="680"/>
      <c r="FK172" s="681"/>
      <c r="FL172" s="682"/>
      <c r="FM172" s="682"/>
      <c r="FN172" s="683"/>
      <c r="FO172" s="684"/>
      <c r="FP172" s="680"/>
      <c r="FQ172" s="681"/>
      <c r="FR172" s="682"/>
      <c r="FS172" s="682"/>
      <c r="FT172" s="683"/>
      <c r="FU172" s="684"/>
      <c r="FV172" s="680"/>
      <c r="FW172" s="681"/>
      <c r="FX172" s="682"/>
      <c r="FY172" s="682"/>
      <c r="FZ172" s="683"/>
      <c r="GA172" s="684"/>
      <c r="GB172" s="675"/>
      <c r="GC172" s="676">
        <f t="shared" ref="GC172:GC215" si="210">+GB172*($L172+$M172)</f>
        <v>0</v>
      </c>
      <c r="GD172" s="677">
        <f t="shared" ref="GD172:GD215" si="211">$P172*GB172</f>
        <v>0</v>
      </c>
      <c r="GE172" s="677">
        <f t="shared" si="172"/>
        <v>0</v>
      </c>
      <c r="GF172" s="678">
        <f t="shared" si="173"/>
        <v>0</v>
      </c>
      <c r="GG172" s="679">
        <f t="shared" si="174"/>
        <v>0</v>
      </c>
      <c r="GH172" s="680"/>
      <c r="GI172" s="681"/>
      <c r="GJ172" s="682"/>
      <c r="GK172" s="682"/>
      <c r="GL172" s="683"/>
      <c r="GM172" s="684"/>
      <c r="GN172" s="680"/>
      <c r="GO172" s="681"/>
      <c r="GP172" s="682"/>
      <c r="GQ172" s="682"/>
      <c r="GR172" s="683"/>
      <c r="GS172" s="684"/>
      <c r="GT172" s="680"/>
      <c r="GU172" s="681"/>
      <c r="GV172" s="682"/>
      <c r="GW172" s="682"/>
      <c r="GX172" s="683"/>
      <c r="GY172" s="684"/>
      <c r="GZ172" s="680"/>
      <c r="HA172" s="147"/>
      <c r="HB172" s="148"/>
      <c r="HC172" s="148"/>
      <c r="HD172" s="149"/>
      <c r="HE172" s="150"/>
      <c r="HF172" s="506"/>
      <c r="HG172" s="502"/>
      <c r="HH172" s="502"/>
      <c r="HI172" s="502"/>
      <c r="HJ172" s="8"/>
    </row>
    <row r="173" spans="2:218" ht="21" hidden="1">
      <c r="B173" s="488">
        <v>129</v>
      </c>
      <c r="C173" s="489" t="s">
        <v>255</v>
      </c>
      <c r="D173" s="490" t="s">
        <v>278</v>
      </c>
      <c r="E173" s="491" t="s">
        <v>426</v>
      </c>
      <c r="F173" s="492"/>
      <c r="G173" s="493"/>
      <c r="H173" s="146" t="s">
        <v>97</v>
      </c>
      <c r="I173" s="494" t="str">
        <f t="shared" si="177"/>
        <v>n.v.t.</v>
      </c>
      <c r="J173" s="495"/>
      <c r="K173" s="151">
        <v>0</v>
      </c>
      <c r="L173" s="256"/>
      <c r="M173" s="256">
        <f>IF($C$5&lt;3000,(Bron!H162*$C$5)+Bron!I162,(Bron!M162*$C$5)+Bron!N162)</f>
        <v>0</v>
      </c>
      <c r="N173" s="496">
        <f t="shared" si="175"/>
        <v>630.54331599999989</v>
      </c>
      <c r="O173" s="497">
        <f t="shared" si="176"/>
        <v>0</v>
      </c>
      <c r="P173" s="257">
        <f>IF($C$5&lt;3000,$AN$32*Bron!J162,$AN$32*Bron!O162)</f>
        <v>0</v>
      </c>
      <c r="Q173" s="257">
        <f>IF($C$5&lt;3000,$AN$31*Bron!K162,$AN$31*Bron!P162)</f>
        <v>2482.4539999999997</v>
      </c>
      <c r="R173" s="257">
        <f>IF($C$5&lt;3000,$AN$33*Bron!J162,$AN$33*Bron!O162)</f>
        <v>0</v>
      </c>
      <c r="S173" s="344"/>
      <c r="T173" s="258">
        <f t="shared" si="178"/>
        <v>0</v>
      </c>
      <c r="U173" s="259">
        <f t="shared" si="179"/>
        <v>0</v>
      </c>
      <c r="V173" s="675"/>
      <c r="W173" s="676">
        <f t="shared" si="180"/>
        <v>0</v>
      </c>
      <c r="X173" s="677">
        <f t="shared" si="181"/>
        <v>0</v>
      </c>
      <c r="Y173" s="677">
        <f t="shared" ref="Y173:Y215" si="212">$Q173*V173</f>
        <v>0</v>
      </c>
      <c r="Z173" s="678">
        <f t="shared" ref="Z173:Z215" si="213">+V173*$R173</f>
        <v>0</v>
      </c>
      <c r="AA173" s="679">
        <f t="shared" ref="AA173:AA215" si="214">V173*$N173</f>
        <v>0</v>
      </c>
      <c r="AB173" s="675"/>
      <c r="AC173" s="676">
        <f t="shared" si="182"/>
        <v>0</v>
      </c>
      <c r="AD173" s="677">
        <f t="shared" si="183"/>
        <v>0</v>
      </c>
      <c r="AE173" s="677">
        <f t="shared" ref="AE173:AE215" si="215">$Q173*AB173</f>
        <v>0</v>
      </c>
      <c r="AF173" s="678">
        <f t="shared" ref="AF173:AF215" si="216">+AB173*$R173</f>
        <v>0</v>
      </c>
      <c r="AG173" s="679">
        <f t="shared" ref="AG173:AG215" si="217">AB173*$N173</f>
        <v>0</v>
      </c>
      <c r="AH173" s="675"/>
      <c r="AI173" s="676">
        <f t="shared" si="184"/>
        <v>0</v>
      </c>
      <c r="AJ173" s="677">
        <f t="shared" si="185"/>
        <v>0</v>
      </c>
      <c r="AK173" s="677">
        <f t="shared" ref="AK173:AK215" si="218">$Q173*AH173</f>
        <v>0</v>
      </c>
      <c r="AL173" s="678">
        <f t="shared" ref="AL173:AL215" si="219">+AH173*$R173</f>
        <v>0</v>
      </c>
      <c r="AM173" s="679">
        <f t="shared" ref="AM173:AM215" si="220">AH173*$N173</f>
        <v>0</v>
      </c>
      <c r="AN173" s="675"/>
      <c r="AO173" s="676">
        <f t="shared" si="186"/>
        <v>0</v>
      </c>
      <c r="AP173" s="677">
        <f t="shared" si="187"/>
        <v>0</v>
      </c>
      <c r="AQ173" s="677">
        <f t="shared" ref="AQ173:AQ215" si="221">$Q173*AN173</f>
        <v>0</v>
      </c>
      <c r="AR173" s="678">
        <f t="shared" ref="AR173:AR215" si="222">+AN173*$R173</f>
        <v>0</v>
      </c>
      <c r="AS173" s="679">
        <f t="shared" ref="AS173:AS215" si="223">AN173*$N173</f>
        <v>0</v>
      </c>
      <c r="AT173" s="675"/>
      <c r="AU173" s="676">
        <f t="shared" si="188"/>
        <v>0</v>
      </c>
      <c r="AV173" s="677">
        <f t="shared" si="189"/>
        <v>0</v>
      </c>
      <c r="AW173" s="677">
        <f t="shared" ref="AW173:AW215" si="224">$Q173*AT173</f>
        <v>0</v>
      </c>
      <c r="AX173" s="678">
        <f t="shared" ref="AX173:AX215" si="225">+AT173*$R173</f>
        <v>0</v>
      </c>
      <c r="AY173" s="679">
        <f t="shared" ref="AY173:AY215" si="226">AT173*$N173</f>
        <v>0</v>
      </c>
      <c r="AZ173" s="675"/>
      <c r="BA173" s="676">
        <f t="shared" si="190"/>
        <v>0</v>
      </c>
      <c r="BB173" s="677">
        <f t="shared" si="191"/>
        <v>0</v>
      </c>
      <c r="BC173" s="677">
        <f t="shared" ref="BC173:BC215" si="227">$Q173*AZ173</f>
        <v>0</v>
      </c>
      <c r="BD173" s="678">
        <f t="shared" ref="BD173:BD215" si="228">+AZ173*$R173</f>
        <v>0</v>
      </c>
      <c r="BE173" s="679">
        <f t="shared" ref="BE173:BE215" si="229">AZ173*$N173</f>
        <v>0</v>
      </c>
      <c r="BF173" s="675"/>
      <c r="BG173" s="676">
        <f t="shared" si="192"/>
        <v>0</v>
      </c>
      <c r="BH173" s="677">
        <f t="shared" si="193"/>
        <v>0</v>
      </c>
      <c r="BI173" s="677">
        <f t="shared" ref="BI173:BI215" si="230">$Q173*BF173</f>
        <v>0</v>
      </c>
      <c r="BJ173" s="678">
        <f t="shared" ref="BJ173:BJ215" si="231">+BF173*$R173</f>
        <v>0</v>
      </c>
      <c r="BK173" s="679">
        <f t="shared" ref="BK173:BK215" si="232">BF173*$N173</f>
        <v>0</v>
      </c>
      <c r="BL173" s="675"/>
      <c r="BM173" s="676">
        <f t="shared" si="194"/>
        <v>0</v>
      </c>
      <c r="BN173" s="677">
        <f t="shared" si="195"/>
        <v>0</v>
      </c>
      <c r="BO173" s="677">
        <f t="shared" ref="BO173:BO215" si="233">$Q173*BL173</f>
        <v>0</v>
      </c>
      <c r="BP173" s="678">
        <f t="shared" ref="BP173:BP215" si="234">+BL173*$R173</f>
        <v>0</v>
      </c>
      <c r="BQ173" s="679">
        <f t="shared" ref="BQ173:BQ215" si="235">BL173*$N173</f>
        <v>0</v>
      </c>
      <c r="BR173" s="675"/>
      <c r="BS173" s="676">
        <f t="shared" si="196"/>
        <v>0</v>
      </c>
      <c r="BT173" s="677">
        <f t="shared" si="197"/>
        <v>0</v>
      </c>
      <c r="BU173" s="677">
        <f t="shared" ref="BU173:BU215" si="236">$Q173*BR173</f>
        <v>0</v>
      </c>
      <c r="BV173" s="678">
        <f t="shared" ref="BV173:BV215" si="237">+BR173*$R173</f>
        <v>0</v>
      </c>
      <c r="BW173" s="679">
        <f t="shared" ref="BW173:BW215" si="238">BR173*$N173</f>
        <v>0</v>
      </c>
      <c r="BX173" s="675"/>
      <c r="BY173" s="676">
        <f t="shared" si="198"/>
        <v>0</v>
      </c>
      <c r="BZ173" s="677">
        <f t="shared" si="199"/>
        <v>0</v>
      </c>
      <c r="CA173" s="677">
        <f t="shared" ref="CA173:CA215" si="239">$Q173*BX173</f>
        <v>0</v>
      </c>
      <c r="CB173" s="678">
        <f t="shared" ref="CB173:CB215" si="240">+BX173*$R173</f>
        <v>0</v>
      </c>
      <c r="CC173" s="679">
        <f t="shared" ref="CC173:CC215" si="241">BX173*$N173</f>
        <v>0</v>
      </c>
      <c r="CD173" s="675"/>
      <c r="CE173" s="676">
        <f t="shared" si="200"/>
        <v>0</v>
      </c>
      <c r="CF173" s="677">
        <f t="shared" si="201"/>
        <v>0</v>
      </c>
      <c r="CG173" s="677">
        <f t="shared" ref="CG173:CG215" si="242">$Q173*CD173</f>
        <v>0</v>
      </c>
      <c r="CH173" s="678">
        <f t="shared" ref="CH173:CH215" si="243">+CD173*$R173</f>
        <v>0</v>
      </c>
      <c r="CI173" s="679">
        <f t="shared" ref="CI173:CI215" si="244">CD173*$N173</f>
        <v>0</v>
      </c>
      <c r="CJ173" s="675"/>
      <c r="CK173" s="676">
        <f t="shared" si="202"/>
        <v>0</v>
      </c>
      <c r="CL173" s="677">
        <f t="shared" si="203"/>
        <v>0</v>
      </c>
      <c r="CM173" s="677">
        <f t="shared" ref="CM173:CM215" si="245">$Q173*CJ173</f>
        <v>0</v>
      </c>
      <c r="CN173" s="678">
        <f t="shared" ref="CN173:CN215" si="246">+CJ173*$R173</f>
        <v>0</v>
      </c>
      <c r="CO173" s="679">
        <f t="shared" ref="CO173:CO215" si="247">CJ173*$N173</f>
        <v>0</v>
      </c>
      <c r="CP173" s="675"/>
      <c r="CQ173" s="676">
        <f t="shared" si="204"/>
        <v>0</v>
      </c>
      <c r="CR173" s="677">
        <f t="shared" si="205"/>
        <v>0</v>
      </c>
      <c r="CS173" s="677">
        <f t="shared" ref="CS173:CS215" si="248">$Q173*CP173</f>
        <v>0</v>
      </c>
      <c r="CT173" s="678">
        <f t="shared" ref="CT173:CT215" si="249">+CP173*$R173</f>
        <v>0</v>
      </c>
      <c r="CU173" s="679">
        <f t="shared" ref="CU173:CU215" si="250">CP173*$N173</f>
        <v>0</v>
      </c>
      <c r="CV173" s="685"/>
      <c r="CW173" s="681"/>
      <c r="CX173" s="682"/>
      <c r="CY173" s="682"/>
      <c r="CZ173" s="683"/>
      <c r="DA173" s="684"/>
      <c r="DB173" s="685"/>
      <c r="DC173" s="681"/>
      <c r="DD173" s="682"/>
      <c r="DE173" s="682"/>
      <c r="DF173" s="683"/>
      <c r="DG173" s="684"/>
      <c r="DH173" s="685"/>
      <c r="DI173" s="681"/>
      <c r="DJ173" s="682"/>
      <c r="DK173" s="682"/>
      <c r="DL173" s="683"/>
      <c r="DM173" s="684"/>
      <c r="DN173" s="685"/>
      <c r="DO173" s="681"/>
      <c r="DP173" s="682"/>
      <c r="DQ173" s="682"/>
      <c r="DR173" s="683"/>
      <c r="DS173" s="684"/>
      <c r="DT173" s="675"/>
      <c r="DU173" s="676">
        <f t="shared" si="206"/>
        <v>0</v>
      </c>
      <c r="DV173" s="677">
        <f t="shared" si="207"/>
        <v>0</v>
      </c>
      <c r="DW173" s="677">
        <f t="shared" ref="DW173:DW215" si="251">$Q173*DT173</f>
        <v>0</v>
      </c>
      <c r="DX173" s="678">
        <f t="shared" ref="DX173:DX215" si="252">+DT173*$R173</f>
        <v>0</v>
      </c>
      <c r="DY173" s="679">
        <f t="shared" ref="DY173:DY215" si="253">DT173*$N173</f>
        <v>0</v>
      </c>
      <c r="DZ173" s="680"/>
      <c r="EA173" s="681"/>
      <c r="EB173" s="682"/>
      <c r="EC173" s="682"/>
      <c r="ED173" s="683"/>
      <c r="EE173" s="684"/>
      <c r="EF173" s="680"/>
      <c r="EG173" s="681"/>
      <c r="EH173" s="682"/>
      <c r="EI173" s="682"/>
      <c r="EJ173" s="683"/>
      <c r="EK173" s="684"/>
      <c r="EL173" s="680"/>
      <c r="EM173" s="681"/>
      <c r="EN173" s="682"/>
      <c r="EO173" s="682"/>
      <c r="EP173" s="683"/>
      <c r="EQ173" s="684"/>
      <c r="ER173" s="680"/>
      <c r="ES173" s="681"/>
      <c r="ET173" s="682"/>
      <c r="EU173" s="682"/>
      <c r="EV173" s="683"/>
      <c r="EW173" s="684"/>
      <c r="EX173" s="675"/>
      <c r="EY173" s="676">
        <f t="shared" si="208"/>
        <v>0</v>
      </c>
      <c r="EZ173" s="677">
        <f t="shared" si="209"/>
        <v>0</v>
      </c>
      <c r="FA173" s="677">
        <f t="shared" ref="FA173:FA215" si="254">$Q173*EX173</f>
        <v>0</v>
      </c>
      <c r="FB173" s="678">
        <f t="shared" ref="FB173:FB215" si="255">+EX173*$R173</f>
        <v>0</v>
      </c>
      <c r="FC173" s="679">
        <f t="shared" ref="FC173:FC215" si="256">EX173*$N173</f>
        <v>0</v>
      </c>
      <c r="FD173" s="680"/>
      <c r="FE173" s="681"/>
      <c r="FF173" s="682"/>
      <c r="FG173" s="682"/>
      <c r="FH173" s="683"/>
      <c r="FI173" s="684"/>
      <c r="FJ173" s="680"/>
      <c r="FK173" s="681"/>
      <c r="FL173" s="682"/>
      <c r="FM173" s="682"/>
      <c r="FN173" s="683"/>
      <c r="FO173" s="684"/>
      <c r="FP173" s="680"/>
      <c r="FQ173" s="681"/>
      <c r="FR173" s="682"/>
      <c r="FS173" s="682"/>
      <c r="FT173" s="683"/>
      <c r="FU173" s="684"/>
      <c r="FV173" s="680"/>
      <c r="FW173" s="681"/>
      <c r="FX173" s="682"/>
      <c r="FY173" s="682"/>
      <c r="FZ173" s="683"/>
      <c r="GA173" s="684"/>
      <c r="GB173" s="675"/>
      <c r="GC173" s="676">
        <f t="shared" si="210"/>
        <v>0</v>
      </c>
      <c r="GD173" s="677">
        <f t="shared" si="211"/>
        <v>0</v>
      </c>
      <c r="GE173" s="677">
        <f t="shared" ref="GE173:GE215" si="257">$Q173*GB173</f>
        <v>0</v>
      </c>
      <c r="GF173" s="678">
        <f t="shared" ref="GF173:GF215" si="258">+GB173*$R173</f>
        <v>0</v>
      </c>
      <c r="GG173" s="679">
        <f t="shared" ref="GG173:GG215" si="259">GB173*$N173</f>
        <v>0</v>
      </c>
      <c r="GH173" s="680"/>
      <c r="GI173" s="681"/>
      <c r="GJ173" s="682"/>
      <c r="GK173" s="682"/>
      <c r="GL173" s="683"/>
      <c r="GM173" s="684"/>
      <c r="GN173" s="680"/>
      <c r="GO173" s="681"/>
      <c r="GP173" s="682"/>
      <c r="GQ173" s="682"/>
      <c r="GR173" s="683"/>
      <c r="GS173" s="684"/>
      <c r="GT173" s="680"/>
      <c r="GU173" s="681"/>
      <c r="GV173" s="682"/>
      <c r="GW173" s="682"/>
      <c r="GX173" s="683"/>
      <c r="GY173" s="684"/>
      <c r="GZ173" s="680"/>
      <c r="HA173" s="147"/>
      <c r="HB173" s="148"/>
      <c r="HC173" s="148"/>
      <c r="HD173" s="149"/>
      <c r="HE173" s="150"/>
      <c r="HF173" s="506"/>
      <c r="HG173" s="502"/>
      <c r="HH173" s="502"/>
      <c r="HI173" s="502"/>
      <c r="HJ173" s="8"/>
    </row>
    <row r="174" spans="2:218" ht="21">
      <c r="B174" s="488">
        <v>130</v>
      </c>
      <c r="C174" s="489" t="s">
        <v>255</v>
      </c>
      <c r="D174" s="490" t="s">
        <v>279</v>
      </c>
      <c r="E174" s="491" t="s">
        <v>280</v>
      </c>
      <c r="F174" s="492"/>
      <c r="G174" s="493"/>
      <c r="H174" s="146" t="s">
        <v>486</v>
      </c>
      <c r="I174" s="494" t="str">
        <f t="shared" si="177"/>
        <v>ons</v>
      </c>
      <c r="J174" s="495" t="s">
        <v>487</v>
      </c>
      <c r="K174" s="151">
        <v>0.8</v>
      </c>
      <c r="L174" s="256">
        <f>IF($C$5&lt;3000,(Bron!H163*$C$5)+Bron!I163,(Bron!M163*$C$5)+Bron!N163)</f>
        <v>28217.279999999999</v>
      </c>
      <c r="M174" s="256"/>
      <c r="N174" s="496">
        <f t="shared" si="175"/>
        <v>7760.5331200000001</v>
      </c>
      <c r="O174" s="497">
        <f t="shared" si="176"/>
        <v>3.6359976258950621</v>
      </c>
      <c r="P174" s="257"/>
      <c r="Q174" s="257">
        <f>IF($C$5&lt;3000,$AN$31*Bron!K163,$AN$31*Bron!P163)</f>
        <v>30553.279999999999</v>
      </c>
      <c r="R174" s="257">
        <f>IF($C$5&lt;3000,$AN$33*Bron!J163,$AN$33*Bron!O163)</f>
        <v>0</v>
      </c>
      <c r="S174" s="344"/>
      <c r="T174" s="258">
        <f t="shared" si="178"/>
        <v>1</v>
      </c>
      <c r="U174" s="259">
        <f t="shared" si="179"/>
        <v>5643.4560000000001</v>
      </c>
      <c r="V174" s="675"/>
      <c r="W174" s="676">
        <f t="shared" si="180"/>
        <v>0</v>
      </c>
      <c r="X174" s="677">
        <f t="shared" si="181"/>
        <v>0</v>
      </c>
      <c r="Y174" s="677">
        <f t="shared" si="212"/>
        <v>0</v>
      </c>
      <c r="Z174" s="678">
        <f t="shared" si="213"/>
        <v>0</v>
      </c>
      <c r="AA174" s="679">
        <f t="shared" si="214"/>
        <v>0</v>
      </c>
      <c r="AB174" s="675"/>
      <c r="AC174" s="676">
        <f t="shared" si="182"/>
        <v>0</v>
      </c>
      <c r="AD174" s="677">
        <f t="shared" si="183"/>
        <v>0</v>
      </c>
      <c r="AE174" s="677">
        <f t="shared" si="215"/>
        <v>0</v>
      </c>
      <c r="AF174" s="678">
        <f t="shared" si="216"/>
        <v>0</v>
      </c>
      <c r="AG174" s="679">
        <f t="shared" si="217"/>
        <v>0</v>
      </c>
      <c r="AH174" s="675"/>
      <c r="AI174" s="676">
        <f t="shared" si="184"/>
        <v>0</v>
      </c>
      <c r="AJ174" s="677">
        <f t="shared" si="185"/>
        <v>0</v>
      </c>
      <c r="AK174" s="677">
        <f t="shared" si="218"/>
        <v>0</v>
      </c>
      <c r="AL174" s="678">
        <f t="shared" si="219"/>
        <v>0</v>
      </c>
      <c r="AM174" s="679">
        <f t="shared" si="220"/>
        <v>0</v>
      </c>
      <c r="AN174" s="675"/>
      <c r="AO174" s="676">
        <f t="shared" si="186"/>
        <v>0</v>
      </c>
      <c r="AP174" s="677">
        <f t="shared" si="187"/>
        <v>0</v>
      </c>
      <c r="AQ174" s="677">
        <f t="shared" si="221"/>
        <v>0</v>
      </c>
      <c r="AR174" s="678">
        <f t="shared" si="222"/>
        <v>0</v>
      </c>
      <c r="AS174" s="679">
        <f t="shared" si="223"/>
        <v>0</v>
      </c>
      <c r="AT174" s="675">
        <v>0.2</v>
      </c>
      <c r="AU174" s="676">
        <f t="shared" si="188"/>
        <v>5643.4560000000001</v>
      </c>
      <c r="AV174" s="677">
        <f t="shared" si="189"/>
        <v>0</v>
      </c>
      <c r="AW174" s="677">
        <f t="shared" si="224"/>
        <v>6110.6559999999999</v>
      </c>
      <c r="AX174" s="678">
        <f t="shared" si="225"/>
        <v>0</v>
      </c>
      <c r="AY174" s="679">
        <f t="shared" si="226"/>
        <v>1552.106624</v>
      </c>
      <c r="AZ174" s="675"/>
      <c r="BA174" s="676">
        <f t="shared" si="190"/>
        <v>0</v>
      </c>
      <c r="BB174" s="677">
        <f t="shared" si="191"/>
        <v>0</v>
      </c>
      <c r="BC174" s="677">
        <f t="shared" si="227"/>
        <v>0</v>
      </c>
      <c r="BD174" s="678">
        <f t="shared" si="228"/>
        <v>0</v>
      </c>
      <c r="BE174" s="679">
        <f t="shared" si="229"/>
        <v>0</v>
      </c>
      <c r="BF174" s="675"/>
      <c r="BG174" s="676">
        <f t="shared" si="192"/>
        <v>0</v>
      </c>
      <c r="BH174" s="677">
        <f t="shared" si="193"/>
        <v>0</v>
      </c>
      <c r="BI174" s="677">
        <f t="shared" si="230"/>
        <v>0</v>
      </c>
      <c r="BJ174" s="678">
        <f t="shared" si="231"/>
        <v>0</v>
      </c>
      <c r="BK174" s="679">
        <f t="shared" si="232"/>
        <v>0</v>
      </c>
      <c r="BL174" s="675"/>
      <c r="BM174" s="676">
        <f t="shared" si="194"/>
        <v>0</v>
      </c>
      <c r="BN174" s="677">
        <f t="shared" si="195"/>
        <v>0</v>
      </c>
      <c r="BO174" s="677">
        <f t="shared" si="233"/>
        <v>0</v>
      </c>
      <c r="BP174" s="678">
        <f t="shared" si="234"/>
        <v>0</v>
      </c>
      <c r="BQ174" s="679">
        <f t="shared" si="235"/>
        <v>0</v>
      </c>
      <c r="BR174" s="675"/>
      <c r="BS174" s="676">
        <f t="shared" si="196"/>
        <v>0</v>
      </c>
      <c r="BT174" s="677">
        <f t="shared" si="197"/>
        <v>0</v>
      </c>
      <c r="BU174" s="677">
        <f t="shared" si="236"/>
        <v>0</v>
      </c>
      <c r="BV174" s="678">
        <f t="shared" si="237"/>
        <v>0</v>
      </c>
      <c r="BW174" s="679">
        <f t="shared" si="238"/>
        <v>0</v>
      </c>
      <c r="BX174" s="675"/>
      <c r="BY174" s="676">
        <f t="shared" si="198"/>
        <v>0</v>
      </c>
      <c r="BZ174" s="677">
        <f t="shared" si="199"/>
        <v>0</v>
      </c>
      <c r="CA174" s="677">
        <f t="shared" si="239"/>
        <v>0</v>
      </c>
      <c r="CB174" s="678">
        <f t="shared" si="240"/>
        <v>0</v>
      </c>
      <c r="CC174" s="679">
        <f t="shared" si="241"/>
        <v>0</v>
      </c>
      <c r="CD174" s="675"/>
      <c r="CE174" s="676">
        <f t="shared" si="200"/>
        <v>0</v>
      </c>
      <c r="CF174" s="677">
        <f t="shared" si="201"/>
        <v>0</v>
      </c>
      <c r="CG174" s="677">
        <f t="shared" si="242"/>
        <v>0</v>
      </c>
      <c r="CH174" s="678">
        <f t="shared" si="243"/>
        <v>0</v>
      </c>
      <c r="CI174" s="679">
        <f t="shared" si="244"/>
        <v>0</v>
      </c>
      <c r="CJ174" s="675"/>
      <c r="CK174" s="676">
        <f t="shared" si="202"/>
        <v>0</v>
      </c>
      <c r="CL174" s="677">
        <f t="shared" si="203"/>
        <v>0</v>
      </c>
      <c r="CM174" s="677">
        <f t="shared" si="245"/>
        <v>0</v>
      </c>
      <c r="CN174" s="678">
        <f t="shared" si="246"/>
        <v>0</v>
      </c>
      <c r="CO174" s="679">
        <f t="shared" si="247"/>
        <v>0</v>
      </c>
      <c r="CP174" s="675"/>
      <c r="CQ174" s="676">
        <f t="shared" si="204"/>
        <v>0</v>
      </c>
      <c r="CR174" s="677">
        <f t="shared" si="205"/>
        <v>0</v>
      </c>
      <c r="CS174" s="677">
        <f t="shared" si="248"/>
        <v>0</v>
      </c>
      <c r="CT174" s="678">
        <f t="shared" si="249"/>
        <v>0</v>
      </c>
      <c r="CU174" s="679">
        <f t="shared" si="250"/>
        <v>0</v>
      </c>
      <c r="CV174" s="685"/>
      <c r="CW174" s="681"/>
      <c r="CX174" s="682"/>
      <c r="CY174" s="682"/>
      <c r="CZ174" s="683"/>
      <c r="DA174" s="684"/>
      <c r="DB174" s="685"/>
      <c r="DC174" s="681"/>
      <c r="DD174" s="682"/>
      <c r="DE174" s="682"/>
      <c r="DF174" s="683"/>
      <c r="DG174" s="684"/>
      <c r="DH174" s="685"/>
      <c r="DI174" s="681"/>
      <c r="DJ174" s="682"/>
      <c r="DK174" s="682"/>
      <c r="DL174" s="683"/>
      <c r="DM174" s="684"/>
      <c r="DN174" s="685"/>
      <c r="DO174" s="681"/>
      <c r="DP174" s="682"/>
      <c r="DQ174" s="682"/>
      <c r="DR174" s="683"/>
      <c r="DS174" s="684"/>
      <c r="DT174" s="675"/>
      <c r="DU174" s="676">
        <f t="shared" si="206"/>
        <v>0</v>
      </c>
      <c r="DV174" s="677">
        <f t="shared" si="207"/>
        <v>0</v>
      </c>
      <c r="DW174" s="677">
        <f t="shared" si="251"/>
        <v>0</v>
      </c>
      <c r="DX174" s="678">
        <f t="shared" si="252"/>
        <v>0</v>
      </c>
      <c r="DY174" s="679">
        <f t="shared" si="253"/>
        <v>0</v>
      </c>
      <c r="DZ174" s="680"/>
      <c r="EA174" s="681"/>
      <c r="EB174" s="682"/>
      <c r="EC174" s="682"/>
      <c r="ED174" s="683"/>
      <c r="EE174" s="684"/>
      <c r="EF174" s="680"/>
      <c r="EG174" s="681"/>
      <c r="EH174" s="682"/>
      <c r="EI174" s="682"/>
      <c r="EJ174" s="683"/>
      <c r="EK174" s="684"/>
      <c r="EL174" s="680"/>
      <c r="EM174" s="681"/>
      <c r="EN174" s="682"/>
      <c r="EO174" s="682"/>
      <c r="EP174" s="683"/>
      <c r="EQ174" s="684"/>
      <c r="ER174" s="680"/>
      <c r="ES174" s="681"/>
      <c r="ET174" s="682"/>
      <c r="EU174" s="682"/>
      <c r="EV174" s="683"/>
      <c r="EW174" s="684"/>
      <c r="EX174" s="675"/>
      <c r="EY174" s="676">
        <f t="shared" si="208"/>
        <v>0</v>
      </c>
      <c r="EZ174" s="677">
        <f t="shared" si="209"/>
        <v>0</v>
      </c>
      <c r="FA174" s="677">
        <f t="shared" si="254"/>
        <v>0</v>
      </c>
      <c r="FB174" s="678">
        <f t="shared" si="255"/>
        <v>0</v>
      </c>
      <c r="FC174" s="679">
        <f t="shared" si="256"/>
        <v>0</v>
      </c>
      <c r="FD174" s="680"/>
      <c r="FE174" s="681"/>
      <c r="FF174" s="682"/>
      <c r="FG174" s="682"/>
      <c r="FH174" s="683"/>
      <c r="FI174" s="684"/>
      <c r="FJ174" s="680"/>
      <c r="FK174" s="681"/>
      <c r="FL174" s="682"/>
      <c r="FM174" s="682"/>
      <c r="FN174" s="683"/>
      <c r="FO174" s="684"/>
      <c r="FP174" s="680"/>
      <c r="FQ174" s="681"/>
      <c r="FR174" s="682"/>
      <c r="FS174" s="682"/>
      <c r="FT174" s="683"/>
      <c r="FU174" s="684"/>
      <c r="FV174" s="680"/>
      <c r="FW174" s="681"/>
      <c r="FX174" s="682"/>
      <c r="FY174" s="682"/>
      <c r="FZ174" s="683"/>
      <c r="GA174" s="684"/>
      <c r="GB174" s="675"/>
      <c r="GC174" s="676">
        <f t="shared" si="210"/>
        <v>0</v>
      </c>
      <c r="GD174" s="677">
        <f t="shared" si="211"/>
        <v>0</v>
      </c>
      <c r="GE174" s="677">
        <f t="shared" si="257"/>
        <v>0</v>
      </c>
      <c r="GF174" s="678">
        <f t="shared" si="258"/>
        <v>0</v>
      </c>
      <c r="GG174" s="679">
        <f t="shared" si="259"/>
        <v>0</v>
      </c>
      <c r="GH174" s="680"/>
      <c r="GI174" s="681"/>
      <c r="GJ174" s="682"/>
      <c r="GK174" s="682"/>
      <c r="GL174" s="683"/>
      <c r="GM174" s="684"/>
      <c r="GN174" s="680"/>
      <c r="GO174" s="681"/>
      <c r="GP174" s="682"/>
      <c r="GQ174" s="682"/>
      <c r="GR174" s="683"/>
      <c r="GS174" s="684"/>
      <c r="GT174" s="680"/>
      <c r="GU174" s="681"/>
      <c r="GV174" s="682"/>
      <c r="GW174" s="682"/>
      <c r="GX174" s="683"/>
      <c r="GY174" s="684"/>
      <c r="GZ174" s="680"/>
      <c r="HA174" s="147"/>
      <c r="HB174" s="148"/>
      <c r="HC174" s="148"/>
      <c r="HD174" s="149"/>
      <c r="HE174" s="150"/>
      <c r="HF174" s="506"/>
      <c r="HG174" s="502"/>
      <c r="HH174" s="502"/>
      <c r="HI174" s="502"/>
      <c r="HJ174" s="8"/>
    </row>
    <row r="175" spans="2:218" ht="21">
      <c r="B175" s="488">
        <v>131</v>
      </c>
      <c r="C175" s="489" t="s">
        <v>255</v>
      </c>
      <c r="D175" s="490" t="s">
        <v>281</v>
      </c>
      <c r="E175" s="491" t="s">
        <v>427</v>
      </c>
      <c r="F175" s="492"/>
      <c r="G175" s="493"/>
      <c r="H175" s="146" t="s">
        <v>486</v>
      </c>
      <c r="I175" s="494" t="str">
        <f t="shared" si="177"/>
        <v>ons</v>
      </c>
      <c r="J175" s="495"/>
      <c r="K175" s="151">
        <v>0.8</v>
      </c>
      <c r="L175" s="256"/>
      <c r="M175" s="256">
        <f>IF($C$5&lt;3000,(Bron!H164*$C$5)+Bron!I164,(Bron!M164*$C$5)+Bron!N164)</f>
        <v>0</v>
      </c>
      <c r="N175" s="496">
        <f t="shared" si="175"/>
        <v>582.039984</v>
      </c>
      <c r="O175" s="497" t="s">
        <v>17</v>
      </c>
      <c r="P175" s="257"/>
      <c r="Q175" s="257">
        <f>IF($C$5&lt;3000,$AN$31*Bron!K164,$AN$31*Bron!P164)</f>
        <v>2291.4960000000001</v>
      </c>
      <c r="R175" s="257">
        <f>IF($C$5&lt;3000,$AN$33*Bron!J164,$AN$33*Bron!O164)</f>
        <v>0</v>
      </c>
      <c r="S175" s="344"/>
      <c r="T175" s="258">
        <f t="shared" si="178"/>
        <v>1</v>
      </c>
      <c r="U175" s="259">
        <f t="shared" si="179"/>
        <v>0</v>
      </c>
      <c r="V175" s="675"/>
      <c r="W175" s="676">
        <f t="shared" si="180"/>
        <v>0</v>
      </c>
      <c r="X175" s="677">
        <f t="shared" si="181"/>
        <v>0</v>
      </c>
      <c r="Y175" s="677">
        <f t="shared" si="212"/>
        <v>0</v>
      </c>
      <c r="Z175" s="678">
        <f t="shared" si="213"/>
        <v>0</v>
      </c>
      <c r="AA175" s="679">
        <f t="shared" si="214"/>
        <v>0</v>
      </c>
      <c r="AB175" s="675"/>
      <c r="AC175" s="676">
        <f t="shared" si="182"/>
        <v>0</v>
      </c>
      <c r="AD175" s="677">
        <f t="shared" si="183"/>
        <v>0</v>
      </c>
      <c r="AE175" s="677">
        <f t="shared" si="215"/>
        <v>0</v>
      </c>
      <c r="AF175" s="678">
        <f t="shared" si="216"/>
        <v>0</v>
      </c>
      <c r="AG175" s="679">
        <f t="shared" si="217"/>
        <v>0</v>
      </c>
      <c r="AH175" s="675"/>
      <c r="AI175" s="676">
        <f t="shared" si="184"/>
        <v>0</v>
      </c>
      <c r="AJ175" s="677">
        <f t="shared" si="185"/>
        <v>0</v>
      </c>
      <c r="AK175" s="677">
        <f t="shared" si="218"/>
        <v>0</v>
      </c>
      <c r="AL175" s="678">
        <f t="shared" si="219"/>
        <v>0</v>
      </c>
      <c r="AM175" s="679">
        <f t="shared" si="220"/>
        <v>0</v>
      </c>
      <c r="AN175" s="675"/>
      <c r="AO175" s="676">
        <f t="shared" si="186"/>
        <v>0</v>
      </c>
      <c r="AP175" s="677">
        <f t="shared" si="187"/>
        <v>0</v>
      </c>
      <c r="AQ175" s="677">
        <f t="shared" si="221"/>
        <v>0</v>
      </c>
      <c r="AR175" s="678">
        <f t="shared" si="222"/>
        <v>0</v>
      </c>
      <c r="AS175" s="679">
        <f t="shared" si="223"/>
        <v>0</v>
      </c>
      <c r="AT175" s="675">
        <v>0.2</v>
      </c>
      <c r="AU175" s="676">
        <f t="shared" si="188"/>
        <v>0</v>
      </c>
      <c r="AV175" s="677">
        <f t="shared" si="189"/>
        <v>0</v>
      </c>
      <c r="AW175" s="677">
        <f t="shared" si="224"/>
        <v>458.29920000000004</v>
      </c>
      <c r="AX175" s="678">
        <f t="shared" si="225"/>
        <v>0</v>
      </c>
      <c r="AY175" s="679">
        <f t="shared" si="226"/>
        <v>116.40799680000001</v>
      </c>
      <c r="AZ175" s="675"/>
      <c r="BA175" s="676">
        <f t="shared" si="190"/>
        <v>0</v>
      </c>
      <c r="BB175" s="677">
        <f t="shared" si="191"/>
        <v>0</v>
      </c>
      <c r="BC175" s="677">
        <f t="shared" si="227"/>
        <v>0</v>
      </c>
      <c r="BD175" s="678">
        <f t="shared" si="228"/>
        <v>0</v>
      </c>
      <c r="BE175" s="679">
        <f t="shared" si="229"/>
        <v>0</v>
      </c>
      <c r="BF175" s="675"/>
      <c r="BG175" s="676">
        <f t="shared" si="192"/>
        <v>0</v>
      </c>
      <c r="BH175" s="677">
        <f t="shared" si="193"/>
        <v>0</v>
      </c>
      <c r="BI175" s="677">
        <f t="shared" si="230"/>
        <v>0</v>
      </c>
      <c r="BJ175" s="678">
        <f t="shared" si="231"/>
        <v>0</v>
      </c>
      <c r="BK175" s="679">
        <f t="shared" si="232"/>
        <v>0</v>
      </c>
      <c r="BL175" s="675"/>
      <c r="BM175" s="676">
        <f t="shared" si="194"/>
        <v>0</v>
      </c>
      <c r="BN175" s="677">
        <f t="shared" si="195"/>
        <v>0</v>
      </c>
      <c r="BO175" s="677">
        <f t="shared" si="233"/>
        <v>0</v>
      </c>
      <c r="BP175" s="678">
        <f t="shared" si="234"/>
        <v>0</v>
      </c>
      <c r="BQ175" s="679">
        <f t="shared" si="235"/>
        <v>0</v>
      </c>
      <c r="BR175" s="675"/>
      <c r="BS175" s="676">
        <f t="shared" si="196"/>
        <v>0</v>
      </c>
      <c r="BT175" s="677">
        <f t="shared" si="197"/>
        <v>0</v>
      </c>
      <c r="BU175" s="677">
        <f t="shared" si="236"/>
        <v>0</v>
      </c>
      <c r="BV175" s="678">
        <f t="shared" si="237"/>
        <v>0</v>
      </c>
      <c r="BW175" s="679">
        <f t="shared" si="238"/>
        <v>0</v>
      </c>
      <c r="BX175" s="675"/>
      <c r="BY175" s="676">
        <f t="shared" si="198"/>
        <v>0</v>
      </c>
      <c r="BZ175" s="677">
        <f t="shared" si="199"/>
        <v>0</v>
      </c>
      <c r="CA175" s="677">
        <f t="shared" si="239"/>
        <v>0</v>
      </c>
      <c r="CB175" s="678">
        <f t="shared" si="240"/>
        <v>0</v>
      </c>
      <c r="CC175" s="679">
        <f t="shared" si="241"/>
        <v>0</v>
      </c>
      <c r="CD175" s="675"/>
      <c r="CE175" s="676">
        <f t="shared" si="200"/>
        <v>0</v>
      </c>
      <c r="CF175" s="677">
        <f t="shared" si="201"/>
        <v>0</v>
      </c>
      <c r="CG175" s="677">
        <f t="shared" si="242"/>
        <v>0</v>
      </c>
      <c r="CH175" s="678">
        <f t="shared" si="243"/>
        <v>0</v>
      </c>
      <c r="CI175" s="679">
        <f t="shared" si="244"/>
        <v>0</v>
      </c>
      <c r="CJ175" s="675"/>
      <c r="CK175" s="676">
        <f t="shared" si="202"/>
        <v>0</v>
      </c>
      <c r="CL175" s="677">
        <f t="shared" si="203"/>
        <v>0</v>
      </c>
      <c r="CM175" s="677">
        <f t="shared" si="245"/>
        <v>0</v>
      </c>
      <c r="CN175" s="678">
        <f t="shared" si="246"/>
        <v>0</v>
      </c>
      <c r="CO175" s="679">
        <f t="shared" si="247"/>
        <v>0</v>
      </c>
      <c r="CP175" s="675"/>
      <c r="CQ175" s="676">
        <f t="shared" si="204"/>
        <v>0</v>
      </c>
      <c r="CR175" s="677">
        <f t="shared" si="205"/>
        <v>0</v>
      </c>
      <c r="CS175" s="677">
        <f t="shared" si="248"/>
        <v>0</v>
      </c>
      <c r="CT175" s="678">
        <f t="shared" si="249"/>
        <v>0</v>
      </c>
      <c r="CU175" s="679">
        <f t="shared" si="250"/>
        <v>0</v>
      </c>
      <c r="CV175" s="685"/>
      <c r="CW175" s="681"/>
      <c r="CX175" s="682"/>
      <c r="CY175" s="682"/>
      <c r="CZ175" s="683"/>
      <c r="DA175" s="684"/>
      <c r="DB175" s="685"/>
      <c r="DC175" s="681"/>
      <c r="DD175" s="682"/>
      <c r="DE175" s="682"/>
      <c r="DF175" s="683"/>
      <c r="DG175" s="684"/>
      <c r="DH175" s="685"/>
      <c r="DI175" s="681"/>
      <c r="DJ175" s="682"/>
      <c r="DK175" s="682"/>
      <c r="DL175" s="683"/>
      <c r="DM175" s="684"/>
      <c r="DN175" s="685"/>
      <c r="DO175" s="681"/>
      <c r="DP175" s="682"/>
      <c r="DQ175" s="682"/>
      <c r="DR175" s="683"/>
      <c r="DS175" s="684"/>
      <c r="DT175" s="675"/>
      <c r="DU175" s="676">
        <f t="shared" si="206"/>
        <v>0</v>
      </c>
      <c r="DV175" s="677">
        <f t="shared" si="207"/>
        <v>0</v>
      </c>
      <c r="DW175" s="677">
        <f t="shared" si="251"/>
        <v>0</v>
      </c>
      <c r="DX175" s="678">
        <f t="shared" si="252"/>
        <v>0</v>
      </c>
      <c r="DY175" s="679">
        <f t="shared" si="253"/>
        <v>0</v>
      </c>
      <c r="DZ175" s="680"/>
      <c r="EA175" s="681"/>
      <c r="EB175" s="682"/>
      <c r="EC175" s="682"/>
      <c r="ED175" s="683"/>
      <c r="EE175" s="684"/>
      <c r="EF175" s="680"/>
      <c r="EG175" s="681"/>
      <c r="EH175" s="682"/>
      <c r="EI175" s="682"/>
      <c r="EJ175" s="683"/>
      <c r="EK175" s="684"/>
      <c r="EL175" s="680"/>
      <c r="EM175" s="681"/>
      <c r="EN175" s="682"/>
      <c r="EO175" s="682"/>
      <c r="EP175" s="683"/>
      <c r="EQ175" s="684"/>
      <c r="ER175" s="680"/>
      <c r="ES175" s="681"/>
      <c r="ET175" s="682"/>
      <c r="EU175" s="682"/>
      <c r="EV175" s="683"/>
      <c r="EW175" s="684"/>
      <c r="EX175" s="675"/>
      <c r="EY175" s="676">
        <f t="shared" si="208"/>
        <v>0</v>
      </c>
      <c r="EZ175" s="677">
        <f t="shared" si="209"/>
        <v>0</v>
      </c>
      <c r="FA175" s="677">
        <f t="shared" si="254"/>
        <v>0</v>
      </c>
      <c r="FB175" s="678">
        <f t="shared" si="255"/>
        <v>0</v>
      </c>
      <c r="FC175" s="679">
        <f t="shared" si="256"/>
        <v>0</v>
      </c>
      <c r="FD175" s="680"/>
      <c r="FE175" s="681"/>
      <c r="FF175" s="682"/>
      <c r="FG175" s="682"/>
      <c r="FH175" s="683"/>
      <c r="FI175" s="684"/>
      <c r="FJ175" s="680"/>
      <c r="FK175" s="681"/>
      <c r="FL175" s="682"/>
      <c r="FM175" s="682"/>
      <c r="FN175" s="683"/>
      <c r="FO175" s="684"/>
      <c r="FP175" s="680"/>
      <c r="FQ175" s="681"/>
      <c r="FR175" s="682"/>
      <c r="FS175" s="682"/>
      <c r="FT175" s="683"/>
      <c r="FU175" s="684"/>
      <c r="FV175" s="680"/>
      <c r="FW175" s="681"/>
      <c r="FX175" s="682"/>
      <c r="FY175" s="682"/>
      <c r="FZ175" s="683"/>
      <c r="GA175" s="684"/>
      <c r="GB175" s="675"/>
      <c r="GC175" s="676">
        <f t="shared" si="210"/>
        <v>0</v>
      </c>
      <c r="GD175" s="677">
        <f t="shared" si="211"/>
        <v>0</v>
      </c>
      <c r="GE175" s="677">
        <f t="shared" si="257"/>
        <v>0</v>
      </c>
      <c r="GF175" s="678">
        <f t="shared" si="258"/>
        <v>0</v>
      </c>
      <c r="GG175" s="679">
        <f t="shared" si="259"/>
        <v>0</v>
      </c>
      <c r="GH175" s="680"/>
      <c r="GI175" s="681"/>
      <c r="GJ175" s="682"/>
      <c r="GK175" s="682"/>
      <c r="GL175" s="683"/>
      <c r="GM175" s="684"/>
      <c r="GN175" s="680"/>
      <c r="GO175" s="681"/>
      <c r="GP175" s="682"/>
      <c r="GQ175" s="682"/>
      <c r="GR175" s="683"/>
      <c r="GS175" s="684"/>
      <c r="GT175" s="680"/>
      <c r="GU175" s="681"/>
      <c r="GV175" s="682"/>
      <c r="GW175" s="682"/>
      <c r="GX175" s="683"/>
      <c r="GY175" s="684"/>
      <c r="GZ175" s="680"/>
      <c r="HA175" s="147"/>
      <c r="HB175" s="148"/>
      <c r="HC175" s="148"/>
      <c r="HD175" s="149"/>
      <c r="HE175" s="150"/>
      <c r="HF175" s="506"/>
      <c r="HG175" s="502"/>
      <c r="HH175" s="502"/>
      <c r="HI175" s="502"/>
      <c r="HJ175" s="8"/>
    </row>
    <row r="176" spans="2:218" ht="21">
      <c r="B176" s="488">
        <v>132</v>
      </c>
      <c r="C176" s="489" t="s">
        <v>283</v>
      </c>
      <c r="D176" s="490" t="s">
        <v>282</v>
      </c>
      <c r="E176" s="491" t="s">
        <v>284</v>
      </c>
      <c r="F176" s="492"/>
      <c r="G176" s="493"/>
      <c r="H176" s="146" t="s">
        <v>486</v>
      </c>
      <c r="I176" s="494" t="str">
        <f t="shared" si="177"/>
        <v>ons</v>
      </c>
      <c r="J176" s="495"/>
      <c r="K176" s="151">
        <v>0.8</v>
      </c>
      <c r="L176" s="256"/>
      <c r="M176" s="256">
        <f>IF($C$5&lt;3000,(Bron!H165*$C$5)+Bron!I165,(Bron!M165*$C$5)+Bron!N165)</f>
        <v>0</v>
      </c>
      <c r="N176" s="496">
        <f t="shared" si="175"/>
        <v>630.54331599999989</v>
      </c>
      <c r="O176" s="497">
        <f t="shared" si="176"/>
        <v>0</v>
      </c>
      <c r="P176" s="257">
        <f>IF($C$5&lt;3000,$AN$32*Bron!J165,$AN$32*Bron!O165)</f>
        <v>0</v>
      </c>
      <c r="Q176" s="257">
        <f>IF($C$5&lt;3000,$AN$31*Bron!K165,$AN$31*Bron!P165)</f>
        <v>2482.4539999999997</v>
      </c>
      <c r="R176" s="257">
        <f>IF($C$5&lt;3000,$AN$33*Bron!J165,$AN$33*Bron!O165)</f>
        <v>0</v>
      </c>
      <c r="S176" s="344"/>
      <c r="T176" s="258">
        <f t="shared" si="178"/>
        <v>1</v>
      </c>
      <c r="U176" s="259">
        <f t="shared" si="179"/>
        <v>0</v>
      </c>
      <c r="V176" s="675"/>
      <c r="W176" s="676">
        <f t="shared" si="180"/>
        <v>0</v>
      </c>
      <c r="X176" s="677">
        <f t="shared" si="181"/>
        <v>0</v>
      </c>
      <c r="Y176" s="677">
        <f t="shared" si="212"/>
        <v>0</v>
      </c>
      <c r="Z176" s="678">
        <f t="shared" si="213"/>
        <v>0</v>
      </c>
      <c r="AA176" s="679">
        <f t="shared" si="214"/>
        <v>0</v>
      </c>
      <c r="AB176" s="675"/>
      <c r="AC176" s="676">
        <f t="shared" si="182"/>
        <v>0</v>
      </c>
      <c r="AD176" s="677">
        <f t="shared" si="183"/>
        <v>0</v>
      </c>
      <c r="AE176" s="677">
        <f t="shared" si="215"/>
        <v>0</v>
      </c>
      <c r="AF176" s="678">
        <f t="shared" si="216"/>
        <v>0</v>
      </c>
      <c r="AG176" s="679">
        <f t="shared" si="217"/>
        <v>0</v>
      </c>
      <c r="AH176" s="675"/>
      <c r="AI176" s="676">
        <f t="shared" si="184"/>
        <v>0</v>
      </c>
      <c r="AJ176" s="677">
        <f t="shared" si="185"/>
        <v>0</v>
      </c>
      <c r="AK176" s="677">
        <f t="shared" si="218"/>
        <v>0</v>
      </c>
      <c r="AL176" s="678">
        <f t="shared" si="219"/>
        <v>0</v>
      </c>
      <c r="AM176" s="679">
        <f t="shared" si="220"/>
        <v>0</v>
      </c>
      <c r="AN176" s="675"/>
      <c r="AO176" s="676">
        <f t="shared" si="186"/>
        <v>0</v>
      </c>
      <c r="AP176" s="677">
        <f t="shared" si="187"/>
        <v>0</v>
      </c>
      <c r="AQ176" s="677">
        <f t="shared" si="221"/>
        <v>0</v>
      </c>
      <c r="AR176" s="678">
        <f t="shared" si="222"/>
        <v>0</v>
      </c>
      <c r="AS176" s="679">
        <f t="shared" si="223"/>
        <v>0</v>
      </c>
      <c r="AT176" s="675">
        <v>0.2</v>
      </c>
      <c r="AU176" s="676">
        <f t="shared" si="188"/>
        <v>0</v>
      </c>
      <c r="AV176" s="677">
        <f t="shared" si="189"/>
        <v>0</v>
      </c>
      <c r="AW176" s="677">
        <f t="shared" si="224"/>
        <v>496.49079999999998</v>
      </c>
      <c r="AX176" s="678">
        <f t="shared" si="225"/>
        <v>0</v>
      </c>
      <c r="AY176" s="679">
        <f t="shared" si="226"/>
        <v>126.10866319999998</v>
      </c>
      <c r="AZ176" s="675"/>
      <c r="BA176" s="676">
        <f t="shared" si="190"/>
        <v>0</v>
      </c>
      <c r="BB176" s="677">
        <f t="shared" si="191"/>
        <v>0</v>
      </c>
      <c r="BC176" s="677">
        <f t="shared" si="227"/>
        <v>0</v>
      </c>
      <c r="BD176" s="678">
        <f t="shared" si="228"/>
        <v>0</v>
      </c>
      <c r="BE176" s="679">
        <f t="shared" si="229"/>
        <v>0</v>
      </c>
      <c r="BF176" s="675"/>
      <c r="BG176" s="676">
        <f t="shared" si="192"/>
        <v>0</v>
      </c>
      <c r="BH176" s="677">
        <f t="shared" si="193"/>
        <v>0</v>
      </c>
      <c r="BI176" s="677">
        <f t="shared" si="230"/>
        <v>0</v>
      </c>
      <c r="BJ176" s="678">
        <f t="shared" si="231"/>
        <v>0</v>
      </c>
      <c r="BK176" s="679">
        <f t="shared" si="232"/>
        <v>0</v>
      </c>
      <c r="BL176" s="675"/>
      <c r="BM176" s="676">
        <f t="shared" si="194"/>
        <v>0</v>
      </c>
      <c r="BN176" s="677">
        <f t="shared" si="195"/>
        <v>0</v>
      </c>
      <c r="BO176" s="677">
        <f t="shared" si="233"/>
        <v>0</v>
      </c>
      <c r="BP176" s="678">
        <f t="shared" si="234"/>
        <v>0</v>
      </c>
      <c r="BQ176" s="679">
        <f t="shared" si="235"/>
        <v>0</v>
      </c>
      <c r="BR176" s="675"/>
      <c r="BS176" s="676">
        <f t="shared" si="196"/>
        <v>0</v>
      </c>
      <c r="BT176" s="677">
        <f t="shared" si="197"/>
        <v>0</v>
      </c>
      <c r="BU176" s="677">
        <f t="shared" si="236"/>
        <v>0</v>
      </c>
      <c r="BV176" s="678">
        <f t="shared" si="237"/>
        <v>0</v>
      </c>
      <c r="BW176" s="679">
        <f t="shared" si="238"/>
        <v>0</v>
      </c>
      <c r="BX176" s="675"/>
      <c r="BY176" s="676">
        <f t="shared" si="198"/>
        <v>0</v>
      </c>
      <c r="BZ176" s="677">
        <f t="shared" si="199"/>
        <v>0</v>
      </c>
      <c r="CA176" s="677">
        <f t="shared" si="239"/>
        <v>0</v>
      </c>
      <c r="CB176" s="678">
        <f t="shared" si="240"/>
        <v>0</v>
      </c>
      <c r="CC176" s="679">
        <f t="shared" si="241"/>
        <v>0</v>
      </c>
      <c r="CD176" s="675"/>
      <c r="CE176" s="676">
        <f t="shared" si="200"/>
        <v>0</v>
      </c>
      <c r="CF176" s="677">
        <f t="shared" si="201"/>
        <v>0</v>
      </c>
      <c r="CG176" s="677">
        <f t="shared" si="242"/>
        <v>0</v>
      </c>
      <c r="CH176" s="678">
        <f t="shared" si="243"/>
        <v>0</v>
      </c>
      <c r="CI176" s="679">
        <f t="shared" si="244"/>
        <v>0</v>
      </c>
      <c r="CJ176" s="675"/>
      <c r="CK176" s="676">
        <f t="shared" si="202"/>
        <v>0</v>
      </c>
      <c r="CL176" s="677">
        <f t="shared" si="203"/>
        <v>0</v>
      </c>
      <c r="CM176" s="677">
        <f t="shared" si="245"/>
        <v>0</v>
      </c>
      <c r="CN176" s="678">
        <f t="shared" si="246"/>
        <v>0</v>
      </c>
      <c r="CO176" s="679">
        <f t="shared" si="247"/>
        <v>0</v>
      </c>
      <c r="CP176" s="675"/>
      <c r="CQ176" s="676">
        <f t="shared" si="204"/>
        <v>0</v>
      </c>
      <c r="CR176" s="677">
        <f t="shared" si="205"/>
        <v>0</v>
      </c>
      <c r="CS176" s="677">
        <f t="shared" si="248"/>
        <v>0</v>
      </c>
      <c r="CT176" s="678">
        <f t="shared" si="249"/>
        <v>0</v>
      </c>
      <c r="CU176" s="679">
        <f t="shared" si="250"/>
        <v>0</v>
      </c>
      <c r="CV176" s="685"/>
      <c r="CW176" s="681"/>
      <c r="CX176" s="682"/>
      <c r="CY176" s="682"/>
      <c r="CZ176" s="683"/>
      <c r="DA176" s="684"/>
      <c r="DB176" s="685"/>
      <c r="DC176" s="681"/>
      <c r="DD176" s="682"/>
      <c r="DE176" s="682"/>
      <c r="DF176" s="683"/>
      <c r="DG176" s="684"/>
      <c r="DH176" s="685"/>
      <c r="DI176" s="681"/>
      <c r="DJ176" s="682"/>
      <c r="DK176" s="682"/>
      <c r="DL176" s="683"/>
      <c r="DM176" s="684"/>
      <c r="DN176" s="685"/>
      <c r="DO176" s="681"/>
      <c r="DP176" s="682"/>
      <c r="DQ176" s="682"/>
      <c r="DR176" s="683"/>
      <c r="DS176" s="684"/>
      <c r="DT176" s="675"/>
      <c r="DU176" s="676">
        <f t="shared" si="206"/>
        <v>0</v>
      </c>
      <c r="DV176" s="677">
        <f t="shared" si="207"/>
        <v>0</v>
      </c>
      <c r="DW176" s="677">
        <f t="shared" si="251"/>
        <v>0</v>
      </c>
      <c r="DX176" s="678">
        <f t="shared" si="252"/>
        <v>0</v>
      </c>
      <c r="DY176" s="679">
        <f t="shared" si="253"/>
        <v>0</v>
      </c>
      <c r="DZ176" s="680"/>
      <c r="EA176" s="681"/>
      <c r="EB176" s="682"/>
      <c r="EC176" s="682"/>
      <c r="ED176" s="683"/>
      <c r="EE176" s="684"/>
      <c r="EF176" s="680"/>
      <c r="EG176" s="681"/>
      <c r="EH176" s="682"/>
      <c r="EI176" s="682"/>
      <c r="EJ176" s="683"/>
      <c r="EK176" s="684"/>
      <c r="EL176" s="680"/>
      <c r="EM176" s="681"/>
      <c r="EN176" s="682"/>
      <c r="EO176" s="682"/>
      <c r="EP176" s="683"/>
      <c r="EQ176" s="684"/>
      <c r="ER176" s="680"/>
      <c r="ES176" s="681"/>
      <c r="ET176" s="682"/>
      <c r="EU176" s="682"/>
      <c r="EV176" s="683"/>
      <c r="EW176" s="684"/>
      <c r="EX176" s="675"/>
      <c r="EY176" s="676">
        <f t="shared" si="208"/>
        <v>0</v>
      </c>
      <c r="EZ176" s="677">
        <f t="shared" si="209"/>
        <v>0</v>
      </c>
      <c r="FA176" s="677">
        <f t="shared" si="254"/>
        <v>0</v>
      </c>
      <c r="FB176" s="678">
        <f t="shared" si="255"/>
        <v>0</v>
      </c>
      <c r="FC176" s="679">
        <f t="shared" si="256"/>
        <v>0</v>
      </c>
      <c r="FD176" s="680"/>
      <c r="FE176" s="681"/>
      <c r="FF176" s="682"/>
      <c r="FG176" s="682"/>
      <c r="FH176" s="683"/>
      <c r="FI176" s="684"/>
      <c r="FJ176" s="680"/>
      <c r="FK176" s="681"/>
      <c r="FL176" s="682"/>
      <c r="FM176" s="682"/>
      <c r="FN176" s="683"/>
      <c r="FO176" s="684"/>
      <c r="FP176" s="680"/>
      <c r="FQ176" s="681"/>
      <c r="FR176" s="682"/>
      <c r="FS176" s="682"/>
      <c r="FT176" s="683"/>
      <c r="FU176" s="684"/>
      <c r="FV176" s="680"/>
      <c r="FW176" s="681"/>
      <c r="FX176" s="682"/>
      <c r="FY176" s="682"/>
      <c r="FZ176" s="683"/>
      <c r="GA176" s="684"/>
      <c r="GB176" s="675"/>
      <c r="GC176" s="676">
        <f t="shared" si="210"/>
        <v>0</v>
      </c>
      <c r="GD176" s="677">
        <f t="shared" si="211"/>
        <v>0</v>
      </c>
      <c r="GE176" s="677">
        <f t="shared" si="257"/>
        <v>0</v>
      </c>
      <c r="GF176" s="678">
        <f t="shared" si="258"/>
        <v>0</v>
      </c>
      <c r="GG176" s="679">
        <f t="shared" si="259"/>
        <v>0</v>
      </c>
      <c r="GH176" s="680"/>
      <c r="GI176" s="681"/>
      <c r="GJ176" s="682"/>
      <c r="GK176" s="682"/>
      <c r="GL176" s="683"/>
      <c r="GM176" s="684"/>
      <c r="GN176" s="680"/>
      <c r="GO176" s="681"/>
      <c r="GP176" s="682"/>
      <c r="GQ176" s="682"/>
      <c r="GR176" s="683"/>
      <c r="GS176" s="684"/>
      <c r="GT176" s="680"/>
      <c r="GU176" s="681"/>
      <c r="GV176" s="682"/>
      <c r="GW176" s="682"/>
      <c r="GX176" s="683"/>
      <c r="GY176" s="684"/>
      <c r="GZ176" s="680"/>
      <c r="HA176" s="147"/>
      <c r="HB176" s="148"/>
      <c r="HC176" s="148"/>
      <c r="HD176" s="149"/>
      <c r="HE176" s="150"/>
      <c r="HF176" s="506"/>
      <c r="HG176" s="502"/>
      <c r="HH176" s="502"/>
      <c r="HI176" s="502"/>
      <c r="HJ176" s="8"/>
    </row>
    <row r="177" spans="2:218" ht="21" hidden="1">
      <c r="B177" s="488">
        <v>133</v>
      </c>
      <c r="C177" s="489" t="s">
        <v>283</v>
      </c>
      <c r="D177" s="490" t="s">
        <v>285</v>
      </c>
      <c r="E177" s="491" t="s">
        <v>286</v>
      </c>
      <c r="F177" s="492"/>
      <c r="G177" s="493"/>
      <c r="H177" s="146" t="s">
        <v>97</v>
      </c>
      <c r="I177" s="494" t="str">
        <f t="shared" si="177"/>
        <v>n.v.t.</v>
      </c>
      <c r="J177" s="495"/>
      <c r="K177" s="151">
        <v>0</v>
      </c>
      <c r="L177" s="256"/>
      <c r="M177" s="256">
        <f>IF($C$5&lt;3000,(Bron!H166*$C$5)+Bron!I166,(Bron!M166*$C$5)+Bron!N166)</f>
        <v>0</v>
      </c>
      <c r="N177" s="496">
        <f t="shared" si="175"/>
        <v>622.90358363139626</v>
      </c>
      <c r="O177" s="497">
        <f t="shared" si="176"/>
        <v>0</v>
      </c>
      <c r="P177" s="257">
        <f>IF($C$5&lt;3000,$AN$32*Bron!J166,$AN$32*Bron!O166)</f>
        <v>0</v>
      </c>
      <c r="Q177" s="257">
        <f>IF($C$5&lt;3000,$AN$31*Bron!K166,$AN$31*Bron!P166)</f>
        <v>2452.3763135094341</v>
      </c>
      <c r="R177" s="257">
        <f>IF($C$5&lt;3000,$AN$33*Bron!J166,$AN$33*Bron!O166)</f>
        <v>0</v>
      </c>
      <c r="S177" s="344"/>
      <c r="T177" s="258">
        <f t="shared" si="178"/>
        <v>0</v>
      </c>
      <c r="U177" s="259">
        <f t="shared" si="179"/>
        <v>0</v>
      </c>
      <c r="V177" s="675"/>
      <c r="W177" s="676">
        <f t="shared" si="180"/>
        <v>0</v>
      </c>
      <c r="X177" s="677">
        <f t="shared" si="181"/>
        <v>0</v>
      </c>
      <c r="Y177" s="677">
        <f t="shared" si="212"/>
        <v>0</v>
      </c>
      <c r="Z177" s="678">
        <f t="shared" si="213"/>
        <v>0</v>
      </c>
      <c r="AA177" s="679">
        <f t="shared" si="214"/>
        <v>0</v>
      </c>
      <c r="AB177" s="675"/>
      <c r="AC177" s="676">
        <f t="shared" si="182"/>
        <v>0</v>
      </c>
      <c r="AD177" s="677">
        <f t="shared" si="183"/>
        <v>0</v>
      </c>
      <c r="AE177" s="677">
        <f t="shared" si="215"/>
        <v>0</v>
      </c>
      <c r="AF177" s="678">
        <f t="shared" si="216"/>
        <v>0</v>
      </c>
      <c r="AG177" s="679">
        <f t="shared" si="217"/>
        <v>0</v>
      </c>
      <c r="AH177" s="675"/>
      <c r="AI177" s="676">
        <f t="shared" si="184"/>
        <v>0</v>
      </c>
      <c r="AJ177" s="677">
        <f t="shared" si="185"/>
        <v>0</v>
      </c>
      <c r="AK177" s="677">
        <f t="shared" si="218"/>
        <v>0</v>
      </c>
      <c r="AL177" s="678">
        <f t="shared" si="219"/>
        <v>0</v>
      </c>
      <c r="AM177" s="679">
        <f t="shared" si="220"/>
        <v>0</v>
      </c>
      <c r="AN177" s="675"/>
      <c r="AO177" s="676">
        <f t="shared" si="186"/>
        <v>0</v>
      </c>
      <c r="AP177" s="677">
        <f t="shared" si="187"/>
        <v>0</v>
      </c>
      <c r="AQ177" s="677">
        <f t="shared" si="221"/>
        <v>0</v>
      </c>
      <c r="AR177" s="678">
        <f t="shared" si="222"/>
        <v>0</v>
      </c>
      <c r="AS177" s="679">
        <f t="shared" si="223"/>
        <v>0</v>
      </c>
      <c r="AT177" s="675"/>
      <c r="AU177" s="676">
        <f t="shared" si="188"/>
        <v>0</v>
      </c>
      <c r="AV177" s="677">
        <f t="shared" si="189"/>
        <v>0</v>
      </c>
      <c r="AW177" s="677">
        <f t="shared" si="224"/>
        <v>0</v>
      </c>
      <c r="AX177" s="678">
        <f t="shared" si="225"/>
        <v>0</v>
      </c>
      <c r="AY177" s="679">
        <f t="shared" si="226"/>
        <v>0</v>
      </c>
      <c r="AZ177" s="675"/>
      <c r="BA177" s="676">
        <f t="shared" si="190"/>
        <v>0</v>
      </c>
      <c r="BB177" s="677">
        <f t="shared" si="191"/>
        <v>0</v>
      </c>
      <c r="BC177" s="677">
        <f t="shared" si="227"/>
        <v>0</v>
      </c>
      <c r="BD177" s="678">
        <f t="shared" si="228"/>
        <v>0</v>
      </c>
      <c r="BE177" s="679">
        <f t="shared" si="229"/>
        <v>0</v>
      </c>
      <c r="BF177" s="675"/>
      <c r="BG177" s="676">
        <f t="shared" si="192"/>
        <v>0</v>
      </c>
      <c r="BH177" s="677">
        <f t="shared" si="193"/>
        <v>0</v>
      </c>
      <c r="BI177" s="677">
        <f t="shared" si="230"/>
        <v>0</v>
      </c>
      <c r="BJ177" s="678">
        <f t="shared" si="231"/>
        <v>0</v>
      </c>
      <c r="BK177" s="679">
        <f t="shared" si="232"/>
        <v>0</v>
      </c>
      <c r="BL177" s="675"/>
      <c r="BM177" s="676">
        <f t="shared" si="194"/>
        <v>0</v>
      </c>
      <c r="BN177" s="677">
        <f t="shared" si="195"/>
        <v>0</v>
      </c>
      <c r="BO177" s="677">
        <f t="shared" si="233"/>
        <v>0</v>
      </c>
      <c r="BP177" s="678">
        <f t="shared" si="234"/>
        <v>0</v>
      </c>
      <c r="BQ177" s="679">
        <f t="shared" si="235"/>
        <v>0</v>
      </c>
      <c r="BR177" s="675"/>
      <c r="BS177" s="676">
        <f t="shared" si="196"/>
        <v>0</v>
      </c>
      <c r="BT177" s="677">
        <f t="shared" si="197"/>
        <v>0</v>
      </c>
      <c r="BU177" s="677">
        <f t="shared" si="236"/>
        <v>0</v>
      </c>
      <c r="BV177" s="678">
        <f t="shared" si="237"/>
        <v>0</v>
      </c>
      <c r="BW177" s="679">
        <f t="shared" si="238"/>
        <v>0</v>
      </c>
      <c r="BX177" s="675"/>
      <c r="BY177" s="676">
        <f t="shared" si="198"/>
        <v>0</v>
      </c>
      <c r="BZ177" s="677">
        <f t="shared" si="199"/>
        <v>0</v>
      </c>
      <c r="CA177" s="677">
        <f t="shared" si="239"/>
        <v>0</v>
      </c>
      <c r="CB177" s="678">
        <f t="shared" si="240"/>
        <v>0</v>
      </c>
      <c r="CC177" s="679">
        <f t="shared" si="241"/>
        <v>0</v>
      </c>
      <c r="CD177" s="675"/>
      <c r="CE177" s="676">
        <f t="shared" si="200"/>
        <v>0</v>
      </c>
      <c r="CF177" s="677">
        <f t="shared" si="201"/>
        <v>0</v>
      </c>
      <c r="CG177" s="677">
        <f t="shared" si="242"/>
        <v>0</v>
      </c>
      <c r="CH177" s="678">
        <f t="shared" si="243"/>
        <v>0</v>
      </c>
      <c r="CI177" s="679">
        <f t="shared" si="244"/>
        <v>0</v>
      </c>
      <c r="CJ177" s="675"/>
      <c r="CK177" s="676">
        <f t="shared" si="202"/>
        <v>0</v>
      </c>
      <c r="CL177" s="677">
        <f t="shared" si="203"/>
        <v>0</v>
      </c>
      <c r="CM177" s="677">
        <f t="shared" si="245"/>
        <v>0</v>
      </c>
      <c r="CN177" s="678">
        <f t="shared" si="246"/>
        <v>0</v>
      </c>
      <c r="CO177" s="679">
        <f t="shared" si="247"/>
        <v>0</v>
      </c>
      <c r="CP177" s="675"/>
      <c r="CQ177" s="676">
        <f t="shared" si="204"/>
        <v>0</v>
      </c>
      <c r="CR177" s="677">
        <f t="shared" si="205"/>
        <v>0</v>
      </c>
      <c r="CS177" s="677">
        <f t="shared" si="248"/>
        <v>0</v>
      </c>
      <c r="CT177" s="678">
        <f t="shared" si="249"/>
        <v>0</v>
      </c>
      <c r="CU177" s="679">
        <f t="shared" si="250"/>
        <v>0</v>
      </c>
      <c r="CV177" s="685"/>
      <c r="CW177" s="681"/>
      <c r="CX177" s="682"/>
      <c r="CY177" s="682"/>
      <c r="CZ177" s="683"/>
      <c r="DA177" s="684"/>
      <c r="DB177" s="685"/>
      <c r="DC177" s="681"/>
      <c r="DD177" s="682"/>
      <c r="DE177" s="682"/>
      <c r="DF177" s="683"/>
      <c r="DG177" s="684"/>
      <c r="DH177" s="685"/>
      <c r="DI177" s="681"/>
      <c r="DJ177" s="682"/>
      <c r="DK177" s="682"/>
      <c r="DL177" s="683"/>
      <c r="DM177" s="684"/>
      <c r="DN177" s="685"/>
      <c r="DO177" s="681"/>
      <c r="DP177" s="682"/>
      <c r="DQ177" s="682"/>
      <c r="DR177" s="683"/>
      <c r="DS177" s="684"/>
      <c r="DT177" s="675"/>
      <c r="DU177" s="676">
        <f t="shared" si="206"/>
        <v>0</v>
      </c>
      <c r="DV177" s="677">
        <f t="shared" si="207"/>
        <v>0</v>
      </c>
      <c r="DW177" s="677">
        <f t="shared" si="251"/>
        <v>0</v>
      </c>
      <c r="DX177" s="678">
        <f t="shared" si="252"/>
        <v>0</v>
      </c>
      <c r="DY177" s="679">
        <f t="shared" si="253"/>
        <v>0</v>
      </c>
      <c r="DZ177" s="680"/>
      <c r="EA177" s="681"/>
      <c r="EB177" s="682"/>
      <c r="EC177" s="682"/>
      <c r="ED177" s="683"/>
      <c r="EE177" s="684"/>
      <c r="EF177" s="680"/>
      <c r="EG177" s="681"/>
      <c r="EH177" s="682"/>
      <c r="EI177" s="682"/>
      <c r="EJ177" s="683"/>
      <c r="EK177" s="684"/>
      <c r="EL177" s="680"/>
      <c r="EM177" s="681"/>
      <c r="EN177" s="682"/>
      <c r="EO177" s="682"/>
      <c r="EP177" s="683"/>
      <c r="EQ177" s="684"/>
      <c r="ER177" s="680"/>
      <c r="ES177" s="681"/>
      <c r="ET177" s="682"/>
      <c r="EU177" s="682"/>
      <c r="EV177" s="683"/>
      <c r="EW177" s="684"/>
      <c r="EX177" s="675"/>
      <c r="EY177" s="676">
        <f t="shared" si="208"/>
        <v>0</v>
      </c>
      <c r="EZ177" s="677">
        <f t="shared" si="209"/>
        <v>0</v>
      </c>
      <c r="FA177" s="677">
        <f t="shared" si="254"/>
        <v>0</v>
      </c>
      <c r="FB177" s="678">
        <f t="shared" si="255"/>
        <v>0</v>
      </c>
      <c r="FC177" s="679">
        <f t="shared" si="256"/>
        <v>0</v>
      </c>
      <c r="FD177" s="680"/>
      <c r="FE177" s="681"/>
      <c r="FF177" s="682"/>
      <c r="FG177" s="682"/>
      <c r="FH177" s="683"/>
      <c r="FI177" s="684"/>
      <c r="FJ177" s="680"/>
      <c r="FK177" s="681"/>
      <c r="FL177" s="682"/>
      <c r="FM177" s="682"/>
      <c r="FN177" s="683"/>
      <c r="FO177" s="684"/>
      <c r="FP177" s="680"/>
      <c r="FQ177" s="681"/>
      <c r="FR177" s="682"/>
      <c r="FS177" s="682"/>
      <c r="FT177" s="683"/>
      <c r="FU177" s="684"/>
      <c r="FV177" s="680"/>
      <c r="FW177" s="681"/>
      <c r="FX177" s="682"/>
      <c r="FY177" s="682"/>
      <c r="FZ177" s="683"/>
      <c r="GA177" s="684"/>
      <c r="GB177" s="675"/>
      <c r="GC177" s="676">
        <f t="shared" si="210"/>
        <v>0</v>
      </c>
      <c r="GD177" s="677">
        <f t="shared" si="211"/>
        <v>0</v>
      </c>
      <c r="GE177" s="677">
        <f t="shared" si="257"/>
        <v>0</v>
      </c>
      <c r="GF177" s="678">
        <f t="shared" si="258"/>
        <v>0</v>
      </c>
      <c r="GG177" s="679">
        <f t="shared" si="259"/>
        <v>0</v>
      </c>
      <c r="GH177" s="680"/>
      <c r="GI177" s="681"/>
      <c r="GJ177" s="682"/>
      <c r="GK177" s="682"/>
      <c r="GL177" s="683"/>
      <c r="GM177" s="684"/>
      <c r="GN177" s="680"/>
      <c r="GO177" s="681"/>
      <c r="GP177" s="682"/>
      <c r="GQ177" s="682"/>
      <c r="GR177" s="683"/>
      <c r="GS177" s="684"/>
      <c r="GT177" s="680"/>
      <c r="GU177" s="681"/>
      <c r="GV177" s="682"/>
      <c r="GW177" s="682"/>
      <c r="GX177" s="683"/>
      <c r="GY177" s="684"/>
      <c r="GZ177" s="680"/>
      <c r="HA177" s="147"/>
      <c r="HB177" s="148"/>
      <c r="HC177" s="148"/>
      <c r="HD177" s="149"/>
      <c r="HE177" s="150"/>
      <c r="HF177" s="506"/>
      <c r="HG177" s="502"/>
      <c r="HH177" s="502"/>
      <c r="HI177" s="502"/>
      <c r="HJ177" s="8"/>
    </row>
    <row r="178" spans="2:218" ht="21">
      <c r="B178" s="488">
        <v>134</v>
      </c>
      <c r="C178" s="489" t="s">
        <v>283</v>
      </c>
      <c r="D178" s="490" t="s">
        <v>287</v>
      </c>
      <c r="E178" s="491" t="s">
        <v>288</v>
      </c>
      <c r="F178" s="492"/>
      <c r="G178" s="493"/>
      <c r="H178" s="146" t="s">
        <v>486</v>
      </c>
      <c r="I178" s="494" t="str">
        <f t="shared" si="177"/>
        <v>ons</v>
      </c>
      <c r="J178" s="495"/>
      <c r="K178" s="151">
        <v>0.8</v>
      </c>
      <c r="L178" s="256"/>
      <c r="M178" s="256">
        <f>IF($C$5&lt;3000,(Bron!H167*$C$5)+Bron!I167,(Bron!M167*$C$5)+Bron!N167)</f>
        <v>0</v>
      </c>
      <c r="N178" s="496">
        <f t="shared" si="175"/>
        <v>630.54331599999989</v>
      </c>
      <c r="O178" s="497">
        <f t="shared" si="176"/>
        <v>0</v>
      </c>
      <c r="P178" s="257">
        <f>IF($C$5&lt;3000,$AN$32*Bron!J167,$AN$32*Bron!O167)</f>
        <v>0</v>
      </c>
      <c r="Q178" s="257">
        <f>IF($C$5&lt;3000,$AN$31*Bron!K167,$AN$31*Bron!P167)</f>
        <v>2482.4539999999997</v>
      </c>
      <c r="R178" s="257">
        <f>IF($C$5&lt;3000,$AN$33*Bron!J167,$AN$33*Bron!O167)</f>
        <v>0</v>
      </c>
      <c r="S178" s="344"/>
      <c r="T178" s="258">
        <f t="shared" si="178"/>
        <v>1</v>
      </c>
      <c r="U178" s="259">
        <f t="shared" si="179"/>
        <v>0</v>
      </c>
      <c r="V178" s="675"/>
      <c r="W178" s="676">
        <f t="shared" si="180"/>
        <v>0</v>
      </c>
      <c r="X178" s="677">
        <f t="shared" si="181"/>
        <v>0</v>
      </c>
      <c r="Y178" s="677">
        <f t="shared" si="212"/>
        <v>0</v>
      </c>
      <c r="Z178" s="678">
        <f t="shared" si="213"/>
        <v>0</v>
      </c>
      <c r="AA178" s="679">
        <f t="shared" si="214"/>
        <v>0</v>
      </c>
      <c r="AB178" s="675"/>
      <c r="AC178" s="676">
        <f t="shared" si="182"/>
        <v>0</v>
      </c>
      <c r="AD178" s="677">
        <f t="shared" si="183"/>
        <v>0</v>
      </c>
      <c r="AE178" s="677">
        <f t="shared" si="215"/>
        <v>0</v>
      </c>
      <c r="AF178" s="678">
        <f t="shared" si="216"/>
        <v>0</v>
      </c>
      <c r="AG178" s="679">
        <f t="shared" si="217"/>
        <v>0</v>
      </c>
      <c r="AH178" s="675"/>
      <c r="AI178" s="676">
        <f t="shared" si="184"/>
        <v>0</v>
      </c>
      <c r="AJ178" s="677">
        <f t="shared" si="185"/>
        <v>0</v>
      </c>
      <c r="AK178" s="677">
        <f t="shared" si="218"/>
        <v>0</v>
      </c>
      <c r="AL178" s="678">
        <f t="shared" si="219"/>
        <v>0</v>
      </c>
      <c r="AM178" s="679">
        <f t="shared" si="220"/>
        <v>0</v>
      </c>
      <c r="AN178" s="675"/>
      <c r="AO178" s="676">
        <f t="shared" si="186"/>
        <v>0</v>
      </c>
      <c r="AP178" s="677">
        <f t="shared" si="187"/>
        <v>0</v>
      </c>
      <c r="AQ178" s="677">
        <f t="shared" si="221"/>
        <v>0</v>
      </c>
      <c r="AR178" s="678">
        <f t="shared" si="222"/>
        <v>0</v>
      </c>
      <c r="AS178" s="679">
        <f t="shared" si="223"/>
        <v>0</v>
      </c>
      <c r="AT178" s="675">
        <v>0.2</v>
      </c>
      <c r="AU178" s="676">
        <f t="shared" si="188"/>
        <v>0</v>
      </c>
      <c r="AV178" s="677">
        <f t="shared" si="189"/>
        <v>0</v>
      </c>
      <c r="AW178" s="677">
        <f t="shared" si="224"/>
        <v>496.49079999999998</v>
      </c>
      <c r="AX178" s="678">
        <f t="shared" si="225"/>
        <v>0</v>
      </c>
      <c r="AY178" s="679">
        <f t="shared" si="226"/>
        <v>126.10866319999998</v>
      </c>
      <c r="AZ178" s="675"/>
      <c r="BA178" s="676">
        <f t="shared" si="190"/>
        <v>0</v>
      </c>
      <c r="BB178" s="677">
        <f t="shared" si="191"/>
        <v>0</v>
      </c>
      <c r="BC178" s="677">
        <f t="shared" si="227"/>
        <v>0</v>
      </c>
      <c r="BD178" s="678">
        <f t="shared" si="228"/>
        <v>0</v>
      </c>
      <c r="BE178" s="679">
        <f t="shared" si="229"/>
        <v>0</v>
      </c>
      <c r="BF178" s="675"/>
      <c r="BG178" s="676">
        <f t="shared" si="192"/>
        <v>0</v>
      </c>
      <c r="BH178" s="677">
        <f t="shared" si="193"/>
        <v>0</v>
      </c>
      <c r="BI178" s="677">
        <f t="shared" si="230"/>
        <v>0</v>
      </c>
      <c r="BJ178" s="678">
        <f t="shared" si="231"/>
        <v>0</v>
      </c>
      <c r="BK178" s="679">
        <f t="shared" si="232"/>
        <v>0</v>
      </c>
      <c r="BL178" s="675"/>
      <c r="BM178" s="676">
        <f t="shared" si="194"/>
        <v>0</v>
      </c>
      <c r="BN178" s="677">
        <f t="shared" si="195"/>
        <v>0</v>
      </c>
      <c r="BO178" s="677">
        <f t="shared" si="233"/>
        <v>0</v>
      </c>
      <c r="BP178" s="678">
        <f t="shared" si="234"/>
        <v>0</v>
      </c>
      <c r="BQ178" s="679">
        <f t="shared" si="235"/>
        <v>0</v>
      </c>
      <c r="BR178" s="675"/>
      <c r="BS178" s="676">
        <f t="shared" si="196"/>
        <v>0</v>
      </c>
      <c r="BT178" s="677">
        <f t="shared" si="197"/>
        <v>0</v>
      </c>
      <c r="BU178" s="677">
        <f t="shared" si="236"/>
        <v>0</v>
      </c>
      <c r="BV178" s="678">
        <f t="shared" si="237"/>
        <v>0</v>
      </c>
      <c r="BW178" s="679">
        <f t="shared" si="238"/>
        <v>0</v>
      </c>
      <c r="BX178" s="675"/>
      <c r="BY178" s="676">
        <f t="shared" si="198"/>
        <v>0</v>
      </c>
      <c r="BZ178" s="677">
        <f t="shared" si="199"/>
        <v>0</v>
      </c>
      <c r="CA178" s="677">
        <f t="shared" si="239"/>
        <v>0</v>
      </c>
      <c r="CB178" s="678">
        <f t="shared" si="240"/>
        <v>0</v>
      </c>
      <c r="CC178" s="679">
        <f t="shared" si="241"/>
        <v>0</v>
      </c>
      <c r="CD178" s="675"/>
      <c r="CE178" s="676">
        <f t="shared" si="200"/>
        <v>0</v>
      </c>
      <c r="CF178" s="677">
        <f t="shared" si="201"/>
        <v>0</v>
      </c>
      <c r="CG178" s="677">
        <f t="shared" si="242"/>
        <v>0</v>
      </c>
      <c r="CH178" s="678">
        <f t="shared" si="243"/>
        <v>0</v>
      </c>
      <c r="CI178" s="679">
        <f t="shared" si="244"/>
        <v>0</v>
      </c>
      <c r="CJ178" s="675"/>
      <c r="CK178" s="676">
        <f t="shared" si="202"/>
        <v>0</v>
      </c>
      <c r="CL178" s="677">
        <f t="shared" si="203"/>
        <v>0</v>
      </c>
      <c r="CM178" s="677">
        <f t="shared" si="245"/>
        <v>0</v>
      </c>
      <c r="CN178" s="678">
        <f t="shared" si="246"/>
        <v>0</v>
      </c>
      <c r="CO178" s="679">
        <f t="shared" si="247"/>
        <v>0</v>
      </c>
      <c r="CP178" s="675"/>
      <c r="CQ178" s="676">
        <f t="shared" si="204"/>
        <v>0</v>
      </c>
      <c r="CR178" s="677">
        <f t="shared" si="205"/>
        <v>0</v>
      </c>
      <c r="CS178" s="677">
        <f t="shared" si="248"/>
        <v>0</v>
      </c>
      <c r="CT178" s="678">
        <f t="shared" si="249"/>
        <v>0</v>
      </c>
      <c r="CU178" s="679">
        <f t="shared" si="250"/>
        <v>0</v>
      </c>
      <c r="CV178" s="685"/>
      <c r="CW178" s="681"/>
      <c r="CX178" s="682"/>
      <c r="CY178" s="682"/>
      <c r="CZ178" s="683"/>
      <c r="DA178" s="684"/>
      <c r="DB178" s="685"/>
      <c r="DC178" s="681"/>
      <c r="DD178" s="682"/>
      <c r="DE178" s="682"/>
      <c r="DF178" s="683"/>
      <c r="DG178" s="684"/>
      <c r="DH178" s="685"/>
      <c r="DI178" s="681"/>
      <c r="DJ178" s="682"/>
      <c r="DK178" s="682"/>
      <c r="DL178" s="683"/>
      <c r="DM178" s="684"/>
      <c r="DN178" s="685"/>
      <c r="DO178" s="681"/>
      <c r="DP178" s="682"/>
      <c r="DQ178" s="682"/>
      <c r="DR178" s="683"/>
      <c r="DS178" s="684"/>
      <c r="DT178" s="675"/>
      <c r="DU178" s="676">
        <f t="shared" si="206"/>
        <v>0</v>
      </c>
      <c r="DV178" s="677">
        <f t="shared" si="207"/>
        <v>0</v>
      </c>
      <c r="DW178" s="677">
        <f t="shared" si="251"/>
        <v>0</v>
      </c>
      <c r="DX178" s="678">
        <f t="shared" si="252"/>
        <v>0</v>
      </c>
      <c r="DY178" s="679">
        <f t="shared" si="253"/>
        <v>0</v>
      </c>
      <c r="DZ178" s="680"/>
      <c r="EA178" s="681"/>
      <c r="EB178" s="682"/>
      <c r="EC178" s="682"/>
      <c r="ED178" s="683"/>
      <c r="EE178" s="684"/>
      <c r="EF178" s="680"/>
      <c r="EG178" s="681"/>
      <c r="EH178" s="682"/>
      <c r="EI178" s="682"/>
      <c r="EJ178" s="683"/>
      <c r="EK178" s="684"/>
      <c r="EL178" s="680"/>
      <c r="EM178" s="681"/>
      <c r="EN178" s="682"/>
      <c r="EO178" s="682"/>
      <c r="EP178" s="683"/>
      <c r="EQ178" s="684"/>
      <c r="ER178" s="680"/>
      <c r="ES178" s="681"/>
      <c r="ET178" s="682"/>
      <c r="EU178" s="682"/>
      <c r="EV178" s="683"/>
      <c r="EW178" s="684"/>
      <c r="EX178" s="675"/>
      <c r="EY178" s="676">
        <f t="shared" si="208"/>
        <v>0</v>
      </c>
      <c r="EZ178" s="677">
        <f t="shared" si="209"/>
        <v>0</v>
      </c>
      <c r="FA178" s="677">
        <f t="shared" si="254"/>
        <v>0</v>
      </c>
      <c r="FB178" s="678">
        <f t="shared" si="255"/>
        <v>0</v>
      </c>
      <c r="FC178" s="679">
        <f t="shared" si="256"/>
        <v>0</v>
      </c>
      <c r="FD178" s="680"/>
      <c r="FE178" s="681"/>
      <c r="FF178" s="682"/>
      <c r="FG178" s="682"/>
      <c r="FH178" s="683"/>
      <c r="FI178" s="684"/>
      <c r="FJ178" s="680"/>
      <c r="FK178" s="681"/>
      <c r="FL178" s="682"/>
      <c r="FM178" s="682"/>
      <c r="FN178" s="683"/>
      <c r="FO178" s="684"/>
      <c r="FP178" s="680"/>
      <c r="FQ178" s="681"/>
      <c r="FR178" s="682"/>
      <c r="FS178" s="682"/>
      <c r="FT178" s="683"/>
      <c r="FU178" s="684"/>
      <c r="FV178" s="680"/>
      <c r="FW178" s="681"/>
      <c r="FX178" s="682"/>
      <c r="FY178" s="682"/>
      <c r="FZ178" s="683"/>
      <c r="GA178" s="684"/>
      <c r="GB178" s="675"/>
      <c r="GC178" s="676">
        <f t="shared" si="210"/>
        <v>0</v>
      </c>
      <c r="GD178" s="677">
        <f t="shared" si="211"/>
        <v>0</v>
      </c>
      <c r="GE178" s="677">
        <f t="shared" si="257"/>
        <v>0</v>
      </c>
      <c r="GF178" s="678">
        <f t="shared" si="258"/>
        <v>0</v>
      </c>
      <c r="GG178" s="679">
        <f t="shared" si="259"/>
        <v>0</v>
      </c>
      <c r="GH178" s="680"/>
      <c r="GI178" s="681"/>
      <c r="GJ178" s="682"/>
      <c r="GK178" s="682"/>
      <c r="GL178" s="683"/>
      <c r="GM178" s="684"/>
      <c r="GN178" s="680"/>
      <c r="GO178" s="681"/>
      <c r="GP178" s="682"/>
      <c r="GQ178" s="682"/>
      <c r="GR178" s="683"/>
      <c r="GS178" s="684"/>
      <c r="GT178" s="680"/>
      <c r="GU178" s="681"/>
      <c r="GV178" s="682"/>
      <c r="GW178" s="682"/>
      <c r="GX178" s="683"/>
      <c r="GY178" s="684"/>
      <c r="GZ178" s="680"/>
      <c r="HA178" s="147"/>
      <c r="HB178" s="148"/>
      <c r="HC178" s="148"/>
      <c r="HD178" s="149"/>
      <c r="HE178" s="150"/>
      <c r="HF178" s="506"/>
      <c r="HG178" s="502"/>
      <c r="HH178" s="502"/>
      <c r="HI178" s="502"/>
      <c r="HJ178" s="8"/>
    </row>
    <row r="179" spans="2:218" ht="21" hidden="1">
      <c r="B179" s="488">
        <v>135</v>
      </c>
      <c r="C179" s="489" t="s">
        <v>283</v>
      </c>
      <c r="D179" s="490" t="s">
        <v>289</v>
      </c>
      <c r="E179" s="491" t="s">
        <v>290</v>
      </c>
      <c r="F179" s="492"/>
      <c r="G179" s="493"/>
      <c r="H179" s="146" t="s">
        <v>97</v>
      </c>
      <c r="I179" s="494" t="str">
        <f t="shared" si="177"/>
        <v>n.v.t.</v>
      </c>
      <c r="J179" s="495"/>
      <c r="K179" s="151">
        <v>0</v>
      </c>
      <c r="L179" s="256"/>
      <c r="M179" s="256">
        <f>IF($C$5&lt;3000,(Bron!H168*$C$5)+Bron!I168,(Bron!M168*$C$5)+Bron!N168)</f>
        <v>0</v>
      </c>
      <c r="N179" s="496">
        <f t="shared" si="175"/>
        <v>630.54331599999989</v>
      </c>
      <c r="O179" s="497">
        <f t="shared" si="176"/>
        <v>0</v>
      </c>
      <c r="P179" s="257">
        <f>IF($C$5&lt;3000,$AN$32*Bron!J168,$AN$32*Bron!O168)</f>
        <v>0</v>
      </c>
      <c r="Q179" s="257">
        <f>IF($C$5&lt;3000,$AN$31*Bron!K168,$AN$31*Bron!P168)</f>
        <v>2482.4539999999997</v>
      </c>
      <c r="R179" s="257">
        <f>IF($C$5&lt;3000,$AN$33*Bron!J168,$AN$33*Bron!O168)</f>
        <v>0</v>
      </c>
      <c r="S179" s="344"/>
      <c r="T179" s="258">
        <f t="shared" si="178"/>
        <v>0</v>
      </c>
      <c r="U179" s="259">
        <f t="shared" si="179"/>
        <v>0</v>
      </c>
      <c r="V179" s="675"/>
      <c r="W179" s="676">
        <f t="shared" si="180"/>
        <v>0</v>
      </c>
      <c r="X179" s="677">
        <f t="shared" si="181"/>
        <v>0</v>
      </c>
      <c r="Y179" s="677">
        <f t="shared" si="212"/>
        <v>0</v>
      </c>
      <c r="Z179" s="678">
        <f t="shared" si="213"/>
        <v>0</v>
      </c>
      <c r="AA179" s="679">
        <f t="shared" si="214"/>
        <v>0</v>
      </c>
      <c r="AB179" s="675"/>
      <c r="AC179" s="676">
        <f t="shared" si="182"/>
        <v>0</v>
      </c>
      <c r="AD179" s="677">
        <f t="shared" si="183"/>
        <v>0</v>
      </c>
      <c r="AE179" s="677">
        <f t="shared" si="215"/>
        <v>0</v>
      </c>
      <c r="AF179" s="678">
        <f t="shared" si="216"/>
        <v>0</v>
      </c>
      <c r="AG179" s="679">
        <f t="shared" si="217"/>
        <v>0</v>
      </c>
      <c r="AH179" s="675"/>
      <c r="AI179" s="676">
        <f t="shared" si="184"/>
        <v>0</v>
      </c>
      <c r="AJ179" s="677">
        <f t="shared" si="185"/>
        <v>0</v>
      </c>
      <c r="AK179" s="677">
        <f t="shared" si="218"/>
        <v>0</v>
      </c>
      <c r="AL179" s="678">
        <f t="shared" si="219"/>
        <v>0</v>
      </c>
      <c r="AM179" s="679">
        <f t="shared" si="220"/>
        <v>0</v>
      </c>
      <c r="AN179" s="675"/>
      <c r="AO179" s="676">
        <f t="shared" si="186"/>
        <v>0</v>
      </c>
      <c r="AP179" s="677">
        <f t="shared" si="187"/>
        <v>0</v>
      </c>
      <c r="AQ179" s="677">
        <f t="shared" si="221"/>
        <v>0</v>
      </c>
      <c r="AR179" s="678">
        <f t="shared" si="222"/>
        <v>0</v>
      </c>
      <c r="AS179" s="679">
        <f t="shared" si="223"/>
        <v>0</v>
      </c>
      <c r="AT179" s="675"/>
      <c r="AU179" s="676">
        <f t="shared" si="188"/>
        <v>0</v>
      </c>
      <c r="AV179" s="677">
        <f t="shared" si="189"/>
        <v>0</v>
      </c>
      <c r="AW179" s="677">
        <f t="shared" si="224"/>
        <v>0</v>
      </c>
      <c r="AX179" s="678">
        <f t="shared" si="225"/>
        <v>0</v>
      </c>
      <c r="AY179" s="679">
        <f t="shared" si="226"/>
        <v>0</v>
      </c>
      <c r="AZ179" s="675"/>
      <c r="BA179" s="676">
        <f t="shared" si="190"/>
        <v>0</v>
      </c>
      <c r="BB179" s="677">
        <f t="shared" si="191"/>
        <v>0</v>
      </c>
      <c r="BC179" s="677">
        <f t="shared" si="227"/>
        <v>0</v>
      </c>
      <c r="BD179" s="678">
        <f t="shared" si="228"/>
        <v>0</v>
      </c>
      <c r="BE179" s="679">
        <f t="shared" si="229"/>
        <v>0</v>
      </c>
      <c r="BF179" s="675"/>
      <c r="BG179" s="676">
        <f t="shared" si="192"/>
        <v>0</v>
      </c>
      <c r="BH179" s="677">
        <f t="shared" si="193"/>
        <v>0</v>
      </c>
      <c r="BI179" s="677">
        <f t="shared" si="230"/>
        <v>0</v>
      </c>
      <c r="BJ179" s="678">
        <f t="shared" si="231"/>
        <v>0</v>
      </c>
      <c r="BK179" s="679">
        <f t="shared" si="232"/>
        <v>0</v>
      </c>
      <c r="BL179" s="675"/>
      <c r="BM179" s="676">
        <f t="shared" si="194"/>
        <v>0</v>
      </c>
      <c r="BN179" s="677">
        <f t="shared" si="195"/>
        <v>0</v>
      </c>
      <c r="BO179" s="677">
        <f t="shared" si="233"/>
        <v>0</v>
      </c>
      <c r="BP179" s="678">
        <f t="shared" si="234"/>
        <v>0</v>
      </c>
      <c r="BQ179" s="679">
        <f t="shared" si="235"/>
        <v>0</v>
      </c>
      <c r="BR179" s="675"/>
      <c r="BS179" s="676">
        <f t="shared" si="196"/>
        <v>0</v>
      </c>
      <c r="BT179" s="677">
        <f t="shared" si="197"/>
        <v>0</v>
      </c>
      <c r="BU179" s="677">
        <f t="shared" si="236"/>
        <v>0</v>
      </c>
      <c r="BV179" s="678">
        <f t="shared" si="237"/>
        <v>0</v>
      </c>
      <c r="BW179" s="679">
        <f t="shared" si="238"/>
        <v>0</v>
      </c>
      <c r="BX179" s="675"/>
      <c r="BY179" s="676">
        <f t="shared" si="198"/>
        <v>0</v>
      </c>
      <c r="BZ179" s="677">
        <f t="shared" si="199"/>
        <v>0</v>
      </c>
      <c r="CA179" s="677">
        <f t="shared" si="239"/>
        <v>0</v>
      </c>
      <c r="CB179" s="678">
        <f t="shared" si="240"/>
        <v>0</v>
      </c>
      <c r="CC179" s="679">
        <f t="shared" si="241"/>
        <v>0</v>
      </c>
      <c r="CD179" s="675"/>
      <c r="CE179" s="676">
        <f t="shared" si="200"/>
        <v>0</v>
      </c>
      <c r="CF179" s="677">
        <f t="shared" si="201"/>
        <v>0</v>
      </c>
      <c r="CG179" s="677">
        <f t="shared" si="242"/>
        <v>0</v>
      </c>
      <c r="CH179" s="678">
        <f t="shared" si="243"/>
        <v>0</v>
      </c>
      <c r="CI179" s="679">
        <f t="shared" si="244"/>
        <v>0</v>
      </c>
      <c r="CJ179" s="675"/>
      <c r="CK179" s="676">
        <f t="shared" si="202"/>
        <v>0</v>
      </c>
      <c r="CL179" s="677">
        <f t="shared" si="203"/>
        <v>0</v>
      </c>
      <c r="CM179" s="677">
        <f t="shared" si="245"/>
        <v>0</v>
      </c>
      <c r="CN179" s="678">
        <f t="shared" si="246"/>
        <v>0</v>
      </c>
      <c r="CO179" s="679">
        <f t="shared" si="247"/>
        <v>0</v>
      </c>
      <c r="CP179" s="675"/>
      <c r="CQ179" s="676">
        <f t="shared" si="204"/>
        <v>0</v>
      </c>
      <c r="CR179" s="677">
        <f t="shared" si="205"/>
        <v>0</v>
      </c>
      <c r="CS179" s="677">
        <f t="shared" si="248"/>
        <v>0</v>
      </c>
      <c r="CT179" s="678">
        <f t="shared" si="249"/>
        <v>0</v>
      </c>
      <c r="CU179" s="679">
        <f t="shared" si="250"/>
        <v>0</v>
      </c>
      <c r="CV179" s="685"/>
      <c r="CW179" s="681"/>
      <c r="CX179" s="682"/>
      <c r="CY179" s="682"/>
      <c r="CZ179" s="683"/>
      <c r="DA179" s="684"/>
      <c r="DB179" s="685"/>
      <c r="DC179" s="681"/>
      <c r="DD179" s="682"/>
      <c r="DE179" s="682"/>
      <c r="DF179" s="683"/>
      <c r="DG179" s="684"/>
      <c r="DH179" s="685"/>
      <c r="DI179" s="681"/>
      <c r="DJ179" s="682"/>
      <c r="DK179" s="682"/>
      <c r="DL179" s="683"/>
      <c r="DM179" s="684"/>
      <c r="DN179" s="685"/>
      <c r="DO179" s="681"/>
      <c r="DP179" s="682"/>
      <c r="DQ179" s="682"/>
      <c r="DR179" s="683"/>
      <c r="DS179" s="684"/>
      <c r="DT179" s="675"/>
      <c r="DU179" s="676">
        <f t="shared" si="206"/>
        <v>0</v>
      </c>
      <c r="DV179" s="677">
        <f t="shared" si="207"/>
        <v>0</v>
      </c>
      <c r="DW179" s="677">
        <f t="shared" si="251"/>
        <v>0</v>
      </c>
      <c r="DX179" s="678">
        <f t="shared" si="252"/>
        <v>0</v>
      </c>
      <c r="DY179" s="679">
        <f t="shared" si="253"/>
        <v>0</v>
      </c>
      <c r="DZ179" s="680"/>
      <c r="EA179" s="681"/>
      <c r="EB179" s="682"/>
      <c r="EC179" s="682"/>
      <c r="ED179" s="683"/>
      <c r="EE179" s="684"/>
      <c r="EF179" s="680"/>
      <c r="EG179" s="681"/>
      <c r="EH179" s="682"/>
      <c r="EI179" s="682"/>
      <c r="EJ179" s="683"/>
      <c r="EK179" s="684"/>
      <c r="EL179" s="680"/>
      <c r="EM179" s="681"/>
      <c r="EN179" s="682"/>
      <c r="EO179" s="682"/>
      <c r="EP179" s="683"/>
      <c r="EQ179" s="684"/>
      <c r="ER179" s="680"/>
      <c r="ES179" s="681"/>
      <c r="ET179" s="682"/>
      <c r="EU179" s="682"/>
      <c r="EV179" s="683"/>
      <c r="EW179" s="684"/>
      <c r="EX179" s="675"/>
      <c r="EY179" s="676">
        <f t="shared" si="208"/>
        <v>0</v>
      </c>
      <c r="EZ179" s="677">
        <f t="shared" si="209"/>
        <v>0</v>
      </c>
      <c r="FA179" s="677">
        <f t="shared" si="254"/>
        <v>0</v>
      </c>
      <c r="FB179" s="678">
        <f t="shared" si="255"/>
        <v>0</v>
      </c>
      <c r="FC179" s="679">
        <f t="shared" si="256"/>
        <v>0</v>
      </c>
      <c r="FD179" s="680"/>
      <c r="FE179" s="681"/>
      <c r="FF179" s="682"/>
      <c r="FG179" s="682"/>
      <c r="FH179" s="683"/>
      <c r="FI179" s="684"/>
      <c r="FJ179" s="680"/>
      <c r="FK179" s="681"/>
      <c r="FL179" s="682"/>
      <c r="FM179" s="682"/>
      <c r="FN179" s="683"/>
      <c r="FO179" s="684"/>
      <c r="FP179" s="680"/>
      <c r="FQ179" s="681"/>
      <c r="FR179" s="682"/>
      <c r="FS179" s="682"/>
      <c r="FT179" s="683"/>
      <c r="FU179" s="684"/>
      <c r="FV179" s="680"/>
      <c r="FW179" s="681"/>
      <c r="FX179" s="682"/>
      <c r="FY179" s="682"/>
      <c r="FZ179" s="683"/>
      <c r="GA179" s="684"/>
      <c r="GB179" s="675"/>
      <c r="GC179" s="676">
        <f t="shared" si="210"/>
        <v>0</v>
      </c>
      <c r="GD179" s="677">
        <f t="shared" si="211"/>
        <v>0</v>
      </c>
      <c r="GE179" s="677">
        <f t="shared" si="257"/>
        <v>0</v>
      </c>
      <c r="GF179" s="678">
        <f t="shared" si="258"/>
        <v>0</v>
      </c>
      <c r="GG179" s="679">
        <f t="shared" si="259"/>
        <v>0</v>
      </c>
      <c r="GH179" s="680"/>
      <c r="GI179" s="681"/>
      <c r="GJ179" s="682"/>
      <c r="GK179" s="682"/>
      <c r="GL179" s="683"/>
      <c r="GM179" s="684"/>
      <c r="GN179" s="680"/>
      <c r="GO179" s="681"/>
      <c r="GP179" s="682"/>
      <c r="GQ179" s="682"/>
      <c r="GR179" s="683"/>
      <c r="GS179" s="684"/>
      <c r="GT179" s="680"/>
      <c r="GU179" s="681"/>
      <c r="GV179" s="682"/>
      <c r="GW179" s="682"/>
      <c r="GX179" s="683"/>
      <c r="GY179" s="684"/>
      <c r="GZ179" s="680"/>
      <c r="HA179" s="147"/>
      <c r="HB179" s="148"/>
      <c r="HC179" s="148"/>
      <c r="HD179" s="149"/>
      <c r="HE179" s="150"/>
      <c r="HF179" s="506"/>
      <c r="HG179" s="502"/>
      <c r="HH179" s="502"/>
      <c r="HI179" s="502"/>
      <c r="HJ179" s="8"/>
    </row>
    <row r="180" spans="2:218" ht="21">
      <c r="B180" s="488">
        <v>136</v>
      </c>
      <c r="C180" s="489" t="s">
        <v>211</v>
      </c>
      <c r="D180" s="490" t="s">
        <v>493</v>
      </c>
      <c r="E180" s="491" t="s">
        <v>691</v>
      </c>
      <c r="F180" s="492"/>
      <c r="G180" s="493"/>
      <c r="H180" s="146" t="s">
        <v>852</v>
      </c>
      <c r="I180" s="494" t="str">
        <f t="shared" si="177"/>
        <v>verhuurder</v>
      </c>
      <c r="J180" s="495" t="s">
        <v>487</v>
      </c>
      <c r="K180" s="151">
        <v>0</v>
      </c>
      <c r="L180" s="256">
        <f>IF($C$5&lt;3000,(Bron!H169*$C$5/$C$6*0.5)+Bron!I169,(Bron!M169*$C$5/$C$6*0.5)+Bron!N169)</f>
        <v>120466.08</v>
      </c>
      <c r="M180" s="260"/>
      <c r="N180" s="496">
        <f t="shared" si="175"/>
        <v>26601.29808</v>
      </c>
      <c r="O180" s="497">
        <f t="shared" si="176"/>
        <v>4.5285790053445396</v>
      </c>
      <c r="P180" s="257"/>
      <c r="Q180" s="257">
        <f>IF($C$5&lt;3000,(+$C$5/$C$6*0.5*Bron!K169),(+$C$5/$C$6*0.5*Bron!P169))</f>
        <v>104729.52</v>
      </c>
      <c r="R180" s="257">
        <f>IF($C$5&lt;3000,$AN$33*Bron!J169,$AN$33*Bron!O169)</f>
        <v>0</v>
      </c>
      <c r="S180" s="344" t="s">
        <v>460</v>
      </c>
      <c r="T180" s="258">
        <f t="shared" si="178"/>
        <v>1</v>
      </c>
      <c r="U180" s="259">
        <f t="shared" si="179"/>
        <v>120466.08</v>
      </c>
      <c r="V180" s="675"/>
      <c r="W180" s="676">
        <f t="shared" si="180"/>
        <v>0</v>
      </c>
      <c r="X180" s="677">
        <f t="shared" si="181"/>
        <v>0</v>
      </c>
      <c r="Y180" s="677">
        <f t="shared" si="212"/>
        <v>0</v>
      </c>
      <c r="Z180" s="678">
        <f t="shared" si="213"/>
        <v>0</v>
      </c>
      <c r="AA180" s="679">
        <f t="shared" si="214"/>
        <v>0</v>
      </c>
      <c r="AB180" s="675"/>
      <c r="AC180" s="676">
        <f t="shared" si="182"/>
        <v>0</v>
      </c>
      <c r="AD180" s="677">
        <f t="shared" si="183"/>
        <v>0</v>
      </c>
      <c r="AE180" s="677">
        <f t="shared" si="215"/>
        <v>0</v>
      </c>
      <c r="AF180" s="678">
        <f t="shared" si="216"/>
        <v>0</v>
      </c>
      <c r="AG180" s="679">
        <f t="shared" si="217"/>
        <v>0</v>
      </c>
      <c r="AH180" s="675"/>
      <c r="AI180" s="676">
        <f t="shared" si="184"/>
        <v>0</v>
      </c>
      <c r="AJ180" s="677">
        <f t="shared" si="185"/>
        <v>0</v>
      </c>
      <c r="AK180" s="677">
        <f t="shared" si="218"/>
        <v>0</v>
      </c>
      <c r="AL180" s="678">
        <f t="shared" si="219"/>
        <v>0</v>
      </c>
      <c r="AM180" s="679">
        <f t="shared" si="220"/>
        <v>0</v>
      </c>
      <c r="AN180" s="675"/>
      <c r="AO180" s="676">
        <f t="shared" si="186"/>
        <v>0</v>
      </c>
      <c r="AP180" s="677">
        <f t="shared" si="187"/>
        <v>0</v>
      </c>
      <c r="AQ180" s="677">
        <f t="shared" si="221"/>
        <v>0</v>
      </c>
      <c r="AR180" s="678">
        <f t="shared" si="222"/>
        <v>0</v>
      </c>
      <c r="AS180" s="679">
        <f t="shared" si="223"/>
        <v>0</v>
      </c>
      <c r="AT180" s="675">
        <v>1</v>
      </c>
      <c r="AU180" s="676">
        <f t="shared" si="188"/>
        <v>120466.08</v>
      </c>
      <c r="AV180" s="677">
        <f t="shared" si="189"/>
        <v>0</v>
      </c>
      <c r="AW180" s="677">
        <f t="shared" si="224"/>
        <v>104729.52</v>
      </c>
      <c r="AX180" s="678">
        <f t="shared" si="225"/>
        <v>0</v>
      </c>
      <c r="AY180" s="679">
        <f t="shared" si="226"/>
        <v>26601.29808</v>
      </c>
      <c r="AZ180" s="675"/>
      <c r="BA180" s="676">
        <f t="shared" si="190"/>
        <v>0</v>
      </c>
      <c r="BB180" s="677">
        <f t="shared" si="191"/>
        <v>0</v>
      </c>
      <c r="BC180" s="677">
        <f t="shared" si="227"/>
        <v>0</v>
      </c>
      <c r="BD180" s="678">
        <f t="shared" si="228"/>
        <v>0</v>
      </c>
      <c r="BE180" s="679">
        <f t="shared" si="229"/>
        <v>0</v>
      </c>
      <c r="BF180" s="675"/>
      <c r="BG180" s="676">
        <f t="shared" si="192"/>
        <v>0</v>
      </c>
      <c r="BH180" s="677">
        <f t="shared" si="193"/>
        <v>0</v>
      </c>
      <c r="BI180" s="677">
        <f t="shared" si="230"/>
        <v>0</v>
      </c>
      <c r="BJ180" s="678">
        <f t="shared" si="231"/>
        <v>0</v>
      </c>
      <c r="BK180" s="679">
        <f t="shared" si="232"/>
        <v>0</v>
      </c>
      <c r="BL180" s="675"/>
      <c r="BM180" s="676">
        <f t="shared" si="194"/>
        <v>0</v>
      </c>
      <c r="BN180" s="677">
        <f t="shared" si="195"/>
        <v>0</v>
      </c>
      <c r="BO180" s="677">
        <f t="shared" si="233"/>
        <v>0</v>
      </c>
      <c r="BP180" s="678">
        <f t="shared" si="234"/>
        <v>0</v>
      </c>
      <c r="BQ180" s="679">
        <f t="shared" si="235"/>
        <v>0</v>
      </c>
      <c r="BR180" s="675"/>
      <c r="BS180" s="676">
        <f t="shared" si="196"/>
        <v>0</v>
      </c>
      <c r="BT180" s="677">
        <f t="shared" si="197"/>
        <v>0</v>
      </c>
      <c r="BU180" s="677">
        <f t="shared" si="236"/>
        <v>0</v>
      </c>
      <c r="BV180" s="678">
        <f t="shared" si="237"/>
        <v>0</v>
      </c>
      <c r="BW180" s="679">
        <f t="shared" si="238"/>
        <v>0</v>
      </c>
      <c r="BX180" s="675"/>
      <c r="BY180" s="676">
        <f t="shared" si="198"/>
        <v>0</v>
      </c>
      <c r="BZ180" s="677">
        <f t="shared" si="199"/>
        <v>0</v>
      </c>
      <c r="CA180" s="677">
        <f t="shared" si="239"/>
        <v>0</v>
      </c>
      <c r="CB180" s="678">
        <f t="shared" si="240"/>
        <v>0</v>
      </c>
      <c r="CC180" s="679">
        <f t="shared" si="241"/>
        <v>0</v>
      </c>
      <c r="CD180" s="675"/>
      <c r="CE180" s="676">
        <f t="shared" si="200"/>
        <v>0</v>
      </c>
      <c r="CF180" s="677">
        <f t="shared" si="201"/>
        <v>0</v>
      </c>
      <c r="CG180" s="677">
        <f t="shared" si="242"/>
        <v>0</v>
      </c>
      <c r="CH180" s="678">
        <f t="shared" si="243"/>
        <v>0</v>
      </c>
      <c r="CI180" s="679">
        <f t="shared" si="244"/>
        <v>0</v>
      </c>
      <c r="CJ180" s="675"/>
      <c r="CK180" s="676">
        <f t="shared" si="202"/>
        <v>0</v>
      </c>
      <c r="CL180" s="677">
        <f t="shared" si="203"/>
        <v>0</v>
      </c>
      <c r="CM180" s="677">
        <f t="shared" si="245"/>
        <v>0</v>
      </c>
      <c r="CN180" s="678">
        <f t="shared" si="246"/>
        <v>0</v>
      </c>
      <c r="CO180" s="679">
        <f t="shared" si="247"/>
        <v>0</v>
      </c>
      <c r="CP180" s="675"/>
      <c r="CQ180" s="676">
        <f t="shared" si="204"/>
        <v>0</v>
      </c>
      <c r="CR180" s="677">
        <f t="shared" si="205"/>
        <v>0</v>
      </c>
      <c r="CS180" s="677">
        <f t="shared" si="248"/>
        <v>0</v>
      </c>
      <c r="CT180" s="678">
        <f t="shared" si="249"/>
        <v>0</v>
      </c>
      <c r="CU180" s="679">
        <f t="shared" si="250"/>
        <v>0</v>
      </c>
      <c r="CV180" s="685"/>
      <c r="CW180" s="681"/>
      <c r="CX180" s="682"/>
      <c r="CY180" s="682"/>
      <c r="CZ180" s="683"/>
      <c r="DA180" s="684"/>
      <c r="DB180" s="685"/>
      <c r="DC180" s="681"/>
      <c r="DD180" s="682"/>
      <c r="DE180" s="682"/>
      <c r="DF180" s="683"/>
      <c r="DG180" s="684"/>
      <c r="DH180" s="685"/>
      <c r="DI180" s="681"/>
      <c r="DJ180" s="682"/>
      <c r="DK180" s="682"/>
      <c r="DL180" s="683"/>
      <c r="DM180" s="684"/>
      <c r="DN180" s="685"/>
      <c r="DO180" s="681"/>
      <c r="DP180" s="682"/>
      <c r="DQ180" s="682"/>
      <c r="DR180" s="683"/>
      <c r="DS180" s="684"/>
      <c r="DT180" s="675"/>
      <c r="DU180" s="676">
        <f t="shared" si="206"/>
        <v>0</v>
      </c>
      <c r="DV180" s="677">
        <f t="shared" si="207"/>
        <v>0</v>
      </c>
      <c r="DW180" s="677">
        <f t="shared" si="251"/>
        <v>0</v>
      </c>
      <c r="DX180" s="678">
        <f t="shared" si="252"/>
        <v>0</v>
      </c>
      <c r="DY180" s="679">
        <f t="shared" si="253"/>
        <v>0</v>
      </c>
      <c r="DZ180" s="680"/>
      <c r="EA180" s="681"/>
      <c r="EB180" s="682"/>
      <c r="EC180" s="682"/>
      <c r="ED180" s="683"/>
      <c r="EE180" s="684"/>
      <c r="EF180" s="680"/>
      <c r="EG180" s="681"/>
      <c r="EH180" s="682"/>
      <c r="EI180" s="682"/>
      <c r="EJ180" s="683"/>
      <c r="EK180" s="684"/>
      <c r="EL180" s="680"/>
      <c r="EM180" s="681"/>
      <c r="EN180" s="682"/>
      <c r="EO180" s="682"/>
      <c r="EP180" s="683"/>
      <c r="EQ180" s="684"/>
      <c r="ER180" s="680"/>
      <c r="ES180" s="681"/>
      <c r="ET180" s="682"/>
      <c r="EU180" s="682"/>
      <c r="EV180" s="683"/>
      <c r="EW180" s="684"/>
      <c r="EX180" s="675"/>
      <c r="EY180" s="676">
        <f t="shared" si="208"/>
        <v>0</v>
      </c>
      <c r="EZ180" s="677">
        <f t="shared" si="209"/>
        <v>0</v>
      </c>
      <c r="FA180" s="677">
        <f t="shared" si="254"/>
        <v>0</v>
      </c>
      <c r="FB180" s="678">
        <f t="shared" si="255"/>
        <v>0</v>
      </c>
      <c r="FC180" s="679">
        <f t="shared" si="256"/>
        <v>0</v>
      </c>
      <c r="FD180" s="680"/>
      <c r="FE180" s="681"/>
      <c r="FF180" s="682"/>
      <c r="FG180" s="682"/>
      <c r="FH180" s="683"/>
      <c r="FI180" s="684"/>
      <c r="FJ180" s="680"/>
      <c r="FK180" s="681"/>
      <c r="FL180" s="682"/>
      <c r="FM180" s="682"/>
      <c r="FN180" s="683"/>
      <c r="FO180" s="684"/>
      <c r="FP180" s="680"/>
      <c r="FQ180" s="681"/>
      <c r="FR180" s="682"/>
      <c r="FS180" s="682"/>
      <c r="FT180" s="683"/>
      <c r="FU180" s="684"/>
      <c r="FV180" s="680"/>
      <c r="FW180" s="681"/>
      <c r="FX180" s="682"/>
      <c r="FY180" s="682"/>
      <c r="FZ180" s="683"/>
      <c r="GA180" s="684"/>
      <c r="GB180" s="675"/>
      <c r="GC180" s="676">
        <f t="shared" si="210"/>
        <v>0</v>
      </c>
      <c r="GD180" s="677">
        <f t="shared" si="211"/>
        <v>0</v>
      </c>
      <c r="GE180" s="677">
        <f t="shared" si="257"/>
        <v>0</v>
      </c>
      <c r="GF180" s="678">
        <f t="shared" si="258"/>
        <v>0</v>
      </c>
      <c r="GG180" s="679">
        <f t="shared" si="259"/>
        <v>0</v>
      </c>
      <c r="GH180" s="680"/>
      <c r="GI180" s="681"/>
      <c r="GJ180" s="682"/>
      <c r="GK180" s="682"/>
      <c r="GL180" s="683"/>
      <c r="GM180" s="684"/>
      <c r="GN180" s="680"/>
      <c r="GO180" s="681"/>
      <c r="GP180" s="682"/>
      <c r="GQ180" s="682"/>
      <c r="GR180" s="683"/>
      <c r="GS180" s="684"/>
      <c r="GT180" s="680"/>
      <c r="GU180" s="681"/>
      <c r="GV180" s="682"/>
      <c r="GW180" s="682"/>
      <c r="GX180" s="683"/>
      <c r="GY180" s="684"/>
      <c r="GZ180" s="680"/>
      <c r="HA180" s="147"/>
      <c r="HB180" s="148"/>
      <c r="HC180" s="148"/>
      <c r="HD180" s="149"/>
      <c r="HE180" s="150"/>
      <c r="HF180" s="506"/>
      <c r="HG180" s="502"/>
      <c r="HH180" s="502"/>
      <c r="HI180" s="502"/>
      <c r="HJ180" s="8"/>
    </row>
    <row r="181" spans="2:218" ht="21" hidden="1">
      <c r="B181" s="488">
        <v>137</v>
      </c>
      <c r="C181" s="489" t="s">
        <v>211</v>
      </c>
      <c r="D181" s="490" t="s">
        <v>493</v>
      </c>
      <c r="E181" s="491" t="s">
        <v>491</v>
      </c>
      <c r="F181" s="492"/>
      <c r="G181" s="493"/>
      <c r="H181" s="146" t="s">
        <v>97</v>
      </c>
      <c r="I181" s="494" t="str">
        <f t="shared" si="177"/>
        <v>n.v.t.</v>
      </c>
      <c r="J181" s="495" t="s">
        <v>487</v>
      </c>
      <c r="K181" s="151">
        <v>0</v>
      </c>
      <c r="L181" s="256">
        <f>IF($C$5&lt;3000,(Bron!H170*$C$5)+Bron!I170,(Bron!M170*$C$5)+Bron!N170)</f>
        <v>30387.84</v>
      </c>
      <c r="M181" s="260"/>
      <c r="N181" s="496">
        <f t="shared" si="175"/>
        <v>5335.3665200000005</v>
      </c>
      <c r="O181" s="497">
        <f t="shared" si="176"/>
        <v>5.6955487286747823</v>
      </c>
      <c r="P181" s="257"/>
      <c r="Q181" s="257">
        <f>IF($C$5&lt;3000,$AN$31*Bron!K170,$AN$31*Bron!P170)</f>
        <v>21005.38</v>
      </c>
      <c r="R181" s="257">
        <f>IF($C$5&lt;3000,$AN$33*Bron!J170,$AN$33*Bron!O170)</f>
        <v>0</v>
      </c>
      <c r="S181" s="344" t="s">
        <v>460</v>
      </c>
      <c r="T181" s="258">
        <f t="shared" si="178"/>
        <v>0</v>
      </c>
      <c r="U181" s="259">
        <f t="shared" si="179"/>
        <v>0</v>
      </c>
      <c r="V181" s="675"/>
      <c r="W181" s="676">
        <f t="shared" si="180"/>
        <v>0</v>
      </c>
      <c r="X181" s="677">
        <f t="shared" si="181"/>
        <v>0</v>
      </c>
      <c r="Y181" s="677">
        <f t="shared" si="212"/>
        <v>0</v>
      </c>
      <c r="Z181" s="678">
        <f t="shared" si="213"/>
        <v>0</v>
      </c>
      <c r="AA181" s="679">
        <f t="shared" si="214"/>
        <v>0</v>
      </c>
      <c r="AB181" s="675"/>
      <c r="AC181" s="676">
        <f t="shared" si="182"/>
        <v>0</v>
      </c>
      <c r="AD181" s="677">
        <f t="shared" si="183"/>
        <v>0</v>
      </c>
      <c r="AE181" s="677">
        <f t="shared" si="215"/>
        <v>0</v>
      </c>
      <c r="AF181" s="678">
        <f t="shared" si="216"/>
        <v>0</v>
      </c>
      <c r="AG181" s="679">
        <f t="shared" si="217"/>
        <v>0</v>
      </c>
      <c r="AH181" s="675"/>
      <c r="AI181" s="676">
        <f t="shared" si="184"/>
        <v>0</v>
      </c>
      <c r="AJ181" s="677">
        <f t="shared" si="185"/>
        <v>0</v>
      </c>
      <c r="AK181" s="677">
        <f t="shared" si="218"/>
        <v>0</v>
      </c>
      <c r="AL181" s="678">
        <f t="shared" si="219"/>
        <v>0</v>
      </c>
      <c r="AM181" s="679">
        <f t="shared" si="220"/>
        <v>0</v>
      </c>
      <c r="AN181" s="675"/>
      <c r="AO181" s="676">
        <f t="shared" si="186"/>
        <v>0</v>
      </c>
      <c r="AP181" s="677">
        <f t="shared" si="187"/>
        <v>0</v>
      </c>
      <c r="AQ181" s="677">
        <f t="shared" si="221"/>
        <v>0</v>
      </c>
      <c r="AR181" s="678">
        <f t="shared" si="222"/>
        <v>0</v>
      </c>
      <c r="AS181" s="679">
        <f t="shared" si="223"/>
        <v>0</v>
      </c>
      <c r="AT181" s="675"/>
      <c r="AU181" s="676">
        <f t="shared" si="188"/>
        <v>0</v>
      </c>
      <c r="AV181" s="677">
        <f t="shared" si="189"/>
        <v>0</v>
      </c>
      <c r="AW181" s="677">
        <f t="shared" si="224"/>
        <v>0</v>
      </c>
      <c r="AX181" s="678">
        <f t="shared" si="225"/>
        <v>0</v>
      </c>
      <c r="AY181" s="679">
        <f t="shared" si="226"/>
        <v>0</v>
      </c>
      <c r="AZ181" s="675"/>
      <c r="BA181" s="676">
        <f t="shared" si="190"/>
        <v>0</v>
      </c>
      <c r="BB181" s="677">
        <f t="shared" si="191"/>
        <v>0</v>
      </c>
      <c r="BC181" s="677">
        <f t="shared" si="227"/>
        <v>0</v>
      </c>
      <c r="BD181" s="678">
        <f t="shared" si="228"/>
        <v>0</v>
      </c>
      <c r="BE181" s="679">
        <f t="shared" si="229"/>
        <v>0</v>
      </c>
      <c r="BF181" s="675"/>
      <c r="BG181" s="676">
        <f t="shared" si="192"/>
        <v>0</v>
      </c>
      <c r="BH181" s="677">
        <f t="shared" si="193"/>
        <v>0</v>
      </c>
      <c r="BI181" s="677">
        <f t="shared" si="230"/>
        <v>0</v>
      </c>
      <c r="BJ181" s="678">
        <f t="shared" si="231"/>
        <v>0</v>
      </c>
      <c r="BK181" s="679">
        <f t="shared" si="232"/>
        <v>0</v>
      </c>
      <c r="BL181" s="675"/>
      <c r="BM181" s="676">
        <f t="shared" si="194"/>
        <v>0</v>
      </c>
      <c r="BN181" s="677">
        <f t="shared" si="195"/>
        <v>0</v>
      </c>
      <c r="BO181" s="677">
        <f t="shared" si="233"/>
        <v>0</v>
      </c>
      <c r="BP181" s="678">
        <f t="shared" si="234"/>
        <v>0</v>
      </c>
      <c r="BQ181" s="679">
        <f t="shared" si="235"/>
        <v>0</v>
      </c>
      <c r="BR181" s="675"/>
      <c r="BS181" s="676">
        <f t="shared" si="196"/>
        <v>0</v>
      </c>
      <c r="BT181" s="677">
        <f t="shared" si="197"/>
        <v>0</v>
      </c>
      <c r="BU181" s="677">
        <f t="shared" si="236"/>
        <v>0</v>
      </c>
      <c r="BV181" s="678">
        <f t="shared" si="237"/>
        <v>0</v>
      </c>
      <c r="BW181" s="679">
        <f t="shared" si="238"/>
        <v>0</v>
      </c>
      <c r="BX181" s="675"/>
      <c r="BY181" s="676">
        <f t="shared" si="198"/>
        <v>0</v>
      </c>
      <c r="BZ181" s="677">
        <f t="shared" si="199"/>
        <v>0</v>
      </c>
      <c r="CA181" s="677">
        <f t="shared" si="239"/>
        <v>0</v>
      </c>
      <c r="CB181" s="678">
        <f t="shared" si="240"/>
        <v>0</v>
      </c>
      <c r="CC181" s="679">
        <f t="shared" si="241"/>
        <v>0</v>
      </c>
      <c r="CD181" s="675"/>
      <c r="CE181" s="676">
        <f t="shared" si="200"/>
        <v>0</v>
      </c>
      <c r="CF181" s="677">
        <f t="shared" si="201"/>
        <v>0</v>
      </c>
      <c r="CG181" s="677">
        <f t="shared" si="242"/>
        <v>0</v>
      </c>
      <c r="CH181" s="678">
        <f t="shared" si="243"/>
        <v>0</v>
      </c>
      <c r="CI181" s="679">
        <f t="shared" si="244"/>
        <v>0</v>
      </c>
      <c r="CJ181" s="675"/>
      <c r="CK181" s="676">
        <f t="shared" si="202"/>
        <v>0</v>
      </c>
      <c r="CL181" s="677">
        <f t="shared" si="203"/>
        <v>0</v>
      </c>
      <c r="CM181" s="677">
        <f t="shared" si="245"/>
        <v>0</v>
      </c>
      <c r="CN181" s="678">
        <f t="shared" si="246"/>
        <v>0</v>
      </c>
      <c r="CO181" s="679">
        <f t="shared" si="247"/>
        <v>0</v>
      </c>
      <c r="CP181" s="675"/>
      <c r="CQ181" s="676">
        <f t="shared" si="204"/>
        <v>0</v>
      </c>
      <c r="CR181" s="677">
        <f t="shared" si="205"/>
        <v>0</v>
      </c>
      <c r="CS181" s="677">
        <f t="shared" si="248"/>
        <v>0</v>
      </c>
      <c r="CT181" s="678">
        <f t="shared" si="249"/>
        <v>0</v>
      </c>
      <c r="CU181" s="679">
        <f t="shared" si="250"/>
        <v>0</v>
      </c>
      <c r="CV181" s="685"/>
      <c r="CW181" s="681"/>
      <c r="CX181" s="682"/>
      <c r="CY181" s="682"/>
      <c r="CZ181" s="683"/>
      <c r="DA181" s="684"/>
      <c r="DB181" s="685"/>
      <c r="DC181" s="681"/>
      <c r="DD181" s="682"/>
      <c r="DE181" s="682"/>
      <c r="DF181" s="683"/>
      <c r="DG181" s="684"/>
      <c r="DH181" s="685"/>
      <c r="DI181" s="681"/>
      <c r="DJ181" s="682"/>
      <c r="DK181" s="682"/>
      <c r="DL181" s="683"/>
      <c r="DM181" s="684"/>
      <c r="DN181" s="685"/>
      <c r="DO181" s="681"/>
      <c r="DP181" s="682"/>
      <c r="DQ181" s="682"/>
      <c r="DR181" s="683"/>
      <c r="DS181" s="684"/>
      <c r="DT181" s="675"/>
      <c r="DU181" s="676">
        <f t="shared" si="206"/>
        <v>0</v>
      </c>
      <c r="DV181" s="677">
        <f t="shared" si="207"/>
        <v>0</v>
      </c>
      <c r="DW181" s="677">
        <f t="shared" si="251"/>
        <v>0</v>
      </c>
      <c r="DX181" s="678">
        <f t="shared" si="252"/>
        <v>0</v>
      </c>
      <c r="DY181" s="679">
        <f t="shared" si="253"/>
        <v>0</v>
      </c>
      <c r="DZ181" s="680"/>
      <c r="EA181" s="681"/>
      <c r="EB181" s="682"/>
      <c r="EC181" s="682"/>
      <c r="ED181" s="683"/>
      <c r="EE181" s="684"/>
      <c r="EF181" s="680"/>
      <c r="EG181" s="681"/>
      <c r="EH181" s="682"/>
      <c r="EI181" s="682"/>
      <c r="EJ181" s="683"/>
      <c r="EK181" s="684"/>
      <c r="EL181" s="680"/>
      <c r="EM181" s="681"/>
      <c r="EN181" s="682"/>
      <c r="EO181" s="682"/>
      <c r="EP181" s="683"/>
      <c r="EQ181" s="684"/>
      <c r="ER181" s="680"/>
      <c r="ES181" s="681"/>
      <c r="ET181" s="682"/>
      <c r="EU181" s="682"/>
      <c r="EV181" s="683"/>
      <c r="EW181" s="684"/>
      <c r="EX181" s="675"/>
      <c r="EY181" s="676">
        <f t="shared" si="208"/>
        <v>0</v>
      </c>
      <c r="EZ181" s="677">
        <f t="shared" si="209"/>
        <v>0</v>
      </c>
      <c r="FA181" s="677">
        <f t="shared" si="254"/>
        <v>0</v>
      </c>
      <c r="FB181" s="678">
        <f t="shared" si="255"/>
        <v>0</v>
      </c>
      <c r="FC181" s="679">
        <f t="shared" si="256"/>
        <v>0</v>
      </c>
      <c r="FD181" s="680"/>
      <c r="FE181" s="681"/>
      <c r="FF181" s="682"/>
      <c r="FG181" s="682"/>
      <c r="FH181" s="683"/>
      <c r="FI181" s="684"/>
      <c r="FJ181" s="680"/>
      <c r="FK181" s="681"/>
      <c r="FL181" s="682"/>
      <c r="FM181" s="682"/>
      <c r="FN181" s="683"/>
      <c r="FO181" s="684"/>
      <c r="FP181" s="680"/>
      <c r="FQ181" s="681"/>
      <c r="FR181" s="682"/>
      <c r="FS181" s="682"/>
      <c r="FT181" s="683"/>
      <c r="FU181" s="684"/>
      <c r="FV181" s="680"/>
      <c r="FW181" s="681"/>
      <c r="FX181" s="682"/>
      <c r="FY181" s="682"/>
      <c r="FZ181" s="683"/>
      <c r="GA181" s="684"/>
      <c r="GB181" s="675"/>
      <c r="GC181" s="676">
        <f t="shared" si="210"/>
        <v>0</v>
      </c>
      <c r="GD181" s="677">
        <f t="shared" si="211"/>
        <v>0</v>
      </c>
      <c r="GE181" s="677">
        <f t="shared" si="257"/>
        <v>0</v>
      </c>
      <c r="GF181" s="678">
        <f t="shared" si="258"/>
        <v>0</v>
      </c>
      <c r="GG181" s="679">
        <f t="shared" si="259"/>
        <v>0</v>
      </c>
      <c r="GH181" s="680"/>
      <c r="GI181" s="681"/>
      <c r="GJ181" s="682"/>
      <c r="GK181" s="682"/>
      <c r="GL181" s="683"/>
      <c r="GM181" s="684"/>
      <c r="GN181" s="680"/>
      <c r="GO181" s="681"/>
      <c r="GP181" s="682"/>
      <c r="GQ181" s="682"/>
      <c r="GR181" s="683"/>
      <c r="GS181" s="684"/>
      <c r="GT181" s="680"/>
      <c r="GU181" s="681"/>
      <c r="GV181" s="682"/>
      <c r="GW181" s="682"/>
      <c r="GX181" s="683"/>
      <c r="GY181" s="684"/>
      <c r="GZ181" s="680"/>
      <c r="HA181" s="147"/>
      <c r="HB181" s="148"/>
      <c r="HC181" s="148"/>
      <c r="HD181" s="149"/>
      <c r="HE181" s="150"/>
      <c r="HF181" s="506"/>
      <c r="HG181" s="502"/>
      <c r="HH181" s="502"/>
      <c r="HI181" s="502"/>
      <c r="HJ181" s="8"/>
    </row>
    <row r="182" spans="2:218" ht="21" hidden="1">
      <c r="B182" s="488">
        <v>138</v>
      </c>
      <c r="C182" s="489" t="s">
        <v>401</v>
      </c>
      <c r="D182" s="507" t="s">
        <v>330</v>
      </c>
      <c r="E182" s="508" t="s">
        <v>313</v>
      </c>
      <c r="F182" s="492"/>
      <c r="G182" s="493"/>
      <c r="H182" s="146" t="s">
        <v>97</v>
      </c>
      <c r="I182" s="494" t="str">
        <f t="shared" si="177"/>
        <v>n.v.t.</v>
      </c>
      <c r="J182" s="495"/>
      <c r="K182" s="151">
        <v>0</v>
      </c>
      <c r="L182" s="256"/>
      <c r="M182" s="256"/>
      <c r="N182" s="496"/>
      <c r="O182" s="497"/>
      <c r="P182" s="257"/>
      <c r="Q182" s="257"/>
      <c r="R182" s="257"/>
      <c r="S182" s="344"/>
      <c r="T182" s="258">
        <f t="shared" si="178"/>
        <v>0</v>
      </c>
      <c r="U182" s="259">
        <f t="shared" si="179"/>
        <v>0</v>
      </c>
      <c r="V182" s="675"/>
      <c r="W182" s="676">
        <f t="shared" si="180"/>
        <v>0</v>
      </c>
      <c r="X182" s="677">
        <f t="shared" si="181"/>
        <v>0</v>
      </c>
      <c r="Y182" s="677">
        <f t="shared" si="212"/>
        <v>0</v>
      </c>
      <c r="Z182" s="678">
        <f t="shared" si="213"/>
        <v>0</v>
      </c>
      <c r="AA182" s="679">
        <f t="shared" si="214"/>
        <v>0</v>
      </c>
      <c r="AB182" s="675"/>
      <c r="AC182" s="676">
        <f t="shared" si="182"/>
        <v>0</v>
      </c>
      <c r="AD182" s="677">
        <f t="shared" si="183"/>
        <v>0</v>
      </c>
      <c r="AE182" s="677">
        <f t="shared" si="215"/>
        <v>0</v>
      </c>
      <c r="AF182" s="678">
        <f t="shared" si="216"/>
        <v>0</v>
      </c>
      <c r="AG182" s="679">
        <f t="shared" si="217"/>
        <v>0</v>
      </c>
      <c r="AH182" s="675"/>
      <c r="AI182" s="676">
        <f t="shared" si="184"/>
        <v>0</v>
      </c>
      <c r="AJ182" s="677">
        <f t="shared" si="185"/>
        <v>0</v>
      </c>
      <c r="AK182" s="677">
        <f t="shared" si="218"/>
        <v>0</v>
      </c>
      <c r="AL182" s="678">
        <f t="shared" si="219"/>
        <v>0</v>
      </c>
      <c r="AM182" s="679">
        <f t="shared" si="220"/>
        <v>0</v>
      </c>
      <c r="AN182" s="675"/>
      <c r="AO182" s="676">
        <f t="shared" si="186"/>
        <v>0</v>
      </c>
      <c r="AP182" s="677">
        <f t="shared" si="187"/>
        <v>0</v>
      </c>
      <c r="AQ182" s="677">
        <f t="shared" si="221"/>
        <v>0</v>
      </c>
      <c r="AR182" s="678">
        <f t="shared" si="222"/>
        <v>0</v>
      </c>
      <c r="AS182" s="679">
        <f t="shared" si="223"/>
        <v>0</v>
      </c>
      <c r="AT182" s="675"/>
      <c r="AU182" s="676">
        <f t="shared" si="188"/>
        <v>0</v>
      </c>
      <c r="AV182" s="677">
        <f t="shared" si="189"/>
        <v>0</v>
      </c>
      <c r="AW182" s="677">
        <f t="shared" si="224"/>
        <v>0</v>
      </c>
      <c r="AX182" s="678">
        <f t="shared" si="225"/>
        <v>0</v>
      </c>
      <c r="AY182" s="679">
        <f t="shared" si="226"/>
        <v>0</v>
      </c>
      <c r="AZ182" s="675"/>
      <c r="BA182" s="676">
        <f t="shared" si="190"/>
        <v>0</v>
      </c>
      <c r="BB182" s="677">
        <f t="shared" si="191"/>
        <v>0</v>
      </c>
      <c r="BC182" s="677">
        <f t="shared" si="227"/>
        <v>0</v>
      </c>
      <c r="BD182" s="678">
        <f t="shared" si="228"/>
        <v>0</v>
      </c>
      <c r="BE182" s="679">
        <f t="shared" si="229"/>
        <v>0</v>
      </c>
      <c r="BF182" s="675"/>
      <c r="BG182" s="676">
        <f t="shared" si="192"/>
        <v>0</v>
      </c>
      <c r="BH182" s="677">
        <f t="shared" si="193"/>
        <v>0</v>
      </c>
      <c r="BI182" s="677">
        <f t="shared" si="230"/>
        <v>0</v>
      </c>
      <c r="BJ182" s="678">
        <f t="shared" si="231"/>
        <v>0</v>
      </c>
      <c r="BK182" s="679">
        <f t="shared" si="232"/>
        <v>0</v>
      </c>
      <c r="BL182" s="675"/>
      <c r="BM182" s="676">
        <f t="shared" si="194"/>
        <v>0</v>
      </c>
      <c r="BN182" s="677">
        <f t="shared" si="195"/>
        <v>0</v>
      </c>
      <c r="BO182" s="677">
        <f t="shared" si="233"/>
        <v>0</v>
      </c>
      <c r="BP182" s="678">
        <f t="shared" si="234"/>
        <v>0</v>
      </c>
      <c r="BQ182" s="679">
        <f t="shared" si="235"/>
        <v>0</v>
      </c>
      <c r="BR182" s="675"/>
      <c r="BS182" s="676">
        <f t="shared" si="196"/>
        <v>0</v>
      </c>
      <c r="BT182" s="677">
        <f t="shared" si="197"/>
        <v>0</v>
      </c>
      <c r="BU182" s="677">
        <f t="shared" si="236"/>
        <v>0</v>
      </c>
      <c r="BV182" s="678">
        <f t="shared" si="237"/>
        <v>0</v>
      </c>
      <c r="BW182" s="679">
        <f t="shared" si="238"/>
        <v>0</v>
      </c>
      <c r="BX182" s="675"/>
      <c r="BY182" s="676">
        <f t="shared" si="198"/>
        <v>0</v>
      </c>
      <c r="BZ182" s="677">
        <f t="shared" si="199"/>
        <v>0</v>
      </c>
      <c r="CA182" s="677">
        <f t="shared" si="239"/>
        <v>0</v>
      </c>
      <c r="CB182" s="678">
        <f t="shared" si="240"/>
        <v>0</v>
      </c>
      <c r="CC182" s="679">
        <f t="shared" si="241"/>
        <v>0</v>
      </c>
      <c r="CD182" s="675"/>
      <c r="CE182" s="676">
        <f t="shared" si="200"/>
        <v>0</v>
      </c>
      <c r="CF182" s="677">
        <f t="shared" si="201"/>
        <v>0</v>
      </c>
      <c r="CG182" s="677">
        <f t="shared" si="242"/>
        <v>0</v>
      </c>
      <c r="CH182" s="678">
        <f t="shared" si="243"/>
        <v>0</v>
      </c>
      <c r="CI182" s="679">
        <f t="shared" si="244"/>
        <v>0</v>
      </c>
      <c r="CJ182" s="675"/>
      <c r="CK182" s="676">
        <f t="shared" si="202"/>
        <v>0</v>
      </c>
      <c r="CL182" s="677">
        <f t="shared" si="203"/>
        <v>0</v>
      </c>
      <c r="CM182" s="677">
        <f t="shared" si="245"/>
        <v>0</v>
      </c>
      <c r="CN182" s="678">
        <f t="shared" si="246"/>
        <v>0</v>
      </c>
      <c r="CO182" s="679">
        <f t="shared" si="247"/>
        <v>0</v>
      </c>
      <c r="CP182" s="675"/>
      <c r="CQ182" s="676">
        <f t="shared" si="204"/>
        <v>0</v>
      </c>
      <c r="CR182" s="677">
        <f t="shared" si="205"/>
        <v>0</v>
      </c>
      <c r="CS182" s="677">
        <f t="shared" si="248"/>
        <v>0</v>
      </c>
      <c r="CT182" s="678">
        <f t="shared" si="249"/>
        <v>0</v>
      </c>
      <c r="CU182" s="679">
        <f t="shared" si="250"/>
        <v>0</v>
      </c>
      <c r="CV182" s="685"/>
      <c r="CW182" s="681"/>
      <c r="CX182" s="682"/>
      <c r="CY182" s="682"/>
      <c r="CZ182" s="683"/>
      <c r="DA182" s="684"/>
      <c r="DB182" s="685"/>
      <c r="DC182" s="681"/>
      <c r="DD182" s="682"/>
      <c r="DE182" s="682"/>
      <c r="DF182" s="683"/>
      <c r="DG182" s="684"/>
      <c r="DH182" s="685"/>
      <c r="DI182" s="681"/>
      <c r="DJ182" s="682"/>
      <c r="DK182" s="682"/>
      <c r="DL182" s="683"/>
      <c r="DM182" s="684"/>
      <c r="DN182" s="685"/>
      <c r="DO182" s="681"/>
      <c r="DP182" s="682"/>
      <c r="DQ182" s="682"/>
      <c r="DR182" s="683"/>
      <c r="DS182" s="684"/>
      <c r="DT182" s="675"/>
      <c r="DU182" s="676">
        <f t="shared" si="206"/>
        <v>0</v>
      </c>
      <c r="DV182" s="677">
        <f t="shared" si="207"/>
        <v>0</v>
      </c>
      <c r="DW182" s="677">
        <f t="shared" si="251"/>
        <v>0</v>
      </c>
      <c r="DX182" s="678">
        <f t="shared" si="252"/>
        <v>0</v>
      </c>
      <c r="DY182" s="679">
        <f t="shared" si="253"/>
        <v>0</v>
      </c>
      <c r="DZ182" s="680"/>
      <c r="EA182" s="681"/>
      <c r="EB182" s="682"/>
      <c r="EC182" s="682"/>
      <c r="ED182" s="683"/>
      <c r="EE182" s="684"/>
      <c r="EF182" s="680"/>
      <c r="EG182" s="681"/>
      <c r="EH182" s="682"/>
      <c r="EI182" s="682"/>
      <c r="EJ182" s="683"/>
      <c r="EK182" s="684"/>
      <c r="EL182" s="680"/>
      <c r="EM182" s="681"/>
      <c r="EN182" s="682"/>
      <c r="EO182" s="682"/>
      <c r="EP182" s="683"/>
      <c r="EQ182" s="684"/>
      <c r="ER182" s="680"/>
      <c r="ES182" s="681"/>
      <c r="ET182" s="682"/>
      <c r="EU182" s="682"/>
      <c r="EV182" s="683"/>
      <c r="EW182" s="684"/>
      <c r="EX182" s="675"/>
      <c r="EY182" s="676">
        <f t="shared" si="208"/>
        <v>0</v>
      </c>
      <c r="EZ182" s="677">
        <f t="shared" si="209"/>
        <v>0</v>
      </c>
      <c r="FA182" s="677">
        <f t="shared" si="254"/>
        <v>0</v>
      </c>
      <c r="FB182" s="678">
        <f t="shared" si="255"/>
        <v>0</v>
      </c>
      <c r="FC182" s="679">
        <f t="shared" si="256"/>
        <v>0</v>
      </c>
      <c r="FD182" s="680"/>
      <c r="FE182" s="681"/>
      <c r="FF182" s="682"/>
      <c r="FG182" s="682"/>
      <c r="FH182" s="683"/>
      <c r="FI182" s="684"/>
      <c r="FJ182" s="680"/>
      <c r="FK182" s="681"/>
      <c r="FL182" s="682"/>
      <c r="FM182" s="682"/>
      <c r="FN182" s="683"/>
      <c r="FO182" s="684"/>
      <c r="FP182" s="680"/>
      <c r="FQ182" s="681"/>
      <c r="FR182" s="682"/>
      <c r="FS182" s="682"/>
      <c r="FT182" s="683"/>
      <c r="FU182" s="684"/>
      <c r="FV182" s="680"/>
      <c r="FW182" s="681"/>
      <c r="FX182" s="682"/>
      <c r="FY182" s="682"/>
      <c r="FZ182" s="683"/>
      <c r="GA182" s="684"/>
      <c r="GB182" s="675"/>
      <c r="GC182" s="676">
        <f t="shared" si="210"/>
        <v>0</v>
      </c>
      <c r="GD182" s="677">
        <f t="shared" si="211"/>
        <v>0</v>
      </c>
      <c r="GE182" s="677">
        <f t="shared" si="257"/>
        <v>0</v>
      </c>
      <c r="GF182" s="678">
        <f t="shared" si="258"/>
        <v>0</v>
      </c>
      <c r="GG182" s="679">
        <f t="shared" si="259"/>
        <v>0</v>
      </c>
      <c r="GH182" s="680"/>
      <c r="GI182" s="681"/>
      <c r="GJ182" s="682"/>
      <c r="GK182" s="682"/>
      <c r="GL182" s="683"/>
      <c r="GM182" s="684"/>
      <c r="GN182" s="680"/>
      <c r="GO182" s="681"/>
      <c r="GP182" s="682"/>
      <c r="GQ182" s="682"/>
      <c r="GR182" s="683"/>
      <c r="GS182" s="684"/>
      <c r="GT182" s="680"/>
      <c r="GU182" s="681"/>
      <c r="GV182" s="682"/>
      <c r="GW182" s="682"/>
      <c r="GX182" s="683"/>
      <c r="GY182" s="684"/>
      <c r="GZ182" s="680"/>
      <c r="HA182" s="147"/>
      <c r="HB182" s="148"/>
      <c r="HC182" s="148"/>
      <c r="HD182" s="149"/>
      <c r="HE182" s="150"/>
      <c r="HF182" s="506"/>
      <c r="HG182" s="502"/>
      <c r="HH182" s="502"/>
      <c r="HI182" s="502"/>
      <c r="HJ182" s="8"/>
    </row>
    <row r="183" spans="2:218" ht="21" hidden="1">
      <c r="B183" s="488">
        <v>139</v>
      </c>
      <c r="C183" s="489" t="s">
        <v>332</v>
      </c>
      <c r="D183" s="507" t="s">
        <v>331</v>
      </c>
      <c r="E183" s="508" t="s">
        <v>313</v>
      </c>
      <c r="F183" s="492"/>
      <c r="G183" s="493"/>
      <c r="H183" s="146" t="s">
        <v>97</v>
      </c>
      <c r="I183" s="494" t="str">
        <f t="shared" si="177"/>
        <v>n.v.t.</v>
      </c>
      <c r="J183" s="495"/>
      <c r="K183" s="151">
        <v>0</v>
      </c>
      <c r="L183" s="256"/>
      <c r="M183" s="256"/>
      <c r="N183" s="496"/>
      <c r="O183" s="497"/>
      <c r="P183" s="257"/>
      <c r="Q183" s="257"/>
      <c r="R183" s="257"/>
      <c r="S183" s="344"/>
      <c r="T183" s="258">
        <f t="shared" si="178"/>
        <v>0</v>
      </c>
      <c r="U183" s="259">
        <f t="shared" si="179"/>
        <v>0</v>
      </c>
      <c r="V183" s="675"/>
      <c r="W183" s="676">
        <f t="shared" si="180"/>
        <v>0</v>
      </c>
      <c r="X183" s="677">
        <f t="shared" si="181"/>
        <v>0</v>
      </c>
      <c r="Y183" s="677">
        <f t="shared" si="212"/>
        <v>0</v>
      </c>
      <c r="Z183" s="678">
        <f t="shared" si="213"/>
        <v>0</v>
      </c>
      <c r="AA183" s="679">
        <f t="shared" si="214"/>
        <v>0</v>
      </c>
      <c r="AB183" s="675"/>
      <c r="AC183" s="676">
        <f t="shared" si="182"/>
        <v>0</v>
      </c>
      <c r="AD183" s="677">
        <f t="shared" si="183"/>
        <v>0</v>
      </c>
      <c r="AE183" s="677">
        <f t="shared" si="215"/>
        <v>0</v>
      </c>
      <c r="AF183" s="678">
        <f t="shared" si="216"/>
        <v>0</v>
      </c>
      <c r="AG183" s="679">
        <f t="shared" si="217"/>
        <v>0</v>
      </c>
      <c r="AH183" s="675"/>
      <c r="AI183" s="676">
        <f t="shared" si="184"/>
        <v>0</v>
      </c>
      <c r="AJ183" s="677">
        <f t="shared" si="185"/>
        <v>0</v>
      </c>
      <c r="AK183" s="677">
        <f t="shared" si="218"/>
        <v>0</v>
      </c>
      <c r="AL183" s="678">
        <f t="shared" si="219"/>
        <v>0</v>
      </c>
      <c r="AM183" s="679">
        <f t="shared" si="220"/>
        <v>0</v>
      </c>
      <c r="AN183" s="675"/>
      <c r="AO183" s="676">
        <f t="shared" si="186"/>
        <v>0</v>
      </c>
      <c r="AP183" s="677">
        <f t="shared" si="187"/>
        <v>0</v>
      </c>
      <c r="AQ183" s="677">
        <f t="shared" si="221"/>
        <v>0</v>
      </c>
      <c r="AR183" s="678">
        <f t="shared" si="222"/>
        <v>0</v>
      </c>
      <c r="AS183" s="679">
        <f t="shared" si="223"/>
        <v>0</v>
      </c>
      <c r="AT183" s="675"/>
      <c r="AU183" s="676">
        <f t="shared" si="188"/>
        <v>0</v>
      </c>
      <c r="AV183" s="677">
        <f t="shared" si="189"/>
        <v>0</v>
      </c>
      <c r="AW183" s="677">
        <f t="shared" si="224"/>
        <v>0</v>
      </c>
      <c r="AX183" s="678">
        <f t="shared" si="225"/>
        <v>0</v>
      </c>
      <c r="AY183" s="679">
        <f t="shared" si="226"/>
        <v>0</v>
      </c>
      <c r="AZ183" s="675"/>
      <c r="BA183" s="676">
        <f t="shared" si="190"/>
        <v>0</v>
      </c>
      <c r="BB183" s="677">
        <f t="shared" si="191"/>
        <v>0</v>
      </c>
      <c r="BC183" s="677">
        <f t="shared" si="227"/>
        <v>0</v>
      </c>
      <c r="BD183" s="678">
        <f t="shared" si="228"/>
        <v>0</v>
      </c>
      <c r="BE183" s="679">
        <f t="shared" si="229"/>
        <v>0</v>
      </c>
      <c r="BF183" s="675"/>
      <c r="BG183" s="676">
        <f t="shared" si="192"/>
        <v>0</v>
      </c>
      <c r="BH183" s="677">
        <f t="shared" si="193"/>
        <v>0</v>
      </c>
      <c r="BI183" s="677">
        <f t="shared" si="230"/>
        <v>0</v>
      </c>
      <c r="BJ183" s="678">
        <f t="shared" si="231"/>
        <v>0</v>
      </c>
      <c r="BK183" s="679">
        <f t="shared" si="232"/>
        <v>0</v>
      </c>
      <c r="BL183" s="675"/>
      <c r="BM183" s="676">
        <f t="shared" si="194"/>
        <v>0</v>
      </c>
      <c r="BN183" s="677">
        <f t="shared" si="195"/>
        <v>0</v>
      </c>
      <c r="BO183" s="677">
        <f t="shared" si="233"/>
        <v>0</v>
      </c>
      <c r="BP183" s="678">
        <f t="shared" si="234"/>
        <v>0</v>
      </c>
      <c r="BQ183" s="679">
        <f t="shared" si="235"/>
        <v>0</v>
      </c>
      <c r="BR183" s="675"/>
      <c r="BS183" s="676">
        <f t="shared" si="196"/>
        <v>0</v>
      </c>
      <c r="BT183" s="677">
        <f t="shared" si="197"/>
        <v>0</v>
      </c>
      <c r="BU183" s="677">
        <f t="shared" si="236"/>
        <v>0</v>
      </c>
      <c r="BV183" s="678">
        <f t="shared" si="237"/>
        <v>0</v>
      </c>
      <c r="BW183" s="679">
        <f t="shared" si="238"/>
        <v>0</v>
      </c>
      <c r="BX183" s="675"/>
      <c r="BY183" s="676">
        <f t="shared" si="198"/>
        <v>0</v>
      </c>
      <c r="BZ183" s="677">
        <f t="shared" si="199"/>
        <v>0</v>
      </c>
      <c r="CA183" s="677">
        <f t="shared" si="239"/>
        <v>0</v>
      </c>
      <c r="CB183" s="678">
        <f t="shared" si="240"/>
        <v>0</v>
      </c>
      <c r="CC183" s="679">
        <f t="shared" si="241"/>
        <v>0</v>
      </c>
      <c r="CD183" s="675"/>
      <c r="CE183" s="676">
        <f t="shared" si="200"/>
        <v>0</v>
      </c>
      <c r="CF183" s="677">
        <f t="shared" si="201"/>
        <v>0</v>
      </c>
      <c r="CG183" s="677">
        <f t="shared" si="242"/>
        <v>0</v>
      </c>
      <c r="CH183" s="678">
        <f t="shared" si="243"/>
        <v>0</v>
      </c>
      <c r="CI183" s="679">
        <f t="shared" si="244"/>
        <v>0</v>
      </c>
      <c r="CJ183" s="675"/>
      <c r="CK183" s="676">
        <f t="shared" si="202"/>
        <v>0</v>
      </c>
      <c r="CL183" s="677">
        <f t="shared" si="203"/>
        <v>0</v>
      </c>
      <c r="CM183" s="677">
        <f t="shared" si="245"/>
        <v>0</v>
      </c>
      <c r="CN183" s="678">
        <f t="shared" si="246"/>
        <v>0</v>
      </c>
      <c r="CO183" s="679">
        <f t="shared" si="247"/>
        <v>0</v>
      </c>
      <c r="CP183" s="675"/>
      <c r="CQ183" s="676">
        <f t="shared" si="204"/>
        <v>0</v>
      </c>
      <c r="CR183" s="677">
        <f t="shared" si="205"/>
        <v>0</v>
      </c>
      <c r="CS183" s="677">
        <f t="shared" si="248"/>
        <v>0</v>
      </c>
      <c r="CT183" s="678">
        <f t="shared" si="249"/>
        <v>0</v>
      </c>
      <c r="CU183" s="679">
        <f t="shared" si="250"/>
        <v>0</v>
      </c>
      <c r="CV183" s="685"/>
      <c r="CW183" s="681"/>
      <c r="CX183" s="682"/>
      <c r="CY183" s="682"/>
      <c r="CZ183" s="683"/>
      <c r="DA183" s="684"/>
      <c r="DB183" s="685"/>
      <c r="DC183" s="681"/>
      <c r="DD183" s="682"/>
      <c r="DE183" s="682"/>
      <c r="DF183" s="683"/>
      <c r="DG183" s="684"/>
      <c r="DH183" s="685"/>
      <c r="DI183" s="681"/>
      <c r="DJ183" s="682"/>
      <c r="DK183" s="682"/>
      <c r="DL183" s="683"/>
      <c r="DM183" s="684"/>
      <c r="DN183" s="685"/>
      <c r="DO183" s="681"/>
      <c r="DP183" s="682"/>
      <c r="DQ183" s="682"/>
      <c r="DR183" s="683"/>
      <c r="DS183" s="684"/>
      <c r="DT183" s="675"/>
      <c r="DU183" s="676">
        <f t="shared" si="206"/>
        <v>0</v>
      </c>
      <c r="DV183" s="677">
        <f t="shared" si="207"/>
        <v>0</v>
      </c>
      <c r="DW183" s="677">
        <f t="shared" si="251"/>
        <v>0</v>
      </c>
      <c r="DX183" s="678">
        <f t="shared" si="252"/>
        <v>0</v>
      </c>
      <c r="DY183" s="679">
        <f t="shared" si="253"/>
        <v>0</v>
      </c>
      <c r="DZ183" s="680"/>
      <c r="EA183" s="681"/>
      <c r="EB183" s="682"/>
      <c r="EC183" s="682"/>
      <c r="ED183" s="683"/>
      <c r="EE183" s="684"/>
      <c r="EF183" s="680"/>
      <c r="EG183" s="681"/>
      <c r="EH183" s="682"/>
      <c r="EI183" s="682"/>
      <c r="EJ183" s="683"/>
      <c r="EK183" s="684"/>
      <c r="EL183" s="680"/>
      <c r="EM183" s="681"/>
      <c r="EN183" s="682"/>
      <c r="EO183" s="682"/>
      <c r="EP183" s="683"/>
      <c r="EQ183" s="684"/>
      <c r="ER183" s="680"/>
      <c r="ES183" s="681"/>
      <c r="ET183" s="682"/>
      <c r="EU183" s="682"/>
      <c r="EV183" s="683"/>
      <c r="EW183" s="684"/>
      <c r="EX183" s="675"/>
      <c r="EY183" s="676">
        <f t="shared" si="208"/>
        <v>0</v>
      </c>
      <c r="EZ183" s="677">
        <f t="shared" si="209"/>
        <v>0</v>
      </c>
      <c r="FA183" s="677">
        <f t="shared" si="254"/>
        <v>0</v>
      </c>
      <c r="FB183" s="678">
        <f t="shared" si="255"/>
        <v>0</v>
      </c>
      <c r="FC183" s="679">
        <f t="shared" si="256"/>
        <v>0</v>
      </c>
      <c r="FD183" s="680"/>
      <c r="FE183" s="681"/>
      <c r="FF183" s="682"/>
      <c r="FG183" s="682"/>
      <c r="FH183" s="683"/>
      <c r="FI183" s="684"/>
      <c r="FJ183" s="680"/>
      <c r="FK183" s="681"/>
      <c r="FL183" s="682"/>
      <c r="FM183" s="682"/>
      <c r="FN183" s="683"/>
      <c r="FO183" s="684"/>
      <c r="FP183" s="680"/>
      <c r="FQ183" s="681"/>
      <c r="FR183" s="682"/>
      <c r="FS183" s="682"/>
      <c r="FT183" s="683"/>
      <c r="FU183" s="684"/>
      <c r="FV183" s="680"/>
      <c r="FW183" s="681"/>
      <c r="FX183" s="682"/>
      <c r="FY183" s="682"/>
      <c r="FZ183" s="683"/>
      <c r="GA183" s="684"/>
      <c r="GB183" s="675"/>
      <c r="GC183" s="676">
        <f t="shared" si="210"/>
        <v>0</v>
      </c>
      <c r="GD183" s="677">
        <f t="shared" si="211"/>
        <v>0</v>
      </c>
      <c r="GE183" s="677">
        <f t="shared" si="257"/>
        <v>0</v>
      </c>
      <c r="GF183" s="678">
        <f t="shared" si="258"/>
        <v>0</v>
      </c>
      <c r="GG183" s="679">
        <f t="shared" si="259"/>
        <v>0</v>
      </c>
      <c r="GH183" s="680"/>
      <c r="GI183" s="681"/>
      <c r="GJ183" s="682"/>
      <c r="GK183" s="682"/>
      <c r="GL183" s="683"/>
      <c r="GM183" s="684"/>
      <c r="GN183" s="680"/>
      <c r="GO183" s="681"/>
      <c r="GP183" s="682"/>
      <c r="GQ183" s="682"/>
      <c r="GR183" s="683"/>
      <c r="GS183" s="684"/>
      <c r="GT183" s="680"/>
      <c r="GU183" s="681"/>
      <c r="GV183" s="682"/>
      <c r="GW183" s="682"/>
      <c r="GX183" s="683"/>
      <c r="GY183" s="684"/>
      <c r="GZ183" s="680"/>
      <c r="HA183" s="147"/>
      <c r="HB183" s="148"/>
      <c r="HC183" s="148"/>
      <c r="HD183" s="149"/>
      <c r="HE183" s="150"/>
      <c r="HF183" s="506"/>
      <c r="HG183" s="502"/>
      <c r="HH183" s="502"/>
      <c r="HI183" s="502"/>
      <c r="HJ183" s="8"/>
    </row>
    <row r="184" spans="2:218" ht="21" hidden="1">
      <c r="B184" s="488">
        <v>140</v>
      </c>
      <c r="C184" s="489" t="s">
        <v>334</v>
      </c>
      <c r="D184" s="507" t="s">
        <v>333</v>
      </c>
      <c r="E184" s="508" t="s">
        <v>313</v>
      </c>
      <c r="F184" s="492"/>
      <c r="G184" s="493"/>
      <c r="H184" s="146" t="s">
        <v>97</v>
      </c>
      <c r="I184" s="494" t="str">
        <f t="shared" si="177"/>
        <v>n.v.t.</v>
      </c>
      <c r="J184" s="495"/>
      <c r="K184" s="151">
        <v>0</v>
      </c>
      <c r="L184" s="256"/>
      <c r="M184" s="256"/>
      <c r="N184" s="496"/>
      <c r="O184" s="497"/>
      <c r="P184" s="257"/>
      <c r="Q184" s="257"/>
      <c r="R184" s="257"/>
      <c r="S184" s="344"/>
      <c r="T184" s="258">
        <f t="shared" si="178"/>
        <v>0</v>
      </c>
      <c r="U184" s="259">
        <f t="shared" si="179"/>
        <v>0</v>
      </c>
      <c r="V184" s="675"/>
      <c r="W184" s="676">
        <f t="shared" si="180"/>
        <v>0</v>
      </c>
      <c r="X184" s="677">
        <f t="shared" si="181"/>
        <v>0</v>
      </c>
      <c r="Y184" s="677">
        <f t="shared" si="212"/>
        <v>0</v>
      </c>
      <c r="Z184" s="678">
        <f t="shared" si="213"/>
        <v>0</v>
      </c>
      <c r="AA184" s="679">
        <f t="shared" si="214"/>
        <v>0</v>
      </c>
      <c r="AB184" s="675"/>
      <c r="AC184" s="676">
        <f t="shared" si="182"/>
        <v>0</v>
      </c>
      <c r="AD184" s="677">
        <f t="shared" si="183"/>
        <v>0</v>
      </c>
      <c r="AE184" s="677">
        <f t="shared" si="215"/>
        <v>0</v>
      </c>
      <c r="AF184" s="678">
        <f t="shared" si="216"/>
        <v>0</v>
      </c>
      <c r="AG184" s="679">
        <f t="shared" si="217"/>
        <v>0</v>
      </c>
      <c r="AH184" s="675"/>
      <c r="AI184" s="676">
        <f t="shared" si="184"/>
        <v>0</v>
      </c>
      <c r="AJ184" s="677">
        <f t="shared" si="185"/>
        <v>0</v>
      </c>
      <c r="AK184" s="677">
        <f t="shared" si="218"/>
        <v>0</v>
      </c>
      <c r="AL184" s="678">
        <f t="shared" si="219"/>
        <v>0</v>
      </c>
      <c r="AM184" s="679">
        <f t="shared" si="220"/>
        <v>0</v>
      </c>
      <c r="AN184" s="675"/>
      <c r="AO184" s="676">
        <f t="shared" si="186"/>
        <v>0</v>
      </c>
      <c r="AP184" s="677">
        <f t="shared" si="187"/>
        <v>0</v>
      </c>
      <c r="AQ184" s="677">
        <f t="shared" si="221"/>
        <v>0</v>
      </c>
      <c r="AR184" s="678">
        <f t="shared" si="222"/>
        <v>0</v>
      </c>
      <c r="AS184" s="679">
        <f t="shared" si="223"/>
        <v>0</v>
      </c>
      <c r="AT184" s="675"/>
      <c r="AU184" s="676">
        <f t="shared" si="188"/>
        <v>0</v>
      </c>
      <c r="AV184" s="677">
        <f t="shared" si="189"/>
        <v>0</v>
      </c>
      <c r="AW184" s="677">
        <f t="shared" si="224"/>
        <v>0</v>
      </c>
      <c r="AX184" s="678">
        <f t="shared" si="225"/>
        <v>0</v>
      </c>
      <c r="AY184" s="679">
        <f t="shared" si="226"/>
        <v>0</v>
      </c>
      <c r="AZ184" s="675"/>
      <c r="BA184" s="676">
        <f t="shared" si="190"/>
        <v>0</v>
      </c>
      <c r="BB184" s="677">
        <f t="shared" si="191"/>
        <v>0</v>
      </c>
      <c r="BC184" s="677">
        <f t="shared" si="227"/>
        <v>0</v>
      </c>
      <c r="BD184" s="678">
        <f t="shared" si="228"/>
        <v>0</v>
      </c>
      <c r="BE184" s="679">
        <f t="shared" si="229"/>
        <v>0</v>
      </c>
      <c r="BF184" s="675"/>
      <c r="BG184" s="676">
        <f t="shared" si="192"/>
        <v>0</v>
      </c>
      <c r="BH184" s="677">
        <f t="shared" si="193"/>
        <v>0</v>
      </c>
      <c r="BI184" s="677">
        <f t="shared" si="230"/>
        <v>0</v>
      </c>
      <c r="BJ184" s="678">
        <f t="shared" si="231"/>
        <v>0</v>
      </c>
      <c r="BK184" s="679">
        <f t="shared" si="232"/>
        <v>0</v>
      </c>
      <c r="BL184" s="675"/>
      <c r="BM184" s="676">
        <f t="shared" si="194"/>
        <v>0</v>
      </c>
      <c r="BN184" s="677">
        <f t="shared" si="195"/>
        <v>0</v>
      </c>
      <c r="BO184" s="677">
        <f t="shared" si="233"/>
        <v>0</v>
      </c>
      <c r="BP184" s="678">
        <f t="shared" si="234"/>
        <v>0</v>
      </c>
      <c r="BQ184" s="679">
        <f t="shared" si="235"/>
        <v>0</v>
      </c>
      <c r="BR184" s="675"/>
      <c r="BS184" s="676">
        <f t="shared" si="196"/>
        <v>0</v>
      </c>
      <c r="BT184" s="677">
        <f t="shared" si="197"/>
        <v>0</v>
      </c>
      <c r="BU184" s="677">
        <f t="shared" si="236"/>
        <v>0</v>
      </c>
      <c r="BV184" s="678">
        <f t="shared" si="237"/>
        <v>0</v>
      </c>
      <c r="BW184" s="679">
        <f t="shared" si="238"/>
        <v>0</v>
      </c>
      <c r="BX184" s="675"/>
      <c r="BY184" s="676">
        <f t="shared" si="198"/>
        <v>0</v>
      </c>
      <c r="BZ184" s="677">
        <f t="shared" si="199"/>
        <v>0</v>
      </c>
      <c r="CA184" s="677">
        <f t="shared" si="239"/>
        <v>0</v>
      </c>
      <c r="CB184" s="678">
        <f t="shared" si="240"/>
        <v>0</v>
      </c>
      <c r="CC184" s="679">
        <f t="shared" si="241"/>
        <v>0</v>
      </c>
      <c r="CD184" s="675"/>
      <c r="CE184" s="676">
        <f t="shared" si="200"/>
        <v>0</v>
      </c>
      <c r="CF184" s="677">
        <f t="shared" si="201"/>
        <v>0</v>
      </c>
      <c r="CG184" s="677">
        <f t="shared" si="242"/>
        <v>0</v>
      </c>
      <c r="CH184" s="678">
        <f t="shared" si="243"/>
        <v>0</v>
      </c>
      <c r="CI184" s="679">
        <f t="shared" si="244"/>
        <v>0</v>
      </c>
      <c r="CJ184" s="675"/>
      <c r="CK184" s="676">
        <f t="shared" si="202"/>
        <v>0</v>
      </c>
      <c r="CL184" s="677">
        <f t="shared" si="203"/>
        <v>0</v>
      </c>
      <c r="CM184" s="677">
        <f t="shared" si="245"/>
        <v>0</v>
      </c>
      <c r="CN184" s="678">
        <f t="shared" si="246"/>
        <v>0</v>
      </c>
      <c r="CO184" s="679">
        <f t="shared" si="247"/>
        <v>0</v>
      </c>
      <c r="CP184" s="675"/>
      <c r="CQ184" s="676">
        <f t="shared" si="204"/>
        <v>0</v>
      </c>
      <c r="CR184" s="677">
        <f t="shared" si="205"/>
        <v>0</v>
      </c>
      <c r="CS184" s="677">
        <f t="shared" si="248"/>
        <v>0</v>
      </c>
      <c r="CT184" s="678">
        <f t="shared" si="249"/>
        <v>0</v>
      </c>
      <c r="CU184" s="679">
        <f t="shared" si="250"/>
        <v>0</v>
      </c>
      <c r="CV184" s="685"/>
      <c r="CW184" s="681"/>
      <c r="CX184" s="682"/>
      <c r="CY184" s="682"/>
      <c r="CZ184" s="683"/>
      <c r="DA184" s="684"/>
      <c r="DB184" s="685"/>
      <c r="DC184" s="681"/>
      <c r="DD184" s="682"/>
      <c r="DE184" s="682"/>
      <c r="DF184" s="683"/>
      <c r="DG184" s="684"/>
      <c r="DH184" s="685"/>
      <c r="DI184" s="681"/>
      <c r="DJ184" s="682"/>
      <c r="DK184" s="682"/>
      <c r="DL184" s="683"/>
      <c r="DM184" s="684"/>
      <c r="DN184" s="685"/>
      <c r="DO184" s="681"/>
      <c r="DP184" s="682"/>
      <c r="DQ184" s="682"/>
      <c r="DR184" s="683"/>
      <c r="DS184" s="684"/>
      <c r="DT184" s="675"/>
      <c r="DU184" s="676">
        <f t="shared" si="206"/>
        <v>0</v>
      </c>
      <c r="DV184" s="677">
        <f t="shared" si="207"/>
        <v>0</v>
      </c>
      <c r="DW184" s="677">
        <f t="shared" si="251"/>
        <v>0</v>
      </c>
      <c r="DX184" s="678">
        <f t="shared" si="252"/>
        <v>0</v>
      </c>
      <c r="DY184" s="679">
        <f t="shared" si="253"/>
        <v>0</v>
      </c>
      <c r="DZ184" s="680"/>
      <c r="EA184" s="681"/>
      <c r="EB184" s="682"/>
      <c r="EC184" s="682"/>
      <c r="ED184" s="683"/>
      <c r="EE184" s="684"/>
      <c r="EF184" s="680"/>
      <c r="EG184" s="681"/>
      <c r="EH184" s="682"/>
      <c r="EI184" s="682"/>
      <c r="EJ184" s="683"/>
      <c r="EK184" s="684"/>
      <c r="EL184" s="680"/>
      <c r="EM184" s="681"/>
      <c r="EN184" s="682"/>
      <c r="EO184" s="682"/>
      <c r="EP184" s="683"/>
      <c r="EQ184" s="684"/>
      <c r="ER184" s="680"/>
      <c r="ES184" s="681"/>
      <c r="ET184" s="682"/>
      <c r="EU184" s="682"/>
      <c r="EV184" s="683"/>
      <c r="EW184" s="684"/>
      <c r="EX184" s="675"/>
      <c r="EY184" s="676">
        <f t="shared" si="208"/>
        <v>0</v>
      </c>
      <c r="EZ184" s="677">
        <f t="shared" si="209"/>
        <v>0</v>
      </c>
      <c r="FA184" s="677">
        <f t="shared" si="254"/>
        <v>0</v>
      </c>
      <c r="FB184" s="678">
        <f t="shared" si="255"/>
        <v>0</v>
      </c>
      <c r="FC184" s="679">
        <f t="shared" si="256"/>
        <v>0</v>
      </c>
      <c r="FD184" s="680"/>
      <c r="FE184" s="681"/>
      <c r="FF184" s="682"/>
      <c r="FG184" s="682"/>
      <c r="FH184" s="683"/>
      <c r="FI184" s="684"/>
      <c r="FJ184" s="680"/>
      <c r="FK184" s="681"/>
      <c r="FL184" s="682"/>
      <c r="FM184" s="682"/>
      <c r="FN184" s="683"/>
      <c r="FO184" s="684"/>
      <c r="FP184" s="680"/>
      <c r="FQ184" s="681"/>
      <c r="FR184" s="682"/>
      <c r="FS184" s="682"/>
      <c r="FT184" s="683"/>
      <c r="FU184" s="684"/>
      <c r="FV184" s="680"/>
      <c r="FW184" s="681"/>
      <c r="FX184" s="682"/>
      <c r="FY184" s="682"/>
      <c r="FZ184" s="683"/>
      <c r="GA184" s="684"/>
      <c r="GB184" s="675"/>
      <c r="GC184" s="676">
        <f t="shared" si="210"/>
        <v>0</v>
      </c>
      <c r="GD184" s="677">
        <f t="shared" si="211"/>
        <v>0</v>
      </c>
      <c r="GE184" s="677">
        <f t="shared" si="257"/>
        <v>0</v>
      </c>
      <c r="GF184" s="678">
        <f t="shared" si="258"/>
        <v>0</v>
      </c>
      <c r="GG184" s="679">
        <f t="shared" si="259"/>
        <v>0</v>
      </c>
      <c r="GH184" s="680"/>
      <c r="GI184" s="681"/>
      <c r="GJ184" s="682"/>
      <c r="GK184" s="682"/>
      <c r="GL184" s="683"/>
      <c r="GM184" s="684"/>
      <c r="GN184" s="680"/>
      <c r="GO184" s="681"/>
      <c r="GP184" s="682"/>
      <c r="GQ184" s="682"/>
      <c r="GR184" s="683"/>
      <c r="GS184" s="684"/>
      <c r="GT184" s="680"/>
      <c r="GU184" s="681"/>
      <c r="GV184" s="682"/>
      <c r="GW184" s="682"/>
      <c r="GX184" s="683"/>
      <c r="GY184" s="684"/>
      <c r="GZ184" s="680"/>
      <c r="HA184" s="147"/>
      <c r="HB184" s="148"/>
      <c r="HC184" s="148"/>
      <c r="HD184" s="149"/>
      <c r="HE184" s="150"/>
      <c r="HF184" s="506"/>
      <c r="HG184" s="502"/>
      <c r="HH184" s="502"/>
      <c r="HI184" s="502"/>
      <c r="HJ184" s="8"/>
    </row>
    <row r="185" spans="2:218" ht="21" hidden="1">
      <c r="B185" s="488">
        <v>141</v>
      </c>
      <c r="C185" s="489" t="s">
        <v>336</v>
      </c>
      <c r="D185" s="490" t="s">
        <v>335</v>
      </c>
      <c r="E185" s="491" t="s">
        <v>337</v>
      </c>
      <c r="F185" s="492"/>
      <c r="G185" s="493"/>
      <c r="H185" s="146" t="s">
        <v>97</v>
      </c>
      <c r="I185" s="494" t="str">
        <f t="shared" si="177"/>
        <v>n.v.t.</v>
      </c>
      <c r="J185" s="495"/>
      <c r="K185" s="151">
        <v>0</v>
      </c>
      <c r="L185" s="256"/>
      <c r="M185" s="256">
        <f>IF($C$5&lt;3000,(Bron!H174*$C$5)+Bron!I174,(Bron!M174*$C$5)+Bron!N174)</f>
        <v>0</v>
      </c>
      <c r="N185" s="496">
        <f t="shared" ref="N185:N215" si="260">($C$19*P185)+($C$18*Q185)+($C$20*R185)</f>
        <v>0</v>
      </c>
      <c r="O185" s="497" t="str">
        <f t="shared" ref="O185:O215" si="261">IF(N185=0,"",(L185+M185)/N185)</f>
        <v/>
      </c>
      <c r="P185" s="257">
        <f>IF($C$5&lt;3000,$AN$32*Bron!J174,$AN$32*Bron!O174)</f>
        <v>0</v>
      </c>
      <c r="Q185" s="257">
        <f>IF($C$5&lt;3000,$AN$31*Bron!K174,$AN$31*Bron!P174)</f>
        <v>0</v>
      </c>
      <c r="R185" s="257">
        <f>IF($C$5&lt;3000,$AN$33*Bron!J174,$AN$33*Bron!O174)</f>
        <v>0</v>
      </c>
      <c r="S185" s="344"/>
      <c r="T185" s="258">
        <f t="shared" si="178"/>
        <v>0</v>
      </c>
      <c r="U185" s="259">
        <f t="shared" si="179"/>
        <v>0</v>
      </c>
      <c r="V185" s="675"/>
      <c r="W185" s="676">
        <f t="shared" si="180"/>
        <v>0</v>
      </c>
      <c r="X185" s="677">
        <f t="shared" si="181"/>
        <v>0</v>
      </c>
      <c r="Y185" s="677">
        <f t="shared" si="212"/>
        <v>0</v>
      </c>
      <c r="Z185" s="678">
        <f t="shared" si="213"/>
        <v>0</v>
      </c>
      <c r="AA185" s="679">
        <f t="shared" si="214"/>
        <v>0</v>
      </c>
      <c r="AB185" s="675"/>
      <c r="AC185" s="676">
        <f t="shared" si="182"/>
        <v>0</v>
      </c>
      <c r="AD185" s="677">
        <f t="shared" si="183"/>
        <v>0</v>
      </c>
      <c r="AE185" s="677">
        <f t="shared" si="215"/>
        <v>0</v>
      </c>
      <c r="AF185" s="678">
        <f t="shared" si="216"/>
        <v>0</v>
      </c>
      <c r="AG185" s="679">
        <f t="shared" si="217"/>
        <v>0</v>
      </c>
      <c r="AH185" s="675"/>
      <c r="AI185" s="676">
        <f t="shared" si="184"/>
        <v>0</v>
      </c>
      <c r="AJ185" s="677">
        <f t="shared" si="185"/>
        <v>0</v>
      </c>
      <c r="AK185" s="677">
        <f t="shared" si="218"/>
        <v>0</v>
      </c>
      <c r="AL185" s="678">
        <f t="shared" si="219"/>
        <v>0</v>
      </c>
      <c r="AM185" s="679">
        <f t="shared" si="220"/>
        <v>0</v>
      </c>
      <c r="AN185" s="675"/>
      <c r="AO185" s="676">
        <f t="shared" si="186"/>
        <v>0</v>
      </c>
      <c r="AP185" s="677">
        <f t="shared" si="187"/>
        <v>0</v>
      </c>
      <c r="AQ185" s="677">
        <f t="shared" si="221"/>
        <v>0</v>
      </c>
      <c r="AR185" s="678">
        <f t="shared" si="222"/>
        <v>0</v>
      </c>
      <c r="AS185" s="679">
        <f t="shared" si="223"/>
        <v>0</v>
      </c>
      <c r="AT185" s="675"/>
      <c r="AU185" s="676">
        <f t="shared" si="188"/>
        <v>0</v>
      </c>
      <c r="AV185" s="677">
        <f t="shared" si="189"/>
        <v>0</v>
      </c>
      <c r="AW185" s="677">
        <f t="shared" si="224"/>
        <v>0</v>
      </c>
      <c r="AX185" s="678">
        <f t="shared" si="225"/>
        <v>0</v>
      </c>
      <c r="AY185" s="679">
        <f t="shared" si="226"/>
        <v>0</v>
      </c>
      <c r="AZ185" s="675"/>
      <c r="BA185" s="676">
        <f t="shared" si="190"/>
        <v>0</v>
      </c>
      <c r="BB185" s="677">
        <f t="shared" si="191"/>
        <v>0</v>
      </c>
      <c r="BC185" s="677">
        <f t="shared" si="227"/>
        <v>0</v>
      </c>
      <c r="BD185" s="678">
        <f t="shared" si="228"/>
        <v>0</v>
      </c>
      <c r="BE185" s="679">
        <f t="shared" si="229"/>
        <v>0</v>
      </c>
      <c r="BF185" s="675"/>
      <c r="BG185" s="676">
        <f t="shared" si="192"/>
        <v>0</v>
      </c>
      <c r="BH185" s="677">
        <f t="shared" si="193"/>
        <v>0</v>
      </c>
      <c r="BI185" s="677">
        <f t="shared" si="230"/>
        <v>0</v>
      </c>
      <c r="BJ185" s="678">
        <f t="shared" si="231"/>
        <v>0</v>
      </c>
      <c r="BK185" s="679">
        <f t="shared" si="232"/>
        <v>0</v>
      </c>
      <c r="BL185" s="675"/>
      <c r="BM185" s="676">
        <f t="shared" si="194"/>
        <v>0</v>
      </c>
      <c r="BN185" s="677">
        <f t="shared" si="195"/>
        <v>0</v>
      </c>
      <c r="BO185" s="677">
        <f t="shared" si="233"/>
        <v>0</v>
      </c>
      <c r="BP185" s="678">
        <f t="shared" si="234"/>
        <v>0</v>
      </c>
      <c r="BQ185" s="679">
        <f t="shared" si="235"/>
        <v>0</v>
      </c>
      <c r="BR185" s="675"/>
      <c r="BS185" s="676">
        <f t="shared" si="196"/>
        <v>0</v>
      </c>
      <c r="BT185" s="677">
        <f t="shared" si="197"/>
        <v>0</v>
      </c>
      <c r="BU185" s="677">
        <f t="shared" si="236"/>
        <v>0</v>
      </c>
      <c r="BV185" s="678">
        <f t="shared" si="237"/>
        <v>0</v>
      </c>
      <c r="BW185" s="679">
        <f t="shared" si="238"/>
        <v>0</v>
      </c>
      <c r="BX185" s="675"/>
      <c r="BY185" s="676">
        <f t="shared" si="198"/>
        <v>0</v>
      </c>
      <c r="BZ185" s="677">
        <f t="shared" si="199"/>
        <v>0</v>
      </c>
      <c r="CA185" s="677">
        <f t="shared" si="239"/>
        <v>0</v>
      </c>
      <c r="CB185" s="678">
        <f t="shared" si="240"/>
        <v>0</v>
      </c>
      <c r="CC185" s="679">
        <f t="shared" si="241"/>
        <v>0</v>
      </c>
      <c r="CD185" s="675"/>
      <c r="CE185" s="676">
        <f t="shared" si="200"/>
        <v>0</v>
      </c>
      <c r="CF185" s="677">
        <f t="shared" si="201"/>
        <v>0</v>
      </c>
      <c r="CG185" s="677">
        <f t="shared" si="242"/>
        <v>0</v>
      </c>
      <c r="CH185" s="678">
        <f t="shared" si="243"/>
        <v>0</v>
      </c>
      <c r="CI185" s="679">
        <f t="shared" si="244"/>
        <v>0</v>
      </c>
      <c r="CJ185" s="675"/>
      <c r="CK185" s="676">
        <f t="shared" si="202"/>
        <v>0</v>
      </c>
      <c r="CL185" s="677">
        <f t="shared" si="203"/>
        <v>0</v>
      </c>
      <c r="CM185" s="677">
        <f t="shared" si="245"/>
        <v>0</v>
      </c>
      <c r="CN185" s="678">
        <f t="shared" si="246"/>
        <v>0</v>
      </c>
      <c r="CO185" s="679">
        <f t="shared" si="247"/>
        <v>0</v>
      </c>
      <c r="CP185" s="675"/>
      <c r="CQ185" s="676">
        <f t="shared" si="204"/>
        <v>0</v>
      </c>
      <c r="CR185" s="677">
        <f t="shared" si="205"/>
        <v>0</v>
      </c>
      <c r="CS185" s="677">
        <f t="shared" si="248"/>
        <v>0</v>
      </c>
      <c r="CT185" s="678">
        <f t="shared" si="249"/>
        <v>0</v>
      </c>
      <c r="CU185" s="679">
        <f t="shared" si="250"/>
        <v>0</v>
      </c>
      <c r="CV185" s="685"/>
      <c r="CW185" s="681"/>
      <c r="CX185" s="682"/>
      <c r="CY185" s="682"/>
      <c r="CZ185" s="683"/>
      <c r="DA185" s="684"/>
      <c r="DB185" s="685"/>
      <c r="DC185" s="681"/>
      <c r="DD185" s="682"/>
      <c r="DE185" s="682"/>
      <c r="DF185" s="683"/>
      <c r="DG185" s="684"/>
      <c r="DH185" s="685"/>
      <c r="DI185" s="681"/>
      <c r="DJ185" s="682"/>
      <c r="DK185" s="682"/>
      <c r="DL185" s="683"/>
      <c r="DM185" s="684"/>
      <c r="DN185" s="685"/>
      <c r="DO185" s="681"/>
      <c r="DP185" s="682"/>
      <c r="DQ185" s="682"/>
      <c r="DR185" s="683"/>
      <c r="DS185" s="684"/>
      <c r="DT185" s="675"/>
      <c r="DU185" s="676">
        <f t="shared" si="206"/>
        <v>0</v>
      </c>
      <c r="DV185" s="677">
        <f t="shared" si="207"/>
        <v>0</v>
      </c>
      <c r="DW185" s="677">
        <f t="shared" si="251"/>
        <v>0</v>
      </c>
      <c r="DX185" s="678">
        <f t="shared" si="252"/>
        <v>0</v>
      </c>
      <c r="DY185" s="679">
        <f t="shared" si="253"/>
        <v>0</v>
      </c>
      <c r="DZ185" s="680"/>
      <c r="EA185" s="681"/>
      <c r="EB185" s="682"/>
      <c r="EC185" s="682"/>
      <c r="ED185" s="683"/>
      <c r="EE185" s="684"/>
      <c r="EF185" s="680"/>
      <c r="EG185" s="681"/>
      <c r="EH185" s="682"/>
      <c r="EI185" s="682"/>
      <c r="EJ185" s="683"/>
      <c r="EK185" s="684"/>
      <c r="EL185" s="680"/>
      <c r="EM185" s="681"/>
      <c r="EN185" s="682"/>
      <c r="EO185" s="682"/>
      <c r="EP185" s="683"/>
      <c r="EQ185" s="684"/>
      <c r="ER185" s="680"/>
      <c r="ES185" s="681"/>
      <c r="ET185" s="682"/>
      <c r="EU185" s="682"/>
      <c r="EV185" s="683"/>
      <c r="EW185" s="684"/>
      <c r="EX185" s="675"/>
      <c r="EY185" s="676">
        <f t="shared" si="208"/>
        <v>0</v>
      </c>
      <c r="EZ185" s="677">
        <f t="shared" si="209"/>
        <v>0</v>
      </c>
      <c r="FA185" s="677">
        <f t="shared" si="254"/>
        <v>0</v>
      </c>
      <c r="FB185" s="678">
        <f t="shared" si="255"/>
        <v>0</v>
      </c>
      <c r="FC185" s="679">
        <f t="shared" si="256"/>
        <v>0</v>
      </c>
      <c r="FD185" s="680"/>
      <c r="FE185" s="681"/>
      <c r="FF185" s="682"/>
      <c r="FG185" s="682"/>
      <c r="FH185" s="683"/>
      <c r="FI185" s="684"/>
      <c r="FJ185" s="680"/>
      <c r="FK185" s="681"/>
      <c r="FL185" s="682"/>
      <c r="FM185" s="682"/>
      <c r="FN185" s="683"/>
      <c r="FO185" s="684"/>
      <c r="FP185" s="680"/>
      <c r="FQ185" s="681"/>
      <c r="FR185" s="682"/>
      <c r="FS185" s="682"/>
      <c r="FT185" s="683"/>
      <c r="FU185" s="684"/>
      <c r="FV185" s="680"/>
      <c r="FW185" s="681"/>
      <c r="FX185" s="682"/>
      <c r="FY185" s="682"/>
      <c r="FZ185" s="683"/>
      <c r="GA185" s="684"/>
      <c r="GB185" s="675"/>
      <c r="GC185" s="676">
        <f t="shared" si="210"/>
        <v>0</v>
      </c>
      <c r="GD185" s="677">
        <f t="shared" si="211"/>
        <v>0</v>
      </c>
      <c r="GE185" s="677">
        <f t="shared" si="257"/>
        <v>0</v>
      </c>
      <c r="GF185" s="678">
        <f t="shared" si="258"/>
        <v>0</v>
      </c>
      <c r="GG185" s="679">
        <f t="shared" si="259"/>
        <v>0</v>
      </c>
      <c r="GH185" s="680"/>
      <c r="GI185" s="681"/>
      <c r="GJ185" s="682"/>
      <c r="GK185" s="682"/>
      <c r="GL185" s="683"/>
      <c r="GM185" s="684"/>
      <c r="GN185" s="680"/>
      <c r="GO185" s="681"/>
      <c r="GP185" s="682"/>
      <c r="GQ185" s="682"/>
      <c r="GR185" s="683"/>
      <c r="GS185" s="684"/>
      <c r="GT185" s="680"/>
      <c r="GU185" s="681"/>
      <c r="GV185" s="682"/>
      <c r="GW185" s="682"/>
      <c r="GX185" s="683"/>
      <c r="GY185" s="684"/>
      <c r="GZ185" s="680"/>
      <c r="HA185" s="147"/>
      <c r="HB185" s="148"/>
      <c r="HC185" s="148"/>
      <c r="HD185" s="149"/>
      <c r="HE185" s="150"/>
      <c r="HF185" s="506"/>
      <c r="HG185" s="502"/>
      <c r="HH185" s="502"/>
      <c r="HI185" s="502"/>
      <c r="HJ185" s="8"/>
    </row>
    <row r="186" spans="2:218" ht="21" hidden="1">
      <c r="B186" s="488">
        <v>142</v>
      </c>
      <c r="C186" s="489" t="s">
        <v>336</v>
      </c>
      <c r="D186" s="490" t="s">
        <v>338</v>
      </c>
      <c r="E186" s="491" t="s">
        <v>428</v>
      </c>
      <c r="F186" s="492"/>
      <c r="G186" s="493"/>
      <c r="H186" s="146" t="s">
        <v>97</v>
      </c>
      <c r="I186" s="494" t="str">
        <f t="shared" si="177"/>
        <v>n.v.t.</v>
      </c>
      <c r="J186" s="495"/>
      <c r="K186" s="151">
        <v>0</v>
      </c>
      <c r="L186" s="256"/>
      <c r="M186" s="256">
        <f>IF($C$5&lt;3000,(Bron!H175*$C$5)+Bron!I175,(Bron!M175*$C$5)+Bron!N175)</f>
        <v>0</v>
      </c>
      <c r="N186" s="496">
        <f t="shared" si="260"/>
        <v>0</v>
      </c>
      <c r="O186" s="497" t="str">
        <f t="shared" si="261"/>
        <v/>
      </c>
      <c r="P186" s="257">
        <f>IF($C$5&lt;3000,$AN$32*Bron!J175,$AN$32*Bron!O175)</f>
        <v>0</v>
      </c>
      <c r="Q186" s="257">
        <f>IF($C$5&lt;3000,$AN$31*Bron!K175,$AN$31*Bron!P175)</f>
        <v>0</v>
      </c>
      <c r="R186" s="257">
        <f>IF($C$5&lt;3000,$AN$33*Bron!J175,$AN$33*Bron!O175)</f>
        <v>0</v>
      </c>
      <c r="S186" s="344"/>
      <c r="T186" s="258">
        <f t="shared" si="178"/>
        <v>0</v>
      </c>
      <c r="U186" s="259">
        <f t="shared" si="179"/>
        <v>0</v>
      </c>
      <c r="V186" s="675"/>
      <c r="W186" s="676">
        <f t="shared" si="180"/>
        <v>0</v>
      </c>
      <c r="X186" s="677">
        <f t="shared" si="181"/>
        <v>0</v>
      </c>
      <c r="Y186" s="677">
        <f t="shared" si="212"/>
        <v>0</v>
      </c>
      <c r="Z186" s="678">
        <f t="shared" si="213"/>
        <v>0</v>
      </c>
      <c r="AA186" s="679">
        <f t="shared" si="214"/>
        <v>0</v>
      </c>
      <c r="AB186" s="675"/>
      <c r="AC186" s="676">
        <f t="shared" si="182"/>
        <v>0</v>
      </c>
      <c r="AD186" s="677">
        <f t="shared" si="183"/>
        <v>0</v>
      </c>
      <c r="AE186" s="677">
        <f t="shared" si="215"/>
        <v>0</v>
      </c>
      <c r="AF186" s="678">
        <f t="shared" si="216"/>
        <v>0</v>
      </c>
      <c r="AG186" s="679">
        <f t="shared" si="217"/>
        <v>0</v>
      </c>
      <c r="AH186" s="675"/>
      <c r="AI186" s="676">
        <f t="shared" si="184"/>
        <v>0</v>
      </c>
      <c r="AJ186" s="677">
        <f t="shared" si="185"/>
        <v>0</v>
      </c>
      <c r="AK186" s="677">
        <f t="shared" si="218"/>
        <v>0</v>
      </c>
      <c r="AL186" s="678">
        <f t="shared" si="219"/>
        <v>0</v>
      </c>
      <c r="AM186" s="679">
        <f t="shared" si="220"/>
        <v>0</v>
      </c>
      <c r="AN186" s="675"/>
      <c r="AO186" s="676">
        <f t="shared" si="186"/>
        <v>0</v>
      </c>
      <c r="AP186" s="677">
        <f t="shared" si="187"/>
        <v>0</v>
      </c>
      <c r="AQ186" s="677">
        <f t="shared" si="221"/>
        <v>0</v>
      </c>
      <c r="AR186" s="678">
        <f t="shared" si="222"/>
        <v>0</v>
      </c>
      <c r="AS186" s="679">
        <f t="shared" si="223"/>
        <v>0</v>
      </c>
      <c r="AT186" s="675"/>
      <c r="AU186" s="676">
        <f t="shared" si="188"/>
        <v>0</v>
      </c>
      <c r="AV186" s="677">
        <f t="shared" si="189"/>
        <v>0</v>
      </c>
      <c r="AW186" s="677">
        <f t="shared" si="224"/>
        <v>0</v>
      </c>
      <c r="AX186" s="678">
        <f t="shared" si="225"/>
        <v>0</v>
      </c>
      <c r="AY186" s="679">
        <f t="shared" si="226"/>
        <v>0</v>
      </c>
      <c r="AZ186" s="675"/>
      <c r="BA186" s="676">
        <f t="shared" si="190"/>
        <v>0</v>
      </c>
      <c r="BB186" s="677">
        <f t="shared" si="191"/>
        <v>0</v>
      </c>
      <c r="BC186" s="677">
        <f t="shared" si="227"/>
        <v>0</v>
      </c>
      <c r="BD186" s="678">
        <f t="shared" si="228"/>
        <v>0</v>
      </c>
      <c r="BE186" s="679">
        <f t="shared" si="229"/>
        <v>0</v>
      </c>
      <c r="BF186" s="675"/>
      <c r="BG186" s="676">
        <f t="shared" si="192"/>
        <v>0</v>
      </c>
      <c r="BH186" s="677">
        <f t="shared" si="193"/>
        <v>0</v>
      </c>
      <c r="BI186" s="677">
        <f t="shared" si="230"/>
        <v>0</v>
      </c>
      <c r="BJ186" s="678">
        <f t="shared" si="231"/>
        <v>0</v>
      </c>
      <c r="BK186" s="679">
        <f t="shared" si="232"/>
        <v>0</v>
      </c>
      <c r="BL186" s="675"/>
      <c r="BM186" s="676">
        <f t="shared" si="194"/>
        <v>0</v>
      </c>
      <c r="BN186" s="677">
        <f t="shared" si="195"/>
        <v>0</v>
      </c>
      <c r="BO186" s="677">
        <f t="shared" si="233"/>
        <v>0</v>
      </c>
      <c r="BP186" s="678">
        <f t="shared" si="234"/>
        <v>0</v>
      </c>
      <c r="BQ186" s="679">
        <f t="shared" si="235"/>
        <v>0</v>
      </c>
      <c r="BR186" s="675"/>
      <c r="BS186" s="676">
        <f t="shared" si="196"/>
        <v>0</v>
      </c>
      <c r="BT186" s="677">
        <f t="shared" si="197"/>
        <v>0</v>
      </c>
      <c r="BU186" s="677">
        <f t="shared" si="236"/>
        <v>0</v>
      </c>
      <c r="BV186" s="678">
        <f t="shared" si="237"/>
        <v>0</v>
      </c>
      <c r="BW186" s="679">
        <f t="shared" si="238"/>
        <v>0</v>
      </c>
      <c r="BX186" s="675"/>
      <c r="BY186" s="676">
        <f t="shared" si="198"/>
        <v>0</v>
      </c>
      <c r="BZ186" s="677">
        <f t="shared" si="199"/>
        <v>0</v>
      </c>
      <c r="CA186" s="677">
        <f t="shared" si="239"/>
        <v>0</v>
      </c>
      <c r="CB186" s="678">
        <f t="shared" si="240"/>
        <v>0</v>
      </c>
      <c r="CC186" s="679">
        <f t="shared" si="241"/>
        <v>0</v>
      </c>
      <c r="CD186" s="675"/>
      <c r="CE186" s="676">
        <f t="shared" si="200"/>
        <v>0</v>
      </c>
      <c r="CF186" s="677">
        <f t="shared" si="201"/>
        <v>0</v>
      </c>
      <c r="CG186" s="677">
        <f t="shared" si="242"/>
        <v>0</v>
      </c>
      <c r="CH186" s="678">
        <f t="shared" si="243"/>
        <v>0</v>
      </c>
      <c r="CI186" s="679">
        <f t="shared" si="244"/>
        <v>0</v>
      </c>
      <c r="CJ186" s="675"/>
      <c r="CK186" s="676">
        <f t="shared" si="202"/>
        <v>0</v>
      </c>
      <c r="CL186" s="677">
        <f t="shared" si="203"/>
        <v>0</v>
      </c>
      <c r="CM186" s="677">
        <f t="shared" si="245"/>
        <v>0</v>
      </c>
      <c r="CN186" s="678">
        <f t="shared" si="246"/>
        <v>0</v>
      </c>
      <c r="CO186" s="679">
        <f t="shared" si="247"/>
        <v>0</v>
      </c>
      <c r="CP186" s="675"/>
      <c r="CQ186" s="676">
        <f t="shared" si="204"/>
        <v>0</v>
      </c>
      <c r="CR186" s="677">
        <f t="shared" si="205"/>
        <v>0</v>
      </c>
      <c r="CS186" s="677">
        <f t="shared" si="248"/>
        <v>0</v>
      </c>
      <c r="CT186" s="678">
        <f t="shared" si="249"/>
        <v>0</v>
      </c>
      <c r="CU186" s="679">
        <f t="shared" si="250"/>
        <v>0</v>
      </c>
      <c r="CV186" s="685"/>
      <c r="CW186" s="681"/>
      <c r="CX186" s="682"/>
      <c r="CY186" s="682"/>
      <c r="CZ186" s="683"/>
      <c r="DA186" s="684"/>
      <c r="DB186" s="685"/>
      <c r="DC186" s="681"/>
      <c r="DD186" s="682"/>
      <c r="DE186" s="682"/>
      <c r="DF186" s="683"/>
      <c r="DG186" s="684"/>
      <c r="DH186" s="685"/>
      <c r="DI186" s="681"/>
      <c r="DJ186" s="682"/>
      <c r="DK186" s="682"/>
      <c r="DL186" s="683"/>
      <c r="DM186" s="684"/>
      <c r="DN186" s="685"/>
      <c r="DO186" s="681"/>
      <c r="DP186" s="682"/>
      <c r="DQ186" s="682"/>
      <c r="DR186" s="683"/>
      <c r="DS186" s="684"/>
      <c r="DT186" s="675"/>
      <c r="DU186" s="676">
        <f t="shared" si="206"/>
        <v>0</v>
      </c>
      <c r="DV186" s="677">
        <f t="shared" si="207"/>
        <v>0</v>
      </c>
      <c r="DW186" s="677">
        <f t="shared" si="251"/>
        <v>0</v>
      </c>
      <c r="DX186" s="678">
        <f t="shared" si="252"/>
        <v>0</v>
      </c>
      <c r="DY186" s="679">
        <f t="shared" si="253"/>
        <v>0</v>
      </c>
      <c r="DZ186" s="680"/>
      <c r="EA186" s="681"/>
      <c r="EB186" s="682"/>
      <c r="EC186" s="682"/>
      <c r="ED186" s="683"/>
      <c r="EE186" s="684"/>
      <c r="EF186" s="680"/>
      <c r="EG186" s="681"/>
      <c r="EH186" s="682"/>
      <c r="EI186" s="682"/>
      <c r="EJ186" s="683"/>
      <c r="EK186" s="684"/>
      <c r="EL186" s="680"/>
      <c r="EM186" s="681"/>
      <c r="EN186" s="682"/>
      <c r="EO186" s="682"/>
      <c r="EP186" s="683"/>
      <c r="EQ186" s="684"/>
      <c r="ER186" s="680"/>
      <c r="ES186" s="681"/>
      <c r="ET186" s="682"/>
      <c r="EU186" s="682"/>
      <c r="EV186" s="683"/>
      <c r="EW186" s="684"/>
      <c r="EX186" s="675"/>
      <c r="EY186" s="676">
        <f t="shared" si="208"/>
        <v>0</v>
      </c>
      <c r="EZ186" s="677">
        <f t="shared" si="209"/>
        <v>0</v>
      </c>
      <c r="FA186" s="677">
        <f t="shared" si="254"/>
        <v>0</v>
      </c>
      <c r="FB186" s="678">
        <f t="shared" si="255"/>
        <v>0</v>
      </c>
      <c r="FC186" s="679">
        <f t="shared" si="256"/>
        <v>0</v>
      </c>
      <c r="FD186" s="680"/>
      <c r="FE186" s="681"/>
      <c r="FF186" s="682"/>
      <c r="FG186" s="682"/>
      <c r="FH186" s="683"/>
      <c r="FI186" s="684"/>
      <c r="FJ186" s="680"/>
      <c r="FK186" s="681"/>
      <c r="FL186" s="682"/>
      <c r="FM186" s="682"/>
      <c r="FN186" s="683"/>
      <c r="FO186" s="684"/>
      <c r="FP186" s="680"/>
      <c r="FQ186" s="681"/>
      <c r="FR186" s="682"/>
      <c r="FS186" s="682"/>
      <c r="FT186" s="683"/>
      <c r="FU186" s="684"/>
      <c r="FV186" s="680"/>
      <c r="FW186" s="681"/>
      <c r="FX186" s="682"/>
      <c r="FY186" s="682"/>
      <c r="FZ186" s="683"/>
      <c r="GA186" s="684"/>
      <c r="GB186" s="675"/>
      <c r="GC186" s="676">
        <f t="shared" si="210"/>
        <v>0</v>
      </c>
      <c r="GD186" s="677">
        <f t="shared" si="211"/>
        <v>0</v>
      </c>
      <c r="GE186" s="677">
        <f t="shared" si="257"/>
        <v>0</v>
      </c>
      <c r="GF186" s="678">
        <f t="shared" si="258"/>
        <v>0</v>
      </c>
      <c r="GG186" s="679">
        <f t="shared" si="259"/>
        <v>0</v>
      </c>
      <c r="GH186" s="680"/>
      <c r="GI186" s="681"/>
      <c r="GJ186" s="682"/>
      <c r="GK186" s="682"/>
      <c r="GL186" s="683"/>
      <c r="GM186" s="684"/>
      <c r="GN186" s="680"/>
      <c r="GO186" s="681"/>
      <c r="GP186" s="682"/>
      <c r="GQ186" s="682"/>
      <c r="GR186" s="683"/>
      <c r="GS186" s="684"/>
      <c r="GT186" s="680"/>
      <c r="GU186" s="681"/>
      <c r="GV186" s="682"/>
      <c r="GW186" s="682"/>
      <c r="GX186" s="683"/>
      <c r="GY186" s="684"/>
      <c r="GZ186" s="680"/>
      <c r="HA186" s="147"/>
      <c r="HB186" s="148"/>
      <c r="HC186" s="148"/>
      <c r="HD186" s="149"/>
      <c r="HE186" s="150"/>
      <c r="HF186" s="506"/>
      <c r="HG186" s="502"/>
      <c r="HH186" s="502"/>
      <c r="HI186" s="502"/>
      <c r="HJ186" s="8"/>
    </row>
    <row r="187" spans="2:218" ht="21" hidden="1">
      <c r="B187" s="488">
        <v>143</v>
      </c>
      <c r="C187" s="489" t="s">
        <v>336</v>
      </c>
      <c r="D187" s="490" t="s">
        <v>339</v>
      </c>
      <c r="E187" s="491" t="s">
        <v>340</v>
      </c>
      <c r="F187" s="492"/>
      <c r="G187" s="493"/>
      <c r="H187" s="146" t="s">
        <v>97</v>
      </c>
      <c r="I187" s="494" t="str">
        <f t="shared" si="177"/>
        <v>n.v.t.</v>
      </c>
      <c r="J187" s="495"/>
      <c r="K187" s="151">
        <v>0</v>
      </c>
      <c r="L187" s="256"/>
      <c r="M187" s="256">
        <f>IF($C$5&lt;3000,(Bron!H176*$C$5)+Bron!I176,(Bron!M176*$C$5)+Bron!N176)</f>
        <v>0</v>
      </c>
      <c r="N187" s="496">
        <f t="shared" si="260"/>
        <v>0</v>
      </c>
      <c r="O187" s="497" t="str">
        <f t="shared" si="261"/>
        <v/>
      </c>
      <c r="P187" s="257">
        <f>IF($C$5&lt;3000,$AN$32*Bron!J176,$AN$32*Bron!O176)</f>
        <v>0</v>
      </c>
      <c r="Q187" s="257">
        <f>IF($C$5&lt;3000,$AN$31*Bron!K176,$AN$31*Bron!P176)</f>
        <v>0</v>
      </c>
      <c r="R187" s="257">
        <f>IF($C$5&lt;3000,$AN$33*Bron!J176,$AN$33*Bron!O176)</f>
        <v>0</v>
      </c>
      <c r="S187" s="344"/>
      <c r="T187" s="258">
        <f t="shared" si="178"/>
        <v>0</v>
      </c>
      <c r="U187" s="259">
        <f t="shared" si="179"/>
        <v>0</v>
      </c>
      <c r="V187" s="675"/>
      <c r="W187" s="676">
        <f t="shared" si="180"/>
        <v>0</v>
      </c>
      <c r="X187" s="677">
        <f t="shared" si="181"/>
        <v>0</v>
      </c>
      <c r="Y187" s="677">
        <f t="shared" si="212"/>
        <v>0</v>
      </c>
      <c r="Z187" s="678">
        <f t="shared" si="213"/>
        <v>0</v>
      </c>
      <c r="AA187" s="679">
        <f t="shared" si="214"/>
        <v>0</v>
      </c>
      <c r="AB187" s="675"/>
      <c r="AC187" s="676">
        <f t="shared" si="182"/>
        <v>0</v>
      </c>
      <c r="AD187" s="677">
        <f t="shared" si="183"/>
        <v>0</v>
      </c>
      <c r="AE187" s="677">
        <f t="shared" si="215"/>
        <v>0</v>
      </c>
      <c r="AF187" s="678">
        <f t="shared" si="216"/>
        <v>0</v>
      </c>
      <c r="AG187" s="679">
        <f t="shared" si="217"/>
        <v>0</v>
      </c>
      <c r="AH187" s="675"/>
      <c r="AI187" s="676">
        <f t="shared" si="184"/>
        <v>0</v>
      </c>
      <c r="AJ187" s="677">
        <f t="shared" si="185"/>
        <v>0</v>
      </c>
      <c r="AK187" s="677">
        <f t="shared" si="218"/>
        <v>0</v>
      </c>
      <c r="AL187" s="678">
        <f t="shared" si="219"/>
        <v>0</v>
      </c>
      <c r="AM187" s="679">
        <f t="shared" si="220"/>
        <v>0</v>
      </c>
      <c r="AN187" s="675"/>
      <c r="AO187" s="676">
        <f t="shared" si="186"/>
        <v>0</v>
      </c>
      <c r="AP187" s="677">
        <f t="shared" si="187"/>
        <v>0</v>
      </c>
      <c r="AQ187" s="677">
        <f t="shared" si="221"/>
        <v>0</v>
      </c>
      <c r="AR187" s="678">
        <f t="shared" si="222"/>
        <v>0</v>
      </c>
      <c r="AS187" s="679">
        <f t="shared" si="223"/>
        <v>0</v>
      </c>
      <c r="AT187" s="675"/>
      <c r="AU187" s="676">
        <f t="shared" si="188"/>
        <v>0</v>
      </c>
      <c r="AV187" s="677">
        <f t="shared" si="189"/>
        <v>0</v>
      </c>
      <c r="AW187" s="677">
        <f t="shared" si="224"/>
        <v>0</v>
      </c>
      <c r="AX187" s="678">
        <f t="shared" si="225"/>
        <v>0</v>
      </c>
      <c r="AY187" s="679">
        <f t="shared" si="226"/>
        <v>0</v>
      </c>
      <c r="AZ187" s="675"/>
      <c r="BA187" s="676">
        <f t="shared" si="190"/>
        <v>0</v>
      </c>
      <c r="BB187" s="677">
        <f t="shared" si="191"/>
        <v>0</v>
      </c>
      <c r="BC187" s="677">
        <f t="shared" si="227"/>
        <v>0</v>
      </c>
      <c r="BD187" s="678">
        <f t="shared" si="228"/>
        <v>0</v>
      </c>
      <c r="BE187" s="679">
        <f t="shared" si="229"/>
        <v>0</v>
      </c>
      <c r="BF187" s="675"/>
      <c r="BG187" s="676">
        <f t="shared" si="192"/>
        <v>0</v>
      </c>
      <c r="BH187" s="677">
        <f t="shared" si="193"/>
        <v>0</v>
      </c>
      <c r="BI187" s="677">
        <f t="shared" si="230"/>
        <v>0</v>
      </c>
      <c r="BJ187" s="678">
        <f t="shared" si="231"/>
        <v>0</v>
      </c>
      <c r="BK187" s="679">
        <f t="shared" si="232"/>
        <v>0</v>
      </c>
      <c r="BL187" s="675"/>
      <c r="BM187" s="676">
        <f t="shared" si="194"/>
        <v>0</v>
      </c>
      <c r="BN187" s="677">
        <f t="shared" si="195"/>
        <v>0</v>
      </c>
      <c r="BO187" s="677">
        <f t="shared" si="233"/>
        <v>0</v>
      </c>
      <c r="BP187" s="678">
        <f t="shared" si="234"/>
        <v>0</v>
      </c>
      <c r="BQ187" s="679">
        <f t="shared" si="235"/>
        <v>0</v>
      </c>
      <c r="BR187" s="675"/>
      <c r="BS187" s="676">
        <f t="shared" si="196"/>
        <v>0</v>
      </c>
      <c r="BT187" s="677">
        <f t="shared" si="197"/>
        <v>0</v>
      </c>
      <c r="BU187" s="677">
        <f t="shared" si="236"/>
        <v>0</v>
      </c>
      <c r="BV187" s="678">
        <f t="shared" si="237"/>
        <v>0</v>
      </c>
      <c r="BW187" s="679">
        <f t="shared" si="238"/>
        <v>0</v>
      </c>
      <c r="BX187" s="675"/>
      <c r="BY187" s="676">
        <f t="shared" si="198"/>
        <v>0</v>
      </c>
      <c r="BZ187" s="677">
        <f t="shared" si="199"/>
        <v>0</v>
      </c>
      <c r="CA187" s="677">
        <f t="shared" si="239"/>
        <v>0</v>
      </c>
      <c r="CB187" s="678">
        <f t="shared" si="240"/>
        <v>0</v>
      </c>
      <c r="CC187" s="679">
        <f t="shared" si="241"/>
        <v>0</v>
      </c>
      <c r="CD187" s="675"/>
      <c r="CE187" s="676">
        <f t="shared" si="200"/>
        <v>0</v>
      </c>
      <c r="CF187" s="677">
        <f t="shared" si="201"/>
        <v>0</v>
      </c>
      <c r="CG187" s="677">
        <f t="shared" si="242"/>
        <v>0</v>
      </c>
      <c r="CH187" s="678">
        <f t="shared" si="243"/>
        <v>0</v>
      </c>
      <c r="CI187" s="679">
        <f t="shared" si="244"/>
        <v>0</v>
      </c>
      <c r="CJ187" s="675"/>
      <c r="CK187" s="676">
        <f t="shared" si="202"/>
        <v>0</v>
      </c>
      <c r="CL187" s="677">
        <f t="shared" si="203"/>
        <v>0</v>
      </c>
      <c r="CM187" s="677">
        <f t="shared" si="245"/>
        <v>0</v>
      </c>
      <c r="CN187" s="678">
        <f t="shared" si="246"/>
        <v>0</v>
      </c>
      <c r="CO187" s="679">
        <f t="shared" si="247"/>
        <v>0</v>
      </c>
      <c r="CP187" s="675"/>
      <c r="CQ187" s="676">
        <f t="shared" si="204"/>
        <v>0</v>
      </c>
      <c r="CR187" s="677">
        <f t="shared" si="205"/>
        <v>0</v>
      </c>
      <c r="CS187" s="677">
        <f t="shared" si="248"/>
        <v>0</v>
      </c>
      <c r="CT187" s="678">
        <f t="shared" si="249"/>
        <v>0</v>
      </c>
      <c r="CU187" s="679">
        <f t="shared" si="250"/>
        <v>0</v>
      </c>
      <c r="CV187" s="685"/>
      <c r="CW187" s="681"/>
      <c r="CX187" s="682"/>
      <c r="CY187" s="682"/>
      <c r="CZ187" s="683"/>
      <c r="DA187" s="684"/>
      <c r="DB187" s="685"/>
      <c r="DC187" s="681"/>
      <c r="DD187" s="682"/>
      <c r="DE187" s="682"/>
      <c r="DF187" s="683"/>
      <c r="DG187" s="684"/>
      <c r="DH187" s="685"/>
      <c r="DI187" s="681"/>
      <c r="DJ187" s="682"/>
      <c r="DK187" s="682"/>
      <c r="DL187" s="683"/>
      <c r="DM187" s="684"/>
      <c r="DN187" s="685"/>
      <c r="DO187" s="681"/>
      <c r="DP187" s="682"/>
      <c r="DQ187" s="682"/>
      <c r="DR187" s="683"/>
      <c r="DS187" s="684"/>
      <c r="DT187" s="675"/>
      <c r="DU187" s="676">
        <f t="shared" si="206"/>
        <v>0</v>
      </c>
      <c r="DV187" s="677">
        <f t="shared" si="207"/>
        <v>0</v>
      </c>
      <c r="DW187" s="677">
        <f t="shared" si="251"/>
        <v>0</v>
      </c>
      <c r="DX187" s="678">
        <f t="shared" si="252"/>
        <v>0</v>
      </c>
      <c r="DY187" s="679">
        <f t="shared" si="253"/>
        <v>0</v>
      </c>
      <c r="DZ187" s="680"/>
      <c r="EA187" s="681"/>
      <c r="EB187" s="682"/>
      <c r="EC187" s="682"/>
      <c r="ED187" s="683"/>
      <c r="EE187" s="684"/>
      <c r="EF187" s="680"/>
      <c r="EG187" s="681"/>
      <c r="EH187" s="682"/>
      <c r="EI187" s="682"/>
      <c r="EJ187" s="683"/>
      <c r="EK187" s="684"/>
      <c r="EL187" s="680"/>
      <c r="EM187" s="681"/>
      <c r="EN187" s="682"/>
      <c r="EO187" s="682"/>
      <c r="EP187" s="683"/>
      <c r="EQ187" s="684"/>
      <c r="ER187" s="680"/>
      <c r="ES187" s="681"/>
      <c r="ET187" s="682"/>
      <c r="EU187" s="682"/>
      <c r="EV187" s="683"/>
      <c r="EW187" s="684"/>
      <c r="EX187" s="675"/>
      <c r="EY187" s="676">
        <f t="shared" si="208"/>
        <v>0</v>
      </c>
      <c r="EZ187" s="677">
        <f t="shared" si="209"/>
        <v>0</v>
      </c>
      <c r="FA187" s="677">
        <f t="shared" si="254"/>
        <v>0</v>
      </c>
      <c r="FB187" s="678">
        <f t="shared" si="255"/>
        <v>0</v>
      </c>
      <c r="FC187" s="679">
        <f t="shared" si="256"/>
        <v>0</v>
      </c>
      <c r="FD187" s="680"/>
      <c r="FE187" s="681"/>
      <c r="FF187" s="682"/>
      <c r="FG187" s="682"/>
      <c r="FH187" s="683"/>
      <c r="FI187" s="684"/>
      <c r="FJ187" s="680"/>
      <c r="FK187" s="681"/>
      <c r="FL187" s="682"/>
      <c r="FM187" s="682"/>
      <c r="FN187" s="683"/>
      <c r="FO187" s="684"/>
      <c r="FP187" s="680"/>
      <c r="FQ187" s="681"/>
      <c r="FR187" s="682"/>
      <c r="FS187" s="682"/>
      <c r="FT187" s="683"/>
      <c r="FU187" s="684"/>
      <c r="FV187" s="680"/>
      <c r="FW187" s="681"/>
      <c r="FX187" s="682"/>
      <c r="FY187" s="682"/>
      <c r="FZ187" s="683"/>
      <c r="GA187" s="684"/>
      <c r="GB187" s="675"/>
      <c r="GC187" s="676">
        <f t="shared" si="210"/>
        <v>0</v>
      </c>
      <c r="GD187" s="677">
        <f t="shared" si="211"/>
        <v>0</v>
      </c>
      <c r="GE187" s="677">
        <f t="shared" si="257"/>
        <v>0</v>
      </c>
      <c r="GF187" s="678">
        <f t="shared" si="258"/>
        <v>0</v>
      </c>
      <c r="GG187" s="679">
        <f t="shared" si="259"/>
        <v>0</v>
      </c>
      <c r="GH187" s="680"/>
      <c r="GI187" s="681"/>
      <c r="GJ187" s="682"/>
      <c r="GK187" s="682"/>
      <c r="GL187" s="683"/>
      <c r="GM187" s="684"/>
      <c r="GN187" s="680"/>
      <c r="GO187" s="681"/>
      <c r="GP187" s="682"/>
      <c r="GQ187" s="682"/>
      <c r="GR187" s="683"/>
      <c r="GS187" s="684"/>
      <c r="GT187" s="680"/>
      <c r="GU187" s="681"/>
      <c r="GV187" s="682"/>
      <c r="GW187" s="682"/>
      <c r="GX187" s="683"/>
      <c r="GY187" s="684"/>
      <c r="GZ187" s="680"/>
      <c r="HA187" s="147"/>
      <c r="HB187" s="148"/>
      <c r="HC187" s="148"/>
      <c r="HD187" s="149"/>
      <c r="HE187" s="150"/>
      <c r="HF187" s="506"/>
      <c r="HG187" s="502"/>
      <c r="HH187" s="502"/>
      <c r="HI187" s="502"/>
      <c r="HJ187" s="8"/>
    </row>
    <row r="188" spans="2:218" ht="21" hidden="1">
      <c r="B188" s="488">
        <v>144</v>
      </c>
      <c r="C188" s="489" t="s">
        <v>336</v>
      </c>
      <c r="D188" s="490" t="s">
        <v>341</v>
      </c>
      <c r="E188" s="491" t="s">
        <v>342</v>
      </c>
      <c r="F188" s="492"/>
      <c r="G188" s="493"/>
      <c r="H188" s="146" t="s">
        <v>97</v>
      </c>
      <c r="I188" s="494" t="str">
        <f t="shared" si="177"/>
        <v>n.v.t.</v>
      </c>
      <c r="J188" s="495"/>
      <c r="K188" s="151">
        <v>0</v>
      </c>
      <c r="L188" s="256"/>
      <c r="M188" s="256">
        <f>IF($C$5&lt;3000,(Bron!H177*$C$5)+Bron!I177,(Bron!M177*$C$5)+Bron!N177)</f>
        <v>0</v>
      </c>
      <c r="N188" s="496">
        <f t="shared" si="260"/>
        <v>0</v>
      </c>
      <c r="O188" s="497" t="str">
        <f t="shared" si="261"/>
        <v/>
      </c>
      <c r="P188" s="257">
        <f>IF($C$5&lt;3000,$AN$32*Bron!J177,$AN$32*Bron!O177)</f>
        <v>0</v>
      </c>
      <c r="Q188" s="257">
        <f>IF($C$5&lt;3000,$AN$31*Bron!K177,$AN$31*Bron!P177)</f>
        <v>0</v>
      </c>
      <c r="R188" s="257">
        <f>IF($C$5&lt;3000,$AN$33*Bron!J177,$AN$33*Bron!O177)</f>
        <v>0</v>
      </c>
      <c r="S188" s="344"/>
      <c r="T188" s="258">
        <f t="shared" si="178"/>
        <v>0</v>
      </c>
      <c r="U188" s="259">
        <f t="shared" si="179"/>
        <v>0</v>
      </c>
      <c r="V188" s="675"/>
      <c r="W188" s="676">
        <f t="shared" si="180"/>
        <v>0</v>
      </c>
      <c r="X188" s="677">
        <f t="shared" si="181"/>
        <v>0</v>
      </c>
      <c r="Y188" s="677">
        <f t="shared" si="212"/>
        <v>0</v>
      </c>
      <c r="Z188" s="678">
        <f t="shared" si="213"/>
        <v>0</v>
      </c>
      <c r="AA188" s="679">
        <f t="shared" si="214"/>
        <v>0</v>
      </c>
      <c r="AB188" s="675"/>
      <c r="AC188" s="676">
        <f t="shared" si="182"/>
        <v>0</v>
      </c>
      <c r="AD188" s="677">
        <f t="shared" si="183"/>
        <v>0</v>
      </c>
      <c r="AE188" s="677">
        <f t="shared" si="215"/>
        <v>0</v>
      </c>
      <c r="AF188" s="678">
        <f t="shared" si="216"/>
        <v>0</v>
      </c>
      <c r="AG188" s="679">
        <f t="shared" si="217"/>
        <v>0</v>
      </c>
      <c r="AH188" s="675"/>
      <c r="AI188" s="676">
        <f t="shared" si="184"/>
        <v>0</v>
      </c>
      <c r="AJ188" s="677">
        <f t="shared" si="185"/>
        <v>0</v>
      </c>
      <c r="AK188" s="677">
        <f t="shared" si="218"/>
        <v>0</v>
      </c>
      <c r="AL188" s="678">
        <f t="shared" si="219"/>
        <v>0</v>
      </c>
      <c r="AM188" s="679">
        <f t="shared" si="220"/>
        <v>0</v>
      </c>
      <c r="AN188" s="675"/>
      <c r="AO188" s="676">
        <f t="shared" si="186"/>
        <v>0</v>
      </c>
      <c r="AP188" s="677">
        <f t="shared" si="187"/>
        <v>0</v>
      </c>
      <c r="AQ188" s="677">
        <f t="shared" si="221"/>
        <v>0</v>
      </c>
      <c r="AR188" s="678">
        <f t="shared" si="222"/>
        <v>0</v>
      </c>
      <c r="AS188" s="679">
        <f t="shared" si="223"/>
        <v>0</v>
      </c>
      <c r="AT188" s="675"/>
      <c r="AU188" s="676">
        <f t="shared" si="188"/>
        <v>0</v>
      </c>
      <c r="AV188" s="677">
        <f t="shared" si="189"/>
        <v>0</v>
      </c>
      <c r="AW188" s="677">
        <f t="shared" si="224"/>
        <v>0</v>
      </c>
      <c r="AX188" s="678">
        <f t="shared" si="225"/>
        <v>0</v>
      </c>
      <c r="AY188" s="679">
        <f t="shared" si="226"/>
        <v>0</v>
      </c>
      <c r="AZ188" s="675"/>
      <c r="BA188" s="676">
        <f t="shared" si="190"/>
        <v>0</v>
      </c>
      <c r="BB188" s="677">
        <f t="shared" si="191"/>
        <v>0</v>
      </c>
      <c r="BC188" s="677">
        <f t="shared" si="227"/>
        <v>0</v>
      </c>
      <c r="BD188" s="678">
        <f t="shared" si="228"/>
        <v>0</v>
      </c>
      <c r="BE188" s="679">
        <f t="shared" si="229"/>
        <v>0</v>
      </c>
      <c r="BF188" s="675"/>
      <c r="BG188" s="676">
        <f t="shared" si="192"/>
        <v>0</v>
      </c>
      <c r="BH188" s="677">
        <f t="shared" si="193"/>
        <v>0</v>
      </c>
      <c r="BI188" s="677">
        <f t="shared" si="230"/>
        <v>0</v>
      </c>
      <c r="BJ188" s="678">
        <f t="shared" si="231"/>
        <v>0</v>
      </c>
      <c r="BK188" s="679">
        <f t="shared" si="232"/>
        <v>0</v>
      </c>
      <c r="BL188" s="675"/>
      <c r="BM188" s="676">
        <f t="shared" si="194"/>
        <v>0</v>
      </c>
      <c r="BN188" s="677">
        <f t="shared" si="195"/>
        <v>0</v>
      </c>
      <c r="BO188" s="677">
        <f t="shared" si="233"/>
        <v>0</v>
      </c>
      <c r="BP188" s="678">
        <f t="shared" si="234"/>
        <v>0</v>
      </c>
      <c r="BQ188" s="679">
        <f t="shared" si="235"/>
        <v>0</v>
      </c>
      <c r="BR188" s="675"/>
      <c r="BS188" s="676">
        <f t="shared" si="196"/>
        <v>0</v>
      </c>
      <c r="BT188" s="677">
        <f t="shared" si="197"/>
        <v>0</v>
      </c>
      <c r="BU188" s="677">
        <f t="shared" si="236"/>
        <v>0</v>
      </c>
      <c r="BV188" s="678">
        <f t="shared" si="237"/>
        <v>0</v>
      </c>
      <c r="BW188" s="679">
        <f t="shared" si="238"/>
        <v>0</v>
      </c>
      <c r="BX188" s="675"/>
      <c r="BY188" s="676">
        <f t="shared" si="198"/>
        <v>0</v>
      </c>
      <c r="BZ188" s="677">
        <f t="shared" si="199"/>
        <v>0</v>
      </c>
      <c r="CA188" s="677">
        <f t="shared" si="239"/>
        <v>0</v>
      </c>
      <c r="CB188" s="678">
        <f t="shared" si="240"/>
        <v>0</v>
      </c>
      <c r="CC188" s="679">
        <f t="shared" si="241"/>
        <v>0</v>
      </c>
      <c r="CD188" s="675"/>
      <c r="CE188" s="676">
        <f t="shared" si="200"/>
        <v>0</v>
      </c>
      <c r="CF188" s="677">
        <f t="shared" si="201"/>
        <v>0</v>
      </c>
      <c r="CG188" s="677">
        <f t="shared" si="242"/>
        <v>0</v>
      </c>
      <c r="CH188" s="678">
        <f t="shared" si="243"/>
        <v>0</v>
      </c>
      <c r="CI188" s="679">
        <f t="shared" si="244"/>
        <v>0</v>
      </c>
      <c r="CJ188" s="675"/>
      <c r="CK188" s="676">
        <f t="shared" si="202"/>
        <v>0</v>
      </c>
      <c r="CL188" s="677">
        <f t="shared" si="203"/>
        <v>0</v>
      </c>
      <c r="CM188" s="677">
        <f t="shared" si="245"/>
        <v>0</v>
      </c>
      <c r="CN188" s="678">
        <f t="shared" si="246"/>
        <v>0</v>
      </c>
      <c r="CO188" s="679">
        <f t="shared" si="247"/>
        <v>0</v>
      </c>
      <c r="CP188" s="675"/>
      <c r="CQ188" s="676">
        <f t="shared" si="204"/>
        <v>0</v>
      </c>
      <c r="CR188" s="677">
        <f t="shared" si="205"/>
        <v>0</v>
      </c>
      <c r="CS188" s="677">
        <f t="shared" si="248"/>
        <v>0</v>
      </c>
      <c r="CT188" s="678">
        <f t="shared" si="249"/>
        <v>0</v>
      </c>
      <c r="CU188" s="679">
        <f t="shared" si="250"/>
        <v>0</v>
      </c>
      <c r="CV188" s="685"/>
      <c r="CW188" s="681"/>
      <c r="CX188" s="682"/>
      <c r="CY188" s="682"/>
      <c r="CZ188" s="683"/>
      <c r="DA188" s="684"/>
      <c r="DB188" s="685"/>
      <c r="DC188" s="681"/>
      <c r="DD188" s="682"/>
      <c r="DE188" s="682"/>
      <c r="DF188" s="683"/>
      <c r="DG188" s="684"/>
      <c r="DH188" s="685"/>
      <c r="DI188" s="681"/>
      <c r="DJ188" s="682"/>
      <c r="DK188" s="682"/>
      <c r="DL188" s="683"/>
      <c r="DM188" s="684"/>
      <c r="DN188" s="685"/>
      <c r="DO188" s="681"/>
      <c r="DP188" s="682"/>
      <c r="DQ188" s="682"/>
      <c r="DR188" s="683"/>
      <c r="DS188" s="684"/>
      <c r="DT188" s="675"/>
      <c r="DU188" s="676">
        <f t="shared" si="206"/>
        <v>0</v>
      </c>
      <c r="DV188" s="677">
        <f t="shared" si="207"/>
        <v>0</v>
      </c>
      <c r="DW188" s="677">
        <f t="shared" si="251"/>
        <v>0</v>
      </c>
      <c r="DX188" s="678">
        <f t="shared" si="252"/>
        <v>0</v>
      </c>
      <c r="DY188" s="679">
        <f t="shared" si="253"/>
        <v>0</v>
      </c>
      <c r="DZ188" s="680"/>
      <c r="EA188" s="681"/>
      <c r="EB188" s="682"/>
      <c r="EC188" s="682"/>
      <c r="ED188" s="683"/>
      <c r="EE188" s="684"/>
      <c r="EF188" s="680"/>
      <c r="EG188" s="681"/>
      <c r="EH188" s="682"/>
      <c r="EI188" s="682"/>
      <c r="EJ188" s="683"/>
      <c r="EK188" s="684"/>
      <c r="EL188" s="680"/>
      <c r="EM188" s="681"/>
      <c r="EN188" s="682"/>
      <c r="EO188" s="682"/>
      <c r="EP188" s="683"/>
      <c r="EQ188" s="684"/>
      <c r="ER188" s="680"/>
      <c r="ES188" s="681"/>
      <c r="ET188" s="682"/>
      <c r="EU188" s="682"/>
      <c r="EV188" s="683"/>
      <c r="EW188" s="684"/>
      <c r="EX188" s="675"/>
      <c r="EY188" s="676">
        <f t="shared" si="208"/>
        <v>0</v>
      </c>
      <c r="EZ188" s="677">
        <f t="shared" si="209"/>
        <v>0</v>
      </c>
      <c r="FA188" s="677">
        <f t="shared" si="254"/>
        <v>0</v>
      </c>
      <c r="FB188" s="678">
        <f t="shared" si="255"/>
        <v>0</v>
      </c>
      <c r="FC188" s="679">
        <f t="shared" si="256"/>
        <v>0</v>
      </c>
      <c r="FD188" s="680"/>
      <c r="FE188" s="681"/>
      <c r="FF188" s="682"/>
      <c r="FG188" s="682"/>
      <c r="FH188" s="683"/>
      <c r="FI188" s="684"/>
      <c r="FJ188" s="680"/>
      <c r="FK188" s="681"/>
      <c r="FL188" s="682"/>
      <c r="FM188" s="682"/>
      <c r="FN188" s="683"/>
      <c r="FO188" s="684"/>
      <c r="FP188" s="680"/>
      <c r="FQ188" s="681"/>
      <c r="FR188" s="682"/>
      <c r="FS188" s="682"/>
      <c r="FT188" s="683"/>
      <c r="FU188" s="684"/>
      <c r="FV188" s="680"/>
      <c r="FW188" s="681"/>
      <c r="FX188" s="682"/>
      <c r="FY188" s="682"/>
      <c r="FZ188" s="683"/>
      <c r="GA188" s="684"/>
      <c r="GB188" s="675"/>
      <c r="GC188" s="676">
        <f t="shared" si="210"/>
        <v>0</v>
      </c>
      <c r="GD188" s="677">
        <f t="shared" si="211"/>
        <v>0</v>
      </c>
      <c r="GE188" s="677">
        <f t="shared" si="257"/>
        <v>0</v>
      </c>
      <c r="GF188" s="678">
        <f t="shared" si="258"/>
        <v>0</v>
      </c>
      <c r="GG188" s="679">
        <f t="shared" si="259"/>
        <v>0</v>
      </c>
      <c r="GH188" s="680"/>
      <c r="GI188" s="681"/>
      <c r="GJ188" s="682"/>
      <c r="GK188" s="682"/>
      <c r="GL188" s="683"/>
      <c r="GM188" s="684"/>
      <c r="GN188" s="680"/>
      <c r="GO188" s="681"/>
      <c r="GP188" s="682"/>
      <c r="GQ188" s="682"/>
      <c r="GR188" s="683"/>
      <c r="GS188" s="684"/>
      <c r="GT188" s="680"/>
      <c r="GU188" s="681"/>
      <c r="GV188" s="682"/>
      <c r="GW188" s="682"/>
      <c r="GX188" s="683"/>
      <c r="GY188" s="684"/>
      <c r="GZ188" s="680"/>
      <c r="HA188" s="147"/>
      <c r="HB188" s="148"/>
      <c r="HC188" s="148"/>
      <c r="HD188" s="149"/>
      <c r="HE188" s="150"/>
      <c r="HF188" s="506"/>
      <c r="HG188" s="502"/>
      <c r="HH188" s="502"/>
      <c r="HI188" s="502"/>
      <c r="HJ188" s="8"/>
    </row>
    <row r="189" spans="2:218" ht="21" hidden="1">
      <c r="B189" s="488">
        <v>145</v>
      </c>
      <c r="C189" s="489" t="s">
        <v>336</v>
      </c>
      <c r="D189" s="490" t="s">
        <v>343</v>
      </c>
      <c r="E189" s="491" t="s">
        <v>429</v>
      </c>
      <c r="F189" s="492"/>
      <c r="G189" s="493"/>
      <c r="H189" s="146" t="s">
        <v>97</v>
      </c>
      <c r="I189" s="494" t="str">
        <f t="shared" si="177"/>
        <v>n.v.t.</v>
      </c>
      <c r="J189" s="495"/>
      <c r="K189" s="151">
        <v>0</v>
      </c>
      <c r="L189" s="256"/>
      <c r="M189" s="256">
        <f>IF($C$5&lt;3000,(Bron!H178*$C$5)+Bron!I178,(Bron!M178*$C$5)+Bron!N178)</f>
        <v>0</v>
      </c>
      <c r="N189" s="496">
        <f t="shared" si="260"/>
        <v>0</v>
      </c>
      <c r="O189" s="497" t="str">
        <f t="shared" si="261"/>
        <v/>
      </c>
      <c r="P189" s="257">
        <f>IF($C$5&lt;3000,$AN$32*Bron!J178,$AN$32*Bron!O178)</f>
        <v>0</v>
      </c>
      <c r="Q189" s="257">
        <f>IF($C$5&lt;3000,$AN$31*Bron!K178,$AN$31*Bron!P178)</f>
        <v>0</v>
      </c>
      <c r="R189" s="257">
        <f>IF($C$5&lt;3000,$AN$33*Bron!J178,$AN$33*Bron!O178)</f>
        <v>0</v>
      </c>
      <c r="S189" s="344"/>
      <c r="T189" s="258">
        <f t="shared" si="178"/>
        <v>0</v>
      </c>
      <c r="U189" s="259">
        <f t="shared" si="179"/>
        <v>0</v>
      </c>
      <c r="V189" s="675"/>
      <c r="W189" s="676">
        <f t="shared" si="180"/>
        <v>0</v>
      </c>
      <c r="X189" s="677">
        <f t="shared" si="181"/>
        <v>0</v>
      </c>
      <c r="Y189" s="677">
        <f t="shared" si="212"/>
        <v>0</v>
      </c>
      <c r="Z189" s="678">
        <f t="shared" si="213"/>
        <v>0</v>
      </c>
      <c r="AA189" s="679">
        <f t="shared" si="214"/>
        <v>0</v>
      </c>
      <c r="AB189" s="675"/>
      <c r="AC189" s="676">
        <f t="shared" si="182"/>
        <v>0</v>
      </c>
      <c r="AD189" s="677">
        <f t="shared" si="183"/>
        <v>0</v>
      </c>
      <c r="AE189" s="677">
        <f t="shared" si="215"/>
        <v>0</v>
      </c>
      <c r="AF189" s="678">
        <f t="shared" si="216"/>
        <v>0</v>
      </c>
      <c r="AG189" s="679">
        <f t="shared" si="217"/>
        <v>0</v>
      </c>
      <c r="AH189" s="675"/>
      <c r="AI189" s="676">
        <f t="shared" si="184"/>
        <v>0</v>
      </c>
      <c r="AJ189" s="677">
        <f t="shared" si="185"/>
        <v>0</v>
      </c>
      <c r="AK189" s="677">
        <f t="shared" si="218"/>
        <v>0</v>
      </c>
      <c r="AL189" s="678">
        <f t="shared" si="219"/>
        <v>0</v>
      </c>
      <c r="AM189" s="679">
        <f t="shared" si="220"/>
        <v>0</v>
      </c>
      <c r="AN189" s="675"/>
      <c r="AO189" s="676">
        <f t="shared" si="186"/>
        <v>0</v>
      </c>
      <c r="AP189" s="677">
        <f t="shared" si="187"/>
        <v>0</v>
      </c>
      <c r="AQ189" s="677">
        <f t="shared" si="221"/>
        <v>0</v>
      </c>
      <c r="AR189" s="678">
        <f t="shared" si="222"/>
        <v>0</v>
      </c>
      <c r="AS189" s="679">
        <f t="shared" si="223"/>
        <v>0</v>
      </c>
      <c r="AT189" s="675"/>
      <c r="AU189" s="676">
        <f t="shared" si="188"/>
        <v>0</v>
      </c>
      <c r="AV189" s="677">
        <f t="shared" si="189"/>
        <v>0</v>
      </c>
      <c r="AW189" s="677">
        <f t="shared" si="224"/>
        <v>0</v>
      </c>
      <c r="AX189" s="678">
        <f t="shared" si="225"/>
        <v>0</v>
      </c>
      <c r="AY189" s="679">
        <f t="shared" si="226"/>
        <v>0</v>
      </c>
      <c r="AZ189" s="675"/>
      <c r="BA189" s="676">
        <f t="shared" si="190"/>
        <v>0</v>
      </c>
      <c r="BB189" s="677">
        <f t="shared" si="191"/>
        <v>0</v>
      </c>
      <c r="BC189" s="677">
        <f t="shared" si="227"/>
        <v>0</v>
      </c>
      <c r="BD189" s="678">
        <f t="shared" si="228"/>
        <v>0</v>
      </c>
      <c r="BE189" s="679">
        <f t="shared" si="229"/>
        <v>0</v>
      </c>
      <c r="BF189" s="675"/>
      <c r="BG189" s="676">
        <f t="shared" si="192"/>
        <v>0</v>
      </c>
      <c r="BH189" s="677">
        <f t="shared" si="193"/>
        <v>0</v>
      </c>
      <c r="BI189" s="677">
        <f t="shared" si="230"/>
        <v>0</v>
      </c>
      <c r="BJ189" s="678">
        <f t="shared" si="231"/>
        <v>0</v>
      </c>
      <c r="BK189" s="679">
        <f t="shared" si="232"/>
        <v>0</v>
      </c>
      <c r="BL189" s="675"/>
      <c r="BM189" s="676">
        <f t="shared" si="194"/>
        <v>0</v>
      </c>
      <c r="BN189" s="677">
        <f t="shared" si="195"/>
        <v>0</v>
      </c>
      <c r="BO189" s="677">
        <f t="shared" si="233"/>
        <v>0</v>
      </c>
      <c r="BP189" s="678">
        <f t="shared" si="234"/>
        <v>0</v>
      </c>
      <c r="BQ189" s="679">
        <f t="shared" si="235"/>
        <v>0</v>
      </c>
      <c r="BR189" s="675"/>
      <c r="BS189" s="676">
        <f t="shared" si="196"/>
        <v>0</v>
      </c>
      <c r="BT189" s="677">
        <f t="shared" si="197"/>
        <v>0</v>
      </c>
      <c r="BU189" s="677">
        <f t="shared" si="236"/>
        <v>0</v>
      </c>
      <c r="BV189" s="678">
        <f t="shared" si="237"/>
        <v>0</v>
      </c>
      <c r="BW189" s="679">
        <f t="shared" si="238"/>
        <v>0</v>
      </c>
      <c r="BX189" s="675"/>
      <c r="BY189" s="676">
        <f t="shared" si="198"/>
        <v>0</v>
      </c>
      <c r="BZ189" s="677">
        <f t="shared" si="199"/>
        <v>0</v>
      </c>
      <c r="CA189" s="677">
        <f t="shared" si="239"/>
        <v>0</v>
      </c>
      <c r="CB189" s="678">
        <f t="shared" si="240"/>
        <v>0</v>
      </c>
      <c r="CC189" s="679">
        <f t="shared" si="241"/>
        <v>0</v>
      </c>
      <c r="CD189" s="675"/>
      <c r="CE189" s="676">
        <f t="shared" si="200"/>
        <v>0</v>
      </c>
      <c r="CF189" s="677">
        <f t="shared" si="201"/>
        <v>0</v>
      </c>
      <c r="CG189" s="677">
        <f t="shared" si="242"/>
        <v>0</v>
      </c>
      <c r="CH189" s="678">
        <f t="shared" si="243"/>
        <v>0</v>
      </c>
      <c r="CI189" s="679">
        <f t="shared" si="244"/>
        <v>0</v>
      </c>
      <c r="CJ189" s="675"/>
      <c r="CK189" s="676">
        <f t="shared" si="202"/>
        <v>0</v>
      </c>
      <c r="CL189" s="677">
        <f t="shared" si="203"/>
        <v>0</v>
      </c>
      <c r="CM189" s="677">
        <f t="shared" si="245"/>
        <v>0</v>
      </c>
      <c r="CN189" s="678">
        <f t="shared" si="246"/>
        <v>0</v>
      </c>
      <c r="CO189" s="679">
        <f t="shared" si="247"/>
        <v>0</v>
      </c>
      <c r="CP189" s="675"/>
      <c r="CQ189" s="676">
        <f t="shared" si="204"/>
        <v>0</v>
      </c>
      <c r="CR189" s="677">
        <f t="shared" si="205"/>
        <v>0</v>
      </c>
      <c r="CS189" s="677">
        <f t="shared" si="248"/>
        <v>0</v>
      </c>
      <c r="CT189" s="678">
        <f t="shared" si="249"/>
        <v>0</v>
      </c>
      <c r="CU189" s="679">
        <f t="shared" si="250"/>
        <v>0</v>
      </c>
      <c r="CV189" s="685"/>
      <c r="CW189" s="681"/>
      <c r="CX189" s="682"/>
      <c r="CY189" s="682"/>
      <c r="CZ189" s="683"/>
      <c r="DA189" s="684"/>
      <c r="DB189" s="685"/>
      <c r="DC189" s="681"/>
      <c r="DD189" s="682"/>
      <c r="DE189" s="682"/>
      <c r="DF189" s="683"/>
      <c r="DG189" s="684"/>
      <c r="DH189" s="685"/>
      <c r="DI189" s="681"/>
      <c r="DJ189" s="682"/>
      <c r="DK189" s="682"/>
      <c r="DL189" s="683"/>
      <c r="DM189" s="684"/>
      <c r="DN189" s="685"/>
      <c r="DO189" s="681"/>
      <c r="DP189" s="682"/>
      <c r="DQ189" s="682"/>
      <c r="DR189" s="683"/>
      <c r="DS189" s="684"/>
      <c r="DT189" s="675"/>
      <c r="DU189" s="676">
        <f t="shared" si="206"/>
        <v>0</v>
      </c>
      <c r="DV189" s="677">
        <f t="shared" si="207"/>
        <v>0</v>
      </c>
      <c r="DW189" s="677">
        <f t="shared" si="251"/>
        <v>0</v>
      </c>
      <c r="DX189" s="678">
        <f t="shared" si="252"/>
        <v>0</v>
      </c>
      <c r="DY189" s="679">
        <f t="shared" si="253"/>
        <v>0</v>
      </c>
      <c r="DZ189" s="680"/>
      <c r="EA189" s="681"/>
      <c r="EB189" s="682"/>
      <c r="EC189" s="682"/>
      <c r="ED189" s="683"/>
      <c r="EE189" s="684"/>
      <c r="EF189" s="680"/>
      <c r="EG189" s="681"/>
      <c r="EH189" s="682"/>
      <c r="EI189" s="682"/>
      <c r="EJ189" s="683"/>
      <c r="EK189" s="684"/>
      <c r="EL189" s="680"/>
      <c r="EM189" s="681"/>
      <c r="EN189" s="682"/>
      <c r="EO189" s="682"/>
      <c r="EP189" s="683"/>
      <c r="EQ189" s="684"/>
      <c r="ER189" s="680"/>
      <c r="ES189" s="681"/>
      <c r="ET189" s="682"/>
      <c r="EU189" s="682"/>
      <c r="EV189" s="683"/>
      <c r="EW189" s="684"/>
      <c r="EX189" s="675"/>
      <c r="EY189" s="676">
        <f t="shared" si="208"/>
        <v>0</v>
      </c>
      <c r="EZ189" s="677">
        <f t="shared" si="209"/>
        <v>0</v>
      </c>
      <c r="FA189" s="677">
        <f t="shared" si="254"/>
        <v>0</v>
      </c>
      <c r="FB189" s="678">
        <f t="shared" si="255"/>
        <v>0</v>
      </c>
      <c r="FC189" s="679">
        <f t="shared" si="256"/>
        <v>0</v>
      </c>
      <c r="FD189" s="680"/>
      <c r="FE189" s="681"/>
      <c r="FF189" s="682"/>
      <c r="FG189" s="682"/>
      <c r="FH189" s="683"/>
      <c r="FI189" s="684"/>
      <c r="FJ189" s="680"/>
      <c r="FK189" s="681"/>
      <c r="FL189" s="682"/>
      <c r="FM189" s="682"/>
      <c r="FN189" s="683"/>
      <c r="FO189" s="684"/>
      <c r="FP189" s="680"/>
      <c r="FQ189" s="681"/>
      <c r="FR189" s="682"/>
      <c r="FS189" s="682"/>
      <c r="FT189" s="683"/>
      <c r="FU189" s="684"/>
      <c r="FV189" s="680"/>
      <c r="FW189" s="681"/>
      <c r="FX189" s="682"/>
      <c r="FY189" s="682"/>
      <c r="FZ189" s="683"/>
      <c r="GA189" s="684"/>
      <c r="GB189" s="675"/>
      <c r="GC189" s="676">
        <f t="shared" si="210"/>
        <v>0</v>
      </c>
      <c r="GD189" s="677">
        <f t="shared" si="211"/>
        <v>0</v>
      </c>
      <c r="GE189" s="677">
        <f t="shared" si="257"/>
        <v>0</v>
      </c>
      <c r="GF189" s="678">
        <f t="shared" si="258"/>
        <v>0</v>
      </c>
      <c r="GG189" s="679">
        <f t="shared" si="259"/>
        <v>0</v>
      </c>
      <c r="GH189" s="680"/>
      <c r="GI189" s="681"/>
      <c r="GJ189" s="682"/>
      <c r="GK189" s="682"/>
      <c r="GL189" s="683"/>
      <c r="GM189" s="684"/>
      <c r="GN189" s="680"/>
      <c r="GO189" s="681"/>
      <c r="GP189" s="682"/>
      <c r="GQ189" s="682"/>
      <c r="GR189" s="683"/>
      <c r="GS189" s="684"/>
      <c r="GT189" s="680"/>
      <c r="GU189" s="681"/>
      <c r="GV189" s="682"/>
      <c r="GW189" s="682"/>
      <c r="GX189" s="683"/>
      <c r="GY189" s="684"/>
      <c r="GZ189" s="680"/>
      <c r="HA189" s="147"/>
      <c r="HB189" s="148"/>
      <c r="HC189" s="148"/>
      <c r="HD189" s="149"/>
      <c r="HE189" s="150"/>
      <c r="HF189" s="506"/>
      <c r="HG189" s="502"/>
      <c r="HH189" s="502"/>
      <c r="HI189" s="502"/>
      <c r="HJ189" s="8"/>
    </row>
    <row r="190" spans="2:218" ht="21" hidden="1">
      <c r="B190" s="488">
        <v>146</v>
      </c>
      <c r="C190" s="489" t="s">
        <v>336</v>
      </c>
      <c r="D190" s="490" t="s">
        <v>344</v>
      </c>
      <c r="E190" s="491" t="s">
        <v>345</v>
      </c>
      <c r="F190" s="492"/>
      <c r="G190" s="493"/>
      <c r="H190" s="146" t="s">
        <v>97</v>
      </c>
      <c r="I190" s="494" t="str">
        <f t="shared" si="177"/>
        <v>n.v.t.</v>
      </c>
      <c r="J190" s="495"/>
      <c r="K190" s="151">
        <v>0</v>
      </c>
      <c r="L190" s="256"/>
      <c r="M190" s="256">
        <f>IF($C$5&lt;3000,(Bron!H179*$C$5)+Bron!I179,(Bron!M179*$C$5)+Bron!N179)</f>
        <v>0</v>
      </c>
      <c r="N190" s="496">
        <f t="shared" si="260"/>
        <v>0</v>
      </c>
      <c r="O190" s="497" t="str">
        <f t="shared" si="261"/>
        <v/>
      </c>
      <c r="P190" s="257">
        <f>IF($C$5&lt;3000,$AN$32*Bron!J179,$AN$32*Bron!O179)</f>
        <v>0</v>
      </c>
      <c r="Q190" s="257">
        <f>IF($C$5&lt;3000,$AN$31*Bron!K179,$AN$31*Bron!P179)</f>
        <v>0</v>
      </c>
      <c r="R190" s="257">
        <f>IF($C$5&lt;3000,$AN$33*Bron!J179,$AN$33*Bron!O179)</f>
        <v>0</v>
      </c>
      <c r="S190" s="344"/>
      <c r="T190" s="258">
        <f t="shared" si="178"/>
        <v>0</v>
      </c>
      <c r="U190" s="259">
        <f t="shared" si="179"/>
        <v>0</v>
      </c>
      <c r="V190" s="675"/>
      <c r="W190" s="676">
        <f t="shared" si="180"/>
        <v>0</v>
      </c>
      <c r="X190" s="677">
        <f t="shared" si="181"/>
        <v>0</v>
      </c>
      <c r="Y190" s="677">
        <f t="shared" si="212"/>
        <v>0</v>
      </c>
      <c r="Z190" s="678">
        <f t="shared" si="213"/>
        <v>0</v>
      </c>
      <c r="AA190" s="679">
        <f t="shared" si="214"/>
        <v>0</v>
      </c>
      <c r="AB190" s="675"/>
      <c r="AC190" s="676">
        <f t="shared" si="182"/>
        <v>0</v>
      </c>
      <c r="AD190" s="677">
        <f t="shared" si="183"/>
        <v>0</v>
      </c>
      <c r="AE190" s="677">
        <f t="shared" si="215"/>
        <v>0</v>
      </c>
      <c r="AF190" s="678">
        <f t="shared" si="216"/>
        <v>0</v>
      </c>
      <c r="AG190" s="679">
        <f t="shared" si="217"/>
        <v>0</v>
      </c>
      <c r="AH190" s="675"/>
      <c r="AI190" s="676">
        <f t="shared" si="184"/>
        <v>0</v>
      </c>
      <c r="AJ190" s="677">
        <f t="shared" si="185"/>
        <v>0</v>
      </c>
      <c r="AK190" s="677">
        <f t="shared" si="218"/>
        <v>0</v>
      </c>
      <c r="AL190" s="678">
        <f t="shared" si="219"/>
        <v>0</v>
      </c>
      <c r="AM190" s="679">
        <f t="shared" si="220"/>
        <v>0</v>
      </c>
      <c r="AN190" s="675"/>
      <c r="AO190" s="676">
        <f t="shared" si="186"/>
        <v>0</v>
      </c>
      <c r="AP190" s="677">
        <f t="shared" si="187"/>
        <v>0</v>
      </c>
      <c r="AQ190" s="677">
        <f t="shared" si="221"/>
        <v>0</v>
      </c>
      <c r="AR190" s="678">
        <f t="shared" si="222"/>
        <v>0</v>
      </c>
      <c r="AS190" s="679">
        <f t="shared" si="223"/>
        <v>0</v>
      </c>
      <c r="AT190" s="675"/>
      <c r="AU190" s="676">
        <f t="shared" si="188"/>
        <v>0</v>
      </c>
      <c r="AV190" s="677">
        <f t="shared" si="189"/>
        <v>0</v>
      </c>
      <c r="AW190" s="677">
        <f t="shared" si="224"/>
        <v>0</v>
      </c>
      <c r="AX190" s="678">
        <f t="shared" si="225"/>
        <v>0</v>
      </c>
      <c r="AY190" s="679">
        <f t="shared" si="226"/>
        <v>0</v>
      </c>
      <c r="AZ190" s="675"/>
      <c r="BA190" s="676">
        <f t="shared" si="190"/>
        <v>0</v>
      </c>
      <c r="BB190" s="677">
        <f t="shared" si="191"/>
        <v>0</v>
      </c>
      <c r="BC190" s="677">
        <f t="shared" si="227"/>
        <v>0</v>
      </c>
      <c r="BD190" s="678">
        <f t="shared" si="228"/>
        <v>0</v>
      </c>
      <c r="BE190" s="679">
        <f t="shared" si="229"/>
        <v>0</v>
      </c>
      <c r="BF190" s="675"/>
      <c r="BG190" s="676">
        <f t="shared" si="192"/>
        <v>0</v>
      </c>
      <c r="BH190" s="677">
        <f t="shared" si="193"/>
        <v>0</v>
      </c>
      <c r="BI190" s="677">
        <f t="shared" si="230"/>
        <v>0</v>
      </c>
      <c r="BJ190" s="678">
        <f t="shared" si="231"/>
        <v>0</v>
      </c>
      <c r="BK190" s="679">
        <f t="shared" si="232"/>
        <v>0</v>
      </c>
      <c r="BL190" s="675"/>
      <c r="BM190" s="676">
        <f t="shared" si="194"/>
        <v>0</v>
      </c>
      <c r="BN190" s="677">
        <f t="shared" si="195"/>
        <v>0</v>
      </c>
      <c r="BO190" s="677">
        <f t="shared" si="233"/>
        <v>0</v>
      </c>
      <c r="BP190" s="678">
        <f t="shared" si="234"/>
        <v>0</v>
      </c>
      <c r="BQ190" s="679">
        <f t="shared" si="235"/>
        <v>0</v>
      </c>
      <c r="BR190" s="675"/>
      <c r="BS190" s="676">
        <f t="shared" si="196"/>
        <v>0</v>
      </c>
      <c r="BT190" s="677">
        <f t="shared" si="197"/>
        <v>0</v>
      </c>
      <c r="BU190" s="677">
        <f t="shared" si="236"/>
        <v>0</v>
      </c>
      <c r="BV190" s="678">
        <f t="shared" si="237"/>
        <v>0</v>
      </c>
      <c r="BW190" s="679">
        <f t="shared" si="238"/>
        <v>0</v>
      </c>
      <c r="BX190" s="675"/>
      <c r="BY190" s="676">
        <f t="shared" si="198"/>
        <v>0</v>
      </c>
      <c r="BZ190" s="677">
        <f t="shared" si="199"/>
        <v>0</v>
      </c>
      <c r="CA190" s="677">
        <f t="shared" si="239"/>
        <v>0</v>
      </c>
      <c r="CB190" s="678">
        <f t="shared" si="240"/>
        <v>0</v>
      </c>
      <c r="CC190" s="679">
        <f t="shared" si="241"/>
        <v>0</v>
      </c>
      <c r="CD190" s="675"/>
      <c r="CE190" s="676">
        <f t="shared" si="200"/>
        <v>0</v>
      </c>
      <c r="CF190" s="677">
        <f t="shared" si="201"/>
        <v>0</v>
      </c>
      <c r="CG190" s="677">
        <f t="shared" si="242"/>
        <v>0</v>
      </c>
      <c r="CH190" s="678">
        <f t="shared" si="243"/>
        <v>0</v>
      </c>
      <c r="CI190" s="679">
        <f t="shared" si="244"/>
        <v>0</v>
      </c>
      <c r="CJ190" s="675"/>
      <c r="CK190" s="676">
        <f t="shared" si="202"/>
        <v>0</v>
      </c>
      <c r="CL190" s="677">
        <f t="shared" si="203"/>
        <v>0</v>
      </c>
      <c r="CM190" s="677">
        <f t="shared" si="245"/>
        <v>0</v>
      </c>
      <c r="CN190" s="678">
        <f t="shared" si="246"/>
        <v>0</v>
      </c>
      <c r="CO190" s="679">
        <f t="shared" si="247"/>
        <v>0</v>
      </c>
      <c r="CP190" s="675"/>
      <c r="CQ190" s="676">
        <f t="shared" si="204"/>
        <v>0</v>
      </c>
      <c r="CR190" s="677">
        <f t="shared" si="205"/>
        <v>0</v>
      </c>
      <c r="CS190" s="677">
        <f t="shared" si="248"/>
        <v>0</v>
      </c>
      <c r="CT190" s="678">
        <f t="shared" si="249"/>
        <v>0</v>
      </c>
      <c r="CU190" s="679">
        <f t="shared" si="250"/>
        <v>0</v>
      </c>
      <c r="CV190" s="685"/>
      <c r="CW190" s="681"/>
      <c r="CX190" s="682"/>
      <c r="CY190" s="682"/>
      <c r="CZ190" s="683"/>
      <c r="DA190" s="684"/>
      <c r="DB190" s="685"/>
      <c r="DC190" s="681"/>
      <c r="DD190" s="682"/>
      <c r="DE190" s="682"/>
      <c r="DF190" s="683"/>
      <c r="DG190" s="684"/>
      <c r="DH190" s="685"/>
      <c r="DI190" s="681"/>
      <c r="DJ190" s="682"/>
      <c r="DK190" s="682"/>
      <c r="DL190" s="683"/>
      <c r="DM190" s="684"/>
      <c r="DN190" s="685"/>
      <c r="DO190" s="681"/>
      <c r="DP190" s="682"/>
      <c r="DQ190" s="682"/>
      <c r="DR190" s="683"/>
      <c r="DS190" s="684"/>
      <c r="DT190" s="675"/>
      <c r="DU190" s="676">
        <f t="shared" si="206"/>
        <v>0</v>
      </c>
      <c r="DV190" s="677">
        <f t="shared" si="207"/>
        <v>0</v>
      </c>
      <c r="DW190" s="677">
        <f t="shared" si="251"/>
        <v>0</v>
      </c>
      <c r="DX190" s="678">
        <f t="shared" si="252"/>
        <v>0</v>
      </c>
      <c r="DY190" s="679">
        <f t="shared" si="253"/>
        <v>0</v>
      </c>
      <c r="DZ190" s="680"/>
      <c r="EA190" s="681"/>
      <c r="EB190" s="682"/>
      <c r="EC190" s="682"/>
      <c r="ED190" s="683"/>
      <c r="EE190" s="684"/>
      <c r="EF190" s="680"/>
      <c r="EG190" s="681"/>
      <c r="EH190" s="682"/>
      <c r="EI190" s="682"/>
      <c r="EJ190" s="683"/>
      <c r="EK190" s="684"/>
      <c r="EL190" s="680"/>
      <c r="EM190" s="681"/>
      <c r="EN190" s="682"/>
      <c r="EO190" s="682"/>
      <c r="EP190" s="683"/>
      <c r="EQ190" s="684"/>
      <c r="ER190" s="680"/>
      <c r="ES190" s="681"/>
      <c r="ET190" s="682"/>
      <c r="EU190" s="682"/>
      <c r="EV190" s="683"/>
      <c r="EW190" s="684"/>
      <c r="EX190" s="675"/>
      <c r="EY190" s="676">
        <f t="shared" si="208"/>
        <v>0</v>
      </c>
      <c r="EZ190" s="677">
        <f t="shared" si="209"/>
        <v>0</v>
      </c>
      <c r="FA190" s="677">
        <f t="shared" si="254"/>
        <v>0</v>
      </c>
      <c r="FB190" s="678">
        <f t="shared" si="255"/>
        <v>0</v>
      </c>
      <c r="FC190" s="679">
        <f t="shared" si="256"/>
        <v>0</v>
      </c>
      <c r="FD190" s="680"/>
      <c r="FE190" s="681"/>
      <c r="FF190" s="682"/>
      <c r="FG190" s="682"/>
      <c r="FH190" s="683"/>
      <c r="FI190" s="684"/>
      <c r="FJ190" s="680"/>
      <c r="FK190" s="681"/>
      <c r="FL190" s="682"/>
      <c r="FM190" s="682"/>
      <c r="FN190" s="683"/>
      <c r="FO190" s="684"/>
      <c r="FP190" s="680"/>
      <c r="FQ190" s="681"/>
      <c r="FR190" s="682"/>
      <c r="FS190" s="682"/>
      <c r="FT190" s="683"/>
      <c r="FU190" s="684"/>
      <c r="FV190" s="680"/>
      <c r="FW190" s="681"/>
      <c r="FX190" s="682"/>
      <c r="FY190" s="682"/>
      <c r="FZ190" s="683"/>
      <c r="GA190" s="684"/>
      <c r="GB190" s="675"/>
      <c r="GC190" s="676">
        <f t="shared" si="210"/>
        <v>0</v>
      </c>
      <c r="GD190" s="677">
        <f t="shared" si="211"/>
        <v>0</v>
      </c>
      <c r="GE190" s="677">
        <f t="shared" si="257"/>
        <v>0</v>
      </c>
      <c r="GF190" s="678">
        <f t="shared" si="258"/>
        <v>0</v>
      </c>
      <c r="GG190" s="679">
        <f t="shared" si="259"/>
        <v>0</v>
      </c>
      <c r="GH190" s="680"/>
      <c r="GI190" s="681"/>
      <c r="GJ190" s="682"/>
      <c r="GK190" s="682"/>
      <c r="GL190" s="683"/>
      <c r="GM190" s="684"/>
      <c r="GN190" s="680"/>
      <c r="GO190" s="681"/>
      <c r="GP190" s="682"/>
      <c r="GQ190" s="682"/>
      <c r="GR190" s="683"/>
      <c r="GS190" s="684"/>
      <c r="GT190" s="680"/>
      <c r="GU190" s="681"/>
      <c r="GV190" s="682"/>
      <c r="GW190" s="682"/>
      <c r="GX190" s="683"/>
      <c r="GY190" s="684"/>
      <c r="GZ190" s="680"/>
      <c r="HA190" s="147"/>
      <c r="HB190" s="148"/>
      <c r="HC190" s="148"/>
      <c r="HD190" s="149"/>
      <c r="HE190" s="150"/>
      <c r="HF190" s="506"/>
      <c r="HG190" s="502"/>
      <c r="HH190" s="502"/>
      <c r="HI190" s="502"/>
      <c r="HJ190" s="8"/>
    </row>
    <row r="191" spans="2:218" ht="21" hidden="1">
      <c r="B191" s="488">
        <v>147</v>
      </c>
      <c r="C191" s="489" t="s">
        <v>336</v>
      </c>
      <c r="D191" s="490" t="s">
        <v>346</v>
      </c>
      <c r="E191" s="491" t="s">
        <v>430</v>
      </c>
      <c r="F191" s="492"/>
      <c r="G191" s="493"/>
      <c r="H191" s="146" t="s">
        <v>97</v>
      </c>
      <c r="I191" s="494" t="str">
        <f t="shared" si="177"/>
        <v>n.v.t.</v>
      </c>
      <c r="J191" s="495"/>
      <c r="K191" s="151">
        <v>0</v>
      </c>
      <c r="L191" s="256"/>
      <c r="M191" s="256">
        <f>IF($C$5&lt;3000,(Bron!H180*$C$5)+Bron!I180,(Bron!M180*$C$5)+Bron!N180)</f>
        <v>0</v>
      </c>
      <c r="N191" s="496">
        <f t="shared" si="260"/>
        <v>0</v>
      </c>
      <c r="O191" s="497" t="str">
        <f t="shared" si="261"/>
        <v/>
      </c>
      <c r="P191" s="257">
        <f>IF($C$5&lt;3000,$AN$32*Bron!J180,$AN$32*Bron!O180)</f>
        <v>0</v>
      </c>
      <c r="Q191" s="257">
        <f>IF($C$5&lt;3000,$AN$31*Bron!K180,$AN$31*Bron!P180)</f>
        <v>0</v>
      </c>
      <c r="R191" s="257">
        <f>IF($C$5&lt;3000,$AN$33*Bron!J180,$AN$33*Bron!O180)</f>
        <v>0</v>
      </c>
      <c r="S191" s="344"/>
      <c r="T191" s="258">
        <f t="shared" si="178"/>
        <v>0</v>
      </c>
      <c r="U191" s="259">
        <f t="shared" si="179"/>
        <v>0</v>
      </c>
      <c r="V191" s="675"/>
      <c r="W191" s="676">
        <f t="shared" si="180"/>
        <v>0</v>
      </c>
      <c r="X191" s="677">
        <f t="shared" si="181"/>
        <v>0</v>
      </c>
      <c r="Y191" s="677">
        <f t="shared" si="212"/>
        <v>0</v>
      </c>
      <c r="Z191" s="678">
        <f t="shared" si="213"/>
        <v>0</v>
      </c>
      <c r="AA191" s="679">
        <f t="shared" si="214"/>
        <v>0</v>
      </c>
      <c r="AB191" s="675"/>
      <c r="AC191" s="676">
        <f t="shared" si="182"/>
        <v>0</v>
      </c>
      <c r="AD191" s="677">
        <f t="shared" si="183"/>
        <v>0</v>
      </c>
      <c r="AE191" s="677">
        <f t="shared" si="215"/>
        <v>0</v>
      </c>
      <c r="AF191" s="678">
        <f t="shared" si="216"/>
        <v>0</v>
      </c>
      <c r="AG191" s="679">
        <f t="shared" si="217"/>
        <v>0</v>
      </c>
      <c r="AH191" s="675"/>
      <c r="AI191" s="676">
        <f t="shared" si="184"/>
        <v>0</v>
      </c>
      <c r="AJ191" s="677">
        <f t="shared" si="185"/>
        <v>0</v>
      </c>
      <c r="AK191" s="677">
        <f t="shared" si="218"/>
        <v>0</v>
      </c>
      <c r="AL191" s="678">
        <f t="shared" si="219"/>
        <v>0</v>
      </c>
      <c r="AM191" s="679">
        <f t="shared" si="220"/>
        <v>0</v>
      </c>
      <c r="AN191" s="675"/>
      <c r="AO191" s="676">
        <f t="shared" si="186"/>
        <v>0</v>
      </c>
      <c r="AP191" s="677">
        <f t="shared" si="187"/>
        <v>0</v>
      </c>
      <c r="AQ191" s="677">
        <f t="shared" si="221"/>
        <v>0</v>
      </c>
      <c r="AR191" s="678">
        <f t="shared" si="222"/>
        <v>0</v>
      </c>
      <c r="AS191" s="679">
        <f t="shared" si="223"/>
        <v>0</v>
      </c>
      <c r="AT191" s="675"/>
      <c r="AU191" s="676">
        <f t="shared" si="188"/>
        <v>0</v>
      </c>
      <c r="AV191" s="677">
        <f t="shared" si="189"/>
        <v>0</v>
      </c>
      <c r="AW191" s="677">
        <f t="shared" si="224"/>
        <v>0</v>
      </c>
      <c r="AX191" s="678">
        <f t="shared" si="225"/>
        <v>0</v>
      </c>
      <c r="AY191" s="679">
        <f t="shared" si="226"/>
        <v>0</v>
      </c>
      <c r="AZ191" s="675"/>
      <c r="BA191" s="676">
        <f t="shared" si="190"/>
        <v>0</v>
      </c>
      <c r="BB191" s="677">
        <f t="shared" si="191"/>
        <v>0</v>
      </c>
      <c r="BC191" s="677">
        <f t="shared" si="227"/>
        <v>0</v>
      </c>
      <c r="BD191" s="678">
        <f t="shared" si="228"/>
        <v>0</v>
      </c>
      <c r="BE191" s="679">
        <f t="shared" si="229"/>
        <v>0</v>
      </c>
      <c r="BF191" s="675"/>
      <c r="BG191" s="676">
        <f t="shared" si="192"/>
        <v>0</v>
      </c>
      <c r="BH191" s="677">
        <f t="shared" si="193"/>
        <v>0</v>
      </c>
      <c r="BI191" s="677">
        <f t="shared" si="230"/>
        <v>0</v>
      </c>
      <c r="BJ191" s="678">
        <f t="shared" si="231"/>
        <v>0</v>
      </c>
      <c r="BK191" s="679">
        <f t="shared" si="232"/>
        <v>0</v>
      </c>
      <c r="BL191" s="675"/>
      <c r="BM191" s="676">
        <f t="shared" si="194"/>
        <v>0</v>
      </c>
      <c r="BN191" s="677">
        <f t="shared" si="195"/>
        <v>0</v>
      </c>
      <c r="BO191" s="677">
        <f t="shared" si="233"/>
        <v>0</v>
      </c>
      <c r="BP191" s="678">
        <f t="shared" si="234"/>
        <v>0</v>
      </c>
      <c r="BQ191" s="679">
        <f t="shared" si="235"/>
        <v>0</v>
      </c>
      <c r="BR191" s="675"/>
      <c r="BS191" s="676">
        <f t="shared" si="196"/>
        <v>0</v>
      </c>
      <c r="BT191" s="677">
        <f t="shared" si="197"/>
        <v>0</v>
      </c>
      <c r="BU191" s="677">
        <f t="shared" si="236"/>
        <v>0</v>
      </c>
      <c r="BV191" s="678">
        <f t="shared" si="237"/>
        <v>0</v>
      </c>
      <c r="BW191" s="679">
        <f t="shared" si="238"/>
        <v>0</v>
      </c>
      <c r="BX191" s="675"/>
      <c r="BY191" s="676">
        <f t="shared" si="198"/>
        <v>0</v>
      </c>
      <c r="BZ191" s="677">
        <f t="shared" si="199"/>
        <v>0</v>
      </c>
      <c r="CA191" s="677">
        <f t="shared" si="239"/>
        <v>0</v>
      </c>
      <c r="CB191" s="678">
        <f t="shared" si="240"/>
        <v>0</v>
      </c>
      <c r="CC191" s="679">
        <f t="shared" si="241"/>
        <v>0</v>
      </c>
      <c r="CD191" s="675"/>
      <c r="CE191" s="676">
        <f t="shared" si="200"/>
        <v>0</v>
      </c>
      <c r="CF191" s="677">
        <f t="shared" si="201"/>
        <v>0</v>
      </c>
      <c r="CG191" s="677">
        <f t="shared" si="242"/>
        <v>0</v>
      </c>
      <c r="CH191" s="678">
        <f t="shared" si="243"/>
        <v>0</v>
      </c>
      <c r="CI191" s="679">
        <f t="shared" si="244"/>
        <v>0</v>
      </c>
      <c r="CJ191" s="675"/>
      <c r="CK191" s="676">
        <f t="shared" si="202"/>
        <v>0</v>
      </c>
      <c r="CL191" s="677">
        <f t="shared" si="203"/>
        <v>0</v>
      </c>
      <c r="CM191" s="677">
        <f t="shared" si="245"/>
        <v>0</v>
      </c>
      <c r="CN191" s="678">
        <f t="shared" si="246"/>
        <v>0</v>
      </c>
      <c r="CO191" s="679">
        <f t="shared" si="247"/>
        <v>0</v>
      </c>
      <c r="CP191" s="675"/>
      <c r="CQ191" s="676">
        <f t="shared" si="204"/>
        <v>0</v>
      </c>
      <c r="CR191" s="677">
        <f t="shared" si="205"/>
        <v>0</v>
      </c>
      <c r="CS191" s="677">
        <f t="shared" si="248"/>
        <v>0</v>
      </c>
      <c r="CT191" s="678">
        <f t="shared" si="249"/>
        <v>0</v>
      </c>
      <c r="CU191" s="679">
        <f t="shared" si="250"/>
        <v>0</v>
      </c>
      <c r="CV191" s="685"/>
      <c r="CW191" s="681"/>
      <c r="CX191" s="682"/>
      <c r="CY191" s="682"/>
      <c r="CZ191" s="683"/>
      <c r="DA191" s="684"/>
      <c r="DB191" s="685"/>
      <c r="DC191" s="681"/>
      <c r="DD191" s="682"/>
      <c r="DE191" s="682"/>
      <c r="DF191" s="683"/>
      <c r="DG191" s="684"/>
      <c r="DH191" s="685"/>
      <c r="DI191" s="681"/>
      <c r="DJ191" s="682"/>
      <c r="DK191" s="682"/>
      <c r="DL191" s="683"/>
      <c r="DM191" s="684"/>
      <c r="DN191" s="685"/>
      <c r="DO191" s="681"/>
      <c r="DP191" s="682"/>
      <c r="DQ191" s="682"/>
      <c r="DR191" s="683"/>
      <c r="DS191" s="684"/>
      <c r="DT191" s="675"/>
      <c r="DU191" s="676">
        <f t="shared" si="206"/>
        <v>0</v>
      </c>
      <c r="DV191" s="677">
        <f t="shared" si="207"/>
        <v>0</v>
      </c>
      <c r="DW191" s="677">
        <f t="shared" si="251"/>
        <v>0</v>
      </c>
      <c r="DX191" s="678">
        <f t="shared" si="252"/>
        <v>0</v>
      </c>
      <c r="DY191" s="679">
        <f t="shared" si="253"/>
        <v>0</v>
      </c>
      <c r="DZ191" s="680"/>
      <c r="EA191" s="681"/>
      <c r="EB191" s="682"/>
      <c r="EC191" s="682"/>
      <c r="ED191" s="683"/>
      <c r="EE191" s="684"/>
      <c r="EF191" s="680"/>
      <c r="EG191" s="681"/>
      <c r="EH191" s="682"/>
      <c r="EI191" s="682"/>
      <c r="EJ191" s="683"/>
      <c r="EK191" s="684"/>
      <c r="EL191" s="680"/>
      <c r="EM191" s="681"/>
      <c r="EN191" s="682"/>
      <c r="EO191" s="682"/>
      <c r="EP191" s="683"/>
      <c r="EQ191" s="684"/>
      <c r="ER191" s="680"/>
      <c r="ES191" s="681"/>
      <c r="ET191" s="682"/>
      <c r="EU191" s="682"/>
      <c r="EV191" s="683"/>
      <c r="EW191" s="684"/>
      <c r="EX191" s="675"/>
      <c r="EY191" s="676">
        <f t="shared" si="208"/>
        <v>0</v>
      </c>
      <c r="EZ191" s="677">
        <f t="shared" si="209"/>
        <v>0</v>
      </c>
      <c r="FA191" s="677">
        <f t="shared" si="254"/>
        <v>0</v>
      </c>
      <c r="FB191" s="678">
        <f t="shared" si="255"/>
        <v>0</v>
      </c>
      <c r="FC191" s="679">
        <f t="shared" si="256"/>
        <v>0</v>
      </c>
      <c r="FD191" s="680"/>
      <c r="FE191" s="681"/>
      <c r="FF191" s="682"/>
      <c r="FG191" s="682"/>
      <c r="FH191" s="683"/>
      <c r="FI191" s="684"/>
      <c r="FJ191" s="680"/>
      <c r="FK191" s="681"/>
      <c r="FL191" s="682"/>
      <c r="FM191" s="682"/>
      <c r="FN191" s="683"/>
      <c r="FO191" s="684"/>
      <c r="FP191" s="680"/>
      <c r="FQ191" s="681"/>
      <c r="FR191" s="682"/>
      <c r="FS191" s="682"/>
      <c r="FT191" s="683"/>
      <c r="FU191" s="684"/>
      <c r="FV191" s="680"/>
      <c r="FW191" s="681"/>
      <c r="FX191" s="682"/>
      <c r="FY191" s="682"/>
      <c r="FZ191" s="683"/>
      <c r="GA191" s="684"/>
      <c r="GB191" s="675"/>
      <c r="GC191" s="676">
        <f t="shared" si="210"/>
        <v>0</v>
      </c>
      <c r="GD191" s="677">
        <f t="shared" si="211"/>
        <v>0</v>
      </c>
      <c r="GE191" s="677">
        <f t="shared" si="257"/>
        <v>0</v>
      </c>
      <c r="GF191" s="678">
        <f t="shared" si="258"/>
        <v>0</v>
      </c>
      <c r="GG191" s="679">
        <f t="shared" si="259"/>
        <v>0</v>
      </c>
      <c r="GH191" s="680"/>
      <c r="GI191" s="681"/>
      <c r="GJ191" s="682"/>
      <c r="GK191" s="682"/>
      <c r="GL191" s="683"/>
      <c r="GM191" s="684"/>
      <c r="GN191" s="680"/>
      <c r="GO191" s="681"/>
      <c r="GP191" s="682"/>
      <c r="GQ191" s="682"/>
      <c r="GR191" s="683"/>
      <c r="GS191" s="684"/>
      <c r="GT191" s="680"/>
      <c r="GU191" s="681"/>
      <c r="GV191" s="682"/>
      <c r="GW191" s="682"/>
      <c r="GX191" s="683"/>
      <c r="GY191" s="684"/>
      <c r="GZ191" s="680"/>
      <c r="HA191" s="147"/>
      <c r="HB191" s="148"/>
      <c r="HC191" s="148"/>
      <c r="HD191" s="149"/>
      <c r="HE191" s="150"/>
      <c r="HF191" s="506"/>
      <c r="HG191" s="502"/>
      <c r="HH191" s="502"/>
      <c r="HI191" s="502"/>
      <c r="HJ191" s="8"/>
    </row>
    <row r="192" spans="2:218" ht="21" hidden="1">
      <c r="B192" s="488">
        <v>148</v>
      </c>
      <c r="C192" s="489" t="s">
        <v>336</v>
      </c>
      <c r="D192" s="490" t="s">
        <v>347</v>
      </c>
      <c r="E192" s="491" t="s">
        <v>431</v>
      </c>
      <c r="F192" s="492"/>
      <c r="G192" s="493"/>
      <c r="H192" s="146" t="s">
        <v>97</v>
      </c>
      <c r="I192" s="494" t="str">
        <f t="shared" si="177"/>
        <v>n.v.t.</v>
      </c>
      <c r="J192" s="495"/>
      <c r="K192" s="151">
        <v>0</v>
      </c>
      <c r="L192" s="256"/>
      <c r="M192" s="256">
        <f>IF($C$5&lt;3000,(Bron!H181*$C$5)+Bron!I181,(Bron!M181*$C$5)+Bron!N181)</f>
        <v>0</v>
      </c>
      <c r="N192" s="496">
        <f t="shared" si="260"/>
        <v>0</v>
      </c>
      <c r="O192" s="497" t="str">
        <f t="shared" si="261"/>
        <v/>
      </c>
      <c r="P192" s="257">
        <f>IF($C$5&lt;3000,$AN$32*Bron!J181,$AN$32*Bron!O181)</f>
        <v>0</v>
      </c>
      <c r="Q192" s="257">
        <f>IF($C$5&lt;3000,$AN$31*Bron!K181,$AN$31*Bron!P181)</f>
        <v>0</v>
      </c>
      <c r="R192" s="257">
        <f>IF($C$5&lt;3000,$AN$33*Bron!J181,$AN$33*Bron!O181)</f>
        <v>0</v>
      </c>
      <c r="S192" s="344"/>
      <c r="T192" s="258">
        <f t="shared" si="178"/>
        <v>0</v>
      </c>
      <c r="U192" s="259">
        <f t="shared" si="179"/>
        <v>0</v>
      </c>
      <c r="V192" s="675"/>
      <c r="W192" s="676">
        <f t="shared" si="180"/>
        <v>0</v>
      </c>
      <c r="X192" s="677">
        <f t="shared" si="181"/>
        <v>0</v>
      </c>
      <c r="Y192" s="677">
        <f t="shared" si="212"/>
        <v>0</v>
      </c>
      <c r="Z192" s="678">
        <f t="shared" si="213"/>
        <v>0</v>
      </c>
      <c r="AA192" s="679">
        <f t="shared" si="214"/>
        <v>0</v>
      </c>
      <c r="AB192" s="675"/>
      <c r="AC192" s="676">
        <f t="shared" si="182"/>
        <v>0</v>
      </c>
      <c r="AD192" s="677">
        <f t="shared" si="183"/>
        <v>0</v>
      </c>
      <c r="AE192" s="677">
        <f t="shared" si="215"/>
        <v>0</v>
      </c>
      <c r="AF192" s="678">
        <f t="shared" si="216"/>
        <v>0</v>
      </c>
      <c r="AG192" s="679">
        <f t="shared" si="217"/>
        <v>0</v>
      </c>
      <c r="AH192" s="675"/>
      <c r="AI192" s="676">
        <f t="shared" si="184"/>
        <v>0</v>
      </c>
      <c r="AJ192" s="677">
        <f t="shared" si="185"/>
        <v>0</v>
      </c>
      <c r="AK192" s="677">
        <f t="shared" si="218"/>
        <v>0</v>
      </c>
      <c r="AL192" s="678">
        <f t="shared" si="219"/>
        <v>0</v>
      </c>
      <c r="AM192" s="679">
        <f t="shared" si="220"/>
        <v>0</v>
      </c>
      <c r="AN192" s="675"/>
      <c r="AO192" s="676">
        <f t="shared" si="186"/>
        <v>0</v>
      </c>
      <c r="AP192" s="677">
        <f t="shared" si="187"/>
        <v>0</v>
      </c>
      <c r="AQ192" s="677">
        <f t="shared" si="221"/>
        <v>0</v>
      </c>
      <c r="AR192" s="678">
        <f t="shared" si="222"/>
        <v>0</v>
      </c>
      <c r="AS192" s="679">
        <f t="shared" si="223"/>
        <v>0</v>
      </c>
      <c r="AT192" s="675"/>
      <c r="AU192" s="676">
        <f t="shared" si="188"/>
        <v>0</v>
      </c>
      <c r="AV192" s="677">
        <f t="shared" si="189"/>
        <v>0</v>
      </c>
      <c r="AW192" s="677">
        <f t="shared" si="224"/>
        <v>0</v>
      </c>
      <c r="AX192" s="678">
        <f t="shared" si="225"/>
        <v>0</v>
      </c>
      <c r="AY192" s="679">
        <f t="shared" si="226"/>
        <v>0</v>
      </c>
      <c r="AZ192" s="675"/>
      <c r="BA192" s="676">
        <f t="shared" si="190"/>
        <v>0</v>
      </c>
      <c r="BB192" s="677">
        <f t="shared" si="191"/>
        <v>0</v>
      </c>
      <c r="BC192" s="677">
        <f t="shared" si="227"/>
        <v>0</v>
      </c>
      <c r="BD192" s="678">
        <f t="shared" si="228"/>
        <v>0</v>
      </c>
      <c r="BE192" s="679">
        <f t="shared" si="229"/>
        <v>0</v>
      </c>
      <c r="BF192" s="675"/>
      <c r="BG192" s="676">
        <f t="shared" si="192"/>
        <v>0</v>
      </c>
      <c r="BH192" s="677">
        <f t="shared" si="193"/>
        <v>0</v>
      </c>
      <c r="BI192" s="677">
        <f t="shared" si="230"/>
        <v>0</v>
      </c>
      <c r="BJ192" s="678">
        <f t="shared" si="231"/>
        <v>0</v>
      </c>
      <c r="BK192" s="679">
        <f t="shared" si="232"/>
        <v>0</v>
      </c>
      <c r="BL192" s="675"/>
      <c r="BM192" s="676">
        <f t="shared" si="194"/>
        <v>0</v>
      </c>
      <c r="BN192" s="677">
        <f t="shared" si="195"/>
        <v>0</v>
      </c>
      <c r="BO192" s="677">
        <f t="shared" si="233"/>
        <v>0</v>
      </c>
      <c r="BP192" s="678">
        <f t="shared" si="234"/>
        <v>0</v>
      </c>
      <c r="BQ192" s="679">
        <f t="shared" si="235"/>
        <v>0</v>
      </c>
      <c r="BR192" s="675"/>
      <c r="BS192" s="676">
        <f t="shared" si="196"/>
        <v>0</v>
      </c>
      <c r="BT192" s="677">
        <f t="shared" si="197"/>
        <v>0</v>
      </c>
      <c r="BU192" s="677">
        <f t="shared" si="236"/>
        <v>0</v>
      </c>
      <c r="BV192" s="678">
        <f t="shared" si="237"/>
        <v>0</v>
      </c>
      <c r="BW192" s="679">
        <f t="shared" si="238"/>
        <v>0</v>
      </c>
      <c r="BX192" s="675"/>
      <c r="BY192" s="676">
        <f t="shared" si="198"/>
        <v>0</v>
      </c>
      <c r="BZ192" s="677">
        <f t="shared" si="199"/>
        <v>0</v>
      </c>
      <c r="CA192" s="677">
        <f t="shared" si="239"/>
        <v>0</v>
      </c>
      <c r="CB192" s="678">
        <f t="shared" si="240"/>
        <v>0</v>
      </c>
      <c r="CC192" s="679">
        <f t="shared" si="241"/>
        <v>0</v>
      </c>
      <c r="CD192" s="675"/>
      <c r="CE192" s="676">
        <f t="shared" si="200"/>
        <v>0</v>
      </c>
      <c r="CF192" s="677">
        <f t="shared" si="201"/>
        <v>0</v>
      </c>
      <c r="CG192" s="677">
        <f t="shared" si="242"/>
        <v>0</v>
      </c>
      <c r="CH192" s="678">
        <f t="shared" si="243"/>
        <v>0</v>
      </c>
      <c r="CI192" s="679">
        <f t="shared" si="244"/>
        <v>0</v>
      </c>
      <c r="CJ192" s="675"/>
      <c r="CK192" s="676">
        <f t="shared" si="202"/>
        <v>0</v>
      </c>
      <c r="CL192" s="677">
        <f t="shared" si="203"/>
        <v>0</v>
      </c>
      <c r="CM192" s="677">
        <f t="shared" si="245"/>
        <v>0</v>
      </c>
      <c r="CN192" s="678">
        <f t="shared" si="246"/>
        <v>0</v>
      </c>
      <c r="CO192" s="679">
        <f t="shared" si="247"/>
        <v>0</v>
      </c>
      <c r="CP192" s="675"/>
      <c r="CQ192" s="676">
        <f t="shared" si="204"/>
        <v>0</v>
      </c>
      <c r="CR192" s="677">
        <f t="shared" si="205"/>
        <v>0</v>
      </c>
      <c r="CS192" s="677">
        <f t="shared" si="248"/>
        <v>0</v>
      </c>
      <c r="CT192" s="678">
        <f t="shared" si="249"/>
        <v>0</v>
      </c>
      <c r="CU192" s="679">
        <f t="shared" si="250"/>
        <v>0</v>
      </c>
      <c r="CV192" s="685"/>
      <c r="CW192" s="681"/>
      <c r="CX192" s="682"/>
      <c r="CY192" s="682"/>
      <c r="CZ192" s="683"/>
      <c r="DA192" s="684"/>
      <c r="DB192" s="685"/>
      <c r="DC192" s="681"/>
      <c r="DD192" s="682"/>
      <c r="DE192" s="682"/>
      <c r="DF192" s="683"/>
      <c r="DG192" s="684"/>
      <c r="DH192" s="685"/>
      <c r="DI192" s="681"/>
      <c r="DJ192" s="682"/>
      <c r="DK192" s="682"/>
      <c r="DL192" s="683"/>
      <c r="DM192" s="684"/>
      <c r="DN192" s="685"/>
      <c r="DO192" s="681"/>
      <c r="DP192" s="682"/>
      <c r="DQ192" s="682"/>
      <c r="DR192" s="683"/>
      <c r="DS192" s="684"/>
      <c r="DT192" s="675"/>
      <c r="DU192" s="676">
        <f t="shared" si="206"/>
        <v>0</v>
      </c>
      <c r="DV192" s="677">
        <f t="shared" si="207"/>
        <v>0</v>
      </c>
      <c r="DW192" s="677">
        <f t="shared" si="251"/>
        <v>0</v>
      </c>
      <c r="DX192" s="678">
        <f t="shared" si="252"/>
        <v>0</v>
      </c>
      <c r="DY192" s="679">
        <f t="shared" si="253"/>
        <v>0</v>
      </c>
      <c r="DZ192" s="680"/>
      <c r="EA192" s="681"/>
      <c r="EB192" s="682"/>
      <c r="EC192" s="682"/>
      <c r="ED192" s="683"/>
      <c r="EE192" s="684"/>
      <c r="EF192" s="680"/>
      <c r="EG192" s="681"/>
      <c r="EH192" s="682"/>
      <c r="EI192" s="682"/>
      <c r="EJ192" s="683"/>
      <c r="EK192" s="684"/>
      <c r="EL192" s="680"/>
      <c r="EM192" s="681"/>
      <c r="EN192" s="682"/>
      <c r="EO192" s="682"/>
      <c r="EP192" s="683"/>
      <c r="EQ192" s="684"/>
      <c r="ER192" s="680"/>
      <c r="ES192" s="681"/>
      <c r="ET192" s="682"/>
      <c r="EU192" s="682"/>
      <c r="EV192" s="683"/>
      <c r="EW192" s="684"/>
      <c r="EX192" s="675"/>
      <c r="EY192" s="676">
        <f t="shared" si="208"/>
        <v>0</v>
      </c>
      <c r="EZ192" s="677">
        <f t="shared" si="209"/>
        <v>0</v>
      </c>
      <c r="FA192" s="677">
        <f t="shared" si="254"/>
        <v>0</v>
      </c>
      <c r="FB192" s="678">
        <f t="shared" si="255"/>
        <v>0</v>
      </c>
      <c r="FC192" s="679">
        <f t="shared" si="256"/>
        <v>0</v>
      </c>
      <c r="FD192" s="680"/>
      <c r="FE192" s="681"/>
      <c r="FF192" s="682"/>
      <c r="FG192" s="682"/>
      <c r="FH192" s="683"/>
      <c r="FI192" s="684"/>
      <c r="FJ192" s="680"/>
      <c r="FK192" s="681"/>
      <c r="FL192" s="682"/>
      <c r="FM192" s="682"/>
      <c r="FN192" s="683"/>
      <c r="FO192" s="684"/>
      <c r="FP192" s="680"/>
      <c r="FQ192" s="681"/>
      <c r="FR192" s="682"/>
      <c r="FS192" s="682"/>
      <c r="FT192" s="683"/>
      <c r="FU192" s="684"/>
      <c r="FV192" s="680"/>
      <c r="FW192" s="681"/>
      <c r="FX192" s="682"/>
      <c r="FY192" s="682"/>
      <c r="FZ192" s="683"/>
      <c r="GA192" s="684"/>
      <c r="GB192" s="675"/>
      <c r="GC192" s="676">
        <f t="shared" si="210"/>
        <v>0</v>
      </c>
      <c r="GD192" s="677">
        <f t="shared" si="211"/>
        <v>0</v>
      </c>
      <c r="GE192" s="677">
        <f t="shared" si="257"/>
        <v>0</v>
      </c>
      <c r="GF192" s="678">
        <f t="shared" si="258"/>
        <v>0</v>
      </c>
      <c r="GG192" s="679">
        <f t="shared" si="259"/>
        <v>0</v>
      </c>
      <c r="GH192" s="680"/>
      <c r="GI192" s="681"/>
      <c r="GJ192" s="682"/>
      <c r="GK192" s="682"/>
      <c r="GL192" s="683"/>
      <c r="GM192" s="684"/>
      <c r="GN192" s="680"/>
      <c r="GO192" s="681"/>
      <c r="GP192" s="682"/>
      <c r="GQ192" s="682"/>
      <c r="GR192" s="683"/>
      <c r="GS192" s="684"/>
      <c r="GT192" s="680"/>
      <c r="GU192" s="681"/>
      <c r="GV192" s="682"/>
      <c r="GW192" s="682"/>
      <c r="GX192" s="683"/>
      <c r="GY192" s="684"/>
      <c r="GZ192" s="680"/>
      <c r="HA192" s="147"/>
      <c r="HB192" s="148"/>
      <c r="HC192" s="148"/>
      <c r="HD192" s="149"/>
      <c r="HE192" s="150"/>
      <c r="HF192" s="506"/>
      <c r="HG192" s="502"/>
      <c r="HH192" s="502"/>
      <c r="HI192" s="502"/>
      <c r="HJ192" s="8"/>
    </row>
    <row r="193" spans="2:218" ht="21" hidden="1">
      <c r="B193" s="488">
        <v>149</v>
      </c>
      <c r="C193" s="489" t="s">
        <v>336</v>
      </c>
      <c r="D193" s="490" t="s">
        <v>348</v>
      </c>
      <c r="E193" s="491" t="s">
        <v>349</v>
      </c>
      <c r="F193" s="492"/>
      <c r="G193" s="493"/>
      <c r="H193" s="146" t="s">
        <v>97</v>
      </c>
      <c r="I193" s="494" t="str">
        <f t="shared" si="177"/>
        <v>n.v.t.</v>
      </c>
      <c r="J193" s="495"/>
      <c r="K193" s="151">
        <v>0</v>
      </c>
      <c r="L193" s="256"/>
      <c r="M193" s="256">
        <f>IF($C$5&lt;3000,(Bron!H182*$C$5)+Bron!I182,(Bron!M182*$C$5)+Bron!N182)</f>
        <v>0</v>
      </c>
      <c r="N193" s="496">
        <f t="shared" si="260"/>
        <v>0</v>
      </c>
      <c r="O193" s="497" t="str">
        <f t="shared" si="261"/>
        <v/>
      </c>
      <c r="P193" s="257">
        <f>IF($C$5&lt;3000,$AN$32*Bron!J182,$AN$32*Bron!O182)</f>
        <v>0</v>
      </c>
      <c r="Q193" s="257">
        <f>IF($C$5&lt;3000,$AN$31*Bron!K182,$AN$31*Bron!P182)</f>
        <v>0</v>
      </c>
      <c r="R193" s="257">
        <f>IF($C$5&lt;3000,$AN$33*Bron!J182,$AN$33*Bron!O182)</f>
        <v>0</v>
      </c>
      <c r="S193" s="344"/>
      <c r="T193" s="258">
        <f t="shared" si="178"/>
        <v>0</v>
      </c>
      <c r="U193" s="259">
        <f t="shared" si="179"/>
        <v>0</v>
      </c>
      <c r="V193" s="675"/>
      <c r="W193" s="676">
        <f t="shared" si="180"/>
        <v>0</v>
      </c>
      <c r="X193" s="677">
        <f t="shared" si="181"/>
        <v>0</v>
      </c>
      <c r="Y193" s="677">
        <f t="shared" si="212"/>
        <v>0</v>
      </c>
      <c r="Z193" s="678">
        <f t="shared" si="213"/>
        <v>0</v>
      </c>
      <c r="AA193" s="679">
        <f t="shared" si="214"/>
        <v>0</v>
      </c>
      <c r="AB193" s="675"/>
      <c r="AC193" s="676">
        <f t="shared" si="182"/>
        <v>0</v>
      </c>
      <c r="AD193" s="677">
        <f t="shared" si="183"/>
        <v>0</v>
      </c>
      <c r="AE193" s="677">
        <f t="shared" si="215"/>
        <v>0</v>
      </c>
      <c r="AF193" s="678">
        <f t="shared" si="216"/>
        <v>0</v>
      </c>
      <c r="AG193" s="679">
        <f t="shared" si="217"/>
        <v>0</v>
      </c>
      <c r="AH193" s="675"/>
      <c r="AI193" s="676">
        <f t="shared" si="184"/>
        <v>0</v>
      </c>
      <c r="AJ193" s="677">
        <f t="shared" si="185"/>
        <v>0</v>
      </c>
      <c r="AK193" s="677">
        <f t="shared" si="218"/>
        <v>0</v>
      </c>
      <c r="AL193" s="678">
        <f t="shared" si="219"/>
        <v>0</v>
      </c>
      <c r="AM193" s="679">
        <f t="shared" si="220"/>
        <v>0</v>
      </c>
      <c r="AN193" s="675"/>
      <c r="AO193" s="676">
        <f t="shared" si="186"/>
        <v>0</v>
      </c>
      <c r="AP193" s="677">
        <f t="shared" si="187"/>
        <v>0</v>
      </c>
      <c r="AQ193" s="677">
        <f t="shared" si="221"/>
        <v>0</v>
      </c>
      <c r="AR193" s="678">
        <f t="shared" si="222"/>
        <v>0</v>
      </c>
      <c r="AS193" s="679">
        <f t="shared" si="223"/>
        <v>0</v>
      </c>
      <c r="AT193" s="675"/>
      <c r="AU193" s="676">
        <f t="shared" si="188"/>
        <v>0</v>
      </c>
      <c r="AV193" s="677">
        <f t="shared" si="189"/>
        <v>0</v>
      </c>
      <c r="AW193" s="677">
        <f t="shared" si="224"/>
        <v>0</v>
      </c>
      <c r="AX193" s="678">
        <f t="shared" si="225"/>
        <v>0</v>
      </c>
      <c r="AY193" s="679">
        <f t="shared" si="226"/>
        <v>0</v>
      </c>
      <c r="AZ193" s="675"/>
      <c r="BA193" s="676">
        <f t="shared" si="190"/>
        <v>0</v>
      </c>
      <c r="BB193" s="677">
        <f t="shared" si="191"/>
        <v>0</v>
      </c>
      <c r="BC193" s="677">
        <f t="shared" si="227"/>
        <v>0</v>
      </c>
      <c r="BD193" s="678">
        <f t="shared" si="228"/>
        <v>0</v>
      </c>
      <c r="BE193" s="679">
        <f t="shared" si="229"/>
        <v>0</v>
      </c>
      <c r="BF193" s="675"/>
      <c r="BG193" s="676">
        <f t="shared" si="192"/>
        <v>0</v>
      </c>
      <c r="BH193" s="677">
        <f t="shared" si="193"/>
        <v>0</v>
      </c>
      <c r="BI193" s="677">
        <f t="shared" si="230"/>
        <v>0</v>
      </c>
      <c r="BJ193" s="678">
        <f t="shared" si="231"/>
        <v>0</v>
      </c>
      <c r="BK193" s="679">
        <f t="shared" si="232"/>
        <v>0</v>
      </c>
      <c r="BL193" s="675"/>
      <c r="BM193" s="676">
        <f t="shared" si="194"/>
        <v>0</v>
      </c>
      <c r="BN193" s="677">
        <f t="shared" si="195"/>
        <v>0</v>
      </c>
      <c r="BO193" s="677">
        <f t="shared" si="233"/>
        <v>0</v>
      </c>
      <c r="BP193" s="678">
        <f t="shared" si="234"/>
        <v>0</v>
      </c>
      <c r="BQ193" s="679">
        <f t="shared" si="235"/>
        <v>0</v>
      </c>
      <c r="BR193" s="675"/>
      <c r="BS193" s="676">
        <f t="shared" si="196"/>
        <v>0</v>
      </c>
      <c r="BT193" s="677">
        <f t="shared" si="197"/>
        <v>0</v>
      </c>
      <c r="BU193" s="677">
        <f t="shared" si="236"/>
        <v>0</v>
      </c>
      <c r="BV193" s="678">
        <f t="shared" si="237"/>
        <v>0</v>
      </c>
      <c r="BW193" s="679">
        <f t="shared" si="238"/>
        <v>0</v>
      </c>
      <c r="BX193" s="675"/>
      <c r="BY193" s="676">
        <f t="shared" si="198"/>
        <v>0</v>
      </c>
      <c r="BZ193" s="677">
        <f t="shared" si="199"/>
        <v>0</v>
      </c>
      <c r="CA193" s="677">
        <f t="shared" si="239"/>
        <v>0</v>
      </c>
      <c r="CB193" s="678">
        <f t="shared" si="240"/>
        <v>0</v>
      </c>
      <c r="CC193" s="679">
        <f t="shared" si="241"/>
        <v>0</v>
      </c>
      <c r="CD193" s="675"/>
      <c r="CE193" s="676">
        <f t="shared" si="200"/>
        <v>0</v>
      </c>
      <c r="CF193" s="677">
        <f t="shared" si="201"/>
        <v>0</v>
      </c>
      <c r="CG193" s="677">
        <f t="shared" si="242"/>
        <v>0</v>
      </c>
      <c r="CH193" s="678">
        <f t="shared" si="243"/>
        <v>0</v>
      </c>
      <c r="CI193" s="679">
        <f t="shared" si="244"/>
        <v>0</v>
      </c>
      <c r="CJ193" s="675"/>
      <c r="CK193" s="676">
        <f t="shared" si="202"/>
        <v>0</v>
      </c>
      <c r="CL193" s="677">
        <f t="shared" si="203"/>
        <v>0</v>
      </c>
      <c r="CM193" s="677">
        <f t="shared" si="245"/>
        <v>0</v>
      </c>
      <c r="CN193" s="678">
        <f t="shared" si="246"/>
        <v>0</v>
      </c>
      <c r="CO193" s="679">
        <f t="shared" si="247"/>
        <v>0</v>
      </c>
      <c r="CP193" s="675"/>
      <c r="CQ193" s="676">
        <f t="shared" si="204"/>
        <v>0</v>
      </c>
      <c r="CR193" s="677">
        <f t="shared" si="205"/>
        <v>0</v>
      </c>
      <c r="CS193" s="677">
        <f t="shared" si="248"/>
        <v>0</v>
      </c>
      <c r="CT193" s="678">
        <f t="shared" si="249"/>
        <v>0</v>
      </c>
      <c r="CU193" s="679">
        <f t="shared" si="250"/>
        <v>0</v>
      </c>
      <c r="CV193" s="685"/>
      <c r="CW193" s="681"/>
      <c r="CX193" s="682"/>
      <c r="CY193" s="682"/>
      <c r="CZ193" s="683"/>
      <c r="DA193" s="684"/>
      <c r="DB193" s="685"/>
      <c r="DC193" s="681"/>
      <c r="DD193" s="682"/>
      <c r="DE193" s="682"/>
      <c r="DF193" s="683"/>
      <c r="DG193" s="684"/>
      <c r="DH193" s="685"/>
      <c r="DI193" s="681"/>
      <c r="DJ193" s="682"/>
      <c r="DK193" s="682"/>
      <c r="DL193" s="683"/>
      <c r="DM193" s="684"/>
      <c r="DN193" s="685"/>
      <c r="DO193" s="681"/>
      <c r="DP193" s="682"/>
      <c r="DQ193" s="682"/>
      <c r="DR193" s="683"/>
      <c r="DS193" s="684"/>
      <c r="DT193" s="675"/>
      <c r="DU193" s="676">
        <f t="shared" si="206"/>
        <v>0</v>
      </c>
      <c r="DV193" s="677">
        <f t="shared" si="207"/>
        <v>0</v>
      </c>
      <c r="DW193" s="677">
        <f t="shared" si="251"/>
        <v>0</v>
      </c>
      <c r="DX193" s="678">
        <f t="shared" si="252"/>
        <v>0</v>
      </c>
      <c r="DY193" s="679">
        <f t="shared" si="253"/>
        <v>0</v>
      </c>
      <c r="DZ193" s="680"/>
      <c r="EA193" s="681"/>
      <c r="EB193" s="682"/>
      <c r="EC193" s="682"/>
      <c r="ED193" s="683"/>
      <c r="EE193" s="684"/>
      <c r="EF193" s="680"/>
      <c r="EG193" s="681"/>
      <c r="EH193" s="682"/>
      <c r="EI193" s="682"/>
      <c r="EJ193" s="683"/>
      <c r="EK193" s="684"/>
      <c r="EL193" s="680"/>
      <c r="EM193" s="681"/>
      <c r="EN193" s="682"/>
      <c r="EO193" s="682"/>
      <c r="EP193" s="683"/>
      <c r="EQ193" s="684"/>
      <c r="ER193" s="680"/>
      <c r="ES193" s="681"/>
      <c r="ET193" s="682"/>
      <c r="EU193" s="682"/>
      <c r="EV193" s="683"/>
      <c r="EW193" s="684"/>
      <c r="EX193" s="675"/>
      <c r="EY193" s="676">
        <f t="shared" si="208"/>
        <v>0</v>
      </c>
      <c r="EZ193" s="677">
        <f t="shared" si="209"/>
        <v>0</v>
      </c>
      <c r="FA193" s="677">
        <f t="shared" si="254"/>
        <v>0</v>
      </c>
      <c r="FB193" s="678">
        <f t="shared" si="255"/>
        <v>0</v>
      </c>
      <c r="FC193" s="679">
        <f t="shared" si="256"/>
        <v>0</v>
      </c>
      <c r="FD193" s="680"/>
      <c r="FE193" s="681"/>
      <c r="FF193" s="682"/>
      <c r="FG193" s="682"/>
      <c r="FH193" s="683"/>
      <c r="FI193" s="684"/>
      <c r="FJ193" s="680"/>
      <c r="FK193" s="681"/>
      <c r="FL193" s="682"/>
      <c r="FM193" s="682"/>
      <c r="FN193" s="683"/>
      <c r="FO193" s="684"/>
      <c r="FP193" s="680"/>
      <c r="FQ193" s="681"/>
      <c r="FR193" s="682"/>
      <c r="FS193" s="682"/>
      <c r="FT193" s="683"/>
      <c r="FU193" s="684"/>
      <c r="FV193" s="680"/>
      <c r="FW193" s="681"/>
      <c r="FX193" s="682"/>
      <c r="FY193" s="682"/>
      <c r="FZ193" s="683"/>
      <c r="GA193" s="684"/>
      <c r="GB193" s="675"/>
      <c r="GC193" s="676">
        <f t="shared" si="210"/>
        <v>0</v>
      </c>
      <c r="GD193" s="677">
        <f t="shared" si="211"/>
        <v>0</v>
      </c>
      <c r="GE193" s="677">
        <f t="shared" si="257"/>
        <v>0</v>
      </c>
      <c r="GF193" s="678">
        <f t="shared" si="258"/>
        <v>0</v>
      </c>
      <c r="GG193" s="679">
        <f t="shared" si="259"/>
        <v>0</v>
      </c>
      <c r="GH193" s="680"/>
      <c r="GI193" s="681"/>
      <c r="GJ193" s="682"/>
      <c r="GK193" s="682"/>
      <c r="GL193" s="683"/>
      <c r="GM193" s="684"/>
      <c r="GN193" s="680"/>
      <c r="GO193" s="681"/>
      <c r="GP193" s="682"/>
      <c r="GQ193" s="682"/>
      <c r="GR193" s="683"/>
      <c r="GS193" s="684"/>
      <c r="GT193" s="680"/>
      <c r="GU193" s="681"/>
      <c r="GV193" s="682"/>
      <c r="GW193" s="682"/>
      <c r="GX193" s="683"/>
      <c r="GY193" s="684"/>
      <c r="GZ193" s="680"/>
      <c r="HA193" s="147"/>
      <c r="HB193" s="148"/>
      <c r="HC193" s="148"/>
      <c r="HD193" s="149"/>
      <c r="HE193" s="150"/>
      <c r="HF193" s="506"/>
      <c r="HG193" s="502"/>
      <c r="HH193" s="502"/>
      <c r="HI193" s="502"/>
      <c r="HJ193" s="8"/>
    </row>
    <row r="194" spans="2:218" ht="21" hidden="1">
      <c r="B194" s="488">
        <v>150</v>
      </c>
      <c r="C194" s="489" t="s">
        <v>351</v>
      </c>
      <c r="D194" s="490" t="s">
        <v>350</v>
      </c>
      <c r="E194" s="491" t="s">
        <v>432</v>
      </c>
      <c r="F194" s="492"/>
      <c r="G194" s="493"/>
      <c r="H194" s="146" t="s">
        <v>97</v>
      </c>
      <c r="I194" s="494" t="str">
        <f t="shared" si="177"/>
        <v>n.v.t.</v>
      </c>
      <c r="J194" s="495"/>
      <c r="K194" s="151">
        <v>0</v>
      </c>
      <c r="L194" s="256"/>
      <c r="M194" s="256">
        <f>IF($C$5&lt;3000,(Bron!H183*$C$5)+Bron!I183,(Bron!M183*$C$5)+Bron!N183)</f>
        <v>0</v>
      </c>
      <c r="N194" s="496">
        <f t="shared" si="260"/>
        <v>0</v>
      </c>
      <c r="O194" s="497" t="str">
        <f t="shared" si="261"/>
        <v/>
      </c>
      <c r="P194" s="257">
        <f>IF($C$5&lt;3000,$AN$32*Bron!J183,$AN$32*Bron!O183)</f>
        <v>0</v>
      </c>
      <c r="Q194" s="257">
        <f>IF($C$5&lt;3000,$AN$31*Bron!K183,$AN$31*Bron!P183)</f>
        <v>0</v>
      </c>
      <c r="R194" s="257">
        <f>IF($C$5&lt;3000,$AN$33*Bron!J183,$AN$33*Bron!O183)</f>
        <v>0</v>
      </c>
      <c r="S194" s="344"/>
      <c r="T194" s="258">
        <f t="shared" si="178"/>
        <v>0</v>
      </c>
      <c r="U194" s="259">
        <f t="shared" si="179"/>
        <v>0</v>
      </c>
      <c r="V194" s="675"/>
      <c r="W194" s="676">
        <f t="shared" si="180"/>
        <v>0</v>
      </c>
      <c r="X194" s="677">
        <f t="shared" si="181"/>
        <v>0</v>
      </c>
      <c r="Y194" s="677">
        <f t="shared" si="212"/>
        <v>0</v>
      </c>
      <c r="Z194" s="678">
        <f t="shared" si="213"/>
        <v>0</v>
      </c>
      <c r="AA194" s="679">
        <f t="shared" si="214"/>
        <v>0</v>
      </c>
      <c r="AB194" s="675"/>
      <c r="AC194" s="676">
        <f t="shared" si="182"/>
        <v>0</v>
      </c>
      <c r="AD194" s="677">
        <f t="shared" si="183"/>
        <v>0</v>
      </c>
      <c r="AE194" s="677">
        <f t="shared" si="215"/>
        <v>0</v>
      </c>
      <c r="AF194" s="678">
        <f t="shared" si="216"/>
        <v>0</v>
      </c>
      <c r="AG194" s="679">
        <f t="shared" si="217"/>
        <v>0</v>
      </c>
      <c r="AH194" s="675"/>
      <c r="AI194" s="676">
        <f t="shared" si="184"/>
        <v>0</v>
      </c>
      <c r="AJ194" s="677">
        <f t="shared" si="185"/>
        <v>0</v>
      </c>
      <c r="AK194" s="677">
        <f t="shared" si="218"/>
        <v>0</v>
      </c>
      <c r="AL194" s="678">
        <f t="shared" si="219"/>
        <v>0</v>
      </c>
      <c r="AM194" s="679">
        <f t="shared" si="220"/>
        <v>0</v>
      </c>
      <c r="AN194" s="675"/>
      <c r="AO194" s="676">
        <f t="shared" si="186"/>
        <v>0</v>
      </c>
      <c r="AP194" s="677">
        <f t="shared" si="187"/>
        <v>0</v>
      </c>
      <c r="AQ194" s="677">
        <f t="shared" si="221"/>
        <v>0</v>
      </c>
      <c r="AR194" s="678">
        <f t="shared" si="222"/>
        <v>0</v>
      </c>
      <c r="AS194" s="679">
        <f t="shared" si="223"/>
        <v>0</v>
      </c>
      <c r="AT194" s="675"/>
      <c r="AU194" s="676">
        <f t="shared" si="188"/>
        <v>0</v>
      </c>
      <c r="AV194" s="677">
        <f t="shared" si="189"/>
        <v>0</v>
      </c>
      <c r="AW194" s="677">
        <f t="shared" si="224"/>
        <v>0</v>
      </c>
      <c r="AX194" s="678">
        <f t="shared" si="225"/>
        <v>0</v>
      </c>
      <c r="AY194" s="679">
        <f t="shared" si="226"/>
        <v>0</v>
      </c>
      <c r="AZ194" s="675"/>
      <c r="BA194" s="676">
        <f t="shared" si="190"/>
        <v>0</v>
      </c>
      <c r="BB194" s="677">
        <f t="shared" si="191"/>
        <v>0</v>
      </c>
      <c r="BC194" s="677">
        <f t="shared" si="227"/>
        <v>0</v>
      </c>
      <c r="BD194" s="678">
        <f t="shared" si="228"/>
        <v>0</v>
      </c>
      <c r="BE194" s="679">
        <f t="shared" si="229"/>
        <v>0</v>
      </c>
      <c r="BF194" s="675"/>
      <c r="BG194" s="676">
        <f t="shared" si="192"/>
        <v>0</v>
      </c>
      <c r="BH194" s="677">
        <f t="shared" si="193"/>
        <v>0</v>
      </c>
      <c r="BI194" s="677">
        <f t="shared" si="230"/>
        <v>0</v>
      </c>
      <c r="BJ194" s="678">
        <f t="shared" si="231"/>
        <v>0</v>
      </c>
      <c r="BK194" s="679">
        <f t="shared" si="232"/>
        <v>0</v>
      </c>
      <c r="BL194" s="675"/>
      <c r="BM194" s="676">
        <f t="shared" si="194"/>
        <v>0</v>
      </c>
      <c r="BN194" s="677">
        <f t="shared" si="195"/>
        <v>0</v>
      </c>
      <c r="BO194" s="677">
        <f t="shared" si="233"/>
        <v>0</v>
      </c>
      <c r="BP194" s="678">
        <f t="shared" si="234"/>
        <v>0</v>
      </c>
      <c r="BQ194" s="679">
        <f t="shared" si="235"/>
        <v>0</v>
      </c>
      <c r="BR194" s="675"/>
      <c r="BS194" s="676">
        <f t="shared" si="196"/>
        <v>0</v>
      </c>
      <c r="BT194" s="677">
        <f t="shared" si="197"/>
        <v>0</v>
      </c>
      <c r="BU194" s="677">
        <f t="shared" si="236"/>
        <v>0</v>
      </c>
      <c r="BV194" s="678">
        <f t="shared" si="237"/>
        <v>0</v>
      </c>
      <c r="BW194" s="679">
        <f t="shared" si="238"/>
        <v>0</v>
      </c>
      <c r="BX194" s="675"/>
      <c r="BY194" s="676">
        <f t="shared" si="198"/>
        <v>0</v>
      </c>
      <c r="BZ194" s="677">
        <f t="shared" si="199"/>
        <v>0</v>
      </c>
      <c r="CA194" s="677">
        <f t="shared" si="239"/>
        <v>0</v>
      </c>
      <c r="CB194" s="678">
        <f t="shared" si="240"/>
        <v>0</v>
      </c>
      <c r="CC194" s="679">
        <f t="shared" si="241"/>
        <v>0</v>
      </c>
      <c r="CD194" s="675"/>
      <c r="CE194" s="676">
        <f t="shared" si="200"/>
        <v>0</v>
      </c>
      <c r="CF194" s="677">
        <f t="shared" si="201"/>
        <v>0</v>
      </c>
      <c r="CG194" s="677">
        <f t="shared" si="242"/>
        <v>0</v>
      </c>
      <c r="CH194" s="678">
        <f t="shared" si="243"/>
        <v>0</v>
      </c>
      <c r="CI194" s="679">
        <f t="shared" si="244"/>
        <v>0</v>
      </c>
      <c r="CJ194" s="675"/>
      <c r="CK194" s="676">
        <f t="shared" si="202"/>
        <v>0</v>
      </c>
      <c r="CL194" s="677">
        <f t="shared" si="203"/>
        <v>0</v>
      </c>
      <c r="CM194" s="677">
        <f t="shared" si="245"/>
        <v>0</v>
      </c>
      <c r="CN194" s="678">
        <f t="shared" si="246"/>
        <v>0</v>
      </c>
      <c r="CO194" s="679">
        <f t="shared" si="247"/>
        <v>0</v>
      </c>
      <c r="CP194" s="675"/>
      <c r="CQ194" s="676">
        <f t="shared" si="204"/>
        <v>0</v>
      </c>
      <c r="CR194" s="677">
        <f t="shared" si="205"/>
        <v>0</v>
      </c>
      <c r="CS194" s="677">
        <f t="shared" si="248"/>
        <v>0</v>
      </c>
      <c r="CT194" s="678">
        <f t="shared" si="249"/>
        <v>0</v>
      </c>
      <c r="CU194" s="679">
        <f t="shared" si="250"/>
        <v>0</v>
      </c>
      <c r="CV194" s="685"/>
      <c r="CW194" s="681"/>
      <c r="CX194" s="682"/>
      <c r="CY194" s="682"/>
      <c r="CZ194" s="683"/>
      <c r="DA194" s="684"/>
      <c r="DB194" s="685"/>
      <c r="DC194" s="681"/>
      <c r="DD194" s="682"/>
      <c r="DE194" s="682"/>
      <c r="DF194" s="683"/>
      <c r="DG194" s="684"/>
      <c r="DH194" s="685"/>
      <c r="DI194" s="681"/>
      <c r="DJ194" s="682"/>
      <c r="DK194" s="682"/>
      <c r="DL194" s="683"/>
      <c r="DM194" s="684"/>
      <c r="DN194" s="685"/>
      <c r="DO194" s="681"/>
      <c r="DP194" s="682"/>
      <c r="DQ194" s="682"/>
      <c r="DR194" s="683"/>
      <c r="DS194" s="684"/>
      <c r="DT194" s="675"/>
      <c r="DU194" s="676">
        <f t="shared" si="206"/>
        <v>0</v>
      </c>
      <c r="DV194" s="677">
        <f t="shared" si="207"/>
        <v>0</v>
      </c>
      <c r="DW194" s="677">
        <f t="shared" si="251"/>
        <v>0</v>
      </c>
      <c r="DX194" s="678">
        <f t="shared" si="252"/>
        <v>0</v>
      </c>
      <c r="DY194" s="679">
        <f t="shared" si="253"/>
        <v>0</v>
      </c>
      <c r="DZ194" s="680"/>
      <c r="EA194" s="681"/>
      <c r="EB194" s="682"/>
      <c r="EC194" s="682"/>
      <c r="ED194" s="683"/>
      <c r="EE194" s="684"/>
      <c r="EF194" s="680"/>
      <c r="EG194" s="681"/>
      <c r="EH194" s="682"/>
      <c r="EI194" s="682"/>
      <c r="EJ194" s="683"/>
      <c r="EK194" s="684"/>
      <c r="EL194" s="680"/>
      <c r="EM194" s="681"/>
      <c r="EN194" s="682"/>
      <c r="EO194" s="682"/>
      <c r="EP194" s="683"/>
      <c r="EQ194" s="684"/>
      <c r="ER194" s="680"/>
      <c r="ES194" s="681"/>
      <c r="ET194" s="682"/>
      <c r="EU194" s="682"/>
      <c r="EV194" s="683"/>
      <c r="EW194" s="684"/>
      <c r="EX194" s="675"/>
      <c r="EY194" s="676">
        <f t="shared" si="208"/>
        <v>0</v>
      </c>
      <c r="EZ194" s="677">
        <f t="shared" si="209"/>
        <v>0</v>
      </c>
      <c r="FA194" s="677">
        <f t="shared" si="254"/>
        <v>0</v>
      </c>
      <c r="FB194" s="678">
        <f t="shared" si="255"/>
        <v>0</v>
      </c>
      <c r="FC194" s="679">
        <f t="shared" si="256"/>
        <v>0</v>
      </c>
      <c r="FD194" s="680"/>
      <c r="FE194" s="681"/>
      <c r="FF194" s="682"/>
      <c r="FG194" s="682"/>
      <c r="FH194" s="683"/>
      <c r="FI194" s="684"/>
      <c r="FJ194" s="680"/>
      <c r="FK194" s="681"/>
      <c r="FL194" s="682"/>
      <c r="FM194" s="682"/>
      <c r="FN194" s="683"/>
      <c r="FO194" s="684"/>
      <c r="FP194" s="680"/>
      <c r="FQ194" s="681"/>
      <c r="FR194" s="682"/>
      <c r="FS194" s="682"/>
      <c r="FT194" s="683"/>
      <c r="FU194" s="684"/>
      <c r="FV194" s="680"/>
      <c r="FW194" s="681"/>
      <c r="FX194" s="682"/>
      <c r="FY194" s="682"/>
      <c r="FZ194" s="683"/>
      <c r="GA194" s="684"/>
      <c r="GB194" s="675"/>
      <c r="GC194" s="676">
        <f t="shared" si="210"/>
        <v>0</v>
      </c>
      <c r="GD194" s="677">
        <f t="shared" si="211"/>
        <v>0</v>
      </c>
      <c r="GE194" s="677">
        <f t="shared" si="257"/>
        <v>0</v>
      </c>
      <c r="GF194" s="678">
        <f t="shared" si="258"/>
        <v>0</v>
      </c>
      <c r="GG194" s="679">
        <f t="shared" si="259"/>
        <v>0</v>
      </c>
      <c r="GH194" s="680"/>
      <c r="GI194" s="681"/>
      <c r="GJ194" s="682"/>
      <c r="GK194" s="682"/>
      <c r="GL194" s="683"/>
      <c r="GM194" s="684"/>
      <c r="GN194" s="680"/>
      <c r="GO194" s="681"/>
      <c r="GP194" s="682"/>
      <c r="GQ194" s="682"/>
      <c r="GR194" s="683"/>
      <c r="GS194" s="684"/>
      <c r="GT194" s="680"/>
      <c r="GU194" s="681"/>
      <c r="GV194" s="682"/>
      <c r="GW194" s="682"/>
      <c r="GX194" s="683"/>
      <c r="GY194" s="684"/>
      <c r="GZ194" s="680"/>
      <c r="HA194" s="147"/>
      <c r="HB194" s="148"/>
      <c r="HC194" s="148"/>
      <c r="HD194" s="149"/>
      <c r="HE194" s="150"/>
      <c r="HF194" s="506"/>
      <c r="HG194" s="502"/>
      <c r="HH194" s="502"/>
      <c r="HI194" s="502"/>
      <c r="HJ194" s="8"/>
    </row>
    <row r="195" spans="2:218" ht="21" hidden="1">
      <c r="B195" s="488">
        <v>151</v>
      </c>
      <c r="C195" s="489" t="s">
        <v>351</v>
      </c>
      <c r="D195" s="490" t="s">
        <v>352</v>
      </c>
      <c r="E195" s="491" t="s">
        <v>353</v>
      </c>
      <c r="F195" s="492"/>
      <c r="G195" s="493"/>
      <c r="H195" s="146" t="s">
        <v>97</v>
      </c>
      <c r="I195" s="494" t="str">
        <f t="shared" si="177"/>
        <v>n.v.t.</v>
      </c>
      <c r="J195" s="495"/>
      <c r="K195" s="151">
        <v>0</v>
      </c>
      <c r="L195" s="256"/>
      <c r="M195" s="256">
        <f>IF($C$5&lt;3000,(Bron!H184*$C$5)+Bron!I184,(Bron!M184*$C$5)+Bron!N184)</f>
        <v>0</v>
      </c>
      <c r="N195" s="496">
        <f t="shared" si="260"/>
        <v>0</v>
      </c>
      <c r="O195" s="497" t="str">
        <f t="shared" si="261"/>
        <v/>
      </c>
      <c r="P195" s="257">
        <f>IF($C$5&lt;3000,$AN$32*Bron!J184,$AN$32*Bron!O184)</f>
        <v>0</v>
      </c>
      <c r="Q195" s="257">
        <f>IF($C$5&lt;3000,$AN$31*Bron!K184,$AN$31*Bron!P184)</f>
        <v>0</v>
      </c>
      <c r="R195" s="257">
        <f>IF($C$5&lt;3000,$AN$33*Bron!J184,$AN$33*Bron!O184)</f>
        <v>0</v>
      </c>
      <c r="S195" s="344"/>
      <c r="T195" s="258">
        <f t="shared" si="178"/>
        <v>0</v>
      </c>
      <c r="U195" s="259">
        <f t="shared" si="179"/>
        <v>0</v>
      </c>
      <c r="V195" s="675"/>
      <c r="W195" s="676">
        <f t="shared" si="180"/>
        <v>0</v>
      </c>
      <c r="X195" s="677">
        <f t="shared" si="181"/>
        <v>0</v>
      </c>
      <c r="Y195" s="677">
        <f t="shared" si="212"/>
        <v>0</v>
      </c>
      <c r="Z195" s="678">
        <f t="shared" si="213"/>
        <v>0</v>
      </c>
      <c r="AA195" s="679">
        <f t="shared" si="214"/>
        <v>0</v>
      </c>
      <c r="AB195" s="675"/>
      <c r="AC195" s="676">
        <f t="shared" si="182"/>
        <v>0</v>
      </c>
      <c r="AD195" s="677">
        <f t="shared" si="183"/>
        <v>0</v>
      </c>
      <c r="AE195" s="677">
        <f t="shared" si="215"/>
        <v>0</v>
      </c>
      <c r="AF195" s="678">
        <f t="shared" si="216"/>
        <v>0</v>
      </c>
      <c r="AG195" s="679">
        <f t="shared" si="217"/>
        <v>0</v>
      </c>
      <c r="AH195" s="675"/>
      <c r="AI195" s="676">
        <f t="shared" si="184"/>
        <v>0</v>
      </c>
      <c r="AJ195" s="677">
        <f t="shared" si="185"/>
        <v>0</v>
      </c>
      <c r="AK195" s="677">
        <f t="shared" si="218"/>
        <v>0</v>
      </c>
      <c r="AL195" s="678">
        <f t="shared" si="219"/>
        <v>0</v>
      </c>
      <c r="AM195" s="679">
        <f t="shared" si="220"/>
        <v>0</v>
      </c>
      <c r="AN195" s="675"/>
      <c r="AO195" s="676">
        <f t="shared" si="186"/>
        <v>0</v>
      </c>
      <c r="AP195" s="677">
        <f t="shared" si="187"/>
        <v>0</v>
      </c>
      <c r="AQ195" s="677">
        <f t="shared" si="221"/>
        <v>0</v>
      </c>
      <c r="AR195" s="678">
        <f t="shared" si="222"/>
        <v>0</v>
      </c>
      <c r="AS195" s="679">
        <f t="shared" si="223"/>
        <v>0</v>
      </c>
      <c r="AT195" s="675"/>
      <c r="AU195" s="676">
        <f t="shared" si="188"/>
        <v>0</v>
      </c>
      <c r="AV195" s="677">
        <f t="shared" si="189"/>
        <v>0</v>
      </c>
      <c r="AW195" s="677">
        <f t="shared" si="224"/>
        <v>0</v>
      </c>
      <c r="AX195" s="678">
        <f t="shared" si="225"/>
        <v>0</v>
      </c>
      <c r="AY195" s="679">
        <f t="shared" si="226"/>
        <v>0</v>
      </c>
      <c r="AZ195" s="675"/>
      <c r="BA195" s="676">
        <f t="shared" si="190"/>
        <v>0</v>
      </c>
      <c r="BB195" s="677">
        <f t="shared" si="191"/>
        <v>0</v>
      </c>
      <c r="BC195" s="677">
        <f t="shared" si="227"/>
        <v>0</v>
      </c>
      <c r="BD195" s="678">
        <f t="shared" si="228"/>
        <v>0</v>
      </c>
      <c r="BE195" s="679">
        <f t="shared" si="229"/>
        <v>0</v>
      </c>
      <c r="BF195" s="675"/>
      <c r="BG195" s="676">
        <f t="shared" si="192"/>
        <v>0</v>
      </c>
      <c r="BH195" s="677">
        <f t="shared" si="193"/>
        <v>0</v>
      </c>
      <c r="BI195" s="677">
        <f t="shared" si="230"/>
        <v>0</v>
      </c>
      <c r="BJ195" s="678">
        <f t="shared" si="231"/>
        <v>0</v>
      </c>
      <c r="BK195" s="679">
        <f t="shared" si="232"/>
        <v>0</v>
      </c>
      <c r="BL195" s="675"/>
      <c r="BM195" s="676">
        <f t="shared" si="194"/>
        <v>0</v>
      </c>
      <c r="BN195" s="677">
        <f t="shared" si="195"/>
        <v>0</v>
      </c>
      <c r="BO195" s="677">
        <f t="shared" si="233"/>
        <v>0</v>
      </c>
      <c r="BP195" s="678">
        <f t="shared" si="234"/>
        <v>0</v>
      </c>
      <c r="BQ195" s="679">
        <f t="shared" si="235"/>
        <v>0</v>
      </c>
      <c r="BR195" s="675"/>
      <c r="BS195" s="676">
        <f t="shared" si="196"/>
        <v>0</v>
      </c>
      <c r="BT195" s="677">
        <f t="shared" si="197"/>
        <v>0</v>
      </c>
      <c r="BU195" s="677">
        <f t="shared" si="236"/>
        <v>0</v>
      </c>
      <c r="BV195" s="678">
        <f t="shared" si="237"/>
        <v>0</v>
      </c>
      <c r="BW195" s="679">
        <f t="shared" si="238"/>
        <v>0</v>
      </c>
      <c r="BX195" s="675"/>
      <c r="BY195" s="676">
        <f t="shared" si="198"/>
        <v>0</v>
      </c>
      <c r="BZ195" s="677">
        <f t="shared" si="199"/>
        <v>0</v>
      </c>
      <c r="CA195" s="677">
        <f t="shared" si="239"/>
        <v>0</v>
      </c>
      <c r="CB195" s="678">
        <f t="shared" si="240"/>
        <v>0</v>
      </c>
      <c r="CC195" s="679">
        <f t="shared" si="241"/>
        <v>0</v>
      </c>
      <c r="CD195" s="675"/>
      <c r="CE195" s="676">
        <f t="shared" si="200"/>
        <v>0</v>
      </c>
      <c r="CF195" s="677">
        <f t="shared" si="201"/>
        <v>0</v>
      </c>
      <c r="CG195" s="677">
        <f t="shared" si="242"/>
        <v>0</v>
      </c>
      <c r="CH195" s="678">
        <f t="shared" si="243"/>
        <v>0</v>
      </c>
      <c r="CI195" s="679">
        <f t="shared" si="244"/>
        <v>0</v>
      </c>
      <c r="CJ195" s="675"/>
      <c r="CK195" s="676">
        <f t="shared" si="202"/>
        <v>0</v>
      </c>
      <c r="CL195" s="677">
        <f t="shared" si="203"/>
        <v>0</v>
      </c>
      <c r="CM195" s="677">
        <f t="shared" si="245"/>
        <v>0</v>
      </c>
      <c r="CN195" s="678">
        <f t="shared" si="246"/>
        <v>0</v>
      </c>
      <c r="CO195" s="679">
        <f t="shared" si="247"/>
        <v>0</v>
      </c>
      <c r="CP195" s="675"/>
      <c r="CQ195" s="676">
        <f t="shared" si="204"/>
        <v>0</v>
      </c>
      <c r="CR195" s="677">
        <f t="shared" si="205"/>
        <v>0</v>
      </c>
      <c r="CS195" s="677">
        <f t="shared" si="248"/>
        <v>0</v>
      </c>
      <c r="CT195" s="678">
        <f t="shared" si="249"/>
        <v>0</v>
      </c>
      <c r="CU195" s="679">
        <f t="shared" si="250"/>
        <v>0</v>
      </c>
      <c r="CV195" s="685"/>
      <c r="CW195" s="681"/>
      <c r="CX195" s="682"/>
      <c r="CY195" s="682"/>
      <c r="CZ195" s="683"/>
      <c r="DA195" s="684"/>
      <c r="DB195" s="685"/>
      <c r="DC195" s="681"/>
      <c r="DD195" s="682"/>
      <c r="DE195" s="682"/>
      <c r="DF195" s="683"/>
      <c r="DG195" s="684"/>
      <c r="DH195" s="685"/>
      <c r="DI195" s="681"/>
      <c r="DJ195" s="682"/>
      <c r="DK195" s="682"/>
      <c r="DL195" s="683"/>
      <c r="DM195" s="684"/>
      <c r="DN195" s="685"/>
      <c r="DO195" s="681"/>
      <c r="DP195" s="682"/>
      <c r="DQ195" s="682"/>
      <c r="DR195" s="683"/>
      <c r="DS195" s="684"/>
      <c r="DT195" s="675"/>
      <c r="DU195" s="676">
        <f t="shared" si="206"/>
        <v>0</v>
      </c>
      <c r="DV195" s="677">
        <f t="shared" si="207"/>
        <v>0</v>
      </c>
      <c r="DW195" s="677">
        <f t="shared" si="251"/>
        <v>0</v>
      </c>
      <c r="DX195" s="678">
        <f t="shared" si="252"/>
        <v>0</v>
      </c>
      <c r="DY195" s="679">
        <f t="shared" si="253"/>
        <v>0</v>
      </c>
      <c r="DZ195" s="680"/>
      <c r="EA195" s="681"/>
      <c r="EB195" s="682"/>
      <c r="EC195" s="682"/>
      <c r="ED195" s="683"/>
      <c r="EE195" s="684"/>
      <c r="EF195" s="680"/>
      <c r="EG195" s="681"/>
      <c r="EH195" s="682"/>
      <c r="EI195" s="682"/>
      <c r="EJ195" s="683"/>
      <c r="EK195" s="684"/>
      <c r="EL195" s="680"/>
      <c r="EM195" s="681"/>
      <c r="EN195" s="682"/>
      <c r="EO195" s="682"/>
      <c r="EP195" s="683"/>
      <c r="EQ195" s="684"/>
      <c r="ER195" s="680"/>
      <c r="ES195" s="681"/>
      <c r="ET195" s="682"/>
      <c r="EU195" s="682"/>
      <c r="EV195" s="683"/>
      <c r="EW195" s="684"/>
      <c r="EX195" s="675"/>
      <c r="EY195" s="676">
        <f t="shared" si="208"/>
        <v>0</v>
      </c>
      <c r="EZ195" s="677">
        <f t="shared" si="209"/>
        <v>0</v>
      </c>
      <c r="FA195" s="677">
        <f t="shared" si="254"/>
        <v>0</v>
      </c>
      <c r="FB195" s="678">
        <f t="shared" si="255"/>
        <v>0</v>
      </c>
      <c r="FC195" s="679">
        <f t="shared" si="256"/>
        <v>0</v>
      </c>
      <c r="FD195" s="680"/>
      <c r="FE195" s="681"/>
      <c r="FF195" s="682"/>
      <c r="FG195" s="682"/>
      <c r="FH195" s="683"/>
      <c r="FI195" s="684"/>
      <c r="FJ195" s="680"/>
      <c r="FK195" s="681"/>
      <c r="FL195" s="682"/>
      <c r="FM195" s="682"/>
      <c r="FN195" s="683"/>
      <c r="FO195" s="684"/>
      <c r="FP195" s="680"/>
      <c r="FQ195" s="681"/>
      <c r="FR195" s="682"/>
      <c r="FS195" s="682"/>
      <c r="FT195" s="683"/>
      <c r="FU195" s="684"/>
      <c r="FV195" s="680"/>
      <c r="FW195" s="681"/>
      <c r="FX195" s="682"/>
      <c r="FY195" s="682"/>
      <c r="FZ195" s="683"/>
      <c r="GA195" s="684"/>
      <c r="GB195" s="675"/>
      <c r="GC195" s="676">
        <f t="shared" si="210"/>
        <v>0</v>
      </c>
      <c r="GD195" s="677">
        <f t="shared" si="211"/>
        <v>0</v>
      </c>
      <c r="GE195" s="677">
        <f t="shared" si="257"/>
        <v>0</v>
      </c>
      <c r="GF195" s="678">
        <f t="shared" si="258"/>
        <v>0</v>
      </c>
      <c r="GG195" s="679">
        <f t="shared" si="259"/>
        <v>0</v>
      </c>
      <c r="GH195" s="680"/>
      <c r="GI195" s="681"/>
      <c r="GJ195" s="682"/>
      <c r="GK195" s="682"/>
      <c r="GL195" s="683"/>
      <c r="GM195" s="684"/>
      <c r="GN195" s="680"/>
      <c r="GO195" s="681"/>
      <c r="GP195" s="682"/>
      <c r="GQ195" s="682"/>
      <c r="GR195" s="683"/>
      <c r="GS195" s="684"/>
      <c r="GT195" s="680"/>
      <c r="GU195" s="681"/>
      <c r="GV195" s="682"/>
      <c r="GW195" s="682"/>
      <c r="GX195" s="683"/>
      <c r="GY195" s="684"/>
      <c r="GZ195" s="680"/>
      <c r="HA195" s="147"/>
      <c r="HB195" s="148"/>
      <c r="HC195" s="148"/>
      <c r="HD195" s="149"/>
      <c r="HE195" s="150"/>
      <c r="HF195" s="506"/>
      <c r="HG195" s="502"/>
      <c r="HH195" s="502"/>
      <c r="HI195" s="502"/>
      <c r="HJ195" s="8"/>
    </row>
    <row r="196" spans="2:218" ht="21" hidden="1">
      <c r="B196" s="488">
        <v>152</v>
      </c>
      <c r="C196" s="489" t="s">
        <v>351</v>
      </c>
      <c r="D196" s="490" t="s">
        <v>354</v>
      </c>
      <c r="E196" s="491" t="s">
        <v>355</v>
      </c>
      <c r="F196" s="492"/>
      <c r="G196" s="493"/>
      <c r="H196" s="146" t="s">
        <v>97</v>
      </c>
      <c r="I196" s="494" t="str">
        <f t="shared" si="177"/>
        <v>n.v.t.</v>
      </c>
      <c r="J196" s="495"/>
      <c r="K196" s="151">
        <v>0</v>
      </c>
      <c r="L196" s="256"/>
      <c r="M196" s="256">
        <f>IF($C$5&lt;3000,(Bron!H185*$C$5)+Bron!I185,(Bron!M185*$C$5)+Bron!N185)</f>
        <v>0</v>
      </c>
      <c r="N196" s="496">
        <f t="shared" si="260"/>
        <v>0</v>
      </c>
      <c r="O196" s="497" t="str">
        <f t="shared" si="261"/>
        <v/>
      </c>
      <c r="P196" s="257">
        <f>IF($C$5&lt;3000,$AN$32*Bron!J185,$AN$32*Bron!O185)</f>
        <v>0</v>
      </c>
      <c r="Q196" s="257">
        <f>IF($C$5&lt;3000,$AN$31*Bron!K185,$AN$31*Bron!P185)</f>
        <v>0</v>
      </c>
      <c r="R196" s="257">
        <f>IF($C$5&lt;3000,$AN$33*Bron!J185,$AN$33*Bron!O185)</f>
        <v>0</v>
      </c>
      <c r="S196" s="344"/>
      <c r="T196" s="258">
        <f t="shared" si="178"/>
        <v>0</v>
      </c>
      <c r="U196" s="259">
        <f t="shared" si="179"/>
        <v>0</v>
      </c>
      <c r="V196" s="675"/>
      <c r="W196" s="676">
        <f t="shared" si="180"/>
        <v>0</v>
      </c>
      <c r="X196" s="677">
        <f t="shared" si="181"/>
        <v>0</v>
      </c>
      <c r="Y196" s="677">
        <f t="shared" si="212"/>
        <v>0</v>
      </c>
      <c r="Z196" s="678">
        <f t="shared" si="213"/>
        <v>0</v>
      </c>
      <c r="AA196" s="679">
        <f t="shared" si="214"/>
        <v>0</v>
      </c>
      <c r="AB196" s="675"/>
      <c r="AC196" s="676">
        <f t="shared" si="182"/>
        <v>0</v>
      </c>
      <c r="AD196" s="677">
        <f t="shared" si="183"/>
        <v>0</v>
      </c>
      <c r="AE196" s="677">
        <f t="shared" si="215"/>
        <v>0</v>
      </c>
      <c r="AF196" s="678">
        <f t="shared" si="216"/>
        <v>0</v>
      </c>
      <c r="AG196" s="679">
        <f t="shared" si="217"/>
        <v>0</v>
      </c>
      <c r="AH196" s="675"/>
      <c r="AI196" s="676">
        <f t="shared" si="184"/>
        <v>0</v>
      </c>
      <c r="AJ196" s="677">
        <f t="shared" si="185"/>
        <v>0</v>
      </c>
      <c r="AK196" s="677">
        <f t="shared" si="218"/>
        <v>0</v>
      </c>
      <c r="AL196" s="678">
        <f t="shared" si="219"/>
        <v>0</v>
      </c>
      <c r="AM196" s="679">
        <f t="shared" si="220"/>
        <v>0</v>
      </c>
      <c r="AN196" s="675"/>
      <c r="AO196" s="676">
        <f t="shared" si="186"/>
        <v>0</v>
      </c>
      <c r="AP196" s="677">
        <f t="shared" si="187"/>
        <v>0</v>
      </c>
      <c r="AQ196" s="677">
        <f t="shared" si="221"/>
        <v>0</v>
      </c>
      <c r="AR196" s="678">
        <f t="shared" si="222"/>
        <v>0</v>
      </c>
      <c r="AS196" s="679">
        <f t="shared" si="223"/>
        <v>0</v>
      </c>
      <c r="AT196" s="675"/>
      <c r="AU196" s="676">
        <f t="shared" si="188"/>
        <v>0</v>
      </c>
      <c r="AV196" s="677">
        <f t="shared" si="189"/>
        <v>0</v>
      </c>
      <c r="AW196" s="677">
        <f t="shared" si="224"/>
        <v>0</v>
      </c>
      <c r="AX196" s="678">
        <f t="shared" si="225"/>
        <v>0</v>
      </c>
      <c r="AY196" s="679">
        <f t="shared" si="226"/>
        <v>0</v>
      </c>
      <c r="AZ196" s="675"/>
      <c r="BA196" s="676">
        <f t="shared" si="190"/>
        <v>0</v>
      </c>
      <c r="BB196" s="677">
        <f t="shared" si="191"/>
        <v>0</v>
      </c>
      <c r="BC196" s="677">
        <f t="shared" si="227"/>
        <v>0</v>
      </c>
      <c r="BD196" s="678">
        <f t="shared" si="228"/>
        <v>0</v>
      </c>
      <c r="BE196" s="679">
        <f t="shared" si="229"/>
        <v>0</v>
      </c>
      <c r="BF196" s="675"/>
      <c r="BG196" s="676">
        <f t="shared" si="192"/>
        <v>0</v>
      </c>
      <c r="BH196" s="677">
        <f t="shared" si="193"/>
        <v>0</v>
      </c>
      <c r="BI196" s="677">
        <f t="shared" si="230"/>
        <v>0</v>
      </c>
      <c r="BJ196" s="678">
        <f t="shared" si="231"/>
        <v>0</v>
      </c>
      <c r="BK196" s="679">
        <f t="shared" si="232"/>
        <v>0</v>
      </c>
      <c r="BL196" s="675"/>
      <c r="BM196" s="676">
        <f t="shared" si="194"/>
        <v>0</v>
      </c>
      <c r="BN196" s="677">
        <f t="shared" si="195"/>
        <v>0</v>
      </c>
      <c r="BO196" s="677">
        <f t="shared" si="233"/>
        <v>0</v>
      </c>
      <c r="BP196" s="678">
        <f t="shared" si="234"/>
        <v>0</v>
      </c>
      <c r="BQ196" s="679">
        <f t="shared" si="235"/>
        <v>0</v>
      </c>
      <c r="BR196" s="675"/>
      <c r="BS196" s="676">
        <f t="shared" si="196"/>
        <v>0</v>
      </c>
      <c r="BT196" s="677">
        <f t="shared" si="197"/>
        <v>0</v>
      </c>
      <c r="BU196" s="677">
        <f t="shared" si="236"/>
        <v>0</v>
      </c>
      <c r="BV196" s="678">
        <f t="shared" si="237"/>
        <v>0</v>
      </c>
      <c r="BW196" s="679">
        <f t="shared" si="238"/>
        <v>0</v>
      </c>
      <c r="BX196" s="675"/>
      <c r="BY196" s="676">
        <f t="shared" si="198"/>
        <v>0</v>
      </c>
      <c r="BZ196" s="677">
        <f t="shared" si="199"/>
        <v>0</v>
      </c>
      <c r="CA196" s="677">
        <f t="shared" si="239"/>
        <v>0</v>
      </c>
      <c r="CB196" s="678">
        <f t="shared" si="240"/>
        <v>0</v>
      </c>
      <c r="CC196" s="679">
        <f t="shared" si="241"/>
        <v>0</v>
      </c>
      <c r="CD196" s="675"/>
      <c r="CE196" s="676">
        <f t="shared" si="200"/>
        <v>0</v>
      </c>
      <c r="CF196" s="677">
        <f t="shared" si="201"/>
        <v>0</v>
      </c>
      <c r="CG196" s="677">
        <f t="shared" si="242"/>
        <v>0</v>
      </c>
      <c r="CH196" s="678">
        <f t="shared" si="243"/>
        <v>0</v>
      </c>
      <c r="CI196" s="679">
        <f t="shared" si="244"/>
        <v>0</v>
      </c>
      <c r="CJ196" s="675"/>
      <c r="CK196" s="676">
        <f t="shared" si="202"/>
        <v>0</v>
      </c>
      <c r="CL196" s="677">
        <f t="shared" si="203"/>
        <v>0</v>
      </c>
      <c r="CM196" s="677">
        <f t="shared" si="245"/>
        <v>0</v>
      </c>
      <c r="CN196" s="678">
        <f t="shared" si="246"/>
        <v>0</v>
      </c>
      <c r="CO196" s="679">
        <f t="shared" si="247"/>
        <v>0</v>
      </c>
      <c r="CP196" s="675"/>
      <c r="CQ196" s="676">
        <f t="shared" si="204"/>
        <v>0</v>
      </c>
      <c r="CR196" s="677">
        <f t="shared" si="205"/>
        <v>0</v>
      </c>
      <c r="CS196" s="677">
        <f t="shared" si="248"/>
        <v>0</v>
      </c>
      <c r="CT196" s="678">
        <f t="shared" si="249"/>
        <v>0</v>
      </c>
      <c r="CU196" s="679">
        <f t="shared" si="250"/>
        <v>0</v>
      </c>
      <c r="CV196" s="685"/>
      <c r="CW196" s="681"/>
      <c r="CX196" s="682"/>
      <c r="CY196" s="682"/>
      <c r="CZ196" s="683"/>
      <c r="DA196" s="684"/>
      <c r="DB196" s="685"/>
      <c r="DC196" s="681"/>
      <c r="DD196" s="682"/>
      <c r="DE196" s="682"/>
      <c r="DF196" s="683"/>
      <c r="DG196" s="684"/>
      <c r="DH196" s="685"/>
      <c r="DI196" s="681"/>
      <c r="DJ196" s="682"/>
      <c r="DK196" s="682"/>
      <c r="DL196" s="683"/>
      <c r="DM196" s="684"/>
      <c r="DN196" s="685"/>
      <c r="DO196" s="681"/>
      <c r="DP196" s="682"/>
      <c r="DQ196" s="682"/>
      <c r="DR196" s="683"/>
      <c r="DS196" s="684"/>
      <c r="DT196" s="675"/>
      <c r="DU196" s="676">
        <f t="shared" si="206"/>
        <v>0</v>
      </c>
      <c r="DV196" s="677">
        <f t="shared" si="207"/>
        <v>0</v>
      </c>
      <c r="DW196" s="677">
        <f t="shared" si="251"/>
        <v>0</v>
      </c>
      <c r="DX196" s="678">
        <f t="shared" si="252"/>
        <v>0</v>
      </c>
      <c r="DY196" s="679">
        <f t="shared" si="253"/>
        <v>0</v>
      </c>
      <c r="DZ196" s="680"/>
      <c r="EA196" s="681"/>
      <c r="EB196" s="682"/>
      <c r="EC196" s="682"/>
      <c r="ED196" s="683"/>
      <c r="EE196" s="684"/>
      <c r="EF196" s="680"/>
      <c r="EG196" s="681"/>
      <c r="EH196" s="682"/>
      <c r="EI196" s="682"/>
      <c r="EJ196" s="683"/>
      <c r="EK196" s="684"/>
      <c r="EL196" s="680"/>
      <c r="EM196" s="681"/>
      <c r="EN196" s="682"/>
      <c r="EO196" s="682"/>
      <c r="EP196" s="683"/>
      <c r="EQ196" s="684"/>
      <c r="ER196" s="680"/>
      <c r="ES196" s="681"/>
      <c r="ET196" s="682"/>
      <c r="EU196" s="682"/>
      <c r="EV196" s="683"/>
      <c r="EW196" s="684"/>
      <c r="EX196" s="675"/>
      <c r="EY196" s="676">
        <f t="shared" si="208"/>
        <v>0</v>
      </c>
      <c r="EZ196" s="677">
        <f t="shared" si="209"/>
        <v>0</v>
      </c>
      <c r="FA196" s="677">
        <f t="shared" si="254"/>
        <v>0</v>
      </c>
      <c r="FB196" s="678">
        <f t="shared" si="255"/>
        <v>0</v>
      </c>
      <c r="FC196" s="679">
        <f t="shared" si="256"/>
        <v>0</v>
      </c>
      <c r="FD196" s="680"/>
      <c r="FE196" s="681"/>
      <c r="FF196" s="682"/>
      <c r="FG196" s="682"/>
      <c r="FH196" s="683"/>
      <c r="FI196" s="684"/>
      <c r="FJ196" s="680"/>
      <c r="FK196" s="681"/>
      <c r="FL196" s="682"/>
      <c r="FM196" s="682"/>
      <c r="FN196" s="683"/>
      <c r="FO196" s="684"/>
      <c r="FP196" s="680"/>
      <c r="FQ196" s="681"/>
      <c r="FR196" s="682"/>
      <c r="FS196" s="682"/>
      <c r="FT196" s="683"/>
      <c r="FU196" s="684"/>
      <c r="FV196" s="680"/>
      <c r="FW196" s="681"/>
      <c r="FX196" s="682"/>
      <c r="FY196" s="682"/>
      <c r="FZ196" s="683"/>
      <c r="GA196" s="684"/>
      <c r="GB196" s="675"/>
      <c r="GC196" s="676">
        <f t="shared" si="210"/>
        <v>0</v>
      </c>
      <c r="GD196" s="677">
        <f t="shared" si="211"/>
        <v>0</v>
      </c>
      <c r="GE196" s="677">
        <f t="shared" si="257"/>
        <v>0</v>
      </c>
      <c r="GF196" s="678">
        <f t="shared" si="258"/>
        <v>0</v>
      </c>
      <c r="GG196" s="679">
        <f t="shared" si="259"/>
        <v>0</v>
      </c>
      <c r="GH196" s="680"/>
      <c r="GI196" s="681"/>
      <c r="GJ196" s="682"/>
      <c r="GK196" s="682"/>
      <c r="GL196" s="683"/>
      <c r="GM196" s="684"/>
      <c r="GN196" s="680"/>
      <c r="GO196" s="681"/>
      <c r="GP196" s="682"/>
      <c r="GQ196" s="682"/>
      <c r="GR196" s="683"/>
      <c r="GS196" s="684"/>
      <c r="GT196" s="680"/>
      <c r="GU196" s="681"/>
      <c r="GV196" s="682"/>
      <c r="GW196" s="682"/>
      <c r="GX196" s="683"/>
      <c r="GY196" s="684"/>
      <c r="GZ196" s="680"/>
      <c r="HA196" s="147"/>
      <c r="HB196" s="148"/>
      <c r="HC196" s="148"/>
      <c r="HD196" s="149"/>
      <c r="HE196" s="150"/>
      <c r="HF196" s="506"/>
      <c r="HG196" s="502"/>
      <c r="HH196" s="502"/>
      <c r="HI196" s="502"/>
      <c r="HJ196" s="8"/>
    </row>
    <row r="197" spans="2:218" ht="21" hidden="1">
      <c r="B197" s="488">
        <v>153</v>
      </c>
      <c r="C197" s="489" t="s">
        <v>351</v>
      </c>
      <c r="D197" s="490" t="s">
        <v>356</v>
      </c>
      <c r="E197" s="491" t="s">
        <v>357</v>
      </c>
      <c r="F197" s="492"/>
      <c r="G197" s="493"/>
      <c r="H197" s="146" t="s">
        <v>97</v>
      </c>
      <c r="I197" s="494" t="str">
        <f t="shared" si="177"/>
        <v>n.v.t.</v>
      </c>
      <c r="J197" s="495"/>
      <c r="K197" s="151">
        <v>0</v>
      </c>
      <c r="L197" s="256"/>
      <c r="M197" s="256">
        <f>IF($C$5&lt;3000,(Bron!H186*$C$5)+Bron!I186,(Bron!M186*$C$5)+Bron!N186)</f>
        <v>0</v>
      </c>
      <c r="N197" s="496">
        <f t="shared" si="260"/>
        <v>0</v>
      </c>
      <c r="O197" s="497" t="str">
        <f t="shared" si="261"/>
        <v/>
      </c>
      <c r="P197" s="257">
        <f>IF($C$5&lt;3000,$AN$32*Bron!J186,$AN$32*Bron!O186)</f>
        <v>0</v>
      </c>
      <c r="Q197" s="257">
        <f>IF($C$5&lt;3000,$AN$31*Bron!K186,$AN$31*Bron!P186)</f>
        <v>0</v>
      </c>
      <c r="R197" s="257">
        <f>IF($C$5&lt;3000,$AN$33*Bron!J186,$AN$33*Bron!O186)</f>
        <v>0</v>
      </c>
      <c r="S197" s="344"/>
      <c r="T197" s="258">
        <f t="shared" si="178"/>
        <v>0</v>
      </c>
      <c r="U197" s="259">
        <f t="shared" si="179"/>
        <v>0</v>
      </c>
      <c r="V197" s="675"/>
      <c r="W197" s="676">
        <f t="shared" si="180"/>
        <v>0</v>
      </c>
      <c r="X197" s="677">
        <f t="shared" si="181"/>
        <v>0</v>
      </c>
      <c r="Y197" s="677">
        <f t="shared" si="212"/>
        <v>0</v>
      </c>
      <c r="Z197" s="678">
        <f t="shared" si="213"/>
        <v>0</v>
      </c>
      <c r="AA197" s="679">
        <f t="shared" si="214"/>
        <v>0</v>
      </c>
      <c r="AB197" s="675"/>
      <c r="AC197" s="676">
        <f t="shared" si="182"/>
        <v>0</v>
      </c>
      <c r="AD197" s="677">
        <f t="shared" si="183"/>
        <v>0</v>
      </c>
      <c r="AE197" s="677">
        <f t="shared" si="215"/>
        <v>0</v>
      </c>
      <c r="AF197" s="678">
        <f t="shared" si="216"/>
        <v>0</v>
      </c>
      <c r="AG197" s="679">
        <f t="shared" si="217"/>
        <v>0</v>
      </c>
      <c r="AH197" s="675"/>
      <c r="AI197" s="676">
        <f t="shared" si="184"/>
        <v>0</v>
      </c>
      <c r="AJ197" s="677">
        <f t="shared" si="185"/>
        <v>0</v>
      </c>
      <c r="AK197" s="677">
        <f t="shared" si="218"/>
        <v>0</v>
      </c>
      <c r="AL197" s="678">
        <f t="shared" si="219"/>
        <v>0</v>
      </c>
      <c r="AM197" s="679">
        <f t="shared" si="220"/>
        <v>0</v>
      </c>
      <c r="AN197" s="675"/>
      <c r="AO197" s="676">
        <f t="shared" si="186"/>
        <v>0</v>
      </c>
      <c r="AP197" s="677">
        <f t="shared" si="187"/>
        <v>0</v>
      </c>
      <c r="AQ197" s="677">
        <f t="shared" si="221"/>
        <v>0</v>
      </c>
      <c r="AR197" s="678">
        <f t="shared" si="222"/>
        <v>0</v>
      </c>
      <c r="AS197" s="679">
        <f t="shared" si="223"/>
        <v>0</v>
      </c>
      <c r="AT197" s="675"/>
      <c r="AU197" s="676">
        <f t="shared" si="188"/>
        <v>0</v>
      </c>
      <c r="AV197" s="677">
        <f t="shared" si="189"/>
        <v>0</v>
      </c>
      <c r="AW197" s="677">
        <f t="shared" si="224"/>
        <v>0</v>
      </c>
      <c r="AX197" s="678">
        <f t="shared" si="225"/>
        <v>0</v>
      </c>
      <c r="AY197" s="679">
        <f t="shared" si="226"/>
        <v>0</v>
      </c>
      <c r="AZ197" s="675"/>
      <c r="BA197" s="676">
        <f t="shared" si="190"/>
        <v>0</v>
      </c>
      <c r="BB197" s="677">
        <f t="shared" si="191"/>
        <v>0</v>
      </c>
      <c r="BC197" s="677">
        <f t="shared" si="227"/>
        <v>0</v>
      </c>
      <c r="BD197" s="678">
        <f t="shared" si="228"/>
        <v>0</v>
      </c>
      <c r="BE197" s="679">
        <f t="shared" si="229"/>
        <v>0</v>
      </c>
      <c r="BF197" s="675"/>
      <c r="BG197" s="676">
        <f t="shared" si="192"/>
        <v>0</v>
      </c>
      <c r="BH197" s="677">
        <f t="shared" si="193"/>
        <v>0</v>
      </c>
      <c r="BI197" s="677">
        <f t="shared" si="230"/>
        <v>0</v>
      </c>
      <c r="BJ197" s="678">
        <f t="shared" si="231"/>
        <v>0</v>
      </c>
      <c r="BK197" s="679">
        <f t="shared" si="232"/>
        <v>0</v>
      </c>
      <c r="BL197" s="675"/>
      <c r="BM197" s="676">
        <f t="shared" si="194"/>
        <v>0</v>
      </c>
      <c r="BN197" s="677">
        <f t="shared" si="195"/>
        <v>0</v>
      </c>
      <c r="BO197" s="677">
        <f t="shared" si="233"/>
        <v>0</v>
      </c>
      <c r="BP197" s="678">
        <f t="shared" si="234"/>
        <v>0</v>
      </c>
      <c r="BQ197" s="679">
        <f t="shared" si="235"/>
        <v>0</v>
      </c>
      <c r="BR197" s="675"/>
      <c r="BS197" s="676">
        <f t="shared" si="196"/>
        <v>0</v>
      </c>
      <c r="BT197" s="677">
        <f t="shared" si="197"/>
        <v>0</v>
      </c>
      <c r="BU197" s="677">
        <f t="shared" si="236"/>
        <v>0</v>
      </c>
      <c r="BV197" s="678">
        <f t="shared" si="237"/>
        <v>0</v>
      </c>
      <c r="BW197" s="679">
        <f t="shared" si="238"/>
        <v>0</v>
      </c>
      <c r="BX197" s="675"/>
      <c r="BY197" s="676">
        <f t="shared" si="198"/>
        <v>0</v>
      </c>
      <c r="BZ197" s="677">
        <f t="shared" si="199"/>
        <v>0</v>
      </c>
      <c r="CA197" s="677">
        <f t="shared" si="239"/>
        <v>0</v>
      </c>
      <c r="CB197" s="678">
        <f t="shared" si="240"/>
        <v>0</v>
      </c>
      <c r="CC197" s="679">
        <f t="shared" si="241"/>
        <v>0</v>
      </c>
      <c r="CD197" s="675"/>
      <c r="CE197" s="676">
        <f t="shared" si="200"/>
        <v>0</v>
      </c>
      <c r="CF197" s="677">
        <f t="shared" si="201"/>
        <v>0</v>
      </c>
      <c r="CG197" s="677">
        <f t="shared" si="242"/>
        <v>0</v>
      </c>
      <c r="CH197" s="678">
        <f t="shared" si="243"/>
        <v>0</v>
      </c>
      <c r="CI197" s="679">
        <f t="shared" si="244"/>
        <v>0</v>
      </c>
      <c r="CJ197" s="675"/>
      <c r="CK197" s="676">
        <f t="shared" si="202"/>
        <v>0</v>
      </c>
      <c r="CL197" s="677">
        <f t="shared" si="203"/>
        <v>0</v>
      </c>
      <c r="CM197" s="677">
        <f t="shared" si="245"/>
        <v>0</v>
      </c>
      <c r="CN197" s="678">
        <f t="shared" si="246"/>
        <v>0</v>
      </c>
      <c r="CO197" s="679">
        <f t="shared" si="247"/>
        <v>0</v>
      </c>
      <c r="CP197" s="675"/>
      <c r="CQ197" s="676">
        <f t="shared" si="204"/>
        <v>0</v>
      </c>
      <c r="CR197" s="677">
        <f t="shared" si="205"/>
        <v>0</v>
      </c>
      <c r="CS197" s="677">
        <f t="shared" si="248"/>
        <v>0</v>
      </c>
      <c r="CT197" s="678">
        <f t="shared" si="249"/>
        <v>0</v>
      </c>
      <c r="CU197" s="679">
        <f t="shared" si="250"/>
        <v>0</v>
      </c>
      <c r="CV197" s="685"/>
      <c r="CW197" s="681"/>
      <c r="CX197" s="682"/>
      <c r="CY197" s="682"/>
      <c r="CZ197" s="683"/>
      <c r="DA197" s="684"/>
      <c r="DB197" s="685"/>
      <c r="DC197" s="681"/>
      <c r="DD197" s="682"/>
      <c r="DE197" s="682"/>
      <c r="DF197" s="683"/>
      <c r="DG197" s="684"/>
      <c r="DH197" s="685"/>
      <c r="DI197" s="681"/>
      <c r="DJ197" s="682"/>
      <c r="DK197" s="682"/>
      <c r="DL197" s="683"/>
      <c r="DM197" s="684"/>
      <c r="DN197" s="685"/>
      <c r="DO197" s="681"/>
      <c r="DP197" s="682"/>
      <c r="DQ197" s="682"/>
      <c r="DR197" s="683"/>
      <c r="DS197" s="684"/>
      <c r="DT197" s="675"/>
      <c r="DU197" s="676">
        <f t="shared" si="206"/>
        <v>0</v>
      </c>
      <c r="DV197" s="677">
        <f t="shared" si="207"/>
        <v>0</v>
      </c>
      <c r="DW197" s="677">
        <f t="shared" si="251"/>
        <v>0</v>
      </c>
      <c r="DX197" s="678">
        <f t="shared" si="252"/>
        <v>0</v>
      </c>
      <c r="DY197" s="679">
        <f t="shared" si="253"/>
        <v>0</v>
      </c>
      <c r="DZ197" s="680"/>
      <c r="EA197" s="681"/>
      <c r="EB197" s="682"/>
      <c r="EC197" s="682"/>
      <c r="ED197" s="683"/>
      <c r="EE197" s="684"/>
      <c r="EF197" s="680"/>
      <c r="EG197" s="681"/>
      <c r="EH197" s="682"/>
      <c r="EI197" s="682"/>
      <c r="EJ197" s="683"/>
      <c r="EK197" s="684"/>
      <c r="EL197" s="680"/>
      <c r="EM197" s="681"/>
      <c r="EN197" s="682"/>
      <c r="EO197" s="682"/>
      <c r="EP197" s="683"/>
      <c r="EQ197" s="684"/>
      <c r="ER197" s="680"/>
      <c r="ES197" s="681"/>
      <c r="ET197" s="682"/>
      <c r="EU197" s="682"/>
      <c r="EV197" s="683"/>
      <c r="EW197" s="684"/>
      <c r="EX197" s="675"/>
      <c r="EY197" s="676">
        <f t="shared" si="208"/>
        <v>0</v>
      </c>
      <c r="EZ197" s="677">
        <f t="shared" si="209"/>
        <v>0</v>
      </c>
      <c r="FA197" s="677">
        <f t="shared" si="254"/>
        <v>0</v>
      </c>
      <c r="FB197" s="678">
        <f t="shared" si="255"/>
        <v>0</v>
      </c>
      <c r="FC197" s="679">
        <f t="shared" si="256"/>
        <v>0</v>
      </c>
      <c r="FD197" s="680"/>
      <c r="FE197" s="681"/>
      <c r="FF197" s="682"/>
      <c r="FG197" s="682"/>
      <c r="FH197" s="683"/>
      <c r="FI197" s="684"/>
      <c r="FJ197" s="680"/>
      <c r="FK197" s="681"/>
      <c r="FL197" s="682"/>
      <c r="FM197" s="682"/>
      <c r="FN197" s="683"/>
      <c r="FO197" s="684"/>
      <c r="FP197" s="680"/>
      <c r="FQ197" s="681"/>
      <c r="FR197" s="682"/>
      <c r="FS197" s="682"/>
      <c r="FT197" s="683"/>
      <c r="FU197" s="684"/>
      <c r="FV197" s="680"/>
      <c r="FW197" s="681"/>
      <c r="FX197" s="682"/>
      <c r="FY197" s="682"/>
      <c r="FZ197" s="683"/>
      <c r="GA197" s="684"/>
      <c r="GB197" s="675"/>
      <c r="GC197" s="676">
        <f t="shared" si="210"/>
        <v>0</v>
      </c>
      <c r="GD197" s="677">
        <f t="shared" si="211"/>
        <v>0</v>
      </c>
      <c r="GE197" s="677">
        <f t="shared" si="257"/>
        <v>0</v>
      </c>
      <c r="GF197" s="678">
        <f t="shared" si="258"/>
        <v>0</v>
      </c>
      <c r="GG197" s="679">
        <f t="shared" si="259"/>
        <v>0</v>
      </c>
      <c r="GH197" s="680"/>
      <c r="GI197" s="681"/>
      <c r="GJ197" s="682"/>
      <c r="GK197" s="682"/>
      <c r="GL197" s="683"/>
      <c r="GM197" s="684"/>
      <c r="GN197" s="680"/>
      <c r="GO197" s="681"/>
      <c r="GP197" s="682"/>
      <c r="GQ197" s="682"/>
      <c r="GR197" s="683"/>
      <c r="GS197" s="684"/>
      <c r="GT197" s="680"/>
      <c r="GU197" s="681"/>
      <c r="GV197" s="682"/>
      <c r="GW197" s="682"/>
      <c r="GX197" s="683"/>
      <c r="GY197" s="684"/>
      <c r="GZ197" s="680"/>
      <c r="HA197" s="147"/>
      <c r="HB197" s="148"/>
      <c r="HC197" s="148"/>
      <c r="HD197" s="149"/>
      <c r="HE197" s="150"/>
      <c r="HF197" s="506"/>
      <c r="HG197" s="502"/>
      <c r="HH197" s="502"/>
      <c r="HI197" s="502"/>
      <c r="HJ197" s="8"/>
    </row>
    <row r="198" spans="2:218" ht="21" hidden="1">
      <c r="B198" s="488">
        <v>154</v>
      </c>
      <c r="C198" s="489" t="s">
        <v>351</v>
      </c>
      <c r="D198" s="490" t="s">
        <v>358</v>
      </c>
      <c r="E198" s="491" t="s">
        <v>359</v>
      </c>
      <c r="F198" s="492"/>
      <c r="G198" s="493"/>
      <c r="H198" s="146" t="s">
        <v>97</v>
      </c>
      <c r="I198" s="494" t="str">
        <f t="shared" si="177"/>
        <v>n.v.t.</v>
      </c>
      <c r="J198" s="495"/>
      <c r="K198" s="151">
        <v>0</v>
      </c>
      <c r="L198" s="256"/>
      <c r="M198" s="256">
        <f>IF($C$5&lt;3000,(Bron!H187*$C$5)+Bron!I187,(Bron!M187*$C$5)+Bron!N187)</f>
        <v>0</v>
      </c>
      <c r="N198" s="496">
        <f t="shared" si="260"/>
        <v>0</v>
      </c>
      <c r="O198" s="497" t="str">
        <f t="shared" si="261"/>
        <v/>
      </c>
      <c r="P198" s="257">
        <f>IF($C$5&lt;3000,$AN$32*Bron!J187,$AN$32*Bron!O187)</f>
        <v>0</v>
      </c>
      <c r="Q198" s="257">
        <f>IF($C$5&lt;3000,$AN$31*Bron!K187,$AN$31*Bron!P187)</f>
        <v>0</v>
      </c>
      <c r="R198" s="257">
        <f>IF($C$5&lt;3000,$AN$33*Bron!J187,$AN$33*Bron!O187)</f>
        <v>0</v>
      </c>
      <c r="S198" s="344"/>
      <c r="T198" s="258">
        <f t="shared" si="178"/>
        <v>0</v>
      </c>
      <c r="U198" s="259">
        <f t="shared" si="179"/>
        <v>0</v>
      </c>
      <c r="V198" s="675"/>
      <c r="W198" s="676">
        <f t="shared" si="180"/>
        <v>0</v>
      </c>
      <c r="X198" s="677">
        <f t="shared" si="181"/>
        <v>0</v>
      </c>
      <c r="Y198" s="677">
        <f t="shared" si="212"/>
        <v>0</v>
      </c>
      <c r="Z198" s="678">
        <f t="shared" si="213"/>
        <v>0</v>
      </c>
      <c r="AA198" s="679">
        <f t="shared" si="214"/>
        <v>0</v>
      </c>
      <c r="AB198" s="675"/>
      <c r="AC198" s="676">
        <f t="shared" si="182"/>
        <v>0</v>
      </c>
      <c r="AD198" s="677">
        <f t="shared" si="183"/>
        <v>0</v>
      </c>
      <c r="AE198" s="677">
        <f t="shared" si="215"/>
        <v>0</v>
      </c>
      <c r="AF198" s="678">
        <f t="shared" si="216"/>
        <v>0</v>
      </c>
      <c r="AG198" s="679">
        <f t="shared" si="217"/>
        <v>0</v>
      </c>
      <c r="AH198" s="675"/>
      <c r="AI198" s="676">
        <f t="shared" si="184"/>
        <v>0</v>
      </c>
      <c r="AJ198" s="677">
        <f t="shared" si="185"/>
        <v>0</v>
      </c>
      <c r="AK198" s="677">
        <f t="shared" si="218"/>
        <v>0</v>
      </c>
      <c r="AL198" s="678">
        <f t="shared" si="219"/>
        <v>0</v>
      </c>
      <c r="AM198" s="679">
        <f t="shared" si="220"/>
        <v>0</v>
      </c>
      <c r="AN198" s="675"/>
      <c r="AO198" s="676">
        <f t="shared" si="186"/>
        <v>0</v>
      </c>
      <c r="AP198" s="677">
        <f t="shared" si="187"/>
        <v>0</v>
      </c>
      <c r="AQ198" s="677">
        <f t="shared" si="221"/>
        <v>0</v>
      </c>
      <c r="AR198" s="678">
        <f t="shared" si="222"/>
        <v>0</v>
      </c>
      <c r="AS198" s="679">
        <f t="shared" si="223"/>
        <v>0</v>
      </c>
      <c r="AT198" s="675"/>
      <c r="AU198" s="676">
        <f t="shared" si="188"/>
        <v>0</v>
      </c>
      <c r="AV198" s="677">
        <f t="shared" si="189"/>
        <v>0</v>
      </c>
      <c r="AW198" s="677">
        <f t="shared" si="224"/>
        <v>0</v>
      </c>
      <c r="AX198" s="678">
        <f t="shared" si="225"/>
        <v>0</v>
      </c>
      <c r="AY198" s="679">
        <f t="shared" si="226"/>
        <v>0</v>
      </c>
      <c r="AZ198" s="675"/>
      <c r="BA198" s="676">
        <f t="shared" si="190"/>
        <v>0</v>
      </c>
      <c r="BB198" s="677">
        <f t="shared" si="191"/>
        <v>0</v>
      </c>
      <c r="BC198" s="677">
        <f t="shared" si="227"/>
        <v>0</v>
      </c>
      <c r="BD198" s="678">
        <f t="shared" si="228"/>
        <v>0</v>
      </c>
      <c r="BE198" s="679">
        <f t="shared" si="229"/>
        <v>0</v>
      </c>
      <c r="BF198" s="675"/>
      <c r="BG198" s="676">
        <f t="shared" si="192"/>
        <v>0</v>
      </c>
      <c r="BH198" s="677">
        <f t="shared" si="193"/>
        <v>0</v>
      </c>
      <c r="BI198" s="677">
        <f t="shared" si="230"/>
        <v>0</v>
      </c>
      <c r="BJ198" s="678">
        <f t="shared" si="231"/>
        <v>0</v>
      </c>
      <c r="BK198" s="679">
        <f t="shared" si="232"/>
        <v>0</v>
      </c>
      <c r="BL198" s="675"/>
      <c r="BM198" s="676">
        <f t="shared" si="194"/>
        <v>0</v>
      </c>
      <c r="BN198" s="677">
        <f t="shared" si="195"/>
        <v>0</v>
      </c>
      <c r="BO198" s="677">
        <f t="shared" si="233"/>
        <v>0</v>
      </c>
      <c r="BP198" s="678">
        <f t="shared" si="234"/>
        <v>0</v>
      </c>
      <c r="BQ198" s="679">
        <f t="shared" si="235"/>
        <v>0</v>
      </c>
      <c r="BR198" s="675"/>
      <c r="BS198" s="676">
        <f t="shared" si="196"/>
        <v>0</v>
      </c>
      <c r="BT198" s="677">
        <f t="shared" si="197"/>
        <v>0</v>
      </c>
      <c r="BU198" s="677">
        <f t="shared" si="236"/>
        <v>0</v>
      </c>
      <c r="BV198" s="678">
        <f t="shared" si="237"/>
        <v>0</v>
      </c>
      <c r="BW198" s="679">
        <f t="shared" si="238"/>
        <v>0</v>
      </c>
      <c r="BX198" s="675"/>
      <c r="BY198" s="676">
        <f t="shared" si="198"/>
        <v>0</v>
      </c>
      <c r="BZ198" s="677">
        <f t="shared" si="199"/>
        <v>0</v>
      </c>
      <c r="CA198" s="677">
        <f t="shared" si="239"/>
        <v>0</v>
      </c>
      <c r="CB198" s="678">
        <f t="shared" si="240"/>
        <v>0</v>
      </c>
      <c r="CC198" s="679">
        <f t="shared" si="241"/>
        <v>0</v>
      </c>
      <c r="CD198" s="675"/>
      <c r="CE198" s="676">
        <f t="shared" si="200"/>
        <v>0</v>
      </c>
      <c r="CF198" s="677">
        <f t="shared" si="201"/>
        <v>0</v>
      </c>
      <c r="CG198" s="677">
        <f t="shared" si="242"/>
        <v>0</v>
      </c>
      <c r="CH198" s="678">
        <f t="shared" si="243"/>
        <v>0</v>
      </c>
      <c r="CI198" s="679">
        <f t="shared" si="244"/>
        <v>0</v>
      </c>
      <c r="CJ198" s="675"/>
      <c r="CK198" s="676">
        <f t="shared" si="202"/>
        <v>0</v>
      </c>
      <c r="CL198" s="677">
        <f t="shared" si="203"/>
        <v>0</v>
      </c>
      <c r="CM198" s="677">
        <f t="shared" si="245"/>
        <v>0</v>
      </c>
      <c r="CN198" s="678">
        <f t="shared" si="246"/>
        <v>0</v>
      </c>
      <c r="CO198" s="679">
        <f t="shared" si="247"/>
        <v>0</v>
      </c>
      <c r="CP198" s="675"/>
      <c r="CQ198" s="676">
        <f t="shared" si="204"/>
        <v>0</v>
      </c>
      <c r="CR198" s="677">
        <f t="shared" si="205"/>
        <v>0</v>
      </c>
      <c r="CS198" s="677">
        <f t="shared" si="248"/>
        <v>0</v>
      </c>
      <c r="CT198" s="678">
        <f t="shared" si="249"/>
        <v>0</v>
      </c>
      <c r="CU198" s="679">
        <f t="shared" si="250"/>
        <v>0</v>
      </c>
      <c r="CV198" s="685"/>
      <c r="CW198" s="681"/>
      <c r="CX198" s="682"/>
      <c r="CY198" s="682"/>
      <c r="CZ198" s="683"/>
      <c r="DA198" s="684"/>
      <c r="DB198" s="685"/>
      <c r="DC198" s="681"/>
      <c r="DD198" s="682"/>
      <c r="DE198" s="682"/>
      <c r="DF198" s="683"/>
      <c r="DG198" s="684"/>
      <c r="DH198" s="685"/>
      <c r="DI198" s="681"/>
      <c r="DJ198" s="682"/>
      <c r="DK198" s="682"/>
      <c r="DL198" s="683"/>
      <c r="DM198" s="684"/>
      <c r="DN198" s="685"/>
      <c r="DO198" s="681"/>
      <c r="DP198" s="682"/>
      <c r="DQ198" s="682"/>
      <c r="DR198" s="683"/>
      <c r="DS198" s="684"/>
      <c r="DT198" s="675"/>
      <c r="DU198" s="676">
        <f t="shared" si="206"/>
        <v>0</v>
      </c>
      <c r="DV198" s="677">
        <f t="shared" si="207"/>
        <v>0</v>
      </c>
      <c r="DW198" s="677">
        <f t="shared" si="251"/>
        <v>0</v>
      </c>
      <c r="DX198" s="678">
        <f t="shared" si="252"/>
        <v>0</v>
      </c>
      <c r="DY198" s="679">
        <f t="shared" si="253"/>
        <v>0</v>
      </c>
      <c r="DZ198" s="680"/>
      <c r="EA198" s="681"/>
      <c r="EB198" s="682"/>
      <c r="EC198" s="682"/>
      <c r="ED198" s="683"/>
      <c r="EE198" s="684"/>
      <c r="EF198" s="680"/>
      <c r="EG198" s="681"/>
      <c r="EH198" s="682"/>
      <c r="EI198" s="682"/>
      <c r="EJ198" s="683"/>
      <c r="EK198" s="684"/>
      <c r="EL198" s="680"/>
      <c r="EM198" s="681"/>
      <c r="EN198" s="682"/>
      <c r="EO198" s="682"/>
      <c r="EP198" s="683"/>
      <c r="EQ198" s="684"/>
      <c r="ER198" s="680"/>
      <c r="ES198" s="681"/>
      <c r="ET198" s="682"/>
      <c r="EU198" s="682"/>
      <c r="EV198" s="683"/>
      <c r="EW198" s="684"/>
      <c r="EX198" s="675"/>
      <c r="EY198" s="676">
        <f t="shared" si="208"/>
        <v>0</v>
      </c>
      <c r="EZ198" s="677">
        <f t="shared" si="209"/>
        <v>0</v>
      </c>
      <c r="FA198" s="677">
        <f t="shared" si="254"/>
        <v>0</v>
      </c>
      <c r="FB198" s="678">
        <f t="shared" si="255"/>
        <v>0</v>
      </c>
      <c r="FC198" s="679">
        <f t="shared" si="256"/>
        <v>0</v>
      </c>
      <c r="FD198" s="680"/>
      <c r="FE198" s="681"/>
      <c r="FF198" s="682"/>
      <c r="FG198" s="682"/>
      <c r="FH198" s="683"/>
      <c r="FI198" s="684"/>
      <c r="FJ198" s="680"/>
      <c r="FK198" s="681"/>
      <c r="FL198" s="682"/>
      <c r="FM198" s="682"/>
      <c r="FN198" s="683"/>
      <c r="FO198" s="684"/>
      <c r="FP198" s="680"/>
      <c r="FQ198" s="681"/>
      <c r="FR198" s="682"/>
      <c r="FS198" s="682"/>
      <c r="FT198" s="683"/>
      <c r="FU198" s="684"/>
      <c r="FV198" s="680"/>
      <c r="FW198" s="681"/>
      <c r="FX198" s="682"/>
      <c r="FY198" s="682"/>
      <c r="FZ198" s="683"/>
      <c r="GA198" s="684"/>
      <c r="GB198" s="675"/>
      <c r="GC198" s="676">
        <f t="shared" si="210"/>
        <v>0</v>
      </c>
      <c r="GD198" s="677">
        <f t="shared" si="211"/>
        <v>0</v>
      </c>
      <c r="GE198" s="677">
        <f t="shared" si="257"/>
        <v>0</v>
      </c>
      <c r="GF198" s="678">
        <f t="shared" si="258"/>
        <v>0</v>
      </c>
      <c r="GG198" s="679">
        <f t="shared" si="259"/>
        <v>0</v>
      </c>
      <c r="GH198" s="680"/>
      <c r="GI198" s="681"/>
      <c r="GJ198" s="682"/>
      <c r="GK198" s="682"/>
      <c r="GL198" s="683"/>
      <c r="GM198" s="684"/>
      <c r="GN198" s="680"/>
      <c r="GO198" s="681"/>
      <c r="GP198" s="682"/>
      <c r="GQ198" s="682"/>
      <c r="GR198" s="683"/>
      <c r="GS198" s="684"/>
      <c r="GT198" s="680"/>
      <c r="GU198" s="681"/>
      <c r="GV198" s="682"/>
      <c r="GW198" s="682"/>
      <c r="GX198" s="683"/>
      <c r="GY198" s="684"/>
      <c r="GZ198" s="680"/>
      <c r="HA198" s="147"/>
      <c r="HB198" s="148"/>
      <c r="HC198" s="148"/>
      <c r="HD198" s="149"/>
      <c r="HE198" s="150"/>
      <c r="HF198" s="506"/>
      <c r="HG198" s="502"/>
      <c r="HH198" s="502"/>
      <c r="HI198" s="502"/>
      <c r="HJ198" s="8"/>
    </row>
    <row r="199" spans="2:218" ht="21" hidden="1">
      <c r="B199" s="488">
        <v>155</v>
      </c>
      <c r="C199" s="489" t="s">
        <v>351</v>
      </c>
      <c r="D199" s="490" t="s">
        <v>360</v>
      </c>
      <c r="E199" s="491" t="s">
        <v>450</v>
      </c>
      <c r="F199" s="492"/>
      <c r="G199" s="493"/>
      <c r="H199" s="146" t="s">
        <v>97</v>
      </c>
      <c r="I199" s="494" t="str">
        <f t="shared" si="177"/>
        <v>n.v.t.</v>
      </c>
      <c r="J199" s="495"/>
      <c r="K199" s="151">
        <v>0</v>
      </c>
      <c r="L199" s="256"/>
      <c r="M199" s="256">
        <f>IF($C$5&lt;3000,(Bron!H188*$C$5)+Bron!I188,(Bron!M188*$C$5)+Bron!N188)</f>
        <v>0</v>
      </c>
      <c r="N199" s="496">
        <f t="shared" si="260"/>
        <v>0</v>
      </c>
      <c r="O199" s="497" t="str">
        <f t="shared" si="261"/>
        <v/>
      </c>
      <c r="P199" s="257">
        <f>IF($C$5&lt;3000,$AN$32*Bron!J188,$AN$32*Bron!O188)</f>
        <v>0</v>
      </c>
      <c r="Q199" s="257">
        <f>IF($C$5&lt;3000,$AN$31*Bron!K188,$AN$31*Bron!P188)</f>
        <v>0</v>
      </c>
      <c r="R199" s="257">
        <f>IF($C$5&lt;3000,$AN$33*Bron!J188,$AN$33*Bron!O188)</f>
        <v>0</v>
      </c>
      <c r="S199" s="344"/>
      <c r="T199" s="258">
        <f t="shared" si="178"/>
        <v>0</v>
      </c>
      <c r="U199" s="259">
        <f t="shared" si="179"/>
        <v>0</v>
      </c>
      <c r="V199" s="675"/>
      <c r="W199" s="676">
        <f t="shared" si="180"/>
        <v>0</v>
      </c>
      <c r="X199" s="677">
        <f t="shared" si="181"/>
        <v>0</v>
      </c>
      <c r="Y199" s="677">
        <f t="shared" si="212"/>
        <v>0</v>
      </c>
      <c r="Z199" s="678">
        <f t="shared" si="213"/>
        <v>0</v>
      </c>
      <c r="AA199" s="679">
        <f t="shared" si="214"/>
        <v>0</v>
      </c>
      <c r="AB199" s="675"/>
      <c r="AC199" s="676">
        <f t="shared" si="182"/>
        <v>0</v>
      </c>
      <c r="AD199" s="677">
        <f t="shared" si="183"/>
        <v>0</v>
      </c>
      <c r="AE199" s="677">
        <f t="shared" si="215"/>
        <v>0</v>
      </c>
      <c r="AF199" s="678">
        <f t="shared" si="216"/>
        <v>0</v>
      </c>
      <c r="AG199" s="679">
        <f t="shared" si="217"/>
        <v>0</v>
      </c>
      <c r="AH199" s="675"/>
      <c r="AI199" s="676">
        <f t="shared" si="184"/>
        <v>0</v>
      </c>
      <c r="AJ199" s="677">
        <f t="shared" si="185"/>
        <v>0</v>
      </c>
      <c r="AK199" s="677">
        <f t="shared" si="218"/>
        <v>0</v>
      </c>
      <c r="AL199" s="678">
        <f t="shared" si="219"/>
        <v>0</v>
      </c>
      <c r="AM199" s="679">
        <f t="shared" si="220"/>
        <v>0</v>
      </c>
      <c r="AN199" s="675"/>
      <c r="AO199" s="676">
        <f t="shared" si="186"/>
        <v>0</v>
      </c>
      <c r="AP199" s="677">
        <f t="shared" si="187"/>
        <v>0</v>
      </c>
      <c r="AQ199" s="677">
        <f t="shared" si="221"/>
        <v>0</v>
      </c>
      <c r="AR199" s="678">
        <f t="shared" si="222"/>
        <v>0</v>
      </c>
      <c r="AS199" s="679">
        <f t="shared" si="223"/>
        <v>0</v>
      </c>
      <c r="AT199" s="675"/>
      <c r="AU199" s="676">
        <f t="shared" si="188"/>
        <v>0</v>
      </c>
      <c r="AV199" s="677">
        <f t="shared" si="189"/>
        <v>0</v>
      </c>
      <c r="AW199" s="677">
        <f t="shared" si="224"/>
        <v>0</v>
      </c>
      <c r="AX199" s="678">
        <f t="shared" si="225"/>
        <v>0</v>
      </c>
      <c r="AY199" s="679">
        <f t="shared" si="226"/>
        <v>0</v>
      </c>
      <c r="AZ199" s="675"/>
      <c r="BA199" s="676">
        <f t="shared" si="190"/>
        <v>0</v>
      </c>
      <c r="BB199" s="677">
        <f t="shared" si="191"/>
        <v>0</v>
      </c>
      <c r="BC199" s="677">
        <f t="shared" si="227"/>
        <v>0</v>
      </c>
      <c r="BD199" s="678">
        <f t="shared" si="228"/>
        <v>0</v>
      </c>
      <c r="BE199" s="679">
        <f t="shared" si="229"/>
        <v>0</v>
      </c>
      <c r="BF199" s="675"/>
      <c r="BG199" s="676">
        <f t="shared" si="192"/>
        <v>0</v>
      </c>
      <c r="BH199" s="677">
        <f t="shared" si="193"/>
        <v>0</v>
      </c>
      <c r="BI199" s="677">
        <f t="shared" si="230"/>
        <v>0</v>
      </c>
      <c r="BJ199" s="678">
        <f t="shared" si="231"/>
        <v>0</v>
      </c>
      <c r="BK199" s="679">
        <f t="shared" si="232"/>
        <v>0</v>
      </c>
      <c r="BL199" s="675"/>
      <c r="BM199" s="676">
        <f t="shared" si="194"/>
        <v>0</v>
      </c>
      <c r="BN199" s="677">
        <f t="shared" si="195"/>
        <v>0</v>
      </c>
      <c r="BO199" s="677">
        <f t="shared" si="233"/>
        <v>0</v>
      </c>
      <c r="BP199" s="678">
        <f t="shared" si="234"/>
        <v>0</v>
      </c>
      <c r="BQ199" s="679">
        <f t="shared" si="235"/>
        <v>0</v>
      </c>
      <c r="BR199" s="675"/>
      <c r="BS199" s="676">
        <f t="shared" si="196"/>
        <v>0</v>
      </c>
      <c r="BT199" s="677">
        <f t="shared" si="197"/>
        <v>0</v>
      </c>
      <c r="BU199" s="677">
        <f t="shared" si="236"/>
        <v>0</v>
      </c>
      <c r="BV199" s="678">
        <f t="shared" si="237"/>
        <v>0</v>
      </c>
      <c r="BW199" s="679">
        <f t="shared" si="238"/>
        <v>0</v>
      </c>
      <c r="BX199" s="675"/>
      <c r="BY199" s="676">
        <f t="shared" si="198"/>
        <v>0</v>
      </c>
      <c r="BZ199" s="677">
        <f t="shared" si="199"/>
        <v>0</v>
      </c>
      <c r="CA199" s="677">
        <f t="shared" si="239"/>
        <v>0</v>
      </c>
      <c r="CB199" s="678">
        <f t="shared" si="240"/>
        <v>0</v>
      </c>
      <c r="CC199" s="679">
        <f t="shared" si="241"/>
        <v>0</v>
      </c>
      <c r="CD199" s="675"/>
      <c r="CE199" s="676">
        <f t="shared" si="200"/>
        <v>0</v>
      </c>
      <c r="CF199" s="677">
        <f t="shared" si="201"/>
        <v>0</v>
      </c>
      <c r="CG199" s="677">
        <f t="shared" si="242"/>
        <v>0</v>
      </c>
      <c r="CH199" s="678">
        <f t="shared" si="243"/>
        <v>0</v>
      </c>
      <c r="CI199" s="679">
        <f t="shared" si="244"/>
        <v>0</v>
      </c>
      <c r="CJ199" s="675"/>
      <c r="CK199" s="676">
        <f t="shared" si="202"/>
        <v>0</v>
      </c>
      <c r="CL199" s="677">
        <f t="shared" si="203"/>
        <v>0</v>
      </c>
      <c r="CM199" s="677">
        <f t="shared" si="245"/>
        <v>0</v>
      </c>
      <c r="CN199" s="678">
        <f t="shared" si="246"/>
        <v>0</v>
      </c>
      <c r="CO199" s="679">
        <f t="shared" si="247"/>
        <v>0</v>
      </c>
      <c r="CP199" s="675"/>
      <c r="CQ199" s="676">
        <f t="shared" si="204"/>
        <v>0</v>
      </c>
      <c r="CR199" s="677">
        <f t="shared" si="205"/>
        <v>0</v>
      </c>
      <c r="CS199" s="677">
        <f t="shared" si="248"/>
        <v>0</v>
      </c>
      <c r="CT199" s="678">
        <f t="shared" si="249"/>
        <v>0</v>
      </c>
      <c r="CU199" s="679">
        <f t="shared" si="250"/>
        <v>0</v>
      </c>
      <c r="CV199" s="685"/>
      <c r="CW199" s="681"/>
      <c r="CX199" s="682"/>
      <c r="CY199" s="682"/>
      <c r="CZ199" s="683"/>
      <c r="DA199" s="684"/>
      <c r="DB199" s="685"/>
      <c r="DC199" s="681"/>
      <c r="DD199" s="682"/>
      <c r="DE199" s="682"/>
      <c r="DF199" s="683"/>
      <c r="DG199" s="684"/>
      <c r="DH199" s="685"/>
      <c r="DI199" s="681"/>
      <c r="DJ199" s="682"/>
      <c r="DK199" s="682"/>
      <c r="DL199" s="683"/>
      <c r="DM199" s="684"/>
      <c r="DN199" s="685"/>
      <c r="DO199" s="681"/>
      <c r="DP199" s="682"/>
      <c r="DQ199" s="682"/>
      <c r="DR199" s="683"/>
      <c r="DS199" s="684"/>
      <c r="DT199" s="675"/>
      <c r="DU199" s="676">
        <f t="shared" si="206"/>
        <v>0</v>
      </c>
      <c r="DV199" s="677">
        <f t="shared" si="207"/>
        <v>0</v>
      </c>
      <c r="DW199" s="677">
        <f t="shared" si="251"/>
        <v>0</v>
      </c>
      <c r="DX199" s="678">
        <f t="shared" si="252"/>
        <v>0</v>
      </c>
      <c r="DY199" s="679">
        <f t="shared" si="253"/>
        <v>0</v>
      </c>
      <c r="DZ199" s="680"/>
      <c r="EA199" s="681"/>
      <c r="EB199" s="682"/>
      <c r="EC199" s="682"/>
      <c r="ED199" s="683"/>
      <c r="EE199" s="684"/>
      <c r="EF199" s="680"/>
      <c r="EG199" s="681"/>
      <c r="EH199" s="682"/>
      <c r="EI199" s="682"/>
      <c r="EJ199" s="683"/>
      <c r="EK199" s="684"/>
      <c r="EL199" s="680"/>
      <c r="EM199" s="681"/>
      <c r="EN199" s="682"/>
      <c r="EO199" s="682"/>
      <c r="EP199" s="683"/>
      <c r="EQ199" s="684"/>
      <c r="ER199" s="680"/>
      <c r="ES199" s="681"/>
      <c r="ET199" s="682"/>
      <c r="EU199" s="682"/>
      <c r="EV199" s="683"/>
      <c r="EW199" s="684"/>
      <c r="EX199" s="675"/>
      <c r="EY199" s="676">
        <f t="shared" si="208"/>
        <v>0</v>
      </c>
      <c r="EZ199" s="677">
        <f t="shared" si="209"/>
        <v>0</v>
      </c>
      <c r="FA199" s="677">
        <f t="shared" si="254"/>
        <v>0</v>
      </c>
      <c r="FB199" s="678">
        <f t="shared" si="255"/>
        <v>0</v>
      </c>
      <c r="FC199" s="679">
        <f t="shared" si="256"/>
        <v>0</v>
      </c>
      <c r="FD199" s="680"/>
      <c r="FE199" s="681"/>
      <c r="FF199" s="682"/>
      <c r="FG199" s="682"/>
      <c r="FH199" s="683"/>
      <c r="FI199" s="684"/>
      <c r="FJ199" s="680"/>
      <c r="FK199" s="681"/>
      <c r="FL199" s="682"/>
      <c r="FM199" s="682"/>
      <c r="FN199" s="683"/>
      <c r="FO199" s="684"/>
      <c r="FP199" s="680"/>
      <c r="FQ199" s="681"/>
      <c r="FR199" s="682"/>
      <c r="FS199" s="682"/>
      <c r="FT199" s="683"/>
      <c r="FU199" s="684"/>
      <c r="FV199" s="680"/>
      <c r="FW199" s="681"/>
      <c r="FX199" s="682"/>
      <c r="FY199" s="682"/>
      <c r="FZ199" s="683"/>
      <c r="GA199" s="684"/>
      <c r="GB199" s="675"/>
      <c r="GC199" s="676">
        <f t="shared" si="210"/>
        <v>0</v>
      </c>
      <c r="GD199" s="677">
        <f t="shared" si="211"/>
        <v>0</v>
      </c>
      <c r="GE199" s="677">
        <f t="shared" si="257"/>
        <v>0</v>
      </c>
      <c r="GF199" s="678">
        <f t="shared" si="258"/>
        <v>0</v>
      </c>
      <c r="GG199" s="679">
        <f t="shared" si="259"/>
        <v>0</v>
      </c>
      <c r="GH199" s="680"/>
      <c r="GI199" s="681"/>
      <c r="GJ199" s="682"/>
      <c r="GK199" s="682"/>
      <c r="GL199" s="683"/>
      <c r="GM199" s="684"/>
      <c r="GN199" s="680"/>
      <c r="GO199" s="681"/>
      <c r="GP199" s="682"/>
      <c r="GQ199" s="682"/>
      <c r="GR199" s="683"/>
      <c r="GS199" s="684"/>
      <c r="GT199" s="680"/>
      <c r="GU199" s="681"/>
      <c r="GV199" s="682"/>
      <c r="GW199" s="682"/>
      <c r="GX199" s="683"/>
      <c r="GY199" s="684"/>
      <c r="GZ199" s="680"/>
      <c r="HA199" s="147"/>
      <c r="HB199" s="148"/>
      <c r="HC199" s="148"/>
      <c r="HD199" s="149"/>
      <c r="HE199" s="150"/>
      <c r="HF199" s="506"/>
      <c r="HG199" s="502"/>
      <c r="HH199" s="502"/>
      <c r="HI199" s="502"/>
      <c r="HJ199" s="8"/>
    </row>
    <row r="200" spans="2:218" ht="21" hidden="1">
      <c r="B200" s="488">
        <v>156</v>
      </c>
      <c r="C200" s="489" t="s">
        <v>351</v>
      </c>
      <c r="D200" s="490" t="s">
        <v>361</v>
      </c>
      <c r="E200" s="491" t="s">
        <v>433</v>
      </c>
      <c r="F200" s="492"/>
      <c r="G200" s="493"/>
      <c r="H200" s="146" t="s">
        <v>97</v>
      </c>
      <c r="I200" s="494" t="str">
        <f t="shared" si="177"/>
        <v>n.v.t.</v>
      </c>
      <c r="J200" s="495"/>
      <c r="K200" s="151">
        <v>0</v>
      </c>
      <c r="L200" s="256"/>
      <c r="M200" s="256">
        <f>IF($C$5&lt;3000,(Bron!H189*$C$5)+Bron!I189,(Bron!M189*$C$5)+Bron!N189)</f>
        <v>0</v>
      </c>
      <c r="N200" s="496">
        <f t="shared" si="260"/>
        <v>0</v>
      </c>
      <c r="O200" s="497" t="str">
        <f t="shared" si="261"/>
        <v/>
      </c>
      <c r="P200" s="257">
        <f>IF($C$5&lt;3000,$AN$32*Bron!J189,$AN$32*Bron!O189)</f>
        <v>0</v>
      </c>
      <c r="Q200" s="257">
        <f>IF($C$5&lt;3000,$AN$31*Bron!K189,$AN$31*Bron!P189)</f>
        <v>0</v>
      </c>
      <c r="R200" s="257">
        <f>IF($C$5&lt;3000,$AN$33*Bron!J189,$AN$33*Bron!O189)</f>
        <v>0</v>
      </c>
      <c r="S200" s="344"/>
      <c r="T200" s="258">
        <f t="shared" si="178"/>
        <v>0</v>
      </c>
      <c r="U200" s="259">
        <f t="shared" si="179"/>
        <v>0</v>
      </c>
      <c r="V200" s="675"/>
      <c r="W200" s="676">
        <f t="shared" si="180"/>
        <v>0</v>
      </c>
      <c r="X200" s="677">
        <f t="shared" si="181"/>
        <v>0</v>
      </c>
      <c r="Y200" s="677">
        <f t="shared" si="212"/>
        <v>0</v>
      </c>
      <c r="Z200" s="678">
        <f t="shared" si="213"/>
        <v>0</v>
      </c>
      <c r="AA200" s="679">
        <f t="shared" si="214"/>
        <v>0</v>
      </c>
      <c r="AB200" s="675"/>
      <c r="AC200" s="676">
        <f t="shared" si="182"/>
        <v>0</v>
      </c>
      <c r="AD200" s="677">
        <f t="shared" si="183"/>
        <v>0</v>
      </c>
      <c r="AE200" s="677">
        <f t="shared" si="215"/>
        <v>0</v>
      </c>
      <c r="AF200" s="678">
        <f t="shared" si="216"/>
        <v>0</v>
      </c>
      <c r="AG200" s="679">
        <f t="shared" si="217"/>
        <v>0</v>
      </c>
      <c r="AH200" s="675"/>
      <c r="AI200" s="676">
        <f t="shared" si="184"/>
        <v>0</v>
      </c>
      <c r="AJ200" s="677">
        <f t="shared" si="185"/>
        <v>0</v>
      </c>
      <c r="AK200" s="677">
        <f t="shared" si="218"/>
        <v>0</v>
      </c>
      <c r="AL200" s="678">
        <f t="shared" si="219"/>
        <v>0</v>
      </c>
      <c r="AM200" s="679">
        <f t="shared" si="220"/>
        <v>0</v>
      </c>
      <c r="AN200" s="675"/>
      <c r="AO200" s="676">
        <f t="shared" si="186"/>
        <v>0</v>
      </c>
      <c r="AP200" s="677">
        <f t="shared" si="187"/>
        <v>0</v>
      </c>
      <c r="AQ200" s="677">
        <f t="shared" si="221"/>
        <v>0</v>
      </c>
      <c r="AR200" s="678">
        <f t="shared" si="222"/>
        <v>0</v>
      </c>
      <c r="AS200" s="679">
        <f t="shared" si="223"/>
        <v>0</v>
      </c>
      <c r="AT200" s="675"/>
      <c r="AU200" s="676">
        <f t="shared" si="188"/>
        <v>0</v>
      </c>
      <c r="AV200" s="677">
        <f t="shared" si="189"/>
        <v>0</v>
      </c>
      <c r="AW200" s="677">
        <f t="shared" si="224"/>
        <v>0</v>
      </c>
      <c r="AX200" s="678">
        <f t="shared" si="225"/>
        <v>0</v>
      </c>
      <c r="AY200" s="679">
        <f t="shared" si="226"/>
        <v>0</v>
      </c>
      <c r="AZ200" s="675"/>
      <c r="BA200" s="676">
        <f t="shared" si="190"/>
        <v>0</v>
      </c>
      <c r="BB200" s="677">
        <f t="shared" si="191"/>
        <v>0</v>
      </c>
      <c r="BC200" s="677">
        <f t="shared" si="227"/>
        <v>0</v>
      </c>
      <c r="BD200" s="678">
        <f t="shared" si="228"/>
        <v>0</v>
      </c>
      <c r="BE200" s="679">
        <f t="shared" si="229"/>
        <v>0</v>
      </c>
      <c r="BF200" s="675"/>
      <c r="BG200" s="676">
        <f t="shared" si="192"/>
        <v>0</v>
      </c>
      <c r="BH200" s="677">
        <f t="shared" si="193"/>
        <v>0</v>
      </c>
      <c r="BI200" s="677">
        <f t="shared" si="230"/>
        <v>0</v>
      </c>
      <c r="BJ200" s="678">
        <f t="shared" si="231"/>
        <v>0</v>
      </c>
      <c r="BK200" s="679">
        <f t="shared" si="232"/>
        <v>0</v>
      </c>
      <c r="BL200" s="675"/>
      <c r="BM200" s="676">
        <f t="shared" si="194"/>
        <v>0</v>
      </c>
      <c r="BN200" s="677">
        <f t="shared" si="195"/>
        <v>0</v>
      </c>
      <c r="BO200" s="677">
        <f t="shared" si="233"/>
        <v>0</v>
      </c>
      <c r="BP200" s="678">
        <f t="shared" si="234"/>
        <v>0</v>
      </c>
      <c r="BQ200" s="679">
        <f t="shared" si="235"/>
        <v>0</v>
      </c>
      <c r="BR200" s="675"/>
      <c r="BS200" s="676">
        <f t="shared" si="196"/>
        <v>0</v>
      </c>
      <c r="BT200" s="677">
        <f t="shared" si="197"/>
        <v>0</v>
      </c>
      <c r="BU200" s="677">
        <f t="shared" si="236"/>
        <v>0</v>
      </c>
      <c r="BV200" s="678">
        <f t="shared" si="237"/>
        <v>0</v>
      </c>
      <c r="BW200" s="679">
        <f t="shared" si="238"/>
        <v>0</v>
      </c>
      <c r="BX200" s="675"/>
      <c r="BY200" s="676">
        <f t="shared" si="198"/>
        <v>0</v>
      </c>
      <c r="BZ200" s="677">
        <f t="shared" si="199"/>
        <v>0</v>
      </c>
      <c r="CA200" s="677">
        <f t="shared" si="239"/>
        <v>0</v>
      </c>
      <c r="CB200" s="678">
        <f t="shared" si="240"/>
        <v>0</v>
      </c>
      <c r="CC200" s="679">
        <f t="shared" si="241"/>
        <v>0</v>
      </c>
      <c r="CD200" s="675"/>
      <c r="CE200" s="676">
        <f t="shared" si="200"/>
        <v>0</v>
      </c>
      <c r="CF200" s="677">
        <f t="shared" si="201"/>
        <v>0</v>
      </c>
      <c r="CG200" s="677">
        <f t="shared" si="242"/>
        <v>0</v>
      </c>
      <c r="CH200" s="678">
        <f t="shared" si="243"/>
        <v>0</v>
      </c>
      <c r="CI200" s="679">
        <f t="shared" si="244"/>
        <v>0</v>
      </c>
      <c r="CJ200" s="675"/>
      <c r="CK200" s="676">
        <f t="shared" si="202"/>
        <v>0</v>
      </c>
      <c r="CL200" s="677">
        <f t="shared" si="203"/>
        <v>0</v>
      </c>
      <c r="CM200" s="677">
        <f t="shared" si="245"/>
        <v>0</v>
      </c>
      <c r="CN200" s="678">
        <f t="shared" si="246"/>
        <v>0</v>
      </c>
      <c r="CO200" s="679">
        <f t="shared" si="247"/>
        <v>0</v>
      </c>
      <c r="CP200" s="675"/>
      <c r="CQ200" s="676">
        <f t="shared" si="204"/>
        <v>0</v>
      </c>
      <c r="CR200" s="677">
        <f t="shared" si="205"/>
        <v>0</v>
      </c>
      <c r="CS200" s="677">
        <f t="shared" si="248"/>
        <v>0</v>
      </c>
      <c r="CT200" s="678">
        <f t="shared" si="249"/>
        <v>0</v>
      </c>
      <c r="CU200" s="679">
        <f t="shared" si="250"/>
        <v>0</v>
      </c>
      <c r="CV200" s="685"/>
      <c r="CW200" s="681"/>
      <c r="CX200" s="682"/>
      <c r="CY200" s="682"/>
      <c r="CZ200" s="683"/>
      <c r="DA200" s="684"/>
      <c r="DB200" s="685"/>
      <c r="DC200" s="681"/>
      <c r="DD200" s="682"/>
      <c r="DE200" s="682"/>
      <c r="DF200" s="683"/>
      <c r="DG200" s="684"/>
      <c r="DH200" s="685"/>
      <c r="DI200" s="681"/>
      <c r="DJ200" s="682"/>
      <c r="DK200" s="682"/>
      <c r="DL200" s="683"/>
      <c r="DM200" s="684"/>
      <c r="DN200" s="685"/>
      <c r="DO200" s="681"/>
      <c r="DP200" s="682"/>
      <c r="DQ200" s="682"/>
      <c r="DR200" s="683"/>
      <c r="DS200" s="684"/>
      <c r="DT200" s="675"/>
      <c r="DU200" s="676">
        <f t="shared" si="206"/>
        <v>0</v>
      </c>
      <c r="DV200" s="677">
        <f t="shared" si="207"/>
        <v>0</v>
      </c>
      <c r="DW200" s="677">
        <f t="shared" si="251"/>
        <v>0</v>
      </c>
      <c r="DX200" s="678">
        <f t="shared" si="252"/>
        <v>0</v>
      </c>
      <c r="DY200" s="679">
        <f t="shared" si="253"/>
        <v>0</v>
      </c>
      <c r="DZ200" s="680"/>
      <c r="EA200" s="681"/>
      <c r="EB200" s="682"/>
      <c r="EC200" s="682"/>
      <c r="ED200" s="683"/>
      <c r="EE200" s="684"/>
      <c r="EF200" s="680"/>
      <c r="EG200" s="681"/>
      <c r="EH200" s="682"/>
      <c r="EI200" s="682"/>
      <c r="EJ200" s="683"/>
      <c r="EK200" s="684"/>
      <c r="EL200" s="680"/>
      <c r="EM200" s="681"/>
      <c r="EN200" s="682"/>
      <c r="EO200" s="682"/>
      <c r="EP200" s="683"/>
      <c r="EQ200" s="684"/>
      <c r="ER200" s="680"/>
      <c r="ES200" s="681"/>
      <c r="ET200" s="682"/>
      <c r="EU200" s="682"/>
      <c r="EV200" s="683"/>
      <c r="EW200" s="684"/>
      <c r="EX200" s="675"/>
      <c r="EY200" s="676">
        <f t="shared" si="208"/>
        <v>0</v>
      </c>
      <c r="EZ200" s="677">
        <f t="shared" si="209"/>
        <v>0</v>
      </c>
      <c r="FA200" s="677">
        <f t="shared" si="254"/>
        <v>0</v>
      </c>
      <c r="FB200" s="678">
        <f t="shared" si="255"/>
        <v>0</v>
      </c>
      <c r="FC200" s="679">
        <f t="shared" si="256"/>
        <v>0</v>
      </c>
      <c r="FD200" s="680"/>
      <c r="FE200" s="681"/>
      <c r="FF200" s="682"/>
      <c r="FG200" s="682"/>
      <c r="FH200" s="683"/>
      <c r="FI200" s="684"/>
      <c r="FJ200" s="680"/>
      <c r="FK200" s="681"/>
      <c r="FL200" s="682"/>
      <c r="FM200" s="682"/>
      <c r="FN200" s="683"/>
      <c r="FO200" s="684"/>
      <c r="FP200" s="680"/>
      <c r="FQ200" s="681"/>
      <c r="FR200" s="682"/>
      <c r="FS200" s="682"/>
      <c r="FT200" s="683"/>
      <c r="FU200" s="684"/>
      <c r="FV200" s="680"/>
      <c r="FW200" s="681"/>
      <c r="FX200" s="682"/>
      <c r="FY200" s="682"/>
      <c r="FZ200" s="683"/>
      <c r="GA200" s="684"/>
      <c r="GB200" s="675"/>
      <c r="GC200" s="676">
        <f t="shared" si="210"/>
        <v>0</v>
      </c>
      <c r="GD200" s="677">
        <f t="shared" si="211"/>
        <v>0</v>
      </c>
      <c r="GE200" s="677">
        <f t="shared" si="257"/>
        <v>0</v>
      </c>
      <c r="GF200" s="678">
        <f t="shared" si="258"/>
        <v>0</v>
      </c>
      <c r="GG200" s="679">
        <f t="shared" si="259"/>
        <v>0</v>
      </c>
      <c r="GH200" s="680"/>
      <c r="GI200" s="681"/>
      <c r="GJ200" s="682"/>
      <c r="GK200" s="682"/>
      <c r="GL200" s="683"/>
      <c r="GM200" s="684"/>
      <c r="GN200" s="680"/>
      <c r="GO200" s="681"/>
      <c r="GP200" s="682"/>
      <c r="GQ200" s="682"/>
      <c r="GR200" s="683"/>
      <c r="GS200" s="684"/>
      <c r="GT200" s="680"/>
      <c r="GU200" s="681"/>
      <c r="GV200" s="682"/>
      <c r="GW200" s="682"/>
      <c r="GX200" s="683"/>
      <c r="GY200" s="684"/>
      <c r="GZ200" s="680"/>
      <c r="HA200" s="147"/>
      <c r="HB200" s="148"/>
      <c r="HC200" s="148"/>
      <c r="HD200" s="149"/>
      <c r="HE200" s="150"/>
      <c r="HF200" s="506"/>
      <c r="HG200" s="502"/>
      <c r="HH200" s="502"/>
      <c r="HI200" s="502"/>
      <c r="HJ200" s="8"/>
    </row>
    <row r="201" spans="2:218" ht="21" hidden="1">
      <c r="B201" s="488">
        <v>157</v>
      </c>
      <c r="C201" s="489" t="s">
        <v>351</v>
      </c>
      <c r="D201" s="490" t="s">
        <v>362</v>
      </c>
      <c r="E201" s="491" t="s">
        <v>434</v>
      </c>
      <c r="F201" s="492"/>
      <c r="G201" s="493"/>
      <c r="H201" s="146" t="s">
        <v>97</v>
      </c>
      <c r="I201" s="494" t="str">
        <f t="shared" si="177"/>
        <v>n.v.t.</v>
      </c>
      <c r="J201" s="495"/>
      <c r="K201" s="151">
        <v>0</v>
      </c>
      <c r="L201" s="256"/>
      <c r="M201" s="256">
        <f>IF($C$5&lt;3000,(Bron!H190*$C$5)+Bron!I190,(Bron!M190*$C$5)+Bron!N190)</f>
        <v>0</v>
      </c>
      <c r="N201" s="496">
        <f t="shared" si="260"/>
        <v>0</v>
      </c>
      <c r="O201" s="497" t="str">
        <f t="shared" si="261"/>
        <v/>
      </c>
      <c r="P201" s="257">
        <f>IF($C$5&lt;3000,$AN$32*Bron!J190,$AN$32*Bron!O190)</f>
        <v>0</v>
      </c>
      <c r="Q201" s="257">
        <f>IF($C$5&lt;3000,$AN$31*Bron!K190,$AN$31*Bron!P190)</f>
        <v>0</v>
      </c>
      <c r="R201" s="257">
        <f>IF($C$5&lt;3000,$AN$33*Bron!J190,$AN$33*Bron!O190)</f>
        <v>0</v>
      </c>
      <c r="S201" s="344"/>
      <c r="T201" s="258">
        <f t="shared" si="178"/>
        <v>0</v>
      </c>
      <c r="U201" s="259">
        <f t="shared" si="179"/>
        <v>0</v>
      </c>
      <c r="V201" s="675"/>
      <c r="W201" s="676">
        <f t="shared" si="180"/>
        <v>0</v>
      </c>
      <c r="X201" s="677">
        <f t="shared" si="181"/>
        <v>0</v>
      </c>
      <c r="Y201" s="677">
        <f t="shared" si="212"/>
        <v>0</v>
      </c>
      <c r="Z201" s="678">
        <f t="shared" si="213"/>
        <v>0</v>
      </c>
      <c r="AA201" s="679">
        <f t="shared" si="214"/>
        <v>0</v>
      </c>
      <c r="AB201" s="675"/>
      <c r="AC201" s="676">
        <f t="shared" si="182"/>
        <v>0</v>
      </c>
      <c r="AD201" s="677">
        <f t="shared" si="183"/>
        <v>0</v>
      </c>
      <c r="AE201" s="677">
        <f t="shared" si="215"/>
        <v>0</v>
      </c>
      <c r="AF201" s="678">
        <f t="shared" si="216"/>
        <v>0</v>
      </c>
      <c r="AG201" s="679">
        <f t="shared" si="217"/>
        <v>0</v>
      </c>
      <c r="AH201" s="675"/>
      <c r="AI201" s="676">
        <f t="shared" si="184"/>
        <v>0</v>
      </c>
      <c r="AJ201" s="677">
        <f t="shared" si="185"/>
        <v>0</v>
      </c>
      <c r="AK201" s="677">
        <f t="shared" si="218"/>
        <v>0</v>
      </c>
      <c r="AL201" s="678">
        <f t="shared" si="219"/>
        <v>0</v>
      </c>
      <c r="AM201" s="679">
        <f t="shared" si="220"/>
        <v>0</v>
      </c>
      <c r="AN201" s="675"/>
      <c r="AO201" s="676">
        <f t="shared" si="186"/>
        <v>0</v>
      </c>
      <c r="AP201" s="677">
        <f t="shared" si="187"/>
        <v>0</v>
      </c>
      <c r="AQ201" s="677">
        <f t="shared" si="221"/>
        <v>0</v>
      </c>
      <c r="AR201" s="678">
        <f t="shared" si="222"/>
        <v>0</v>
      </c>
      <c r="AS201" s="679">
        <f t="shared" si="223"/>
        <v>0</v>
      </c>
      <c r="AT201" s="675"/>
      <c r="AU201" s="676">
        <f t="shared" si="188"/>
        <v>0</v>
      </c>
      <c r="AV201" s="677">
        <f t="shared" si="189"/>
        <v>0</v>
      </c>
      <c r="AW201" s="677">
        <f t="shared" si="224"/>
        <v>0</v>
      </c>
      <c r="AX201" s="678">
        <f t="shared" si="225"/>
        <v>0</v>
      </c>
      <c r="AY201" s="679">
        <f t="shared" si="226"/>
        <v>0</v>
      </c>
      <c r="AZ201" s="675"/>
      <c r="BA201" s="676">
        <f t="shared" si="190"/>
        <v>0</v>
      </c>
      <c r="BB201" s="677">
        <f t="shared" si="191"/>
        <v>0</v>
      </c>
      <c r="BC201" s="677">
        <f t="shared" si="227"/>
        <v>0</v>
      </c>
      <c r="BD201" s="678">
        <f t="shared" si="228"/>
        <v>0</v>
      </c>
      <c r="BE201" s="679">
        <f t="shared" si="229"/>
        <v>0</v>
      </c>
      <c r="BF201" s="675"/>
      <c r="BG201" s="676">
        <f t="shared" si="192"/>
        <v>0</v>
      </c>
      <c r="BH201" s="677">
        <f t="shared" si="193"/>
        <v>0</v>
      </c>
      <c r="BI201" s="677">
        <f t="shared" si="230"/>
        <v>0</v>
      </c>
      <c r="BJ201" s="678">
        <f t="shared" si="231"/>
        <v>0</v>
      </c>
      <c r="BK201" s="679">
        <f t="shared" si="232"/>
        <v>0</v>
      </c>
      <c r="BL201" s="675"/>
      <c r="BM201" s="676">
        <f t="shared" si="194"/>
        <v>0</v>
      </c>
      <c r="BN201" s="677">
        <f t="shared" si="195"/>
        <v>0</v>
      </c>
      <c r="BO201" s="677">
        <f t="shared" si="233"/>
        <v>0</v>
      </c>
      <c r="BP201" s="678">
        <f t="shared" si="234"/>
        <v>0</v>
      </c>
      <c r="BQ201" s="679">
        <f t="shared" si="235"/>
        <v>0</v>
      </c>
      <c r="BR201" s="675"/>
      <c r="BS201" s="676">
        <f t="shared" si="196"/>
        <v>0</v>
      </c>
      <c r="BT201" s="677">
        <f t="shared" si="197"/>
        <v>0</v>
      </c>
      <c r="BU201" s="677">
        <f t="shared" si="236"/>
        <v>0</v>
      </c>
      <c r="BV201" s="678">
        <f t="shared" si="237"/>
        <v>0</v>
      </c>
      <c r="BW201" s="679">
        <f t="shared" si="238"/>
        <v>0</v>
      </c>
      <c r="BX201" s="675"/>
      <c r="BY201" s="676">
        <f t="shared" si="198"/>
        <v>0</v>
      </c>
      <c r="BZ201" s="677">
        <f t="shared" si="199"/>
        <v>0</v>
      </c>
      <c r="CA201" s="677">
        <f t="shared" si="239"/>
        <v>0</v>
      </c>
      <c r="CB201" s="678">
        <f t="shared" si="240"/>
        <v>0</v>
      </c>
      <c r="CC201" s="679">
        <f t="shared" si="241"/>
        <v>0</v>
      </c>
      <c r="CD201" s="675"/>
      <c r="CE201" s="676">
        <f t="shared" si="200"/>
        <v>0</v>
      </c>
      <c r="CF201" s="677">
        <f t="shared" si="201"/>
        <v>0</v>
      </c>
      <c r="CG201" s="677">
        <f t="shared" si="242"/>
        <v>0</v>
      </c>
      <c r="CH201" s="678">
        <f t="shared" si="243"/>
        <v>0</v>
      </c>
      <c r="CI201" s="679">
        <f t="shared" si="244"/>
        <v>0</v>
      </c>
      <c r="CJ201" s="675"/>
      <c r="CK201" s="676">
        <f t="shared" si="202"/>
        <v>0</v>
      </c>
      <c r="CL201" s="677">
        <f t="shared" si="203"/>
        <v>0</v>
      </c>
      <c r="CM201" s="677">
        <f t="shared" si="245"/>
        <v>0</v>
      </c>
      <c r="CN201" s="678">
        <f t="shared" si="246"/>
        <v>0</v>
      </c>
      <c r="CO201" s="679">
        <f t="shared" si="247"/>
        <v>0</v>
      </c>
      <c r="CP201" s="675"/>
      <c r="CQ201" s="676">
        <f t="shared" si="204"/>
        <v>0</v>
      </c>
      <c r="CR201" s="677">
        <f t="shared" si="205"/>
        <v>0</v>
      </c>
      <c r="CS201" s="677">
        <f t="shared" si="248"/>
        <v>0</v>
      </c>
      <c r="CT201" s="678">
        <f t="shared" si="249"/>
        <v>0</v>
      </c>
      <c r="CU201" s="679">
        <f t="shared" si="250"/>
        <v>0</v>
      </c>
      <c r="CV201" s="685"/>
      <c r="CW201" s="681"/>
      <c r="CX201" s="682"/>
      <c r="CY201" s="682"/>
      <c r="CZ201" s="683"/>
      <c r="DA201" s="684"/>
      <c r="DB201" s="685"/>
      <c r="DC201" s="681"/>
      <c r="DD201" s="682"/>
      <c r="DE201" s="682"/>
      <c r="DF201" s="683"/>
      <c r="DG201" s="684"/>
      <c r="DH201" s="685"/>
      <c r="DI201" s="681"/>
      <c r="DJ201" s="682"/>
      <c r="DK201" s="682"/>
      <c r="DL201" s="683"/>
      <c r="DM201" s="684"/>
      <c r="DN201" s="685"/>
      <c r="DO201" s="681"/>
      <c r="DP201" s="682"/>
      <c r="DQ201" s="682"/>
      <c r="DR201" s="683"/>
      <c r="DS201" s="684"/>
      <c r="DT201" s="675"/>
      <c r="DU201" s="676">
        <f t="shared" si="206"/>
        <v>0</v>
      </c>
      <c r="DV201" s="677">
        <f t="shared" si="207"/>
        <v>0</v>
      </c>
      <c r="DW201" s="677">
        <f t="shared" si="251"/>
        <v>0</v>
      </c>
      <c r="DX201" s="678">
        <f t="shared" si="252"/>
        <v>0</v>
      </c>
      <c r="DY201" s="679">
        <f t="shared" si="253"/>
        <v>0</v>
      </c>
      <c r="DZ201" s="680"/>
      <c r="EA201" s="681"/>
      <c r="EB201" s="682"/>
      <c r="EC201" s="682"/>
      <c r="ED201" s="683"/>
      <c r="EE201" s="684"/>
      <c r="EF201" s="680"/>
      <c r="EG201" s="681"/>
      <c r="EH201" s="682"/>
      <c r="EI201" s="682"/>
      <c r="EJ201" s="683"/>
      <c r="EK201" s="684"/>
      <c r="EL201" s="680"/>
      <c r="EM201" s="681"/>
      <c r="EN201" s="682"/>
      <c r="EO201" s="682"/>
      <c r="EP201" s="683"/>
      <c r="EQ201" s="684"/>
      <c r="ER201" s="680"/>
      <c r="ES201" s="681"/>
      <c r="ET201" s="682"/>
      <c r="EU201" s="682"/>
      <c r="EV201" s="683"/>
      <c r="EW201" s="684"/>
      <c r="EX201" s="675"/>
      <c r="EY201" s="676">
        <f t="shared" si="208"/>
        <v>0</v>
      </c>
      <c r="EZ201" s="677">
        <f t="shared" si="209"/>
        <v>0</v>
      </c>
      <c r="FA201" s="677">
        <f t="shared" si="254"/>
        <v>0</v>
      </c>
      <c r="FB201" s="678">
        <f t="shared" si="255"/>
        <v>0</v>
      </c>
      <c r="FC201" s="679">
        <f t="shared" si="256"/>
        <v>0</v>
      </c>
      <c r="FD201" s="680"/>
      <c r="FE201" s="681"/>
      <c r="FF201" s="682"/>
      <c r="FG201" s="682"/>
      <c r="FH201" s="683"/>
      <c r="FI201" s="684"/>
      <c r="FJ201" s="680"/>
      <c r="FK201" s="681"/>
      <c r="FL201" s="682"/>
      <c r="FM201" s="682"/>
      <c r="FN201" s="683"/>
      <c r="FO201" s="684"/>
      <c r="FP201" s="680"/>
      <c r="FQ201" s="681"/>
      <c r="FR201" s="682"/>
      <c r="FS201" s="682"/>
      <c r="FT201" s="683"/>
      <c r="FU201" s="684"/>
      <c r="FV201" s="680"/>
      <c r="FW201" s="681"/>
      <c r="FX201" s="682"/>
      <c r="FY201" s="682"/>
      <c r="FZ201" s="683"/>
      <c r="GA201" s="684"/>
      <c r="GB201" s="675"/>
      <c r="GC201" s="676">
        <f t="shared" si="210"/>
        <v>0</v>
      </c>
      <c r="GD201" s="677">
        <f t="shared" si="211"/>
        <v>0</v>
      </c>
      <c r="GE201" s="677">
        <f t="shared" si="257"/>
        <v>0</v>
      </c>
      <c r="GF201" s="678">
        <f t="shared" si="258"/>
        <v>0</v>
      </c>
      <c r="GG201" s="679">
        <f t="shared" si="259"/>
        <v>0</v>
      </c>
      <c r="GH201" s="680"/>
      <c r="GI201" s="681"/>
      <c r="GJ201" s="682"/>
      <c r="GK201" s="682"/>
      <c r="GL201" s="683"/>
      <c r="GM201" s="684"/>
      <c r="GN201" s="680"/>
      <c r="GO201" s="681"/>
      <c r="GP201" s="682"/>
      <c r="GQ201" s="682"/>
      <c r="GR201" s="683"/>
      <c r="GS201" s="684"/>
      <c r="GT201" s="680"/>
      <c r="GU201" s="681"/>
      <c r="GV201" s="682"/>
      <c r="GW201" s="682"/>
      <c r="GX201" s="683"/>
      <c r="GY201" s="684"/>
      <c r="GZ201" s="680"/>
      <c r="HA201" s="147"/>
      <c r="HB201" s="148"/>
      <c r="HC201" s="148"/>
      <c r="HD201" s="149"/>
      <c r="HE201" s="150"/>
      <c r="HF201" s="506"/>
      <c r="HG201" s="502"/>
      <c r="HH201" s="502"/>
      <c r="HI201" s="502"/>
      <c r="HJ201" s="8"/>
    </row>
    <row r="202" spans="2:218" ht="21" hidden="1">
      <c r="B202" s="488">
        <v>158</v>
      </c>
      <c r="C202" s="489" t="s">
        <v>364</v>
      </c>
      <c r="D202" s="507" t="s">
        <v>363</v>
      </c>
      <c r="E202" s="508" t="s">
        <v>313</v>
      </c>
      <c r="F202" s="492"/>
      <c r="G202" s="493"/>
      <c r="H202" s="146" t="s">
        <v>97</v>
      </c>
      <c r="I202" s="494" t="str">
        <f t="shared" si="177"/>
        <v>n.v.t.</v>
      </c>
      <c r="J202" s="495"/>
      <c r="K202" s="151">
        <v>0</v>
      </c>
      <c r="L202" s="256"/>
      <c r="M202" s="256"/>
      <c r="N202" s="496">
        <f t="shared" si="260"/>
        <v>0</v>
      </c>
      <c r="O202" s="497" t="str">
        <f t="shared" si="261"/>
        <v/>
      </c>
      <c r="P202" s="257"/>
      <c r="Q202" s="257"/>
      <c r="R202" s="257"/>
      <c r="S202" s="344"/>
      <c r="T202" s="258">
        <f t="shared" si="178"/>
        <v>0</v>
      </c>
      <c r="U202" s="259">
        <f t="shared" si="179"/>
        <v>0</v>
      </c>
      <c r="V202" s="675"/>
      <c r="W202" s="676">
        <f t="shared" si="180"/>
        <v>0</v>
      </c>
      <c r="X202" s="677">
        <f t="shared" si="181"/>
        <v>0</v>
      </c>
      <c r="Y202" s="677">
        <f t="shared" si="212"/>
        <v>0</v>
      </c>
      <c r="Z202" s="678">
        <f t="shared" si="213"/>
        <v>0</v>
      </c>
      <c r="AA202" s="679">
        <f t="shared" si="214"/>
        <v>0</v>
      </c>
      <c r="AB202" s="675"/>
      <c r="AC202" s="676">
        <f t="shared" si="182"/>
        <v>0</v>
      </c>
      <c r="AD202" s="677">
        <f t="shared" si="183"/>
        <v>0</v>
      </c>
      <c r="AE202" s="677">
        <f t="shared" si="215"/>
        <v>0</v>
      </c>
      <c r="AF202" s="678">
        <f t="shared" si="216"/>
        <v>0</v>
      </c>
      <c r="AG202" s="679">
        <f t="shared" si="217"/>
        <v>0</v>
      </c>
      <c r="AH202" s="675"/>
      <c r="AI202" s="676">
        <f t="shared" si="184"/>
        <v>0</v>
      </c>
      <c r="AJ202" s="677">
        <f t="shared" si="185"/>
        <v>0</v>
      </c>
      <c r="AK202" s="677">
        <f t="shared" si="218"/>
        <v>0</v>
      </c>
      <c r="AL202" s="678">
        <f t="shared" si="219"/>
        <v>0</v>
      </c>
      <c r="AM202" s="679">
        <f t="shared" si="220"/>
        <v>0</v>
      </c>
      <c r="AN202" s="675"/>
      <c r="AO202" s="676">
        <f t="shared" si="186"/>
        <v>0</v>
      </c>
      <c r="AP202" s="677">
        <f t="shared" si="187"/>
        <v>0</v>
      </c>
      <c r="AQ202" s="677">
        <f t="shared" si="221"/>
        <v>0</v>
      </c>
      <c r="AR202" s="678">
        <f t="shared" si="222"/>
        <v>0</v>
      </c>
      <c r="AS202" s="679">
        <f t="shared" si="223"/>
        <v>0</v>
      </c>
      <c r="AT202" s="675"/>
      <c r="AU202" s="676">
        <f t="shared" si="188"/>
        <v>0</v>
      </c>
      <c r="AV202" s="677">
        <f t="shared" si="189"/>
        <v>0</v>
      </c>
      <c r="AW202" s="677">
        <f t="shared" si="224"/>
        <v>0</v>
      </c>
      <c r="AX202" s="678">
        <f t="shared" si="225"/>
        <v>0</v>
      </c>
      <c r="AY202" s="679">
        <f t="shared" si="226"/>
        <v>0</v>
      </c>
      <c r="AZ202" s="675"/>
      <c r="BA202" s="676">
        <f t="shared" si="190"/>
        <v>0</v>
      </c>
      <c r="BB202" s="677">
        <f t="shared" si="191"/>
        <v>0</v>
      </c>
      <c r="BC202" s="677">
        <f t="shared" si="227"/>
        <v>0</v>
      </c>
      <c r="BD202" s="678">
        <f t="shared" si="228"/>
        <v>0</v>
      </c>
      <c r="BE202" s="679">
        <f t="shared" si="229"/>
        <v>0</v>
      </c>
      <c r="BF202" s="675"/>
      <c r="BG202" s="676">
        <f t="shared" si="192"/>
        <v>0</v>
      </c>
      <c r="BH202" s="677">
        <f t="shared" si="193"/>
        <v>0</v>
      </c>
      <c r="BI202" s="677">
        <f t="shared" si="230"/>
        <v>0</v>
      </c>
      <c r="BJ202" s="678">
        <f t="shared" si="231"/>
        <v>0</v>
      </c>
      <c r="BK202" s="679">
        <f t="shared" si="232"/>
        <v>0</v>
      </c>
      <c r="BL202" s="675"/>
      <c r="BM202" s="676">
        <f t="shared" si="194"/>
        <v>0</v>
      </c>
      <c r="BN202" s="677">
        <f t="shared" si="195"/>
        <v>0</v>
      </c>
      <c r="BO202" s="677">
        <f t="shared" si="233"/>
        <v>0</v>
      </c>
      <c r="BP202" s="678">
        <f t="shared" si="234"/>
        <v>0</v>
      </c>
      <c r="BQ202" s="679">
        <f t="shared" si="235"/>
        <v>0</v>
      </c>
      <c r="BR202" s="675"/>
      <c r="BS202" s="676">
        <f t="shared" si="196"/>
        <v>0</v>
      </c>
      <c r="BT202" s="677">
        <f t="shared" si="197"/>
        <v>0</v>
      </c>
      <c r="BU202" s="677">
        <f t="shared" si="236"/>
        <v>0</v>
      </c>
      <c r="BV202" s="678">
        <f t="shared" si="237"/>
        <v>0</v>
      </c>
      <c r="BW202" s="679">
        <f t="shared" si="238"/>
        <v>0</v>
      </c>
      <c r="BX202" s="675"/>
      <c r="BY202" s="676">
        <f t="shared" si="198"/>
        <v>0</v>
      </c>
      <c r="BZ202" s="677">
        <f t="shared" si="199"/>
        <v>0</v>
      </c>
      <c r="CA202" s="677">
        <f t="shared" si="239"/>
        <v>0</v>
      </c>
      <c r="CB202" s="678">
        <f t="shared" si="240"/>
        <v>0</v>
      </c>
      <c r="CC202" s="679">
        <f t="shared" si="241"/>
        <v>0</v>
      </c>
      <c r="CD202" s="675"/>
      <c r="CE202" s="676">
        <f t="shared" si="200"/>
        <v>0</v>
      </c>
      <c r="CF202" s="677">
        <f t="shared" si="201"/>
        <v>0</v>
      </c>
      <c r="CG202" s="677">
        <f t="shared" si="242"/>
        <v>0</v>
      </c>
      <c r="CH202" s="678">
        <f t="shared" si="243"/>
        <v>0</v>
      </c>
      <c r="CI202" s="679">
        <f t="shared" si="244"/>
        <v>0</v>
      </c>
      <c r="CJ202" s="675"/>
      <c r="CK202" s="676">
        <f t="shared" si="202"/>
        <v>0</v>
      </c>
      <c r="CL202" s="677">
        <f t="shared" si="203"/>
        <v>0</v>
      </c>
      <c r="CM202" s="677">
        <f t="shared" si="245"/>
        <v>0</v>
      </c>
      <c r="CN202" s="678">
        <f t="shared" si="246"/>
        <v>0</v>
      </c>
      <c r="CO202" s="679">
        <f t="shared" si="247"/>
        <v>0</v>
      </c>
      <c r="CP202" s="675"/>
      <c r="CQ202" s="676">
        <f t="shared" si="204"/>
        <v>0</v>
      </c>
      <c r="CR202" s="677">
        <f t="shared" si="205"/>
        <v>0</v>
      </c>
      <c r="CS202" s="677">
        <f t="shared" si="248"/>
        <v>0</v>
      </c>
      <c r="CT202" s="678">
        <f t="shared" si="249"/>
        <v>0</v>
      </c>
      <c r="CU202" s="679">
        <f t="shared" si="250"/>
        <v>0</v>
      </c>
      <c r="CV202" s="685"/>
      <c r="CW202" s="681"/>
      <c r="CX202" s="682"/>
      <c r="CY202" s="682"/>
      <c r="CZ202" s="683"/>
      <c r="DA202" s="684"/>
      <c r="DB202" s="685"/>
      <c r="DC202" s="681"/>
      <c r="DD202" s="682"/>
      <c r="DE202" s="682"/>
      <c r="DF202" s="683"/>
      <c r="DG202" s="684"/>
      <c r="DH202" s="685"/>
      <c r="DI202" s="681"/>
      <c r="DJ202" s="682"/>
      <c r="DK202" s="682"/>
      <c r="DL202" s="683"/>
      <c r="DM202" s="684"/>
      <c r="DN202" s="685"/>
      <c r="DO202" s="681"/>
      <c r="DP202" s="682"/>
      <c r="DQ202" s="682"/>
      <c r="DR202" s="683"/>
      <c r="DS202" s="684"/>
      <c r="DT202" s="675"/>
      <c r="DU202" s="676">
        <f t="shared" si="206"/>
        <v>0</v>
      </c>
      <c r="DV202" s="677">
        <f t="shared" si="207"/>
        <v>0</v>
      </c>
      <c r="DW202" s="677">
        <f t="shared" si="251"/>
        <v>0</v>
      </c>
      <c r="DX202" s="678">
        <f t="shared" si="252"/>
        <v>0</v>
      </c>
      <c r="DY202" s="679">
        <f t="shared" si="253"/>
        <v>0</v>
      </c>
      <c r="DZ202" s="680"/>
      <c r="EA202" s="681"/>
      <c r="EB202" s="682"/>
      <c r="EC202" s="682"/>
      <c r="ED202" s="683"/>
      <c r="EE202" s="684"/>
      <c r="EF202" s="680"/>
      <c r="EG202" s="681"/>
      <c r="EH202" s="682"/>
      <c r="EI202" s="682"/>
      <c r="EJ202" s="683"/>
      <c r="EK202" s="684"/>
      <c r="EL202" s="680"/>
      <c r="EM202" s="681"/>
      <c r="EN202" s="682"/>
      <c r="EO202" s="682"/>
      <c r="EP202" s="683"/>
      <c r="EQ202" s="684"/>
      <c r="ER202" s="680"/>
      <c r="ES202" s="681"/>
      <c r="ET202" s="682"/>
      <c r="EU202" s="682"/>
      <c r="EV202" s="683"/>
      <c r="EW202" s="684"/>
      <c r="EX202" s="675"/>
      <c r="EY202" s="676">
        <f t="shared" si="208"/>
        <v>0</v>
      </c>
      <c r="EZ202" s="677">
        <f t="shared" si="209"/>
        <v>0</v>
      </c>
      <c r="FA202" s="677">
        <f t="shared" si="254"/>
        <v>0</v>
      </c>
      <c r="FB202" s="678">
        <f t="shared" si="255"/>
        <v>0</v>
      </c>
      <c r="FC202" s="679">
        <f t="shared" si="256"/>
        <v>0</v>
      </c>
      <c r="FD202" s="680"/>
      <c r="FE202" s="681"/>
      <c r="FF202" s="682"/>
      <c r="FG202" s="682"/>
      <c r="FH202" s="683"/>
      <c r="FI202" s="684"/>
      <c r="FJ202" s="680"/>
      <c r="FK202" s="681"/>
      <c r="FL202" s="682"/>
      <c r="FM202" s="682"/>
      <c r="FN202" s="683"/>
      <c r="FO202" s="684"/>
      <c r="FP202" s="680"/>
      <c r="FQ202" s="681"/>
      <c r="FR202" s="682"/>
      <c r="FS202" s="682"/>
      <c r="FT202" s="683"/>
      <c r="FU202" s="684"/>
      <c r="FV202" s="680"/>
      <c r="FW202" s="681"/>
      <c r="FX202" s="682"/>
      <c r="FY202" s="682"/>
      <c r="FZ202" s="683"/>
      <c r="GA202" s="684"/>
      <c r="GB202" s="675"/>
      <c r="GC202" s="676">
        <f t="shared" si="210"/>
        <v>0</v>
      </c>
      <c r="GD202" s="677">
        <f t="shared" si="211"/>
        <v>0</v>
      </c>
      <c r="GE202" s="677">
        <f t="shared" si="257"/>
        <v>0</v>
      </c>
      <c r="GF202" s="678">
        <f t="shared" si="258"/>
        <v>0</v>
      </c>
      <c r="GG202" s="679">
        <f t="shared" si="259"/>
        <v>0</v>
      </c>
      <c r="GH202" s="680"/>
      <c r="GI202" s="681"/>
      <c r="GJ202" s="682"/>
      <c r="GK202" s="682"/>
      <c r="GL202" s="683"/>
      <c r="GM202" s="684"/>
      <c r="GN202" s="680"/>
      <c r="GO202" s="681"/>
      <c r="GP202" s="682"/>
      <c r="GQ202" s="682"/>
      <c r="GR202" s="683"/>
      <c r="GS202" s="684"/>
      <c r="GT202" s="680"/>
      <c r="GU202" s="681"/>
      <c r="GV202" s="682"/>
      <c r="GW202" s="682"/>
      <c r="GX202" s="683"/>
      <c r="GY202" s="684"/>
      <c r="GZ202" s="680"/>
      <c r="HA202" s="147"/>
      <c r="HB202" s="148"/>
      <c r="HC202" s="148"/>
      <c r="HD202" s="149"/>
      <c r="HE202" s="150"/>
      <c r="HF202" s="506"/>
      <c r="HG202" s="502"/>
      <c r="HH202" s="502"/>
      <c r="HI202" s="502"/>
      <c r="HJ202" s="8"/>
    </row>
    <row r="203" spans="2:218" ht="21" hidden="1">
      <c r="B203" s="488">
        <v>159</v>
      </c>
      <c r="C203" s="489" t="s">
        <v>366</v>
      </c>
      <c r="D203" s="507" t="s">
        <v>365</v>
      </c>
      <c r="E203" s="508" t="s">
        <v>313</v>
      </c>
      <c r="F203" s="492"/>
      <c r="G203" s="493"/>
      <c r="H203" s="146" t="s">
        <v>97</v>
      </c>
      <c r="I203" s="494" t="str">
        <f t="shared" si="177"/>
        <v>n.v.t.</v>
      </c>
      <c r="J203" s="495"/>
      <c r="K203" s="151">
        <v>0</v>
      </c>
      <c r="L203" s="256"/>
      <c r="M203" s="256"/>
      <c r="N203" s="496">
        <f t="shared" si="260"/>
        <v>0</v>
      </c>
      <c r="O203" s="497" t="str">
        <f t="shared" si="261"/>
        <v/>
      </c>
      <c r="P203" s="257"/>
      <c r="Q203" s="257"/>
      <c r="R203" s="257"/>
      <c r="S203" s="344"/>
      <c r="T203" s="258">
        <f t="shared" si="178"/>
        <v>0</v>
      </c>
      <c r="U203" s="259">
        <f t="shared" si="179"/>
        <v>0</v>
      </c>
      <c r="V203" s="675"/>
      <c r="W203" s="676">
        <f t="shared" si="180"/>
        <v>0</v>
      </c>
      <c r="X203" s="677">
        <f t="shared" si="181"/>
        <v>0</v>
      </c>
      <c r="Y203" s="677">
        <f t="shared" si="212"/>
        <v>0</v>
      </c>
      <c r="Z203" s="678">
        <f t="shared" si="213"/>
        <v>0</v>
      </c>
      <c r="AA203" s="679">
        <f t="shared" si="214"/>
        <v>0</v>
      </c>
      <c r="AB203" s="675"/>
      <c r="AC203" s="676">
        <f t="shared" si="182"/>
        <v>0</v>
      </c>
      <c r="AD203" s="677">
        <f t="shared" si="183"/>
        <v>0</v>
      </c>
      <c r="AE203" s="677">
        <f t="shared" si="215"/>
        <v>0</v>
      </c>
      <c r="AF203" s="678">
        <f t="shared" si="216"/>
        <v>0</v>
      </c>
      <c r="AG203" s="679">
        <f t="shared" si="217"/>
        <v>0</v>
      </c>
      <c r="AH203" s="675"/>
      <c r="AI203" s="676">
        <f t="shared" si="184"/>
        <v>0</v>
      </c>
      <c r="AJ203" s="677">
        <f t="shared" si="185"/>
        <v>0</v>
      </c>
      <c r="AK203" s="677">
        <f t="shared" si="218"/>
        <v>0</v>
      </c>
      <c r="AL203" s="678">
        <f t="shared" si="219"/>
        <v>0</v>
      </c>
      <c r="AM203" s="679">
        <f t="shared" si="220"/>
        <v>0</v>
      </c>
      <c r="AN203" s="675"/>
      <c r="AO203" s="676">
        <f t="shared" si="186"/>
        <v>0</v>
      </c>
      <c r="AP203" s="677">
        <f t="shared" si="187"/>
        <v>0</v>
      </c>
      <c r="AQ203" s="677">
        <f t="shared" si="221"/>
        <v>0</v>
      </c>
      <c r="AR203" s="678">
        <f t="shared" si="222"/>
        <v>0</v>
      </c>
      <c r="AS203" s="679">
        <f t="shared" si="223"/>
        <v>0</v>
      </c>
      <c r="AT203" s="675"/>
      <c r="AU203" s="676">
        <f t="shared" si="188"/>
        <v>0</v>
      </c>
      <c r="AV203" s="677">
        <f t="shared" si="189"/>
        <v>0</v>
      </c>
      <c r="AW203" s="677">
        <f t="shared" si="224"/>
        <v>0</v>
      </c>
      <c r="AX203" s="678">
        <f t="shared" si="225"/>
        <v>0</v>
      </c>
      <c r="AY203" s="679">
        <f t="shared" si="226"/>
        <v>0</v>
      </c>
      <c r="AZ203" s="675"/>
      <c r="BA203" s="676">
        <f t="shared" si="190"/>
        <v>0</v>
      </c>
      <c r="BB203" s="677">
        <f t="shared" si="191"/>
        <v>0</v>
      </c>
      <c r="BC203" s="677">
        <f t="shared" si="227"/>
        <v>0</v>
      </c>
      <c r="BD203" s="678">
        <f t="shared" si="228"/>
        <v>0</v>
      </c>
      <c r="BE203" s="679">
        <f t="shared" si="229"/>
        <v>0</v>
      </c>
      <c r="BF203" s="675"/>
      <c r="BG203" s="676">
        <f t="shared" si="192"/>
        <v>0</v>
      </c>
      <c r="BH203" s="677">
        <f t="shared" si="193"/>
        <v>0</v>
      </c>
      <c r="BI203" s="677">
        <f t="shared" si="230"/>
        <v>0</v>
      </c>
      <c r="BJ203" s="678">
        <f t="shared" si="231"/>
        <v>0</v>
      </c>
      <c r="BK203" s="679">
        <f t="shared" si="232"/>
        <v>0</v>
      </c>
      <c r="BL203" s="675"/>
      <c r="BM203" s="676">
        <f t="shared" si="194"/>
        <v>0</v>
      </c>
      <c r="BN203" s="677">
        <f t="shared" si="195"/>
        <v>0</v>
      </c>
      <c r="BO203" s="677">
        <f t="shared" si="233"/>
        <v>0</v>
      </c>
      <c r="BP203" s="678">
        <f t="shared" si="234"/>
        <v>0</v>
      </c>
      <c r="BQ203" s="679">
        <f t="shared" si="235"/>
        <v>0</v>
      </c>
      <c r="BR203" s="675"/>
      <c r="BS203" s="676">
        <f t="shared" si="196"/>
        <v>0</v>
      </c>
      <c r="BT203" s="677">
        <f t="shared" si="197"/>
        <v>0</v>
      </c>
      <c r="BU203" s="677">
        <f t="shared" si="236"/>
        <v>0</v>
      </c>
      <c r="BV203" s="678">
        <f t="shared" si="237"/>
        <v>0</v>
      </c>
      <c r="BW203" s="679">
        <f t="shared" si="238"/>
        <v>0</v>
      </c>
      <c r="BX203" s="675"/>
      <c r="BY203" s="676">
        <f t="shared" si="198"/>
        <v>0</v>
      </c>
      <c r="BZ203" s="677">
        <f t="shared" si="199"/>
        <v>0</v>
      </c>
      <c r="CA203" s="677">
        <f t="shared" si="239"/>
        <v>0</v>
      </c>
      <c r="CB203" s="678">
        <f t="shared" si="240"/>
        <v>0</v>
      </c>
      <c r="CC203" s="679">
        <f t="shared" si="241"/>
        <v>0</v>
      </c>
      <c r="CD203" s="675"/>
      <c r="CE203" s="676">
        <f t="shared" si="200"/>
        <v>0</v>
      </c>
      <c r="CF203" s="677">
        <f t="shared" si="201"/>
        <v>0</v>
      </c>
      <c r="CG203" s="677">
        <f t="shared" si="242"/>
        <v>0</v>
      </c>
      <c r="CH203" s="678">
        <f t="shared" si="243"/>
        <v>0</v>
      </c>
      <c r="CI203" s="679">
        <f t="shared" si="244"/>
        <v>0</v>
      </c>
      <c r="CJ203" s="675"/>
      <c r="CK203" s="676">
        <f t="shared" si="202"/>
        <v>0</v>
      </c>
      <c r="CL203" s="677">
        <f t="shared" si="203"/>
        <v>0</v>
      </c>
      <c r="CM203" s="677">
        <f t="shared" si="245"/>
        <v>0</v>
      </c>
      <c r="CN203" s="678">
        <f t="shared" si="246"/>
        <v>0</v>
      </c>
      <c r="CO203" s="679">
        <f t="shared" si="247"/>
        <v>0</v>
      </c>
      <c r="CP203" s="675"/>
      <c r="CQ203" s="676">
        <f t="shared" si="204"/>
        <v>0</v>
      </c>
      <c r="CR203" s="677">
        <f t="shared" si="205"/>
        <v>0</v>
      </c>
      <c r="CS203" s="677">
        <f t="shared" si="248"/>
        <v>0</v>
      </c>
      <c r="CT203" s="678">
        <f t="shared" si="249"/>
        <v>0</v>
      </c>
      <c r="CU203" s="679">
        <f t="shared" si="250"/>
        <v>0</v>
      </c>
      <c r="CV203" s="685"/>
      <c r="CW203" s="681"/>
      <c r="CX203" s="682"/>
      <c r="CY203" s="682"/>
      <c r="CZ203" s="683"/>
      <c r="DA203" s="684"/>
      <c r="DB203" s="685"/>
      <c r="DC203" s="681"/>
      <c r="DD203" s="682"/>
      <c r="DE203" s="682"/>
      <c r="DF203" s="683"/>
      <c r="DG203" s="684"/>
      <c r="DH203" s="685"/>
      <c r="DI203" s="681"/>
      <c r="DJ203" s="682"/>
      <c r="DK203" s="682"/>
      <c r="DL203" s="683"/>
      <c r="DM203" s="684"/>
      <c r="DN203" s="685"/>
      <c r="DO203" s="681"/>
      <c r="DP203" s="682"/>
      <c r="DQ203" s="682"/>
      <c r="DR203" s="683"/>
      <c r="DS203" s="684"/>
      <c r="DT203" s="675"/>
      <c r="DU203" s="676">
        <f t="shared" si="206"/>
        <v>0</v>
      </c>
      <c r="DV203" s="677">
        <f t="shared" si="207"/>
        <v>0</v>
      </c>
      <c r="DW203" s="677">
        <f t="shared" si="251"/>
        <v>0</v>
      </c>
      <c r="DX203" s="678">
        <f t="shared" si="252"/>
        <v>0</v>
      </c>
      <c r="DY203" s="679">
        <f t="shared" si="253"/>
        <v>0</v>
      </c>
      <c r="DZ203" s="680"/>
      <c r="EA203" s="681"/>
      <c r="EB203" s="682"/>
      <c r="EC203" s="682"/>
      <c r="ED203" s="683"/>
      <c r="EE203" s="684"/>
      <c r="EF203" s="680"/>
      <c r="EG203" s="681"/>
      <c r="EH203" s="682"/>
      <c r="EI203" s="682"/>
      <c r="EJ203" s="683"/>
      <c r="EK203" s="684"/>
      <c r="EL203" s="680"/>
      <c r="EM203" s="681"/>
      <c r="EN203" s="682"/>
      <c r="EO203" s="682"/>
      <c r="EP203" s="683"/>
      <c r="EQ203" s="684"/>
      <c r="ER203" s="680"/>
      <c r="ES203" s="681"/>
      <c r="ET203" s="682"/>
      <c r="EU203" s="682"/>
      <c r="EV203" s="683"/>
      <c r="EW203" s="684"/>
      <c r="EX203" s="675"/>
      <c r="EY203" s="676">
        <f t="shared" si="208"/>
        <v>0</v>
      </c>
      <c r="EZ203" s="677">
        <f t="shared" si="209"/>
        <v>0</v>
      </c>
      <c r="FA203" s="677">
        <f t="shared" si="254"/>
        <v>0</v>
      </c>
      <c r="FB203" s="678">
        <f t="shared" si="255"/>
        <v>0</v>
      </c>
      <c r="FC203" s="679">
        <f t="shared" si="256"/>
        <v>0</v>
      </c>
      <c r="FD203" s="680"/>
      <c r="FE203" s="681"/>
      <c r="FF203" s="682"/>
      <c r="FG203" s="682"/>
      <c r="FH203" s="683"/>
      <c r="FI203" s="684"/>
      <c r="FJ203" s="680"/>
      <c r="FK203" s="681"/>
      <c r="FL203" s="682"/>
      <c r="FM203" s="682"/>
      <c r="FN203" s="683"/>
      <c r="FO203" s="684"/>
      <c r="FP203" s="680"/>
      <c r="FQ203" s="681"/>
      <c r="FR203" s="682"/>
      <c r="FS203" s="682"/>
      <c r="FT203" s="683"/>
      <c r="FU203" s="684"/>
      <c r="FV203" s="680"/>
      <c r="FW203" s="681"/>
      <c r="FX203" s="682"/>
      <c r="FY203" s="682"/>
      <c r="FZ203" s="683"/>
      <c r="GA203" s="684"/>
      <c r="GB203" s="675"/>
      <c r="GC203" s="676">
        <f t="shared" si="210"/>
        <v>0</v>
      </c>
      <c r="GD203" s="677">
        <f t="shared" si="211"/>
        <v>0</v>
      </c>
      <c r="GE203" s="677">
        <f t="shared" si="257"/>
        <v>0</v>
      </c>
      <c r="GF203" s="678">
        <f t="shared" si="258"/>
        <v>0</v>
      </c>
      <c r="GG203" s="679">
        <f t="shared" si="259"/>
        <v>0</v>
      </c>
      <c r="GH203" s="680"/>
      <c r="GI203" s="681"/>
      <c r="GJ203" s="682"/>
      <c r="GK203" s="682"/>
      <c r="GL203" s="683"/>
      <c r="GM203" s="684"/>
      <c r="GN203" s="680"/>
      <c r="GO203" s="681"/>
      <c r="GP203" s="682"/>
      <c r="GQ203" s="682"/>
      <c r="GR203" s="683"/>
      <c r="GS203" s="684"/>
      <c r="GT203" s="680"/>
      <c r="GU203" s="681"/>
      <c r="GV203" s="682"/>
      <c r="GW203" s="682"/>
      <c r="GX203" s="683"/>
      <c r="GY203" s="684"/>
      <c r="GZ203" s="680"/>
      <c r="HA203" s="147"/>
      <c r="HB203" s="148"/>
      <c r="HC203" s="148"/>
      <c r="HD203" s="149"/>
      <c r="HE203" s="150"/>
      <c r="HF203" s="506"/>
      <c r="HG203" s="502"/>
      <c r="HH203" s="502"/>
      <c r="HI203" s="502"/>
      <c r="HJ203" s="8"/>
    </row>
    <row r="204" spans="2:218" ht="21" hidden="1">
      <c r="B204" s="488">
        <v>160</v>
      </c>
      <c r="C204" s="489" t="s">
        <v>368</v>
      </c>
      <c r="D204" s="490" t="s">
        <v>367</v>
      </c>
      <c r="E204" s="491" t="s">
        <v>369</v>
      </c>
      <c r="F204" s="492"/>
      <c r="G204" s="493"/>
      <c r="H204" s="146" t="s">
        <v>97</v>
      </c>
      <c r="I204" s="494" t="str">
        <f t="shared" si="177"/>
        <v>n.v.t.</v>
      </c>
      <c r="J204" s="495"/>
      <c r="K204" s="151">
        <v>0</v>
      </c>
      <c r="L204" s="256"/>
      <c r="M204" s="256">
        <f>IF($C$5&lt;3000,(Bron!H193*$C$5)+Bron!I193,(Bron!M193*$C$5)+Bron!N193)</f>
        <v>0</v>
      </c>
      <c r="N204" s="496">
        <f t="shared" si="260"/>
        <v>0</v>
      </c>
      <c r="O204" s="497" t="str">
        <f t="shared" si="261"/>
        <v/>
      </c>
      <c r="P204" s="257">
        <f>IF($C$5&lt;3000,$AN$32*Bron!J193,$AN$32*Bron!O193)</f>
        <v>0</v>
      </c>
      <c r="Q204" s="257">
        <f>IF($C$5&lt;3000,$AN$31*Bron!K193,$AN$31*Bron!P193)</f>
        <v>0</v>
      </c>
      <c r="R204" s="257">
        <f>IF($C$5&lt;3000,$AN$33*Bron!J193,$AN$33*Bron!O193)</f>
        <v>0</v>
      </c>
      <c r="S204" s="344"/>
      <c r="T204" s="258">
        <f t="shared" si="178"/>
        <v>0</v>
      </c>
      <c r="U204" s="259">
        <f t="shared" si="179"/>
        <v>0</v>
      </c>
      <c r="V204" s="675"/>
      <c r="W204" s="676">
        <f t="shared" si="180"/>
        <v>0</v>
      </c>
      <c r="X204" s="677">
        <f t="shared" si="181"/>
        <v>0</v>
      </c>
      <c r="Y204" s="677">
        <f t="shared" si="212"/>
        <v>0</v>
      </c>
      <c r="Z204" s="678">
        <f t="shared" si="213"/>
        <v>0</v>
      </c>
      <c r="AA204" s="679">
        <f t="shared" si="214"/>
        <v>0</v>
      </c>
      <c r="AB204" s="675"/>
      <c r="AC204" s="676">
        <f t="shared" si="182"/>
        <v>0</v>
      </c>
      <c r="AD204" s="677">
        <f t="shared" si="183"/>
        <v>0</v>
      </c>
      <c r="AE204" s="677">
        <f t="shared" si="215"/>
        <v>0</v>
      </c>
      <c r="AF204" s="678">
        <f t="shared" si="216"/>
        <v>0</v>
      </c>
      <c r="AG204" s="679">
        <f t="shared" si="217"/>
        <v>0</v>
      </c>
      <c r="AH204" s="675"/>
      <c r="AI204" s="676">
        <f t="shared" si="184"/>
        <v>0</v>
      </c>
      <c r="AJ204" s="677">
        <f t="shared" si="185"/>
        <v>0</v>
      </c>
      <c r="AK204" s="677">
        <f t="shared" si="218"/>
        <v>0</v>
      </c>
      <c r="AL204" s="678">
        <f t="shared" si="219"/>
        <v>0</v>
      </c>
      <c r="AM204" s="679">
        <f t="shared" si="220"/>
        <v>0</v>
      </c>
      <c r="AN204" s="675"/>
      <c r="AO204" s="676">
        <f t="shared" si="186"/>
        <v>0</v>
      </c>
      <c r="AP204" s="677">
        <f t="shared" si="187"/>
        <v>0</v>
      </c>
      <c r="AQ204" s="677">
        <f t="shared" si="221"/>
        <v>0</v>
      </c>
      <c r="AR204" s="678">
        <f t="shared" si="222"/>
        <v>0</v>
      </c>
      <c r="AS204" s="679">
        <f t="shared" si="223"/>
        <v>0</v>
      </c>
      <c r="AT204" s="675"/>
      <c r="AU204" s="676">
        <f t="shared" si="188"/>
        <v>0</v>
      </c>
      <c r="AV204" s="677">
        <f t="shared" si="189"/>
        <v>0</v>
      </c>
      <c r="AW204" s="677">
        <f t="shared" si="224"/>
        <v>0</v>
      </c>
      <c r="AX204" s="678">
        <f t="shared" si="225"/>
        <v>0</v>
      </c>
      <c r="AY204" s="679">
        <f t="shared" si="226"/>
        <v>0</v>
      </c>
      <c r="AZ204" s="675"/>
      <c r="BA204" s="676">
        <f t="shared" si="190"/>
        <v>0</v>
      </c>
      <c r="BB204" s="677">
        <f t="shared" si="191"/>
        <v>0</v>
      </c>
      <c r="BC204" s="677">
        <f t="shared" si="227"/>
        <v>0</v>
      </c>
      <c r="BD204" s="678">
        <f t="shared" si="228"/>
        <v>0</v>
      </c>
      <c r="BE204" s="679">
        <f t="shared" si="229"/>
        <v>0</v>
      </c>
      <c r="BF204" s="675"/>
      <c r="BG204" s="676">
        <f t="shared" si="192"/>
        <v>0</v>
      </c>
      <c r="BH204" s="677">
        <f t="shared" si="193"/>
        <v>0</v>
      </c>
      <c r="BI204" s="677">
        <f t="shared" si="230"/>
        <v>0</v>
      </c>
      <c r="BJ204" s="678">
        <f t="shared" si="231"/>
        <v>0</v>
      </c>
      <c r="BK204" s="679">
        <f t="shared" si="232"/>
        <v>0</v>
      </c>
      <c r="BL204" s="675"/>
      <c r="BM204" s="676">
        <f t="shared" si="194"/>
        <v>0</v>
      </c>
      <c r="BN204" s="677">
        <f t="shared" si="195"/>
        <v>0</v>
      </c>
      <c r="BO204" s="677">
        <f t="shared" si="233"/>
        <v>0</v>
      </c>
      <c r="BP204" s="678">
        <f t="shared" si="234"/>
        <v>0</v>
      </c>
      <c r="BQ204" s="679">
        <f t="shared" si="235"/>
        <v>0</v>
      </c>
      <c r="BR204" s="675"/>
      <c r="BS204" s="676">
        <f t="shared" si="196"/>
        <v>0</v>
      </c>
      <c r="BT204" s="677">
        <f t="shared" si="197"/>
        <v>0</v>
      </c>
      <c r="BU204" s="677">
        <f t="shared" si="236"/>
        <v>0</v>
      </c>
      <c r="BV204" s="678">
        <f t="shared" si="237"/>
        <v>0</v>
      </c>
      <c r="BW204" s="679">
        <f t="shared" si="238"/>
        <v>0</v>
      </c>
      <c r="BX204" s="675"/>
      <c r="BY204" s="676">
        <f t="shared" si="198"/>
        <v>0</v>
      </c>
      <c r="BZ204" s="677">
        <f t="shared" si="199"/>
        <v>0</v>
      </c>
      <c r="CA204" s="677">
        <f t="shared" si="239"/>
        <v>0</v>
      </c>
      <c r="CB204" s="678">
        <f t="shared" si="240"/>
        <v>0</v>
      </c>
      <c r="CC204" s="679">
        <f t="shared" si="241"/>
        <v>0</v>
      </c>
      <c r="CD204" s="675"/>
      <c r="CE204" s="676">
        <f t="shared" si="200"/>
        <v>0</v>
      </c>
      <c r="CF204" s="677">
        <f t="shared" si="201"/>
        <v>0</v>
      </c>
      <c r="CG204" s="677">
        <f t="shared" si="242"/>
        <v>0</v>
      </c>
      <c r="CH204" s="678">
        <f t="shared" si="243"/>
        <v>0</v>
      </c>
      <c r="CI204" s="679">
        <f t="shared" si="244"/>
        <v>0</v>
      </c>
      <c r="CJ204" s="675"/>
      <c r="CK204" s="676">
        <f t="shared" si="202"/>
        <v>0</v>
      </c>
      <c r="CL204" s="677">
        <f t="shared" si="203"/>
        <v>0</v>
      </c>
      <c r="CM204" s="677">
        <f t="shared" si="245"/>
        <v>0</v>
      </c>
      <c r="CN204" s="678">
        <f t="shared" si="246"/>
        <v>0</v>
      </c>
      <c r="CO204" s="679">
        <f t="shared" si="247"/>
        <v>0</v>
      </c>
      <c r="CP204" s="675"/>
      <c r="CQ204" s="676">
        <f t="shared" si="204"/>
        <v>0</v>
      </c>
      <c r="CR204" s="677">
        <f t="shared" si="205"/>
        <v>0</v>
      </c>
      <c r="CS204" s="677">
        <f t="shared" si="248"/>
        <v>0</v>
      </c>
      <c r="CT204" s="678">
        <f t="shared" si="249"/>
        <v>0</v>
      </c>
      <c r="CU204" s="679">
        <f t="shared" si="250"/>
        <v>0</v>
      </c>
      <c r="CV204" s="685"/>
      <c r="CW204" s="681"/>
      <c r="CX204" s="682"/>
      <c r="CY204" s="682"/>
      <c r="CZ204" s="683"/>
      <c r="DA204" s="684"/>
      <c r="DB204" s="685"/>
      <c r="DC204" s="681"/>
      <c r="DD204" s="682"/>
      <c r="DE204" s="682"/>
      <c r="DF204" s="683"/>
      <c r="DG204" s="684"/>
      <c r="DH204" s="685"/>
      <c r="DI204" s="681"/>
      <c r="DJ204" s="682"/>
      <c r="DK204" s="682"/>
      <c r="DL204" s="683"/>
      <c r="DM204" s="684"/>
      <c r="DN204" s="685"/>
      <c r="DO204" s="681"/>
      <c r="DP204" s="682"/>
      <c r="DQ204" s="682"/>
      <c r="DR204" s="683"/>
      <c r="DS204" s="684"/>
      <c r="DT204" s="675"/>
      <c r="DU204" s="676">
        <f t="shared" si="206"/>
        <v>0</v>
      </c>
      <c r="DV204" s="677">
        <f t="shared" si="207"/>
        <v>0</v>
      </c>
      <c r="DW204" s="677">
        <f t="shared" si="251"/>
        <v>0</v>
      </c>
      <c r="DX204" s="678">
        <f t="shared" si="252"/>
        <v>0</v>
      </c>
      <c r="DY204" s="679">
        <f t="shared" si="253"/>
        <v>0</v>
      </c>
      <c r="DZ204" s="680"/>
      <c r="EA204" s="681"/>
      <c r="EB204" s="682"/>
      <c r="EC204" s="682"/>
      <c r="ED204" s="683"/>
      <c r="EE204" s="684"/>
      <c r="EF204" s="680"/>
      <c r="EG204" s="681"/>
      <c r="EH204" s="682"/>
      <c r="EI204" s="682"/>
      <c r="EJ204" s="683"/>
      <c r="EK204" s="684"/>
      <c r="EL204" s="680"/>
      <c r="EM204" s="681"/>
      <c r="EN204" s="682"/>
      <c r="EO204" s="682"/>
      <c r="EP204" s="683"/>
      <c r="EQ204" s="684"/>
      <c r="ER204" s="680"/>
      <c r="ES204" s="681"/>
      <c r="ET204" s="682"/>
      <c r="EU204" s="682"/>
      <c r="EV204" s="683"/>
      <c r="EW204" s="684"/>
      <c r="EX204" s="675"/>
      <c r="EY204" s="676">
        <f t="shared" si="208"/>
        <v>0</v>
      </c>
      <c r="EZ204" s="677">
        <f t="shared" si="209"/>
        <v>0</v>
      </c>
      <c r="FA204" s="677">
        <f t="shared" si="254"/>
        <v>0</v>
      </c>
      <c r="FB204" s="678">
        <f t="shared" si="255"/>
        <v>0</v>
      </c>
      <c r="FC204" s="679">
        <f t="shared" si="256"/>
        <v>0</v>
      </c>
      <c r="FD204" s="680"/>
      <c r="FE204" s="681"/>
      <c r="FF204" s="682"/>
      <c r="FG204" s="682"/>
      <c r="FH204" s="683"/>
      <c r="FI204" s="684"/>
      <c r="FJ204" s="680"/>
      <c r="FK204" s="681"/>
      <c r="FL204" s="682"/>
      <c r="FM204" s="682"/>
      <c r="FN204" s="683"/>
      <c r="FO204" s="684"/>
      <c r="FP204" s="680"/>
      <c r="FQ204" s="681"/>
      <c r="FR204" s="682"/>
      <c r="FS204" s="682"/>
      <c r="FT204" s="683"/>
      <c r="FU204" s="684"/>
      <c r="FV204" s="680"/>
      <c r="FW204" s="681"/>
      <c r="FX204" s="682"/>
      <c r="FY204" s="682"/>
      <c r="FZ204" s="683"/>
      <c r="GA204" s="684"/>
      <c r="GB204" s="675"/>
      <c r="GC204" s="676">
        <f t="shared" si="210"/>
        <v>0</v>
      </c>
      <c r="GD204" s="677">
        <f t="shared" si="211"/>
        <v>0</v>
      </c>
      <c r="GE204" s="677">
        <f t="shared" si="257"/>
        <v>0</v>
      </c>
      <c r="GF204" s="678">
        <f t="shared" si="258"/>
        <v>0</v>
      </c>
      <c r="GG204" s="679">
        <f t="shared" si="259"/>
        <v>0</v>
      </c>
      <c r="GH204" s="680"/>
      <c r="GI204" s="681"/>
      <c r="GJ204" s="682"/>
      <c r="GK204" s="682"/>
      <c r="GL204" s="683"/>
      <c r="GM204" s="684"/>
      <c r="GN204" s="680"/>
      <c r="GO204" s="681"/>
      <c r="GP204" s="682"/>
      <c r="GQ204" s="682"/>
      <c r="GR204" s="683"/>
      <c r="GS204" s="684"/>
      <c r="GT204" s="680"/>
      <c r="GU204" s="681"/>
      <c r="GV204" s="682"/>
      <c r="GW204" s="682"/>
      <c r="GX204" s="683"/>
      <c r="GY204" s="684"/>
      <c r="GZ204" s="680"/>
      <c r="HA204" s="147"/>
      <c r="HB204" s="148"/>
      <c r="HC204" s="148"/>
      <c r="HD204" s="149"/>
      <c r="HE204" s="150"/>
      <c r="HF204" s="506"/>
      <c r="HG204" s="502"/>
      <c r="HH204" s="502"/>
      <c r="HI204" s="502"/>
      <c r="HJ204" s="8"/>
    </row>
    <row r="205" spans="2:218" ht="21" hidden="1">
      <c r="B205" s="488">
        <v>161</v>
      </c>
      <c r="C205" s="489" t="s">
        <v>368</v>
      </c>
      <c r="D205" s="490" t="s">
        <v>370</v>
      </c>
      <c r="E205" s="491" t="s">
        <v>371</v>
      </c>
      <c r="F205" s="492"/>
      <c r="G205" s="493"/>
      <c r="H205" s="146" t="s">
        <v>97</v>
      </c>
      <c r="I205" s="494" t="str">
        <f t="shared" si="177"/>
        <v>n.v.t.</v>
      </c>
      <c r="J205" s="495"/>
      <c r="K205" s="151">
        <v>0</v>
      </c>
      <c r="L205" s="256"/>
      <c r="M205" s="256">
        <f>IF($C$5&lt;3000,(Bron!H194*$C$5)+Bron!I194,(Bron!M194*$C$5)+Bron!N194)</f>
        <v>0</v>
      </c>
      <c r="N205" s="496">
        <f t="shared" si="260"/>
        <v>0</v>
      </c>
      <c r="O205" s="497" t="str">
        <f t="shared" si="261"/>
        <v/>
      </c>
      <c r="P205" s="257">
        <f>IF($C$5&lt;3000,$AN$32*Bron!J194,$AN$32*Bron!O194)</f>
        <v>0</v>
      </c>
      <c r="Q205" s="257">
        <f>IF($C$5&lt;3000,$AN$31*Bron!K194,$AN$31*Bron!P194)</f>
        <v>0</v>
      </c>
      <c r="R205" s="257">
        <f>IF($C$5&lt;3000,$AN$33*Bron!J194,$AN$33*Bron!O194)</f>
        <v>0</v>
      </c>
      <c r="S205" s="344"/>
      <c r="T205" s="258">
        <f t="shared" si="178"/>
        <v>0</v>
      </c>
      <c r="U205" s="259">
        <f t="shared" si="179"/>
        <v>0</v>
      </c>
      <c r="V205" s="675"/>
      <c r="W205" s="676">
        <f t="shared" si="180"/>
        <v>0</v>
      </c>
      <c r="X205" s="677">
        <f t="shared" si="181"/>
        <v>0</v>
      </c>
      <c r="Y205" s="677">
        <f t="shared" si="212"/>
        <v>0</v>
      </c>
      <c r="Z205" s="678">
        <f t="shared" si="213"/>
        <v>0</v>
      </c>
      <c r="AA205" s="679">
        <f t="shared" si="214"/>
        <v>0</v>
      </c>
      <c r="AB205" s="675"/>
      <c r="AC205" s="676">
        <f t="shared" si="182"/>
        <v>0</v>
      </c>
      <c r="AD205" s="677">
        <f t="shared" si="183"/>
        <v>0</v>
      </c>
      <c r="AE205" s="677">
        <f t="shared" si="215"/>
        <v>0</v>
      </c>
      <c r="AF205" s="678">
        <f t="shared" si="216"/>
        <v>0</v>
      </c>
      <c r="AG205" s="679">
        <f t="shared" si="217"/>
        <v>0</v>
      </c>
      <c r="AH205" s="675"/>
      <c r="AI205" s="676">
        <f t="shared" si="184"/>
        <v>0</v>
      </c>
      <c r="AJ205" s="677">
        <f t="shared" si="185"/>
        <v>0</v>
      </c>
      <c r="AK205" s="677">
        <f t="shared" si="218"/>
        <v>0</v>
      </c>
      <c r="AL205" s="678">
        <f t="shared" si="219"/>
        <v>0</v>
      </c>
      <c r="AM205" s="679">
        <f t="shared" si="220"/>
        <v>0</v>
      </c>
      <c r="AN205" s="675"/>
      <c r="AO205" s="676">
        <f t="shared" si="186"/>
        <v>0</v>
      </c>
      <c r="AP205" s="677">
        <f t="shared" si="187"/>
        <v>0</v>
      </c>
      <c r="AQ205" s="677">
        <f t="shared" si="221"/>
        <v>0</v>
      </c>
      <c r="AR205" s="678">
        <f t="shared" si="222"/>
        <v>0</v>
      </c>
      <c r="AS205" s="679">
        <f t="shared" si="223"/>
        <v>0</v>
      </c>
      <c r="AT205" s="675"/>
      <c r="AU205" s="676">
        <f t="shared" si="188"/>
        <v>0</v>
      </c>
      <c r="AV205" s="677">
        <f t="shared" si="189"/>
        <v>0</v>
      </c>
      <c r="AW205" s="677">
        <f t="shared" si="224"/>
        <v>0</v>
      </c>
      <c r="AX205" s="678">
        <f t="shared" si="225"/>
        <v>0</v>
      </c>
      <c r="AY205" s="679">
        <f t="shared" si="226"/>
        <v>0</v>
      </c>
      <c r="AZ205" s="675"/>
      <c r="BA205" s="676">
        <f t="shared" si="190"/>
        <v>0</v>
      </c>
      <c r="BB205" s="677">
        <f t="shared" si="191"/>
        <v>0</v>
      </c>
      <c r="BC205" s="677">
        <f t="shared" si="227"/>
        <v>0</v>
      </c>
      <c r="BD205" s="678">
        <f t="shared" si="228"/>
        <v>0</v>
      </c>
      <c r="BE205" s="679">
        <f t="shared" si="229"/>
        <v>0</v>
      </c>
      <c r="BF205" s="675"/>
      <c r="BG205" s="676">
        <f t="shared" si="192"/>
        <v>0</v>
      </c>
      <c r="BH205" s="677">
        <f t="shared" si="193"/>
        <v>0</v>
      </c>
      <c r="BI205" s="677">
        <f t="shared" si="230"/>
        <v>0</v>
      </c>
      <c r="BJ205" s="678">
        <f t="shared" si="231"/>
        <v>0</v>
      </c>
      <c r="BK205" s="679">
        <f t="shared" si="232"/>
        <v>0</v>
      </c>
      <c r="BL205" s="675"/>
      <c r="BM205" s="676">
        <f t="shared" si="194"/>
        <v>0</v>
      </c>
      <c r="BN205" s="677">
        <f t="shared" si="195"/>
        <v>0</v>
      </c>
      <c r="BO205" s="677">
        <f t="shared" si="233"/>
        <v>0</v>
      </c>
      <c r="BP205" s="678">
        <f t="shared" si="234"/>
        <v>0</v>
      </c>
      <c r="BQ205" s="679">
        <f t="shared" si="235"/>
        <v>0</v>
      </c>
      <c r="BR205" s="675"/>
      <c r="BS205" s="676">
        <f t="shared" si="196"/>
        <v>0</v>
      </c>
      <c r="BT205" s="677">
        <f t="shared" si="197"/>
        <v>0</v>
      </c>
      <c r="BU205" s="677">
        <f t="shared" si="236"/>
        <v>0</v>
      </c>
      <c r="BV205" s="678">
        <f t="shared" si="237"/>
        <v>0</v>
      </c>
      <c r="BW205" s="679">
        <f t="shared" si="238"/>
        <v>0</v>
      </c>
      <c r="BX205" s="675"/>
      <c r="BY205" s="676">
        <f t="shared" si="198"/>
        <v>0</v>
      </c>
      <c r="BZ205" s="677">
        <f t="shared" si="199"/>
        <v>0</v>
      </c>
      <c r="CA205" s="677">
        <f t="shared" si="239"/>
        <v>0</v>
      </c>
      <c r="CB205" s="678">
        <f t="shared" si="240"/>
        <v>0</v>
      </c>
      <c r="CC205" s="679">
        <f t="shared" si="241"/>
        <v>0</v>
      </c>
      <c r="CD205" s="675"/>
      <c r="CE205" s="676">
        <f t="shared" si="200"/>
        <v>0</v>
      </c>
      <c r="CF205" s="677">
        <f t="shared" si="201"/>
        <v>0</v>
      </c>
      <c r="CG205" s="677">
        <f t="shared" si="242"/>
        <v>0</v>
      </c>
      <c r="CH205" s="678">
        <f t="shared" si="243"/>
        <v>0</v>
      </c>
      <c r="CI205" s="679">
        <f t="shared" si="244"/>
        <v>0</v>
      </c>
      <c r="CJ205" s="675"/>
      <c r="CK205" s="676">
        <f t="shared" si="202"/>
        <v>0</v>
      </c>
      <c r="CL205" s="677">
        <f t="shared" si="203"/>
        <v>0</v>
      </c>
      <c r="CM205" s="677">
        <f t="shared" si="245"/>
        <v>0</v>
      </c>
      <c r="CN205" s="678">
        <f t="shared" si="246"/>
        <v>0</v>
      </c>
      <c r="CO205" s="679">
        <f t="shared" si="247"/>
        <v>0</v>
      </c>
      <c r="CP205" s="675"/>
      <c r="CQ205" s="676">
        <f t="shared" si="204"/>
        <v>0</v>
      </c>
      <c r="CR205" s="677">
        <f t="shared" si="205"/>
        <v>0</v>
      </c>
      <c r="CS205" s="677">
        <f t="shared" si="248"/>
        <v>0</v>
      </c>
      <c r="CT205" s="678">
        <f t="shared" si="249"/>
        <v>0</v>
      </c>
      <c r="CU205" s="679">
        <f t="shared" si="250"/>
        <v>0</v>
      </c>
      <c r="CV205" s="685"/>
      <c r="CW205" s="681"/>
      <c r="CX205" s="682"/>
      <c r="CY205" s="682"/>
      <c r="CZ205" s="683"/>
      <c r="DA205" s="684"/>
      <c r="DB205" s="685"/>
      <c r="DC205" s="681"/>
      <c r="DD205" s="682"/>
      <c r="DE205" s="682"/>
      <c r="DF205" s="683"/>
      <c r="DG205" s="684"/>
      <c r="DH205" s="685"/>
      <c r="DI205" s="681"/>
      <c r="DJ205" s="682"/>
      <c r="DK205" s="682"/>
      <c r="DL205" s="683"/>
      <c r="DM205" s="684"/>
      <c r="DN205" s="685"/>
      <c r="DO205" s="681"/>
      <c r="DP205" s="682"/>
      <c r="DQ205" s="682"/>
      <c r="DR205" s="683"/>
      <c r="DS205" s="684"/>
      <c r="DT205" s="675"/>
      <c r="DU205" s="676">
        <f t="shared" si="206"/>
        <v>0</v>
      </c>
      <c r="DV205" s="677">
        <f t="shared" si="207"/>
        <v>0</v>
      </c>
      <c r="DW205" s="677">
        <f t="shared" si="251"/>
        <v>0</v>
      </c>
      <c r="DX205" s="678">
        <f t="shared" si="252"/>
        <v>0</v>
      </c>
      <c r="DY205" s="679">
        <f t="shared" si="253"/>
        <v>0</v>
      </c>
      <c r="DZ205" s="680"/>
      <c r="EA205" s="681"/>
      <c r="EB205" s="682"/>
      <c r="EC205" s="682"/>
      <c r="ED205" s="683"/>
      <c r="EE205" s="684"/>
      <c r="EF205" s="680"/>
      <c r="EG205" s="681"/>
      <c r="EH205" s="682"/>
      <c r="EI205" s="682"/>
      <c r="EJ205" s="683"/>
      <c r="EK205" s="684"/>
      <c r="EL205" s="680"/>
      <c r="EM205" s="681"/>
      <c r="EN205" s="682"/>
      <c r="EO205" s="682"/>
      <c r="EP205" s="683"/>
      <c r="EQ205" s="684"/>
      <c r="ER205" s="680"/>
      <c r="ES205" s="681"/>
      <c r="ET205" s="682"/>
      <c r="EU205" s="682"/>
      <c r="EV205" s="683"/>
      <c r="EW205" s="684"/>
      <c r="EX205" s="675"/>
      <c r="EY205" s="676">
        <f t="shared" si="208"/>
        <v>0</v>
      </c>
      <c r="EZ205" s="677">
        <f t="shared" si="209"/>
        <v>0</v>
      </c>
      <c r="FA205" s="677">
        <f t="shared" si="254"/>
        <v>0</v>
      </c>
      <c r="FB205" s="678">
        <f t="shared" si="255"/>
        <v>0</v>
      </c>
      <c r="FC205" s="679">
        <f t="shared" si="256"/>
        <v>0</v>
      </c>
      <c r="FD205" s="680"/>
      <c r="FE205" s="681"/>
      <c r="FF205" s="682"/>
      <c r="FG205" s="682"/>
      <c r="FH205" s="683"/>
      <c r="FI205" s="684"/>
      <c r="FJ205" s="680"/>
      <c r="FK205" s="681"/>
      <c r="FL205" s="682"/>
      <c r="FM205" s="682"/>
      <c r="FN205" s="683"/>
      <c r="FO205" s="684"/>
      <c r="FP205" s="680"/>
      <c r="FQ205" s="681"/>
      <c r="FR205" s="682"/>
      <c r="FS205" s="682"/>
      <c r="FT205" s="683"/>
      <c r="FU205" s="684"/>
      <c r="FV205" s="680"/>
      <c r="FW205" s="681"/>
      <c r="FX205" s="682"/>
      <c r="FY205" s="682"/>
      <c r="FZ205" s="683"/>
      <c r="GA205" s="684"/>
      <c r="GB205" s="675"/>
      <c r="GC205" s="676">
        <f t="shared" si="210"/>
        <v>0</v>
      </c>
      <c r="GD205" s="677">
        <f t="shared" si="211"/>
        <v>0</v>
      </c>
      <c r="GE205" s="677">
        <f t="shared" si="257"/>
        <v>0</v>
      </c>
      <c r="GF205" s="678">
        <f t="shared" si="258"/>
        <v>0</v>
      </c>
      <c r="GG205" s="679">
        <f t="shared" si="259"/>
        <v>0</v>
      </c>
      <c r="GH205" s="680"/>
      <c r="GI205" s="681"/>
      <c r="GJ205" s="682"/>
      <c r="GK205" s="682"/>
      <c r="GL205" s="683"/>
      <c r="GM205" s="684"/>
      <c r="GN205" s="680"/>
      <c r="GO205" s="681"/>
      <c r="GP205" s="682"/>
      <c r="GQ205" s="682"/>
      <c r="GR205" s="683"/>
      <c r="GS205" s="684"/>
      <c r="GT205" s="680"/>
      <c r="GU205" s="681"/>
      <c r="GV205" s="682"/>
      <c r="GW205" s="682"/>
      <c r="GX205" s="683"/>
      <c r="GY205" s="684"/>
      <c r="GZ205" s="680"/>
      <c r="HA205" s="147"/>
      <c r="HB205" s="148"/>
      <c r="HC205" s="148"/>
      <c r="HD205" s="149"/>
      <c r="HE205" s="150"/>
      <c r="HF205" s="506"/>
      <c r="HG205" s="502"/>
      <c r="HH205" s="502"/>
      <c r="HI205" s="502"/>
      <c r="HJ205" s="8"/>
    </row>
    <row r="206" spans="2:218" ht="21" hidden="1">
      <c r="B206" s="488">
        <v>162</v>
      </c>
      <c r="C206" s="489" t="s">
        <v>368</v>
      </c>
      <c r="D206" s="490" t="s">
        <v>372</v>
      </c>
      <c r="E206" s="491" t="s">
        <v>435</v>
      </c>
      <c r="F206" s="492"/>
      <c r="G206" s="493"/>
      <c r="H206" s="146" t="s">
        <v>97</v>
      </c>
      <c r="I206" s="494" t="str">
        <f t="shared" si="177"/>
        <v>n.v.t.</v>
      </c>
      <c r="J206" s="495"/>
      <c r="K206" s="151">
        <v>0</v>
      </c>
      <c r="L206" s="256"/>
      <c r="M206" s="256">
        <f>IF($C$5&lt;3000,(Bron!H195*$C$5)+Bron!I195,(Bron!M195*$C$5)+Bron!N195)</f>
        <v>0</v>
      </c>
      <c r="N206" s="496">
        <f t="shared" si="260"/>
        <v>0</v>
      </c>
      <c r="O206" s="497" t="str">
        <f t="shared" si="261"/>
        <v/>
      </c>
      <c r="P206" s="257">
        <f>IF($C$5&lt;3000,$AN$32*Bron!J195,$AN$32*Bron!O195)</f>
        <v>0</v>
      </c>
      <c r="Q206" s="257">
        <f>IF($C$5&lt;3000,$AN$31*Bron!K195,$AN$31*Bron!P195)</f>
        <v>0</v>
      </c>
      <c r="R206" s="257">
        <f>IF($C$5&lt;3000,$AN$33*Bron!J195,$AN$33*Bron!O195)</f>
        <v>0</v>
      </c>
      <c r="S206" s="344"/>
      <c r="T206" s="258">
        <f t="shared" si="178"/>
        <v>0</v>
      </c>
      <c r="U206" s="259">
        <f t="shared" si="179"/>
        <v>0</v>
      </c>
      <c r="V206" s="675"/>
      <c r="W206" s="676">
        <f t="shared" si="180"/>
        <v>0</v>
      </c>
      <c r="X206" s="677">
        <f t="shared" si="181"/>
        <v>0</v>
      </c>
      <c r="Y206" s="677">
        <f t="shared" si="212"/>
        <v>0</v>
      </c>
      <c r="Z206" s="678">
        <f t="shared" si="213"/>
        <v>0</v>
      </c>
      <c r="AA206" s="679">
        <f t="shared" si="214"/>
        <v>0</v>
      </c>
      <c r="AB206" s="675"/>
      <c r="AC206" s="676">
        <f t="shared" si="182"/>
        <v>0</v>
      </c>
      <c r="AD206" s="677">
        <f t="shared" si="183"/>
        <v>0</v>
      </c>
      <c r="AE206" s="677">
        <f t="shared" si="215"/>
        <v>0</v>
      </c>
      <c r="AF206" s="678">
        <f t="shared" si="216"/>
        <v>0</v>
      </c>
      <c r="AG206" s="679">
        <f t="shared" si="217"/>
        <v>0</v>
      </c>
      <c r="AH206" s="675"/>
      <c r="AI206" s="676">
        <f t="shared" si="184"/>
        <v>0</v>
      </c>
      <c r="AJ206" s="677">
        <f t="shared" si="185"/>
        <v>0</v>
      </c>
      <c r="AK206" s="677">
        <f t="shared" si="218"/>
        <v>0</v>
      </c>
      <c r="AL206" s="678">
        <f t="shared" si="219"/>
        <v>0</v>
      </c>
      <c r="AM206" s="679">
        <f t="shared" si="220"/>
        <v>0</v>
      </c>
      <c r="AN206" s="675"/>
      <c r="AO206" s="676">
        <f t="shared" si="186"/>
        <v>0</v>
      </c>
      <c r="AP206" s="677">
        <f t="shared" si="187"/>
        <v>0</v>
      </c>
      <c r="AQ206" s="677">
        <f t="shared" si="221"/>
        <v>0</v>
      </c>
      <c r="AR206" s="678">
        <f t="shared" si="222"/>
        <v>0</v>
      </c>
      <c r="AS206" s="679">
        <f t="shared" si="223"/>
        <v>0</v>
      </c>
      <c r="AT206" s="675"/>
      <c r="AU206" s="676">
        <f t="shared" si="188"/>
        <v>0</v>
      </c>
      <c r="AV206" s="677">
        <f t="shared" si="189"/>
        <v>0</v>
      </c>
      <c r="AW206" s="677">
        <f t="shared" si="224"/>
        <v>0</v>
      </c>
      <c r="AX206" s="678">
        <f t="shared" si="225"/>
        <v>0</v>
      </c>
      <c r="AY206" s="679">
        <f t="shared" si="226"/>
        <v>0</v>
      </c>
      <c r="AZ206" s="675"/>
      <c r="BA206" s="676">
        <f t="shared" si="190"/>
        <v>0</v>
      </c>
      <c r="BB206" s="677">
        <f t="shared" si="191"/>
        <v>0</v>
      </c>
      <c r="BC206" s="677">
        <f t="shared" si="227"/>
        <v>0</v>
      </c>
      <c r="BD206" s="678">
        <f t="shared" si="228"/>
        <v>0</v>
      </c>
      <c r="BE206" s="679">
        <f t="shared" si="229"/>
        <v>0</v>
      </c>
      <c r="BF206" s="675"/>
      <c r="BG206" s="676">
        <f t="shared" si="192"/>
        <v>0</v>
      </c>
      <c r="BH206" s="677">
        <f t="shared" si="193"/>
        <v>0</v>
      </c>
      <c r="BI206" s="677">
        <f t="shared" si="230"/>
        <v>0</v>
      </c>
      <c r="BJ206" s="678">
        <f t="shared" si="231"/>
        <v>0</v>
      </c>
      <c r="BK206" s="679">
        <f t="shared" si="232"/>
        <v>0</v>
      </c>
      <c r="BL206" s="675"/>
      <c r="BM206" s="676">
        <f t="shared" si="194"/>
        <v>0</v>
      </c>
      <c r="BN206" s="677">
        <f t="shared" si="195"/>
        <v>0</v>
      </c>
      <c r="BO206" s="677">
        <f t="shared" si="233"/>
        <v>0</v>
      </c>
      <c r="BP206" s="678">
        <f t="shared" si="234"/>
        <v>0</v>
      </c>
      <c r="BQ206" s="679">
        <f t="shared" si="235"/>
        <v>0</v>
      </c>
      <c r="BR206" s="675"/>
      <c r="BS206" s="676">
        <f t="shared" si="196"/>
        <v>0</v>
      </c>
      <c r="BT206" s="677">
        <f t="shared" si="197"/>
        <v>0</v>
      </c>
      <c r="BU206" s="677">
        <f t="shared" si="236"/>
        <v>0</v>
      </c>
      <c r="BV206" s="678">
        <f t="shared" si="237"/>
        <v>0</v>
      </c>
      <c r="BW206" s="679">
        <f t="shared" si="238"/>
        <v>0</v>
      </c>
      <c r="BX206" s="675"/>
      <c r="BY206" s="676">
        <f t="shared" si="198"/>
        <v>0</v>
      </c>
      <c r="BZ206" s="677">
        <f t="shared" si="199"/>
        <v>0</v>
      </c>
      <c r="CA206" s="677">
        <f t="shared" si="239"/>
        <v>0</v>
      </c>
      <c r="CB206" s="678">
        <f t="shared" si="240"/>
        <v>0</v>
      </c>
      <c r="CC206" s="679">
        <f t="shared" si="241"/>
        <v>0</v>
      </c>
      <c r="CD206" s="675"/>
      <c r="CE206" s="676">
        <f t="shared" si="200"/>
        <v>0</v>
      </c>
      <c r="CF206" s="677">
        <f t="shared" si="201"/>
        <v>0</v>
      </c>
      <c r="CG206" s="677">
        <f t="shared" si="242"/>
        <v>0</v>
      </c>
      <c r="CH206" s="678">
        <f t="shared" si="243"/>
        <v>0</v>
      </c>
      <c r="CI206" s="679">
        <f t="shared" si="244"/>
        <v>0</v>
      </c>
      <c r="CJ206" s="675"/>
      <c r="CK206" s="676">
        <f t="shared" si="202"/>
        <v>0</v>
      </c>
      <c r="CL206" s="677">
        <f t="shared" si="203"/>
        <v>0</v>
      </c>
      <c r="CM206" s="677">
        <f t="shared" si="245"/>
        <v>0</v>
      </c>
      <c r="CN206" s="678">
        <f t="shared" si="246"/>
        <v>0</v>
      </c>
      <c r="CO206" s="679">
        <f t="shared" si="247"/>
        <v>0</v>
      </c>
      <c r="CP206" s="675"/>
      <c r="CQ206" s="676">
        <f t="shared" si="204"/>
        <v>0</v>
      </c>
      <c r="CR206" s="677">
        <f t="shared" si="205"/>
        <v>0</v>
      </c>
      <c r="CS206" s="677">
        <f t="shared" si="248"/>
        <v>0</v>
      </c>
      <c r="CT206" s="678">
        <f t="shared" si="249"/>
        <v>0</v>
      </c>
      <c r="CU206" s="679">
        <f t="shared" si="250"/>
        <v>0</v>
      </c>
      <c r="CV206" s="685"/>
      <c r="CW206" s="681"/>
      <c r="CX206" s="682"/>
      <c r="CY206" s="682"/>
      <c r="CZ206" s="683"/>
      <c r="DA206" s="684"/>
      <c r="DB206" s="685"/>
      <c r="DC206" s="681"/>
      <c r="DD206" s="682"/>
      <c r="DE206" s="682"/>
      <c r="DF206" s="683"/>
      <c r="DG206" s="684"/>
      <c r="DH206" s="685"/>
      <c r="DI206" s="681"/>
      <c r="DJ206" s="682"/>
      <c r="DK206" s="682"/>
      <c r="DL206" s="683"/>
      <c r="DM206" s="684"/>
      <c r="DN206" s="685"/>
      <c r="DO206" s="681"/>
      <c r="DP206" s="682"/>
      <c r="DQ206" s="682"/>
      <c r="DR206" s="683"/>
      <c r="DS206" s="684"/>
      <c r="DT206" s="675"/>
      <c r="DU206" s="676">
        <f t="shared" si="206"/>
        <v>0</v>
      </c>
      <c r="DV206" s="677">
        <f t="shared" si="207"/>
        <v>0</v>
      </c>
      <c r="DW206" s="677">
        <f t="shared" si="251"/>
        <v>0</v>
      </c>
      <c r="DX206" s="678">
        <f t="shared" si="252"/>
        <v>0</v>
      </c>
      <c r="DY206" s="679">
        <f t="shared" si="253"/>
        <v>0</v>
      </c>
      <c r="DZ206" s="680"/>
      <c r="EA206" s="681"/>
      <c r="EB206" s="682"/>
      <c r="EC206" s="682"/>
      <c r="ED206" s="683"/>
      <c r="EE206" s="684"/>
      <c r="EF206" s="680"/>
      <c r="EG206" s="681"/>
      <c r="EH206" s="682"/>
      <c r="EI206" s="682"/>
      <c r="EJ206" s="683"/>
      <c r="EK206" s="684"/>
      <c r="EL206" s="680"/>
      <c r="EM206" s="681"/>
      <c r="EN206" s="682"/>
      <c r="EO206" s="682"/>
      <c r="EP206" s="683"/>
      <c r="EQ206" s="684"/>
      <c r="ER206" s="680"/>
      <c r="ES206" s="681"/>
      <c r="ET206" s="682"/>
      <c r="EU206" s="682"/>
      <c r="EV206" s="683"/>
      <c r="EW206" s="684"/>
      <c r="EX206" s="675"/>
      <c r="EY206" s="676">
        <f t="shared" si="208"/>
        <v>0</v>
      </c>
      <c r="EZ206" s="677">
        <f t="shared" si="209"/>
        <v>0</v>
      </c>
      <c r="FA206" s="677">
        <f t="shared" si="254"/>
        <v>0</v>
      </c>
      <c r="FB206" s="678">
        <f t="shared" si="255"/>
        <v>0</v>
      </c>
      <c r="FC206" s="679">
        <f t="shared" si="256"/>
        <v>0</v>
      </c>
      <c r="FD206" s="680"/>
      <c r="FE206" s="681"/>
      <c r="FF206" s="682"/>
      <c r="FG206" s="682"/>
      <c r="FH206" s="683"/>
      <c r="FI206" s="684"/>
      <c r="FJ206" s="680"/>
      <c r="FK206" s="681"/>
      <c r="FL206" s="682"/>
      <c r="FM206" s="682"/>
      <c r="FN206" s="683"/>
      <c r="FO206" s="684"/>
      <c r="FP206" s="680"/>
      <c r="FQ206" s="681"/>
      <c r="FR206" s="682"/>
      <c r="FS206" s="682"/>
      <c r="FT206" s="683"/>
      <c r="FU206" s="684"/>
      <c r="FV206" s="680"/>
      <c r="FW206" s="681"/>
      <c r="FX206" s="682"/>
      <c r="FY206" s="682"/>
      <c r="FZ206" s="683"/>
      <c r="GA206" s="684"/>
      <c r="GB206" s="675"/>
      <c r="GC206" s="676">
        <f t="shared" si="210"/>
        <v>0</v>
      </c>
      <c r="GD206" s="677">
        <f t="shared" si="211"/>
        <v>0</v>
      </c>
      <c r="GE206" s="677">
        <f t="shared" si="257"/>
        <v>0</v>
      </c>
      <c r="GF206" s="678">
        <f t="shared" si="258"/>
        <v>0</v>
      </c>
      <c r="GG206" s="679">
        <f t="shared" si="259"/>
        <v>0</v>
      </c>
      <c r="GH206" s="680"/>
      <c r="GI206" s="681"/>
      <c r="GJ206" s="682"/>
      <c r="GK206" s="682"/>
      <c r="GL206" s="683"/>
      <c r="GM206" s="684"/>
      <c r="GN206" s="680"/>
      <c r="GO206" s="681"/>
      <c r="GP206" s="682"/>
      <c r="GQ206" s="682"/>
      <c r="GR206" s="683"/>
      <c r="GS206" s="684"/>
      <c r="GT206" s="680"/>
      <c r="GU206" s="681"/>
      <c r="GV206" s="682"/>
      <c r="GW206" s="682"/>
      <c r="GX206" s="683"/>
      <c r="GY206" s="684"/>
      <c r="GZ206" s="680"/>
      <c r="HA206" s="147"/>
      <c r="HB206" s="148"/>
      <c r="HC206" s="148"/>
      <c r="HD206" s="149"/>
      <c r="HE206" s="150"/>
      <c r="HF206" s="506"/>
      <c r="HG206" s="502"/>
      <c r="HH206" s="502"/>
      <c r="HI206" s="502"/>
      <c r="HJ206" s="8"/>
    </row>
    <row r="207" spans="2:218" ht="21" hidden="1">
      <c r="B207" s="488">
        <v>163</v>
      </c>
      <c r="C207" s="489" t="s">
        <v>439</v>
      </c>
      <c r="D207" s="490" t="s">
        <v>493</v>
      </c>
      <c r="E207" s="491" t="s">
        <v>451</v>
      </c>
      <c r="F207" s="492"/>
      <c r="G207" s="493"/>
      <c r="H207" s="146" t="s">
        <v>97</v>
      </c>
      <c r="I207" s="494" t="str">
        <f t="shared" si="177"/>
        <v>n.v.t.</v>
      </c>
      <c r="J207" s="495"/>
      <c r="K207" s="151">
        <v>0</v>
      </c>
      <c r="L207" s="256"/>
      <c r="M207" s="256">
        <f>IF($C$5&lt;3000,(Bron!H196*$C$5)+Bron!I196,(Bron!M196*$C$5)+Bron!N196)</f>
        <v>0</v>
      </c>
      <c r="N207" s="496">
        <f t="shared" si="260"/>
        <v>339.52332400000006</v>
      </c>
      <c r="O207" s="497">
        <f t="shared" si="261"/>
        <v>0</v>
      </c>
      <c r="P207" s="257"/>
      <c r="Q207" s="257">
        <f>IF($C$5&lt;3000,$AN$31*Bron!K196,$AN$31*Bron!P196)</f>
        <v>1336.7060000000001</v>
      </c>
      <c r="R207" s="257">
        <f>IF($C$5&lt;3000,$AN$33*Bron!J196,$AN$33*Bron!O196)</f>
        <v>0</v>
      </c>
      <c r="S207" s="344"/>
      <c r="T207" s="258">
        <f t="shared" si="178"/>
        <v>0</v>
      </c>
      <c r="U207" s="259">
        <f t="shared" si="179"/>
        <v>0</v>
      </c>
      <c r="V207" s="675"/>
      <c r="W207" s="676">
        <f t="shared" si="180"/>
        <v>0</v>
      </c>
      <c r="X207" s="677">
        <f t="shared" si="181"/>
        <v>0</v>
      </c>
      <c r="Y207" s="677">
        <f t="shared" si="212"/>
        <v>0</v>
      </c>
      <c r="Z207" s="678">
        <f t="shared" si="213"/>
        <v>0</v>
      </c>
      <c r="AA207" s="679">
        <f t="shared" si="214"/>
        <v>0</v>
      </c>
      <c r="AB207" s="675"/>
      <c r="AC207" s="676">
        <f t="shared" si="182"/>
        <v>0</v>
      </c>
      <c r="AD207" s="677">
        <f t="shared" si="183"/>
        <v>0</v>
      </c>
      <c r="AE207" s="677">
        <f t="shared" si="215"/>
        <v>0</v>
      </c>
      <c r="AF207" s="678">
        <f t="shared" si="216"/>
        <v>0</v>
      </c>
      <c r="AG207" s="679">
        <f t="shared" si="217"/>
        <v>0</v>
      </c>
      <c r="AH207" s="675"/>
      <c r="AI207" s="676">
        <f t="shared" si="184"/>
        <v>0</v>
      </c>
      <c r="AJ207" s="677">
        <f t="shared" si="185"/>
        <v>0</v>
      </c>
      <c r="AK207" s="677">
        <f t="shared" si="218"/>
        <v>0</v>
      </c>
      <c r="AL207" s="678">
        <f t="shared" si="219"/>
        <v>0</v>
      </c>
      <c r="AM207" s="679">
        <f t="shared" si="220"/>
        <v>0</v>
      </c>
      <c r="AN207" s="675"/>
      <c r="AO207" s="676">
        <f t="shared" si="186"/>
        <v>0</v>
      </c>
      <c r="AP207" s="677">
        <f t="shared" si="187"/>
        <v>0</v>
      </c>
      <c r="AQ207" s="677">
        <f t="shared" si="221"/>
        <v>0</v>
      </c>
      <c r="AR207" s="678">
        <f t="shared" si="222"/>
        <v>0</v>
      </c>
      <c r="AS207" s="679">
        <f t="shared" si="223"/>
        <v>0</v>
      </c>
      <c r="AT207" s="675"/>
      <c r="AU207" s="676">
        <f t="shared" si="188"/>
        <v>0</v>
      </c>
      <c r="AV207" s="677">
        <f t="shared" si="189"/>
        <v>0</v>
      </c>
      <c r="AW207" s="677">
        <f t="shared" si="224"/>
        <v>0</v>
      </c>
      <c r="AX207" s="678">
        <f t="shared" si="225"/>
        <v>0</v>
      </c>
      <c r="AY207" s="679">
        <f t="shared" si="226"/>
        <v>0</v>
      </c>
      <c r="AZ207" s="675"/>
      <c r="BA207" s="676">
        <f t="shared" si="190"/>
        <v>0</v>
      </c>
      <c r="BB207" s="677">
        <f t="shared" si="191"/>
        <v>0</v>
      </c>
      <c r="BC207" s="677">
        <f t="shared" si="227"/>
        <v>0</v>
      </c>
      <c r="BD207" s="678">
        <f t="shared" si="228"/>
        <v>0</v>
      </c>
      <c r="BE207" s="679">
        <f t="shared" si="229"/>
        <v>0</v>
      </c>
      <c r="BF207" s="675"/>
      <c r="BG207" s="676">
        <f t="shared" si="192"/>
        <v>0</v>
      </c>
      <c r="BH207" s="677">
        <f t="shared" si="193"/>
        <v>0</v>
      </c>
      <c r="BI207" s="677">
        <f t="shared" si="230"/>
        <v>0</v>
      </c>
      <c r="BJ207" s="678">
        <f t="shared" si="231"/>
        <v>0</v>
      </c>
      <c r="BK207" s="679">
        <f t="shared" si="232"/>
        <v>0</v>
      </c>
      <c r="BL207" s="675"/>
      <c r="BM207" s="676">
        <f t="shared" si="194"/>
        <v>0</v>
      </c>
      <c r="BN207" s="677">
        <f t="shared" si="195"/>
        <v>0</v>
      </c>
      <c r="BO207" s="677">
        <f t="shared" si="233"/>
        <v>0</v>
      </c>
      <c r="BP207" s="678">
        <f t="shared" si="234"/>
        <v>0</v>
      </c>
      <c r="BQ207" s="679">
        <f t="shared" si="235"/>
        <v>0</v>
      </c>
      <c r="BR207" s="675"/>
      <c r="BS207" s="676">
        <f t="shared" si="196"/>
        <v>0</v>
      </c>
      <c r="BT207" s="677">
        <f t="shared" si="197"/>
        <v>0</v>
      </c>
      <c r="BU207" s="677">
        <f t="shared" si="236"/>
        <v>0</v>
      </c>
      <c r="BV207" s="678">
        <f t="shared" si="237"/>
        <v>0</v>
      </c>
      <c r="BW207" s="679">
        <f t="shared" si="238"/>
        <v>0</v>
      </c>
      <c r="BX207" s="675"/>
      <c r="BY207" s="676">
        <f t="shared" si="198"/>
        <v>0</v>
      </c>
      <c r="BZ207" s="677">
        <f t="shared" si="199"/>
        <v>0</v>
      </c>
      <c r="CA207" s="677">
        <f t="shared" si="239"/>
        <v>0</v>
      </c>
      <c r="CB207" s="678">
        <f t="shared" si="240"/>
        <v>0</v>
      </c>
      <c r="CC207" s="679">
        <f t="shared" si="241"/>
        <v>0</v>
      </c>
      <c r="CD207" s="675"/>
      <c r="CE207" s="676">
        <f t="shared" si="200"/>
        <v>0</v>
      </c>
      <c r="CF207" s="677">
        <f t="shared" si="201"/>
        <v>0</v>
      </c>
      <c r="CG207" s="677">
        <f t="shared" si="242"/>
        <v>0</v>
      </c>
      <c r="CH207" s="678">
        <f t="shared" si="243"/>
        <v>0</v>
      </c>
      <c r="CI207" s="679">
        <f t="shared" si="244"/>
        <v>0</v>
      </c>
      <c r="CJ207" s="675"/>
      <c r="CK207" s="676">
        <f t="shared" si="202"/>
        <v>0</v>
      </c>
      <c r="CL207" s="677">
        <f t="shared" si="203"/>
        <v>0</v>
      </c>
      <c r="CM207" s="677">
        <f t="shared" si="245"/>
        <v>0</v>
      </c>
      <c r="CN207" s="678">
        <f t="shared" si="246"/>
        <v>0</v>
      </c>
      <c r="CO207" s="679">
        <f t="shared" si="247"/>
        <v>0</v>
      </c>
      <c r="CP207" s="675"/>
      <c r="CQ207" s="676">
        <f t="shared" si="204"/>
        <v>0</v>
      </c>
      <c r="CR207" s="677">
        <f t="shared" si="205"/>
        <v>0</v>
      </c>
      <c r="CS207" s="677">
        <f t="shared" si="248"/>
        <v>0</v>
      </c>
      <c r="CT207" s="678">
        <f t="shared" si="249"/>
        <v>0</v>
      </c>
      <c r="CU207" s="679">
        <f t="shared" si="250"/>
        <v>0</v>
      </c>
      <c r="CV207" s="685"/>
      <c r="CW207" s="681"/>
      <c r="CX207" s="682"/>
      <c r="CY207" s="682"/>
      <c r="CZ207" s="683"/>
      <c r="DA207" s="684"/>
      <c r="DB207" s="685"/>
      <c r="DC207" s="681"/>
      <c r="DD207" s="682"/>
      <c r="DE207" s="682"/>
      <c r="DF207" s="683"/>
      <c r="DG207" s="684"/>
      <c r="DH207" s="685"/>
      <c r="DI207" s="681"/>
      <c r="DJ207" s="682"/>
      <c r="DK207" s="682"/>
      <c r="DL207" s="683"/>
      <c r="DM207" s="684"/>
      <c r="DN207" s="685"/>
      <c r="DO207" s="681"/>
      <c r="DP207" s="682"/>
      <c r="DQ207" s="682"/>
      <c r="DR207" s="683"/>
      <c r="DS207" s="684"/>
      <c r="DT207" s="675"/>
      <c r="DU207" s="676">
        <f t="shared" si="206"/>
        <v>0</v>
      </c>
      <c r="DV207" s="677">
        <f t="shared" si="207"/>
        <v>0</v>
      </c>
      <c r="DW207" s="677">
        <f t="shared" si="251"/>
        <v>0</v>
      </c>
      <c r="DX207" s="678">
        <f t="shared" si="252"/>
        <v>0</v>
      </c>
      <c r="DY207" s="679">
        <f t="shared" si="253"/>
        <v>0</v>
      </c>
      <c r="DZ207" s="680"/>
      <c r="EA207" s="681"/>
      <c r="EB207" s="682"/>
      <c r="EC207" s="682"/>
      <c r="ED207" s="683"/>
      <c r="EE207" s="684"/>
      <c r="EF207" s="680"/>
      <c r="EG207" s="681"/>
      <c r="EH207" s="682"/>
      <c r="EI207" s="682"/>
      <c r="EJ207" s="683"/>
      <c r="EK207" s="684"/>
      <c r="EL207" s="680"/>
      <c r="EM207" s="681"/>
      <c r="EN207" s="682"/>
      <c r="EO207" s="682"/>
      <c r="EP207" s="683"/>
      <c r="EQ207" s="684"/>
      <c r="ER207" s="680"/>
      <c r="ES207" s="681"/>
      <c r="ET207" s="682"/>
      <c r="EU207" s="682"/>
      <c r="EV207" s="683"/>
      <c r="EW207" s="684"/>
      <c r="EX207" s="675"/>
      <c r="EY207" s="676">
        <f t="shared" si="208"/>
        <v>0</v>
      </c>
      <c r="EZ207" s="677">
        <f t="shared" si="209"/>
        <v>0</v>
      </c>
      <c r="FA207" s="677">
        <f t="shared" si="254"/>
        <v>0</v>
      </c>
      <c r="FB207" s="678">
        <f t="shared" si="255"/>
        <v>0</v>
      </c>
      <c r="FC207" s="679">
        <f t="shared" si="256"/>
        <v>0</v>
      </c>
      <c r="FD207" s="680"/>
      <c r="FE207" s="681"/>
      <c r="FF207" s="682"/>
      <c r="FG207" s="682"/>
      <c r="FH207" s="683"/>
      <c r="FI207" s="684"/>
      <c r="FJ207" s="680"/>
      <c r="FK207" s="681"/>
      <c r="FL207" s="682"/>
      <c r="FM207" s="682"/>
      <c r="FN207" s="683"/>
      <c r="FO207" s="684"/>
      <c r="FP207" s="680"/>
      <c r="FQ207" s="681"/>
      <c r="FR207" s="682"/>
      <c r="FS207" s="682"/>
      <c r="FT207" s="683"/>
      <c r="FU207" s="684"/>
      <c r="FV207" s="680"/>
      <c r="FW207" s="681"/>
      <c r="FX207" s="682"/>
      <c r="FY207" s="682"/>
      <c r="FZ207" s="683"/>
      <c r="GA207" s="684"/>
      <c r="GB207" s="675"/>
      <c r="GC207" s="676">
        <f t="shared" si="210"/>
        <v>0</v>
      </c>
      <c r="GD207" s="677">
        <f t="shared" si="211"/>
        <v>0</v>
      </c>
      <c r="GE207" s="677">
        <f t="shared" si="257"/>
        <v>0</v>
      </c>
      <c r="GF207" s="678">
        <f t="shared" si="258"/>
        <v>0</v>
      </c>
      <c r="GG207" s="679">
        <f t="shared" si="259"/>
        <v>0</v>
      </c>
      <c r="GH207" s="680"/>
      <c r="GI207" s="681"/>
      <c r="GJ207" s="682"/>
      <c r="GK207" s="682"/>
      <c r="GL207" s="683"/>
      <c r="GM207" s="684"/>
      <c r="GN207" s="680"/>
      <c r="GO207" s="681"/>
      <c r="GP207" s="682"/>
      <c r="GQ207" s="682"/>
      <c r="GR207" s="683"/>
      <c r="GS207" s="684"/>
      <c r="GT207" s="680"/>
      <c r="GU207" s="681"/>
      <c r="GV207" s="682"/>
      <c r="GW207" s="682"/>
      <c r="GX207" s="683"/>
      <c r="GY207" s="684"/>
      <c r="GZ207" s="680"/>
      <c r="HA207" s="147"/>
      <c r="HB207" s="148"/>
      <c r="HC207" s="148"/>
      <c r="HD207" s="149"/>
      <c r="HE207" s="150"/>
      <c r="HF207" s="506"/>
      <c r="HG207" s="502"/>
      <c r="HH207" s="502"/>
      <c r="HI207" s="502"/>
      <c r="HJ207" s="8"/>
    </row>
    <row r="208" spans="2:218" ht="21" hidden="1">
      <c r="B208" s="488">
        <v>164</v>
      </c>
      <c r="C208" s="489" t="s">
        <v>439</v>
      </c>
      <c r="D208" s="490" t="s">
        <v>493</v>
      </c>
      <c r="E208" s="491" t="s">
        <v>452</v>
      </c>
      <c r="F208" s="492"/>
      <c r="G208" s="493"/>
      <c r="H208" s="146" t="s">
        <v>97</v>
      </c>
      <c r="I208" s="494" t="str">
        <f t="shared" si="177"/>
        <v>n.v.t.</v>
      </c>
      <c r="J208" s="495"/>
      <c r="K208" s="151">
        <v>0</v>
      </c>
      <c r="L208" s="256"/>
      <c r="M208" s="256">
        <f>IF($C$5&lt;3000,(Bron!H197*$C$5)+Bron!I197,(Bron!M197*$C$5)+Bron!N197)</f>
        <v>1085.28</v>
      </c>
      <c r="N208" s="496">
        <f t="shared" si="260"/>
        <v>533.536652</v>
      </c>
      <c r="O208" s="497">
        <f t="shared" si="261"/>
        <v>2.0341245459552795</v>
      </c>
      <c r="P208" s="257"/>
      <c r="Q208" s="257">
        <f>IF($C$5&lt;3000,$AN$31*Bron!K197,$AN$31*Bron!P197)</f>
        <v>2100.538</v>
      </c>
      <c r="R208" s="257">
        <f>IF($C$5&lt;3000,$AN$33*Bron!J197,$AN$33*Bron!O197)</f>
        <v>0</v>
      </c>
      <c r="S208" s="344"/>
      <c r="T208" s="258">
        <f t="shared" si="178"/>
        <v>0</v>
      </c>
      <c r="U208" s="259">
        <f t="shared" si="179"/>
        <v>0</v>
      </c>
      <c r="V208" s="675"/>
      <c r="W208" s="676">
        <f t="shared" si="180"/>
        <v>0</v>
      </c>
      <c r="X208" s="677">
        <f t="shared" si="181"/>
        <v>0</v>
      </c>
      <c r="Y208" s="677">
        <f t="shared" si="212"/>
        <v>0</v>
      </c>
      <c r="Z208" s="678">
        <f t="shared" si="213"/>
        <v>0</v>
      </c>
      <c r="AA208" s="679">
        <f t="shared" si="214"/>
        <v>0</v>
      </c>
      <c r="AB208" s="675"/>
      <c r="AC208" s="676">
        <f t="shared" si="182"/>
        <v>0</v>
      </c>
      <c r="AD208" s="677">
        <f t="shared" si="183"/>
        <v>0</v>
      </c>
      <c r="AE208" s="677">
        <f t="shared" si="215"/>
        <v>0</v>
      </c>
      <c r="AF208" s="678">
        <f t="shared" si="216"/>
        <v>0</v>
      </c>
      <c r="AG208" s="679">
        <f t="shared" si="217"/>
        <v>0</v>
      </c>
      <c r="AH208" s="675"/>
      <c r="AI208" s="676">
        <f t="shared" si="184"/>
        <v>0</v>
      </c>
      <c r="AJ208" s="677">
        <f t="shared" si="185"/>
        <v>0</v>
      </c>
      <c r="AK208" s="677">
        <f t="shared" si="218"/>
        <v>0</v>
      </c>
      <c r="AL208" s="678">
        <f t="shared" si="219"/>
        <v>0</v>
      </c>
      <c r="AM208" s="679">
        <f t="shared" si="220"/>
        <v>0</v>
      </c>
      <c r="AN208" s="675"/>
      <c r="AO208" s="676">
        <f t="shared" si="186"/>
        <v>0</v>
      </c>
      <c r="AP208" s="677">
        <f t="shared" si="187"/>
        <v>0</v>
      </c>
      <c r="AQ208" s="677">
        <f t="shared" si="221"/>
        <v>0</v>
      </c>
      <c r="AR208" s="678">
        <f t="shared" si="222"/>
        <v>0</v>
      </c>
      <c r="AS208" s="679">
        <f t="shared" si="223"/>
        <v>0</v>
      </c>
      <c r="AT208" s="675"/>
      <c r="AU208" s="676">
        <f t="shared" si="188"/>
        <v>0</v>
      </c>
      <c r="AV208" s="677">
        <f t="shared" si="189"/>
        <v>0</v>
      </c>
      <c r="AW208" s="677">
        <f t="shared" si="224"/>
        <v>0</v>
      </c>
      <c r="AX208" s="678">
        <f t="shared" si="225"/>
        <v>0</v>
      </c>
      <c r="AY208" s="679">
        <f t="shared" si="226"/>
        <v>0</v>
      </c>
      <c r="AZ208" s="675"/>
      <c r="BA208" s="676">
        <f t="shared" si="190"/>
        <v>0</v>
      </c>
      <c r="BB208" s="677">
        <f t="shared" si="191"/>
        <v>0</v>
      </c>
      <c r="BC208" s="677">
        <f t="shared" si="227"/>
        <v>0</v>
      </c>
      <c r="BD208" s="678">
        <f t="shared" si="228"/>
        <v>0</v>
      </c>
      <c r="BE208" s="679">
        <f t="shared" si="229"/>
        <v>0</v>
      </c>
      <c r="BF208" s="675"/>
      <c r="BG208" s="676">
        <f t="shared" si="192"/>
        <v>0</v>
      </c>
      <c r="BH208" s="677">
        <f t="shared" si="193"/>
        <v>0</v>
      </c>
      <c r="BI208" s="677">
        <f t="shared" si="230"/>
        <v>0</v>
      </c>
      <c r="BJ208" s="678">
        <f t="shared" si="231"/>
        <v>0</v>
      </c>
      <c r="BK208" s="679">
        <f t="shared" si="232"/>
        <v>0</v>
      </c>
      <c r="BL208" s="675"/>
      <c r="BM208" s="676">
        <f t="shared" si="194"/>
        <v>0</v>
      </c>
      <c r="BN208" s="677">
        <f t="shared" si="195"/>
        <v>0</v>
      </c>
      <c r="BO208" s="677">
        <f t="shared" si="233"/>
        <v>0</v>
      </c>
      <c r="BP208" s="678">
        <f t="shared" si="234"/>
        <v>0</v>
      </c>
      <c r="BQ208" s="679">
        <f t="shared" si="235"/>
        <v>0</v>
      </c>
      <c r="BR208" s="675"/>
      <c r="BS208" s="676">
        <f t="shared" si="196"/>
        <v>0</v>
      </c>
      <c r="BT208" s="677">
        <f t="shared" si="197"/>
        <v>0</v>
      </c>
      <c r="BU208" s="677">
        <f t="shared" si="236"/>
        <v>0</v>
      </c>
      <c r="BV208" s="678">
        <f t="shared" si="237"/>
        <v>0</v>
      </c>
      <c r="BW208" s="679">
        <f t="shared" si="238"/>
        <v>0</v>
      </c>
      <c r="BX208" s="675"/>
      <c r="BY208" s="676">
        <f t="shared" si="198"/>
        <v>0</v>
      </c>
      <c r="BZ208" s="677">
        <f t="shared" si="199"/>
        <v>0</v>
      </c>
      <c r="CA208" s="677">
        <f t="shared" si="239"/>
        <v>0</v>
      </c>
      <c r="CB208" s="678">
        <f t="shared" si="240"/>
        <v>0</v>
      </c>
      <c r="CC208" s="679">
        <f t="shared" si="241"/>
        <v>0</v>
      </c>
      <c r="CD208" s="675"/>
      <c r="CE208" s="676">
        <f t="shared" si="200"/>
        <v>0</v>
      </c>
      <c r="CF208" s="677">
        <f t="shared" si="201"/>
        <v>0</v>
      </c>
      <c r="CG208" s="677">
        <f t="shared" si="242"/>
        <v>0</v>
      </c>
      <c r="CH208" s="678">
        <f t="shared" si="243"/>
        <v>0</v>
      </c>
      <c r="CI208" s="679">
        <f t="shared" si="244"/>
        <v>0</v>
      </c>
      <c r="CJ208" s="675"/>
      <c r="CK208" s="676">
        <f t="shared" si="202"/>
        <v>0</v>
      </c>
      <c r="CL208" s="677">
        <f t="shared" si="203"/>
        <v>0</v>
      </c>
      <c r="CM208" s="677">
        <f t="shared" si="245"/>
        <v>0</v>
      </c>
      <c r="CN208" s="678">
        <f t="shared" si="246"/>
        <v>0</v>
      </c>
      <c r="CO208" s="679">
        <f t="shared" si="247"/>
        <v>0</v>
      </c>
      <c r="CP208" s="675"/>
      <c r="CQ208" s="676">
        <f t="shared" si="204"/>
        <v>0</v>
      </c>
      <c r="CR208" s="677">
        <f t="shared" si="205"/>
        <v>0</v>
      </c>
      <c r="CS208" s="677">
        <f t="shared" si="248"/>
        <v>0</v>
      </c>
      <c r="CT208" s="678">
        <f t="shared" si="249"/>
        <v>0</v>
      </c>
      <c r="CU208" s="679">
        <f t="shared" si="250"/>
        <v>0</v>
      </c>
      <c r="CV208" s="685"/>
      <c r="CW208" s="681"/>
      <c r="CX208" s="682"/>
      <c r="CY208" s="682"/>
      <c r="CZ208" s="683"/>
      <c r="DA208" s="684"/>
      <c r="DB208" s="685"/>
      <c r="DC208" s="681"/>
      <c r="DD208" s="682"/>
      <c r="DE208" s="682"/>
      <c r="DF208" s="683"/>
      <c r="DG208" s="684"/>
      <c r="DH208" s="685"/>
      <c r="DI208" s="681"/>
      <c r="DJ208" s="682"/>
      <c r="DK208" s="682"/>
      <c r="DL208" s="683"/>
      <c r="DM208" s="684"/>
      <c r="DN208" s="685"/>
      <c r="DO208" s="681"/>
      <c r="DP208" s="682"/>
      <c r="DQ208" s="682"/>
      <c r="DR208" s="683"/>
      <c r="DS208" s="684"/>
      <c r="DT208" s="675"/>
      <c r="DU208" s="676">
        <f t="shared" si="206"/>
        <v>0</v>
      </c>
      <c r="DV208" s="677">
        <f t="shared" si="207"/>
        <v>0</v>
      </c>
      <c r="DW208" s="677">
        <f t="shared" si="251"/>
        <v>0</v>
      </c>
      <c r="DX208" s="678">
        <f t="shared" si="252"/>
        <v>0</v>
      </c>
      <c r="DY208" s="679">
        <f t="shared" si="253"/>
        <v>0</v>
      </c>
      <c r="DZ208" s="680"/>
      <c r="EA208" s="681"/>
      <c r="EB208" s="682"/>
      <c r="EC208" s="682"/>
      <c r="ED208" s="683"/>
      <c r="EE208" s="684"/>
      <c r="EF208" s="680"/>
      <c r="EG208" s="681"/>
      <c r="EH208" s="682"/>
      <c r="EI208" s="682"/>
      <c r="EJ208" s="683"/>
      <c r="EK208" s="684"/>
      <c r="EL208" s="680"/>
      <c r="EM208" s="681"/>
      <c r="EN208" s="682"/>
      <c r="EO208" s="682"/>
      <c r="EP208" s="683"/>
      <c r="EQ208" s="684"/>
      <c r="ER208" s="680"/>
      <c r="ES208" s="681"/>
      <c r="ET208" s="682"/>
      <c r="EU208" s="682"/>
      <c r="EV208" s="683"/>
      <c r="EW208" s="684"/>
      <c r="EX208" s="675"/>
      <c r="EY208" s="676">
        <f t="shared" si="208"/>
        <v>0</v>
      </c>
      <c r="EZ208" s="677">
        <f t="shared" si="209"/>
        <v>0</v>
      </c>
      <c r="FA208" s="677">
        <f t="shared" si="254"/>
        <v>0</v>
      </c>
      <c r="FB208" s="678">
        <f t="shared" si="255"/>
        <v>0</v>
      </c>
      <c r="FC208" s="679">
        <f t="shared" si="256"/>
        <v>0</v>
      </c>
      <c r="FD208" s="680"/>
      <c r="FE208" s="681"/>
      <c r="FF208" s="682"/>
      <c r="FG208" s="682"/>
      <c r="FH208" s="683"/>
      <c r="FI208" s="684"/>
      <c r="FJ208" s="680"/>
      <c r="FK208" s="681"/>
      <c r="FL208" s="682"/>
      <c r="FM208" s="682"/>
      <c r="FN208" s="683"/>
      <c r="FO208" s="684"/>
      <c r="FP208" s="680"/>
      <c r="FQ208" s="681"/>
      <c r="FR208" s="682"/>
      <c r="FS208" s="682"/>
      <c r="FT208" s="683"/>
      <c r="FU208" s="684"/>
      <c r="FV208" s="680"/>
      <c r="FW208" s="681"/>
      <c r="FX208" s="682"/>
      <c r="FY208" s="682"/>
      <c r="FZ208" s="683"/>
      <c r="GA208" s="684"/>
      <c r="GB208" s="675"/>
      <c r="GC208" s="676">
        <f t="shared" si="210"/>
        <v>0</v>
      </c>
      <c r="GD208" s="677">
        <f t="shared" si="211"/>
        <v>0</v>
      </c>
      <c r="GE208" s="677">
        <f t="shared" si="257"/>
        <v>0</v>
      </c>
      <c r="GF208" s="678">
        <f t="shared" si="258"/>
        <v>0</v>
      </c>
      <c r="GG208" s="679">
        <f t="shared" si="259"/>
        <v>0</v>
      </c>
      <c r="GH208" s="680"/>
      <c r="GI208" s="681"/>
      <c r="GJ208" s="682"/>
      <c r="GK208" s="682"/>
      <c r="GL208" s="683"/>
      <c r="GM208" s="684"/>
      <c r="GN208" s="680"/>
      <c r="GO208" s="681"/>
      <c r="GP208" s="682"/>
      <c r="GQ208" s="682"/>
      <c r="GR208" s="683"/>
      <c r="GS208" s="684"/>
      <c r="GT208" s="680"/>
      <c r="GU208" s="681"/>
      <c r="GV208" s="682"/>
      <c r="GW208" s="682"/>
      <c r="GX208" s="683"/>
      <c r="GY208" s="684"/>
      <c r="GZ208" s="680"/>
      <c r="HA208" s="147"/>
      <c r="HB208" s="148"/>
      <c r="HC208" s="148"/>
      <c r="HD208" s="149"/>
      <c r="HE208" s="150"/>
      <c r="HF208" s="506"/>
      <c r="HG208" s="502"/>
      <c r="HH208" s="502"/>
      <c r="HI208" s="502"/>
      <c r="HJ208" s="8"/>
    </row>
    <row r="209" spans="1:220" ht="21" hidden="1">
      <c r="B209" s="488">
        <v>165</v>
      </c>
      <c r="C209" s="489" t="s">
        <v>439</v>
      </c>
      <c r="D209" s="490" t="s">
        <v>493</v>
      </c>
      <c r="E209" s="491" t="s">
        <v>453</v>
      </c>
      <c r="F209" s="492"/>
      <c r="G209" s="493"/>
      <c r="H209" s="146" t="s">
        <v>97</v>
      </c>
      <c r="I209" s="494" t="str">
        <f t="shared" si="177"/>
        <v>n.v.t.</v>
      </c>
      <c r="J209" s="495"/>
      <c r="K209" s="151">
        <v>0</v>
      </c>
      <c r="L209" s="256"/>
      <c r="M209" s="256">
        <f>IF($C$5&lt;3000,(Bron!H198*$C$5)+Bron!I198,(Bron!M198*$C$5)+Bron!N198)</f>
        <v>1736.4480000000001</v>
      </c>
      <c r="N209" s="496">
        <f t="shared" si="260"/>
        <v>1697.6166200000002</v>
      </c>
      <c r="O209" s="497">
        <f t="shared" si="261"/>
        <v>1.0228740573946549</v>
      </c>
      <c r="P209" s="257"/>
      <c r="Q209" s="257">
        <f>IF($C$5&lt;3000,$AN$31*Bron!K198,$AN$31*Bron!P198)</f>
        <v>6683.5300000000007</v>
      </c>
      <c r="R209" s="257">
        <f>IF($C$5&lt;3000,$AN$33*Bron!J198,$AN$33*Bron!O198)</f>
        <v>0</v>
      </c>
      <c r="S209" s="344"/>
      <c r="T209" s="258">
        <f t="shared" si="178"/>
        <v>0</v>
      </c>
      <c r="U209" s="259">
        <f t="shared" si="179"/>
        <v>0</v>
      </c>
      <c r="V209" s="675"/>
      <c r="W209" s="676">
        <f t="shared" si="180"/>
        <v>0</v>
      </c>
      <c r="X209" s="677">
        <f t="shared" si="181"/>
        <v>0</v>
      </c>
      <c r="Y209" s="677">
        <f t="shared" si="212"/>
        <v>0</v>
      </c>
      <c r="Z209" s="678">
        <f t="shared" si="213"/>
        <v>0</v>
      </c>
      <c r="AA209" s="679">
        <f t="shared" si="214"/>
        <v>0</v>
      </c>
      <c r="AB209" s="675"/>
      <c r="AC209" s="676">
        <f t="shared" si="182"/>
        <v>0</v>
      </c>
      <c r="AD209" s="677">
        <f t="shared" si="183"/>
        <v>0</v>
      </c>
      <c r="AE209" s="677">
        <f t="shared" si="215"/>
        <v>0</v>
      </c>
      <c r="AF209" s="678">
        <f t="shared" si="216"/>
        <v>0</v>
      </c>
      <c r="AG209" s="679">
        <f t="shared" si="217"/>
        <v>0</v>
      </c>
      <c r="AH209" s="675"/>
      <c r="AI209" s="676">
        <f t="shared" si="184"/>
        <v>0</v>
      </c>
      <c r="AJ209" s="677">
        <f t="shared" si="185"/>
        <v>0</v>
      </c>
      <c r="AK209" s="677">
        <f t="shared" si="218"/>
        <v>0</v>
      </c>
      <c r="AL209" s="678">
        <f t="shared" si="219"/>
        <v>0</v>
      </c>
      <c r="AM209" s="679">
        <f t="shared" si="220"/>
        <v>0</v>
      </c>
      <c r="AN209" s="675"/>
      <c r="AO209" s="676">
        <f t="shared" si="186"/>
        <v>0</v>
      </c>
      <c r="AP209" s="677">
        <f t="shared" si="187"/>
        <v>0</v>
      </c>
      <c r="AQ209" s="677">
        <f t="shared" si="221"/>
        <v>0</v>
      </c>
      <c r="AR209" s="678">
        <f t="shared" si="222"/>
        <v>0</v>
      </c>
      <c r="AS209" s="679">
        <f t="shared" si="223"/>
        <v>0</v>
      </c>
      <c r="AT209" s="675"/>
      <c r="AU209" s="676">
        <f t="shared" si="188"/>
        <v>0</v>
      </c>
      <c r="AV209" s="677">
        <f t="shared" si="189"/>
        <v>0</v>
      </c>
      <c r="AW209" s="677">
        <f t="shared" si="224"/>
        <v>0</v>
      </c>
      <c r="AX209" s="678">
        <f t="shared" si="225"/>
        <v>0</v>
      </c>
      <c r="AY209" s="679">
        <f t="shared" si="226"/>
        <v>0</v>
      </c>
      <c r="AZ209" s="675"/>
      <c r="BA209" s="676">
        <f t="shared" si="190"/>
        <v>0</v>
      </c>
      <c r="BB209" s="677">
        <f t="shared" si="191"/>
        <v>0</v>
      </c>
      <c r="BC209" s="677">
        <f t="shared" si="227"/>
        <v>0</v>
      </c>
      <c r="BD209" s="678">
        <f t="shared" si="228"/>
        <v>0</v>
      </c>
      <c r="BE209" s="679">
        <f t="shared" si="229"/>
        <v>0</v>
      </c>
      <c r="BF209" s="675"/>
      <c r="BG209" s="676">
        <f t="shared" si="192"/>
        <v>0</v>
      </c>
      <c r="BH209" s="677">
        <f t="shared" si="193"/>
        <v>0</v>
      </c>
      <c r="BI209" s="677">
        <f t="shared" si="230"/>
        <v>0</v>
      </c>
      <c r="BJ209" s="678">
        <f t="shared" si="231"/>
        <v>0</v>
      </c>
      <c r="BK209" s="679">
        <f t="shared" si="232"/>
        <v>0</v>
      </c>
      <c r="BL209" s="675"/>
      <c r="BM209" s="676">
        <f t="shared" si="194"/>
        <v>0</v>
      </c>
      <c r="BN209" s="677">
        <f t="shared" si="195"/>
        <v>0</v>
      </c>
      <c r="BO209" s="677">
        <f t="shared" si="233"/>
        <v>0</v>
      </c>
      <c r="BP209" s="678">
        <f t="shared" si="234"/>
        <v>0</v>
      </c>
      <c r="BQ209" s="679">
        <f t="shared" si="235"/>
        <v>0</v>
      </c>
      <c r="BR209" s="675"/>
      <c r="BS209" s="676">
        <f t="shared" si="196"/>
        <v>0</v>
      </c>
      <c r="BT209" s="677">
        <f t="shared" si="197"/>
        <v>0</v>
      </c>
      <c r="BU209" s="677">
        <f t="shared" si="236"/>
        <v>0</v>
      </c>
      <c r="BV209" s="678">
        <f t="shared" si="237"/>
        <v>0</v>
      </c>
      <c r="BW209" s="679">
        <f t="shared" si="238"/>
        <v>0</v>
      </c>
      <c r="BX209" s="675"/>
      <c r="BY209" s="676">
        <f t="shared" si="198"/>
        <v>0</v>
      </c>
      <c r="BZ209" s="677">
        <f t="shared" si="199"/>
        <v>0</v>
      </c>
      <c r="CA209" s="677">
        <f t="shared" si="239"/>
        <v>0</v>
      </c>
      <c r="CB209" s="678">
        <f t="shared" si="240"/>
        <v>0</v>
      </c>
      <c r="CC209" s="679">
        <f t="shared" si="241"/>
        <v>0</v>
      </c>
      <c r="CD209" s="675"/>
      <c r="CE209" s="676">
        <f t="shared" si="200"/>
        <v>0</v>
      </c>
      <c r="CF209" s="677">
        <f t="shared" si="201"/>
        <v>0</v>
      </c>
      <c r="CG209" s="677">
        <f t="shared" si="242"/>
        <v>0</v>
      </c>
      <c r="CH209" s="678">
        <f t="shared" si="243"/>
        <v>0</v>
      </c>
      <c r="CI209" s="679">
        <f t="shared" si="244"/>
        <v>0</v>
      </c>
      <c r="CJ209" s="675"/>
      <c r="CK209" s="676">
        <f t="shared" si="202"/>
        <v>0</v>
      </c>
      <c r="CL209" s="677">
        <f t="shared" si="203"/>
        <v>0</v>
      </c>
      <c r="CM209" s="677">
        <f t="shared" si="245"/>
        <v>0</v>
      </c>
      <c r="CN209" s="678">
        <f t="shared" si="246"/>
        <v>0</v>
      </c>
      <c r="CO209" s="679">
        <f t="shared" si="247"/>
        <v>0</v>
      </c>
      <c r="CP209" s="675"/>
      <c r="CQ209" s="676">
        <f t="shared" si="204"/>
        <v>0</v>
      </c>
      <c r="CR209" s="677">
        <f t="shared" si="205"/>
        <v>0</v>
      </c>
      <c r="CS209" s="677">
        <f t="shared" si="248"/>
        <v>0</v>
      </c>
      <c r="CT209" s="678">
        <f t="shared" si="249"/>
        <v>0</v>
      </c>
      <c r="CU209" s="679">
        <f t="shared" si="250"/>
        <v>0</v>
      </c>
      <c r="CV209" s="685"/>
      <c r="CW209" s="681"/>
      <c r="CX209" s="682"/>
      <c r="CY209" s="682"/>
      <c r="CZ209" s="683"/>
      <c r="DA209" s="684"/>
      <c r="DB209" s="685"/>
      <c r="DC209" s="681"/>
      <c r="DD209" s="682"/>
      <c r="DE209" s="682"/>
      <c r="DF209" s="683"/>
      <c r="DG209" s="684"/>
      <c r="DH209" s="685"/>
      <c r="DI209" s="681"/>
      <c r="DJ209" s="682"/>
      <c r="DK209" s="682"/>
      <c r="DL209" s="683"/>
      <c r="DM209" s="684"/>
      <c r="DN209" s="685"/>
      <c r="DO209" s="681"/>
      <c r="DP209" s="682"/>
      <c r="DQ209" s="682"/>
      <c r="DR209" s="683"/>
      <c r="DS209" s="684"/>
      <c r="DT209" s="675"/>
      <c r="DU209" s="676">
        <f t="shared" si="206"/>
        <v>0</v>
      </c>
      <c r="DV209" s="677">
        <f t="shared" si="207"/>
        <v>0</v>
      </c>
      <c r="DW209" s="677">
        <f t="shared" si="251"/>
        <v>0</v>
      </c>
      <c r="DX209" s="678">
        <f t="shared" si="252"/>
        <v>0</v>
      </c>
      <c r="DY209" s="679">
        <f t="shared" si="253"/>
        <v>0</v>
      </c>
      <c r="DZ209" s="680"/>
      <c r="EA209" s="681"/>
      <c r="EB209" s="682"/>
      <c r="EC209" s="682"/>
      <c r="ED209" s="683"/>
      <c r="EE209" s="684"/>
      <c r="EF209" s="680"/>
      <c r="EG209" s="681"/>
      <c r="EH209" s="682"/>
      <c r="EI209" s="682"/>
      <c r="EJ209" s="683"/>
      <c r="EK209" s="684"/>
      <c r="EL209" s="680"/>
      <c r="EM209" s="681"/>
      <c r="EN209" s="682"/>
      <c r="EO209" s="682"/>
      <c r="EP209" s="683"/>
      <c r="EQ209" s="684"/>
      <c r="ER209" s="680"/>
      <c r="ES209" s="681"/>
      <c r="ET209" s="682"/>
      <c r="EU209" s="682"/>
      <c r="EV209" s="683"/>
      <c r="EW209" s="684"/>
      <c r="EX209" s="675"/>
      <c r="EY209" s="676">
        <f t="shared" si="208"/>
        <v>0</v>
      </c>
      <c r="EZ209" s="677">
        <f t="shared" si="209"/>
        <v>0</v>
      </c>
      <c r="FA209" s="677">
        <f t="shared" si="254"/>
        <v>0</v>
      </c>
      <c r="FB209" s="678">
        <f t="shared" si="255"/>
        <v>0</v>
      </c>
      <c r="FC209" s="679">
        <f t="shared" si="256"/>
        <v>0</v>
      </c>
      <c r="FD209" s="680"/>
      <c r="FE209" s="681"/>
      <c r="FF209" s="682"/>
      <c r="FG209" s="682"/>
      <c r="FH209" s="683"/>
      <c r="FI209" s="684"/>
      <c r="FJ209" s="680"/>
      <c r="FK209" s="681"/>
      <c r="FL209" s="682"/>
      <c r="FM209" s="682"/>
      <c r="FN209" s="683"/>
      <c r="FO209" s="684"/>
      <c r="FP209" s="680"/>
      <c r="FQ209" s="681"/>
      <c r="FR209" s="682"/>
      <c r="FS209" s="682"/>
      <c r="FT209" s="683"/>
      <c r="FU209" s="684"/>
      <c r="FV209" s="680"/>
      <c r="FW209" s="681"/>
      <c r="FX209" s="682"/>
      <c r="FY209" s="682"/>
      <c r="FZ209" s="683"/>
      <c r="GA209" s="684"/>
      <c r="GB209" s="675"/>
      <c r="GC209" s="676">
        <f t="shared" si="210"/>
        <v>0</v>
      </c>
      <c r="GD209" s="677">
        <f t="shared" si="211"/>
        <v>0</v>
      </c>
      <c r="GE209" s="677">
        <f t="shared" si="257"/>
        <v>0</v>
      </c>
      <c r="GF209" s="678">
        <f t="shared" si="258"/>
        <v>0</v>
      </c>
      <c r="GG209" s="679">
        <f t="shared" si="259"/>
        <v>0</v>
      </c>
      <c r="GH209" s="680"/>
      <c r="GI209" s="681"/>
      <c r="GJ209" s="682"/>
      <c r="GK209" s="682"/>
      <c r="GL209" s="683"/>
      <c r="GM209" s="684"/>
      <c r="GN209" s="680"/>
      <c r="GO209" s="681"/>
      <c r="GP209" s="682"/>
      <c r="GQ209" s="682"/>
      <c r="GR209" s="683"/>
      <c r="GS209" s="684"/>
      <c r="GT209" s="680"/>
      <c r="GU209" s="681"/>
      <c r="GV209" s="682"/>
      <c r="GW209" s="682"/>
      <c r="GX209" s="683"/>
      <c r="GY209" s="684"/>
      <c r="GZ209" s="680"/>
      <c r="HA209" s="147"/>
      <c r="HB209" s="148"/>
      <c r="HC209" s="148"/>
      <c r="HD209" s="149"/>
      <c r="HE209" s="150"/>
      <c r="HF209" s="506"/>
      <c r="HG209" s="502"/>
      <c r="HH209" s="502"/>
      <c r="HI209" s="502"/>
      <c r="HJ209" s="8"/>
    </row>
    <row r="210" spans="1:220" ht="21" hidden="1">
      <c r="B210" s="488">
        <v>166</v>
      </c>
      <c r="C210" s="489" t="s">
        <v>439</v>
      </c>
      <c r="D210" s="490" t="s">
        <v>493</v>
      </c>
      <c r="E210" s="491" t="s">
        <v>454</v>
      </c>
      <c r="F210" s="492"/>
      <c r="G210" s="493"/>
      <c r="H210" s="146" t="s">
        <v>97</v>
      </c>
      <c r="I210" s="494" t="str">
        <f t="shared" si="177"/>
        <v>n.v.t.</v>
      </c>
      <c r="J210" s="495"/>
      <c r="K210" s="151">
        <v>0</v>
      </c>
      <c r="L210" s="256"/>
      <c r="M210" s="256">
        <f>IF($C$5&lt;3000,(Bron!H199*$C$5)+Bron!I199,(Bron!M199*$C$5)+Bron!N199)</f>
        <v>0</v>
      </c>
      <c r="N210" s="496">
        <f t="shared" si="260"/>
        <v>2134.146608</v>
      </c>
      <c r="O210" s="497">
        <f t="shared" si="261"/>
        <v>0</v>
      </c>
      <c r="P210" s="257"/>
      <c r="Q210" s="257">
        <f>IF($C$5&lt;3000,$AN$31*Bron!K199,$AN$31*Bron!P199)</f>
        <v>8402.152</v>
      </c>
      <c r="R210" s="257">
        <f>IF($C$5&lt;3000,$AN$33*Bron!J199,$AN$33*Bron!O199)</f>
        <v>0</v>
      </c>
      <c r="S210" s="344"/>
      <c r="T210" s="258">
        <f t="shared" si="178"/>
        <v>0</v>
      </c>
      <c r="U210" s="259">
        <f t="shared" si="179"/>
        <v>0</v>
      </c>
      <c r="V210" s="675"/>
      <c r="W210" s="676">
        <f t="shared" si="180"/>
        <v>0</v>
      </c>
      <c r="X210" s="677">
        <f t="shared" si="181"/>
        <v>0</v>
      </c>
      <c r="Y210" s="677">
        <f t="shared" si="212"/>
        <v>0</v>
      </c>
      <c r="Z210" s="678">
        <f t="shared" si="213"/>
        <v>0</v>
      </c>
      <c r="AA210" s="679">
        <f t="shared" si="214"/>
        <v>0</v>
      </c>
      <c r="AB210" s="675"/>
      <c r="AC210" s="676">
        <f t="shared" si="182"/>
        <v>0</v>
      </c>
      <c r="AD210" s="677">
        <f t="shared" si="183"/>
        <v>0</v>
      </c>
      <c r="AE210" s="677">
        <f t="shared" si="215"/>
        <v>0</v>
      </c>
      <c r="AF210" s="678">
        <f t="shared" si="216"/>
        <v>0</v>
      </c>
      <c r="AG210" s="679">
        <f t="shared" si="217"/>
        <v>0</v>
      </c>
      <c r="AH210" s="675"/>
      <c r="AI210" s="676">
        <f t="shared" si="184"/>
        <v>0</v>
      </c>
      <c r="AJ210" s="677">
        <f t="shared" si="185"/>
        <v>0</v>
      </c>
      <c r="AK210" s="677">
        <f t="shared" si="218"/>
        <v>0</v>
      </c>
      <c r="AL210" s="678">
        <f t="shared" si="219"/>
        <v>0</v>
      </c>
      <c r="AM210" s="679">
        <f t="shared" si="220"/>
        <v>0</v>
      </c>
      <c r="AN210" s="675"/>
      <c r="AO210" s="676">
        <f t="shared" si="186"/>
        <v>0</v>
      </c>
      <c r="AP210" s="677">
        <f t="shared" si="187"/>
        <v>0</v>
      </c>
      <c r="AQ210" s="677">
        <f t="shared" si="221"/>
        <v>0</v>
      </c>
      <c r="AR210" s="678">
        <f t="shared" si="222"/>
        <v>0</v>
      </c>
      <c r="AS210" s="679">
        <f t="shared" si="223"/>
        <v>0</v>
      </c>
      <c r="AT210" s="675"/>
      <c r="AU210" s="676">
        <f t="shared" si="188"/>
        <v>0</v>
      </c>
      <c r="AV210" s="677">
        <f t="shared" si="189"/>
        <v>0</v>
      </c>
      <c r="AW210" s="677">
        <f t="shared" si="224"/>
        <v>0</v>
      </c>
      <c r="AX210" s="678">
        <f t="shared" si="225"/>
        <v>0</v>
      </c>
      <c r="AY210" s="679">
        <f t="shared" si="226"/>
        <v>0</v>
      </c>
      <c r="AZ210" s="675"/>
      <c r="BA210" s="676">
        <f t="shared" si="190"/>
        <v>0</v>
      </c>
      <c r="BB210" s="677">
        <f t="shared" si="191"/>
        <v>0</v>
      </c>
      <c r="BC210" s="677">
        <f t="shared" si="227"/>
        <v>0</v>
      </c>
      <c r="BD210" s="678">
        <f t="shared" si="228"/>
        <v>0</v>
      </c>
      <c r="BE210" s="679">
        <f t="shared" si="229"/>
        <v>0</v>
      </c>
      <c r="BF210" s="675"/>
      <c r="BG210" s="676">
        <f t="shared" si="192"/>
        <v>0</v>
      </c>
      <c r="BH210" s="677">
        <f t="shared" si="193"/>
        <v>0</v>
      </c>
      <c r="BI210" s="677">
        <f t="shared" si="230"/>
        <v>0</v>
      </c>
      <c r="BJ210" s="678">
        <f t="shared" si="231"/>
        <v>0</v>
      </c>
      <c r="BK210" s="679">
        <f t="shared" si="232"/>
        <v>0</v>
      </c>
      <c r="BL210" s="675"/>
      <c r="BM210" s="676">
        <f t="shared" si="194"/>
        <v>0</v>
      </c>
      <c r="BN210" s="677">
        <f t="shared" si="195"/>
        <v>0</v>
      </c>
      <c r="BO210" s="677">
        <f t="shared" si="233"/>
        <v>0</v>
      </c>
      <c r="BP210" s="678">
        <f t="shared" si="234"/>
        <v>0</v>
      </c>
      <c r="BQ210" s="679">
        <f t="shared" si="235"/>
        <v>0</v>
      </c>
      <c r="BR210" s="675"/>
      <c r="BS210" s="676">
        <f t="shared" si="196"/>
        <v>0</v>
      </c>
      <c r="BT210" s="677">
        <f t="shared" si="197"/>
        <v>0</v>
      </c>
      <c r="BU210" s="677">
        <f t="shared" si="236"/>
        <v>0</v>
      </c>
      <c r="BV210" s="678">
        <f t="shared" si="237"/>
        <v>0</v>
      </c>
      <c r="BW210" s="679">
        <f t="shared" si="238"/>
        <v>0</v>
      </c>
      <c r="BX210" s="675"/>
      <c r="BY210" s="676">
        <f t="shared" si="198"/>
        <v>0</v>
      </c>
      <c r="BZ210" s="677">
        <f t="shared" si="199"/>
        <v>0</v>
      </c>
      <c r="CA210" s="677">
        <f t="shared" si="239"/>
        <v>0</v>
      </c>
      <c r="CB210" s="678">
        <f t="shared" si="240"/>
        <v>0</v>
      </c>
      <c r="CC210" s="679">
        <f t="shared" si="241"/>
        <v>0</v>
      </c>
      <c r="CD210" s="675"/>
      <c r="CE210" s="676">
        <f t="shared" si="200"/>
        <v>0</v>
      </c>
      <c r="CF210" s="677">
        <f t="shared" si="201"/>
        <v>0</v>
      </c>
      <c r="CG210" s="677">
        <f t="shared" si="242"/>
        <v>0</v>
      </c>
      <c r="CH210" s="678">
        <f t="shared" si="243"/>
        <v>0</v>
      </c>
      <c r="CI210" s="679">
        <f t="shared" si="244"/>
        <v>0</v>
      </c>
      <c r="CJ210" s="675"/>
      <c r="CK210" s="676">
        <f t="shared" si="202"/>
        <v>0</v>
      </c>
      <c r="CL210" s="677">
        <f t="shared" si="203"/>
        <v>0</v>
      </c>
      <c r="CM210" s="677">
        <f t="shared" si="245"/>
        <v>0</v>
      </c>
      <c r="CN210" s="678">
        <f t="shared" si="246"/>
        <v>0</v>
      </c>
      <c r="CO210" s="679">
        <f t="shared" si="247"/>
        <v>0</v>
      </c>
      <c r="CP210" s="675"/>
      <c r="CQ210" s="676">
        <f t="shared" si="204"/>
        <v>0</v>
      </c>
      <c r="CR210" s="677">
        <f t="shared" si="205"/>
        <v>0</v>
      </c>
      <c r="CS210" s="677">
        <f t="shared" si="248"/>
        <v>0</v>
      </c>
      <c r="CT210" s="678">
        <f t="shared" si="249"/>
        <v>0</v>
      </c>
      <c r="CU210" s="679">
        <f t="shared" si="250"/>
        <v>0</v>
      </c>
      <c r="CV210" s="685"/>
      <c r="CW210" s="681"/>
      <c r="CX210" s="682"/>
      <c r="CY210" s="682"/>
      <c r="CZ210" s="683"/>
      <c r="DA210" s="684"/>
      <c r="DB210" s="685"/>
      <c r="DC210" s="681"/>
      <c r="DD210" s="682"/>
      <c r="DE210" s="682"/>
      <c r="DF210" s="683"/>
      <c r="DG210" s="684"/>
      <c r="DH210" s="685"/>
      <c r="DI210" s="681"/>
      <c r="DJ210" s="682"/>
      <c r="DK210" s="682"/>
      <c r="DL210" s="683"/>
      <c r="DM210" s="684"/>
      <c r="DN210" s="685"/>
      <c r="DO210" s="681"/>
      <c r="DP210" s="682"/>
      <c r="DQ210" s="682"/>
      <c r="DR210" s="683"/>
      <c r="DS210" s="684"/>
      <c r="DT210" s="675"/>
      <c r="DU210" s="676">
        <f t="shared" si="206"/>
        <v>0</v>
      </c>
      <c r="DV210" s="677">
        <f t="shared" si="207"/>
        <v>0</v>
      </c>
      <c r="DW210" s="677">
        <f t="shared" si="251"/>
        <v>0</v>
      </c>
      <c r="DX210" s="678">
        <f t="shared" si="252"/>
        <v>0</v>
      </c>
      <c r="DY210" s="679">
        <f t="shared" si="253"/>
        <v>0</v>
      </c>
      <c r="DZ210" s="680"/>
      <c r="EA210" s="681"/>
      <c r="EB210" s="682"/>
      <c r="EC210" s="682"/>
      <c r="ED210" s="683"/>
      <c r="EE210" s="684"/>
      <c r="EF210" s="680"/>
      <c r="EG210" s="681"/>
      <c r="EH210" s="682"/>
      <c r="EI210" s="682"/>
      <c r="EJ210" s="683"/>
      <c r="EK210" s="684"/>
      <c r="EL210" s="680"/>
      <c r="EM210" s="681"/>
      <c r="EN210" s="682"/>
      <c r="EO210" s="682"/>
      <c r="EP210" s="683"/>
      <c r="EQ210" s="684"/>
      <c r="ER210" s="680"/>
      <c r="ES210" s="681"/>
      <c r="ET210" s="682"/>
      <c r="EU210" s="682"/>
      <c r="EV210" s="683"/>
      <c r="EW210" s="684"/>
      <c r="EX210" s="675"/>
      <c r="EY210" s="676">
        <f t="shared" si="208"/>
        <v>0</v>
      </c>
      <c r="EZ210" s="677">
        <f t="shared" si="209"/>
        <v>0</v>
      </c>
      <c r="FA210" s="677">
        <f t="shared" si="254"/>
        <v>0</v>
      </c>
      <c r="FB210" s="678">
        <f t="shared" si="255"/>
        <v>0</v>
      </c>
      <c r="FC210" s="679">
        <f t="shared" si="256"/>
        <v>0</v>
      </c>
      <c r="FD210" s="680"/>
      <c r="FE210" s="681"/>
      <c r="FF210" s="682"/>
      <c r="FG210" s="682"/>
      <c r="FH210" s="683"/>
      <c r="FI210" s="684"/>
      <c r="FJ210" s="680"/>
      <c r="FK210" s="681"/>
      <c r="FL210" s="682"/>
      <c r="FM210" s="682"/>
      <c r="FN210" s="683"/>
      <c r="FO210" s="684"/>
      <c r="FP210" s="680"/>
      <c r="FQ210" s="681"/>
      <c r="FR210" s="682"/>
      <c r="FS210" s="682"/>
      <c r="FT210" s="683"/>
      <c r="FU210" s="684"/>
      <c r="FV210" s="680"/>
      <c r="FW210" s="681"/>
      <c r="FX210" s="682"/>
      <c r="FY210" s="682"/>
      <c r="FZ210" s="683"/>
      <c r="GA210" s="684"/>
      <c r="GB210" s="675"/>
      <c r="GC210" s="676">
        <f t="shared" si="210"/>
        <v>0</v>
      </c>
      <c r="GD210" s="677">
        <f t="shared" si="211"/>
        <v>0</v>
      </c>
      <c r="GE210" s="677">
        <f t="shared" si="257"/>
        <v>0</v>
      </c>
      <c r="GF210" s="678">
        <f t="shared" si="258"/>
        <v>0</v>
      </c>
      <c r="GG210" s="679">
        <f t="shared" si="259"/>
        <v>0</v>
      </c>
      <c r="GH210" s="680"/>
      <c r="GI210" s="681"/>
      <c r="GJ210" s="682"/>
      <c r="GK210" s="682"/>
      <c r="GL210" s="683"/>
      <c r="GM210" s="684"/>
      <c r="GN210" s="680"/>
      <c r="GO210" s="681"/>
      <c r="GP210" s="682"/>
      <c r="GQ210" s="682"/>
      <c r="GR210" s="683"/>
      <c r="GS210" s="684"/>
      <c r="GT210" s="680"/>
      <c r="GU210" s="681"/>
      <c r="GV210" s="682"/>
      <c r="GW210" s="682"/>
      <c r="GX210" s="683"/>
      <c r="GY210" s="684"/>
      <c r="GZ210" s="680"/>
      <c r="HA210" s="147"/>
      <c r="HB210" s="148"/>
      <c r="HC210" s="148"/>
      <c r="HD210" s="149"/>
      <c r="HE210" s="150"/>
      <c r="HF210" s="506"/>
      <c r="HG210" s="502"/>
      <c r="HH210" s="502"/>
      <c r="HI210" s="502"/>
      <c r="HJ210" s="8"/>
    </row>
    <row r="211" spans="1:220" ht="21">
      <c r="B211" s="488">
        <v>167</v>
      </c>
      <c r="C211" s="489" t="s">
        <v>581</v>
      </c>
      <c r="D211" s="490" t="s">
        <v>493</v>
      </c>
      <c r="E211" s="491" t="s">
        <v>455</v>
      </c>
      <c r="F211" s="492"/>
      <c r="G211" s="493"/>
      <c r="H211" s="146" t="s">
        <v>852</v>
      </c>
      <c r="I211" s="494" t="str">
        <f t="shared" si="177"/>
        <v>verhuurder</v>
      </c>
      <c r="J211" s="495" t="s">
        <v>487</v>
      </c>
      <c r="K211" s="151">
        <v>0</v>
      </c>
      <c r="L211" s="256">
        <f>IF($C$5&lt;3000,(Bron!H200*$C$5)+Bron!I200,(Bron!M200*$C$5)+Bron!N200)</f>
        <v>21705.599999999999</v>
      </c>
      <c r="M211" s="256"/>
      <c r="N211" s="496">
        <f t="shared" si="260"/>
        <v>1455.09996</v>
      </c>
      <c r="O211" s="497">
        <f t="shared" si="261"/>
        <v>14.916913337005383</v>
      </c>
      <c r="P211" s="257"/>
      <c r="Q211" s="257">
        <f>IF($C$5&lt;3000,$AN$31*Bron!K200,$AN$31*Bron!P200)</f>
        <v>5728.74</v>
      </c>
      <c r="R211" s="257">
        <f>IF($C$5&lt;3000,$AN$33*Bron!J200,$AN$33*Bron!O200)</f>
        <v>0</v>
      </c>
      <c r="S211" s="344"/>
      <c r="T211" s="258">
        <f t="shared" si="178"/>
        <v>0</v>
      </c>
      <c r="U211" s="259">
        <f t="shared" si="179"/>
        <v>0</v>
      </c>
      <c r="V211" s="675"/>
      <c r="W211" s="676">
        <f t="shared" si="180"/>
        <v>0</v>
      </c>
      <c r="X211" s="677">
        <f t="shared" si="181"/>
        <v>0</v>
      </c>
      <c r="Y211" s="677">
        <f t="shared" si="212"/>
        <v>0</v>
      </c>
      <c r="Z211" s="678">
        <f t="shared" si="213"/>
        <v>0</v>
      </c>
      <c r="AA211" s="679">
        <f t="shared" si="214"/>
        <v>0</v>
      </c>
      <c r="AB211" s="675"/>
      <c r="AC211" s="676">
        <f t="shared" si="182"/>
        <v>0</v>
      </c>
      <c r="AD211" s="677">
        <f t="shared" si="183"/>
        <v>0</v>
      </c>
      <c r="AE211" s="677">
        <f t="shared" si="215"/>
        <v>0</v>
      </c>
      <c r="AF211" s="678">
        <f t="shared" si="216"/>
        <v>0</v>
      </c>
      <c r="AG211" s="679">
        <f t="shared" si="217"/>
        <v>0</v>
      </c>
      <c r="AH211" s="675"/>
      <c r="AI211" s="676">
        <f t="shared" si="184"/>
        <v>0</v>
      </c>
      <c r="AJ211" s="677">
        <f t="shared" si="185"/>
        <v>0</v>
      </c>
      <c r="AK211" s="677">
        <f t="shared" si="218"/>
        <v>0</v>
      </c>
      <c r="AL211" s="678">
        <f t="shared" si="219"/>
        <v>0</v>
      </c>
      <c r="AM211" s="679">
        <f t="shared" si="220"/>
        <v>0</v>
      </c>
      <c r="AN211" s="675"/>
      <c r="AO211" s="676">
        <f t="shared" si="186"/>
        <v>0</v>
      </c>
      <c r="AP211" s="677">
        <f t="shared" si="187"/>
        <v>0</v>
      </c>
      <c r="AQ211" s="677">
        <f t="shared" si="221"/>
        <v>0</v>
      </c>
      <c r="AR211" s="678">
        <f t="shared" si="222"/>
        <v>0</v>
      </c>
      <c r="AS211" s="679">
        <f t="shared" si="223"/>
        <v>0</v>
      </c>
      <c r="AT211" s="675"/>
      <c r="AU211" s="676">
        <f t="shared" si="188"/>
        <v>0</v>
      </c>
      <c r="AV211" s="677">
        <f t="shared" si="189"/>
        <v>0</v>
      </c>
      <c r="AW211" s="677">
        <f t="shared" si="224"/>
        <v>0</v>
      </c>
      <c r="AX211" s="678">
        <f t="shared" si="225"/>
        <v>0</v>
      </c>
      <c r="AY211" s="679">
        <f t="shared" si="226"/>
        <v>0</v>
      </c>
      <c r="AZ211" s="675"/>
      <c r="BA211" s="676">
        <f t="shared" si="190"/>
        <v>0</v>
      </c>
      <c r="BB211" s="677">
        <f t="shared" si="191"/>
        <v>0</v>
      </c>
      <c r="BC211" s="677">
        <f t="shared" si="227"/>
        <v>0</v>
      </c>
      <c r="BD211" s="678">
        <f t="shared" si="228"/>
        <v>0</v>
      </c>
      <c r="BE211" s="679">
        <f t="shared" si="229"/>
        <v>0</v>
      </c>
      <c r="BF211" s="675"/>
      <c r="BG211" s="676">
        <f t="shared" si="192"/>
        <v>0</v>
      </c>
      <c r="BH211" s="677">
        <f t="shared" si="193"/>
        <v>0</v>
      </c>
      <c r="BI211" s="677">
        <f t="shared" si="230"/>
        <v>0</v>
      </c>
      <c r="BJ211" s="678">
        <f t="shared" si="231"/>
        <v>0</v>
      </c>
      <c r="BK211" s="679">
        <f t="shared" si="232"/>
        <v>0</v>
      </c>
      <c r="BL211" s="675"/>
      <c r="BM211" s="676">
        <f t="shared" si="194"/>
        <v>0</v>
      </c>
      <c r="BN211" s="677">
        <f t="shared" si="195"/>
        <v>0</v>
      </c>
      <c r="BO211" s="677">
        <f t="shared" si="233"/>
        <v>0</v>
      </c>
      <c r="BP211" s="678">
        <f t="shared" si="234"/>
        <v>0</v>
      </c>
      <c r="BQ211" s="679">
        <f t="shared" si="235"/>
        <v>0</v>
      </c>
      <c r="BR211" s="675"/>
      <c r="BS211" s="676">
        <f t="shared" si="196"/>
        <v>0</v>
      </c>
      <c r="BT211" s="677">
        <f t="shared" si="197"/>
        <v>0</v>
      </c>
      <c r="BU211" s="677">
        <f t="shared" si="236"/>
        <v>0</v>
      </c>
      <c r="BV211" s="678">
        <f t="shared" si="237"/>
        <v>0</v>
      </c>
      <c r="BW211" s="679">
        <f t="shared" si="238"/>
        <v>0</v>
      </c>
      <c r="BX211" s="675"/>
      <c r="BY211" s="676">
        <f t="shared" si="198"/>
        <v>0</v>
      </c>
      <c r="BZ211" s="677">
        <f t="shared" si="199"/>
        <v>0</v>
      </c>
      <c r="CA211" s="677">
        <f t="shared" si="239"/>
        <v>0</v>
      </c>
      <c r="CB211" s="678">
        <f t="shared" si="240"/>
        <v>0</v>
      </c>
      <c r="CC211" s="679">
        <f t="shared" si="241"/>
        <v>0</v>
      </c>
      <c r="CD211" s="675"/>
      <c r="CE211" s="676">
        <f t="shared" si="200"/>
        <v>0</v>
      </c>
      <c r="CF211" s="677">
        <f t="shared" si="201"/>
        <v>0</v>
      </c>
      <c r="CG211" s="677">
        <f t="shared" si="242"/>
        <v>0</v>
      </c>
      <c r="CH211" s="678">
        <f t="shared" si="243"/>
        <v>0</v>
      </c>
      <c r="CI211" s="679">
        <f t="shared" si="244"/>
        <v>0</v>
      </c>
      <c r="CJ211" s="675"/>
      <c r="CK211" s="676">
        <f t="shared" si="202"/>
        <v>0</v>
      </c>
      <c r="CL211" s="677">
        <f t="shared" si="203"/>
        <v>0</v>
      </c>
      <c r="CM211" s="677">
        <f t="shared" si="245"/>
        <v>0</v>
      </c>
      <c r="CN211" s="678">
        <f t="shared" si="246"/>
        <v>0</v>
      </c>
      <c r="CO211" s="679">
        <f t="shared" si="247"/>
        <v>0</v>
      </c>
      <c r="CP211" s="675"/>
      <c r="CQ211" s="676">
        <f t="shared" si="204"/>
        <v>0</v>
      </c>
      <c r="CR211" s="677">
        <f t="shared" si="205"/>
        <v>0</v>
      </c>
      <c r="CS211" s="677">
        <f t="shared" si="248"/>
        <v>0</v>
      </c>
      <c r="CT211" s="678">
        <f t="shared" si="249"/>
        <v>0</v>
      </c>
      <c r="CU211" s="679">
        <f t="shared" si="250"/>
        <v>0</v>
      </c>
      <c r="CV211" s="685"/>
      <c r="CW211" s="681"/>
      <c r="CX211" s="682"/>
      <c r="CY211" s="682"/>
      <c r="CZ211" s="683"/>
      <c r="DA211" s="684"/>
      <c r="DB211" s="685"/>
      <c r="DC211" s="681"/>
      <c r="DD211" s="682"/>
      <c r="DE211" s="682"/>
      <c r="DF211" s="683"/>
      <c r="DG211" s="684"/>
      <c r="DH211" s="685"/>
      <c r="DI211" s="681"/>
      <c r="DJ211" s="682"/>
      <c r="DK211" s="682"/>
      <c r="DL211" s="683"/>
      <c r="DM211" s="684"/>
      <c r="DN211" s="685"/>
      <c r="DO211" s="681"/>
      <c r="DP211" s="682"/>
      <c r="DQ211" s="682"/>
      <c r="DR211" s="683"/>
      <c r="DS211" s="684"/>
      <c r="DT211" s="675"/>
      <c r="DU211" s="676">
        <f t="shared" si="206"/>
        <v>0</v>
      </c>
      <c r="DV211" s="677">
        <f t="shared" si="207"/>
        <v>0</v>
      </c>
      <c r="DW211" s="677">
        <f t="shared" si="251"/>
        <v>0</v>
      </c>
      <c r="DX211" s="678">
        <f t="shared" si="252"/>
        <v>0</v>
      </c>
      <c r="DY211" s="679">
        <f t="shared" si="253"/>
        <v>0</v>
      </c>
      <c r="DZ211" s="680"/>
      <c r="EA211" s="681"/>
      <c r="EB211" s="682"/>
      <c r="EC211" s="682"/>
      <c r="ED211" s="683"/>
      <c r="EE211" s="684"/>
      <c r="EF211" s="680"/>
      <c r="EG211" s="681"/>
      <c r="EH211" s="682"/>
      <c r="EI211" s="682"/>
      <c r="EJ211" s="683"/>
      <c r="EK211" s="684"/>
      <c r="EL211" s="680"/>
      <c r="EM211" s="681"/>
      <c r="EN211" s="682"/>
      <c r="EO211" s="682"/>
      <c r="EP211" s="683"/>
      <c r="EQ211" s="684"/>
      <c r="ER211" s="680"/>
      <c r="ES211" s="681"/>
      <c r="ET211" s="682"/>
      <c r="EU211" s="682"/>
      <c r="EV211" s="683"/>
      <c r="EW211" s="684"/>
      <c r="EX211" s="675"/>
      <c r="EY211" s="676">
        <f t="shared" si="208"/>
        <v>0</v>
      </c>
      <c r="EZ211" s="677">
        <f t="shared" si="209"/>
        <v>0</v>
      </c>
      <c r="FA211" s="677">
        <f t="shared" si="254"/>
        <v>0</v>
      </c>
      <c r="FB211" s="678">
        <f t="shared" si="255"/>
        <v>0</v>
      </c>
      <c r="FC211" s="679">
        <f t="shared" si="256"/>
        <v>0</v>
      </c>
      <c r="FD211" s="680"/>
      <c r="FE211" s="681"/>
      <c r="FF211" s="682"/>
      <c r="FG211" s="682"/>
      <c r="FH211" s="683"/>
      <c r="FI211" s="684"/>
      <c r="FJ211" s="680"/>
      <c r="FK211" s="681"/>
      <c r="FL211" s="682"/>
      <c r="FM211" s="682"/>
      <c r="FN211" s="683"/>
      <c r="FO211" s="684"/>
      <c r="FP211" s="680"/>
      <c r="FQ211" s="681"/>
      <c r="FR211" s="682"/>
      <c r="FS211" s="682"/>
      <c r="FT211" s="683"/>
      <c r="FU211" s="684"/>
      <c r="FV211" s="680"/>
      <c r="FW211" s="681"/>
      <c r="FX211" s="682"/>
      <c r="FY211" s="682"/>
      <c r="FZ211" s="683"/>
      <c r="GA211" s="684"/>
      <c r="GB211" s="675"/>
      <c r="GC211" s="676">
        <f t="shared" si="210"/>
        <v>0</v>
      </c>
      <c r="GD211" s="677">
        <f t="shared" si="211"/>
        <v>0</v>
      </c>
      <c r="GE211" s="677">
        <f t="shared" si="257"/>
        <v>0</v>
      </c>
      <c r="GF211" s="678">
        <f t="shared" si="258"/>
        <v>0</v>
      </c>
      <c r="GG211" s="679">
        <f t="shared" si="259"/>
        <v>0</v>
      </c>
      <c r="GH211" s="680"/>
      <c r="GI211" s="681"/>
      <c r="GJ211" s="682"/>
      <c r="GK211" s="682"/>
      <c r="GL211" s="683"/>
      <c r="GM211" s="684"/>
      <c r="GN211" s="680"/>
      <c r="GO211" s="681"/>
      <c r="GP211" s="682"/>
      <c r="GQ211" s="682"/>
      <c r="GR211" s="683"/>
      <c r="GS211" s="684"/>
      <c r="GT211" s="680"/>
      <c r="GU211" s="681"/>
      <c r="GV211" s="682"/>
      <c r="GW211" s="682"/>
      <c r="GX211" s="683"/>
      <c r="GY211" s="684"/>
      <c r="GZ211" s="680"/>
      <c r="HA211" s="147"/>
      <c r="HB211" s="148"/>
      <c r="HC211" s="148"/>
      <c r="HD211" s="149"/>
      <c r="HE211" s="150"/>
      <c r="HF211" s="506"/>
      <c r="HG211" s="502"/>
      <c r="HH211" s="502"/>
      <c r="HI211" s="502"/>
      <c r="HJ211" s="8"/>
    </row>
    <row r="212" spans="1:220" ht="21" customHeight="1">
      <c r="B212" s="488">
        <v>168</v>
      </c>
      <c r="C212" s="489" t="s">
        <v>581</v>
      </c>
      <c r="D212" s="490" t="s">
        <v>493</v>
      </c>
      <c r="E212" s="491" t="s">
        <v>456</v>
      </c>
      <c r="F212" s="492"/>
      <c r="G212" s="493"/>
      <c r="H212" s="146" t="s">
        <v>852</v>
      </c>
      <c r="I212" s="494" t="str">
        <f t="shared" si="177"/>
        <v>verhuurder</v>
      </c>
      <c r="J212" s="495" t="s">
        <v>487</v>
      </c>
      <c r="K212" s="151">
        <v>1</v>
      </c>
      <c r="L212" s="256">
        <f>IF($C$5&lt;3000,(Bron!H201*$C$5)+Bron!I201,(Bron!M201*$C$5)+Bron!N201)</f>
        <v>80310.720000000001</v>
      </c>
      <c r="M212" s="256"/>
      <c r="N212" s="496">
        <f t="shared" si="260"/>
        <v>3395.2332400000005</v>
      </c>
      <c r="O212" s="497">
        <f t="shared" si="261"/>
        <v>23.653962577251392</v>
      </c>
      <c r="P212" s="257"/>
      <c r="Q212" s="257">
        <f>IF($C$5&lt;3000,$AN$31*Bron!K201,$AN$31*Bron!P201)</f>
        <v>13367.060000000001</v>
      </c>
      <c r="R212" s="257">
        <f>IF($C$5&lt;3000,$AN$33*Bron!J201,$AN$33*Bron!O201)</f>
        <v>0</v>
      </c>
      <c r="S212" s="344"/>
      <c r="T212" s="258">
        <f t="shared" si="178"/>
        <v>1</v>
      </c>
      <c r="U212" s="259">
        <f t="shared" si="179"/>
        <v>0</v>
      </c>
      <c r="V212" s="675"/>
      <c r="W212" s="676">
        <f t="shared" si="180"/>
        <v>0</v>
      </c>
      <c r="X212" s="677">
        <f t="shared" si="181"/>
        <v>0</v>
      </c>
      <c r="Y212" s="677">
        <f t="shared" si="212"/>
        <v>0</v>
      </c>
      <c r="Z212" s="678">
        <f t="shared" si="213"/>
        <v>0</v>
      </c>
      <c r="AA212" s="679">
        <f t="shared" si="214"/>
        <v>0</v>
      </c>
      <c r="AB212" s="675"/>
      <c r="AC212" s="676">
        <f t="shared" si="182"/>
        <v>0</v>
      </c>
      <c r="AD212" s="677">
        <f t="shared" si="183"/>
        <v>0</v>
      </c>
      <c r="AE212" s="677">
        <f t="shared" si="215"/>
        <v>0</v>
      </c>
      <c r="AF212" s="678">
        <f t="shared" si="216"/>
        <v>0</v>
      </c>
      <c r="AG212" s="679">
        <f t="shared" si="217"/>
        <v>0</v>
      </c>
      <c r="AH212" s="675"/>
      <c r="AI212" s="676">
        <f t="shared" si="184"/>
        <v>0</v>
      </c>
      <c r="AJ212" s="677">
        <f t="shared" si="185"/>
        <v>0</v>
      </c>
      <c r="AK212" s="677">
        <f t="shared" si="218"/>
        <v>0</v>
      </c>
      <c r="AL212" s="678">
        <f t="shared" si="219"/>
        <v>0</v>
      </c>
      <c r="AM212" s="679">
        <f t="shared" si="220"/>
        <v>0</v>
      </c>
      <c r="AN212" s="675"/>
      <c r="AO212" s="676">
        <f t="shared" si="186"/>
        <v>0</v>
      </c>
      <c r="AP212" s="677">
        <f t="shared" si="187"/>
        <v>0</v>
      </c>
      <c r="AQ212" s="677">
        <f t="shared" si="221"/>
        <v>0</v>
      </c>
      <c r="AR212" s="678">
        <f t="shared" si="222"/>
        <v>0</v>
      </c>
      <c r="AS212" s="679">
        <f t="shared" si="223"/>
        <v>0</v>
      </c>
      <c r="AT212" s="675"/>
      <c r="AU212" s="676">
        <f t="shared" si="188"/>
        <v>0</v>
      </c>
      <c r="AV212" s="677">
        <f t="shared" si="189"/>
        <v>0</v>
      </c>
      <c r="AW212" s="677">
        <f t="shared" si="224"/>
        <v>0</v>
      </c>
      <c r="AX212" s="678">
        <f t="shared" si="225"/>
        <v>0</v>
      </c>
      <c r="AY212" s="679">
        <f t="shared" si="226"/>
        <v>0</v>
      </c>
      <c r="AZ212" s="675"/>
      <c r="BA212" s="676">
        <f t="shared" si="190"/>
        <v>0</v>
      </c>
      <c r="BB212" s="677">
        <f t="shared" si="191"/>
        <v>0</v>
      </c>
      <c r="BC212" s="677">
        <f t="shared" si="227"/>
        <v>0</v>
      </c>
      <c r="BD212" s="678">
        <f t="shared" si="228"/>
        <v>0</v>
      </c>
      <c r="BE212" s="679">
        <f t="shared" si="229"/>
        <v>0</v>
      </c>
      <c r="BF212" s="675"/>
      <c r="BG212" s="676">
        <f t="shared" si="192"/>
        <v>0</v>
      </c>
      <c r="BH212" s="677">
        <f t="shared" si="193"/>
        <v>0</v>
      </c>
      <c r="BI212" s="677">
        <f t="shared" si="230"/>
        <v>0</v>
      </c>
      <c r="BJ212" s="678">
        <f t="shared" si="231"/>
        <v>0</v>
      </c>
      <c r="BK212" s="679">
        <f t="shared" si="232"/>
        <v>0</v>
      </c>
      <c r="BL212" s="675"/>
      <c r="BM212" s="676">
        <f t="shared" si="194"/>
        <v>0</v>
      </c>
      <c r="BN212" s="677">
        <f t="shared" si="195"/>
        <v>0</v>
      </c>
      <c r="BO212" s="677">
        <f t="shared" si="233"/>
        <v>0</v>
      </c>
      <c r="BP212" s="678">
        <f t="shared" si="234"/>
        <v>0</v>
      </c>
      <c r="BQ212" s="679">
        <f t="shared" si="235"/>
        <v>0</v>
      </c>
      <c r="BR212" s="675"/>
      <c r="BS212" s="676">
        <f t="shared" si="196"/>
        <v>0</v>
      </c>
      <c r="BT212" s="677">
        <f t="shared" si="197"/>
        <v>0</v>
      </c>
      <c r="BU212" s="677">
        <f t="shared" si="236"/>
        <v>0</v>
      </c>
      <c r="BV212" s="678">
        <f t="shared" si="237"/>
        <v>0</v>
      </c>
      <c r="BW212" s="679">
        <f t="shared" si="238"/>
        <v>0</v>
      </c>
      <c r="BX212" s="675"/>
      <c r="BY212" s="676">
        <f t="shared" si="198"/>
        <v>0</v>
      </c>
      <c r="BZ212" s="677">
        <f t="shared" si="199"/>
        <v>0</v>
      </c>
      <c r="CA212" s="677">
        <f t="shared" si="239"/>
        <v>0</v>
      </c>
      <c r="CB212" s="678">
        <f t="shared" si="240"/>
        <v>0</v>
      </c>
      <c r="CC212" s="679">
        <f t="shared" si="241"/>
        <v>0</v>
      </c>
      <c r="CD212" s="675"/>
      <c r="CE212" s="676">
        <f t="shared" si="200"/>
        <v>0</v>
      </c>
      <c r="CF212" s="677">
        <f t="shared" si="201"/>
        <v>0</v>
      </c>
      <c r="CG212" s="677">
        <f t="shared" si="242"/>
        <v>0</v>
      </c>
      <c r="CH212" s="678">
        <f t="shared" si="243"/>
        <v>0</v>
      </c>
      <c r="CI212" s="679">
        <f t="shared" si="244"/>
        <v>0</v>
      </c>
      <c r="CJ212" s="675"/>
      <c r="CK212" s="676">
        <f t="shared" si="202"/>
        <v>0</v>
      </c>
      <c r="CL212" s="677">
        <f t="shared" si="203"/>
        <v>0</v>
      </c>
      <c r="CM212" s="677">
        <f t="shared" si="245"/>
        <v>0</v>
      </c>
      <c r="CN212" s="678">
        <f t="shared" si="246"/>
        <v>0</v>
      </c>
      <c r="CO212" s="679">
        <f t="shared" si="247"/>
        <v>0</v>
      </c>
      <c r="CP212" s="675"/>
      <c r="CQ212" s="676">
        <f t="shared" si="204"/>
        <v>0</v>
      </c>
      <c r="CR212" s="677">
        <f t="shared" si="205"/>
        <v>0</v>
      </c>
      <c r="CS212" s="677">
        <f t="shared" si="248"/>
        <v>0</v>
      </c>
      <c r="CT212" s="678">
        <f t="shared" si="249"/>
        <v>0</v>
      </c>
      <c r="CU212" s="679">
        <f t="shared" si="250"/>
        <v>0</v>
      </c>
      <c r="CV212" s="685"/>
      <c r="CW212" s="681"/>
      <c r="CX212" s="682"/>
      <c r="CY212" s="682"/>
      <c r="CZ212" s="683"/>
      <c r="DA212" s="684"/>
      <c r="DB212" s="685"/>
      <c r="DC212" s="681"/>
      <c r="DD212" s="682"/>
      <c r="DE212" s="682"/>
      <c r="DF212" s="683"/>
      <c r="DG212" s="684"/>
      <c r="DH212" s="685"/>
      <c r="DI212" s="681"/>
      <c r="DJ212" s="682"/>
      <c r="DK212" s="682"/>
      <c r="DL212" s="683"/>
      <c r="DM212" s="684"/>
      <c r="DN212" s="685"/>
      <c r="DO212" s="681"/>
      <c r="DP212" s="682"/>
      <c r="DQ212" s="682"/>
      <c r="DR212" s="683"/>
      <c r="DS212" s="684"/>
      <c r="DT212" s="675"/>
      <c r="DU212" s="676">
        <f t="shared" si="206"/>
        <v>0</v>
      </c>
      <c r="DV212" s="677">
        <f t="shared" si="207"/>
        <v>0</v>
      </c>
      <c r="DW212" s="677">
        <f t="shared" si="251"/>
        <v>0</v>
      </c>
      <c r="DX212" s="678">
        <f t="shared" si="252"/>
        <v>0</v>
      </c>
      <c r="DY212" s="679">
        <f t="shared" si="253"/>
        <v>0</v>
      </c>
      <c r="DZ212" s="680"/>
      <c r="EA212" s="681"/>
      <c r="EB212" s="682"/>
      <c r="EC212" s="682"/>
      <c r="ED212" s="683"/>
      <c r="EE212" s="684"/>
      <c r="EF212" s="680"/>
      <c r="EG212" s="681"/>
      <c r="EH212" s="682"/>
      <c r="EI212" s="682"/>
      <c r="EJ212" s="683"/>
      <c r="EK212" s="684"/>
      <c r="EL212" s="680"/>
      <c r="EM212" s="681"/>
      <c r="EN212" s="682"/>
      <c r="EO212" s="682"/>
      <c r="EP212" s="683"/>
      <c r="EQ212" s="684"/>
      <c r="ER212" s="680"/>
      <c r="ES212" s="681"/>
      <c r="ET212" s="682"/>
      <c r="EU212" s="682"/>
      <c r="EV212" s="683"/>
      <c r="EW212" s="684"/>
      <c r="EX212" s="675"/>
      <c r="EY212" s="676">
        <f t="shared" si="208"/>
        <v>0</v>
      </c>
      <c r="EZ212" s="677">
        <f t="shared" si="209"/>
        <v>0</v>
      </c>
      <c r="FA212" s="677">
        <f t="shared" si="254"/>
        <v>0</v>
      </c>
      <c r="FB212" s="678">
        <f t="shared" si="255"/>
        <v>0</v>
      </c>
      <c r="FC212" s="679">
        <f t="shared" si="256"/>
        <v>0</v>
      </c>
      <c r="FD212" s="680"/>
      <c r="FE212" s="681"/>
      <c r="FF212" s="682"/>
      <c r="FG212" s="682"/>
      <c r="FH212" s="683"/>
      <c r="FI212" s="684"/>
      <c r="FJ212" s="680"/>
      <c r="FK212" s="681"/>
      <c r="FL212" s="682"/>
      <c r="FM212" s="682"/>
      <c r="FN212" s="683"/>
      <c r="FO212" s="684"/>
      <c r="FP212" s="680"/>
      <c r="FQ212" s="681"/>
      <c r="FR212" s="682"/>
      <c r="FS212" s="682"/>
      <c r="FT212" s="683"/>
      <c r="FU212" s="684"/>
      <c r="FV212" s="680"/>
      <c r="FW212" s="681"/>
      <c r="FX212" s="682"/>
      <c r="FY212" s="682"/>
      <c r="FZ212" s="683"/>
      <c r="GA212" s="684"/>
      <c r="GB212" s="675"/>
      <c r="GC212" s="676">
        <f t="shared" si="210"/>
        <v>0</v>
      </c>
      <c r="GD212" s="677">
        <f t="shared" si="211"/>
        <v>0</v>
      </c>
      <c r="GE212" s="677">
        <f t="shared" si="257"/>
        <v>0</v>
      </c>
      <c r="GF212" s="678">
        <f t="shared" si="258"/>
        <v>0</v>
      </c>
      <c r="GG212" s="679">
        <f t="shared" si="259"/>
        <v>0</v>
      </c>
      <c r="GH212" s="680"/>
      <c r="GI212" s="681"/>
      <c r="GJ212" s="682"/>
      <c r="GK212" s="682"/>
      <c r="GL212" s="683"/>
      <c r="GM212" s="684"/>
      <c r="GN212" s="680"/>
      <c r="GO212" s="681"/>
      <c r="GP212" s="682"/>
      <c r="GQ212" s="682"/>
      <c r="GR212" s="683"/>
      <c r="GS212" s="684"/>
      <c r="GT212" s="680"/>
      <c r="GU212" s="681"/>
      <c r="GV212" s="682"/>
      <c r="GW212" s="682"/>
      <c r="GX212" s="683"/>
      <c r="GY212" s="684"/>
      <c r="GZ212" s="680"/>
      <c r="HA212" s="147"/>
      <c r="HB212" s="148"/>
      <c r="HC212" s="148"/>
      <c r="HD212" s="149"/>
      <c r="HE212" s="150"/>
      <c r="HF212" s="506"/>
      <c r="HG212" s="502"/>
      <c r="HH212" s="502"/>
      <c r="HI212" s="502"/>
      <c r="HJ212" s="8"/>
    </row>
    <row r="213" spans="1:220" ht="21" customHeight="1">
      <c r="B213" s="488">
        <v>169</v>
      </c>
      <c r="C213" s="489" t="s">
        <v>581</v>
      </c>
      <c r="D213" s="490" t="s">
        <v>493</v>
      </c>
      <c r="E213" s="491" t="s">
        <v>582</v>
      </c>
      <c r="F213" s="492"/>
      <c r="G213" s="493"/>
      <c r="H213" s="146" t="s">
        <v>852</v>
      </c>
      <c r="I213" s="494" t="str">
        <f t="shared" si="177"/>
        <v>verhuurder</v>
      </c>
      <c r="J213" s="495" t="s">
        <v>487</v>
      </c>
      <c r="K213" s="151">
        <v>0</v>
      </c>
      <c r="L213" s="256">
        <f>IF($C$5&lt;3000,(Bron!H202*$C$5)+Bron!I202,(Bron!M202*$C$5)+Bron!N202)</f>
        <v>1000</v>
      </c>
      <c r="M213" s="256"/>
      <c r="N213" s="496">
        <f t="shared" si="260"/>
        <v>1455.09996</v>
      </c>
      <c r="O213" s="497">
        <f t="shared" si="261"/>
        <v>0.68723800940795843</v>
      </c>
      <c r="P213" s="257">
        <f>IF($C$5&lt;3000,$AN$32*Bron!J202,$AN$32*Bron!O202)</f>
        <v>0</v>
      </c>
      <c r="Q213" s="257">
        <f>IF($C$5&lt;3000,$AN$31*Bron!K202,$AN$31*Bron!P202)</f>
        <v>5728.74</v>
      </c>
      <c r="R213" s="257">
        <f>IF($C$5&lt;3000,$AN$33*Bron!J202,$AN$33*Bron!O202)</f>
        <v>0</v>
      </c>
      <c r="S213" s="344"/>
      <c r="T213" s="258">
        <f t="shared" si="178"/>
        <v>0</v>
      </c>
      <c r="U213" s="259">
        <f t="shared" si="179"/>
        <v>0</v>
      </c>
      <c r="V213" s="675"/>
      <c r="W213" s="676">
        <f t="shared" si="180"/>
        <v>0</v>
      </c>
      <c r="X213" s="677">
        <f t="shared" si="181"/>
        <v>0</v>
      </c>
      <c r="Y213" s="677">
        <f t="shared" si="212"/>
        <v>0</v>
      </c>
      <c r="Z213" s="678">
        <f t="shared" si="213"/>
        <v>0</v>
      </c>
      <c r="AA213" s="679">
        <f t="shared" si="214"/>
        <v>0</v>
      </c>
      <c r="AB213" s="675"/>
      <c r="AC213" s="676">
        <f t="shared" si="182"/>
        <v>0</v>
      </c>
      <c r="AD213" s="677">
        <f t="shared" si="183"/>
        <v>0</v>
      </c>
      <c r="AE213" s="677">
        <f t="shared" si="215"/>
        <v>0</v>
      </c>
      <c r="AF213" s="678">
        <f t="shared" si="216"/>
        <v>0</v>
      </c>
      <c r="AG213" s="679">
        <f t="shared" si="217"/>
        <v>0</v>
      </c>
      <c r="AH213" s="675"/>
      <c r="AI213" s="676">
        <f t="shared" si="184"/>
        <v>0</v>
      </c>
      <c r="AJ213" s="677">
        <f t="shared" si="185"/>
        <v>0</v>
      </c>
      <c r="AK213" s="677">
        <f t="shared" si="218"/>
        <v>0</v>
      </c>
      <c r="AL213" s="678">
        <f t="shared" si="219"/>
        <v>0</v>
      </c>
      <c r="AM213" s="679">
        <f t="shared" si="220"/>
        <v>0</v>
      </c>
      <c r="AN213" s="675"/>
      <c r="AO213" s="676">
        <f t="shared" si="186"/>
        <v>0</v>
      </c>
      <c r="AP213" s="677">
        <f t="shared" si="187"/>
        <v>0</v>
      </c>
      <c r="AQ213" s="677">
        <f t="shared" si="221"/>
        <v>0</v>
      </c>
      <c r="AR213" s="678">
        <f t="shared" si="222"/>
        <v>0</v>
      </c>
      <c r="AS213" s="679">
        <f t="shared" si="223"/>
        <v>0</v>
      </c>
      <c r="AT213" s="675"/>
      <c r="AU213" s="676">
        <f t="shared" si="188"/>
        <v>0</v>
      </c>
      <c r="AV213" s="677">
        <f t="shared" si="189"/>
        <v>0</v>
      </c>
      <c r="AW213" s="677">
        <f t="shared" si="224"/>
        <v>0</v>
      </c>
      <c r="AX213" s="678">
        <f t="shared" si="225"/>
        <v>0</v>
      </c>
      <c r="AY213" s="679">
        <f t="shared" si="226"/>
        <v>0</v>
      </c>
      <c r="AZ213" s="675"/>
      <c r="BA213" s="676">
        <f t="shared" si="190"/>
        <v>0</v>
      </c>
      <c r="BB213" s="677">
        <f t="shared" si="191"/>
        <v>0</v>
      </c>
      <c r="BC213" s="677">
        <f t="shared" si="227"/>
        <v>0</v>
      </c>
      <c r="BD213" s="678">
        <f t="shared" si="228"/>
        <v>0</v>
      </c>
      <c r="BE213" s="679">
        <f t="shared" si="229"/>
        <v>0</v>
      </c>
      <c r="BF213" s="675"/>
      <c r="BG213" s="676">
        <f t="shared" si="192"/>
        <v>0</v>
      </c>
      <c r="BH213" s="677">
        <f t="shared" si="193"/>
        <v>0</v>
      </c>
      <c r="BI213" s="677">
        <f t="shared" si="230"/>
        <v>0</v>
      </c>
      <c r="BJ213" s="678">
        <f t="shared" si="231"/>
        <v>0</v>
      </c>
      <c r="BK213" s="679">
        <f t="shared" si="232"/>
        <v>0</v>
      </c>
      <c r="BL213" s="675"/>
      <c r="BM213" s="676">
        <f t="shared" si="194"/>
        <v>0</v>
      </c>
      <c r="BN213" s="677">
        <f t="shared" si="195"/>
        <v>0</v>
      </c>
      <c r="BO213" s="677">
        <f t="shared" si="233"/>
        <v>0</v>
      </c>
      <c r="BP213" s="678">
        <f t="shared" si="234"/>
        <v>0</v>
      </c>
      <c r="BQ213" s="679">
        <f t="shared" si="235"/>
        <v>0</v>
      </c>
      <c r="BR213" s="675"/>
      <c r="BS213" s="676">
        <f t="shared" si="196"/>
        <v>0</v>
      </c>
      <c r="BT213" s="677">
        <f t="shared" si="197"/>
        <v>0</v>
      </c>
      <c r="BU213" s="677">
        <f t="shared" si="236"/>
        <v>0</v>
      </c>
      <c r="BV213" s="678">
        <f t="shared" si="237"/>
        <v>0</v>
      </c>
      <c r="BW213" s="679">
        <f t="shared" si="238"/>
        <v>0</v>
      </c>
      <c r="BX213" s="675"/>
      <c r="BY213" s="676">
        <f t="shared" si="198"/>
        <v>0</v>
      </c>
      <c r="BZ213" s="677">
        <f t="shared" si="199"/>
        <v>0</v>
      </c>
      <c r="CA213" s="677">
        <f t="shared" si="239"/>
        <v>0</v>
      </c>
      <c r="CB213" s="678">
        <f t="shared" si="240"/>
        <v>0</v>
      </c>
      <c r="CC213" s="679">
        <f t="shared" si="241"/>
        <v>0</v>
      </c>
      <c r="CD213" s="675"/>
      <c r="CE213" s="676">
        <f t="shared" si="200"/>
        <v>0</v>
      </c>
      <c r="CF213" s="677">
        <f t="shared" si="201"/>
        <v>0</v>
      </c>
      <c r="CG213" s="677">
        <f t="shared" si="242"/>
        <v>0</v>
      </c>
      <c r="CH213" s="678">
        <f t="shared" si="243"/>
        <v>0</v>
      </c>
      <c r="CI213" s="679">
        <f t="shared" si="244"/>
        <v>0</v>
      </c>
      <c r="CJ213" s="675"/>
      <c r="CK213" s="676">
        <f t="shared" si="202"/>
        <v>0</v>
      </c>
      <c r="CL213" s="677">
        <f t="shared" si="203"/>
        <v>0</v>
      </c>
      <c r="CM213" s="677">
        <f t="shared" si="245"/>
        <v>0</v>
      </c>
      <c r="CN213" s="678">
        <f t="shared" si="246"/>
        <v>0</v>
      </c>
      <c r="CO213" s="679">
        <f t="shared" si="247"/>
        <v>0</v>
      </c>
      <c r="CP213" s="675"/>
      <c r="CQ213" s="676">
        <f t="shared" si="204"/>
        <v>0</v>
      </c>
      <c r="CR213" s="677">
        <f t="shared" si="205"/>
        <v>0</v>
      </c>
      <c r="CS213" s="677">
        <f t="shared" si="248"/>
        <v>0</v>
      </c>
      <c r="CT213" s="678">
        <f t="shared" si="249"/>
        <v>0</v>
      </c>
      <c r="CU213" s="679">
        <f t="shared" si="250"/>
        <v>0</v>
      </c>
      <c r="CV213" s="685"/>
      <c r="CW213" s="681"/>
      <c r="CX213" s="682"/>
      <c r="CY213" s="682"/>
      <c r="CZ213" s="683"/>
      <c r="DA213" s="684"/>
      <c r="DB213" s="685"/>
      <c r="DC213" s="681"/>
      <c r="DD213" s="682"/>
      <c r="DE213" s="682"/>
      <c r="DF213" s="683"/>
      <c r="DG213" s="684"/>
      <c r="DH213" s="685"/>
      <c r="DI213" s="681"/>
      <c r="DJ213" s="682"/>
      <c r="DK213" s="682"/>
      <c r="DL213" s="683"/>
      <c r="DM213" s="684"/>
      <c r="DN213" s="685"/>
      <c r="DO213" s="681"/>
      <c r="DP213" s="682"/>
      <c r="DQ213" s="682"/>
      <c r="DR213" s="683"/>
      <c r="DS213" s="684"/>
      <c r="DT213" s="675"/>
      <c r="DU213" s="676">
        <f t="shared" si="206"/>
        <v>0</v>
      </c>
      <c r="DV213" s="677">
        <f t="shared" si="207"/>
        <v>0</v>
      </c>
      <c r="DW213" s="677">
        <f t="shared" si="251"/>
        <v>0</v>
      </c>
      <c r="DX213" s="678">
        <f t="shared" si="252"/>
        <v>0</v>
      </c>
      <c r="DY213" s="679">
        <f t="shared" si="253"/>
        <v>0</v>
      </c>
      <c r="DZ213" s="680"/>
      <c r="EA213" s="681"/>
      <c r="EB213" s="682"/>
      <c r="EC213" s="682"/>
      <c r="ED213" s="683"/>
      <c r="EE213" s="684"/>
      <c r="EF213" s="680"/>
      <c r="EG213" s="681"/>
      <c r="EH213" s="682"/>
      <c r="EI213" s="682"/>
      <c r="EJ213" s="683"/>
      <c r="EK213" s="684"/>
      <c r="EL213" s="680"/>
      <c r="EM213" s="681"/>
      <c r="EN213" s="682"/>
      <c r="EO213" s="682"/>
      <c r="EP213" s="683"/>
      <c r="EQ213" s="684"/>
      <c r="ER213" s="680"/>
      <c r="ES213" s="681"/>
      <c r="ET213" s="682"/>
      <c r="EU213" s="682"/>
      <c r="EV213" s="683"/>
      <c r="EW213" s="684"/>
      <c r="EX213" s="675"/>
      <c r="EY213" s="676">
        <f t="shared" si="208"/>
        <v>0</v>
      </c>
      <c r="EZ213" s="677">
        <f t="shared" si="209"/>
        <v>0</v>
      </c>
      <c r="FA213" s="677">
        <f t="shared" si="254"/>
        <v>0</v>
      </c>
      <c r="FB213" s="678">
        <f t="shared" si="255"/>
        <v>0</v>
      </c>
      <c r="FC213" s="679">
        <f t="shared" si="256"/>
        <v>0</v>
      </c>
      <c r="FD213" s="680"/>
      <c r="FE213" s="681"/>
      <c r="FF213" s="682"/>
      <c r="FG213" s="682"/>
      <c r="FH213" s="683"/>
      <c r="FI213" s="684"/>
      <c r="FJ213" s="680"/>
      <c r="FK213" s="681"/>
      <c r="FL213" s="682"/>
      <c r="FM213" s="682"/>
      <c r="FN213" s="683"/>
      <c r="FO213" s="684"/>
      <c r="FP213" s="680"/>
      <c r="FQ213" s="681"/>
      <c r="FR213" s="682"/>
      <c r="FS213" s="682"/>
      <c r="FT213" s="683"/>
      <c r="FU213" s="684"/>
      <c r="FV213" s="680"/>
      <c r="FW213" s="681"/>
      <c r="FX213" s="682"/>
      <c r="FY213" s="682"/>
      <c r="FZ213" s="683"/>
      <c r="GA213" s="684"/>
      <c r="GB213" s="675"/>
      <c r="GC213" s="676">
        <f t="shared" si="210"/>
        <v>0</v>
      </c>
      <c r="GD213" s="677">
        <f t="shared" si="211"/>
        <v>0</v>
      </c>
      <c r="GE213" s="677">
        <f t="shared" si="257"/>
        <v>0</v>
      </c>
      <c r="GF213" s="678">
        <f t="shared" si="258"/>
        <v>0</v>
      </c>
      <c r="GG213" s="679">
        <f t="shared" si="259"/>
        <v>0</v>
      </c>
      <c r="GH213" s="680"/>
      <c r="GI213" s="681"/>
      <c r="GJ213" s="682"/>
      <c r="GK213" s="682"/>
      <c r="GL213" s="683"/>
      <c r="GM213" s="684"/>
      <c r="GN213" s="680"/>
      <c r="GO213" s="681"/>
      <c r="GP213" s="682"/>
      <c r="GQ213" s="682"/>
      <c r="GR213" s="683"/>
      <c r="GS213" s="684"/>
      <c r="GT213" s="680"/>
      <c r="GU213" s="681"/>
      <c r="GV213" s="682"/>
      <c r="GW213" s="682"/>
      <c r="GX213" s="683"/>
      <c r="GY213" s="684"/>
      <c r="GZ213" s="680"/>
      <c r="HA213" s="147"/>
      <c r="HB213" s="148"/>
      <c r="HC213" s="148"/>
      <c r="HD213" s="149"/>
      <c r="HE213" s="150"/>
      <c r="HF213" s="506"/>
      <c r="HG213" s="502"/>
      <c r="HH213" s="502"/>
      <c r="HI213" s="502"/>
      <c r="HJ213" s="8"/>
    </row>
    <row r="214" spans="1:220" ht="21" hidden="1" customHeight="1">
      <c r="B214" s="488">
        <v>170</v>
      </c>
      <c r="C214" s="489" t="s">
        <v>591</v>
      </c>
      <c r="D214" s="490" t="s">
        <v>493</v>
      </c>
      <c r="E214" s="491" t="s">
        <v>592</v>
      </c>
      <c r="F214" s="492"/>
      <c r="G214" s="493"/>
      <c r="H214" s="146" t="s">
        <v>97</v>
      </c>
      <c r="I214" s="494" t="str">
        <f t="shared" si="177"/>
        <v>n.v.t.</v>
      </c>
      <c r="J214" s="495" t="s">
        <v>487</v>
      </c>
      <c r="K214" s="151">
        <v>0</v>
      </c>
      <c r="L214" s="256">
        <f>IF($C$5&lt;3000,(Bron!H203*$C$5)+Bron!I203,(Bron!M203*$C$5)+Bron!N203)</f>
        <v>370</v>
      </c>
      <c r="M214" s="256"/>
      <c r="N214" s="496">
        <f t="shared" si="260"/>
        <v>291.019992</v>
      </c>
      <c r="O214" s="497">
        <f t="shared" si="261"/>
        <v>1.2713903174047232</v>
      </c>
      <c r="P214" s="257"/>
      <c r="Q214" s="257">
        <f>IF($C$5&lt;3000,$AN$31*Bron!K203,$AN$31*Bron!P203)</f>
        <v>1145.748</v>
      </c>
      <c r="R214" s="257">
        <f>IF($C$5&lt;3000,$AN$33*Bron!J203,$AN$33*Bron!O203)</f>
        <v>0</v>
      </c>
      <c r="S214" s="344"/>
      <c r="T214" s="258">
        <f t="shared" si="178"/>
        <v>0</v>
      </c>
      <c r="U214" s="259">
        <f t="shared" si="179"/>
        <v>0</v>
      </c>
      <c r="V214" s="675"/>
      <c r="W214" s="676">
        <f t="shared" si="180"/>
        <v>0</v>
      </c>
      <c r="X214" s="677">
        <f t="shared" si="181"/>
        <v>0</v>
      </c>
      <c r="Y214" s="677">
        <f t="shared" si="212"/>
        <v>0</v>
      </c>
      <c r="Z214" s="678">
        <f t="shared" si="213"/>
        <v>0</v>
      </c>
      <c r="AA214" s="679">
        <f t="shared" si="214"/>
        <v>0</v>
      </c>
      <c r="AB214" s="675"/>
      <c r="AC214" s="676">
        <f t="shared" si="182"/>
        <v>0</v>
      </c>
      <c r="AD214" s="677">
        <f t="shared" si="183"/>
        <v>0</v>
      </c>
      <c r="AE214" s="677">
        <f t="shared" si="215"/>
        <v>0</v>
      </c>
      <c r="AF214" s="678">
        <f t="shared" si="216"/>
        <v>0</v>
      </c>
      <c r="AG214" s="679">
        <f t="shared" si="217"/>
        <v>0</v>
      </c>
      <c r="AH214" s="675"/>
      <c r="AI214" s="676">
        <f t="shared" si="184"/>
        <v>0</v>
      </c>
      <c r="AJ214" s="677">
        <f t="shared" si="185"/>
        <v>0</v>
      </c>
      <c r="AK214" s="677">
        <f t="shared" si="218"/>
        <v>0</v>
      </c>
      <c r="AL214" s="678">
        <f t="shared" si="219"/>
        <v>0</v>
      </c>
      <c r="AM214" s="679">
        <f t="shared" si="220"/>
        <v>0</v>
      </c>
      <c r="AN214" s="675"/>
      <c r="AO214" s="676">
        <f t="shared" si="186"/>
        <v>0</v>
      </c>
      <c r="AP214" s="677">
        <f t="shared" si="187"/>
        <v>0</v>
      </c>
      <c r="AQ214" s="677">
        <f t="shared" si="221"/>
        <v>0</v>
      </c>
      <c r="AR214" s="678">
        <f t="shared" si="222"/>
        <v>0</v>
      </c>
      <c r="AS214" s="679">
        <f t="shared" si="223"/>
        <v>0</v>
      </c>
      <c r="AT214" s="675"/>
      <c r="AU214" s="676">
        <f t="shared" si="188"/>
        <v>0</v>
      </c>
      <c r="AV214" s="677">
        <f t="shared" si="189"/>
        <v>0</v>
      </c>
      <c r="AW214" s="677">
        <f t="shared" si="224"/>
        <v>0</v>
      </c>
      <c r="AX214" s="678">
        <f t="shared" si="225"/>
        <v>0</v>
      </c>
      <c r="AY214" s="679">
        <f t="shared" si="226"/>
        <v>0</v>
      </c>
      <c r="AZ214" s="675"/>
      <c r="BA214" s="676">
        <f t="shared" si="190"/>
        <v>0</v>
      </c>
      <c r="BB214" s="677">
        <f t="shared" si="191"/>
        <v>0</v>
      </c>
      <c r="BC214" s="677">
        <f t="shared" si="227"/>
        <v>0</v>
      </c>
      <c r="BD214" s="678">
        <f t="shared" si="228"/>
        <v>0</v>
      </c>
      <c r="BE214" s="679">
        <f t="shared" si="229"/>
        <v>0</v>
      </c>
      <c r="BF214" s="675"/>
      <c r="BG214" s="676">
        <f t="shared" si="192"/>
        <v>0</v>
      </c>
      <c r="BH214" s="677">
        <f t="shared" si="193"/>
        <v>0</v>
      </c>
      <c r="BI214" s="677">
        <f t="shared" si="230"/>
        <v>0</v>
      </c>
      <c r="BJ214" s="678">
        <f t="shared" si="231"/>
        <v>0</v>
      </c>
      <c r="BK214" s="679">
        <f t="shared" si="232"/>
        <v>0</v>
      </c>
      <c r="BL214" s="675"/>
      <c r="BM214" s="676">
        <f t="shared" si="194"/>
        <v>0</v>
      </c>
      <c r="BN214" s="677">
        <f t="shared" si="195"/>
        <v>0</v>
      </c>
      <c r="BO214" s="677">
        <f t="shared" si="233"/>
        <v>0</v>
      </c>
      <c r="BP214" s="678">
        <f t="shared" si="234"/>
        <v>0</v>
      </c>
      <c r="BQ214" s="679">
        <f t="shared" si="235"/>
        <v>0</v>
      </c>
      <c r="BR214" s="675"/>
      <c r="BS214" s="676">
        <f t="shared" si="196"/>
        <v>0</v>
      </c>
      <c r="BT214" s="677">
        <f t="shared" si="197"/>
        <v>0</v>
      </c>
      <c r="BU214" s="677">
        <f t="shared" si="236"/>
        <v>0</v>
      </c>
      <c r="BV214" s="678">
        <f t="shared" si="237"/>
        <v>0</v>
      </c>
      <c r="BW214" s="679">
        <f t="shared" si="238"/>
        <v>0</v>
      </c>
      <c r="BX214" s="675"/>
      <c r="BY214" s="676">
        <f t="shared" si="198"/>
        <v>0</v>
      </c>
      <c r="BZ214" s="677">
        <f t="shared" si="199"/>
        <v>0</v>
      </c>
      <c r="CA214" s="677">
        <f t="shared" si="239"/>
        <v>0</v>
      </c>
      <c r="CB214" s="678">
        <f t="shared" si="240"/>
        <v>0</v>
      </c>
      <c r="CC214" s="679">
        <f t="shared" si="241"/>
        <v>0</v>
      </c>
      <c r="CD214" s="675"/>
      <c r="CE214" s="676">
        <f t="shared" si="200"/>
        <v>0</v>
      </c>
      <c r="CF214" s="677">
        <f t="shared" si="201"/>
        <v>0</v>
      </c>
      <c r="CG214" s="677">
        <f t="shared" si="242"/>
        <v>0</v>
      </c>
      <c r="CH214" s="678">
        <f t="shared" si="243"/>
        <v>0</v>
      </c>
      <c r="CI214" s="679">
        <f t="shared" si="244"/>
        <v>0</v>
      </c>
      <c r="CJ214" s="675"/>
      <c r="CK214" s="676">
        <f t="shared" si="202"/>
        <v>0</v>
      </c>
      <c r="CL214" s="677">
        <f t="shared" si="203"/>
        <v>0</v>
      </c>
      <c r="CM214" s="677">
        <f t="shared" si="245"/>
        <v>0</v>
      </c>
      <c r="CN214" s="678">
        <f t="shared" si="246"/>
        <v>0</v>
      </c>
      <c r="CO214" s="679">
        <f t="shared" si="247"/>
        <v>0</v>
      </c>
      <c r="CP214" s="675"/>
      <c r="CQ214" s="676">
        <f t="shared" si="204"/>
        <v>0</v>
      </c>
      <c r="CR214" s="677">
        <f t="shared" si="205"/>
        <v>0</v>
      </c>
      <c r="CS214" s="677">
        <f t="shared" si="248"/>
        <v>0</v>
      </c>
      <c r="CT214" s="678">
        <f t="shared" si="249"/>
        <v>0</v>
      </c>
      <c r="CU214" s="679">
        <f t="shared" si="250"/>
        <v>0</v>
      </c>
      <c r="CV214" s="685"/>
      <c r="CW214" s="681"/>
      <c r="CX214" s="682"/>
      <c r="CY214" s="682"/>
      <c r="CZ214" s="683"/>
      <c r="DA214" s="684"/>
      <c r="DB214" s="685"/>
      <c r="DC214" s="681"/>
      <c r="DD214" s="682"/>
      <c r="DE214" s="682"/>
      <c r="DF214" s="683"/>
      <c r="DG214" s="684"/>
      <c r="DH214" s="685"/>
      <c r="DI214" s="681"/>
      <c r="DJ214" s="682"/>
      <c r="DK214" s="682"/>
      <c r="DL214" s="683"/>
      <c r="DM214" s="684"/>
      <c r="DN214" s="685"/>
      <c r="DO214" s="681"/>
      <c r="DP214" s="682"/>
      <c r="DQ214" s="682"/>
      <c r="DR214" s="683"/>
      <c r="DS214" s="684"/>
      <c r="DT214" s="675"/>
      <c r="DU214" s="676">
        <f t="shared" si="206"/>
        <v>0</v>
      </c>
      <c r="DV214" s="677">
        <f t="shared" si="207"/>
        <v>0</v>
      </c>
      <c r="DW214" s="677">
        <f t="shared" si="251"/>
        <v>0</v>
      </c>
      <c r="DX214" s="678">
        <f t="shared" si="252"/>
        <v>0</v>
      </c>
      <c r="DY214" s="679">
        <f t="shared" si="253"/>
        <v>0</v>
      </c>
      <c r="DZ214" s="680"/>
      <c r="EA214" s="681"/>
      <c r="EB214" s="682"/>
      <c r="EC214" s="682"/>
      <c r="ED214" s="683"/>
      <c r="EE214" s="684"/>
      <c r="EF214" s="680"/>
      <c r="EG214" s="681"/>
      <c r="EH214" s="682"/>
      <c r="EI214" s="682"/>
      <c r="EJ214" s="683"/>
      <c r="EK214" s="684"/>
      <c r="EL214" s="680"/>
      <c r="EM214" s="681"/>
      <c r="EN214" s="682"/>
      <c r="EO214" s="682"/>
      <c r="EP214" s="683"/>
      <c r="EQ214" s="684"/>
      <c r="ER214" s="680"/>
      <c r="ES214" s="681"/>
      <c r="ET214" s="682"/>
      <c r="EU214" s="682"/>
      <c r="EV214" s="683"/>
      <c r="EW214" s="684"/>
      <c r="EX214" s="675"/>
      <c r="EY214" s="676">
        <f t="shared" si="208"/>
        <v>0</v>
      </c>
      <c r="EZ214" s="677">
        <f t="shared" si="209"/>
        <v>0</v>
      </c>
      <c r="FA214" s="677">
        <f t="shared" si="254"/>
        <v>0</v>
      </c>
      <c r="FB214" s="678">
        <f t="shared" si="255"/>
        <v>0</v>
      </c>
      <c r="FC214" s="679">
        <f t="shared" si="256"/>
        <v>0</v>
      </c>
      <c r="FD214" s="680"/>
      <c r="FE214" s="681"/>
      <c r="FF214" s="682"/>
      <c r="FG214" s="682"/>
      <c r="FH214" s="683"/>
      <c r="FI214" s="684"/>
      <c r="FJ214" s="680"/>
      <c r="FK214" s="681"/>
      <c r="FL214" s="682"/>
      <c r="FM214" s="682"/>
      <c r="FN214" s="683"/>
      <c r="FO214" s="684"/>
      <c r="FP214" s="680"/>
      <c r="FQ214" s="681"/>
      <c r="FR214" s="682"/>
      <c r="FS214" s="682"/>
      <c r="FT214" s="683"/>
      <c r="FU214" s="684"/>
      <c r="FV214" s="680"/>
      <c r="FW214" s="681"/>
      <c r="FX214" s="682"/>
      <c r="FY214" s="682"/>
      <c r="FZ214" s="683"/>
      <c r="GA214" s="684"/>
      <c r="GB214" s="675"/>
      <c r="GC214" s="676">
        <f t="shared" si="210"/>
        <v>0</v>
      </c>
      <c r="GD214" s="677">
        <f t="shared" si="211"/>
        <v>0</v>
      </c>
      <c r="GE214" s="677">
        <f t="shared" si="257"/>
        <v>0</v>
      </c>
      <c r="GF214" s="678">
        <f t="shared" si="258"/>
        <v>0</v>
      </c>
      <c r="GG214" s="679">
        <f t="shared" si="259"/>
        <v>0</v>
      </c>
      <c r="GH214" s="680"/>
      <c r="GI214" s="681"/>
      <c r="GJ214" s="682"/>
      <c r="GK214" s="682"/>
      <c r="GL214" s="683"/>
      <c r="GM214" s="684"/>
      <c r="GN214" s="680"/>
      <c r="GO214" s="681"/>
      <c r="GP214" s="682"/>
      <c r="GQ214" s="682"/>
      <c r="GR214" s="683"/>
      <c r="GS214" s="684"/>
      <c r="GT214" s="680"/>
      <c r="GU214" s="681"/>
      <c r="GV214" s="682"/>
      <c r="GW214" s="682"/>
      <c r="GX214" s="683"/>
      <c r="GY214" s="684"/>
      <c r="GZ214" s="680"/>
      <c r="HA214" s="147"/>
      <c r="HB214" s="148"/>
      <c r="HC214" s="148"/>
      <c r="HD214" s="149"/>
      <c r="HE214" s="150"/>
      <c r="HF214" s="506"/>
      <c r="HG214" s="502"/>
      <c r="HH214" s="502"/>
      <c r="HI214" s="502"/>
      <c r="HJ214" s="8"/>
    </row>
    <row r="215" spans="1:220" ht="21" hidden="1" customHeight="1">
      <c r="B215" s="488">
        <v>171</v>
      </c>
      <c r="C215" s="701" t="s">
        <v>591</v>
      </c>
      <c r="D215" s="702" t="s">
        <v>493</v>
      </c>
      <c r="E215" s="703" t="s">
        <v>593</v>
      </c>
      <c r="F215" s="704"/>
      <c r="G215" s="705"/>
      <c r="H215" s="706" t="s">
        <v>97</v>
      </c>
      <c r="I215" s="707" t="str">
        <f t="shared" si="177"/>
        <v>n.v.t.</v>
      </c>
      <c r="J215" s="708"/>
      <c r="K215" s="151">
        <v>0</v>
      </c>
      <c r="L215" s="709"/>
      <c r="M215" s="709">
        <f>IF($C$5&lt;3000,(Bron!H204*$C$5)+Bron!I204,(Bron!M204*$C$5)+Bron!N204)</f>
        <v>26</v>
      </c>
      <c r="N215" s="710">
        <f t="shared" si="260"/>
        <v>242.51666</v>
      </c>
      <c r="O215" s="711">
        <f t="shared" si="261"/>
        <v>0.10720912946764152</v>
      </c>
      <c r="P215" s="712"/>
      <c r="Q215" s="712">
        <f>IF($C$5&lt;3000,$AN$31*Bron!K204,$AN$31*Bron!P204)</f>
        <v>954.79</v>
      </c>
      <c r="R215" s="712">
        <f>IF($C$5&lt;3000,$AN$33*Bron!J204,$AN$33*Bron!O204)</f>
        <v>0</v>
      </c>
      <c r="S215" s="713"/>
      <c r="T215" s="714">
        <f t="shared" si="178"/>
        <v>0</v>
      </c>
      <c r="U215" s="715">
        <f t="shared" si="179"/>
        <v>0</v>
      </c>
      <c r="V215" s="716"/>
      <c r="W215" s="717">
        <f t="shared" si="180"/>
        <v>0</v>
      </c>
      <c r="X215" s="718">
        <f t="shared" si="181"/>
        <v>0</v>
      </c>
      <c r="Y215" s="718">
        <f t="shared" si="212"/>
        <v>0</v>
      </c>
      <c r="Z215" s="719">
        <f t="shared" si="213"/>
        <v>0</v>
      </c>
      <c r="AA215" s="720">
        <f t="shared" si="214"/>
        <v>0</v>
      </c>
      <c r="AB215" s="716"/>
      <c r="AC215" s="717">
        <f t="shared" si="182"/>
        <v>0</v>
      </c>
      <c r="AD215" s="718">
        <f t="shared" si="183"/>
        <v>0</v>
      </c>
      <c r="AE215" s="718">
        <f t="shared" si="215"/>
        <v>0</v>
      </c>
      <c r="AF215" s="719">
        <f t="shared" si="216"/>
        <v>0</v>
      </c>
      <c r="AG215" s="720">
        <f t="shared" si="217"/>
        <v>0</v>
      </c>
      <c r="AH215" s="716"/>
      <c r="AI215" s="717">
        <f t="shared" si="184"/>
        <v>0</v>
      </c>
      <c r="AJ215" s="718">
        <f t="shared" si="185"/>
        <v>0</v>
      </c>
      <c r="AK215" s="718">
        <f t="shared" si="218"/>
        <v>0</v>
      </c>
      <c r="AL215" s="719">
        <f t="shared" si="219"/>
        <v>0</v>
      </c>
      <c r="AM215" s="720">
        <f t="shared" si="220"/>
        <v>0</v>
      </c>
      <c r="AN215" s="716"/>
      <c r="AO215" s="717">
        <f t="shared" si="186"/>
        <v>0</v>
      </c>
      <c r="AP215" s="718">
        <f t="shared" si="187"/>
        <v>0</v>
      </c>
      <c r="AQ215" s="718">
        <f t="shared" si="221"/>
        <v>0</v>
      </c>
      <c r="AR215" s="719">
        <f t="shared" si="222"/>
        <v>0</v>
      </c>
      <c r="AS215" s="720">
        <f t="shared" si="223"/>
        <v>0</v>
      </c>
      <c r="AT215" s="716"/>
      <c r="AU215" s="717">
        <f t="shared" si="188"/>
        <v>0</v>
      </c>
      <c r="AV215" s="718">
        <f t="shared" si="189"/>
        <v>0</v>
      </c>
      <c r="AW215" s="718">
        <f t="shared" si="224"/>
        <v>0</v>
      </c>
      <c r="AX215" s="719">
        <f t="shared" si="225"/>
        <v>0</v>
      </c>
      <c r="AY215" s="720">
        <f t="shared" si="226"/>
        <v>0</v>
      </c>
      <c r="AZ215" s="716"/>
      <c r="BA215" s="717">
        <f t="shared" si="190"/>
        <v>0</v>
      </c>
      <c r="BB215" s="718">
        <f t="shared" si="191"/>
        <v>0</v>
      </c>
      <c r="BC215" s="718">
        <f t="shared" si="227"/>
        <v>0</v>
      </c>
      <c r="BD215" s="719">
        <f t="shared" si="228"/>
        <v>0</v>
      </c>
      <c r="BE215" s="720">
        <f t="shared" si="229"/>
        <v>0</v>
      </c>
      <c r="BF215" s="716"/>
      <c r="BG215" s="717">
        <f t="shared" si="192"/>
        <v>0</v>
      </c>
      <c r="BH215" s="718">
        <f t="shared" si="193"/>
        <v>0</v>
      </c>
      <c r="BI215" s="718">
        <f t="shared" si="230"/>
        <v>0</v>
      </c>
      <c r="BJ215" s="719">
        <f t="shared" si="231"/>
        <v>0</v>
      </c>
      <c r="BK215" s="720">
        <f t="shared" si="232"/>
        <v>0</v>
      </c>
      <c r="BL215" s="716"/>
      <c r="BM215" s="717">
        <f t="shared" si="194"/>
        <v>0</v>
      </c>
      <c r="BN215" s="718">
        <f t="shared" si="195"/>
        <v>0</v>
      </c>
      <c r="BO215" s="718">
        <f t="shared" si="233"/>
        <v>0</v>
      </c>
      <c r="BP215" s="719">
        <f t="shared" si="234"/>
        <v>0</v>
      </c>
      <c r="BQ215" s="720">
        <f t="shared" si="235"/>
        <v>0</v>
      </c>
      <c r="BR215" s="716"/>
      <c r="BS215" s="717">
        <f t="shared" si="196"/>
        <v>0</v>
      </c>
      <c r="BT215" s="718">
        <f t="shared" si="197"/>
        <v>0</v>
      </c>
      <c r="BU215" s="718">
        <f t="shared" si="236"/>
        <v>0</v>
      </c>
      <c r="BV215" s="719">
        <f t="shared" si="237"/>
        <v>0</v>
      </c>
      <c r="BW215" s="720">
        <f t="shared" si="238"/>
        <v>0</v>
      </c>
      <c r="BX215" s="716"/>
      <c r="BY215" s="717">
        <f t="shared" si="198"/>
        <v>0</v>
      </c>
      <c r="BZ215" s="718">
        <f t="shared" si="199"/>
        <v>0</v>
      </c>
      <c r="CA215" s="718">
        <f t="shared" si="239"/>
        <v>0</v>
      </c>
      <c r="CB215" s="719">
        <f t="shared" si="240"/>
        <v>0</v>
      </c>
      <c r="CC215" s="720">
        <f t="shared" si="241"/>
        <v>0</v>
      </c>
      <c r="CD215" s="716"/>
      <c r="CE215" s="717">
        <f t="shared" si="200"/>
        <v>0</v>
      </c>
      <c r="CF215" s="718">
        <f t="shared" si="201"/>
        <v>0</v>
      </c>
      <c r="CG215" s="718">
        <f t="shared" si="242"/>
        <v>0</v>
      </c>
      <c r="CH215" s="719">
        <f t="shared" si="243"/>
        <v>0</v>
      </c>
      <c r="CI215" s="720">
        <f t="shared" si="244"/>
        <v>0</v>
      </c>
      <c r="CJ215" s="716"/>
      <c r="CK215" s="717">
        <f t="shared" si="202"/>
        <v>0</v>
      </c>
      <c r="CL215" s="718">
        <f t="shared" si="203"/>
        <v>0</v>
      </c>
      <c r="CM215" s="718">
        <f t="shared" si="245"/>
        <v>0</v>
      </c>
      <c r="CN215" s="719">
        <f t="shared" si="246"/>
        <v>0</v>
      </c>
      <c r="CO215" s="720">
        <f t="shared" si="247"/>
        <v>0</v>
      </c>
      <c r="CP215" s="716"/>
      <c r="CQ215" s="717">
        <f t="shared" si="204"/>
        <v>0</v>
      </c>
      <c r="CR215" s="718">
        <f t="shared" si="205"/>
        <v>0</v>
      </c>
      <c r="CS215" s="718">
        <f t="shared" si="248"/>
        <v>0</v>
      </c>
      <c r="CT215" s="719">
        <f t="shared" si="249"/>
        <v>0</v>
      </c>
      <c r="CU215" s="720">
        <f t="shared" si="250"/>
        <v>0</v>
      </c>
      <c r="CV215" s="721"/>
      <c r="CW215" s="722"/>
      <c r="CX215" s="723"/>
      <c r="CY215" s="723"/>
      <c r="CZ215" s="724"/>
      <c r="DA215" s="725"/>
      <c r="DB215" s="721"/>
      <c r="DC215" s="722"/>
      <c r="DD215" s="723"/>
      <c r="DE215" s="723"/>
      <c r="DF215" s="724"/>
      <c r="DG215" s="725"/>
      <c r="DH215" s="721"/>
      <c r="DI215" s="722"/>
      <c r="DJ215" s="723"/>
      <c r="DK215" s="723"/>
      <c r="DL215" s="724"/>
      <c r="DM215" s="725"/>
      <c r="DN215" s="721"/>
      <c r="DO215" s="722"/>
      <c r="DP215" s="723"/>
      <c r="DQ215" s="723"/>
      <c r="DR215" s="724"/>
      <c r="DS215" s="725"/>
      <c r="DT215" s="716"/>
      <c r="DU215" s="717">
        <f t="shared" si="206"/>
        <v>0</v>
      </c>
      <c r="DV215" s="718">
        <f t="shared" si="207"/>
        <v>0</v>
      </c>
      <c r="DW215" s="718">
        <f t="shared" si="251"/>
        <v>0</v>
      </c>
      <c r="DX215" s="719">
        <f t="shared" si="252"/>
        <v>0</v>
      </c>
      <c r="DY215" s="720">
        <f t="shared" si="253"/>
        <v>0</v>
      </c>
      <c r="DZ215" s="726"/>
      <c r="EA215" s="722"/>
      <c r="EB215" s="723"/>
      <c r="EC215" s="723"/>
      <c r="ED215" s="724"/>
      <c r="EE215" s="725"/>
      <c r="EF215" s="726"/>
      <c r="EG215" s="722"/>
      <c r="EH215" s="723"/>
      <c r="EI215" s="723"/>
      <c r="EJ215" s="724"/>
      <c r="EK215" s="725"/>
      <c r="EL215" s="726"/>
      <c r="EM215" s="722"/>
      <c r="EN215" s="723"/>
      <c r="EO215" s="723"/>
      <c r="EP215" s="724"/>
      <c r="EQ215" s="725"/>
      <c r="ER215" s="726"/>
      <c r="ES215" s="722"/>
      <c r="ET215" s="723"/>
      <c r="EU215" s="723"/>
      <c r="EV215" s="724"/>
      <c r="EW215" s="725"/>
      <c r="EX215" s="716"/>
      <c r="EY215" s="717">
        <f t="shared" si="208"/>
        <v>0</v>
      </c>
      <c r="EZ215" s="718">
        <f t="shared" si="209"/>
        <v>0</v>
      </c>
      <c r="FA215" s="718">
        <f t="shared" si="254"/>
        <v>0</v>
      </c>
      <c r="FB215" s="719">
        <f t="shared" si="255"/>
        <v>0</v>
      </c>
      <c r="FC215" s="720">
        <f t="shared" si="256"/>
        <v>0</v>
      </c>
      <c r="FD215" s="726"/>
      <c r="FE215" s="722"/>
      <c r="FF215" s="723"/>
      <c r="FG215" s="723"/>
      <c r="FH215" s="724"/>
      <c r="FI215" s="725"/>
      <c r="FJ215" s="726"/>
      <c r="FK215" s="722"/>
      <c r="FL215" s="723"/>
      <c r="FM215" s="723"/>
      <c r="FN215" s="724"/>
      <c r="FO215" s="725"/>
      <c r="FP215" s="726"/>
      <c r="FQ215" s="722"/>
      <c r="FR215" s="723"/>
      <c r="FS215" s="723"/>
      <c r="FT215" s="724"/>
      <c r="FU215" s="725"/>
      <c r="FV215" s="726"/>
      <c r="FW215" s="722"/>
      <c r="FX215" s="723"/>
      <c r="FY215" s="723"/>
      <c r="FZ215" s="724"/>
      <c r="GA215" s="725"/>
      <c r="GB215" s="716"/>
      <c r="GC215" s="717">
        <f t="shared" si="210"/>
        <v>0</v>
      </c>
      <c r="GD215" s="718">
        <f t="shared" si="211"/>
        <v>0</v>
      </c>
      <c r="GE215" s="718">
        <f t="shared" si="257"/>
        <v>0</v>
      </c>
      <c r="GF215" s="719">
        <f t="shared" si="258"/>
        <v>0</v>
      </c>
      <c r="GG215" s="720">
        <f t="shared" si="259"/>
        <v>0</v>
      </c>
      <c r="GH215" s="726"/>
      <c r="GI215" s="722"/>
      <c r="GJ215" s="723"/>
      <c r="GK215" s="723"/>
      <c r="GL215" s="724"/>
      <c r="GM215" s="725"/>
      <c r="GN215" s="726"/>
      <c r="GO215" s="722"/>
      <c r="GP215" s="723"/>
      <c r="GQ215" s="723"/>
      <c r="GR215" s="724"/>
      <c r="GS215" s="725"/>
      <c r="GT215" s="726"/>
      <c r="GU215" s="681"/>
      <c r="GV215" s="682"/>
      <c r="GW215" s="682"/>
      <c r="GX215" s="683"/>
      <c r="GY215" s="684"/>
      <c r="GZ215" s="680"/>
      <c r="HA215" s="147"/>
      <c r="HB215" s="148"/>
      <c r="HC215" s="148"/>
      <c r="HD215" s="149"/>
      <c r="HE215" s="150"/>
      <c r="HF215" s="506"/>
      <c r="HG215" s="502"/>
      <c r="HH215" s="502"/>
      <c r="HI215" s="502"/>
      <c r="HJ215" s="8"/>
    </row>
    <row r="216" spans="1:220" ht="9.75" customHeight="1">
      <c r="B216" s="488"/>
      <c r="C216" s="727"/>
      <c r="D216" s="728"/>
      <c r="E216" s="729"/>
      <c r="F216" s="729"/>
      <c r="G216" s="729"/>
      <c r="H216" s="730"/>
      <c r="I216" s="731"/>
      <c r="J216" s="732"/>
      <c r="K216" s="733"/>
      <c r="L216" s="734"/>
      <c r="M216" s="734"/>
      <c r="N216" s="735"/>
      <c r="O216" s="736"/>
      <c r="P216" s="732"/>
      <c r="Q216" s="732"/>
      <c r="R216" s="732"/>
      <c r="S216" s="732"/>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c r="CH216" s="737"/>
      <c r="CI216" s="737"/>
      <c r="CJ216" s="737"/>
      <c r="CK216" s="737"/>
      <c r="CL216" s="737"/>
      <c r="CM216" s="737"/>
      <c r="CN216" s="737"/>
      <c r="CO216" s="737"/>
      <c r="CP216" s="737"/>
      <c r="CQ216" s="737"/>
      <c r="CR216" s="737"/>
      <c r="CS216" s="737"/>
      <c r="CT216" s="737"/>
      <c r="CU216" s="737"/>
      <c r="CV216" s="737"/>
      <c r="CW216" s="737"/>
      <c r="CX216" s="737"/>
      <c r="CY216" s="737"/>
      <c r="CZ216" s="737"/>
      <c r="DA216" s="737"/>
      <c r="DB216" s="737"/>
      <c r="DC216" s="737"/>
      <c r="DD216" s="737"/>
      <c r="DE216" s="737"/>
      <c r="DF216" s="737"/>
      <c r="DG216" s="737"/>
      <c r="DH216" s="737"/>
      <c r="DI216" s="737"/>
      <c r="DJ216" s="737"/>
      <c r="DK216" s="737"/>
      <c r="DL216" s="737"/>
      <c r="DM216" s="737"/>
      <c r="DN216" s="737"/>
      <c r="DO216" s="737"/>
      <c r="DP216" s="737"/>
      <c r="DQ216" s="737"/>
      <c r="DR216" s="737"/>
      <c r="DS216" s="737"/>
      <c r="DT216" s="737"/>
      <c r="DU216" s="737"/>
      <c r="DV216" s="737"/>
      <c r="DW216" s="737"/>
      <c r="DX216" s="737"/>
      <c r="DY216" s="737"/>
      <c r="DZ216" s="737"/>
      <c r="EA216" s="737"/>
      <c r="EB216" s="737"/>
      <c r="EC216" s="737"/>
      <c r="ED216" s="737"/>
      <c r="EE216" s="737"/>
      <c r="EF216" s="737"/>
      <c r="EG216" s="737"/>
      <c r="EH216" s="737"/>
      <c r="EI216" s="737"/>
      <c r="EJ216" s="737"/>
      <c r="EK216" s="737"/>
      <c r="EL216" s="737"/>
      <c r="EM216" s="737"/>
      <c r="EN216" s="737"/>
      <c r="EO216" s="737"/>
      <c r="EP216" s="737"/>
      <c r="EQ216" s="737"/>
      <c r="ER216" s="737"/>
      <c r="ES216" s="737"/>
      <c r="ET216" s="737"/>
      <c r="EU216" s="737"/>
      <c r="EV216" s="737"/>
      <c r="EW216" s="737"/>
      <c r="EX216" s="737"/>
      <c r="EY216" s="737"/>
      <c r="EZ216" s="737"/>
      <c r="FA216" s="737"/>
      <c r="FB216" s="737"/>
      <c r="FC216" s="737"/>
      <c r="FD216" s="737"/>
      <c r="FE216" s="737"/>
      <c r="FF216" s="737"/>
      <c r="FG216" s="737"/>
      <c r="FH216" s="737"/>
      <c r="FI216" s="737"/>
      <c r="FJ216" s="737"/>
      <c r="FK216" s="737"/>
      <c r="FL216" s="737"/>
      <c r="FM216" s="737"/>
      <c r="FN216" s="737"/>
      <c r="FO216" s="737"/>
      <c r="FP216" s="737"/>
      <c r="FQ216" s="737"/>
      <c r="FR216" s="737"/>
      <c r="FS216" s="737"/>
      <c r="FT216" s="737"/>
      <c r="FU216" s="737"/>
      <c r="FV216" s="737"/>
      <c r="FW216" s="737"/>
      <c r="FX216" s="737"/>
      <c r="FY216" s="737"/>
      <c r="FZ216" s="737"/>
      <c r="GA216" s="737"/>
      <c r="GB216" s="737"/>
      <c r="GC216" s="737"/>
      <c r="GD216" s="737"/>
      <c r="GE216" s="737"/>
      <c r="GF216" s="737"/>
      <c r="GG216" s="737"/>
      <c r="GH216" s="737"/>
      <c r="GI216" s="737"/>
      <c r="GJ216" s="737"/>
      <c r="GK216" s="737"/>
      <c r="GL216" s="737"/>
      <c r="GM216" s="737"/>
      <c r="GN216" s="737"/>
      <c r="GO216" s="738"/>
      <c r="GP216" s="739"/>
      <c r="GQ216" s="739"/>
      <c r="GR216" s="740"/>
      <c r="GS216" s="741"/>
      <c r="GT216" s="737"/>
      <c r="GU216" s="509"/>
      <c r="GV216" s="148"/>
      <c r="GW216" s="148"/>
      <c r="GX216" s="149"/>
      <c r="GY216" s="510"/>
      <c r="GZ216" s="176"/>
      <c r="HA216" s="509"/>
      <c r="HB216" s="148"/>
      <c r="HC216" s="148"/>
      <c r="HD216" s="149"/>
      <c r="HE216" s="510"/>
      <c r="HF216" s="506"/>
      <c r="HG216" s="502"/>
      <c r="HH216" s="502"/>
      <c r="HI216" s="502">
        <f>IF(AND(T216=0,T216&lt;&gt;""),1,0)</f>
        <v>0</v>
      </c>
      <c r="HJ216" s="8"/>
    </row>
    <row r="217" spans="1:220" ht="9.75" customHeight="1">
      <c r="A217" s="55" t="s">
        <v>97</v>
      </c>
      <c r="B217" s="488"/>
      <c r="C217" s="255"/>
      <c r="D217" s="511"/>
      <c r="E217" s="512"/>
      <c r="F217" s="512"/>
      <c r="G217" s="512"/>
      <c r="H217" s="172"/>
      <c r="I217" s="513"/>
      <c r="J217" s="514"/>
      <c r="K217" s="173"/>
      <c r="L217" s="174"/>
      <c r="M217" s="174"/>
      <c r="N217" s="515"/>
      <c r="O217" s="516"/>
      <c r="P217" s="514"/>
      <c r="Q217" s="514"/>
      <c r="R217" s="514"/>
      <c r="S217" s="514"/>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c r="CB217" s="696"/>
      <c r="CC217" s="696"/>
      <c r="CD217" s="696"/>
      <c r="CE217" s="696"/>
      <c r="CF217" s="696"/>
      <c r="CG217" s="696"/>
      <c r="CH217" s="696"/>
      <c r="CI217" s="696"/>
      <c r="CJ217" s="696"/>
      <c r="CK217" s="696"/>
      <c r="CL217" s="696"/>
      <c r="CM217" s="696"/>
      <c r="CN217" s="696"/>
      <c r="CO217" s="696"/>
      <c r="CP217" s="696"/>
      <c r="CQ217" s="696"/>
      <c r="CR217" s="696"/>
      <c r="CS217" s="696"/>
      <c r="CT217" s="696"/>
      <c r="CU217" s="696"/>
      <c r="CV217" s="696"/>
      <c r="CW217" s="696"/>
      <c r="CX217" s="696"/>
      <c r="CY217" s="696"/>
      <c r="CZ217" s="696"/>
      <c r="DA217" s="696"/>
      <c r="DB217" s="696"/>
      <c r="DC217" s="696"/>
      <c r="DD217" s="696"/>
      <c r="DE217" s="696"/>
      <c r="DF217" s="696"/>
      <c r="DG217" s="696"/>
      <c r="DH217" s="696"/>
      <c r="DI217" s="696"/>
      <c r="DJ217" s="696"/>
      <c r="DK217" s="696"/>
      <c r="DL217" s="696"/>
      <c r="DM217" s="696"/>
      <c r="DN217" s="696"/>
      <c r="DO217" s="696"/>
      <c r="DP217" s="696"/>
      <c r="DQ217" s="696"/>
      <c r="DR217" s="696"/>
      <c r="DS217" s="696"/>
      <c r="DT217" s="696"/>
      <c r="DU217" s="696"/>
      <c r="DV217" s="696"/>
      <c r="DW217" s="696"/>
      <c r="DX217" s="696"/>
      <c r="DY217" s="696"/>
      <c r="DZ217" s="696"/>
      <c r="EA217" s="696"/>
      <c r="EB217" s="696"/>
      <c r="EC217" s="696"/>
      <c r="ED217" s="696"/>
      <c r="EE217" s="696"/>
      <c r="EF217" s="696"/>
      <c r="EG217" s="696"/>
      <c r="EH217" s="696"/>
      <c r="EI217" s="696"/>
      <c r="EJ217" s="696"/>
      <c r="EK217" s="696"/>
      <c r="EL217" s="696"/>
      <c r="EM217" s="696"/>
      <c r="EN217" s="696"/>
      <c r="EO217" s="696"/>
      <c r="EP217" s="696"/>
      <c r="EQ217" s="696"/>
      <c r="ER217" s="696"/>
      <c r="ES217" s="696"/>
      <c r="ET217" s="696"/>
      <c r="EU217" s="696"/>
      <c r="EV217" s="696"/>
      <c r="EW217" s="696"/>
      <c r="EX217" s="696"/>
      <c r="EY217" s="696"/>
      <c r="EZ217" s="696"/>
      <c r="FA217" s="696"/>
      <c r="FB217" s="696"/>
      <c r="FC217" s="696"/>
      <c r="FD217" s="696"/>
      <c r="FE217" s="696"/>
      <c r="FF217" s="696"/>
      <c r="FG217" s="696"/>
      <c r="FH217" s="696"/>
      <c r="FI217" s="696"/>
      <c r="FJ217" s="696"/>
      <c r="FK217" s="696"/>
      <c r="FL217" s="696"/>
      <c r="FM217" s="696"/>
      <c r="FN217" s="696"/>
      <c r="FO217" s="696"/>
      <c r="FP217" s="696"/>
      <c r="FQ217" s="696"/>
      <c r="FR217" s="696"/>
      <c r="FS217" s="696"/>
      <c r="FT217" s="696"/>
      <c r="FU217" s="696"/>
      <c r="FV217" s="696"/>
      <c r="FW217" s="696"/>
      <c r="FX217" s="696"/>
      <c r="FY217" s="696"/>
      <c r="FZ217" s="696"/>
      <c r="GA217" s="696"/>
      <c r="GB217" s="696"/>
      <c r="GC217" s="696"/>
      <c r="GD217" s="696"/>
      <c r="GE217" s="696"/>
      <c r="GF217" s="696"/>
      <c r="GG217" s="696"/>
      <c r="GH217" s="696"/>
      <c r="GI217" s="696"/>
      <c r="GJ217" s="696"/>
      <c r="GK217" s="696"/>
      <c r="GL217" s="696"/>
      <c r="GM217" s="696"/>
      <c r="GN217" s="696"/>
      <c r="GO217" s="697"/>
      <c r="GP217" s="698"/>
      <c r="GQ217" s="698"/>
      <c r="GR217" s="699"/>
      <c r="GS217" s="700"/>
      <c r="GT217" s="696"/>
      <c r="GU217" s="509"/>
      <c r="GV217" s="148"/>
      <c r="GW217" s="148"/>
      <c r="GX217" s="149"/>
      <c r="GY217" s="510"/>
      <c r="GZ217" s="176"/>
      <c r="HA217" s="697"/>
      <c r="HB217" s="698"/>
      <c r="HC217" s="698"/>
      <c r="HD217" s="699"/>
      <c r="HE217" s="700"/>
      <c r="HF217" s="506"/>
      <c r="HG217" s="502"/>
      <c r="HH217" s="502"/>
      <c r="HI217" s="502"/>
      <c r="HJ217" s="8"/>
    </row>
    <row r="218" spans="1:220" ht="15.75" customHeight="1">
      <c r="B218" s="8"/>
      <c r="C218" s="517"/>
      <c r="D218" s="8"/>
      <c r="E218" s="518"/>
      <c r="F218" s="519"/>
      <c r="G218" s="519"/>
      <c r="H218" s="519"/>
      <c r="I218" s="519"/>
      <c r="J218" s="21"/>
      <c r="K218" s="520"/>
      <c r="L218" s="521"/>
      <c r="M218" s="22"/>
      <c r="N218" s="522"/>
      <c r="O218" s="522"/>
      <c r="P218" s="523"/>
      <c r="Q218" s="523"/>
      <c r="R218" s="16"/>
      <c r="S218" s="16"/>
      <c r="T218" s="16"/>
      <c r="U218" s="20"/>
      <c r="V218" s="20"/>
      <c r="W218" s="524"/>
      <c r="X218" s="525"/>
      <c r="Y218" s="525"/>
      <c r="Z218" s="526"/>
      <c r="AA218" s="526"/>
      <c r="AB218" s="20"/>
      <c r="AC218" s="524"/>
      <c r="AD218" s="525"/>
      <c r="AE218" s="525"/>
      <c r="AF218" s="526"/>
      <c r="AG218" s="526"/>
      <c r="AH218" s="20"/>
      <c r="AI218" s="524"/>
      <c r="AJ218" s="525"/>
      <c r="AK218" s="525"/>
      <c r="AL218" s="526"/>
      <c r="AM218" s="526"/>
      <c r="AN218" s="20"/>
      <c r="AO218" s="524"/>
      <c r="AP218" s="525"/>
      <c r="AQ218" s="525"/>
      <c r="AR218" s="526"/>
      <c r="AS218" s="526"/>
      <c r="AT218" s="20"/>
      <c r="AU218" s="524"/>
      <c r="AV218" s="525"/>
      <c r="AW218" s="525"/>
      <c r="AX218" s="526"/>
      <c r="AY218" s="526"/>
      <c r="AZ218" s="20"/>
      <c r="BA218" s="524"/>
      <c r="BB218" s="525"/>
      <c r="BC218" s="525"/>
      <c r="BD218" s="526"/>
      <c r="BE218" s="526"/>
      <c r="BF218" s="20"/>
      <c r="BG218" s="524"/>
      <c r="BH218" s="525"/>
      <c r="BI218" s="525"/>
      <c r="BJ218" s="526"/>
      <c r="BK218" s="526"/>
      <c r="BL218" s="20"/>
      <c r="BM218" s="524"/>
      <c r="BN218" s="525"/>
      <c r="BO218" s="525"/>
      <c r="BP218" s="526"/>
      <c r="BQ218" s="526"/>
      <c r="BR218" s="20"/>
      <c r="BS218" s="524"/>
      <c r="BT218" s="525"/>
      <c r="BU218" s="525"/>
      <c r="BV218" s="526"/>
      <c r="BW218" s="526"/>
      <c r="BX218" s="20"/>
      <c r="BY218" s="524"/>
      <c r="BZ218" s="525"/>
      <c r="CA218" s="525"/>
      <c r="CB218" s="526"/>
      <c r="CC218" s="526"/>
      <c r="CD218" s="20"/>
      <c r="CE218" s="524"/>
      <c r="CF218" s="525"/>
      <c r="CG218" s="525"/>
      <c r="CH218" s="526"/>
      <c r="CI218" s="526"/>
      <c r="CJ218" s="20"/>
      <c r="CK218" s="524"/>
      <c r="CL218" s="525"/>
      <c r="CM218" s="525"/>
      <c r="CN218" s="526"/>
      <c r="CO218" s="526"/>
      <c r="CP218" s="20"/>
      <c r="CQ218" s="524"/>
      <c r="CR218" s="525"/>
      <c r="CS218" s="525"/>
      <c r="CT218" s="526"/>
      <c r="CU218" s="526"/>
      <c r="CV218" s="20"/>
      <c r="CW218" s="524"/>
      <c r="CX218" s="525"/>
      <c r="CY218" s="525"/>
      <c r="CZ218" s="526"/>
      <c r="DA218" s="526"/>
      <c r="DB218" s="20"/>
      <c r="DC218" s="524"/>
      <c r="DD218" s="525"/>
      <c r="DE218" s="525"/>
      <c r="DF218" s="526"/>
      <c r="DG218" s="526"/>
      <c r="DH218" s="20"/>
      <c r="DI218" s="524"/>
      <c r="DJ218" s="525"/>
      <c r="DK218" s="525"/>
      <c r="DL218" s="526"/>
      <c r="DM218" s="526"/>
      <c r="DN218" s="20"/>
      <c r="DO218" s="524"/>
      <c r="DP218" s="525"/>
      <c r="DQ218" s="525"/>
      <c r="DR218" s="526"/>
      <c r="DS218" s="526"/>
      <c r="DT218" s="20"/>
      <c r="DU218" s="524"/>
      <c r="DV218" s="525"/>
      <c r="DW218" s="525"/>
      <c r="DX218" s="526"/>
      <c r="DY218" s="526"/>
      <c r="DZ218" s="20"/>
      <c r="EA218" s="524"/>
      <c r="EB218" s="525"/>
      <c r="EC218" s="525"/>
      <c r="ED218" s="526"/>
      <c r="EE218" s="526"/>
      <c r="EF218" s="20"/>
      <c r="EG218" s="524"/>
      <c r="EH218" s="525"/>
      <c r="EI218" s="525"/>
      <c r="EJ218" s="526"/>
      <c r="EK218" s="526"/>
      <c r="EL218" s="20"/>
      <c r="EM218" s="524"/>
      <c r="EN218" s="525"/>
      <c r="EO218" s="525"/>
      <c r="EP218" s="526"/>
      <c r="EQ218" s="526"/>
      <c r="ER218" s="20"/>
      <c r="ES218" s="524"/>
      <c r="ET218" s="525"/>
      <c r="EU218" s="525"/>
      <c r="EV218" s="526"/>
      <c r="EW218" s="526"/>
      <c r="EX218" s="20"/>
      <c r="EY218" s="524"/>
      <c r="EZ218" s="525"/>
      <c r="FA218" s="525"/>
      <c r="FB218" s="526"/>
      <c r="FC218" s="526"/>
      <c r="FD218" s="20"/>
      <c r="FE218" s="524"/>
      <c r="FF218" s="525"/>
      <c r="FG218" s="525"/>
      <c r="FH218" s="526"/>
      <c r="FI218" s="526"/>
      <c r="FJ218" s="20"/>
      <c r="FK218" s="524"/>
      <c r="FL218" s="525"/>
      <c r="FM218" s="525"/>
      <c r="FN218" s="526"/>
      <c r="FO218" s="526"/>
      <c r="FP218" s="20"/>
      <c r="FQ218" s="524"/>
      <c r="FR218" s="525"/>
      <c r="FS218" s="525"/>
      <c r="FT218" s="526"/>
      <c r="FU218" s="526"/>
      <c r="FV218" s="20"/>
      <c r="FW218" s="524"/>
      <c r="FX218" s="525"/>
      <c r="FY218" s="525"/>
      <c r="FZ218" s="526"/>
      <c r="GA218" s="526"/>
      <c r="GB218" s="20"/>
      <c r="GC218" s="524"/>
      <c r="GD218" s="525"/>
      <c r="GE218" s="525"/>
      <c r="GF218" s="526"/>
      <c r="GG218" s="526"/>
      <c r="GH218" s="20"/>
      <c r="GI218" s="524"/>
      <c r="GJ218" s="525"/>
      <c r="GK218" s="525"/>
      <c r="GL218" s="526"/>
      <c r="GM218" s="526"/>
      <c r="GN218" s="20"/>
      <c r="GO218" s="524"/>
      <c r="GP218" s="525"/>
      <c r="GQ218" s="525"/>
      <c r="GR218" s="526"/>
      <c r="GS218" s="526"/>
      <c r="GT218" s="20"/>
      <c r="GU218" s="524"/>
      <c r="GV218" s="525"/>
      <c r="GW218" s="525"/>
      <c r="GX218" s="526"/>
      <c r="GY218" s="526"/>
      <c r="GZ218" s="527"/>
      <c r="HA218" s="524"/>
      <c r="HB218" s="525"/>
      <c r="HC218" s="525"/>
      <c r="HD218" s="526"/>
      <c r="HE218" s="526"/>
      <c r="HF218" s="506"/>
      <c r="HG218" s="8"/>
      <c r="HH218" s="8"/>
      <c r="HI218" s="528"/>
      <c r="HJ218" s="8"/>
    </row>
    <row r="219" spans="1:220" s="110" customFormat="1" ht="21">
      <c r="A219" s="55"/>
      <c r="B219" s="127"/>
      <c r="C219" s="529"/>
      <c r="D219" s="127"/>
      <c r="E219" s="13"/>
      <c r="F219" s="13"/>
      <c r="G219" s="13"/>
      <c r="H219" s="13"/>
      <c r="I219" s="13"/>
      <c r="J219" s="13"/>
      <c r="K219" s="13"/>
      <c r="L219" s="13"/>
      <c r="M219" s="13"/>
      <c r="N219" s="13"/>
      <c r="O219" s="13"/>
      <c r="P219" s="13"/>
      <c r="Q219" s="13"/>
      <c r="R219" s="13"/>
      <c r="S219" s="13"/>
      <c r="T219" s="13"/>
      <c r="U219" s="439">
        <v>2018</v>
      </c>
      <c r="V219" s="439">
        <v>2019</v>
      </c>
      <c r="W219" s="439"/>
      <c r="X219" s="530"/>
      <c r="Y219" s="530"/>
      <c r="Z219" s="439"/>
      <c r="AA219" s="439"/>
      <c r="AB219" s="439">
        <v>2020</v>
      </c>
      <c r="AC219" s="439"/>
      <c r="AD219" s="530"/>
      <c r="AE219" s="530"/>
      <c r="AF219" s="439"/>
      <c r="AG219" s="439"/>
      <c r="AH219" s="439">
        <v>2021</v>
      </c>
      <c r="AI219" s="439"/>
      <c r="AJ219" s="530"/>
      <c r="AK219" s="530"/>
      <c r="AL219" s="439"/>
      <c r="AM219" s="439"/>
      <c r="AN219" s="439">
        <v>2022</v>
      </c>
      <c r="AO219" s="439"/>
      <c r="AP219" s="530"/>
      <c r="AQ219" s="530"/>
      <c r="AR219" s="439"/>
      <c r="AS219" s="439"/>
      <c r="AT219" s="439">
        <v>2023</v>
      </c>
      <c r="AU219" s="439"/>
      <c r="AV219" s="530"/>
      <c r="AW219" s="530"/>
      <c r="AX219" s="439"/>
      <c r="AY219" s="439"/>
      <c r="AZ219" s="439">
        <v>2024</v>
      </c>
      <c r="BA219" s="439"/>
      <c r="BB219" s="530"/>
      <c r="BC219" s="530"/>
      <c r="BD219" s="439"/>
      <c r="BE219" s="439"/>
      <c r="BF219" s="439">
        <v>2025</v>
      </c>
      <c r="BG219" s="439"/>
      <c r="BH219" s="530"/>
      <c r="BI219" s="530"/>
      <c r="BJ219" s="439"/>
      <c r="BK219" s="439"/>
      <c r="BL219" s="439">
        <v>2026</v>
      </c>
      <c r="BM219" s="439"/>
      <c r="BN219" s="530"/>
      <c r="BO219" s="530"/>
      <c r="BP219" s="439"/>
      <c r="BQ219" s="439"/>
      <c r="BR219" s="439">
        <v>2027</v>
      </c>
      <c r="BS219" s="439"/>
      <c r="BT219" s="530"/>
      <c r="BU219" s="530"/>
      <c r="BV219" s="439"/>
      <c r="BW219" s="439"/>
      <c r="BX219" s="439">
        <v>2028</v>
      </c>
      <c r="BY219" s="439"/>
      <c r="BZ219" s="530"/>
      <c r="CA219" s="530"/>
      <c r="CB219" s="439"/>
      <c r="CC219" s="439"/>
      <c r="CD219" s="439">
        <v>2029</v>
      </c>
      <c r="CE219" s="439"/>
      <c r="CF219" s="530"/>
      <c r="CG219" s="530"/>
      <c r="CH219" s="439"/>
      <c r="CI219" s="439"/>
      <c r="CJ219" s="439">
        <v>2030</v>
      </c>
      <c r="CK219" s="531"/>
      <c r="CL219" s="530"/>
      <c r="CM219" s="530"/>
      <c r="CN219" s="531"/>
      <c r="CO219" s="531"/>
      <c r="CP219" s="532">
        <v>2031</v>
      </c>
      <c r="CQ219" s="532"/>
      <c r="CR219" s="530"/>
      <c r="CS219" s="530"/>
      <c r="CT219" s="532"/>
      <c r="CU219" s="532"/>
      <c r="CV219" s="532">
        <v>2032</v>
      </c>
      <c r="CW219" s="532"/>
      <c r="CX219" s="530"/>
      <c r="CY219" s="530"/>
      <c r="CZ219" s="532"/>
      <c r="DA219" s="532"/>
      <c r="DB219" s="532">
        <v>2033</v>
      </c>
      <c r="DC219" s="532"/>
      <c r="DD219" s="530"/>
      <c r="DE219" s="530"/>
      <c r="DF219" s="532"/>
      <c r="DG219" s="532"/>
      <c r="DH219" s="532">
        <v>2034</v>
      </c>
      <c r="DI219" s="532"/>
      <c r="DJ219" s="530"/>
      <c r="DK219" s="530"/>
      <c r="DL219" s="532"/>
      <c r="DM219" s="532"/>
      <c r="DN219" s="532">
        <v>2035</v>
      </c>
      <c r="DO219" s="533"/>
      <c r="DP219" s="530"/>
      <c r="DQ219" s="530"/>
      <c r="DR219" s="533"/>
      <c r="DS219" s="533"/>
      <c r="DT219" s="532">
        <v>2036</v>
      </c>
      <c r="DU219" s="532"/>
      <c r="DV219" s="530"/>
      <c r="DW219" s="530"/>
      <c r="DX219" s="532"/>
      <c r="DY219" s="532"/>
      <c r="DZ219" s="532">
        <v>2037</v>
      </c>
      <c r="EA219" s="533"/>
      <c r="EB219" s="530"/>
      <c r="EC219" s="530"/>
      <c r="ED219" s="533"/>
      <c r="EE219" s="533"/>
      <c r="EF219" s="532">
        <v>2038</v>
      </c>
      <c r="EG219" s="532"/>
      <c r="EH219" s="530"/>
      <c r="EI219" s="530"/>
      <c r="EJ219" s="532"/>
      <c r="EK219" s="532"/>
      <c r="EL219" s="532">
        <v>2039</v>
      </c>
      <c r="EM219" s="533"/>
      <c r="EN219" s="530"/>
      <c r="EO219" s="530"/>
      <c r="EP219" s="533"/>
      <c r="EQ219" s="533"/>
      <c r="ER219" s="532">
        <v>2040</v>
      </c>
      <c r="ES219" s="532"/>
      <c r="ET219" s="530"/>
      <c r="EU219" s="530"/>
      <c r="EV219" s="532"/>
      <c r="EW219" s="532"/>
      <c r="EX219" s="532">
        <v>2041</v>
      </c>
      <c r="EY219" s="532"/>
      <c r="EZ219" s="530"/>
      <c r="FA219" s="530"/>
      <c r="FB219" s="532"/>
      <c r="FC219" s="532"/>
      <c r="FD219" s="532">
        <v>2042</v>
      </c>
      <c r="FE219" s="532"/>
      <c r="FF219" s="530"/>
      <c r="FG219" s="530"/>
      <c r="FH219" s="532"/>
      <c r="FI219" s="532"/>
      <c r="FJ219" s="532">
        <v>2043</v>
      </c>
      <c r="FK219" s="532"/>
      <c r="FL219" s="530"/>
      <c r="FM219" s="530"/>
      <c r="FN219" s="532"/>
      <c r="FO219" s="532"/>
      <c r="FP219" s="532">
        <v>2044</v>
      </c>
      <c r="FQ219" s="532"/>
      <c r="FR219" s="530"/>
      <c r="FS219" s="530"/>
      <c r="FT219" s="532"/>
      <c r="FU219" s="532"/>
      <c r="FV219" s="532">
        <v>2045</v>
      </c>
      <c r="FW219" s="532"/>
      <c r="FX219" s="530"/>
      <c r="FY219" s="530"/>
      <c r="FZ219" s="532"/>
      <c r="GA219" s="532"/>
      <c r="GB219" s="532">
        <v>2046</v>
      </c>
      <c r="GC219" s="532"/>
      <c r="GD219" s="530"/>
      <c r="GE219" s="530"/>
      <c r="GF219" s="532"/>
      <c r="GG219" s="532"/>
      <c r="GH219" s="532">
        <v>2047</v>
      </c>
      <c r="GI219" s="532"/>
      <c r="GJ219" s="530"/>
      <c r="GK219" s="530"/>
      <c r="GL219" s="532"/>
      <c r="GM219" s="532"/>
      <c r="GN219" s="532">
        <v>2048</v>
      </c>
      <c r="GO219" s="532"/>
      <c r="GP219" s="530"/>
      <c r="GQ219" s="530"/>
      <c r="GR219" s="532"/>
      <c r="GS219" s="532"/>
      <c r="GT219" s="532">
        <v>2049</v>
      </c>
      <c r="GU219" s="532"/>
      <c r="GV219" s="530"/>
      <c r="GW219" s="530"/>
      <c r="GX219" s="532"/>
      <c r="GY219" s="532"/>
      <c r="GZ219" s="532">
        <v>2050</v>
      </c>
      <c r="HA219" s="532"/>
      <c r="HB219" s="530"/>
      <c r="HC219" s="530"/>
      <c r="HD219" s="532"/>
      <c r="HE219" s="532"/>
      <c r="HF219" s="531"/>
      <c r="HG219" s="127"/>
      <c r="HH219" s="127"/>
      <c r="HI219" s="534"/>
      <c r="HJ219" s="127"/>
      <c r="HK219" s="7"/>
      <c r="HL219" s="7"/>
    </row>
    <row r="220" spans="1:220" s="65" customFormat="1" ht="24.95" customHeight="1">
      <c r="A220" s="55"/>
      <c r="B220" s="14"/>
      <c r="C220" s="535"/>
      <c r="D220" s="14"/>
      <c r="E220" s="14"/>
      <c r="F220" s="14"/>
      <c r="G220" s="14"/>
      <c r="H220" s="14"/>
      <c r="I220" s="14"/>
      <c r="J220" s="14"/>
      <c r="K220" s="14"/>
      <c r="L220" s="14"/>
      <c r="M220" s="14"/>
      <c r="N220" s="824"/>
      <c r="O220" s="824"/>
      <c r="P220" s="824"/>
      <c r="Q220" s="824"/>
      <c r="R220" s="824"/>
      <c r="S220" s="824"/>
      <c r="T220" s="824"/>
      <c r="U220" s="824"/>
      <c r="V220" s="14"/>
      <c r="W220" s="439"/>
      <c r="X220" s="530"/>
      <c r="Y220" s="530"/>
      <c r="Z220" s="439"/>
      <c r="AA220" s="439"/>
      <c r="AB220" s="14"/>
      <c r="AC220" s="15"/>
      <c r="AD220" s="16"/>
      <c r="AE220" s="16"/>
      <c r="AF220" s="15"/>
      <c r="AG220" s="15"/>
      <c r="AH220" s="14"/>
      <c r="AI220" s="439"/>
      <c r="AJ220" s="530"/>
      <c r="AK220" s="530"/>
      <c r="AL220" s="439"/>
      <c r="AM220" s="439"/>
      <c r="AN220" s="14"/>
      <c r="AO220" s="439"/>
      <c r="AP220" s="530"/>
      <c r="AQ220" s="530"/>
      <c r="AR220" s="439"/>
      <c r="AS220" s="439"/>
      <c r="AT220" s="14"/>
      <c r="AU220" s="15"/>
      <c r="AV220" s="16"/>
      <c r="AW220" s="16"/>
      <c r="AX220" s="15"/>
      <c r="AY220" s="15"/>
      <c r="AZ220" s="14"/>
      <c r="BA220" s="15"/>
      <c r="BB220" s="16"/>
      <c r="BC220" s="16"/>
      <c r="BD220" s="15"/>
      <c r="BE220" s="15"/>
      <c r="BF220" s="14"/>
      <c r="BG220" s="15"/>
      <c r="BH220" s="16"/>
      <c r="BI220" s="16"/>
      <c r="BJ220" s="15"/>
      <c r="BK220" s="15"/>
      <c r="BL220" s="14"/>
      <c r="BM220" s="15"/>
      <c r="BN220" s="16"/>
      <c r="BO220" s="16"/>
      <c r="BP220" s="15"/>
      <c r="BQ220" s="15"/>
      <c r="BR220" s="14"/>
      <c r="BS220" s="15"/>
      <c r="BT220" s="16"/>
      <c r="BU220" s="16"/>
      <c r="BV220" s="15"/>
      <c r="BW220" s="15"/>
      <c r="BX220" s="14"/>
      <c r="BY220" s="15"/>
      <c r="BZ220" s="16"/>
      <c r="CA220" s="16"/>
      <c r="CB220" s="15"/>
      <c r="CC220" s="15"/>
      <c r="CD220" s="14"/>
      <c r="CE220" s="15"/>
      <c r="CF220" s="16"/>
      <c r="CG220" s="16"/>
      <c r="CH220" s="15"/>
      <c r="CI220" s="15"/>
      <c r="CJ220" s="14"/>
      <c r="CK220" s="15"/>
      <c r="CL220" s="16"/>
      <c r="CM220" s="16"/>
      <c r="CN220" s="15"/>
      <c r="CO220" s="15"/>
      <c r="CP220" s="14"/>
      <c r="CQ220" s="15"/>
      <c r="CR220" s="16"/>
      <c r="CS220" s="16"/>
      <c r="CT220" s="15"/>
      <c r="CU220" s="15"/>
      <c r="CV220" s="14"/>
      <c r="CW220" s="532"/>
      <c r="CX220" s="530"/>
      <c r="CY220" s="530"/>
      <c r="CZ220" s="532"/>
      <c r="DA220" s="532"/>
      <c r="DB220" s="14"/>
      <c r="DC220" s="15"/>
      <c r="DD220" s="16"/>
      <c r="DE220" s="16"/>
      <c r="DF220" s="15"/>
      <c r="DG220" s="15"/>
      <c r="DH220" s="14"/>
      <c r="DI220" s="15"/>
      <c r="DJ220" s="16"/>
      <c r="DK220" s="16"/>
      <c r="DL220" s="15"/>
      <c r="DM220" s="15"/>
      <c r="DN220" s="14"/>
      <c r="DO220" s="15"/>
      <c r="DP220" s="16"/>
      <c r="DQ220" s="16"/>
      <c r="DR220" s="15"/>
      <c r="DS220" s="15"/>
      <c r="DT220" s="14"/>
      <c r="DU220" s="15"/>
      <c r="DV220" s="16"/>
      <c r="DW220" s="16"/>
      <c r="DX220" s="15"/>
      <c r="DY220" s="15"/>
      <c r="DZ220" s="14"/>
      <c r="EA220" s="15"/>
      <c r="EB220" s="16"/>
      <c r="EC220" s="16"/>
      <c r="ED220" s="15"/>
      <c r="EE220" s="15"/>
      <c r="EF220" s="14"/>
      <c r="EG220" s="15"/>
      <c r="EH220" s="16"/>
      <c r="EI220" s="16"/>
      <c r="EJ220" s="15"/>
      <c r="EK220" s="15"/>
      <c r="EL220" s="14"/>
      <c r="EM220" s="15"/>
      <c r="EN220" s="16"/>
      <c r="EO220" s="16"/>
      <c r="EP220" s="15"/>
      <c r="EQ220" s="15"/>
      <c r="ER220" s="14"/>
      <c r="ES220" s="15"/>
      <c r="ET220" s="16"/>
      <c r="EU220" s="16"/>
      <c r="EV220" s="15"/>
      <c r="EW220" s="15"/>
      <c r="EX220" s="14"/>
      <c r="EY220" s="15"/>
      <c r="EZ220" s="16"/>
      <c r="FA220" s="16"/>
      <c r="FB220" s="15"/>
      <c r="FC220" s="15"/>
      <c r="FD220" s="14"/>
      <c r="FE220" s="15"/>
      <c r="FF220" s="16"/>
      <c r="FG220" s="16"/>
      <c r="FH220" s="15"/>
      <c r="FI220" s="15"/>
      <c r="FJ220" s="14"/>
      <c r="FK220" s="15"/>
      <c r="FL220" s="16"/>
      <c r="FM220" s="16"/>
      <c r="FN220" s="15"/>
      <c r="FO220" s="15"/>
      <c r="FP220" s="14"/>
      <c r="FQ220" s="15"/>
      <c r="FR220" s="16"/>
      <c r="FS220" s="16"/>
      <c r="FT220" s="15"/>
      <c r="FU220" s="15"/>
      <c r="FV220" s="14"/>
      <c r="FW220" s="15"/>
      <c r="FX220" s="16"/>
      <c r="FY220" s="16"/>
      <c r="FZ220" s="15"/>
      <c r="GA220" s="15"/>
      <c r="GB220" s="14"/>
      <c r="GC220" s="15"/>
      <c r="GD220" s="16"/>
      <c r="GE220" s="16"/>
      <c r="GF220" s="15"/>
      <c r="GG220" s="15"/>
      <c r="GH220" s="14"/>
      <c r="GI220" s="15"/>
      <c r="GJ220" s="16"/>
      <c r="GK220" s="16"/>
      <c r="GL220" s="15"/>
      <c r="GM220" s="15"/>
      <c r="GN220" s="14"/>
      <c r="GO220" s="15"/>
      <c r="GP220" s="16"/>
      <c r="GQ220" s="16"/>
      <c r="GR220" s="15"/>
      <c r="GS220" s="15"/>
      <c r="GT220" s="14"/>
      <c r="GU220" s="15"/>
      <c r="GV220" s="16"/>
      <c r="GW220" s="16"/>
      <c r="GX220" s="15"/>
      <c r="GY220" s="15"/>
      <c r="GZ220" s="14"/>
      <c r="HA220" s="532"/>
      <c r="HB220" s="530"/>
      <c r="HC220" s="530"/>
      <c r="HD220" s="532"/>
      <c r="HE220" s="532"/>
      <c r="HF220" s="531"/>
      <c r="HG220" s="14"/>
      <c r="HH220" s="14"/>
      <c r="HI220" s="14"/>
      <c r="HJ220" s="14"/>
      <c r="HK220" s="7"/>
      <c r="HL220" s="7"/>
    </row>
    <row r="221" spans="1:220" s="65" customFormat="1" ht="24.95" customHeight="1">
      <c r="A221" s="55"/>
      <c r="B221" s="123"/>
      <c r="C221" s="123"/>
      <c r="D221" s="123"/>
      <c r="E221" s="536"/>
      <c r="F221" s="536"/>
      <c r="G221" s="536"/>
      <c r="H221" s="536"/>
      <c r="I221" s="536"/>
      <c r="J221" s="536"/>
      <c r="K221" s="536"/>
      <c r="L221" s="537"/>
      <c r="M221" s="537"/>
      <c r="N221" s="538" t="s">
        <v>458</v>
      </c>
      <c r="O221" s="539"/>
      <c r="P221" s="539"/>
      <c r="Q221" s="539"/>
      <c r="R221" s="539"/>
      <c r="S221" s="539"/>
      <c r="T221" s="539"/>
      <c r="U221" s="540">
        <f>IF($C$12&lt;U219,0,IF(U219&lt;$C$11,0,$C$4))</f>
        <v>2584</v>
      </c>
      <c r="V221" s="541">
        <f>IF($C$12&lt;V219,0,IF(V219&lt;$C$11,0,$C$4))</f>
        <v>2584</v>
      </c>
      <c r="W221" s="542"/>
      <c r="X221" s="543"/>
      <c r="Y221" s="543"/>
      <c r="Z221" s="542"/>
      <c r="AA221" s="542"/>
      <c r="AB221" s="541">
        <f>IF($C$12&lt;AB219,0,IF(AB219&lt;$C$11,0,$C$4))</f>
        <v>2584</v>
      </c>
      <c r="AC221" s="542"/>
      <c r="AD221" s="543"/>
      <c r="AE221" s="543"/>
      <c r="AF221" s="542"/>
      <c r="AG221" s="542"/>
      <c r="AH221" s="541">
        <f>IF($C$12&lt;AH219,0,IF(AH219&lt;$C$11,0,$C$4))</f>
        <v>2584</v>
      </c>
      <c r="AI221" s="542"/>
      <c r="AJ221" s="543"/>
      <c r="AK221" s="543"/>
      <c r="AL221" s="542"/>
      <c r="AM221" s="542"/>
      <c r="AN221" s="541">
        <f>IF($C$12&lt;AN219,0,IF(AN219&lt;$C$11,0,$C$4))</f>
        <v>2584</v>
      </c>
      <c r="AO221" s="542"/>
      <c r="AP221" s="543"/>
      <c r="AQ221" s="543"/>
      <c r="AR221" s="542"/>
      <c r="AS221" s="542"/>
      <c r="AT221" s="541">
        <f>IF($C$12&lt;AT219,0,IF(AT219&lt;$C$11,0,$C$4))</f>
        <v>2584</v>
      </c>
      <c r="AU221" s="542"/>
      <c r="AV221" s="543"/>
      <c r="AW221" s="543"/>
      <c r="AX221" s="542"/>
      <c r="AY221" s="542"/>
      <c r="AZ221" s="541">
        <f>IF($C$12&lt;AZ219,0,IF(AZ219&lt;$C$11,0,$C$4))</f>
        <v>2584</v>
      </c>
      <c r="BA221" s="311"/>
      <c r="BB221" s="312"/>
      <c r="BC221" s="312"/>
      <c r="BD221" s="311"/>
      <c r="BE221" s="311"/>
      <c r="BF221" s="541">
        <f>IF($C$12&lt;BF219,0,IF(BF219&lt;$C$11,0,$C$4))</f>
        <v>2584</v>
      </c>
      <c r="BG221" s="311"/>
      <c r="BH221" s="312"/>
      <c r="BI221" s="312"/>
      <c r="BJ221" s="311"/>
      <c r="BK221" s="311"/>
      <c r="BL221" s="541">
        <f>IF($C$12&lt;BL219,0,IF(BL219&lt;$C$11,0,$C$4))</f>
        <v>2584</v>
      </c>
      <c r="BM221" s="311"/>
      <c r="BN221" s="312"/>
      <c r="BO221" s="312"/>
      <c r="BP221" s="311"/>
      <c r="BQ221" s="311"/>
      <c r="BR221" s="541">
        <f>IF($C$12&lt;BR219,0,IF(BR219&lt;$C$11,0,$C$4))</f>
        <v>2584</v>
      </c>
      <c r="BS221" s="542"/>
      <c r="BT221" s="543"/>
      <c r="BU221" s="543"/>
      <c r="BV221" s="542"/>
      <c r="BW221" s="542"/>
      <c r="BX221" s="541">
        <f>IF($C$12&lt;BX219,0,IF(BX219&lt;$C$11,0,$C$4))</f>
        <v>2584</v>
      </c>
      <c r="BY221" s="311"/>
      <c r="BZ221" s="312"/>
      <c r="CA221" s="312"/>
      <c r="CB221" s="311"/>
      <c r="CC221" s="311"/>
      <c r="CD221" s="541">
        <f>IF($C$12&lt;CD219,0,IF(CD219&lt;$C$11,0,$C$4))</f>
        <v>2584</v>
      </c>
      <c r="CE221" s="311"/>
      <c r="CF221" s="312"/>
      <c r="CG221" s="312"/>
      <c r="CH221" s="311"/>
      <c r="CI221" s="311"/>
      <c r="CJ221" s="541">
        <f>IF($C$12&lt;CJ219,0,IF(CJ219&lt;$C$11,0,$C$4))</f>
        <v>2584</v>
      </c>
      <c r="CK221" s="311"/>
      <c r="CL221" s="312"/>
      <c r="CM221" s="312"/>
      <c r="CN221" s="311"/>
      <c r="CO221" s="311"/>
      <c r="CP221" s="541">
        <f>IF($C$12&lt;CP219,0,IF(CP219&lt;$C$11,0,$C$4))</f>
        <v>2584</v>
      </c>
      <c r="CQ221" s="544"/>
      <c r="CR221" s="543"/>
      <c r="CS221" s="543"/>
      <c r="CT221" s="544"/>
      <c r="CU221" s="544"/>
      <c r="CV221" s="541">
        <f>IF($C$12&lt;CV219,0,IF(CV219&lt;$C$11,0,$C$4))</f>
        <v>2584</v>
      </c>
      <c r="CW221" s="544"/>
      <c r="CX221" s="543"/>
      <c r="CY221" s="543"/>
      <c r="CZ221" s="544"/>
      <c r="DA221" s="544"/>
      <c r="DB221" s="541">
        <f>IF($C$12&lt;DB219,0,IF(DB219&lt;$C$11,0,$C$4))</f>
        <v>2584</v>
      </c>
      <c r="DC221" s="311"/>
      <c r="DD221" s="312"/>
      <c r="DE221" s="312"/>
      <c r="DF221" s="311"/>
      <c r="DG221" s="311"/>
      <c r="DH221" s="541">
        <f>IF($C$12&lt;DH219,0,IF(DH219&lt;$C$11,0,$C$4))</f>
        <v>2584</v>
      </c>
      <c r="DI221" s="311"/>
      <c r="DJ221" s="312"/>
      <c r="DK221" s="312"/>
      <c r="DL221" s="311"/>
      <c r="DM221" s="311"/>
      <c r="DN221" s="541">
        <f>IF($C$12&lt;DN219,0,IF(DN219&lt;$C$11,0,$C$4))</f>
        <v>2584</v>
      </c>
      <c r="DO221" s="311"/>
      <c r="DP221" s="312"/>
      <c r="DQ221" s="312"/>
      <c r="DR221" s="311"/>
      <c r="DS221" s="311"/>
      <c r="DT221" s="541">
        <f>IF($C$12&lt;DT219,0,IF(DT219&lt;$C$11,0,$C$4))</f>
        <v>2584</v>
      </c>
      <c r="DU221" s="311"/>
      <c r="DV221" s="312"/>
      <c r="DW221" s="312"/>
      <c r="DX221" s="311"/>
      <c r="DY221" s="311"/>
      <c r="DZ221" s="541">
        <f>IF($C$12&lt;DZ219,0,IF(DZ219&lt;$C$11,0,$C$4))</f>
        <v>2584</v>
      </c>
      <c r="EA221" s="311"/>
      <c r="EB221" s="312"/>
      <c r="EC221" s="312"/>
      <c r="ED221" s="311"/>
      <c r="EE221" s="311"/>
      <c r="EF221" s="541">
        <f>IF($C$12&lt;EF219,0,IF(EF219&lt;$C$11,0,$C$4))</f>
        <v>2584</v>
      </c>
      <c r="EG221" s="311"/>
      <c r="EH221" s="312"/>
      <c r="EI221" s="312"/>
      <c r="EJ221" s="311"/>
      <c r="EK221" s="311"/>
      <c r="EL221" s="541">
        <f>IF($C$12&lt;EL219,0,IF(EL219&lt;$C$11,0,$C$4))</f>
        <v>2584</v>
      </c>
      <c r="EM221" s="311"/>
      <c r="EN221" s="312"/>
      <c r="EO221" s="312"/>
      <c r="EP221" s="311"/>
      <c r="EQ221" s="311"/>
      <c r="ER221" s="541">
        <f>IF($C$12&lt;ER219,0,IF(ER219&lt;$C$11,0,$C$4))</f>
        <v>0</v>
      </c>
      <c r="ES221" s="311"/>
      <c r="ET221" s="312"/>
      <c r="EU221" s="312"/>
      <c r="EV221" s="311"/>
      <c r="EW221" s="311"/>
      <c r="EX221" s="541">
        <f>IF($C$12&lt;EX219,0,IF(EX219&lt;$C$11,0,$C$4))</f>
        <v>0</v>
      </c>
      <c r="EY221" s="311"/>
      <c r="EZ221" s="312"/>
      <c r="FA221" s="312"/>
      <c r="FB221" s="311"/>
      <c r="FC221" s="311"/>
      <c r="FD221" s="541">
        <f>IF($C$12&lt;FD219,0,IF(FD219&lt;$C$11,0,$C$4))</f>
        <v>0</v>
      </c>
      <c r="FE221" s="311"/>
      <c r="FF221" s="312"/>
      <c r="FG221" s="312"/>
      <c r="FH221" s="311"/>
      <c r="FI221" s="311"/>
      <c r="FJ221" s="541">
        <f>IF($C$12&lt;FJ219,0,IF(FJ219&lt;$C$11,0,$C$4))</f>
        <v>0</v>
      </c>
      <c r="FK221" s="311"/>
      <c r="FL221" s="312"/>
      <c r="FM221" s="312"/>
      <c r="FN221" s="311"/>
      <c r="FO221" s="311"/>
      <c r="FP221" s="541">
        <f>IF($C$12&lt;FP219,0,IF(FP219&lt;$C$11,0,$C$4))</f>
        <v>0</v>
      </c>
      <c r="FQ221" s="311"/>
      <c r="FR221" s="312"/>
      <c r="FS221" s="312"/>
      <c r="FT221" s="311"/>
      <c r="FU221" s="311"/>
      <c r="FV221" s="541">
        <f>IF($C$12&lt;FV219,0,IF(FV219&lt;$C$11,0,$C$4))</f>
        <v>0</v>
      </c>
      <c r="FW221" s="311"/>
      <c r="FX221" s="312"/>
      <c r="FY221" s="312"/>
      <c r="FZ221" s="311"/>
      <c r="GA221" s="311"/>
      <c r="GB221" s="541">
        <f>IF($C$12&lt;GB219,0,IF(GB219&lt;$C$11,0,$C$4))</f>
        <v>0</v>
      </c>
      <c r="GC221" s="311"/>
      <c r="GD221" s="312"/>
      <c r="GE221" s="312"/>
      <c r="GF221" s="311"/>
      <c r="GG221" s="311"/>
      <c r="GH221" s="541">
        <f>IF($C$12&lt;GH219,0,IF(GH219&lt;$C$11,0,$C$4))</f>
        <v>0</v>
      </c>
      <c r="GI221" s="311"/>
      <c r="GJ221" s="312"/>
      <c r="GK221" s="312"/>
      <c r="GL221" s="311"/>
      <c r="GM221" s="311"/>
      <c r="GN221" s="541">
        <f>IF($C$12&lt;GN219,0,IF(GN219&lt;$C$11,0,$C$4))</f>
        <v>0</v>
      </c>
      <c r="GO221" s="311"/>
      <c r="GP221" s="312"/>
      <c r="GQ221" s="312"/>
      <c r="GR221" s="311"/>
      <c r="GS221" s="311"/>
      <c r="GT221" s="541">
        <f>IF($C$12&lt;GT219,0,IF(GT219&lt;$C$11,0,$C$4))</f>
        <v>0</v>
      </c>
      <c r="GU221" s="311"/>
      <c r="GV221" s="312"/>
      <c r="GW221" s="312"/>
      <c r="GX221" s="311"/>
      <c r="GY221" s="311"/>
      <c r="GZ221" s="545">
        <f>IF($C$12&lt;GZ219,0,IF(GZ219&lt;$C$11,0,$C$4))</f>
        <v>0</v>
      </c>
      <c r="HA221" s="532"/>
      <c r="HB221" s="530"/>
      <c r="HC221" s="530"/>
      <c r="HD221" s="532"/>
      <c r="HE221" s="532"/>
      <c r="HF221" s="546"/>
      <c r="HG221" s="547"/>
      <c r="HH221" s="547"/>
      <c r="HI221" s="547"/>
      <c r="HJ221" s="547"/>
      <c r="HK221" s="7"/>
      <c r="HL221" s="7"/>
    </row>
    <row r="222" spans="1:220" s="65" customFormat="1" ht="24.95" customHeight="1">
      <c r="A222" s="55"/>
      <c r="B222" s="123"/>
      <c r="C222" s="123"/>
      <c r="D222" s="123"/>
      <c r="E222" s="536"/>
      <c r="F222" s="536"/>
      <c r="G222" s="536"/>
      <c r="H222" s="536"/>
      <c r="I222" s="536"/>
      <c r="J222" s="536"/>
      <c r="K222" s="536"/>
      <c r="L222" s="537"/>
      <c r="M222" s="537"/>
      <c r="N222" s="548" t="s">
        <v>395</v>
      </c>
      <c r="O222" s="549"/>
      <c r="P222" s="549"/>
      <c r="Q222" s="549"/>
      <c r="R222" s="549"/>
      <c r="S222" s="549"/>
      <c r="T222" s="549"/>
      <c r="U222" s="550">
        <f>IF($C$12&lt;U219,0,IF(U219&lt;$C$11,0,$C$5))</f>
        <v>2170.56</v>
      </c>
      <c r="V222" s="551">
        <f>IF($C$12&lt;V219,0,IF(V219&lt;$C$11,0,$C$5))</f>
        <v>2170.56</v>
      </c>
      <c r="W222" s="552"/>
      <c r="X222" s="553"/>
      <c r="Y222" s="553"/>
      <c r="Z222" s="552"/>
      <c r="AA222" s="552"/>
      <c r="AB222" s="551">
        <f>IF($C$12&lt;AB219,0,IF(AB219&lt;$C$11,0,$C$5))</f>
        <v>2170.56</v>
      </c>
      <c r="AC222" s="313"/>
      <c r="AD222" s="314"/>
      <c r="AE222" s="314"/>
      <c r="AF222" s="313"/>
      <c r="AG222" s="313"/>
      <c r="AH222" s="551">
        <f>IF($C$12&lt;AH219,0,IF(AH219&lt;$C$11,0,$C$5))</f>
        <v>2170.56</v>
      </c>
      <c r="AI222" s="552"/>
      <c r="AJ222" s="553"/>
      <c r="AK222" s="553"/>
      <c r="AL222" s="552"/>
      <c r="AM222" s="552"/>
      <c r="AN222" s="551">
        <f>IF($C$12&lt;AN219,0,IF(AN219&lt;$C$11,0,$C$5))</f>
        <v>2170.56</v>
      </c>
      <c r="AO222" s="552"/>
      <c r="AP222" s="553"/>
      <c r="AQ222" s="553"/>
      <c r="AR222" s="552"/>
      <c r="AS222" s="552"/>
      <c r="AT222" s="551">
        <f>IF($C$12&lt;AT219,0,IF(AT219&lt;$C$11,0,$C$5))</f>
        <v>2170.56</v>
      </c>
      <c r="AU222" s="313"/>
      <c r="AV222" s="314"/>
      <c r="AW222" s="314"/>
      <c r="AX222" s="313"/>
      <c r="AY222" s="313"/>
      <c r="AZ222" s="551">
        <f>IF($C$12&lt;AZ219,0,IF(AZ219&lt;$C$11,0,$C$5))</f>
        <v>2170.56</v>
      </c>
      <c r="BA222" s="313"/>
      <c r="BB222" s="314"/>
      <c r="BC222" s="314"/>
      <c r="BD222" s="313"/>
      <c r="BE222" s="313"/>
      <c r="BF222" s="551">
        <f>IF($C$12&lt;BF219,0,IF(BF219&lt;$C$11,0,$C$5))</f>
        <v>2170.56</v>
      </c>
      <c r="BG222" s="313"/>
      <c r="BH222" s="314"/>
      <c r="BI222" s="314"/>
      <c r="BJ222" s="313"/>
      <c r="BK222" s="313"/>
      <c r="BL222" s="551">
        <f>IF($C$12&lt;BL219,0,IF(BL219&lt;$C$11,0,$C$5))</f>
        <v>2170.56</v>
      </c>
      <c r="BM222" s="313"/>
      <c r="BN222" s="314"/>
      <c r="BO222" s="314"/>
      <c r="BP222" s="313"/>
      <c r="BQ222" s="313"/>
      <c r="BR222" s="551">
        <f>IF($C$12&lt;BR219,0,IF(BR219&lt;$C$11,0,$C$5))</f>
        <v>2170.56</v>
      </c>
      <c r="BS222" s="313"/>
      <c r="BT222" s="314"/>
      <c r="BU222" s="314"/>
      <c r="BV222" s="313"/>
      <c r="BW222" s="313"/>
      <c r="BX222" s="551">
        <f>IF($C$12&lt;BX219,0,IF(BX219&lt;$C$11,0,$C$5))</f>
        <v>2170.56</v>
      </c>
      <c r="BY222" s="313"/>
      <c r="BZ222" s="314"/>
      <c r="CA222" s="314"/>
      <c r="CB222" s="313"/>
      <c r="CC222" s="313"/>
      <c r="CD222" s="551">
        <f>IF($C$12&lt;CD219,0,IF(CD219&lt;$C$11,0,$C$5))</f>
        <v>2170.56</v>
      </c>
      <c r="CE222" s="313"/>
      <c r="CF222" s="314"/>
      <c r="CG222" s="314"/>
      <c r="CH222" s="313"/>
      <c r="CI222" s="313"/>
      <c r="CJ222" s="551">
        <f>IF($C$12&lt;CJ219,0,IF(CJ219&lt;$C$11,0,$C$5))</f>
        <v>2170.56</v>
      </c>
      <c r="CK222" s="313"/>
      <c r="CL222" s="314"/>
      <c r="CM222" s="314"/>
      <c r="CN222" s="313"/>
      <c r="CO222" s="313"/>
      <c r="CP222" s="551">
        <f>IF($C$12&lt;CP219,0,IF(CP219&lt;$C$11,0,$C$5))</f>
        <v>2170.56</v>
      </c>
      <c r="CQ222" s="313"/>
      <c r="CR222" s="314"/>
      <c r="CS222" s="314"/>
      <c r="CT222" s="313"/>
      <c r="CU222" s="313"/>
      <c r="CV222" s="551">
        <f>IF($C$12&lt;CV219,0,IF(CV219&lt;$C$11,0,$C$5))</f>
        <v>2170.56</v>
      </c>
      <c r="CW222" s="554"/>
      <c r="CX222" s="553"/>
      <c r="CY222" s="553"/>
      <c r="CZ222" s="554"/>
      <c r="DA222" s="554"/>
      <c r="DB222" s="551">
        <f>IF($C$12&lt;DB219,0,IF(DB219&lt;$C$11,0,$C$5))</f>
        <v>2170.56</v>
      </c>
      <c r="DC222" s="313"/>
      <c r="DD222" s="314"/>
      <c r="DE222" s="314"/>
      <c r="DF222" s="313"/>
      <c r="DG222" s="313"/>
      <c r="DH222" s="551">
        <f>IF($C$12&lt;DH219,0,IF(DH219&lt;$C$11,0,$C$5))</f>
        <v>2170.56</v>
      </c>
      <c r="DI222" s="313"/>
      <c r="DJ222" s="314"/>
      <c r="DK222" s="314"/>
      <c r="DL222" s="313"/>
      <c r="DM222" s="313"/>
      <c r="DN222" s="551">
        <f>IF($C$12&lt;DN219,0,IF(DN219&lt;$C$11,0,$C$5))</f>
        <v>2170.56</v>
      </c>
      <c r="DO222" s="313"/>
      <c r="DP222" s="314"/>
      <c r="DQ222" s="314"/>
      <c r="DR222" s="313"/>
      <c r="DS222" s="313"/>
      <c r="DT222" s="551">
        <f>IF($C$12&lt;DT219,0,IF(DT219&lt;$C$11,0,$C$5))</f>
        <v>2170.56</v>
      </c>
      <c r="DU222" s="313"/>
      <c r="DV222" s="314"/>
      <c r="DW222" s="314"/>
      <c r="DX222" s="313"/>
      <c r="DY222" s="313"/>
      <c r="DZ222" s="551">
        <f>IF($C$12&lt;DZ219,0,IF(DZ219&lt;$C$11,0,$C$5))</f>
        <v>2170.56</v>
      </c>
      <c r="EA222" s="313"/>
      <c r="EB222" s="314"/>
      <c r="EC222" s="314"/>
      <c r="ED222" s="313"/>
      <c r="EE222" s="313"/>
      <c r="EF222" s="551">
        <f>IF($C$12&lt;EF219,0,IF(EF219&lt;$C$11,0,$C$5))</f>
        <v>2170.56</v>
      </c>
      <c r="EG222" s="313"/>
      <c r="EH222" s="314"/>
      <c r="EI222" s="314"/>
      <c r="EJ222" s="313"/>
      <c r="EK222" s="313"/>
      <c r="EL222" s="551">
        <f>IF($C$12&lt;EL219,0,IF(EL219&lt;$C$11,0,$C$5))</f>
        <v>2170.56</v>
      </c>
      <c r="EM222" s="313"/>
      <c r="EN222" s="314"/>
      <c r="EO222" s="314"/>
      <c r="EP222" s="313"/>
      <c r="EQ222" s="313"/>
      <c r="ER222" s="551">
        <f>IF($C$12&lt;ER219,0,IF(ER219&lt;$C$11,0,$C$5))</f>
        <v>0</v>
      </c>
      <c r="ES222" s="313"/>
      <c r="ET222" s="314"/>
      <c r="EU222" s="314"/>
      <c r="EV222" s="313"/>
      <c r="EW222" s="313"/>
      <c r="EX222" s="551">
        <f>IF($C$12&lt;EX219,0,IF(EX219&lt;$C$11,0,$C$5))</f>
        <v>0</v>
      </c>
      <c r="EY222" s="313"/>
      <c r="EZ222" s="314"/>
      <c r="FA222" s="314"/>
      <c r="FB222" s="313"/>
      <c r="FC222" s="313"/>
      <c r="FD222" s="551">
        <f>IF($C$12&lt;FD219,0,IF(FD219&lt;$C$11,0,$C$5))</f>
        <v>0</v>
      </c>
      <c r="FE222" s="313"/>
      <c r="FF222" s="314"/>
      <c r="FG222" s="314"/>
      <c r="FH222" s="313"/>
      <c r="FI222" s="313"/>
      <c r="FJ222" s="551">
        <f>IF($C$12&lt;FJ219,0,IF(FJ219&lt;$C$11,0,$C$5))</f>
        <v>0</v>
      </c>
      <c r="FK222" s="313"/>
      <c r="FL222" s="314"/>
      <c r="FM222" s="314"/>
      <c r="FN222" s="313"/>
      <c r="FO222" s="313"/>
      <c r="FP222" s="551">
        <f>IF($C$12&lt;FP219,0,IF(FP219&lt;$C$11,0,$C$5))</f>
        <v>0</v>
      </c>
      <c r="FQ222" s="313"/>
      <c r="FR222" s="314"/>
      <c r="FS222" s="314"/>
      <c r="FT222" s="313"/>
      <c r="FU222" s="313"/>
      <c r="FV222" s="551">
        <f>IF($C$12&lt;FV219,0,IF(FV219&lt;$C$11,0,$C$5))</f>
        <v>0</v>
      </c>
      <c r="FW222" s="313"/>
      <c r="FX222" s="314"/>
      <c r="FY222" s="314"/>
      <c r="FZ222" s="313"/>
      <c r="GA222" s="313"/>
      <c r="GB222" s="551">
        <f>IF($C$12&lt;GB219,0,IF(GB219&lt;$C$11,0,$C$5))</f>
        <v>0</v>
      </c>
      <c r="GC222" s="313"/>
      <c r="GD222" s="314"/>
      <c r="GE222" s="314"/>
      <c r="GF222" s="313"/>
      <c r="GG222" s="313"/>
      <c r="GH222" s="551">
        <f>IF($C$12&lt;GH219,0,IF(GH219&lt;$C$11,0,$C$5))</f>
        <v>0</v>
      </c>
      <c r="GI222" s="313"/>
      <c r="GJ222" s="314"/>
      <c r="GK222" s="314"/>
      <c r="GL222" s="313"/>
      <c r="GM222" s="313"/>
      <c r="GN222" s="551">
        <f>IF($C$12&lt;GN219,0,IF(GN219&lt;$C$11,0,$C$5))</f>
        <v>0</v>
      </c>
      <c r="GO222" s="313"/>
      <c r="GP222" s="314"/>
      <c r="GQ222" s="314"/>
      <c r="GR222" s="313"/>
      <c r="GS222" s="313"/>
      <c r="GT222" s="551">
        <f>IF($C$12&lt;GT219,0,IF(GT219&lt;$C$11,0,$C$5))</f>
        <v>0</v>
      </c>
      <c r="GU222" s="313"/>
      <c r="GV222" s="314"/>
      <c r="GW222" s="314"/>
      <c r="GX222" s="313"/>
      <c r="GY222" s="313"/>
      <c r="GZ222" s="555">
        <f>IF($C$12&lt;GZ219,0,IF(GZ219&lt;$C$11,0,$C$5))</f>
        <v>0</v>
      </c>
      <c r="HA222" s="532"/>
      <c r="HB222" s="530"/>
      <c r="HC222" s="530"/>
      <c r="HD222" s="532"/>
      <c r="HE222" s="532"/>
      <c r="HF222" s="546"/>
      <c r="HG222" s="547"/>
      <c r="HH222" s="547"/>
      <c r="HI222" s="547"/>
      <c r="HJ222" s="547"/>
      <c r="HL222" s="7"/>
    </row>
    <row r="223" spans="1:220" s="565" customFormat="1" ht="20.25" customHeight="1">
      <c r="A223" s="55"/>
      <c r="B223" s="123"/>
      <c r="C223" s="123"/>
      <c r="D223" s="123"/>
      <c r="E223" s="536"/>
      <c r="F223" s="536"/>
      <c r="G223" s="536"/>
      <c r="H223" s="536"/>
      <c r="I223" s="536"/>
      <c r="J223" s="536"/>
      <c r="K223" s="536"/>
      <c r="L223" s="537"/>
      <c r="M223" s="537"/>
      <c r="N223" s="556" t="s">
        <v>33</v>
      </c>
      <c r="O223" s="557"/>
      <c r="P223" s="557"/>
      <c r="Q223" s="557"/>
      <c r="R223" s="557"/>
      <c r="S223" s="557"/>
      <c r="T223" s="557"/>
      <c r="U223" s="558"/>
      <c r="V223" s="558"/>
      <c r="W223" s="439"/>
      <c r="X223" s="530"/>
      <c r="Y223" s="530"/>
      <c r="Z223" s="439"/>
      <c r="AA223" s="439"/>
      <c r="AB223" s="558"/>
      <c r="AC223" s="15"/>
      <c r="AD223" s="16"/>
      <c r="AE223" s="16"/>
      <c r="AF223" s="15"/>
      <c r="AG223" s="15"/>
      <c r="AH223" s="558"/>
      <c r="AI223" s="439"/>
      <c r="AJ223" s="530"/>
      <c r="AK223" s="530"/>
      <c r="AL223" s="439"/>
      <c r="AM223" s="439"/>
      <c r="AN223" s="559"/>
      <c r="AO223" s="560"/>
      <c r="AP223" s="561"/>
      <c r="AQ223" s="561"/>
      <c r="AR223" s="560"/>
      <c r="AS223" s="560"/>
      <c r="AT223" s="562">
        <f>SUM(AU44:AU216)</f>
        <v>141415.984</v>
      </c>
      <c r="AU223" s="311"/>
      <c r="AV223" s="312"/>
      <c r="AW223" s="312"/>
      <c r="AX223" s="311"/>
      <c r="AY223" s="311"/>
      <c r="AZ223" s="563">
        <f>SUM(BA44:BA216)</f>
        <v>0</v>
      </c>
      <c r="BA223" s="311"/>
      <c r="BB223" s="312"/>
      <c r="BC223" s="312"/>
      <c r="BD223" s="311"/>
      <c r="BE223" s="311"/>
      <c r="BF223" s="563">
        <f>SUM(BG44:BG216)</f>
        <v>161706.72</v>
      </c>
      <c r="BG223" s="311"/>
      <c r="BH223" s="312"/>
      <c r="BI223" s="312"/>
      <c r="BJ223" s="311"/>
      <c r="BK223" s="311"/>
      <c r="BL223" s="563">
        <f>SUM(BM44:BM216)</f>
        <v>0</v>
      </c>
      <c r="BM223" s="311"/>
      <c r="BN223" s="312"/>
      <c r="BO223" s="312"/>
      <c r="BP223" s="311"/>
      <c r="BQ223" s="311"/>
      <c r="BR223" s="563">
        <f>SUM(BS44:BS216)</f>
        <v>0</v>
      </c>
      <c r="BS223" s="311"/>
      <c r="BT223" s="312"/>
      <c r="BU223" s="312"/>
      <c r="BV223" s="311"/>
      <c r="BW223" s="311"/>
      <c r="BX223" s="563">
        <f>SUM(BY44:BY216)</f>
        <v>0</v>
      </c>
      <c r="BY223" s="311"/>
      <c r="BZ223" s="312"/>
      <c r="CA223" s="312"/>
      <c r="CB223" s="311"/>
      <c r="CC223" s="311"/>
      <c r="CD223" s="563">
        <f>SUM(CE44:CE216)</f>
        <v>0</v>
      </c>
      <c r="CE223" s="311"/>
      <c r="CF223" s="312"/>
      <c r="CG223" s="312"/>
      <c r="CH223" s="311"/>
      <c r="CI223" s="311"/>
      <c r="CJ223" s="563">
        <f>SUM(CK44:CK216)</f>
        <v>0</v>
      </c>
      <c r="CK223" s="311"/>
      <c r="CL223" s="312"/>
      <c r="CM223" s="312"/>
      <c r="CN223" s="311"/>
      <c r="CO223" s="311"/>
      <c r="CP223" s="563">
        <f>SUM(CQ44:CQ216)</f>
        <v>0</v>
      </c>
      <c r="CQ223" s="311"/>
      <c r="CR223" s="312"/>
      <c r="CS223" s="312"/>
      <c r="CT223" s="311"/>
      <c r="CU223" s="311"/>
      <c r="CV223" s="563">
        <f>SUM(CW44:CW216)</f>
        <v>0</v>
      </c>
      <c r="CW223" s="544"/>
      <c r="CX223" s="543"/>
      <c r="CY223" s="543"/>
      <c r="CZ223" s="544"/>
      <c r="DA223" s="544"/>
      <c r="DB223" s="563">
        <f>SUM(DC44:DC216)</f>
        <v>0</v>
      </c>
      <c r="DC223" s="311"/>
      <c r="DD223" s="312"/>
      <c r="DE223" s="312"/>
      <c r="DF223" s="311"/>
      <c r="DG223" s="311"/>
      <c r="DH223" s="563">
        <f>SUM(DI44:DI216)</f>
        <v>0</v>
      </c>
      <c r="DI223" s="311"/>
      <c r="DJ223" s="312"/>
      <c r="DK223" s="312"/>
      <c r="DL223" s="311"/>
      <c r="DM223" s="311"/>
      <c r="DN223" s="563">
        <f>SUM(DO44:DO216)</f>
        <v>0</v>
      </c>
      <c r="DO223" s="311"/>
      <c r="DP223" s="312"/>
      <c r="DQ223" s="312"/>
      <c r="DR223" s="311"/>
      <c r="DS223" s="311"/>
      <c r="DT223" s="563">
        <f>SUM(DU44:DU216)</f>
        <v>0</v>
      </c>
      <c r="DU223" s="311"/>
      <c r="DV223" s="312"/>
      <c r="DW223" s="312"/>
      <c r="DX223" s="311"/>
      <c r="DY223" s="311"/>
      <c r="DZ223" s="563">
        <f>SUM(EA44:EA216)</f>
        <v>0</v>
      </c>
      <c r="EA223" s="311"/>
      <c r="EB223" s="312"/>
      <c r="EC223" s="312"/>
      <c r="ED223" s="311"/>
      <c r="EE223" s="311"/>
      <c r="EF223" s="563">
        <f>SUM(EG44:EG216)</f>
        <v>0</v>
      </c>
      <c r="EG223" s="311"/>
      <c r="EH223" s="312"/>
      <c r="EI223" s="312"/>
      <c r="EJ223" s="311"/>
      <c r="EK223" s="311"/>
      <c r="EL223" s="563">
        <f>SUM(EM44:EM216)</f>
        <v>0</v>
      </c>
      <c r="EM223" s="311"/>
      <c r="EN223" s="312"/>
      <c r="EO223" s="312"/>
      <c r="EP223" s="311"/>
      <c r="EQ223" s="311"/>
      <c r="ER223" s="563">
        <f>SUM(ES44:ES216)</f>
        <v>0</v>
      </c>
      <c r="ES223" s="311"/>
      <c r="ET223" s="312"/>
      <c r="EU223" s="312"/>
      <c r="EV223" s="311"/>
      <c r="EW223" s="311"/>
      <c r="EX223" s="563">
        <f>SUM(EY44:EY216)</f>
        <v>0</v>
      </c>
      <c r="EY223" s="311"/>
      <c r="EZ223" s="312"/>
      <c r="FA223" s="312"/>
      <c r="FB223" s="311"/>
      <c r="FC223" s="311"/>
      <c r="FD223" s="563">
        <f>SUM(FE44:FE216)</f>
        <v>0</v>
      </c>
      <c r="FE223" s="311"/>
      <c r="FF223" s="312"/>
      <c r="FG223" s="312"/>
      <c r="FH223" s="311"/>
      <c r="FI223" s="311"/>
      <c r="FJ223" s="563">
        <f>SUM(FK44:FK216)</f>
        <v>0</v>
      </c>
      <c r="FK223" s="311"/>
      <c r="FL223" s="312"/>
      <c r="FM223" s="312"/>
      <c r="FN223" s="311"/>
      <c r="FO223" s="311"/>
      <c r="FP223" s="563">
        <f>SUM(FQ44:FQ216)</f>
        <v>0</v>
      </c>
      <c r="FQ223" s="311"/>
      <c r="FR223" s="312"/>
      <c r="FS223" s="312"/>
      <c r="FT223" s="311"/>
      <c r="FU223" s="311"/>
      <c r="FV223" s="563">
        <f>SUM(FW44:FW216)</f>
        <v>0</v>
      </c>
      <c r="FW223" s="311"/>
      <c r="FX223" s="312"/>
      <c r="FY223" s="312"/>
      <c r="FZ223" s="311"/>
      <c r="GA223" s="311"/>
      <c r="GB223" s="563">
        <f>SUM(GC44:GC216)</f>
        <v>0</v>
      </c>
      <c r="GC223" s="311"/>
      <c r="GD223" s="312"/>
      <c r="GE223" s="312"/>
      <c r="GF223" s="311"/>
      <c r="GG223" s="311"/>
      <c r="GH223" s="563">
        <f>SUM(GI44:GI216)</f>
        <v>0</v>
      </c>
      <c r="GI223" s="311"/>
      <c r="GJ223" s="312"/>
      <c r="GK223" s="312"/>
      <c r="GL223" s="311"/>
      <c r="GM223" s="311"/>
      <c r="GN223" s="563">
        <f>SUM(GO44:GO216)</f>
        <v>0</v>
      </c>
      <c r="GO223" s="311"/>
      <c r="GP223" s="312"/>
      <c r="GQ223" s="312"/>
      <c r="GR223" s="311"/>
      <c r="GS223" s="311"/>
      <c r="GT223" s="563">
        <f>SUM(GU44:GU216)</f>
        <v>0</v>
      </c>
      <c r="GU223" s="311"/>
      <c r="GV223" s="312"/>
      <c r="GW223" s="312"/>
      <c r="GX223" s="311"/>
      <c r="GY223" s="311"/>
      <c r="GZ223" s="564">
        <f>SUM(HA44:HA216)</f>
        <v>0</v>
      </c>
      <c r="HA223" s="532"/>
      <c r="HB223" s="530"/>
      <c r="HC223" s="530"/>
      <c r="HD223" s="532"/>
      <c r="HE223" s="532"/>
      <c r="HF223" s="546"/>
      <c r="HG223" s="547"/>
      <c r="HH223" s="547"/>
      <c r="HI223" s="547"/>
      <c r="HJ223" s="547"/>
    </row>
    <row r="224" spans="1:220" s="565" customFormat="1" ht="20.25" customHeight="1">
      <c r="A224" s="55"/>
      <c r="B224" s="123"/>
      <c r="C224" s="123"/>
      <c r="D224" s="123"/>
      <c r="E224" s="123"/>
      <c r="F224" s="123"/>
      <c r="G224" s="123"/>
      <c r="H224" s="123"/>
      <c r="I224" s="123"/>
      <c r="J224" s="123"/>
      <c r="K224" s="123"/>
      <c r="L224" s="123"/>
      <c r="M224" s="537"/>
      <c r="N224" s="566" t="s">
        <v>507</v>
      </c>
      <c r="O224" s="567"/>
      <c r="P224" s="567"/>
      <c r="Q224" s="567"/>
      <c r="R224" s="567"/>
      <c r="S224" s="567"/>
      <c r="T224" s="567"/>
      <c r="U224" s="568"/>
      <c r="V224" s="569"/>
      <c r="W224" s="570"/>
      <c r="X224" s="571"/>
      <c r="Y224" s="571"/>
      <c r="Z224" s="570"/>
      <c r="AA224" s="570"/>
      <c r="AB224" s="569"/>
      <c r="AC224" s="570"/>
      <c r="AD224" s="571"/>
      <c r="AE224" s="571"/>
      <c r="AF224" s="570"/>
      <c r="AG224" s="570"/>
      <c r="AH224" s="569"/>
      <c r="AI224" s="570"/>
      <c r="AJ224" s="571"/>
      <c r="AK224" s="571"/>
      <c r="AL224" s="570"/>
      <c r="AM224" s="570"/>
      <c r="AN224" s="572">
        <v>0</v>
      </c>
      <c r="AO224" s="439"/>
      <c r="AP224" s="530"/>
      <c r="AQ224" s="530"/>
      <c r="AR224" s="439"/>
      <c r="AS224" s="439"/>
      <c r="AT224" s="573">
        <f>AN224+AT223</f>
        <v>141415.984</v>
      </c>
      <c r="AU224" s="574"/>
      <c r="AV224" s="575"/>
      <c r="AW224" s="575"/>
      <c r="AX224" s="574"/>
      <c r="AY224" s="574"/>
      <c r="AZ224" s="576">
        <f>AT224+AZ223</f>
        <v>141415.984</v>
      </c>
      <c r="BA224" s="315"/>
      <c r="BB224" s="316"/>
      <c r="BC224" s="316"/>
      <c r="BD224" s="315"/>
      <c r="BE224" s="315"/>
      <c r="BF224" s="576">
        <f>AZ224+BF223</f>
        <v>303122.70400000003</v>
      </c>
      <c r="BG224" s="315"/>
      <c r="BH224" s="316"/>
      <c r="BI224" s="316"/>
      <c r="BJ224" s="315"/>
      <c r="BK224" s="315"/>
      <c r="BL224" s="576">
        <f>BF224+BL223</f>
        <v>303122.70400000003</v>
      </c>
      <c r="BM224" s="315"/>
      <c r="BN224" s="316"/>
      <c r="BO224" s="316"/>
      <c r="BP224" s="315"/>
      <c r="BQ224" s="315"/>
      <c r="BR224" s="576">
        <f>BL224+BR223</f>
        <v>303122.70400000003</v>
      </c>
      <c r="BS224" s="574"/>
      <c r="BT224" s="575"/>
      <c r="BU224" s="575"/>
      <c r="BV224" s="574"/>
      <c r="BW224" s="574"/>
      <c r="BX224" s="576">
        <f>BR224+BX223</f>
        <v>303122.70400000003</v>
      </c>
      <c r="BY224" s="315"/>
      <c r="BZ224" s="316"/>
      <c r="CA224" s="316"/>
      <c r="CB224" s="315"/>
      <c r="CC224" s="315"/>
      <c r="CD224" s="576">
        <f>BX224+CD223</f>
        <v>303122.70400000003</v>
      </c>
      <c r="CE224" s="315"/>
      <c r="CF224" s="316"/>
      <c r="CG224" s="316"/>
      <c r="CH224" s="315"/>
      <c r="CI224" s="315"/>
      <c r="CJ224" s="576">
        <f>CD224+CJ223</f>
        <v>303122.70400000003</v>
      </c>
      <c r="CK224" s="315"/>
      <c r="CL224" s="316"/>
      <c r="CM224" s="316"/>
      <c r="CN224" s="315"/>
      <c r="CO224" s="315"/>
      <c r="CP224" s="576">
        <f>CJ224+CP223</f>
        <v>303122.70400000003</v>
      </c>
      <c r="CQ224" s="577"/>
      <c r="CR224" s="575"/>
      <c r="CS224" s="575"/>
      <c r="CT224" s="577"/>
      <c r="CU224" s="577"/>
      <c r="CV224" s="576">
        <f>CP224+CV223</f>
        <v>303122.70400000003</v>
      </c>
      <c r="CW224" s="577"/>
      <c r="CX224" s="575"/>
      <c r="CY224" s="575"/>
      <c r="CZ224" s="577"/>
      <c r="DA224" s="577"/>
      <c r="DB224" s="576">
        <f>CV224+DB223</f>
        <v>303122.70400000003</v>
      </c>
      <c r="DC224" s="315"/>
      <c r="DD224" s="316"/>
      <c r="DE224" s="316"/>
      <c r="DF224" s="315"/>
      <c r="DG224" s="315"/>
      <c r="DH224" s="576">
        <f>DB224+DH223</f>
        <v>303122.70400000003</v>
      </c>
      <c r="DI224" s="315"/>
      <c r="DJ224" s="316"/>
      <c r="DK224" s="316"/>
      <c r="DL224" s="315"/>
      <c r="DM224" s="315"/>
      <c r="DN224" s="576">
        <f>DH224+DN223</f>
        <v>303122.70400000003</v>
      </c>
      <c r="DO224" s="315"/>
      <c r="DP224" s="316"/>
      <c r="DQ224" s="316"/>
      <c r="DR224" s="315"/>
      <c r="DS224" s="315"/>
      <c r="DT224" s="576">
        <f>DN224+DT223</f>
        <v>303122.70400000003</v>
      </c>
      <c r="DU224" s="315"/>
      <c r="DV224" s="316"/>
      <c r="DW224" s="316"/>
      <c r="DX224" s="315"/>
      <c r="DY224" s="315"/>
      <c r="DZ224" s="576">
        <f>DT224+DZ223</f>
        <v>303122.70400000003</v>
      </c>
      <c r="EA224" s="315"/>
      <c r="EB224" s="316"/>
      <c r="EC224" s="316"/>
      <c r="ED224" s="315"/>
      <c r="EE224" s="315"/>
      <c r="EF224" s="576">
        <f>DZ224+EF223</f>
        <v>303122.70400000003</v>
      </c>
      <c r="EG224" s="315"/>
      <c r="EH224" s="316"/>
      <c r="EI224" s="316"/>
      <c r="EJ224" s="315"/>
      <c r="EK224" s="315"/>
      <c r="EL224" s="576">
        <f>EF224+EL223</f>
        <v>303122.70400000003</v>
      </c>
      <c r="EM224" s="315"/>
      <c r="EN224" s="316"/>
      <c r="EO224" s="316"/>
      <c r="EP224" s="315"/>
      <c r="EQ224" s="315"/>
      <c r="ER224" s="576">
        <f>EL224+ER223</f>
        <v>303122.70400000003</v>
      </c>
      <c r="ES224" s="315"/>
      <c r="ET224" s="316"/>
      <c r="EU224" s="316"/>
      <c r="EV224" s="315"/>
      <c r="EW224" s="315"/>
      <c r="EX224" s="576">
        <f>ER224+EX223</f>
        <v>303122.70400000003</v>
      </c>
      <c r="EY224" s="315"/>
      <c r="EZ224" s="316"/>
      <c r="FA224" s="316"/>
      <c r="FB224" s="315"/>
      <c r="FC224" s="315"/>
      <c r="FD224" s="576">
        <f>EX224+FD223</f>
        <v>303122.70400000003</v>
      </c>
      <c r="FE224" s="315"/>
      <c r="FF224" s="316"/>
      <c r="FG224" s="316"/>
      <c r="FH224" s="315"/>
      <c r="FI224" s="315"/>
      <c r="FJ224" s="576">
        <f>FD224+FJ223</f>
        <v>303122.70400000003</v>
      </c>
      <c r="FK224" s="315"/>
      <c r="FL224" s="316"/>
      <c r="FM224" s="316"/>
      <c r="FN224" s="315"/>
      <c r="FO224" s="315"/>
      <c r="FP224" s="576">
        <f>FJ224+FP223</f>
        <v>303122.70400000003</v>
      </c>
      <c r="FQ224" s="315"/>
      <c r="FR224" s="316"/>
      <c r="FS224" s="316"/>
      <c r="FT224" s="315"/>
      <c r="FU224" s="315"/>
      <c r="FV224" s="576">
        <f>FP224+FV223</f>
        <v>303122.70400000003</v>
      </c>
      <c r="FW224" s="315"/>
      <c r="FX224" s="316"/>
      <c r="FY224" s="316"/>
      <c r="FZ224" s="315"/>
      <c r="GA224" s="315"/>
      <c r="GB224" s="576">
        <f>FV224+GB223</f>
        <v>303122.70400000003</v>
      </c>
      <c r="GC224" s="315"/>
      <c r="GD224" s="316"/>
      <c r="GE224" s="316"/>
      <c r="GF224" s="315"/>
      <c r="GG224" s="315"/>
      <c r="GH224" s="576">
        <f>GB224+GH223</f>
        <v>303122.70400000003</v>
      </c>
      <c r="GI224" s="315"/>
      <c r="GJ224" s="316"/>
      <c r="GK224" s="316"/>
      <c r="GL224" s="315"/>
      <c r="GM224" s="315"/>
      <c r="GN224" s="576">
        <f>GH224+GN223</f>
        <v>303122.70400000003</v>
      </c>
      <c r="GO224" s="315"/>
      <c r="GP224" s="316"/>
      <c r="GQ224" s="316"/>
      <c r="GR224" s="315"/>
      <c r="GS224" s="315"/>
      <c r="GT224" s="576">
        <f>GN224+GT223</f>
        <v>303122.70400000003</v>
      </c>
      <c r="GU224" s="315"/>
      <c r="GV224" s="316"/>
      <c r="GW224" s="316"/>
      <c r="GX224" s="315"/>
      <c r="GY224" s="315"/>
      <c r="GZ224" s="578">
        <f>GT224+GZ223</f>
        <v>303122.70400000003</v>
      </c>
      <c r="HA224" s="532"/>
      <c r="HB224" s="530"/>
      <c r="HC224" s="530"/>
      <c r="HD224" s="532"/>
      <c r="HE224" s="532"/>
      <c r="HF224" s="546"/>
      <c r="HG224" s="547"/>
      <c r="HH224" s="547"/>
      <c r="HI224" s="547"/>
      <c r="HJ224" s="547"/>
    </row>
    <row r="225" spans="1:218" s="565" customFormat="1" ht="20.25" customHeight="1">
      <c r="A225" s="55"/>
      <c r="B225" s="123"/>
      <c r="C225" s="830" t="s">
        <v>744</v>
      </c>
      <c r="D225" s="830"/>
      <c r="E225" s="830"/>
      <c r="F225" s="830"/>
      <c r="G225" s="830"/>
      <c r="H225" s="830"/>
      <c r="I225" s="830"/>
      <c r="J225" s="830"/>
      <c r="K225" s="830"/>
      <c r="L225" s="830"/>
      <c r="M225" s="537"/>
      <c r="N225" s="579" t="s">
        <v>506</v>
      </c>
      <c r="O225" s="567"/>
      <c r="P225" s="567"/>
      <c r="Q225" s="567"/>
      <c r="R225" s="567"/>
      <c r="S225" s="567"/>
      <c r="T225" s="567"/>
      <c r="U225" s="568"/>
      <c r="V225" s="569"/>
      <c r="W225" s="570"/>
      <c r="X225" s="571"/>
      <c r="Y225" s="571"/>
      <c r="Z225" s="570"/>
      <c r="AA225" s="570"/>
      <c r="AB225" s="569"/>
      <c r="AC225" s="580"/>
      <c r="AD225" s="581"/>
      <c r="AE225" s="581"/>
      <c r="AF225" s="580"/>
      <c r="AG225" s="580"/>
      <c r="AH225" s="569"/>
      <c r="AI225" s="570"/>
      <c r="AJ225" s="571"/>
      <c r="AK225" s="571"/>
      <c r="AL225" s="570"/>
      <c r="AM225" s="570"/>
      <c r="AN225" s="582"/>
      <c r="AO225" s="439"/>
      <c r="AP225" s="530"/>
      <c r="AQ225" s="530"/>
      <c r="AR225" s="439"/>
      <c r="AS225" s="439"/>
      <c r="AT225" s="573">
        <f>SUM(AY44:AY216)</f>
        <v>34573.116751200003</v>
      </c>
      <c r="AU225" s="574"/>
      <c r="AV225" s="575"/>
      <c r="AW225" s="575"/>
      <c r="AX225" s="574"/>
      <c r="AY225" s="574"/>
      <c r="AZ225" s="576">
        <f>SUM(BE44:BE216)</f>
        <v>126.10866319999998</v>
      </c>
      <c r="BA225" s="315"/>
      <c r="BB225" s="316"/>
      <c r="BC225" s="316"/>
      <c r="BD225" s="315"/>
      <c r="BE225" s="315"/>
      <c r="BF225" s="576">
        <f>SUM(BK44:BK216)</f>
        <v>2028.6400000000003</v>
      </c>
      <c r="BG225" s="315"/>
      <c r="BH225" s="316"/>
      <c r="BI225" s="316"/>
      <c r="BJ225" s="315"/>
      <c r="BK225" s="315"/>
      <c r="BL225" s="576">
        <f>SUM(BQ44:BQ216)</f>
        <v>0</v>
      </c>
      <c r="BM225" s="315"/>
      <c r="BN225" s="316"/>
      <c r="BO225" s="316"/>
      <c r="BP225" s="315"/>
      <c r="BQ225" s="315"/>
      <c r="BR225" s="576">
        <f>SUM(BW44:BW216)</f>
        <v>0</v>
      </c>
      <c r="BS225" s="574"/>
      <c r="BT225" s="575"/>
      <c r="BU225" s="575"/>
      <c r="BV225" s="574"/>
      <c r="BW225" s="574"/>
      <c r="BX225" s="576">
        <f>SUM(CC44:CC216)</f>
        <v>0</v>
      </c>
      <c r="BY225" s="315"/>
      <c r="BZ225" s="316"/>
      <c r="CA225" s="316"/>
      <c r="CB225" s="315"/>
      <c r="CC225" s="315"/>
      <c r="CD225" s="576">
        <f>SUM(CI44:CI216)</f>
        <v>0</v>
      </c>
      <c r="CE225" s="315"/>
      <c r="CF225" s="316"/>
      <c r="CG225" s="316"/>
      <c r="CH225" s="315"/>
      <c r="CI225" s="315"/>
      <c r="CJ225" s="576">
        <f>SUM(CO44:CO216)</f>
        <v>0</v>
      </c>
      <c r="CK225" s="315"/>
      <c r="CL225" s="316"/>
      <c r="CM225" s="316"/>
      <c r="CN225" s="315"/>
      <c r="CO225" s="315"/>
      <c r="CP225" s="576">
        <f>SUM(CU44:CU216)</f>
        <v>0</v>
      </c>
      <c r="CQ225" s="577"/>
      <c r="CR225" s="575"/>
      <c r="CS225" s="575"/>
      <c r="CT225" s="577"/>
      <c r="CU225" s="577"/>
      <c r="CV225" s="576">
        <f>SUM(DA44:DA216)</f>
        <v>0</v>
      </c>
      <c r="CW225" s="577"/>
      <c r="CX225" s="575"/>
      <c r="CY225" s="575"/>
      <c r="CZ225" s="577"/>
      <c r="DA225" s="577"/>
      <c r="DB225" s="576">
        <f>SUM(DG44:DG216)</f>
        <v>0</v>
      </c>
      <c r="DC225" s="315"/>
      <c r="DD225" s="316"/>
      <c r="DE225" s="316"/>
      <c r="DF225" s="315"/>
      <c r="DG225" s="315"/>
      <c r="DH225" s="576">
        <f>SUM(DM44:DM216)</f>
        <v>0</v>
      </c>
      <c r="DI225" s="315"/>
      <c r="DJ225" s="316"/>
      <c r="DK225" s="316"/>
      <c r="DL225" s="315"/>
      <c r="DM225" s="315"/>
      <c r="DN225" s="576">
        <f>SUM(DS44:DS216)</f>
        <v>0</v>
      </c>
      <c r="DO225" s="315"/>
      <c r="DP225" s="316"/>
      <c r="DQ225" s="316"/>
      <c r="DR225" s="315"/>
      <c r="DS225" s="315"/>
      <c r="DT225" s="576">
        <f>SUM(DY44:DY216)</f>
        <v>0</v>
      </c>
      <c r="DU225" s="315"/>
      <c r="DV225" s="316"/>
      <c r="DW225" s="316"/>
      <c r="DX225" s="315"/>
      <c r="DY225" s="315"/>
      <c r="DZ225" s="576">
        <f>SUM(EE44:EE216)</f>
        <v>0</v>
      </c>
      <c r="EA225" s="315"/>
      <c r="EB225" s="316"/>
      <c r="EC225" s="316"/>
      <c r="ED225" s="315"/>
      <c r="EE225" s="315"/>
      <c r="EF225" s="576">
        <f>SUM(EK44:EK216)</f>
        <v>0</v>
      </c>
      <c r="EG225" s="315"/>
      <c r="EH225" s="316"/>
      <c r="EI225" s="316"/>
      <c r="EJ225" s="315"/>
      <c r="EK225" s="315"/>
      <c r="EL225" s="576">
        <f>SUM(EQ44:EQ216)</f>
        <v>0</v>
      </c>
      <c r="EM225" s="315"/>
      <c r="EN225" s="316"/>
      <c r="EO225" s="316"/>
      <c r="EP225" s="315"/>
      <c r="EQ225" s="315"/>
      <c r="ER225" s="576">
        <f>SUM(EW44:EW216)</f>
        <v>0</v>
      </c>
      <c r="ES225" s="315"/>
      <c r="ET225" s="316"/>
      <c r="EU225" s="316"/>
      <c r="EV225" s="315"/>
      <c r="EW225" s="315"/>
      <c r="EX225" s="576">
        <f>SUM(FC44:FC216)</f>
        <v>0</v>
      </c>
      <c r="EY225" s="315"/>
      <c r="EZ225" s="316"/>
      <c r="FA225" s="316"/>
      <c r="FB225" s="315"/>
      <c r="FC225" s="315"/>
      <c r="FD225" s="576">
        <f>SUM(FI44:FI216)</f>
        <v>0</v>
      </c>
      <c r="FE225" s="315"/>
      <c r="FF225" s="316"/>
      <c r="FG225" s="316"/>
      <c r="FH225" s="315"/>
      <c r="FI225" s="315"/>
      <c r="FJ225" s="576">
        <f>SUM(FO44:FO216)</f>
        <v>0</v>
      </c>
      <c r="FK225" s="315"/>
      <c r="FL225" s="316"/>
      <c r="FM225" s="316"/>
      <c r="FN225" s="315"/>
      <c r="FO225" s="315"/>
      <c r="FP225" s="576">
        <f>SUM(FU44:FU216)</f>
        <v>0</v>
      </c>
      <c r="FQ225" s="315"/>
      <c r="FR225" s="316"/>
      <c r="FS225" s="316"/>
      <c r="FT225" s="315"/>
      <c r="FU225" s="315"/>
      <c r="FV225" s="576">
        <f>SUM(GA44:GA216)</f>
        <v>0</v>
      </c>
      <c r="FW225" s="315"/>
      <c r="FX225" s="316"/>
      <c r="FY225" s="316"/>
      <c r="FZ225" s="315"/>
      <c r="GA225" s="315"/>
      <c r="GB225" s="576">
        <f>SUM(GG44:GG216)</f>
        <v>0</v>
      </c>
      <c r="GC225" s="315"/>
      <c r="GD225" s="316"/>
      <c r="GE225" s="316"/>
      <c r="GF225" s="315"/>
      <c r="GG225" s="315"/>
      <c r="GH225" s="576">
        <f>SUM(GM44:GM216)</f>
        <v>0</v>
      </c>
      <c r="GI225" s="315"/>
      <c r="GJ225" s="316"/>
      <c r="GK225" s="316"/>
      <c r="GL225" s="315"/>
      <c r="GM225" s="315"/>
      <c r="GN225" s="576">
        <f>SUM(GS44:GS216)</f>
        <v>0</v>
      </c>
      <c r="GO225" s="315"/>
      <c r="GP225" s="316"/>
      <c r="GQ225" s="316"/>
      <c r="GR225" s="315"/>
      <c r="GS225" s="315"/>
      <c r="GT225" s="576">
        <f>SUM(GY44:GY216)</f>
        <v>0</v>
      </c>
      <c r="GU225" s="315"/>
      <c r="GV225" s="316"/>
      <c r="GW225" s="316"/>
      <c r="GX225" s="315"/>
      <c r="GY225" s="315"/>
      <c r="GZ225" s="578">
        <f>SUM(HE44:HE216)</f>
        <v>0</v>
      </c>
      <c r="HA225" s="532"/>
      <c r="HB225" s="530"/>
      <c r="HC225" s="530"/>
      <c r="HD225" s="532"/>
      <c r="HE225" s="532"/>
      <c r="HF225" s="546"/>
      <c r="HG225" s="547"/>
      <c r="HH225" s="547"/>
      <c r="HI225" s="547"/>
      <c r="HJ225" s="547"/>
    </row>
    <row r="226" spans="1:218" s="565" customFormat="1" ht="20.25" customHeight="1">
      <c r="A226" s="55"/>
      <c r="B226" s="123"/>
      <c r="C226" s="830"/>
      <c r="D226" s="830"/>
      <c r="E226" s="830"/>
      <c r="F226" s="830"/>
      <c r="G226" s="830"/>
      <c r="H226" s="830"/>
      <c r="I226" s="830"/>
      <c r="J226" s="830"/>
      <c r="K226" s="830"/>
      <c r="L226" s="830"/>
      <c r="M226" s="537"/>
      <c r="N226" s="583" t="s">
        <v>516</v>
      </c>
      <c r="O226" s="584"/>
      <c r="P226" s="584"/>
      <c r="Q226" s="584"/>
      <c r="R226" s="584"/>
      <c r="S226" s="584"/>
      <c r="T226" s="584"/>
      <c r="U226" s="585"/>
      <c r="V226" s="585"/>
      <c r="W226" s="586"/>
      <c r="X226" s="587"/>
      <c r="Y226" s="587"/>
      <c r="Z226" s="586"/>
      <c r="AA226" s="586"/>
      <c r="AB226" s="585"/>
      <c r="AC226" s="586"/>
      <c r="AD226" s="587"/>
      <c r="AE226" s="587"/>
      <c r="AF226" s="586"/>
      <c r="AG226" s="586"/>
      <c r="AH226" s="585"/>
      <c r="AI226" s="586"/>
      <c r="AJ226" s="587"/>
      <c r="AK226" s="587"/>
      <c r="AL226" s="586"/>
      <c r="AM226" s="586"/>
      <c r="AN226" s="585">
        <v>0</v>
      </c>
      <c r="AO226" s="586"/>
      <c r="AP226" s="587"/>
      <c r="AQ226" s="587"/>
      <c r="AR226" s="586"/>
      <c r="AS226" s="586"/>
      <c r="AT226" s="588">
        <f>AN226+AT251</f>
        <v>34573.11675120001</v>
      </c>
      <c r="AU226" s="552"/>
      <c r="AV226" s="553"/>
      <c r="AW226" s="553"/>
      <c r="AX226" s="552"/>
      <c r="AY226" s="552"/>
      <c r="AZ226" s="589">
        <f>AT226+AZ251</f>
        <v>69272.342165600014</v>
      </c>
      <c r="BA226" s="313"/>
      <c r="BB226" s="314"/>
      <c r="BC226" s="314"/>
      <c r="BD226" s="313"/>
      <c r="BE226" s="313"/>
      <c r="BF226" s="589">
        <f>AZ226+BF251</f>
        <v>106000.20758000002</v>
      </c>
      <c r="BG226" s="313"/>
      <c r="BH226" s="314"/>
      <c r="BI226" s="314"/>
      <c r="BJ226" s="313"/>
      <c r="BK226" s="313"/>
      <c r="BL226" s="589">
        <f>BF226+BL251</f>
        <v>142728.07299440002</v>
      </c>
      <c r="BM226" s="313"/>
      <c r="BN226" s="314"/>
      <c r="BO226" s="314"/>
      <c r="BP226" s="313"/>
      <c r="BQ226" s="313"/>
      <c r="BR226" s="589">
        <f>BL226+BR251</f>
        <v>179455.93840880002</v>
      </c>
      <c r="BS226" s="552"/>
      <c r="BT226" s="553"/>
      <c r="BU226" s="553"/>
      <c r="BV226" s="552"/>
      <c r="BW226" s="552"/>
      <c r="BX226" s="589">
        <f>BR226+BX251</f>
        <v>216175.96702320004</v>
      </c>
      <c r="BY226" s="313"/>
      <c r="BZ226" s="314"/>
      <c r="CA226" s="314"/>
      <c r="CB226" s="313"/>
      <c r="CC226" s="313"/>
      <c r="CD226" s="589">
        <f>BX226+CD251</f>
        <v>252895.99563760005</v>
      </c>
      <c r="CE226" s="313"/>
      <c r="CF226" s="314"/>
      <c r="CG226" s="314"/>
      <c r="CH226" s="313"/>
      <c r="CI226" s="313"/>
      <c r="CJ226" s="589">
        <f>CD226+CJ251</f>
        <v>289616.02425200003</v>
      </c>
      <c r="CK226" s="313"/>
      <c r="CL226" s="314"/>
      <c r="CM226" s="314"/>
      <c r="CN226" s="313"/>
      <c r="CO226" s="313"/>
      <c r="CP226" s="589">
        <f>CJ226+CP251</f>
        <v>326336.05286640004</v>
      </c>
      <c r="CQ226" s="554"/>
      <c r="CR226" s="553"/>
      <c r="CS226" s="553"/>
      <c r="CT226" s="554"/>
      <c r="CU226" s="554"/>
      <c r="CV226" s="589">
        <f>CP226+CV251</f>
        <v>363056.08148080006</v>
      </c>
      <c r="CW226" s="554"/>
      <c r="CX226" s="553"/>
      <c r="CY226" s="553"/>
      <c r="CZ226" s="554"/>
      <c r="DA226" s="554"/>
      <c r="DB226" s="589">
        <f>CV226+DB251</f>
        <v>399776.11009520007</v>
      </c>
      <c r="DC226" s="313"/>
      <c r="DD226" s="314"/>
      <c r="DE226" s="314"/>
      <c r="DF226" s="313"/>
      <c r="DG226" s="313"/>
      <c r="DH226" s="589">
        <f>DB226+DH251</f>
        <v>436496.13870960008</v>
      </c>
      <c r="DI226" s="313"/>
      <c r="DJ226" s="314"/>
      <c r="DK226" s="314"/>
      <c r="DL226" s="313"/>
      <c r="DM226" s="313"/>
      <c r="DN226" s="589">
        <f>DH226+DN251</f>
        <v>473216.1673240001</v>
      </c>
      <c r="DO226" s="313"/>
      <c r="DP226" s="314"/>
      <c r="DQ226" s="314"/>
      <c r="DR226" s="313"/>
      <c r="DS226" s="313"/>
      <c r="DT226" s="590">
        <f>DN226+DT251</f>
        <v>509936.19593840011</v>
      </c>
      <c r="DU226" s="313"/>
      <c r="DV226" s="314"/>
      <c r="DW226" s="314"/>
      <c r="DX226" s="313"/>
      <c r="DY226" s="313"/>
      <c r="DZ226" s="589">
        <f>DT226+DZ251</f>
        <v>546656.22455280018</v>
      </c>
      <c r="EA226" s="313"/>
      <c r="EB226" s="314"/>
      <c r="EC226" s="314"/>
      <c r="ED226" s="313"/>
      <c r="EE226" s="313"/>
      <c r="EF226" s="589">
        <f>DZ226+EF251</f>
        <v>583376.25316720014</v>
      </c>
      <c r="EG226" s="313"/>
      <c r="EH226" s="314"/>
      <c r="EI226" s="314"/>
      <c r="EJ226" s="313"/>
      <c r="EK226" s="313"/>
      <c r="EL226" s="589">
        <f>EF226+EL251</f>
        <v>620096.28178160009</v>
      </c>
      <c r="EM226" s="313"/>
      <c r="EN226" s="314"/>
      <c r="EO226" s="314"/>
      <c r="EP226" s="313"/>
      <c r="EQ226" s="313"/>
      <c r="ER226" s="589">
        <f>EL226+ER251</f>
        <v>620096.28178160009</v>
      </c>
      <c r="ES226" s="313"/>
      <c r="ET226" s="314"/>
      <c r="EU226" s="314"/>
      <c r="EV226" s="313"/>
      <c r="EW226" s="313"/>
      <c r="EX226" s="590">
        <f>ER226+EX251</f>
        <v>620096.28178160009</v>
      </c>
      <c r="EY226" s="313"/>
      <c r="EZ226" s="314"/>
      <c r="FA226" s="314"/>
      <c r="FB226" s="313"/>
      <c r="FC226" s="313"/>
      <c r="FD226" s="589">
        <f>EX226+FD251</f>
        <v>620096.28178160009</v>
      </c>
      <c r="FE226" s="313"/>
      <c r="FF226" s="314"/>
      <c r="FG226" s="314"/>
      <c r="FH226" s="313"/>
      <c r="FI226" s="313"/>
      <c r="FJ226" s="589">
        <f>FD226+FJ251</f>
        <v>620096.28178160009</v>
      </c>
      <c r="FK226" s="313"/>
      <c r="FL226" s="314"/>
      <c r="FM226" s="314"/>
      <c r="FN226" s="313"/>
      <c r="FO226" s="313"/>
      <c r="FP226" s="589">
        <f>FJ226+FP251</f>
        <v>620096.28178160009</v>
      </c>
      <c r="FQ226" s="313"/>
      <c r="FR226" s="314"/>
      <c r="FS226" s="314"/>
      <c r="FT226" s="313"/>
      <c r="FU226" s="313"/>
      <c r="FV226" s="589">
        <f>FP226+FV251</f>
        <v>620096.28178160009</v>
      </c>
      <c r="FW226" s="313"/>
      <c r="FX226" s="314"/>
      <c r="FY226" s="314"/>
      <c r="FZ226" s="313"/>
      <c r="GA226" s="313"/>
      <c r="GB226" s="590">
        <f>FV226+GB251</f>
        <v>620096.28178160009</v>
      </c>
      <c r="GC226" s="313"/>
      <c r="GD226" s="314"/>
      <c r="GE226" s="314"/>
      <c r="GF226" s="313"/>
      <c r="GG226" s="313"/>
      <c r="GH226" s="589">
        <f>GB226+GH251</f>
        <v>620096.28178160009</v>
      </c>
      <c r="GI226" s="313"/>
      <c r="GJ226" s="314"/>
      <c r="GK226" s="314"/>
      <c r="GL226" s="313"/>
      <c r="GM226" s="313"/>
      <c r="GN226" s="589">
        <f>GH226+GN251</f>
        <v>620096.28178160009</v>
      </c>
      <c r="GO226" s="313"/>
      <c r="GP226" s="314"/>
      <c r="GQ226" s="314"/>
      <c r="GR226" s="313"/>
      <c r="GS226" s="313"/>
      <c r="GT226" s="589">
        <f>GN226+GT251</f>
        <v>620096.28178160009</v>
      </c>
      <c r="GU226" s="313"/>
      <c r="GV226" s="314"/>
      <c r="GW226" s="314"/>
      <c r="GX226" s="313"/>
      <c r="GY226" s="313"/>
      <c r="GZ226" s="591">
        <f>GT226+GZ251</f>
        <v>620096.28178160009</v>
      </c>
      <c r="HA226" s="532"/>
      <c r="HB226" s="530"/>
      <c r="HC226" s="530"/>
      <c r="HD226" s="532"/>
      <c r="HE226" s="532"/>
      <c r="HF226" s="546"/>
      <c r="HG226" s="547"/>
      <c r="HH226" s="547"/>
      <c r="HI226" s="547"/>
      <c r="HJ226" s="547"/>
    </row>
    <row r="227" spans="1:218" s="565" customFormat="1" ht="7.5" customHeight="1">
      <c r="A227" s="55"/>
      <c r="B227" s="123"/>
      <c r="C227" s="830"/>
      <c r="D227" s="830"/>
      <c r="E227" s="830"/>
      <c r="F227" s="830"/>
      <c r="G227" s="830"/>
      <c r="H227" s="830"/>
      <c r="I227" s="830"/>
      <c r="J227" s="830"/>
      <c r="K227" s="830"/>
      <c r="L227" s="830"/>
      <c r="M227" s="537"/>
      <c r="N227" s="592"/>
      <c r="O227" s="593"/>
      <c r="P227" s="593"/>
      <c r="Q227" s="593"/>
      <c r="R227" s="593"/>
      <c r="S227" s="593"/>
      <c r="T227" s="593"/>
      <c r="U227" s="594"/>
      <c r="V227" s="594"/>
      <c r="W227" s="595"/>
      <c r="X227" s="596"/>
      <c r="Y227" s="596"/>
      <c r="Z227" s="595"/>
      <c r="AA227" s="595"/>
      <c r="AB227" s="594"/>
      <c r="AC227" s="597"/>
      <c r="AD227" s="598"/>
      <c r="AE227" s="598"/>
      <c r="AF227" s="597"/>
      <c r="AG227" s="597"/>
      <c r="AH227" s="594"/>
      <c r="AI227" s="595"/>
      <c r="AJ227" s="596"/>
      <c r="AK227" s="596"/>
      <c r="AL227" s="595"/>
      <c r="AM227" s="595"/>
      <c r="AN227" s="594"/>
      <c r="AO227" s="439"/>
      <c r="AP227" s="530"/>
      <c r="AQ227" s="530"/>
      <c r="AR227" s="439"/>
      <c r="AS227" s="439"/>
      <c r="AT227" s="593"/>
      <c r="AU227" s="15"/>
      <c r="AV227" s="16"/>
      <c r="AW227" s="16"/>
      <c r="AX227" s="15"/>
      <c r="AY227" s="15"/>
      <c r="AZ227" s="593"/>
      <c r="BA227" s="15"/>
      <c r="BB227" s="16"/>
      <c r="BC227" s="16"/>
      <c r="BD227" s="15"/>
      <c r="BE227" s="15"/>
      <c r="BF227" s="593"/>
      <c r="BG227" s="15"/>
      <c r="BH227" s="16"/>
      <c r="BI227" s="16"/>
      <c r="BJ227" s="15"/>
      <c r="BK227" s="15"/>
      <c r="BL227" s="593"/>
      <c r="BM227" s="15"/>
      <c r="BN227" s="16"/>
      <c r="BO227" s="16"/>
      <c r="BP227" s="15"/>
      <c r="BQ227" s="15"/>
      <c r="BR227" s="593"/>
      <c r="BS227" s="15"/>
      <c r="BT227" s="16"/>
      <c r="BU227" s="16"/>
      <c r="BV227" s="15"/>
      <c r="BW227" s="15"/>
      <c r="BX227" s="593"/>
      <c r="BY227" s="15"/>
      <c r="BZ227" s="16"/>
      <c r="CA227" s="16"/>
      <c r="CB227" s="15"/>
      <c r="CC227" s="15"/>
      <c r="CD227" s="593"/>
      <c r="CE227" s="15"/>
      <c r="CF227" s="16"/>
      <c r="CG227" s="16"/>
      <c r="CH227" s="15"/>
      <c r="CI227" s="15"/>
      <c r="CJ227" s="593"/>
      <c r="CK227" s="15"/>
      <c r="CL227" s="16"/>
      <c r="CM227" s="16"/>
      <c r="CN227" s="15"/>
      <c r="CO227" s="15"/>
      <c r="CP227" s="593"/>
      <c r="CQ227" s="15"/>
      <c r="CR227" s="16"/>
      <c r="CS227" s="16"/>
      <c r="CT227" s="15"/>
      <c r="CU227" s="15"/>
      <c r="CV227" s="593"/>
      <c r="CW227" s="532"/>
      <c r="CX227" s="530"/>
      <c r="CY227" s="530"/>
      <c r="CZ227" s="532"/>
      <c r="DA227" s="532"/>
      <c r="DB227" s="593"/>
      <c r="DC227" s="15"/>
      <c r="DD227" s="16"/>
      <c r="DE227" s="16"/>
      <c r="DF227" s="15"/>
      <c r="DG227" s="15"/>
      <c r="DH227" s="593"/>
      <c r="DI227" s="15"/>
      <c r="DJ227" s="16"/>
      <c r="DK227" s="16"/>
      <c r="DL227" s="15"/>
      <c r="DM227" s="15"/>
      <c r="DN227" s="593"/>
      <c r="DO227" s="15"/>
      <c r="DP227" s="16"/>
      <c r="DQ227" s="16"/>
      <c r="DR227" s="15"/>
      <c r="DS227" s="15"/>
      <c r="DT227" s="593"/>
      <c r="DU227" s="15"/>
      <c r="DV227" s="16"/>
      <c r="DW227" s="16"/>
      <c r="DX227" s="15"/>
      <c r="DY227" s="15"/>
      <c r="DZ227" s="593"/>
      <c r="EA227" s="15"/>
      <c r="EB227" s="16"/>
      <c r="EC227" s="16"/>
      <c r="ED227" s="15"/>
      <c r="EE227" s="15"/>
      <c r="EF227" s="593"/>
      <c r="EG227" s="15"/>
      <c r="EH227" s="16"/>
      <c r="EI227" s="16"/>
      <c r="EJ227" s="15"/>
      <c r="EK227" s="15"/>
      <c r="EL227" s="593"/>
      <c r="EM227" s="15"/>
      <c r="EN227" s="16"/>
      <c r="EO227" s="16"/>
      <c r="EP227" s="15"/>
      <c r="EQ227" s="15"/>
      <c r="ER227" s="593"/>
      <c r="ES227" s="15"/>
      <c r="ET227" s="16"/>
      <c r="EU227" s="16"/>
      <c r="EV227" s="15"/>
      <c r="EW227" s="15"/>
      <c r="EX227" s="593"/>
      <c r="EY227" s="15"/>
      <c r="EZ227" s="16"/>
      <c r="FA227" s="16"/>
      <c r="FB227" s="15"/>
      <c r="FC227" s="15"/>
      <c r="FD227" s="593"/>
      <c r="FE227" s="15"/>
      <c r="FF227" s="16"/>
      <c r="FG227" s="16"/>
      <c r="FH227" s="15"/>
      <c r="FI227" s="15"/>
      <c r="FJ227" s="593"/>
      <c r="FK227" s="15"/>
      <c r="FL227" s="16"/>
      <c r="FM227" s="16"/>
      <c r="FN227" s="15"/>
      <c r="FO227" s="15"/>
      <c r="FP227" s="593"/>
      <c r="FQ227" s="15"/>
      <c r="FR227" s="16"/>
      <c r="FS227" s="16"/>
      <c r="FT227" s="15"/>
      <c r="FU227" s="15"/>
      <c r="FV227" s="593"/>
      <c r="FW227" s="15"/>
      <c r="FX227" s="16"/>
      <c r="FY227" s="16"/>
      <c r="FZ227" s="15"/>
      <c r="GA227" s="15"/>
      <c r="GB227" s="593"/>
      <c r="GC227" s="15"/>
      <c r="GD227" s="16"/>
      <c r="GE227" s="16"/>
      <c r="GF227" s="15"/>
      <c r="GG227" s="15"/>
      <c r="GH227" s="593"/>
      <c r="GI227" s="15"/>
      <c r="GJ227" s="16"/>
      <c r="GK227" s="16"/>
      <c r="GL227" s="15"/>
      <c r="GM227" s="15"/>
      <c r="GN227" s="593"/>
      <c r="GO227" s="15"/>
      <c r="GP227" s="16"/>
      <c r="GQ227" s="16"/>
      <c r="GR227" s="15"/>
      <c r="GS227" s="15"/>
      <c r="GT227" s="593"/>
      <c r="GU227" s="15"/>
      <c r="GV227" s="16"/>
      <c r="GW227" s="16"/>
      <c r="GX227" s="15"/>
      <c r="GY227" s="15"/>
      <c r="GZ227" s="593"/>
      <c r="HA227" s="532"/>
      <c r="HB227" s="530"/>
      <c r="HC227" s="530"/>
      <c r="HD227" s="532"/>
      <c r="HE227" s="532"/>
      <c r="HF227" s="546"/>
      <c r="HG227" s="547"/>
      <c r="HH227" s="547"/>
      <c r="HI227" s="547"/>
      <c r="HJ227" s="547"/>
    </row>
    <row r="228" spans="1:218" s="565" customFormat="1" ht="21.75" customHeight="1">
      <c r="A228" s="55"/>
      <c r="B228" s="123"/>
      <c r="C228" s="830"/>
      <c r="D228" s="830"/>
      <c r="E228" s="830"/>
      <c r="F228" s="830"/>
      <c r="G228" s="830"/>
      <c r="H228" s="830"/>
      <c r="I228" s="830"/>
      <c r="J228" s="830"/>
      <c r="K228" s="830"/>
      <c r="L228" s="830"/>
      <c r="M228" s="537"/>
      <c r="N228" s="599" t="s">
        <v>509</v>
      </c>
      <c r="O228" s="600"/>
      <c r="P228" s="600"/>
      <c r="Q228" s="600"/>
      <c r="R228" s="600"/>
      <c r="S228" s="600"/>
      <c r="T228" s="600"/>
      <c r="U228" s="558"/>
      <c r="V228" s="558"/>
      <c r="W228" s="439"/>
      <c r="X228" s="530"/>
      <c r="Y228" s="530"/>
      <c r="Z228" s="439"/>
      <c r="AA228" s="439"/>
      <c r="AB228" s="558"/>
      <c r="AC228" s="15"/>
      <c r="AD228" s="16"/>
      <c r="AE228" s="16"/>
      <c r="AF228" s="15"/>
      <c r="AG228" s="15"/>
      <c r="AH228" s="558"/>
      <c r="AI228" s="439"/>
      <c r="AJ228" s="530"/>
      <c r="AK228" s="530"/>
      <c r="AL228" s="439"/>
      <c r="AM228" s="439"/>
      <c r="AN228" s="559"/>
      <c r="AO228" s="560"/>
      <c r="AP228" s="561"/>
      <c r="AQ228" s="561"/>
      <c r="AR228" s="560"/>
      <c r="AS228" s="560"/>
      <c r="AT228" s="540">
        <f>SUM(AW44:AW216)</f>
        <v>123176.0628</v>
      </c>
      <c r="AU228" s="542"/>
      <c r="AV228" s="543"/>
      <c r="AW228" s="543"/>
      <c r="AX228" s="542"/>
      <c r="AY228" s="542"/>
      <c r="AZ228" s="541">
        <f>SUM(BC44:BC216)</f>
        <v>496.49079999999998</v>
      </c>
      <c r="BA228" s="311"/>
      <c r="BB228" s="312"/>
      <c r="BC228" s="312"/>
      <c r="BD228" s="311"/>
      <c r="BE228" s="311"/>
      <c r="BF228" s="541">
        <f>SUM(BI44:BI216)</f>
        <v>0</v>
      </c>
      <c r="BG228" s="311"/>
      <c r="BH228" s="312"/>
      <c r="BI228" s="312"/>
      <c r="BJ228" s="311"/>
      <c r="BK228" s="311"/>
      <c r="BL228" s="541">
        <f>SUM(BO44:BO216)</f>
        <v>0</v>
      </c>
      <c r="BM228" s="311"/>
      <c r="BN228" s="312"/>
      <c r="BO228" s="312"/>
      <c r="BP228" s="311"/>
      <c r="BQ228" s="311"/>
      <c r="BR228" s="541">
        <f>SUM(BU44:BU216)</f>
        <v>0</v>
      </c>
      <c r="BS228" s="542"/>
      <c r="BT228" s="543"/>
      <c r="BU228" s="543"/>
      <c r="BV228" s="542"/>
      <c r="BW228" s="542"/>
      <c r="BX228" s="541">
        <f>SUM(CA44:CA216)</f>
        <v>0</v>
      </c>
      <c r="BY228" s="311"/>
      <c r="BZ228" s="312"/>
      <c r="CA228" s="312"/>
      <c r="CB228" s="311"/>
      <c r="CC228" s="311"/>
      <c r="CD228" s="541">
        <f>SUM(CG44:CG216)</f>
        <v>0</v>
      </c>
      <c r="CE228" s="311"/>
      <c r="CF228" s="312"/>
      <c r="CG228" s="312"/>
      <c r="CH228" s="311"/>
      <c r="CI228" s="311"/>
      <c r="CJ228" s="541">
        <f>SUM(CM44:CM216)</f>
        <v>0</v>
      </c>
      <c r="CK228" s="311"/>
      <c r="CL228" s="312"/>
      <c r="CM228" s="312"/>
      <c r="CN228" s="311"/>
      <c r="CO228" s="311"/>
      <c r="CP228" s="541">
        <f>SUM(CS44:CS216)</f>
        <v>0</v>
      </c>
      <c r="CQ228" s="544"/>
      <c r="CR228" s="543"/>
      <c r="CS228" s="543"/>
      <c r="CT228" s="544"/>
      <c r="CU228" s="544"/>
      <c r="CV228" s="541">
        <f>SUM(CY44:CY216)</f>
        <v>0</v>
      </c>
      <c r="CW228" s="544"/>
      <c r="CX228" s="543"/>
      <c r="CY228" s="543"/>
      <c r="CZ228" s="544"/>
      <c r="DA228" s="544"/>
      <c r="DB228" s="541">
        <f>SUM(DE44:DE216)</f>
        <v>0</v>
      </c>
      <c r="DC228" s="311"/>
      <c r="DD228" s="312"/>
      <c r="DE228" s="312"/>
      <c r="DF228" s="311"/>
      <c r="DG228" s="311"/>
      <c r="DH228" s="541">
        <f>SUM(DK44:DK216)</f>
        <v>0</v>
      </c>
      <c r="DI228" s="311"/>
      <c r="DJ228" s="312"/>
      <c r="DK228" s="312"/>
      <c r="DL228" s="311"/>
      <c r="DM228" s="311"/>
      <c r="DN228" s="541">
        <f>SUM(DQ44:DQ216)</f>
        <v>0</v>
      </c>
      <c r="DO228" s="311"/>
      <c r="DP228" s="312"/>
      <c r="DQ228" s="312"/>
      <c r="DR228" s="311"/>
      <c r="DS228" s="311"/>
      <c r="DT228" s="541">
        <f>SUM(DW44:DW216)</f>
        <v>0</v>
      </c>
      <c r="DU228" s="311"/>
      <c r="DV228" s="312"/>
      <c r="DW228" s="312"/>
      <c r="DX228" s="311"/>
      <c r="DY228" s="311"/>
      <c r="DZ228" s="541">
        <f>SUM(EC44:EC216)</f>
        <v>0</v>
      </c>
      <c r="EA228" s="311"/>
      <c r="EB228" s="312"/>
      <c r="EC228" s="312"/>
      <c r="ED228" s="311"/>
      <c r="EE228" s="311"/>
      <c r="EF228" s="541">
        <f>SUM(EI44:EI216)</f>
        <v>0</v>
      </c>
      <c r="EG228" s="311"/>
      <c r="EH228" s="312"/>
      <c r="EI228" s="312"/>
      <c r="EJ228" s="311"/>
      <c r="EK228" s="311"/>
      <c r="EL228" s="541">
        <f>SUM(EO44:EO216)</f>
        <v>0</v>
      </c>
      <c r="EM228" s="311"/>
      <c r="EN228" s="312"/>
      <c r="EO228" s="312"/>
      <c r="EP228" s="311"/>
      <c r="EQ228" s="311"/>
      <c r="ER228" s="541">
        <f>SUM(EU44:EU216)</f>
        <v>0</v>
      </c>
      <c r="ES228" s="311"/>
      <c r="ET228" s="312"/>
      <c r="EU228" s="312"/>
      <c r="EV228" s="311"/>
      <c r="EW228" s="311"/>
      <c r="EX228" s="541">
        <f>SUM(FA44:FA216)</f>
        <v>0</v>
      </c>
      <c r="EY228" s="311"/>
      <c r="EZ228" s="312"/>
      <c r="FA228" s="312"/>
      <c r="FB228" s="311"/>
      <c r="FC228" s="311"/>
      <c r="FD228" s="541">
        <f>SUM(FG44:FG216)</f>
        <v>0</v>
      </c>
      <c r="FE228" s="311"/>
      <c r="FF228" s="312"/>
      <c r="FG228" s="312"/>
      <c r="FH228" s="311"/>
      <c r="FI228" s="311"/>
      <c r="FJ228" s="541">
        <f>SUM(FM44:FM216)</f>
        <v>0</v>
      </c>
      <c r="FK228" s="311"/>
      <c r="FL228" s="312"/>
      <c r="FM228" s="312"/>
      <c r="FN228" s="311"/>
      <c r="FO228" s="311"/>
      <c r="FP228" s="541">
        <f>SUM(FS44:FS216)</f>
        <v>0</v>
      </c>
      <c r="FQ228" s="311"/>
      <c r="FR228" s="312"/>
      <c r="FS228" s="312"/>
      <c r="FT228" s="311"/>
      <c r="FU228" s="311"/>
      <c r="FV228" s="541">
        <f>SUM(FY44:FY216)</f>
        <v>0</v>
      </c>
      <c r="FW228" s="311"/>
      <c r="FX228" s="312"/>
      <c r="FY228" s="312"/>
      <c r="FZ228" s="311"/>
      <c r="GA228" s="311"/>
      <c r="GB228" s="541">
        <f>SUM(GE44:GE216)</f>
        <v>0</v>
      </c>
      <c r="GC228" s="311"/>
      <c r="GD228" s="312"/>
      <c r="GE228" s="312"/>
      <c r="GF228" s="311"/>
      <c r="GG228" s="311"/>
      <c r="GH228" s="541">
        <f>SUM(GK44:GK216)</f>
        <v>0</v>
      </c>
      <c r="GI228" s="311"/>
      <c r="GJ228" s="312"/>
      <c r="GK228" s="312"/>
      <c r="GL228" s="311"/>
      <c r="GM228" s="311"/>
      <c r="GN228" s="541">
        <f>SUM(GQ44:GQ216)</f>
        <v>0</v>
      </c>
      <c r="GO228" s="311"/>
      <c r="GP228" s="312"/>
      <c r="GQ228" s="312"/>
      <c r="GR228" s="311"/>
      <c r="GS228" s="311"/>
      <c r="GT228" s="541">
        <f>SUM(GW44:GW216)</f>
        <v>0</v>
      </c>
      <c r="GU228" s="311"/>
      <c r="GV228" s="312"/>
      <c r="GW228" s="312"/>
      <c r="GX228" s="311"/>
      <c r="GY228" s="311"/>
      <c r="GZ228" s="545">
        <f>SUM(HC44:HC216)</f>
        <v>0</v>
      </c>
      <c r="HA228" s="532"/>
      <c r="HB228" s="530"/>
      <c r="HC228" s="530"/>
      <c r="HD228" s="532"/>
      <c r="HE228" s="532"/>
      <c r="HF228" s="546"/>
      <c r="HG228" s="547"/>
      <c r="HH228" s="547"/>
      <c r="HI228" s="547"/>
      <c r="HJ228" s="547"/>
    </row>
    <row r="229" spans="1:218" s="565" customFormat="1" ht="24.95" customHeight="1">
      <c r="A229" s="55"/>
      <c r="B229" s="123"/>
      <c r="C229" s="830"/>
      <c r="D229" s="830"/>
      <c r="E229" s="830"/>
      <c r="F229" s="830"/>
      <c r="G229" s="830"/>
      <c r="H229" s="830"/>
      <c r="I229" s="830"/>
      <c r="J229" s="830"/>
      <c r="K229" s="830"/>
      <c r="L229" s="830"/>
      <c r="M229" s="537"/>
      <c r="N229" s="601" t="s">
        <v>497</v>
      </c>
      <c r="O229" s="602"/>
      <c r="P229" s="602"/>
      <c r="Q229" s="602"/>
      <c r="R229" s="602"/>
      <c r="S229" s="602"/>
      <c r="T229" s="602"/>
      <c r="U229" s="603">
        <f>U$31</f>
        <v>190958</v>
      </c>
      <c r="V229" s="604">
        <f>V$31</f>
        <v>190958</v>
      </c>
      <c r="W229" s="605"/>
      <c r="X229" s="606"/>
      <c r="Y229" s="606"/>
      <c r="Z229" s="605"/>
      <c r="AA229" s="605"/>
      <c r="AB229" s="604">
        <f>AB$31</f>
        <v>190958</v>
      </c>
      <c r="AC229" s="607"/>
      <c r="AD229" s="608"/>
      <c r="AE229" s="608"/>
      <c r="AF229" s="607"/>
      <c r="AG229" s="607"/>
      <c r="AH229" s="604">
        <f>AH$31</f>
        <v>190958</v>
      </c>
      <c r="AI229" s="605"/>
      <c r="AJ229" s="606"/>
      <c r="AK229" s="606"/>
      <c r="AL229" s="605"/>
      <c r="AM229" s="605"/>
      <c r="AN229" s="604">
        <f>AN$31</f>
        <v>190958</v>
      </c>
      <c r="AO229" s="439"/>
      <c r="AP229" s="530"/>
      <c r="AQ229" s="530"/>
      <c r="AR229" s="439"/>
      <c r="AS229" s="439"/>
      <c r="AT229" s="609">
        <f t="shared" ref="AT229:DE229" si="262">IF(AT222=0,0,IF(AT31&gt;0,AT31,AN229-AT228))</f>
        <v>67781.9372</v>
      </c>
      <c r="AU229" s="609">
        <f t="shared" si="262"/>
        <v>0</v>
      </c>
      <c r="AV229" s="609">
        <f t="shared" si="262"/>
        <v>0</v>
      </c>
      <c r="AW229" s="609">
        <f t="shared" si="262"/>
        <v>0</v>
      </c>
      <c r="AX229" s="609">
        <f t="shared" si="262"/>
        <v>0</v>
      </c>
      <c r="AY229" s="609">
        <f t="shared" si="262"/>
        <v>0</v>
      </c>
      <c r="AZ229" s="609">
        <f t="shared" si="262"/>
        <v>67285.446400000001</v>
      </c>
      <c r="BA229" s="609">
        <f t="shared" si="262"/>
        <v>0</v>
      </c>
      <c r="BB229" s="609">
        <f t="shared" si="262"/>
        <v>0</v>
      </c>
      <c r="BC229" s="609">
        <f t="shared" si="262"/>
        <v>0</v>
      </c>
      <c r="BD229" s="609">
        <f t="shared" si="262"/>
        <v>0</v>
      </c>
      <c r="BE229" s="609">
        <f t="shared" si="262"/>
        <v>0</v>
      </c>
      <c r="BF229" s="609">
        <f t="shared" si="262"/>
        <v>67285.446400000001</v>
      </c>
      <c r="BG229" s="609">
        <f t="shared" si="262"/>
        <v>0</v>
      </c>
      <c r="BH229" s="609">
        <f t="shared" si="262"/>
        <v>0</v>
      </c>
      <c r="BI229" s="609">
        <f t="shared" si="262"/>
        <v>0</v>
      </c>
      <c r="BJ229" s="609">
        <f t="shared" si="262"/>
        <v>0</v>
      </c>
      <c r="BK229" s="609">
        <f t="shared" si="262"/>
        <v>0</v>
      </c>
      <c r="BL229" s="609">
        <f t="shared" si="262"/>
        <v>67285.446400000001</v>
      </c>
      <c r="BM229" s="609">
        <f t="shared" si="262"/>
        <v>0</v>
      </c>
      <c r="BN229" s="609">
        <f t="shared" si="262"/>
        <v>0</v>
      </c>
      <c r="BO229" s="609">
        <f t="shared" si="262"/>
        <v>0</v>
      </c>
      <c r="BP229" s="609">
        <f t="shared" si="262"/>
        <v>0</v>
      </c>
      <c r="BQ229" s="609">
        <f t="shared" si="262"/>
        <v>0</v>
      </c>
      <c r="BR229" s="609">
        <f t="shared" si="262"/>
        <v>67285.446400000001</v>
      </c>
      <c r="BS229" s="609">
        <f t="shared" si="262"/>
        <v>0</v>
      </c>
      <c r="BT229" s="609">
        <f t="shared" si="262"/>
        <v>0</v>
      </c>
      <c r="BU229" s="609">
        <f t="shared" si="262"/>
        <v>0</v>
      </c>
      <c r="BV229" s="609">
        <f t="shared" si="262"/>
        <v>0</v>
      </c>
      <c r="BW229" s="609">
        <f t="shared" si="262"/>
        <v>0</v>
      </c>
      <c r="BX229" s="609">
        <f t="shared" si="262"/>
        <v>67285.446400000001</v>
      </c>
      <c r="BY229" s="609">
        <f t="shared" si="262"/>
        <v>0</v>
      </c>
      <c r="BZ229" s="609">
        <f t="shared" si="262"/>
        <v>0</v>
      </c>
      <c r="CA229" s="609">
        <f t="shared" si="262"/>
        <v>0</v>
      </c>
      <c r="CB229" s="609">
        <f t="shared" si="262"/>
        <v>0</v>
      </c>
      <c r="CC229" s="609">
        <f t="shared" si="262"/>
        <v>0</v>
      </c>
      <c r="CD229" s="609">
        <f t="shared" si="262"/>
        <v>67285.446400000001</v>
      </c>
      <c r="CE229" s="609">
        <f t="shared" si="262"/>
        <v>0</v>
      </c>
      <c r="CF229" s="609">
        <f t="shared" si="262"/>
        <v>0</v>
      </c>
      <c r="CG229" s="609">
        <f t="shared" si="262"/>
        <v>0</v>
      </c>
      <c r="CH229" s="609">
        <f t="shared" si="262"/>
        <v>0</v>
      </c>
      <c r="CI229" s="609">
        <f t="shared" si="262"/>
        <v>0</v>
      </c>
      <c r="CJ229" s="609">
        <f t="shared" si="262"/>
        <v>67285.446400000001</v>
      </c>
      <c r="CK229" s="609">
        <f t="shared" si="262"/>
        <v>0</v>
      </c>
      <c r="CL229" s="609">
        <f t="shared" si="262"/>
        <v>0</v>
      </c>
      <c r="CM229" s="609">
        <f t="shared" si="262"/>
        <v>0</v>
      </c>
      <c r="CN229" s="609">
        <f t="shared" si="262"/>
        <v>0</v>
      </c>
      <c r="CO229" s="609">
        <f t="shared" si="262"/>
        <v>0</v>
      </c>
      <c r="CP229" s="609">
        <f t="shared" si="262"/>
        <v>67285.446400000001</v>
      </c>
      <c r="CQ229" s="609">
        <f t="shared" si="262"/>
        <v>0</v>
      </c>
      <c r="CR229" s="609">
        <f t="shared" si="262"/>
        <v>0</v>
      </c>
      <c r="CS229" s="609">
        <f t="shared" si="262"/>
        <v>0</v>
      </c>
      <c r="CT229" s="609">
        <f t="shared" si="262"/>
        <v>0</v>
      </c>
      <c r="CU229" s="609">
        <f t="shared" si="262"/>
        <v>0</v>
      </c>
      <c r="CV229" s="609">
        <f t="shared" si="262"/>
        <v>67285.446400000001</v>
      </c>
      <c r="CW229" s="609">
        <f t="shared" si="262"/>
        <v>0</v>
      </c>
      <c r="CX229" s="609">
        <f t="shared" si="262"/>
        <v>0</v>
      </c>
      <c r="CY229" s="609">
        <f t="shared" si="262"/>
        <v>0</v>
      </c>
      <c r="CZ229" s="609">
        <f t="shared" si="262"/>
        <v>0</v>
      </c>
      <c r="DA229" s="609">
        <f t="shared" si="262"/>
        <v>0</v>
      </c>
      <c r="DB229" s="609">
        <f t="shared" si="262"/>
        <v>67285.446400000001</v>
      </c>
      <c r="DC229" s="609">
        <f t="shared" si="262"/>
        <v>0</v>
      </c>
      <c r="DD229" s="609">
        <f t="shared" si="262"/>
        <v>0</v>
      </c>
      <c r="DE229" s="609">
        <f t="shared" si="262"/>
        <v>0</v>
      </c>
      <c r="DF229" s="609">
        <f t="shared" ref="DF229:FQ229" si="263">IF(DF222=0,0,IF(DF31&gt;0,DF31,CZ229-DF228))</f>
        <v>0</v>
      </c>
      <c r="DG229" s="609">
        <f t="shared" si="263"/>
        <v>0</v>
      </c>
      <c r="DH229" s="609">
        <f t="shared" si="263"/>
        <v>67285.446400000001</v>
      </c>
      <c r="DI229" s="609">
        <f t="shared" si="263"/>
        <v>0</v>
      </c>
      <c r="DJ229" s="609">
        <f t="shared" si="263"/>
        <v>0</v>
      </c>
      <c r="DK229" s="609">
        <f t="shared" si="263"/>
        <v>0</v>
      </c>
      <c r="DL229" s="609">
        <f t="shared" si="263"/>
        <v>0</v>
      </c>
      <c r="DM229" s="609">
        <f t="shared" si="263"/>
        <v>0</v>
      </c>
      <c r="DN229" s="609">
        <f t="shared" si="263"/>
        <v>67285.446400000001</v>
      </c>
      <c r="DO229" s="609">
        <f t="shared" si="263"/>
        <v>0</v>
      </c>
      <c r="DP229" s="609">
        <f t="shared" si="263"/>
        <v>0</v>
      </c>
      <c r="DQ229" s="609">
        <f t="shared" si="263"/>
        <v>0</v>
      </c>
      <c r="DR229" s="609">
        <f t="shared" si="263"/>
        <v>0</v>
      </c>
      <c r="DS229" s="609">
        <f t="shared" si="263"/>
        <v>0</v>
      </c>
      <c r="DT229" s="609">
        <f t="shared" si="263"/>
        <v>67285.446400000001</v>
      </c>
      <c r="DU229" s="609">
        <f t="shared" si="263"/>
        <v>0</v>
      </c>
      <c r="DV229" s="609">
        <f t="shared" si="263"/>
        <v>0</v>
      </c>
      <c r="DW229" s="609">
        <f t="shared" si="263"/>
        <v>0</v>
      </c>
      <c r="DX229" s="609">
        <f t="shared" si="263"/>
        <v>0</v>
      </c>
      <c r="DY229" s="609">
        <f t="shared" si="263"/>
        <v>0</v>
      </c>
      <c r="DZ229" s="609">
        <f t="shared" si="263"/>
        <v>67285.446400000001</v>
      </c>
      <c r="EA229" s="609">
        <f t="shared" si="263"/>
        <v>0</v>
      </c>
      <c r="EB229" s="609">
        <f t="shared" si="263"/>
        <v>0</v>
      </c>
      <c r="EC229" s="609">
        <f t="shared" si="263"/>
        <v>0</v>
      </c>
      <c r="ED229" s="609">
        <f t="shared" si="263"/>
        <v>0</v>
      </c>
      <c r="EE229" s="609">
        <f t="shared" si="263"/>
        <v>0</v>
      </c>
      <c r="EF229" s="609">
        <f t="shared" si="263"/>
        <v>67285.446400000001</v>
      </c>
      <c r="EG229" s="609">
        <f t="shared" si="263"/>
        <v>0</v>
      </c>
      <c r="EH229" s="609">
        <f t="shared" si="263"/>
        <v>0</v>
      </c>
      <c r="EI229" s="609">
        <f t="shared" si="263"/>
        <v>0</v>
      </c>
      <c r="EJ229" s="609">
        <f t="shared" si="263"/>
        <v>0</v>
      </c>
      <c r="EK229" s="609">
        <f t="shared" si="263"/>
        <v>0</v>
      </c>
      <c r="EL229" s="609">
        <f t="shared" si="263"/>
        <v>67285.446400000001</v>
      </c>
      <c r="EM229" s="609">
        <f t="shared" si="263"/>
        <v>0</v>
      </c>
      <c r="EN229" s="609">
        <f t="shared" si="263"/>
        <v>0</v>
      </c>
      <c r="EO229" s="609">
        <f t="shared" si="263"/>
        <v>0</v>
      </c>
      <c r="EP229" s="609">
        <f t="shared" si="263"/>
        <v>0</v>
      </c>
      <c r="EQ229" s="609">
        <f t="shared" si="263"/>
        <v>0</v>
      </c>
      <c r="ER229" s="609">
        <f t="shared" si="263"/>
        <v>0</v>
      </c>
      <c r="ES229" s="609">
        <f t="shared" si="263"/>
        <v>0</v>
      </c>
      <c r="ET229" s="609">
        <f t="shared" si="263"/>
        <v>0</v>
      </c>
      <c r="EU229" s="609">
        <f t="shared" si="263"/>
        <v>0</v>
      </c>
      <c r="EV229" s="609">
        <f t="shared" si="263"/>
        <v>0</v>
      </c>
      <c r="EW229" s="609">
        <f t="shared" si="263"/>
        <v>0</v>
      </c>
      <c r="EX229" s="609">
        <f t="shared" si="263"/>
        <v>0</v>
      </c>
      <c r="EY229" s="609">
        <f t="shared" si="263"/>
        <v>0</v>
      </c>
      <c r="EZ229" s="609">
        <f t="shared" si="263"/>
        <v>0</v>
      </c>
      <c r="FA229" s="609">
        <f t="shared" si="263"/>
        <v>0</v>
      </c>
      <c r="FB229" s="609">
        <f t="shared" si="263"/>
        <v>0</v>
      </c>
      <c r="FC229" s="609">
        <f t="shared" si="263"/>
        <v>0</v>
      </c>
      <c r="FD229" s="609">
        <f t="shared" si="263"/>
        <v>0</v>
      </c>
      <c r="FE229" s="609">
        <f t="shared" si="263"/>
        <v>0</v>
      </c>
      <c r="FF229" s="609">
        <f t="shared" si="263"/>
        <v>0</v>
      </c>
      <c r="FG229" s="609">
        <f t="shared" si="263"/>
        <v>0</v>
      </c>
      <c r="FH229" s="609">
        <f t="shared" si="263"/>
        <v>0</v>
      </c>
      <c r="FI229" s="609">
        <f t="shared" si="263"/>
        <v>0</v>
      </c>
      <c r="FJ229" s="609">
        <f t="shared" si="263"/>
        <v>0</v>
      </c>
      <c r="FK229" s="609">
        <f t="shared" si="263"/>
        <v>0</v>
      </c>
      <c r="FL229" s="609">
        <f t="shared" si="263"/>
        <v>0</v>
      </c>
      <c r="FM229" s="609">
        <f t="shared" si="263"/>
        <v>0</v>
      </c>
      <c r="FN229" s="609">
        <f t="shared" si="263"/>
        <v>0</v>
      </c>
      <c r="FO229" s="609">
        <f t="shared" si="263"/>
        <v>0</v>
      </c>
      <c r="FP229" s="609">
        <f t="shared" si="263"/>
        <v>0</v>
      </c>
      <c r="FQ229" s="609">
        <f t="shared" si="263"/>
        <v>0</v>
      </c>
      <c r="FR229" s="609">
        <f t="shared" ref="FR229:GZ229" si="264">IF(FR222=0,0,IF(FR31&gt;0,FR31,FL229-FR228))</f>
        <v>0</v>
      </c>
      <c r="FS229" s="609">
        <f t="shared" si="264"/>
        <v>0</v>
      </c>
      <c r="FT229" s="609">
        <f t="shared" si="264"/>
        <v>0</v>
      </c>
      <c r="FU229" s="609">
        <f t="shared" si="264"/>
        <v>0</v>
      </c>
      <c r="FV229" s="609">
        <f t="shared" si="264"/>
        <v>0</v>
      </c>
      <c r="FW229" s="609">
        <f t="shared" si="264"/>
        <v>0</v>
      </c>
      <c r="FX229" s="609">
        <f t="shared" si="264"/>
        <v>0</v>
      </c>
      <c r="FY229" s="609">
        <f t="shared" si="264"/>
        <v>0</v>
      </c>
      <c r="FZ229" s="609">
        <f t="shared" si="264"/>
        <v>0</v>
      </c>
      <c r="GA229" s="609">
        <f t="shared" si="264"/>
        <v>0</v>
      </c>
      <c r="GB229" s="609">
        <f t="shared" si="264"/>
        <v>0</v>
      </c>
      <c r="GC229" s="609">
        <f t="shared" si="264"/>
        <v>0</v>
      </c>
      <c r="GD229" s="609">
        <f t="shared" si="264"/>
        <v>0</v>
      </c>
      <c r="GE229" s="609">
        <f t="shared" si="264"/>
        <v>0</v>
      </c>
      <c r="GF229" s="609">
        <f t="shared" si="264"/>
        <v>0</v>
      </c>
      <c r="GG229" s="609">
        <f t="shared" si="264"/>
        <v>0</v>
      </c>
      <c r="GH229" s="609">
        <f t="shared" si="264"/>
        <v>0</v>
      </c>
      <c r="GI229" s="609">
        <f t="shared" si="264"/>
        <v>0</v>
      </c>
      <c r="GJ229" s="609">
        <f t="shared" si="264"/>
        <v>0</v>
      </c>
      <c r="GK229" s="609">
        <f t="shared" si="264"/>
        <v>0</v>
      </c>
      <c r="GL229" s="609">
        <f t="shared" si="264"/>
        <v>0</v>
      </c>
      <c r="GM229" s="609">
        <f t="shared" si="264"/>
        <v>0</v>
      </c>
      <c r="GN229" s="609">
        <f t="shared" si="264"/>
        <v>0</v>
      </c>
      <c r="GO229" s="609">
        <f t="shared" si="264"/>
        <v>0</v>
      </c>
      <c r="GP229" s="609">
        <f t="shared" si="264"/>
        <v>0</v>
      </c>
      <c r="GQ229" s="609">
        <f t="shared" si="264"/>
        <v>0</v>
      </c>
      <c r="GR229" s="609">
        <f t="shared" si="264"/>
        <v>0</v>
      </c>
      <c r="GS229" s="609">
        <f t="shared" si="264"/>
        <v>0</v>
      </c>
      <c r="GT229" s="609">
        <f t="shared" si="264"/>
        <v>0</v>
      </c>
      <c r="GU229" s="609">
        <f t="shared" si="264"/>
        <v>0</v>
      </c>
      <c r="GV229" s="609">
        <f t="shared" si="264"/>
        <v>0</v>
      </c>
      <c r="GW229" s="609">
        <f t="shared" si="264"/>
        <v>0</v>
      </c>
      <c r="GX229" s="609">
        <f t="shared" si="264"/>
        <v>0</v>
      </c>
      <c r="GY229" s="609">
        <f t="shared" si="264"/>
        <v>0</v>
      </c>
      <c r="GZ229" s="609">
        <f t="shared" si="264"/>
        <v>0</v>
      </c>
      <c r="HA229" s="532"/>
      <c r="HB229" s="530"/>
      <c r="HC229" s="530"/>
      <c r="HD229" s="532"/>
      <c r="HE229" s="532"/>
      <c r="HF229" s="546"/>
      <c r="HG229" s="547"/>
      <c r="HH229" s="547"/>
      <c r="HI229" s="547"/>
      <c r="HJ229" s="547"/>
    </row>
    <row r="230" spans="1:218" ht="24.95" customHeight="1">
      <c r="B230" s="123"/>
      <c r="C230" s="830"/>
      <c r="D230" s="830"/>
      <c r="E230" s="830"/>
      <c r="F230" s="830"/>
      <c r="G230" s="830"/>
      <c r="H230" s="830"/>
      <c r="I230" s="830"/>
      <c r="J230" s="830"/>
      <c r="K230" s="830"/>
      <c r="L230" s="830"/>
      <c r="M230" s="537"/>
      <c r="N230" s="601" t="s">
        <v>498</v>
      </c>
      <c r="O230" s="602"/>
      <c r="P230" s="602"/>
      <c r="Q230" s="602"/>
      <c r="R230" s="602"/>
      <c r="S230" s="602"/>
      <c r="T230" s="602"/>
      <c r="U230" s="603">
        <f>IF(U222=0,0,U229/U222)</f>
        <v>87.976374760430488</v>
      </c>
      <c r="V230" s="604">
        <f>(IF(V222=0,0,V229/V222))</f>
        <v>87.976374760430488</v>
      </c>
      <c r="W230" s="611"/>
      <c r="X230" s="612"/>
      <c r="Y230" s="612"/>
      <c r="Z230" s="611"/>
      <c r="AA230" s="611"/>
      <c r="AB230" s="604">
        <f>(IF(AB222=0,0,AB229/AB222))</f>
        <v>87.976374760430488</v>
      </c>
      <c r="AC230" s="611"/>
      <c r="AD230" s="612"/>
      <c r="AE230" s="612"/>
      <c r="AF230" s="611"/>
      <c r="AG230" s="611"/>
      <c r="AH230" s="604">
        <f>(IF(AH222=0,0,AH229/AH222))</f>
        <v>87.976374760430488</v>
      </c>
      <c r="AI230" s="611"/>
      <c r="AJ230" s="612"/>
      <c r="AK230" s="612"/>
      <c r="AL230" s="611"/>
      <c r="AM230" s="611"/>
      <c r="AN230" s="604">
        <f>(IF(AN222=0,0,AN229/AN222))</f>
        <v>87.976374760430488</v>
      </c>
      <c r="AO230" s="439"/>
      <c r="AP230" s="530"/>
      <c r="AQ230" s="530"/>
      <c r="AR230" s="439"/>
      <c r="AS230" s="439"/>
      <c r="AT230" s="609">
        <f>(IF(AT222=0,0,AT229/AT222))</f>
        <v>31.227856958572904</v>
      </c>
      <c r="AU230" s="574"/>
      <c r="AV230" s="575"/>
      <c r="AW230" s="575"/>
      <c r="AX230" s="574"/>
      <c r="AY230" s="574"/>
      <c r="AZ230" s="604">
        <f>(IF(AZ222=0,0,AZ229/AZ222))</f>
        <v>30.999118384195786</v>
      </c>
      <c r="BA230" s="315"/>
      <c r="BB230" s="316"/>
      <c r="BC230" s="316"/>
      <c r="BD230" s="315"/>
      <c r="BE230" s="315"/>
      <c r="BF230" s="604">
        <f>(IF(BF222=0,0,BF229/BF222))</f>
        <v>30.999118384195786</v>
      </c>
      <c r="BG230" s="315"/>
      <c r="BH230" s="316"/>
      <c r="BI230" s="316"/>
      <c r="BJ230" s="315"/>
      <c r="BK230" s="315"/>
      <c r="BL230" s="604">
        <f>(IF(BL222=0,0,BL229/BL222))</f>
        <v>30.999118384195786</v>
      </c>
      <c r="BM230" s="315"/>
      <c r="BN230" s="316"/>
      <c r="BO230" s="316"/>
      <c r="BP230" s="315"/>
      <c r="BQ230" s="315"/>
      <c r="BR230" s="604">
        <f>(IF(BR222=0,0,BR229/BR222))</f>
        <v>30.999118384195786</v>
      </c>
      <c r="BS230" s="574"/>
      <c r="BT230" s="575"/>
      <c r="BU230" s="575"/>
      <c r="BV230" s="574"/>
      <c r="BW230" s="574"/>
      <c r="BX230" s="604">
        <f>(IF(BX222=0,0,BX229/BX222))</f>
        <v>30.999118384195786</v>
      </c>
      <c r="BY230" s="315"/>
      <c r="BZ230" s="316"/>
      <c r="CA230" s="316"/>
      <c r="CB230" s="315"/>
      <c r="CC230" s="315"/>
      <c r="CD230" s="604">
        <f>(IF(CD222=0,0,CD229/CD222))</f>
        <v>30.999118384195786</v>
      </c>
      <c r="CE230" s="315"/>
      <c r="CF230" s="316"/>
      <c r="CG230" s="316"/>
      <c r="CH230" s="315"/>
      <c r="CI230" s="315"/>
      <c r="CJ230" s="604">
        <f>(IF(CJ222=0,0,CJ229/CJ222))</f>
        <v>30.999118384195786</v>
      </c>
      <c r="CK230" s="315"/>
      <c r="CL230" s="316"/>
      <c r="CM230" s="316"/>
      <c r="CN230" s="315"/>
      <c r="CO230" s="315"/>
      <c r="CP230" s="604">
        <f>(IF(CP222=0,0,CP229/CP222))</f>
        <v>30.999118384195786</v>
      </c>
      <c r="CQ230" s="577"/>
      <c r="CR230" s="575"/>
      <c r="CS230" s="575"/>
      <c r="CT230" s="577"/>
      <c r="CU230" s="577"/>
      <c r="CV230" s="604">
        <f>(IF(CV222=0,0,CV229/CV222))</f>
        <v>30.999118384195786</v>
      </c>
      <c r="CW230" s="577"/>
      <c r="CX230" s="575"/>
      <c r="CY230" s="575"/>
      <c r="CZ230" s="577"/>
      <c r="DA230" s="577"/>
      <c r="DB230" s="604">
        <f>(IF(DB222=0,0,DB229/DB222))</f>
        <v>30.999118384195786</v>
      </c>
      <c r="DC230" s="315"/>
      <c r="DD230" s="316"/>
      <c r="DE230" s="316"/>
      <c r="DF230" s="315"/>
      <c r="DG230" s="315"/>
      <c r="DH230" s="604">
        <f>(IF(DH222=0,0,DH229/DH222))</f>
        <v>30.999118384195786</v>
      </c>
      <c r="DI230" s="315"/>
      <c r="DJ230" s="316"/>
      <c r="DK230" s="316"/>
      <c r="DL230" s="315"/>
      <c r="DM230" s="315"/>
      <c r="DN230" s="604">
        <f>(IF(DN222=0,0,DN229/DN222))</f>
        <v>30.999118384195786</v>
      </c>
      <c r="DO230" s="315"/>
      <c r="DP230" s="316"/>
      <c r="DQ230" s="316"/>
      <c r="DR230" s="315"/>
      <c r="DS230" s="315"/>
      <c r="DT230" s="604">
        <f>(IF(DT222=0,0,DT229/DT222))</f>
        <v>30.999118384195786</v>
      </c>
      <c r="DU230" s="315"/>
      <c r="DV230" s="316"/>
      <c r="DW230" s="316"/>
      <c r="DX230" s="315"/>
      <c r="DY230" s="315"/>
      <c r="DZ230" s="604">
        <f>(IF(DZ222=0,0,DZ229/DZ222))</f>
        <v>30.999118384195786</v>
      </c>
      <c r="EA230" s="315"/>
      <c r="EB230" s="316"/>
      <c r="EC230" s="316"/>
      <c r="ED230" s="315"/>
      <c r="EE230" s="315"/>
      <c r="EF230" s="604">
        <f>(IF(EF222=0,0,EF229/EF222))</f>
        <v>30.999118384195786</v>
      </c>
      <c r="EG230" s="315"/>
      <c r="EH230" s="316"/>
      <c r="EI230" s="316"/>
      <c r="EJ230" s="315"/>
      <c r="EK230" s="315"/>
      <c r="EL230" s="604">
        <f>(IF(EL222=0,0,EL229/EL222))</f>
        <v>30.999118384195786</v>
      </c>
      <c r="EM230" s="315"/>
      <c r="EN230" s="316"/>
      <c r="EO230" s="316"/>
      <c r="EP230" s="315"/>
      <c r="EQ230" s="315"/>
      <c r="ER230" s="604">
        <f>(IF(ER222=0,0,ER229/ER222))</f>
        <v>0</v>
      </c>
      <c r="ES230" s="315"/>
      <c r="ET230" s="316"/>
      <c r="EU230" s="316"/>
      <c r="EV230" s="315"/>
      <c r="EW230" s="315"/>
      <c r="EX230" s="604">
        <f>(IF(EX222=0,0,EX229/EX222))</f>
        <v>0</v>
      </c>
      <c r="EY230" s="315"/>
      <c r="EZ230" s="316"/>
      <c r="FA230" s="316"/>
      <c r="FB230" s="315"/>
      <c r="FC230" s="315"/>
      <c r="FD230" s="604">
        <f>(IF(FD222=0,0,FD229/FD222))</f>
        <v>0</v>
      </c>
      <c r="FE230" s="315"/>
      <c r="FF230" s="316"/>
      <c r="FG230" s="316"/>
      <c r="FH230" s="315"/>
      <c r="FI230" s="315"/>
      <c r="FJ230" s="604">
        <f>(IF(FJ222=0,0,FJ229/FJ222))</f>
        <v>0</v>
      </c>
      <c r="FK230" s="315"/>
      <c r="FL230" s="316"/>
      <c r="FM230" s="316"/>
      <c r="FN230" s="315"/>
      <c r="FO230" s="315"/>
      <c r="FP230" s="604">
        <f>(IF(FP222=0,0,FP229/FP222))</f>
        <v>0</v>
      </c>
      <c r="FQ230" s="315"/>
      <c r="FR230" s="316"/>
      <c r="FS230" s="316"/>
      <c r="FT230" s="315"/>
      <c r="FU230" s="315"/>
      <c r="FV230" s="604">
        <f>(IF(FV222=0,0,FV229/FV222))</f>
        <v>0</v>
      </c>
      <c r="FW230" s="315"/>
      <c r="FX230" s="316"/>
      <c r="FY230" s="316"/>
      <c r="FZ230" s="315"/>
      <c r="GA230" s="315"/>
      <c r="GB230" s="604">
        <f>(IF(GB222=0,0,GB229/GB222))</f>
        <v>0</v>
      </c>
      <c r="GC230" s="315"/>
      <c r="GD230" s="316"/>
      <c r="GE230" s="316"/>
      <c r="GF230" s="315"/>
      <c r="GG230" s="315"/>
      <c r="GH230" s="604">
        <f>(IF(GH222=0,0,GH229/GH222))</f>
        <v>0</v>
      </c>
      <c r="GI230" s="315"/>
      <c r="GJ230" s="316"/>
      <c r="GK230" s="316"/>
      <c r="GL230" s="315"/>
      <c r="GM230" s="315"/>
      <c r="GN230" s="604">
        <f>(IF(GN222=0,0,GN229/GN222))</f>
        <v>0</v>
      </c>
      <c r="GO230" s="315"/>
      <c r="GP230" s="316"/>
      <c r="GQ230" s="316"/>
      <c r="GR230" s="315"/>
      <c r="GS230" s="315"/>
      <c r="GT230" s="604">
        <f>(IF(GT222=0,0,GT229/GT222))</f>
        <v>0</v>
      </c>
      <c r="GU230" s="315"/>
      <c r="GV230" s="316"/>
      <c r="GW230" s="316"/>
      <c r="GX230" s="315"/>
      <c r="GY230" s="315"/>
      <c r="GZ230" s="610">
        <f>(IF(GZ222=0,0,GZ229/GZ222))</f>
        <v>0</v>
      </c>
      <c r="HA230" s="532"/>
      <c r="HB230" s="530"/>
      <c r="HC230" s="530"/>
      <c r="HD230" s="532"/>
      <c r="HE230" s="532"/>
      <c r="HF230" s="546"/>
      <c r="HG230" s="547"/>
      <c r="HH230" s="547"/>
      <c r="HI230" s="547"/>
      <c r="HJ230" s="547"/>
    </row>
    <row r="231" spans="1:218" ht="24.95" customHeight="1">
      <c r="B231" s="123"/>
      <c r="C231" s="830"/>
      <c r="D231" s="830"/>
      <c r="E231" s="830"/>
      <c r="F231" s="830"/>
      <c r="G231" s="830"/>
      <c r="H231" s="830"/>
      <c r="I231" s="830"/>
      <c r="J231" s="830"/>
      <c r="K231" s="830"/>
      <c r="L231" s="830"/>
      <c r="M231" s="537"/>
      <c r="N231" s="613" t="s">
        <v>510</v>
      </c>
      <c r="O231" s="614"/>
      <c r="P231" s="614"/>
      <c r="Q231" s="614"/>
      <c r="R231" s="614"/>
      <c r="S231" s="614"/>
      <c r="T231" s="614"/>
      <c r="U231" s="615"/>
      <c r="V231" s="616"/>
      <c r="W231" s="617"/>
      <c r="X231" s="618"/>
      <c r="Y231" s="618"/>
      <c r="Z231" s="617"/>
      <c r="AA231" s="617"/>
      <c r="AB231" s="616"/>
      <c r="AC231" s="619"/>
      <c r="AD231" s="620"/>
      <c r="AE231" s="620"/>
      <c r="AF231" s="619"/>
      <c r="AG231" s="619"/>
      <c r="AH231" s="616"/>
      <c r="AI231" s="617"/>
      <c r="AJ231" s="618"/>
      <c r="AK231" s="618"/>
      <c r="AL231" s="617"/>
      <c r="AM231" s="617"/>
      <c r="AN231" s="621">
        <f>SUM(AP44:AP216)</f>
        <v>0</v>
      </c>
      <c r="AO231" s="439"/>
      <c r="AP231" s="530"/>
      <c r="AQ231" s="530"/>
      <c r="AR231" s="439"/>
      <c r="AS231" s="439"/>
      <c r="AT231" s="609">
        <f>SUM(AV44:AV216)</f>
        <v>0</v>
      </c>
      <c r="AU231" s="315"/>
      <c r="AV231" s="316"/>
      <c r="AW231" s="316"/>
      <c r="AX231" s="315"/>
      <c r="AY231" s="315"/>
      <c r="AZ231" s="604">
        <f>SUM(BB44:BB216)</f>
        <v>0</v>
      </c>
      <c r="BA231" s="315"/>
      <c r="BB231" s="316"/>
      <c r="BC231" s="316"/>
      <c r="BD231" s="315"/>
      <c r="BE231" s="315"/>
      <c r="BF231" s="604">
        <f>SUM(BH44:BH216)</f>
        <v>0</v>
      </c>
      <c r="BG231" s="315"/>
      <c r="BH231" s="316"/>
      <c r="BI231" s="316"/>
      <c r="BJ231" s="315"/>
      <c r="BK231" s="315"/>
      <c r="BL231" s="604">
        <f>SUM(BN44:BN216)</f>
        <v>0</v>
      </c>
      <c r="BM231" s="315"/>
      <c r="BN231" s="316"/>
      <c r="BO231" s="316"/>
      <c r="BP231" s="315"/>
      <c r="BQ231" s="315"/>
      <c r="BR231" s="604">
        <f>SUM(BT44:BT216)</f>
        <v>0</v>
      </c>
      <c r="BS231" s="315"/>
      <c r="BT231" s="316"/>
      <c r="BU231" s="316"/>
      <c r="BV231" s="315"/>
      <c r="BW231" s="315"/>
      <c r="BX231" s="604">
        <f>SUM(BZ44:BZ216)</f>
        <v>0</v>
      </c>
      <c r="BY231" s="315"/>
      <c r="BZ231" s="316"/>
      <c r="CA231" s="316"/>
      <c r="CB231" s="315"/>
      <c r="CC231" s="315"/>
      <c r="CD231" s="604">
        <f>SUM(CF44:CF216)</f>
        <v>0</v>
      </c>
      <c r="CE231" s="315"/>
      <c r="CF231" s="316"/>
      <c r="CG231" s="316"/>
      <c r="CH231" s="315"/>
      <c r="CI231" s="315"/>
      <c r="CJ231" s="604">
        <f>SUM(CL44:CL216)</f>
        <v>0</v>
      </c>
      <c r="CK231" s="315"/>
      <c r="CL231" s="316"/>
      <c r="CM231" s="316"/>
      <c r="CN231" s="315"/>
      <c r="CO231" s="315"/>
      <c r="CP231" s="604">
        <f>SUM(CR44:CR216)</f>
        <v>0</v>
      </c>
      <c r="CQ231" s="315"/>
      <c r="CR231" s="316"/>
      <c r="CS231" s="316"/>
      <c r="CT231" s="315"/>
      <c r="CU231" s="315"/>
      <c r="CV231" s="604">
        <f>SUM(CX44:CX216)</f>
        <v>0</v>
      </c>
      <c r="CW231" s="577"/>
      <c r="CX231" s="575"/>
      <c r="CY231" s="575"/>
      <c r="CZ231" s="577"/>
      <c r="DA231" s="577"/>
      <c r="DB231" s="604">
        <f>SUM(DD44:DD216)</f>
        <v>0</v>
      </c>
      <c r="DC231" s="315"/>
      <c r="DD231" s="316"/>
      <c r="DE231" s="316"/>
      <c r="DF231" s="315"/>
      <c r="DG231" s="315"/>
      <c r="DH231" s="604">
        <f>SUM(DJ44:DJ216)</f>
        <v>0</v>
      </c>
      <c r="DI231" s="315"/>
      <c r="DJ231" s="316"/>
      <c r="DK231" s="316"/>
      <c r="DL231" s="315"/>
      <c r="DM231" s="315"/>
      <c r="DN231" s="604">
        <f>SUM(DP44:DP216)</f>
        <v>0</v>
      </c>
      <c r="DO231" s="315"/>
      <c r="DP231" s="316"/>
      <c r="DQ231" s="316"/>
      <c r="DR231" s="315"/>
      <c r="DS231" s="315"/>
      <c r="DT231" s="604">
        <f>SUM(DV44:DV216)</f>
        <v>0</v>
      </c>
      <c r="DU231" s="315"/>
      <c r="DV231" s="316"/>
      <c r="DW231" s="316"/>
      <c r="DX231" s="315"/>
      <c r="DY231" s="315"/>
      <c r="DZ231" s="604">
        <f>SUM(EB44:EB216)</f>
        <v>0</v>
      </c>
      <c r="EA231" s="315"/>
      <c r="EB231" s="316"/>
      <c r="EC231" s="316"/>
      <c r="ED231" s="315"/>
      <c r="EE231" s="315"/>
      <c r="EF231" s="604">
        <f>SUM(EH44:EH216)</f>
        <v>0</v>
      </c>
      <c r="EG231" s="315"/>
      <c r="EH231" s="316"/>
      <c r="EI231" s="316"/>
      <c r="EJ231" s="315"/>
      <c r="EK231" s="315"/>
      <c r="EL231" s="604">
        <f>SUM(EN44:EN216)</f>
        <v>0</v>
      </c>
      <c r="EM231" s="315"/>
      <c r="EN231" s="316"/>
      <c r="EO231" s="316"/>
      <c r="EP231" s="315"/>
      <c r="EQ231" s="315"/>
      <c r="ER231" s="604">
        <f>SUM(ET44:ET216)</f>
        <v>0</v>
      </c>
      <c r="ES231" s="315"/>
      <c r="ET231" s="316"/>
      <c r="EU231" s="316"/>
      <c r="EV231" s="315"/>
      <c r="EW231" s="315"/>
      <c r="EX231" s="604">
        <f>SUM(EZ44:EZ216)</f>
        <v>0</v>
      </c>
      <c r="EY231" s="315"/>
      <c r="EZ231" s="316"/>
      <c r="FA231" s="316"/>
      <c r="FB231" s="315"/>
      <c r="FC231" s="315"/>
      <c r="FD231" s="604">
        <f>SUM(FF44:FF216)</f>
        <v>0</v>
      </c>
      <c r="FE231" s="315"/>
      <c r="FF231" s="316"/>
      <c r="FG231" s="316"/>
      <c r="FH231" s="315"/>
      <c r="FI231" s="315"/>
      <c r="FJ231" s="604">
        <f>SUM(FL44:FL216)</f>
        <v>0</v>
      </c>
      <c r="FK231" s="315"/>
      <c r="FL231" s="316"/>
      <c r="FM231" s="316"/>
      <c r="FN231" s="315"/>
      <c r="FO231" s="315"/>
      <c r="FP231" s="604">
        <f>SUM(FR44:FR216)</f>
        <v>0</v>
      </c>
      <c r="FQ231" s="315"/>
      <c r="FR231" s="316"/>
      <c r="FS231" s="316"/>
      <c r="FT231" s="315"/>
      <c r="FU231" s="315"/>
      <c r="FV231" s="604">
        <f>SUM(FX44:FX216)</f>
        <v>0</v>
      </c>
      <c r="FW231" s="315"/>
      <c r="FX231" s="316"/>
      <c r="FY231" s="316"/>
      <c r="FZ231" s="315"/>
      <c r="GA231" s="315"/>
      <c r="GB231" s="604">
        <f>SUM(GD44:GD216)</f>
        <v>0</v>
      </c>
      <c r="GC231" s="315"/>
      <c r="GD231" s="316"/>
      <c r="GE231" s="316"/>
      <c r="GF231" s="315"/>
      <c r="GG231" s="315"/>
      <c r="GH231" s="604">
        <f>SUM(GJ44:GJ216)</f>
        <v>0</v>
      </c>
      <c r="GI231" s="315"/>
      <c r="GJ231" s="316"/>
      <c r="GK231" s="316"/>
      <c r="GL231" s="315"/>
      <c r="GM231" s="315"/>
      <c r="GN231" s="604">
        <f>SUM(GP44:GP216)</f>
        <v>0</v>
      </c>
      <c r="GO231" s="315"/>
      <c r="GP231" s="316"/>
      <c r="GQ231" s="316"/>
      <c r="GR231" s="315"/>
      <c r="GS231" s="315"/>
      <c r="GT231" s="604">
        <f>SUM(GV44:GV216)</f>
        <v>0</v>
      </c>
      <c r="GU231" s="315"/>
      <c r="GV231" s="316"/>
      <c r="GW231" s="316"/>
      <c r="GX231" s="315"/>
      <c r="GY231" s="315"/>
      <c r="GZ231" s="610">
        <f>SUM(HB44:HB216)</f>
        <v>0</v>
      </c>
      <c r="HA231" s="532"/>
      <c r="HB231" s="530"/>
      <c r="HC231" s="530"/>
      <c r="HD231" s="532"/>
      <c r="HE231" s="532"/>
      <c r="HF231" s="546"/>
      <c r="HG231" s="547"/>
      <c r="HH231" s="547"/>
      <c r="HI231" s="547"/>
      <c r="HJ231" s="547"/>
    </row>
    <row r="232" spans="1:218" ht="24.95" customHeight="1">
      <c r="B232" s="123"/>
      <c r="C232" s="123"/>
      <c r="D232" s="123"/>
      <c r="E232" s="123"/>
      <c r="F232" s="123"/>
      <c r="G232" s="123"/>
      <c r="H232" s="123"/>
      <c r="I232" s="123"/>
      <c r="J232" s="123"/>
      <c r="K232" s="123"/>
      <c r="L232" s="123"/>
      <c r="M232" s="537"/>
      <c r="N232" s="613" t="s">
        <v>511</v>
      </c>
      <c r="O232" s="614"/>
      <c r="P232" s="614"/>
      <c r="Q232" s="614"/>
      <c r="R232" s="614"/>
      <c r="S232" s="614"/>
      <c r="T232" s="614"/>
      <c r="U232" s="603">
        <f>U$32</f>
        <v>0</v>
      </c>
      <c r="V232" s="604">
        <f>V$32</f>
        <v>0</v>
      </c>
      <c r="W232" s="605"/>
      <c r="X232" s="606"/>
      <c r="Y232" s="606"/>
      <c r="Z232" s="605"/>
      <c r="AA232" s="605"/>
      <c r="AB232" s="604">
        <f>AB$32</f>
        <v>0</v>
      </c>
      <c r="AC232" s="605"/>
      <c r="AD232" s="606"/>
      <c r="AE232" s="606"/>
      <c r="AF232" s="605"/>
      <c r="AG232" s="605"/>
      <c r="AH232" s="604">
        <f>AH$32</f>
        <v>0</v>
      </c>
      <c r="AI232" s="605"/>
      <c r="AJ232" s="606"/>
      <c r="AK232" s="606"/>
      <c r="AL232" s="605"/>
      <c r="AM232" s="605"/>
      <c r="AN232" s="604">
        <f>AN$32</f>
        <v>0</v>
      </c>
      <c r="AO232" s="439"/>
      <c r="AP232" s="530"/>
      <c r="AQ232" s="530"/>
      <c r="AR232" s="439"/>
      <c r="AS232" s="439"/>
      <c r="AT232" s="609">
        <f t="shared" ref="AT232:DE232" si="265">IF(AT222=0,0,IF(AT32&gt;0,AT32,AN232-AT231))</f>
        <v>0</v>
      </c>
      <c r="AU232" s="609">
        <f t="shared" si="265"/>
        <v>0</v>
      </c>
      <c r="AV232" s="609">
        <f t="shared" si="265"/>
        <v>0</v>
      </c>
      <c r="AW232" s="609">
        <f t="shared" si="265"/>
        <v>0</v>
      </c>
      <c r="AX232" s="609">
        <f t="shared" si="265"/>
        <v>0</v>
      </c>
      <c r="AY232" s="609">
        <f t="shared" si="265"/>
        <v>0</v>
      </c>
      <c r="AZ232" s="609">
        <f t="shared" si="265"/>
        <v>0</v>
      </c>
      <c r="BA232" s="609">
        <f t="shared" si="265"/>
        <v>0</v>
      </c>
      <c r="BB232" s="609">
        <f t="shared" si="265"/>
        <v>0</v>
      </c>
      <c r="BC232" s="609">
        <f t="shared" si="265"/>
        <v>0</v>
      </c>
      <c r="BD232" s="609">
        <f t="shared" si="265"/>
        <v>0</v>
      </c>
      <c r="BE232" s="609">
        <f t="shared" si="265"/>
        <v>0</v>
      </c>
      <c r="BF232" s="609">
        <f t="shared" si="265"/>
        <v>0</v>
      </c>
      <c r="BG232" s="609">
        <f t="shared" si="265"/>
        <v>0</v>
      </c>
      <c r="BH232" s="609">
        <f t="shared" si="265"/>
        <v>0</v>
      </c>
      <c r="BI232" s="609">
        <f t="shared" si="265"/>
        <v>0</v>
      </c>
      <c r="BJ232" s="609">
        <f t="shared" si="265"/>
        <v>0</v>
      </c>
      <c r="BK232" s="609">
        <f t="shared" si="265"/>
        <v>0</v>
      </c>
      <c r="BL232" s="609">
        <f t="shared" si="265"/>
        <v>0</v>
      </c>
      <c r="BM232" s="609">
        <f t="shared" si="265"/>
        <v>0</v>
      </c>
      <c r="BN232" s="609">
        <f t="shared" si="265"/>
        <v>0</v>
      </c>
      <c r="BO232" s="609">
        <f t="shared" si="265"/>
        <v>0</v>
      </c>
      <c r="BP232" s="609">
        <f t="shared" si="265"/>
        <v>0</v>
      </c>
      <c r="BQ232" s="609">
        <f t="shared" si="265"/>
        <v>0</v>
      </c>
      <c r="BR232" s="609">
        <f t="shared" si="265"/>
        <v>0</v>
      </c>
      <c r="BS232" s="609">
        <f t="shared" si="265"/>
        <v>0</v>
      </c>
      <c r="BT232" s="609">
        <f t="shared" si="265"/>
        <v>0</v>
      </c>
      <c r="BU232" s="609">
        <f t="shared" si="265"/>
        <v>0</v>
      </c>
      <c r="BV232" s="609">
        <f t="shared" si="265"/>
        <v>0</v>
      </c>
      <c r="BW232" s="609">
        <f t="shared" si="265"/>
        <v>0</v>
      </c>
      <c r="BX232" s="609">
        <f t="shared" si="265"/>
        <v>0</v>
      </c>
      <c r="BY232" s="609">
        <f t="shared" si="265"/>
        <v>0</v>
      </c>
      <c r="BZ232" s="609">
        <f t="shared" si="265"/>
        <v>0</v>
      </c>
      <c r="CA232" s="609">
        <f t="shared" si="265"/>
        <v>0</v>
      </c>
      <c r="CB232" s="609">
        <f t="shared" si="265"/>
        <v>0</v>
      </c>
      <c r="CC232" s="609">
        <f t="shared" si="265"/>
        <v>0</v>
      </c>
      <c r="CD232" s="609">
        <f t="shared" si="265"/>
        <v>0</v>
      </c>
      <c r="CE232" s="609">
        <f t="shared" si="265"/>
        <v>0</v>
      </c>
      <c r="CF232" s="609">
        <f t="shared" si="265"/>
        <v>0</v>
      </c>
      <c r="CG232" s="609">
        <f t="shared" si="265"/>
        <v>0</v>
      </c>
      <c r="CH232" s="609">
        <f t="shared" si="265"/>
        <v>0</v>
      </c>
      <c r="CI232" s="609">
        <f t="shared" si="265"/>
        <v>0</v>
      </c>
      <c r="CJ232" s="609">
        <f t="shared" si="265"/>
        <v>0</v>
      </c>
      <c r="CK232" s="609">
        <f t="shared" si="265"/>
        <v>0</v>
      </c>
      <c r="CL232" s="609">
        <f t="shared" si="265"/>
        <v>0</v>
      </c>
      <c r="CM232" s="609">
        <f t="shared" si="265"/>
        <v>0</v>
      </c>
      <c r="CN232" s="609">
        <f t="shared" si="265"/>
        <v>0</v>
      </c>
      <c r="CO232" s="609">
        <f t="shared" si="265"/>
        <v>0</v>
      </c>
      <c r="CP232" s="609">
        <f t="shared" si="265"/>
        <v>0</v>
      </c>
      <c r="CQ232" s="609">
        <f t="shared" si="265"/>
        <v>0</v>
      </c>
      <c r="CR232" s="609">
        <f t="shared" si="265"/>
        <v>0</v>
      </c>
      <c r="CS232" s="609">
        <f t="shared" si="265"/>
        <v>0</v>
      </c>
      <c r="CT232" s="609">
        <f t="shared" si="265"/>
        <v>0</v>
      </c>
      <c r="CU232" s="609">
        <f t="shared" si="265"/>
        <v>0</v>
      </c>
      <c r="CV232" s="609">
        <f t="shared" si="265"/>
        <v>0</v>
      </c>
      <c r="CW232" s="609">
        <f t="shared" si="265"/>
        <v>0</v>
      </c>
      <c r="CX232" s="609">
        <f t="shared" si="265"/>
        <v>0</v>
      </c>
      <c r="CY232" s="609">
        <f t="shared" si="265"/>
        <v>0</v>
      </c>
      <c r="CZ232" s="609">
        <f t="shared" si="265"/>
        <v>0</v>
      </c>
      <c r="DA232" s="609">
        <f t="shared" si="265"/>
        <v>0</v>
      </c>
      <c r="DB232" s="609">
        <f t="shared" si="265"/>
        <v>0</v>
      </c>
      <c r="DC232" s="609">
        <f t="shared" si="265"/>
        <v>0</v>
      </c>
      <c r="DD232" s="609">
        <f t="shared" si="265"/>
        <v>0</v>
      </c>
      <c r="DE232" s="609">
        <f t="shared" si="265"/>
        <v>0</v>
      </c>
      <c r="DF232" s="609">
        <f t="shared" ref="DF232:FQ232" si="266">IF(DF222=0,0,IF(DF32&gt;0,DF32,CZ232-DF231))</f>
        <v>0</v>
      </c>
      <c r="DG232" s="609">
        <f t="shared" si="266"/>
        <v>0</v>
      </c>
      <c r="DH232" s="609">
        <f t="shared" si="266"/>
        <v>0</v>
      </c>
      <c r="DI232" s="609">
        <f t="shared" si="266"/>
        <v>0</v>
      </c>
      <c r="DJ232" s="609">
        <f t="shared" si="266"/>
        <v>0</v>
      </c>
      <c r="DK232" s="609">
        <f t="shared" si="266"/>
        <v>0</v>
      </c>
      <c r="DL232" s="609">
        <f t="shared" si="266"/>
        <v>0</v>
      </c>
      <c r="DM232" s="609">
        <f t="shared" si="266"/>
        <v>0</v>
      </c>
      <c r="DN232" s="609">
        <f t="shared" si="266"/>
        <v>0</v>
      </c>
      <c r="DO232" s="609">
        <f t="shared" si="266"/>
        <v>0</v>
      </c>
      <c r="DP232" s="609">
        <f t="shared" si="266"/>
        <v>0</v>
      </c>
      <c r="DQ232" s="609">
        <f t="shared" si="266"/>
        <v>0</v>
      </c>
      <c r="DR232" s="609">
        <f t="shared" si="266"/>
        <v>0</v>
      </c>
      <c r="DS232" s="609">
        <f t="shared" si="266"/>
        <v>0</v>
      </c>
      <c r="DT232" s="609">
        <f t="shared" si="266"/>
        <v>0</v>
      </c>
      <c r="DU232" s="609">
        <f t="shared" si="266"/>
        <v>0</v>
      </c>
      <c r="DV232" s="609">
        <f t="shared" si="266"/>
        <v>0</v>
      </c>
      <c r="DW232" s="609">
        <f t="shared" si="266"/>
        <v>0</v>
      </c>
      <c r="DX232" s="609">
        <f t="shared" si="266"/>
        <v>0</v>
      </c>
      <c r="DY232" s="609">
        <f t="shared" si="266"/>
        <v>0</v>
      </c>
      <c r="DZ232" s="609">
        <f t="shared" si="266"/>
        <v>0</v>
      </c>
      <c r="EA232" s="609">
        <f t="shared" si="266"/>
        <v>0</v>
      </c>
      <c r="EB232" s="609">
        <f t="shared" si="266"/>
        <v>0</v>
      </c>
      <c r="EC232" s="609">
        <f t="shared" si="266"/>
        <v>0</v>
      </c>
      <c r="ED232" s="609">
        <f t="shared" si="266"/>
        <v>0</v>
      </c>
      <c r="EE232" s="609">
        <f t="shared" si="266"/>
        <v>0</v>
      </c>
      <c r="EF232" s="609">
        <f t="shared" si="266"/>
        <v>0</v>
      </c>
      <c r="EG232" s="609">
        <f t="shared" si="266"/>
        <v>0</v>
      </c>
      <c r="EH232" s="609">
        <f t="shared" si="266"/>
        <v>0</v>
      </c>
      <c r="EI232" s="609">
        <f t="shared" si="266"/>
        <v>0</v>
      </c>
      <c r="EJ232" s="609">
        <f t="shared" si="266"/>
        <v>0</v>
      </c>
      <c r="EK232" s="609">
        <f t="shared" si="266"/>
        <v>0</v>
      </c>
      <c r="EL232" s="609">
        <f t="shared" si="266"/>
        <v>0</v>
      </c>
      <c r="EM232" s="609">
        <f t="shared" si="266"/>
        <v>0</v>
      </c>
      <c r="EN232" s="609">
        <f t="shared" si="266"/>
        <v>0</v>
      </c>
      <c r="EO232" s="609">
        <f t="shared" si="266"/>
        <v>0</v>
      </c>
      <c r="EP232" s="609">
        <f t="shared" si="266"/>
        <v>0</v>
      </c>
      <c r="EQ232" s="609">
        <f t="shared" si="266"/>
        <v>0</v>
      </c>
      <c r="ER232" s="609">
        <f t="shared" si="266"/>
        <v>0</v>
      </c>
      <c r="ES232" s="609">
        <f t="shared" si="266"/>
        <v>0</v>
      </c>
      <c r="ET232" s="609">
        <f t="shared" si="266"/>
        <v>0</v>
      </c>
      <c r="EU232" s="609">
        <f t="shared" si="266"/>
        <v>0</v>
      </c>
      <c r="EV232" s="609">
        <f t="shared" si="266"/>
        <v>0</v>
      </c>
      <c r="EW232" s="609">
        <f t="shared" si="266"/>
        <v>0</v>
      </c>
      <c r="EX232" s="609">
        <f t="shared" si="266"/>
        <v>0</v>
      </c>
      <c r="EY232" s="609">
        <f t="shared" si="266"/>
        <v>0</v>
      </c>
      <c r="EZ232" s="609">
        <f t="shared" si="266"/>
        <v>0</v>
      </c>
      <c r="FA232" s="609">
        <f t="shared" si="266"/>
        <v>0</v>
      </c>
      <c r="FB232" s="609">
        <f t="shared" si="266"/>
        <v>0</v>
      </c>
      <c r="FC232" s="609">
        <f t="shared" si="266"/>
        <v>0</v>
      </c>
      <c r="FD232" s="609">
        <f t="shared" si="266"/>
        <v>0</v>
      </c>
      <c r="FE232" s="609">
        <f t="shared" si="266"/>
        <v>0</v>
      </c>
      <c r="FF232" s="609">
        <f t="shared" si="266"/>
        <v>0</v>
      </c>
      <c r="FG232" s="609">
        <f t="shared" si="266"/>
        <v>0</v>
      </c>
      <c r="FH232" s="609">
        <f t="shared" si="266"/>
        <v>0</v>
      </c>
      <c r="FI232" s="609">
        <f t="shared" si="266"/>
        <v>0</v>
      </c>
      <c r="FJ232" s="609">
        <f t="shared" si="266"/>
        <v>0</v>
      </c>
      <c r="FK232" s="609">
        <f t="shared" si="266"/>
        <v>0</v>
      </c>
      <c r="FL232" s="609">
        <f t="shared" si="266"/>
        <v>0</v>
      </c>
      <c r="FM232" s="609">
        <f t="shared" si="266"/>
        <v>0</v>
      </c>
      <c r="FN232" s="609">
        <f t="shared" si="266"/>
        <v>0</v>
      </c>
      <c r="FO232" s="609">
        <f t="shared" si="266"/>
        <v>0</v>
      </c>
      <c r="FP232" s="609">
        <f t="shared" si="266"/>
        <v>0</v>
      </c>
      <c r="FQ232" s="609">
        <f t="shared" si="266"/>
        <v>0</v>
      </c>
      <c r="FR232" s="609">
        <f t="shared" ref="FR232:GZ232" si="267">IF(FR222=0,0,IF(FR32&gt;0,FR32,FL232-FR231))</f>
        <v>0</v>
      </c>
      <c r="FS232" s="609">
        <f t="shared" si="267"/>
        <v>0</v>
      </c>
      <c r="FT232" s="609">
        <f t="shared" si="267"/>
        <v>0</v>
      </c>
      <c r="FU232" s="609">
        <f t="shared" si="267"/>
        <v>0</v>
      </c>
      <c r="FV232" s="609">
        <f t="shared" si="267"/>
        <v>0</v>
      </c>
      <c r="FW232" s="609">
        <f t="shared" si="267"/>
        <v>0</v>
      </c>
      <c r="FX232" s="609">
        <f t="shared" si="267"/>
        <v>0</v>
      </c>
      <c r="FY232" s="609">
        <f t="shared" si="267"/>
        <v>0</v>
      </c>
      <c r="FZ232" s="609">
        <f t="shared" si="267"/>
        <v>0</v>
      </c>
      <c r="GA232" s="609">
        <f t="shared" si="267"/>
        <v>0</v>
      </c>
      <c r="GB232" s="609">
        <f t="shared" si="267"/>
        <v>0</v>
      </c>
      <c r="GC232" s="609">
        <f t="shared" si="267"/>
        <v>0</v>
      </c>
      <c r="GD232" s="609">
        <f t="shared" si="267"/>
        <v>0</v>
      </c>
      <c r="GE232" s="609">
        <f t="shared" si="267"/>
        <v>0</v>
      </c>
      <c r="GF232" s="609">
        <f t="shared" si="267"/>
        <v>0</v>
      </c>
      <c r="GG232" s="609">
        <f t="shared" si="267"/>
        <v>0</v>
      </c>
      <c r="GH232" s="609">
        <f t="shared" si="267"/>
        <v>0</v>
      </c>
      <c r="GI232" s="609">
        <f t="shared" si="267"/>
        <v>0</v>
      </c>
      <c r="GJ232" s="609">
        <f t="shared" si="267"/>
        <v>0</v>
      </c>
      <c r="GK232" s="609">
        <f t="shared" si="267"/>
        <v>0</v>
      </c>
      <c r="GL232" s="609">
        <f t="shared" si="267"/>
        <v>0</v>
      </c>
      <c r="GM232" s="609">
        <f t="shared" si="267"/>
        <v>0</v>
      </c>
      <c r="GN232" s="609">
        <f t="shared" si="267"/>
        <v>0</v>
      </c>
      <c r="GO232" s="609">
        <f t="shared" si="267"/>
        <v>0</v>
      </c>
      <c r="GP232" s="609">
        <f t="shared" si="267"/>
        <v>0</v>
      </c>
      <c r="GQ232" s="609">
        <f t="shared" si="267"/>
        <v>0</v>
      </c>
      <c r="GR232" s="609">
        <f t="shared" si="267"/>
        <v>0</v>
      </c>
      <c r="GS232" s="609">
        <f t="shared" si="267"/>
        <v>0</v>
      </c>
      <c r="GT232" s="609">
        <f t="shared" si="267"/>
        <v>0</v>
      </c>
      <c r="GU232" s="609">
        <f t="shared" si="267"/>
        <v>0</v>
      </c>
      <c r="GV232" s="609">
        <f t="shared" si="267"/>
        <v>0</v>
      </c>
      <c r="GW232" s="609">
        <f t="shared" si="267"/>
        <v>0</v>
      </c>
      <c r="GX232" s="609">
        <f t="shared" si="267"/>
        <v>0</v>
      </c>
      <c r="GY232" s="609">
        <f t="shared" si="267"/>
        <v>0</v>
      </c>
      <c r="GZ232" s="609">
        <f t="shared" si="267"/>
        <v>0</v>
      </c>
      <c r="HA232" s="532"/>
      <c r="HB232" s="530"/>
      <c r="HC232" s="530"/>
      <c r="HD232" s="532"/>
      <c r="HE232" s="532"/>
      <c r="HF232" s="546"/>
      <c r="HG232" s="547"/>
      <c r="HH232" s="547"/>
      <c r="HI232" s="547"/>
      <c r="HJ232" s="547"/>
    </row>
    <row r="233" spans="1:218" ht="24.95" customHeight="1">
      <c r="B233" s="123"/>
      <c r="C233" s="123"/>
      <c r="D233" s="123"/>
      <c r="E233" s="123"/>
      <c r="F233" s="123"/>
      <c r="G233" s="123"/>
      <c r="H233" s="123"/>
      <c r="I233" s="123"/>
      <c r="J233" s="123"/>
      <c r="K233" s="123"/>
      <c r="L233" s="123"/>
      <c r="M233" s="537"/>
      <c r="N233" s="613" t="s">
        <v>512</v>
      </c>
      <c r="O233" s="614"/>
      <c r="P233" s="614"/>
      <c r="Q233" s="614"/>
      <c r="R233" s="614"/>
      <c r="S233" s="614"/>
      <c r="T233" s="614"/>
      <c r="U233" s="622">
        <f>(IF(U222=0,0,U232/U222))</f>
        <v>0</v>
      </c>
      <c r="V233" s="623">
        <f>(IF(V222=0,0,V232/V222))</f>
        <v>0</v>
      </c>
      <c r="W233" s="624"/>
      <c r="X233" s="624"/>
      <c r="Y233" s="624"/>
      <c r="Z233" s="624"/>
      <c r="AA233" s="624"/>
      <c r="AB233" s="623">
        <f>(IF(AB222=0,0,AB232/AB222))</f>
        <v>0</v>
      </c>
      <c r="AC233" s="625"/>
      <c r="AD233" s="625"/>
      <c r="AE233" s="625"/>
      <c r="AF233" s="625"/>
      <c r="AG233" s="625"/>
      <c r="AH233" s="623">
        <f>(IF(AH222=0,0,AH232/AH222))</f>
        <v>0</v>
      </c>
      <c r="AI233" s="624"/>
      <c r="AJ233" s="624"/>
      <c r="AK233" s="624"/>
      <c r="AL233" s="624"/>
      <c r="AM233" s="624"/>
      <c r="AN233" s="623">
        <f>(IF(AN222=0,0,AN232/AN222))</f>
        <v>0</v>
      </c>
      <c r="AO233" s="626"/>
      <c r="AP233" s="626"/>
      <c r="AQ233" s="626"/>
      <c r="AR233" s="626"/>
      <c r="AS233" s="626"/>
      <c r="AT233" s="627">
        <f>(IF(AT222=0,0,AT232/AT222))</f>
        <v>0</v>
      </c>
      <c r="AU233" s="317"/>
      <c r="AV233" s="317"/>
      <c r="AW233" s="317"/>
      <c r="AX233" s="317"/>
      <c r="AY233" s="317"/>
      <c r="AZ233" s="623">
        <f>(IF(AZ222=0,0,AZ232/AZ222))</f>
        <v>0</v>
      </c>
      <c r="BA233" s="317"/>
      <c r="BB233" s="317"/>
      <c r="BC233" s="317"/>
      <c r="BD233" s="317"/>
      <c r="BE233" s="317"/>
      <c r="BF233" s="623">
        <f>(IF(BF222=0,0,BF232/BF222))</f>
        <v>0</v>
      </c>
      <c r="BG233" s="317"/>
      <c r="BH233" s="317"/>
      <c r="BI233" s="317"/>
      <c r="BJ233" s="317"/>
      <c r="BK233" s="317"/>
      <c r="BL233" s="623">
        <f>(IF(BL222=0,0,BL232/BL222))</f>
        <v>0</v>
      </c>
      <c r="BM233" s="317"/>
      <c r="BN233" s="317"/>
      <c r="BO233" s="317"/>
      <c r="BP233" s="317"/>
      <c r="BQ233" s="317"/>
      <c r="BR233" s="623">
        <f>(IF(BR222=0,0,BR232/BR222))</f>
        <v>0</v>
      </c>
      <c r="BS233" s="317"/>
      <c r="BT233" s="317"/>
      <c r="BU233" s="317"/>
      <c r="BV233" s="317"/>
      <c r="BW233" s="317"/>
      <c r="BX233" s="623">
        <f>(IF(BX222=0,0,BX232/BX222))</f>
        <v>0</v>
      </c>
      <c r="BY233" s="317"/>
      <c r="BZ233" s="317"/>
      <c r="CA233" s="317"/>
      <c r="CB233" s="317"/>
      <c r="CC233" s="317"/>
      <c r="CD233" s="623">
        <f>(IF(CD222=0,0,CD232/CD222))</f>
        <v>0</v>
      </c>
      <c r="CE233" s="317"/>
      <c r="CF233" s="317"/>
      <c r="CG233" s="317"/>
      <c r="CH233" s="317"/>
      <c r="CI233" s="317"/>
      <c r="CJ233" s="623">
        <f>(IF(CJ222=0,0,CJ232/CJ222))</f>
        <v>0</v>
      </c>
      <c r="CK233" s="317"/>
      <c r="CL233" s="317"/>
      <c r="CM233" s="317"/>
      <c r="CN233" s="317"/>
      <c r="CO233" s="317"/>
      <c r="CP233" s="623">
        <f>(IF(CP222=0,0,CP232/CP222))</f>
        <v>0</v>
      </c>
      <c r="CQ233" s="317"/>
      <c r="CR233" s="317"/>
      <c r="CS233" s="317"/>
      <c r="CT233" s="317"/>
      <c r="CU233" s="317"/>
      <c r="CV233" s="623">
        <f>(IF(CV222=0,0,CV232/CV222))</f>
        <v>0</v>
      </c>
      <c r="CW233" s="628"/>
      <c r="CX233" s="629"/>
      <c r="CY233" s="629"/>
      <c r="CZ233" s="628"/>
      <c r="DA233" s="628"/>
      <c r="DB233" s="623">
        <f>(IF(DB222=0,0,DB232/DB222))</f>
        <v>0</v>
      </c>
      <c r="DC233" s="317"/>
      <c r="DD233" s="317"/>
      <c r="DE233" s="317"/>
      <c r="DF233" s="317"/>
      <c r="DG233" s="317"/>
      <c r="DH233" s="623">
        <f>(IF(DH222=0,0,DH232/DH222))</f>
        <v>0</v>
      </c>
      <c r="DI233" s="317"/>
      <c r="DJ233" s="317"/>
      <c r="DK233" s="317"/>
      <c r="DL233" s="317"/>
      <c r="DM233" s="317"/>
      <c r="DN233" s="623">
        <f>(IF(DN222=0,0,DN232/DN222))</f>
        <v>0</v>
      </c>
      <c r="DO233" s="317"/>
      <c r="DP233" s="317"/>
      <c r="DQ233" s="317"/>
      <c r="DR233" s="317"/>
      <c r="DS233" s="317"/>
      <c r="DT233" s="623">
        <f>(IF(DT222=0,0,DT232/DT222))</f>
        <v>0</v>
      </c>
      <c r="DU233" s="317"/>
      <c r="DV233" s="317"/>
      <c r="DW233" s="317"/>
      <c r="DX233" s="317"/>
      <c r="DY233" s="317"/>
      <c r="DZ233" s="623">
        <f>(IF(DZ222=0,0,DZ232/DZ222))</f>
        <v>0</v>
      </c>
      <c r="EA233" s="317"/>
      <c r="EB233" s="317"/>
      <c r="EC233" s="317"/>
      <c r="ED233" s="317"/>
      <c r="EE233" s="317"/>
      <c r="EF233" s="623">
        <f>(IF(EF222=0,0,EF232/EF222))</f>
        <v>0</v>
      </c>
      <c r="EG233" s="317"/>
      <c r="EH233" s="317"/>
      <c r="EI233" s="317"/>
      <c r="EJ233" s="317"/>
      <c r="EK233" s="317"/>
      <c r="EL233" s="623">
        <f>(IF(EL222=0,0,EL232/EL222))</f>
        <v>0</v>
      </c>
      <c r="EM233" s="317"/>
      <c r="EN233" s="317"/>
      <c r="EO233" s="317"/>
      <c r="EP233" s="317"/>
      <c r="EQ233" s="317"/>
      <c r="ER233" s="623">
        <f>(IF(ER222=0,0,ER232/ER222))</f>
        <v>0</v>
      </c>
      <c r="ES233" s="317"/>
      <c r="ET233" s="317"/>
      <c r="EU233" s="317"/>
      <c r="EV233" s="317"/>
      <c r="EW233" s="317"/>
      <c r="EX233" s="623">
        <f>(IF(EX222=0,0,EX232/EX222))</f>
        <v>0</v>
      </c>
      <c r="EY233" s="317"/>
      <c r="EZ233" s="317"/>
      <c r="FA233" s="317"/>
      <c r="FB233" s="317"/>
      <c r="FC233" s="317"/>
      <c r="FD233" s="623">
        <f>(IF(FD222=0,0,FD232/FD222))</f>
        <v>0</v>
      </c>
      <c r="FE233" s="317"/>
      <c r="FF233" s="317"/>
      <c r="FG233" s="317"/>
      <c r="FH233" s="317"/>
      <c r="FI233" s="317"/>
      <c r="FJ233" s="623">
        <f>(IF(FJ222=0,0,FJ232/FJ222))</f>
        <v>0</v>
      </c>
      <c r="FK233" s="317"/>
      <c r="FL233" s="317"/>
      <c r="FM233" s="317"/>
      <c r="FN233" s="317"/>
      <c r="FO233" s="317"/>
      <c r="FP233" s="623">
        <f>(IF(FP222=0,0,FP232/FP222))</f>
        <v>0</v>
      </c>
      <c r="FQ233" s="317"/>
      <c r="FR233" s="317"/>
      <c r="FS233" s="317"/>
      <c r="FT233" s="317"/>
      <c r="FU233" s="317"/>
      <c r="FV233" s="623">
        <f>(IF(FV222=0,0,FV232/FV222))</f>
        <v>0</v>
      </c>
      <c r="FW233" s="317"/>
      <c r="FX233" s="317"/>
      <c r="FY233" s="317"/>
      <c r="FZ233" s="317"/>
      <c r="GA233" s="317"/>
      <c r="GB233" s="623">
        <f>(IF(GB222=0,0,GB232/GB222))</f>
        <v>0</v>
      </c>
      <c r="GC233" s="317"/>
      <c r="GD233" s="317"/>
      <c r="GE233" s="317"/>
      <c r="GF233" s="317"/>
      <c r="GG233" s="317"/>
      <c r="GH233" s="623">
        <f>(IF(GH222=0,0,GH232/GH222))</f>
        <v>0</v>
      </c>
      <c r="GI233" s="317"/>
      <c r="GJ233" s="317"/>
      <c r="GK233" s="317"/>
      <c r="GL233" s="317"/>
      <c r="GM233" s="317"/>
      <c r="GN233" s="623">
        <f>(IF(GN222=0,0,GN232/GN222))</f>
        <v>0</v>
      </c>
      <c r="GO233" s="317"/>
      <c r="GP233" s="317"/>
      <c r="GQ233" s="317"/>
      <c r="GR233" s="317"/>
      <c r="GS233" s="317"/>
      <c r="GT233" s="623">
        <f>(IF(GT222=0,0,GT232/GT222))</f>
        <v>0</v>
      </c>
      <c r="GU233" s="317"/>
      <c r="GV233" s="317"/>
      <c r="GW233" s="317"/>
      <c r="GX233" s="317"/>
      <c r="GY233" s="317"/>
      <c r="GZ233" s="630">
        <f>(IF(GZ222=0,0,GZ232/GZ222))</f>
        <v>0</v>
      </c>
      <c r="HA233" s="532"/>
      <c r="HB233" s="530"/>
      <c r="HC233" s="530"/>
      <c r="HD233" s="532"/>
      <c r="HE233" s="532"/>
      <c r="HF233" s="546"/>
      <c r="HG233" s="547"/>
      <c r="HH233" s="547"/>
      <c r="HI233" s="547"/>
      <c r="HJ233" s="547"/>
    </row>
    <row r="234" spans="1:218" ht="24.95" customHeight="1">
      <c r="B234" s="123"/>
      <c r="C234" s="830" t="s">
        <v>103</v>
      </c>
      <c r="D234" s="830"/>
      <c r="E234" s="830"/>
      <c r="F234" s="830"/>
      <c r="G234" s="830"/>
      <c r="H234" s="830"/>
      <c r="I234" s="830"/>
      <c r="J234" s="830"/>
      <c r="K234" s="830"/>
      <c r="L234" s="830"/>
      <c r="M234" s="537"/>
      <c r="N234" s="631" t="s">
        <v>513</v>
      </c>
      <c r="O234" s="632"/>
      <c r="P234" s="632"/>
      <c r="Q234" s="632"/>
      <c r="R234" s="632"/>
      <c r="S234" s="632"/>
      <c r="T234" s="632"/>
      <c r="U234" s="615"/>
      <c r="V234" s="616"/>
      <c r="W234" s="617"/>
      <c r="X234" s="618"/>
      <c r="Y234" s="618"/>
      <c r="Z234" s="617"/>
      <c r="AA234" s="617"/>
      <c r="AB234" s="616"/>
      <c r="AC234" s="617"/>
      <c r="AD234" s="618"/>
      <c r="AE234" s="618"/>
      <c r="AF234" s="617"/>
      <c r="AG234" s="617"/>
      <c r="AH234" s="616"/>
      <c r="AI234" s="617"/>
      <c r="AJ234" s="618"/>
      <c r="AK234" s="618"/>
      <c r="AL234" s="617"/>
      <c r="AM234" s="617"/>
      <c r="AN234" s="621">
        <f>SUM(AR44:AR216)</f>
        <v>0</v>
      </c>
      <c r="AO234" s="439"/>
      <c r="AP234" s="530"/>
      <c r="AQ234" s="530"/>
      <c r="AR234" s="439"/>
      <c r="AS234" s="439"/>
      <c r="AT234" s="604">
        <f t="shared" ref="AT234:DE234" si="268">SUM(AX45:AX216)</f>
        <v>66.25800000000001</v>
      </c>
      <c r="AU234" s="604">
        <f t="shared" si="268"/>
        <v>34573.116751200003</v>
      </c>
      <c r="AV234" s="604">
        <f t="shared" si="268"/>
        <v>0.2</v>
      </c>
      <c r="AW234" s="604">
        <f t="shared" si="268"/>
        <v>0</v>
      </c>
      <c r="AX234" s="604">
        <f t="shared" si="268"/>
        <v>0</v>
      </c>
      <c r="AY234" s="604">
        <f t="shared" si="268"/>
        <v>496.49079999999998</v>
      </c>
      <c r="AZ234" s="604">
        <f t="shared" si="268"/>
        <v>0</v>
      </c>
      <c r="BA234" s="604">
        <f t="shared" si="268"/>
        <v>126.10866319999998</v>
      </c>
      <c r="BB234" s="604">
        <f t="shared" si="268"/>
        <v>1</v>
      </c>
      <c r="BC234" s="604">
        <f t="shared" si="268"/>
        <v>161706.72</v>
      </c>
      <c r="BD234" s="604">
        <f t="shared" si="268"/>
        <v>0</v>
      </c>
      <c r="BE234" s="604">
        <f t="shared" si="268"/>
        <v>0</v>
      </c>
      <c r="BF234" s="604">
        <f t="shared" si="268"/>
        <v>40.900000000000006</v>
      </c>
      <c r="BG234" s="604">
        <f t="shared" si="268"/>
        <v>2028.6400000000003</v>
      </c>
      <c r="BH234" s="604">
        <f t="shared" si="268"/>
        <v>0</v>
      </c>
      <c r="BI234" s="604">
        <f t="shared" si="268"/>
        <v>0</v>
      </c>
      <c r="BJ234" s="604">
        <f t="shared" si="268"/>
        <v>0</v>
      </c>
      <c r="BK234" s="604">
        <f t="shared" si="268"/>
        <v>0</v>
      </c>
      <c r="BL234" s="604">
        <f t="shared" si="268"/>
        <v>0</v>
      </c>
      <c r="BM234" s="604">
        <f t="shared" si="268"/>
        <v>0</v>
      </c>
      <c r="BN234" s="604">
        <f t="shared" si="268"/>
        <v>0</v>
      </c>
      <c r="BO234" s="604">
        <f t="shared" si="268"/>
        <v>0</v>
      </c>
      <c r="BP234" s="604">
        <f t="shared" si="268"/>
        <v>0</v>
      </c>
      <c r="BQ234" s="604">
        <f t="shared" si="268"/>
        <v>0</v>
      </c>
      <c r="BR234" s="604">
        <f t="shared" si="268"/>
        <v>0</v>
      </c>
      <c r="BS234" s="604">
        <f t="shared" si="268"/>
        <v>0</v>
      </c>
      <c r="BT234" s="604">
        <f t="shared" si="268"/>
        <v>0</v>
      </c>
      <c r="BU234" s="604">
        <f t="shared" si="268"/>
        <v>0</v>
      </c>
      <c r="BV234" s="604">
        <f t="shared" si="268"/>
        <v>0</v>
      </c>
      <c r="BW234" s="604">
        <f t="shared" si="268"/>
        <v>0</v>
      </c>
      <c r="BX234" s="604">
        <f t="shared" si="268"/>
        <v>0</v>
      </c>
      <c r="BY234" s="604">
        <f t="shared" si="268"/>
        <v>0</v>
      </c>
      <c r="BZ234" s="604">
        <f t="shared" si="268"/>
        <v>0</v>
      </c>
      <c r="CA234" s="604">
        <f t="shared" si="268"/>
        <v>0</v>
      </c>
      <c r="CB234" s="604">
        <f t="shared" si="268"/>
        <v>0</v>
      </c>
      <c r="CC234" s="604">
        <f t="shared" si="268"/>
        <v>0</v>
      </c>
      <c r="CD234" s="604">
        <f t="shared" si="268"/>
        <v>0</v>
      </c>
      <c r="CE234" s="604">
        <f t="shared" si="268"/>
        <v>0</v>
      </c>
      <c r="CF234" s="604">
        <f t="shared" si="268"/>
        <v>0</v>
      </c>
      <c r="CG234" s="604">
        <f t="shared" si="268"/>
        <v>0</v>
      </c>
      <c r="CH234" s="604">
        <f t="shared" si="268"/>
        <v>0</v>
      </c>
      <c r="CI234" s="604">
        <f t="shared" si="268"/>
        <v>0</v>
      </c>
      <c r="CJ234" s="604">
        <f t="shared" si="268"/>
        <v>0</v>
      </c>
      <c r="CK234" s="604">
        <f t="shared" si="268"/>
        <v>0</v>
      </c>
      <c r="CL234" s="604">
        <f t="shared" si="268"/>
        <v>0</v>
      </c>
      <c r="CM234" s="604">
        <f t="shared" si="268"/>
        <v>0</v>
      </c>
      <c r="CN234" s="604">
        <f t="shared" si="268"/>
        <v>0</v>
      </c>
      <c r="CO234" s="604">
        <f t="shared" si="268"/>
        <v>0</v>
      </c>
      <c r="CP234" s="604">
        <f t="shared" si="268"/>
        <v>0</v>
      </c>
      <c r="CQ234" s="604">
        <f t="shared" si="268"/>
        <v>0</v>
      </c>
      <c r="CR234" s="604">
        <f t="shared" si="268"/>
        <v>0</v>
      </c>
      <c r="CS234" s="604">
        <f t="shared" si="268"/>
        <v>0</v>
      </c>
      <c r="CT234" s="604">
        <f t="shared" si="268"/>
        <v>0</v>
      </c>
      <c r="CU234" s="604">
        <f t="shared" si="268"/>
        <v>0</v>
      </c>
      <c r="CV234" s="604">
        <f t="shared" si="268"/>
        <v>0</v>
      </c>
      <c r="CW234" s="604">
        <f t="shared" si="268"/>
        <v>0</v>
      </c>
      <c r="CX234" s="604">
        <f t="shared" si="268"/>
        <v>0</v>
      </c>
      <c r="CY234" s="604">
        <f t="shared" si="268"/>
        <v>0</v>
      </c>
      <c r="CZ234" s="604">
        <f t="shared" si="268"/>
        <v>0</v>
      </c>
      <c r="DA234" s="604">
        <f t="shared" si="268"/>
        <v>0</v>
      </c>
      <c r="DB234" s="604">
        <f t="shared" si="268"/>
        <v>0</v>
      </c>
      <c r="DC234" s="604">
        <f t="shared" si="268"/>
        <v>0</v>
      </c>
      <c r="DD234" s="604">
        <f t="shared" si="268"/>
        <v>0</v>
      </c>
      <c r="DE234" s="604">
        <f t="shared" si="268"/>
        <v>0</v>
      </c>
      <c r="DF234" s="604">
        <f t="shared" ref="DF234:FQ234" si="269">SUM(DJ45:DJ216)</f>
        <v>0</v>
      </c>
      <c r="DG234" s="604">
        <f t="shared" si="269"/>
        <v>0</v>
      </c>
      <c r="DH234" s="604">
        <f t="shared" si="269"/>
        <v>0</v>
      </c>
      <c r="DI234" s="604">
        <f t="shared" si="269"/>
        <v>0</v>
      </c>
      <c r="DJ234" s="604">
        <f t="shared" si="269"/>
        <v>0</v>
      </c>
      <c r="DK234" s="604">
        <f t="shared" si="269"/>
        <v>0</v>
      </c>
      <c r="DL234" s="604">
        <f t="shared" si="269"/>
        <v>0</v>
      </c>
      <c r="DM234" s="604">
        <f t="shared" si="269"/>
        <v>0</v>
      </c>
      <c r="DN234" s="604">
        <f t="shared" si="269"/>
        <v>0</v>
      </c>
      <c r="DO234" s="604">
        <f t="shared" si="269"/>
        <v>0</v>
      </c>
      <c r="DP234" s="604">
        <f t="shared" si="269"/>
        <v>0</v>
      </c>
      <c r="DQ234" s="604">
        <f t="shared" si="269"/>
        <v>0</v>
      </c>
      <c r="DR234" s="604">
        <f t="shared" si="269"/>
        <v>0</v>
      </c>
      <c r="DS234" s="604">
        <f t="shared" si="269"/>
        <v>0</v>
      </c>
      <c r="DT234" s="604">
        <f t="shared" si="269"/>
        <v>0</v>
      </c>
      <c r="DU234" s="604">
        <f t="shared" si="269"/>
        <v>0</v>
      </c>
      <c r="DV234" s="604">
        <f t="shared" si="269"/>
        <v>0</v>
      </c>
      <c r="DW234" s="604">
        <f t="shared" si="269"/>
        <v>0</v>
      </c>
      <c r="DX234" s="604">
        <f t="shared" si="269"/>
        <v>0</v>
      </c>
      <c r="DY234" s="604">
        <f t="shared" si="269"/>
        <v>0</v>
      </c>
      <c r="DZ234" s="604">
        <f t="shared" si="269"/>
        <v>0</v>
      </c>
      <c r="EA234" s="604">
        <f t="shared" si="269"/>
        <v>0</v>
      </c>
      <c r="EB234" s="604">
        <f t="shared" si="269"/>
        <v>0</v>
      </c>
      <c r="EC234" s="604">
        <f t="shared" si="269"/>
        <v>0</v>
      </c>
      <c r="ED234" s="604">
        <f t="shared" si="269"/>
        <v>0</v>
      </c>
      <c r="EE234" s="604">
        <f t="shared" si="269"/>
        <v>0</v>
      </c>
      <c r="EF234" s="604">
        <f t="shared" si="269"/>
        <v>0</v>
      </c>
      <c r="EG234" s="604">
        <f t="shared" si="269"/>
        <v>0</v>
      </c>
      <c r="EH234" s="604">
        <f t="shared" si="269"/>
        <v>0</v>
      </c>
      <c r="EI234" s="604">
        <f t="shared" si="269"/>
        <v>0</v>
      </c>
      <c r="EJ234" s="604">
        <f t="shared" si="269"/>
        <v>0</v>
      </c>
      <c r="EK234" s="604">
        <f t="shared" si="269"/>
        <v>0</v>
      </c>
      <c r="EL234" s="604">
        <f t="shared" si="269"/>
        <v>0</v>
      </c>
      <c r="EM234" s="604">
        <f t="shared" si="269"/>
        <v>0</v>
      </c>
      <c r="EN234" s="604">
        <f t="shared" si="269"/>
        <v>0</v>
      </c>
      <c r="EO234" s="604">
        <f t="shared" si="269"/>
        <v>0</v>
      </c>
      <c r="EP234" s="604">
        <f t="shared" si="269"/>
        <v>0</v>
      </c>
      <c r="EQ234" s="604">
        <f t="shared" si="269"/>
        <v>0</v>
      </c>
      <c r="ER234" s="604">
        <f t="shared" si="269"/>
        <v>0</v>
      </c>
      <c r="ES234" s="604">
        <f t="shared" si="269"/>
        <v>0</v>
      </c>
      <c r="ET234" s="604">
        <f t="shared" si="269"/>
        <v>0</v>
      </c>
      <c r="EU234" s="604">
        <f t="shared" si="269"/>
        <v>0</v>
      </c>
      <c r="EV234" s="604">
        <f t="shared" si="269"/>
        <v>0</v>
      </c>
      <c r="EW234" s="604">
        <f t="shared" si="269"/>
        <v>0</v>
      </c>
      <c r="EX234" s="604">
        <f t="shared" si="269"/>
        <v>0</v>
      </c>
      <c r="EY234" s="604">
        <f t="shared" si="269"/>
        <v>0</v>
      </c>
      <c r="EZ234" s="604">
        <f t="shared" si="269"/>
        <v>0</v>
      </c>
      <c r="FA234" s="604">
        <f t="shared" si="269"/>
        <v>0</v>
      </c>
      <c r="FB234" s="604">
        <f t="shared" si="269"/>
        <v>0</v>
      </c>
      <c r="FC234" s="604">
        <f t="shared" si="269"/>
        <v>0</v>
      </c>
      <c r="FD234" s="604">
        <f t="shared" si="269"/>
        <v>0</v>
      </c>
      <c r="FE234" s="604">
        <f t="shared" si="269"/>
        <v>0</v>
      </c>
      <c r="FF234" s="604">
        <f t="shared" si="269"/>
        <v>0</v>
      </c>
      <c r="FG234" s="604">
        <f t="shared" si="269"/>
        <v>0</v>
      </c>
      <c r="FH234" s="604">
        <f t="shared" si="269"/>
        <v>0</v>
      </c>
      <c r="FI234" s="604">
        <f t="shared" si="269"/>
        <v>0</v>
      </c>
      <c r="FJ234" s="604">
        <f t="shared" si="269"/>
        <v>0</v>
      </c>
      <c r="FK234" s="604">
        <f t="shared" si="269"/>
        <v>0</v>
      </c>
      <c r="FL234" s="604">
        <f t="shared" si="269"/>
        <v>0</v>
      </c>
      <c r="FM234" s="604">
        <f t="shared" si="269"/>
        <v>0</v>
      </c>
      <c r="FN234" s="604">
        <f t="shared" si="269"/>
        <v>0</v>
      </c>
      <c r="FO234" s="604">
        <f t="shared" si="269"/>
        <v>0</v>
      </c>
      <c r="FP234" s="604">
        <f t="shared" si="269"/>
        <v>0</v>
      </c>
      <c r="FQ234" s="604">
        <f t="shared" si="269"/>
        <v>0</v>
      </c>
      <c r="FR234" s="604">
        <f t="shared" ref="FR234:GZ234" si="270">SUM(FV45:FV216)</f>
        <v>0</v>
      </c>
      <c r="FS234" s="604">
        <f t="shared" si="270"/>
        <v>0</v>
      </c>
      <c r="FT234" s="604">
        <f t="shared" si="270"/>
        <v>0</v>
      </c>
      <c r="FU234" s="604">
        <f t="shared" si="270"/>
        <v>0</v>
      </c>
      <c r="FV234" s="604">
        <f t="shared" si="270"/>
        <v>0</v>
      </c>
      <c r="FW234" s="604">
        <f t="shared" si="270"/>
        <v>0</v>
      </c>
      <c r="FX234" s="604">
        <f t="shared" si="270"/>
        <v>0</v>
      </c>
      <c r="FY234" s="604">
        <f t="shared" si="270"/>
        <v>0</v>
      </c>
      <c r="FZ234" s="604">
        <f t="shared" si="270"/>
        <v>0</v>
      </c>
      <c r="GA234" s="604">
        <f t="shared" si="270"/>
        <v>0</v>
      </c>
      <c r="GB234" s="604">
        <f t="shared" si="270"/>
        <v>0</v>
      </c>
      <c r="GC234" s="604">
        <f t="shared" si="270"/>
        <v>0</v>
      </c>
      <c r="GD234" s="604">
        <f t="shared" si="270"/>
        <v>0</v>
      </c>
      <c r="GE234" s="604">
        <f t="shared" si="270"/>
        <v>0</v>
      </c>
      <c r="GF234" s="604">
        <f t="shared" si="270"/>
        <v>0</v>
      </c>
      <c r="GG234" s="604">
        <f t="shared" si="270"/>
        <v>0</v>
      </c>
      <c r="GH234" s="604">
        <f t="shared" si="270"/>
        <v>0</v>
      </c>
      <c r="GI234" s="604">
        <f t="shared" si="270"/>
        <v>0</v>
      </c>
      <c r="GJ234" s="604">
        <f t="shared" si="270"/>
        <v>0</v>
      </c>
      <c r="GK234" s="604">
        <f t="shared" si="270"/>
        <v>0</v>
      </c>
      <c r="GL234" s="604">
        <f t="shared" si="270"/>
        <v>0</v>
      </c>
      <c r="GM234" s="604">
        <f t="shared" si="270"/>
        <v>0</v>
      </c>
      <c r="GN234" s="604">
        <f t="shared" si="270"/>
        <v>0</v>
      </c>
      <c r="GO234" s="604">
        <f t="shared" si="270"/>
        <v>0</v>
      </c>
      <c r="GP234" s="604">
        <f t="shared" si="270"/>
        <v>0</v>
      </c>
      <c r="GQ234" s="604">
        <f t="shared" si="270"/>
        <v>0</v>
      </c>
      <c r="GR234" s="604">
        <f t="shared" si="270"/>
        <v>0</v>
      </c>
      <c r="GS234" s="604">
        <f t="shared" si="270"/>
        <v>0</v>
      </c>
      <c r="GT234" s="604">
        <f t="shared" si="270"/>
        <v>0</v>
      </c>
      <c r="GU234" s="604">
        <f t="shared" si="270"/>
        <v>0</v>
      </c>
      <c r="GV234" s="604">
        <f t="shared" si="270"/>
        <v>0</v>
      </c>
      <c r="GW234" s="604">
        <f t="shared" si="270"/>
        <v>0</v>
      </c>
      <c r="GX234" s="604">
        <f t="shared" si="270"/>
        <v>0</v>
      </c>
      <c r="GY234" s="604">
        <f t="shared" si="270"/>
        <v>0</v>
      </c>
      <c r="GZ234" s="604">
        <f t="shared" si="270"/>
        <v>0</v>
      </c>
      <c r="HA234" s="532"/>
      <c r="HB234" s="530"/>
      <c r="HC234" s="530"/>
      <c r="HD234" s="532"/>
      <c r="HE234" s="532"/>
      <c r="HF234" s="546"/>
      <c r="HG234" s="547"/>
      <c r="HH234" s="547"/>
      <c r="HI234" s="547"/>
      <c r="HJ234" s="547"/>
    </row>
    <row r="235" spans="1:218" ht="24.95" customHeight="1">
      <c r="B235" s="123"/>
      <c r="C235" s="830"/>
      <c r="D235" s="830"/>
      <c r="E235" s="830"/>
      <c r="F235" s="830"/>
      <c r="G235" s="830"/>
      <c r="H235" s="830"/>
      <c r="I235" s="830"/>
      <c r="J235" s="830"/>
      <c r="K235" s="830"/>
      <c r="L235" s="830"/>
      <c r="M235" s="537"/>
      <c r="N235" s="631" t="s">
        <v>737</v>
      </c>
      <c r="O235" s="632"/>
      <c r="P235" s="632"/>
      <c r="Q235" s="632"/>
      <c r="R235" s="632"/>
      <c r="S235" s="632"/>
      <c r="T235" s="632"/>
      <c r="U235" s="633">
        <f>U$33</f>
        <v>817.72</v>
      </c>
      <c r="V235" s="634">
        <f>V$33</f>
        <v>818</v>
      </c>
      <c r="W235" s="605"/>
      <c r="X235" s="606"/>
      <c r="Y235" s="606"/>
      <c r="Z235" s="605"/>
      <c r="AA235" s="605"/>
      <c r="AB235" s="634">
        <f>AB$33</f>
        <v>818</v>
      </c>
      <c r="AC235" s="607"/>
      <c r="AD235" s="608"/>
      <c r="AE235" s="608"/>
      <c r="AF235" s="607"/>
      <c r="AG235" s="607"/>
      <c r="AH235" s="634">
        <f>AH$33</f>
        <v>818</v>
      </c>
      <c r="AI235" s="605"/>
      <c r="AJ235" s="606"/>
      <c r="AK235" s="606"/>
      <c r="AL235" s="605"/>
      <c r="AM235" s="605"/>
      <c r="AN235" s="634">
        <f>AN$33</f>
        <v>818</v>
      </c>
      <c r="AO235" s="439"/>
      <c r="AP235" s="530"/>
      <c r="AQ235" s="530"/>
      <c r="AR235" s="439"/>
      <c r="AS235" s="439"/>
      <c r="AT235" s="634">
        <f t="shared" ref="AT235:DE235" si="271">IF(AT222=0,0,IF(AT33&gt;0,AT33,IF(AN235=0,0,IF(AN235&lt;AT242,0,AN235-AT234+AX44))))</f>
        <v>751.74199999999996</v>
      </c>
      <c r="AU235" s="634">
        <f t="shared" si="271"/>
        <v>0</v>
      </c>
      <c r="AV235" s="634">
        <f t="shared" si="271"/>
        <v>0</v>
      </c>
      <c r="AW235" s="634">
        <f t="shared" si="271"/>
        <v>0</v>
      </c>
      <c r="AX235" s="634">
        <f t="shared" si="271"/>
        <v>0</v>
      </c>
      <c r="AY235" s="634">
        <f t="shared" si="271"/>
        <v>0</v>
      </c>
      <c r="AZ235" s="634">
        <f t="shared" si="271"/>
        <v>751.74199999999996</v>
      </c>
      <c r="BA235" s="634">
        <f t="shared" si="271"/>
        <v>0</v>
      </c>
      <c r="BB235" s="634">
        <f t="shared" si="271"/>
        <v>0</v>
      </c>
      <c r="BC235" s="634">
        <f t="shared" si="271"/>
        <v>0</v>
      </c>
      <c r="BD235" s="634">
        <f t="shared" si="271"/>
        <v>0</v>
      </c>
      <c r="BE235" s="634">
        <f t="shared" si="271"/>
        <v>0</v>
      </c>
      <c r="BF235" s="634">
        <f t="shared" si="271"/>
        <v>710.84199999999998</v>
      </c>
      <c r="BG235" s="634">
        <f t="shared" si="271"/>
        <v>0</v>
      </c>
      <c r="BH235" s="634">
        <f t="shared" si="271"/>
        <v>0</v>
      </c>
      <c r="BI235" s="634">
        <f t="shared" si="271"/>
        <v>0</v>
      </c>
      <c r="BJ235" s="634">
        <f t="shared" si="271"/>
        <v>0</v>
      </c>
      <c r="BK235" s="634">
        <f t="shared" si="271"/>
        <v>0</v>
      </c>
      <c r="BL235" s="634">
        <f t="shared" si="271"/>
        <v>710.84199999999998</v>
      </c>
      <c r="BM235" s="634">
        <f t="shared" si="271"/>
        <v>0</v>
      </c>
      <c r="BN235" s="634">
        <f t="shared" si="271"/>
        <v>0</v>
      </c>
      <c r="BO235" s="634">
        <f t="shared" si="271"/>
        <v>0</v>
      </c>
      <c r="BP235" s="634">
        <f t="shared" si="271"/>
        <v>0</v>
      </c>
      <c r="BQ235" s="634">
        <f t="shared" si="271"/>
        <v>0</v>
      </c>
      <c r="BR235" s="634">
        <f t="shared" si="271"/>
        <v>710.84199999999998</v>
      </c>
      <c r="BS235" s="634">
        <f t="shared" si="271"/>
        <v>0</v>
      </c>
      <c r="BT235" s="634">
        <f t="shared" si="271"/>
        <v>0</v>
      </c>
      <c r="BU235" s="634">
        <f t="shared" si="271"/>
        <v>0</v>
      </c>
      <c r="BV235" s="634">
        <f t="shared" si="271"/>
        <v>0</v>
      </c>
      <c r="BW235" s="634">
        <f t="shared" si="271"/>
        <v>0</v>
      </c>
      <c r="BX235" s="634">
        <f t="shared" si="271"/>
        <v>0</v>
      </c>
      <c r="BY235" s="634">
        <f t="shared" si="271"/>
        <v>0</v>
      </c>
      <c r="BZ235" s="634">
        <f t="shared" si="271"/>
        <v>0</v>
      </c>
      <c r="CA235" s="634">
        <f t="shared" si="271"/>
        <v>0</v>
      </c>
      <c r="CB235" s="634">
        <f t="shared" si="271"/>
        <v>0</v>
      </c>
      <c r="CC235" s="634">
        <f t="shared" si="271"/>
        <v>0</v>
      </c>
      <c r="CD235" s="634">
        <f t="shared" si="271"/>
        <v>0</v>
      </c>
      <c r="CE235" s="634">
        <f t="shared" si="271"/>
        <v>0</v>
      </c>
      <c r="CF235" s="634">
        <f t="shared" si="271"/>
        <v>0</v>
      </c>
      <c r="CG235" s="634">
        <f t="shared" si="271"/>
        <v>0</v>
      </c>
      <c r="CH235" s="634">
        <f t="shared" si="271"/>
        <v>0</v>
      </c>
      <c r="CI235" s="634">
        <f t="shared" si="271"/>
        <v>0</v>
      </c>
      <c r="CJ235" s="634">
        <f t="shared" si="271"/>
        <v>0</v>
      </c>
      <c r="CK235" s="634">
        <f t="shared" si="271"/>
        <v>0</v>
      </c>
      <c r="CL235" s="634">
        <f t="shared" si="271"/>
        <v>0</v>
      </c>
      <c r="CM235" s="634">
        <f t="shared" si="271"/>
        <v>0</v>
      </c>
      <c r="CN235" s="634">
        <f t="shared" si="271"/>
        <v>0</v>
      </c>
      <c r="CO235" s="634">
        <f t="shared" si="271"/>
        <v>0</v>
      </c>
      <c r="CP235" s="634">
        <f t="shared" si="271"/>
        <v>0</v>
      </c>
      <c r="CQ235" s="634">
        <f t="shared" si="271"/>
        <v>0</v>
      </c>
      <c r="CR235" s="634">
        <f t="shared" si="271"/>
        <v>0</v>
      </c>
      <c r="CS235" s="634">
        <f t="shared" si="271"/>
        <v>0</v>
      </c>
      <c r="CT235" s="634">
        <f t="shared" si="271"/>
        <v>0</v>
      </c>
      <c r="CU235" s="634">
        <f t="shared" si="271"/>
        <v>0</v>
      </c>
      <c r="CV235" s="634">
        <f t="shared" si="271"/>
        <v>0</v>
      </c>
      <c r="CW235" s="634">
        <f t="shared" si="271"/>
        <v>0</v>
      </c>
      <c r="CX235" s="634">
        <f t="shared" si="271"/>
        <v>0</v>
      </c>
      <c r="CY235" s="634">
        <f t="shared" si="271"/>
        <v>0</v>
      </c>
      <c r="CZ235" s="634">
        <f t="shared" si="271"/>
        <v>0</v>
      </c>
      <c r="DA235" s="634">
        <f t="shared" si="271"/>
        <v>0</v>
      </c>
      <c r="DB235" s="634">
        <f t="shared" si="271"/>
        <v>0</v>
      </c>
      <c r="DC235" s="634">
        <f t="shared" si="271"/>
        <v>0</v>
      </c>
      <c r="DD235" s="634">
        <f t="shared" si="271"/>
        <v>0</v>
      </c>
      <c r="DE235" s="634">
        <f t="shared" si="271"/>
        <v>0</v>
      </c>
      <c r="DF235" s="634">
        <f t="shared" ref="DF235:FQ235" si="272">IF(DF222=0,0,IF(DF33&gt;0,DF33,IF(CZ235=0,0,IF(CZ235&lt;DF242,0,CZ235-DF234+DJ44))))</f>
        <v>0</v>
      </c>
      <c r="DG235" s="634">
        <f t="shared" si="272"/>
        <v>0</v>
      </c>
      <c r="DH235" s="634">
        <f t="shared" si="272"/>
        <v>0</v>
      </c>
      <c r="DI235" s="634">
        <f t="shared" si="272"/>
        <v>0</v>
      </c>
      <c r="DJ235" s="634">
        <f t="shared" si="272"/>
        <v>0</v>
      </c>
      <c r="DK235" s="634">
        <f t="shared" si="272"/>
        <v>0</v>
      </c>
      <c r="DL235" s="634">
        <f t="shared" si="272"/>
        <v>0</v>
      </c>
      <c r="DM235" s="634">
        <f t="shared" si="272"/>
        <v>0</v>
      </c>
      <c r="DN235" s="634">
        <f t="shared" si="272"/>
        <v>0</v>
      </c>
      <c r="DO235" s="634">
        <f t="shared" si="272"/>
        <v>0</v>
      </c>
      <c r="DP235" s="634">
        <f t="shared" si="272"/>
        <v>0</v>
      </c>
      <c r="DQ235" s="634">
        <f t="shared" si="272"/>
        <v>0</v>
      </c>
      <c r="DR235" s="634">
        <f t="shared" si="272"/>
        <v>0</v>
      </c>
      <c r="DS235" s="634">
        <f t="shared" si="272"/>
        <v>0</v>
      </c>
      <c r="DT235" s="634">
        <f t="shared" si="272"/>
        <v>0</v>
      </c>
      <c r="DU235" s="634">
        <f t="shared" si="272"/>
        <v>0</v>
      </c>
      <c r="DV235" s="634">
        <f t="shared" si="272"/>
        <v>0</v>
      </c>
      <c r="DW235" s="634">
        <f t="shared" si="272"/>
        <v>0</v>
      </c>
      <c r="DX235" s="634">
        <f t="shared" si="272"/>
        <v>0</v>
      </c>
      <c r="DY235" s="634">
        <f t="shared" si="272"/>
        <v>0</v>
      </c>
      <c r="DZ235" s="634">
        <f t="shared" si="272"/>
        <v>0</v>
      </c>
      <c r="EA235" s="634">
        <f t="shared" si="272"/>
        <v>0</v>
      </c>
      <c r="EB235" s="634">
        <f t="shared" si="272"/>
        <v>0</v>
      </c>
      <c r="EC235" s="634">
        <f t="shared" si="272"/>
        <v>0</v>
      </c>
      <c r="ED235" s="634">
        <f t="shared" si="272"/>
        <v>0</v>
      </c>
      <c r="EE235" s="634">
        <f t="shared" si="272"/>
        <v>0</v>
      </c>
      <c r="EF235" s="634">
        <f t="shared" si="272"/>
        <v>0</v>
      </c>
      <c r="EG235" s="634">
        <f t="shared" si="272"/>
        <v>0</v>
      </c>
      <c r="EH235" s="634">
        <f t="shared" si="272"/>
        <v>0</v>
      </c>
      <c r="EI235" s="634">
        <f t="shared" si="272"/>
        <v>0</v>
      </c>
      <c r="EJ235" s="634">
        <f t="shared" si="272"/>
        <v>0</v>
      </c>
      <c r="EK235" s="634">
        <f t="shared" si="272"/>
        <v>0</v>
      </c>
      <c r="EL235" s="634">
        <f t="shared" si="272"/>
        <v>0</v>
      </c>
      <c r="EM235" s="634">
        <f t="shared" si="272"/>
        <v>0</v>
      </c>
      <c r="EN235" s="634">
        <f t="shared" si="272"/>
        <v>0</v>
      </c>
      <c r="EO235" s="634">
        <f t="shared" si="272"/>
        <v>0</v>
      </c>
      <c r="EP235" s="634">
        <f t="shared" si="272"/>
        <v>0</v>
      </c>
      <c r="EQ235" s="634">
        <f t="shared" si="272"/>
        <v>0</v>
      </c>
      <c r="ER235" s="634">
        <f t="shared" si="272"/>
        <v>0</v>
      </c>
      <c r="ES235" s="634">
        <f t="shared" si="272"/>
        <v>0</v>
      </c>
      <c r="ET235" s="634">
        <f t="shared" si="272"/>
        <v>0</v>
      </c>
      <c r="EU235" s="634">
        <f t="shared" si="272"/>
        <v>0</v>
      </c>
      <c r="EV235" s="634">
        <f t="shared" si="272"/>
        <v>0</v>
      </c>
      <c r="EW235" s="634">
        <f t="shared" si="272"/>
        <v>0</v>
      </c>
      <c r="EX235" s="634">
        <f t="shared" si="272"/>
        <v>0</v>
      </c>
      <c r="EY235" s="634">
        <f t="shared" si="272"/>
        <v>0</v>
      </c>
      <c r="EZ235" s="634">
        <f t="shared" si="272"/>
        <v>0</v>
      </c>
      <c r="FA235" s="634">
        <f t="shared" si="272"/>
        <v>0</v>
      </c>
      <c r="FB235" s="634">
        <f t="shared" si="272"/>
        <v>0</v>
      </c>
      <c r="FC235" s="634">
        <f t="shared" si="272"/>
        <v>0</v>
      </c>
      <c r="FD235" s="634">
        <f t="shared" si="272"/>
        <v>0</v>
      </c>
      <c r="FE235" s="634">
        <f t="shared" si="272"/>
        <v>0</v>
      </c>
      <c r="FF235" s="634">
        <f t="shared" si="272"/>
        <v>0</v>
      </c>
      <c r="FG235" s="634">
        <f t="shared" si="272"/>
        <v>0</v>
      </c>
      <c r="FH235" s="634">
        <f t="shared" si="272"/>
        <v>0</v>
      </c>
      <c r="FI235" s="634">
        <f t="shared" si="272"/>
        <v>0</v>
      </c>
      <c r="FJ235" s="634">
        <f t="shared" si="272"/>
        <v>0</v>
      </c>
      <c r="FK235" s="634">
        <f t="shared" si="272"/>
        <v>0</v>
      </c>
      <c r="FL235" s="634">
        <f t="shared" si="272"/>
        <v>0</v>
      </c>
      <c r="FM235" s="634">
        <f t="shared" si="272"/>
        <v>0</v>
      </c>
      <c r="FN235" s="634">
        <f t="shared" si="272"/>
        <v>0</v>
      </c>
      <c r="FO235" s="634">
        <f t="shared" si="272"/>
        <v>0</v>
      </c>
      <c r="FP235" s="634">
        <f t="shared" si="272"/>
        <v>0</v>
      </c>
      <c r="FQ235" s="634">
        <f t="shared" si="272"/>
        <v>0</v>
      </c>
      <c r="FR235" s="634">
        <f t="shared" ref="FR235:GZ235" si="273">IF(FR222=0,0,IF(FR33&gt;0,FR33,IF(FL235=0,0,IF(FL235&lt;FR242,0,FL235-FR234+FV44))))</f>
        <v>0</v>
      </c>
      <c r="FS235" s="634">
        <f t="shared" si="273"/>
        <v>0</v>
      </c>
      <c r="FT235" s="634">
        <f t="shared" si="273"/>
        <v>0</v>
      </c>
      <c r="FU235" s="634">
        <f t="shared" si="273"/>
        <v>0</v>
      </c>
      <c r="FV235" s="634">
        <f t="shared" si="273"/>
        <v>0</v>
      </c>
      <c r="FW235" s="634">
        <f t="shared" si="273"/>
        <v>0</v>
      </c>
      <c r="FX235" s="634">
        <f t="shared" si="273"/>
        <v>0</v>
      </c>
      <c r="FY235" s="634">
        <f t="shared" si="273"/>
        <v>0</v>
      </c>
      <c r="FZ235" s="634">
        <f t="shared" si="273"/>
        <v>0</v>
      </c>
      <c r="GA235" s="634">
        <f t="shared" si="273"/>
        <v>0</v>
      </c>
      <c r="GB235" s="634">
        <f t="shared" si="273"/>
        <v>0</v>
      </c>
      <c r="GC235" s="634">
        <f t="shared" si="273"/>
        <v>0</v>
      </c>
      <c r="GD235" s="634">
        <f t="shared" si="273"/>
        <v>0</v>
      </c>
      <c r="GE235" s="634">
        <f t="shared" si="273"/>
        <v>0</v>
      </c>
      <c r="GF235" s="634">
        <f t="shared" si="273"/>
        <v>0</v>
      </c>
      <c r="GG235" s="634">
        <f t="shared" si="273"/>
        <v>0</v>
      </c>
      <c r="GH235" s="634">
        <f t="shared" si="273"/>
        <v>0</v>
      </c>
      <c r="GI235" s="634">
        <f t="shared" si="273"/>
        <v>0</v>
      </c>
      <c r="GJ235" s="634">
        <f t="shared" si="273"/>
        <v>0</v>
      </c>
      <c r="GK235" s="634">
        <f t="shared" si="273"/>
        <v>0</v>
      </c>
      <c r="GL235" s="634">
        <f t="shared" si="273"/>
        <v>0</v>
      </c>
      <c r="GM235" s="634">
        <f t="shared" si="273"/>
        <v>0</v>
      </c>
      <c r="GN235" s="634">
        <f t="shared" si="273"/>
        <v>0</v>
      </c>
      <c r="GO235" s="634">
        <f t="shared" si="273"/>
        <v>0</v>
      </c>
      <c r="GP235" s="634">
        <f t="shared" si="273"/>
        <v>0</v>
      </c>
      <c r="GQ235" s="634">
        <f t="shared" si="273"/>
        <v>0</v>
      </c>
      <c r="GR235" s="634">
        <f t="shared" si="273"/>
        <v>0</v>
      </c>
      <c r="GS235" s="634">
        <f t="shared" si="273"/>
        <v>0</v>
      </c>
      <c r="GT235" s="634">
        <f t="shared" si="273"/>
        <v>0</v>
      </c>
      <c r="GU235" s="634">
        <f t="shared" si="273"/>
        <v>0</v>
      </c>
      <c r="GV235" s="634">
        <f t="shared" si="273"/>
        <v>0</v>
      </c>
      <c r="GW235" s="634">
        <f t="shared" si="273"/>
        <v>0</v>
      </c>
      <c r="GX235" s="634">
        <f t="shared" si="273"/>
        <v>0</v>
      </c>
      <c r="GY235" s="634">
        <f t="shared" si="273"/>
        <v>0</v>
      </c>
      <c r="GZ235" s="634">
        <f t="shared" si="273"/>
        <v>0</v>
      </c>
      <c r="HA235" s="532"/>
      <c r="HB235" s="530"/>
      <c r="HC235" s="530"/>
      <c r="HD235" s="532"/>
      <c r="HE235" s="532"/>
      <c r="HF235" s="546"/>
      <c r="HG235" s="547"/>
      <c r="HH235" s="547"/>
      <c r="HI235" s="547"/>
      <c r="HJ235" s="547"/>
    </row>
    <row r="236" spans="1:218" ht="24.95" customHeight="1">
      <c r="B236" s="123"/>
      <c r="C236" s="830"/>
      <c r="D236" s="830"/>
      <c r="E236" s="830"/>
      <c r="F236" s="830"/>
      <c r="G236" s="830"/>
      <c r="H236" s="830"/>
      <c r="I236" s="830"/>
      <c r="J236" s="830"/>
      <c r="K236" s="830"/>
      <c r="L236" s="830"/>
      <c r="M236" s="537"/>
      <c r="N236" s="631" t="s">
        <v>738</v>
      </c>
      <c r="O236" s="632"/>
      <c r="P236" s="632"/>
      <c r="Q236" s="632"/>
      <c r="R236" s="632"/>
      <c r="S236" s="632"/>
      <c r="T236" s="632"/>
      <c r="U236" s="603">
        <f>(IF(U222=0,0,U235/U222))</f>
        <v>0.37673227185611091</v>
      </c>
      <c r="V236" s="604">
        <f>(IF(V222=0,0,V235/V222))</f>
        <v>0.37686127082411913</v>
      </c>
      <c r="W236" s="574"/>
      <c r="X236" s="575"/>
      <c r="Y236" s="575"/>
      <c r="Z236" s="574"/>
      <c r="AA236" s="574"/>
      <c r="AB236" s="604">
        <f>(IF(AB222=0,0,AB235/AB222))</f>
        <v>0.37686127082411913</v>
      </c>
      <c r="AC236" s="574"/>
      <c r="AD236" s="575"/>
      <c r="AE236" s="575"/>
      <c r="AF236" s="574"/>
      <c r="AG236" s="574"/>
      <c r="AH236" s="604">
        <f>(IF(AH222=0,0,AH235/AH222))</f>
        <v>0.37686127082411913</v>
      </c>
      <c r="AI236" s="574"/>
      <c r="AJ236" s="575"/>
      <c r="AK236" s="575"/>
      <c r="AL236" s="574"/>
      <c r="AM236" s="574"/>
      <c r="AN236" s="604">
        <f>(IF(AN222=0,0,AN235/AN222))</f>
        <v>0.37686127082411913</v>
      </c>
      <c r="AO236" s="439"/>
      <c r="AP236" s="530"/>
      <c r="AQ236" s="530"/>
      <c r="AR236" s="439"/>
      <c r="AS236" s="439"/>
      <c r="AT236" s="609">
        <f>(IF(AT222=0,0,AT235/AT222))</f>
        <v>0.34633550788736545</v>
      </c>
      <c r="AU236" s="574"/>
      <c r="AV236" s="575"/>
      <c r="AW236" s="575"/>
      <c r="AX236" s="574"/>
      <c r="AY236" s="574"/>
      <c r="AZ236" s="604">
        <f>(IF(AZ222=0,0,AZ235/AZ222))</f>
        <v>0.34633550788736545</v>
      </c>
      <c r="BA236" s="315"/>
      <c r="BB236" s="316"/>
      <c r="BC236" s="316"/>
      <c r="BD236" s="315"/>
      <c r="BE236" s="315"/>
      <c r="BF236" s="604">
        <f>(IF(BF222=0,0,BF235/BF222))</f>
        <v>0.32749244434615954</v>
      </c>
      <c r="BG236" s="315"/>
      <c r="BH236" s="316"/>
      <c r="BI236" s="316"/>
      <c r="BJ236" s="315"/>
      <c r="BK236" s="315"/>
      <c r="BL236" s="604">
        <f>(IF(BL222=0,0,BL235/BL222))</f>
        <v>0.32749244434615954</v>
      </c>
      <c r="BM236" s="315"/>
      <c r="BN236" s="316"/>
      <c r="BO236" s="316"/>
      <c r="BP236" s="315"/>
      <c r="BQ236" s="315"/>
      <c r="BR236" s="604">
        <f>(IF(BR222=0,0,BR235/BR222))</f>
        <v>0.32749244434615954</v>
      </c>
      <c r="BS236" s="574"/>
      <c r="BT236" s="575"/>
      <c r="BU236" s="575"/>
      <c r="BV236" s="574"/>
      <c r="BW236" s="574"/>
      <c r="BX236" s="604">
        <f>(IF(BX222=0,0,BX235/BX222))</f>
        <v>0</v>
      </c>
      <c r="BY236" s="315"/>
      <c r="BZ236" s="316"/>
      <c r="CA236" s="316"/>
      <c r="CB236" s="315"/>
      <c r="CC236" s="315"/>
      <c r="CD236" s="604">
        <f>(IF(CD222=0,0,CD235/CD222))</f>
        <v>0</v>
      </c>
      <c r="CE236" s="315"/>
      <c r="CF236" s="316"/>
      <c r="CG236" s="316"/>
      <c r="CH236" s="315"/>
      <c r="CI236" s="315"/>
      <c r="CJ236" s="604">
        <f>(IF(CJ222=0,0,CJ235/CJ222))</f>
        <v>0</v>
      </c>
      <c r="CK236" s="315"/>
      <c r="CL236" s="316"/>
      <c r="CM236" s="316"/>
      <c r="CN236" s="315"/>
      <c r="CO236" s="315"/>
      <c r="CP236" s="604">
        <f>(IF(CP222=0,0,CP235/CP222))</f>
        <v>0</v>
      </c>
      <c r="CQ236" s="577"/>
      <c r="CR236" s="575"/>
      <c r="CS236" s="575"/>
      <c r="CT236" s="577"/>
      <c r="CU236" s="577"/>
      <c r="CV236" s="604">
        <f>(IF(CV222=0,0,CV235/CV222))</f>
        <v>0</v>
      </c>
      <c r="CW236" s="577"/>
      <c r="CX236" s="575"/>
      <c r="CY236" s="575"/>
      <c r="CZ236" s="577"/>
      <c r="DA236" s="577"/>
      <c r="DB236" s="604">
        <f>(IF(DB222=0,0,DB235/DB222))</f>
        <v>0</v>
      </c>
      <c r="DC236" s="315"/>
      <c r="DD236" s="316"/>
      <c r="DE236" s="316"/>
      <c r="DF236" s="315"/>
      <c r="DG236" s="315"/>
      <c r="DH236" s="604">
        <f>(IF(DH222=0,0,DH235/DH222))</f>
        <v>0</v>
      </c>
      <c r="DI236" s="315"/>
      <c r="DJ236" s="316"/>
      <c r="DK236" s="316"/>
      <c r="DL236" s="315"/>
      <c r="DM236" s="315"/>
      <c r="DN236" s="604">
        <f>(IF(DN222=0,0,DN235/DN222))</f>
        <v>0</v>
      </c>
      <c r="DO236" s="315"/>
      <c r="DP236" s="316"/>
      <c r="DQ236" s="316"/>
      <c r="DR236" s="315"/>
      <c r="DS236" s="315"/>
      <c r="DT236" s="604">
        <f>(IF(DT222=0,0,DT235/DT222))</f>
        <v>0</v>
      </c>
      <c r="DU236" s="315"/>
      <c r="DV236" s="316"/>
      <c r="DW236" s="316"/>
      <c r="DX236" s="315"/>
      <c r="DY236" s="315"/>
      <c r="DZ236" s="604">
        <f>(IF(DZ222=0,0,DZ235/DZ222))</f>
        <v>0</v>
      </c>
      <c r="EA236" s="315"/>
      <c r="EB236" s="316"/>
      <c r="EC236" s="316"/>
      <c r="ED236" s="315"/>
      <c r="EE236" s="315"/>
      <c r="EF236" s="604">
        <f>(IF(EF222=0,0,EF235/EF222))</f>
        <v>0</v>
      </c>
      <c r="EG236" s="315"/>
      <c r="EH236" s="316"/>
      <c r="EI236" s="316"/>
      <c r="EJ236" s="315"/>
      <c r="EK236" s="315"/>
      <c r="EL236" s="604">
        <f>(IF(EL222=0,0,EL235/EL222))</f>
        <v>0</v>
      </c>
      <c r="EM236" s="315"/>
      <c r="EN236" s="316"/>
      <c r="EO236" s="316"/>
      <c r="EP236" s="315"/>
      <c r="EQ236" s="315"/>
      <c r="ER236" s="604">
        <f>(IF(ER222=0,0,ER235/ER222))</f>
        <v>0</v>
      </c>
      <c r="ES236" s="315"/>
      <c r="ET236" s="316"/>
      <c r="EU236" s="316"/>
      <c r="EV236" s="315"/>
      <c r="EW236" s="315"/>
      <c r="EX236" s="604">
        <f>(IF(EX222=0,0,EX235/EX222))</f>
        <v>0</v>
      </c>
      <c r="EY236" s="315"/>
      <c r="EZ236" s="316"/>
      <c r="FA236" s="316"/>
      <c r="FB236" s="315"/>
      <c r="FC236" s="315"/>
      <c r="FD236" s="604">
        <f>(IF(FD222=0,0,FD235/FD222))</f>
        <v>0</v>
      </c>
      <c r="FE236" s="315"/>
      <c r="FF236" s="316"/>
      <c r="FG236" s="316"/>
      <c r="FH236" s="315"/>
      <c r="FI236" s="315"/>
      <c r="FJ236" s="604">
        <f>(IF(FJ222=0,0,FJ235/FJ222))</f>
        <v>0</v>
      </c>
      <c r="FK236" s="315"/>
      <c r="FL236" s="316"/>
      <c r="FM236" s="316"/>
      <c r="FN236" s="315"/>
      <c r="FO236" s="315"/>
      <c r="FP236" s="604">
        <f>(IF(FP222=0,0,FP235/FP222))</f>
        <v>0</v>
      </c>
      <c r="FQ236" s="315"/>
      <c r="FR236" s="316"/>
      <c r="FS236" s="316"/>
      <c r="FT236" s="315"/>
      <c r="FU236" s="315"/>
      <c r="FV236" s="604">
        <f>(IF(FV222=0,0,FV235/FV222))</f>
        <v>0</v>
      </c>
      <c r="FW236" s="315"/>
      <c r="FX236" s="316"/>
      <c r="FY236" s="316"/>
      <c r="FZ236" s="315"/>
      <c r="GA236" s="315"/>
      <c r="GB236" s="604">
        <f>(IF(GB222=0,0,GB235/GB222))</f>
        <v>0</v>
      </c>
      <c r="GC236" s="315"/>
      <c r="GD236" s="316"/>
      <c r="GE236" s="316"/>
      <c r="GF236" s="315"/>
      <c r="GG236" s="315"/>
      <c r="GH236" s="604">
        <f>(IF(GH222=0,0,GH235/GH222))</f>
        <v>0</v>
      </c>
      <c r="GI236" s="315"/>
      <c r="GJ236" s="316"/>
      <c r="GK236" s="316"/>
      <c r="GL236" s="315"/>
      <c r="GM236" s="315"/>
      <c r="GN236" s="604">
        <f>(IF(GN222=0,0,GN235/GN222))</f>
        <v>0</v>
      </c>
      <c r="GO236" s="315"/>
      <c r="GP236" s="316"/>
      <c r="GQ236" s="316"/>
      <c r="GR236" s="315"/>
      <c r="GS236" s="315"/>
      <c r="GT236" s="604">
        <f>(IF(GT222=0,0,GT235/GT222))</f>
        <v>0</v>
      </c>
      <c r="GU236" s="315"/>
      <c r="GV236" s="316"/>
      <c r="GW236" s="316"/>
      <c r="GX236" s="315"/>
      <c r="GY236" s="315"/>
      <c r="GZ236" s="610">
        <f>(IF(GZ222=0,0,GZ235/GZ222))</f>
        <v>0</v>
      </c>
      <c r="HA236" s="532"/>
      <c r="HB236" s="530"/>
      <c r="HC236" s="530"/>
      <c r="HD236" s="532"/>
      <c r="HE236" s="532"/>
      <c r="HF236" s="546"/>
      <c r="HG236" s="547"/>
      <c r="HH236" s="547"/>
      <c r="HI236" s="547"/>
      <c r="HJ236" s="547"/>
    </row>
    <row r="237" spans="1:218" ht="24.95" customHeight="1">
      <c r="B237" s="123"/>
      <c r="C237" s="123"/>
      <c r="D237" s="123"/>
      <c r="E237" s="123"/>
      <c r="F237" s="123"/>
      <c r="G237" s="123"/>
      <c r="H237" s="123"/>
      <c r="I237" s="123"/>
      <c r="J237" s="123"/>
      <c r="K237" s="123"/>
      <c r="L237" s="123"/>
      <c r="M237" s="537"/>
      <c r="N237" s="635" t="s">
        <v>642</v>
      </c>
      <c r="O237" s="13"/>
      <c r="P237" s="13"/>
      <c r="Q237" s="13"/>
      <c r="R237" s="13"/>
      <c r="S237" s="13"/>
      <c r="T237" s="13"/>
      <c r="U237" s="603">
        <f>U34</f>
        <v>418284.16000000003</v>
      </c>
      <c r="V237" s="604">
        <f>V34</f>
        <v>418362</v>
      </c>
      <c r="W237" s="574"/>
      <c r="X237" s="575"/>
      <c r="Y237" s="575"/>
      <c r="Z237" s="574"/>
      <c r="AA237" s="574"/>
      <c r="AB237" s="604">
        <f>AB34</f>
        <v>418362</v>
      </c>
      <c r="AC237" s="315"/>
      <c r="AD237" s="316"/>
      <c r="AE237" s="316"/>
      <c r="AF237" s="315"/>
      <c r="AG237" s="315"/>
      <c r="AH237" s="604">
        <f>AH34</f>
        <v>418362</v>
      </c>
      <c r="AI237" s="574"/>
      <c r="AJ237" s="575"/>
      <c r="AK237" s="575"/>
      <c r="AL237" s="574"/>
      <c r="AM237" s="574"/>
      <c r="AN237" s="604">
        <f>AN34</f>
        <v>418362</v>
      </c>
      <c r="AO237" s="439"/>
      <c r="AP237" s="530"/>
      <c r="AQ237" s="530"/>
      <c r="AR237" s="439"/>
      <c r="AS237" s="439"/>
      <c r="AT237" s="604">
        <f t="shared" ref="AT237:BK237" si="274">AT229+(AT232*9.786)+(AT235*278)+(AT242*278)</f>
        <v>276766.2132</v>
      </c>
      <c r="AU237" s="604">
        <f t="shared" si="274"/>
        <v>0</v>
      </c>
      <c r="AV237" s="604">
        <f t="shared" si="274"/>
        <v>0</v>
      </c>
      <c r="AW237" s="604">
        <f t="shared" si="274"/>
        <v>0</v>
      </c>
      <c r="AX237" s="604">
        <f t="shared" si="274"/>
        <v>0</v>
      </c>
      <c r="AY237" s="604">
        <f t="shared" si="274"/>
        <v>0</v>
      </c>
      <c r="AZ237" s="604">
        <f t="shared" si="274"/>
        <v>276269.72239999997</v>
      </c>
      <c r="BA237" s="604">
        <f t="shared" si="274"/>
        <v>0</v>
      </c>
      <c r="BB237" s="604">
        <f t="shared" si="274"/>
        <v>0</v>
      </c>
      <c r="BC237" s="604">
        <f t="shared" si="274"/>
        <v>0</v>
      </c>
      <c r="BD237" s="604">
        <f t="shared" si="274"/>
        <v>0</v>
      </c>
      <c r="BE237" s="604">
        <f t="shared" si="274"/>
        <v>0</v>
      </c>
      <c r="BF237" s="604">
        <f t="shared" si="274"/>
        <v>264899.52240000002</v>
      </c>
      <c r="BG237" s="604">
        <f t="shared" si="274"/>
        <v>0</v>
      </c>
      <c r="BH237" s="604">
        <f t="shared" si="274"/>
        <v>0</v>
      </c>
      <c r="BI237" s="604">
        <f t="shared" si="274"/>
        <v>0</v>
      </c>
      <c r="BJ237" s="604">
        <f t="shared" si="274"/>
        <v>0</v>
      </c>
      <c r="BK237" s="604">
        <f t="shared" si="274"/>
        <v>0</v>
      </c>
      <c r="BL237" s="604">
        <f>BL229+(BL232*9.786)+(BL235*278)+(BL242*278)</f>
        <v>264899.52240000002</v>
      </c>
      <c r="BM237" s="604">
        <f t="shared" ref="BM237:DX237" si="275">BM229+(BM232*9.786)+(BM235*278)+(BM242*278)</f>
        <v>0</v>
      </c>
      <c r="BN237" s="604">
        <f t="shared" si="275"/>
        <v>0</v>
      </c>
      <c r="BO237" s="604">
        <f t="shared" si="275"/>
        <v>0</v>
      </c>
      <c r="BP237" s="604">
        <f t="shared" si="275"/>
        <v>0</v>
      </c>
      <c r="BQ237" s="604">
        <f t="shared" si="275"/>
        <v>0</v>
      </c>
      <c r="BR237" s="604">
        <f t="shared" si="275"/>
        <v>264899.52240000002</v>
      </c>
      <c r="BS237" s="604">
        <f t="shared" si="275"/>
        <v>0</v>
      </c>
      <c r="BT237" s="604">
        <f t="shared" si="275"/>
        <v>0</v>
      </c>
      <c r="BU237" s="604">
        <f t="shared" si="275"/>
        <v>0</v>
      </c>
      <c r="BV237" s="604">
        <f t="shared" si="275"/>
        <v>0</v>
      </c>
      <c r="BW237" s="604">
        <f t="shared" si="275"/>
        <v>0</v>
      </c>
      <c r="BX237" s="604">
        <f t="shared" si="275"/>
        <v>264943.44640000002</v>
      </c>
      <c r="BY237" s="604">
        <f t="shared" si="275"/>
        <v>0</v>
      </c>
      <c r="BZ237" s="604">
        <f t="shared" si="275"/>
        <v>0</v>
      </c>
      <c r="CA237" s="604">
        <f t="shared" si="275"/>
        <v>0</v>
      </c>
      <c r="CB237" s="604">
        <f t="shared" si="275"/>
        <v>0</v>
      </c>
      <c r="CC237" s="604">
        <f t="shared" si="275"/>
        <v>0</v>
      </c>
      <c r="CD237" s="604">
        <f t="shared" si="275"/>
        <v>264943.44640000002</v>
      </c>
      <c r="CE237" s="604">
        <f t="shared" si="275"/>
        <v>0</v>
      </c>
      <c r="CF237" s="604">
        <f t="shared" si="275"/>
        <v>0</v>
      </c>
      <c r="CG237" s="604">
        <f t="shared" si="275"/>
        <v>0</v>
      </c>
      <c r="CH237" s="604">
        <f t="shared" si="275"/>
        <v>0</v>
      </c>
      <c r="CI237" s="604">
        <f t="shared" si="275"/>
        <v>0</v>
      </c>
      <c r="CJ237" s="604">
        <f t="shared" si="275"/>
        <v>264943.44640000002</v>
      </c>
      <c r="CK237" s="604">
        <f t="shared" si="275"/>
        <v>0</v>
      </c>
      <c r="CL237" s="604">
        <f t="shared" si="275"/>
        <v>0</v>
      </c>
      <c r="CM237" s="604">
        <f t="shared" si="275"/>
        <v>0</v>
      </c>
      <c r="CN237" s="604">
        <f t="shared" si="275"/>
        <v>0</v>
      </c>
      <c r="CO237" s="604">
        <f t="shared" si="275"/>
        <v>0</v>
      </c>
      <c r="CP237" s="604">
        <f t="shared" si="275"/>
        <v>264943.44640000002</v>
      </c>
      <c r="CQ237" s="604">
        <f t="shared" si="275"/>
        <v>0</v>
      </c>
      <c r="CR237" s="604">
        <f t="shared" si="275"/>
        <v>0</v>
      </c>
      <c r="CS237" s="604">
        <f t="shared" si="275"/>
        <v>0</v>
      </c>
      <c r="CT237" s="604">
        <f t="shared" si="275"/>
        <v>0</v>
      </c>
      <c r="CU237" s="604">
        <f t="shared" si="275"/>
        <v>0</v>
      </c>
      <c r="CV237" s="604">
        <f t="shared" si="275"/>
        <v>264943.44640000002</v>
      </c>
      <c r="CW237" s="604">
        <f t="shared" si="275"/>
        <v>0</v>
      </c>
      <c r="CX237" s="604">
        <f t="shared" si="275"/>
        <v>0</v>
      </c>
      <c r="CY237" s="604">
        <f t="shared" si="275"/>
        <v>0</v>
      </c>
      <c r="CZ237" s="604">
        <f t="shared" si="275"/>
        <v>0</v>
      </c>
      <c r="DA237" s="604">
        <f t="shared" si="275"/>
        <v>0</v>
      </c>
      <c r="DB237" s="604">
        <f t="shared" si="275"/>
        <v>264943.44640000002</v>
      </c>
      <c r="DC237" s="604">
        <f t="shared" si="275"/>
        <v>0</v>
      </c>
      <c r="DD237" s="604">
        <f t="shared" si="275"/>
        <v>0</v>
      </c>
      <c r="DE237" s="604">
        <f t="shared" si="275"/>
        <v>0</v>
      </c>
      <c r="DF237" s="604">
        <f t="shared" si="275"/>
        <v>0</v>
      </c>
      <c r="DG237" s="604">
        <f t="shared" si="275"/>
        <v>0</v>
      </c>
      <c r="DH237" s="604">
        <f t="shared" si="275"/>
        <v>264943.44640000002</v>
      </c>
      <c r="DI237" s="604">
        <f t="shared" si="275"/>
        <v>0</v>
      </c>
      <c r="DJ237" s="604">
        <f t="shared" si="275"/>
        <v>0</v>
      </c>
      <c r="DK237" s="604">
        <f t="shared" si="275"/>
        <v>0</v>
      </c>
      <c r="DL237" s="604">
        <f t="shared" si="275"/>
        <v>0</v>
      </c>
      <c r="DM237" s="604">
        <f t="shared" si="275"/>
        <v>0</v>
      </c>
      <c r="DN237" s="604">
        <f t="shared" si="275"/>
        <v>264943.44640000002</v>
      </c>
      <c r="DO237" s="604">
        <f t="shared" si="275"/>
        <v>0</v>
      </c>
      <c r="DP237" s="604">
        <f t="shared" si="275"/>
        <v>0</v>
      </c>
      <c r="DQ237" s="604">
        <f t="shared" si="275"/>
        <v>0</v>
      </c>
      <c r="DR237" s="604">
        <f t="shared" si="275"/>
        <v>0</v>
      </c>
      <c r="DS237" s="604">
        <f t="shared" si="275"/>
        <v>0</v>
      </c>
      <c r="DT237" s="604">
        <f t="shared" si="275"/>
        <v>264943.44640000002</v>
      </c>
      <c r="DU237" s="604">
        <f t="shared" si="275"/>
        <v>0</v>
      </c>
      <c r="DV237" s="604">
        <f t="shared" si="275"/>
        <v>0</v>
      </c>
      <c r="DW237" s="604">
        <f t="shared" si="275"/>
        <v>0</v>
      </c>
      <c r="DX237" s="604">
        <f t="shared" si="275"/>
        <v>0</v>
      </c>
      <c r="DY237" s="604">
        <f t="shared" ref="DY237:GJ237" si="276">DY229+(DY232*9.786)+(DY235*278)+(DY242*278)</f>
        <v>0</v>
      </c>
      <c r="DZ237" s="604">
        <f t="shared" si="276"/>
        <v>264943.44640000002</v>
      </c>
      <c r="EA237" s="604">
        <f t="shared" si="276"/>
        <v>0</v>
      </c>
      <c r="EB237" s="604">
        <f t="shared" si="276"/>
        <v>0</v>
      </c>
      <c r="EC237" s="604">
        <f t="shared" si="276"/>
        <v>0</v>
      </c>
      <c r="ED237" s="604">
        <f t="shared" si="276"/>
        <v>0</v>
      </c>
      <c r="EE237" s="604">
        <f t="shared" si="276"/>
        <v>0</v>
      </c>
      <c r="EF237" s="604">
        <f t="shared" si="276"/>
        <v>264943.44640000002</v>
      </c>
      <c r="EG237" s="604">
        <f t="shared" si="276"/>
        <v>0</v>
      </c>
      <c r="EH237" s="604">
        <f t="shared" si="276"/>
        <v>0</v>
      </c>
      <c r="EI237" s="604">
        <f t="shared" si="276"/>
        <v>0</v>
      </c>
      <c r="EJ237" s="604">
        <f t="shared" si="276"/>
        <v>0</v>
      </c>
      <c r="EK237" s="604">
        <f t="shared" si="276"/>
        <v>0</v>
      </c>
      <c r="EL237" s="604">
        <f t="shared" si="276"/>
        <v>264943.44640000002</v>
      </c>
      <c r="EM237" s="604">
        <f t="shared" si="276"/>
        <v>0</v>
      </c>
      <c r="EN237" s="604">
        <f t="shared" si="276"/>
        <v>0</v>
      </c>
      <c r="EO237" s="604">
        <f t="shared" si="276"/>
        <v>0</v>
      </c>
      <c r="EP237" s="604">
        <f t="shared" si="276"/>
        <v>0</v>
      </c>
      <c r="EQ237" s="604">
        <f t="shared" si="276"/>
        <v>0</v>
      </c>
      <c r="ER237" s="604">
        <f t="shared" si="276"/>
        <v>0</v>
      </c>
      <c r="ES237" s="604">
        <f t="shared" si="276"/>
        <v>0</v>
      </c>
      <c r="ET237" s="604">
        <f t="shared" si="276"/>
        <v>0</v>
      </c>
      <c r="EU237" s="604">
        <f t="shared" si="276"/>
        <v>0</v>
      </c>
      <c r="EV237" s="604">
        <f t="shared" si="276"/>
        <v>0</v>
      </c>
      <c r="EW237" s="604">
        <f t="shared" si="276"/>
        <v>0</v>
      </c>
      <c r="EX237" s="604">
        <f t="shared" si="276"/>
        <v>0</v>
      </c>
      <c r="EY237" s="604">
        <f t="shared" si="276"/>
        <v>0</v>
      </c>
      <c r="EZ237" s="604">
        <f t="shared" si="276"/>
        <v>0</v>
      </c>
      <c r="FA237" s="604">
        <f t="shared" si="276"/>
        <v>0</v>
      </c>
      <c r="FB237" s="604">
        <f t="shared" si="276"/>
        <v>0</v>
      </c>
      <c r="FC237" s="604">
        <f t="shared" si="276"/>
        <v>0</v>
      </c>
      <c r="FD237" s="604">
        <f t="shared" si="276"/>
        <v>0</v>
      </c>
      <c r="FE237" s="604">
        <f t="shared" si="276"/>
        <v>0</v>
      </c>
      <c r="FF237" s="604">
        <f t="shared" si="276"/>
        <v>0</v>
      </c>
      <c r="FG237" s="604">
        <f t="shared" si="276"/>
        <v>0</v>
      </c>
      <c r="FH237" s="604">
        <f t="shared" si="276"/>
        <v>0</v>
      </c>
      <c r="FI237" s="604">
        <f t="shared" si="276"/>
        <v>0</v>
      </c>
      <c r="FJ237" s="604">
        <f t="shared" si="276"/>
        <v>0</v>
      </c>
      <c r="FK237" s="604">
        <f t="shared" si="276"/>
        <v>0</v>
      </c>
      <c r="FL237" s="604">
        <f t="shared" si="276"/>
        <v>0</v>
      </c>
      <c r="FM237" s="604">
        <f t="shared" si="276"/>
        <v>0</v>
      </c>
      <c r="FN237" s="604">
        <f t="shared" si="276"/>
        <v>0</v>
      </c>
      <c r="FO237" s="604">
        <f t="shared" si="276"/>
        <v>0</v>
      </c>
      <c r="FP237" s="604">
        <f t="shared" si="276"/>
        <v>0</v>
      </c>
      <c r="FQ237" s="604">
        <f t="shared" si="276"/>
        <v>0</v>
      </c>
      <c r="FR237" s="604">
        <f t="shared" si="276"/>
        <v>0</v>
      </c>
      <c r="FS237" s="604">
        <f t="shared" si="276"/>
        <v>0</v>
      </c>
      <c r="FT237" s="604">
        <f t="shared" si="276"/>
        <v>0</v>
      </c>
      <c r="FU237" s="604">
        <f t="shared" si="276"/>
        <v>0</v>
      </c>
      <c r="FV237" s="604">
        <f t="shared" si="276"/>
        <v>0</v>
      </c>
      <c r="FW237" s="604">
        <f t="shared" si="276"/>
        <v>0</v>
      </c>
      <c r="FX237" s="604">
        <f t="shared" si="276"/>
        <v>0</v>
      </c>
      <c r="FY237" s="604">
        <f t="shared" si="276"/>
        <v>0</v>
      </c>
      <c r="FZ237" s="604">
        <f t="shared" si="276"/>
        <v>0</v>
      </c>
      <c r="GA237" s="604">
        <f t="shared" si="276"/>
        <v>0</v>
      </c>
      <c r="GB237" s="604">
        <f t="shared" si="276"/>
        <v>0</v>
      </c>
      <c r="GC237" s="604">
        <f t="shared" si="276"/>
        <v>0</v>
      </c>
      <c r="GD237" s="604">
        <f t="shared" si="276"/>
        <v>0</v>
      </c>
      <c r="GE237" s="604">
        <f t="shared" si="276"/>
        <v>0</v>
      </c>
      <c r="GF237" s="604">
        <f t="shared" si="276"/>
        <v>0</v>
      </c>
      <c r="GG237" s="604">
        <f t="shared" si="276"/>
        <v>0</v>
      </c>
      <c r="GH237" s="604">
        <f t="shared" si="276"/>
        <v>0</v>
      </c>
      <c r="GI237" s="604">
        <f t="shared" si="276"/>
        <v>0</v>
      </c>
      <c r="GJ237" s="604">
        <f t="shared" si="276"/>
        <v>0</v>
      </c>
      <c r="GK237" s="604">
        <f t="shared" ref="GK237:GZ237" si="277">GK229+(GK232*9.786)+(GK235*278)+(GK242*278)</f>
        <v>0</v>
      </c>
      <c r="GL237" s="604">
        <f t="shared" si="277"/>
        <v>0</v>
      </c>
      <c r="GM237" s="604">
        <f t="shared" si="277"/>
        <v>0</v>
      </c>
      <c r="GN237" s="604">
        <f t="shared" si="277"/>
        <v>0</v>
      </c>
      <c r="GO237" s="604">
        <f t="shared" si="277"/>
        <v>0</v>
      </c>
      <c r="GP237" s="604">
        <f t="shared" si="277"/>
        <v>0</v>
      </c>
      <c r="GQ237" s="604">
        <f t="shared" si="277"/>
        <v>0</v>
      </c>
      <c r="GR237" s="604">
        <f t="shared" si="277"/>
        <v>0</v>
      </c>
      <c r="GS237" s="604">
        <f t="shared" si="277"/>
        <v>0</v>
      </c>
      <c r="GT237" s="604">
        <f t="shared" si="277"/>
        <v>0</v>
      </c>
      <c r="GU237" s="604">
        <f t="shared" si="277"/>
        <v>0</v>
      </c>
      <c r="GV237" s="604">
        <f t="shared" si="277"/>
        <v>0</v>
      </c>
      <c r="GW237" s="604">
        <f t="shared" si="277"/>
        <v>0</v>
      </c>
      <c r="GX237" s="604">
        <f t="shared" si="277"/>
        <v>0</v>
      </c>
      <c r="GY237" s="604">
        <f t="shared" si="277"/>
        <v>0</v>
      </c>
      <c r="GZ237" s="604">
        <f t="shared" si="277"/>
        <v>0</v>
      </c>
      <c r="HA237" s="604">
        <f>HA229+(HA232*9.786)+(HA235*278)</f>
        <v>0</v>
      </c>
      <c r="HB237" s="604">
        <f>HB229+(HB232*9.786)+(HB235*278)</f>
        <v>0</v>
      </c>
      <c r="HC237" s="604">
        <f>HC229+(HC232*9.786)+(HC235*278)</f>
        <v>0</v>
      </c>
      <c r="HD237" s="604">
        <f>HD229+(HD232*9.786)+(HD235*278)</f>
        <v>0</v>
      </c>
      <c r="HE237" s="604">
        <f>HE229+(HE232*9.786)+(HE235*278)</f>
        <v>0</v>
      </c>
      <c r="HF237" s="546"/>
      <c r="HG237" s="547"/>
      <c r="HH237" s="547"/>
      <c r="HI237" s="547"/>
      <c r="HJ237" s="547"/>
    </row>
    <row r="238" spans="1:218" ht="24.95" customHeight="1">
      <c r="B238" s="123"/>
      <c r="C238" s="123"/>
      <c r="D238" s="123"/>
      <c r="E238" s="123"/>
      <c r="F238" s="123"/>
      <c r="G238" s="123"/>
      <c r="H238" s="123"/>
      <c r="I238" s="123"/>
      <c r="J238" s="123"/>
      <c r="K238" s="123"/>
      <c r="L238" s="123"/>
      <c r="M238" s="537"/>
      <c r="N238" s="548" t="s">
        <v>647</v>
      </c>
      <c r="O238" s="636"/>
      <c r="P238" s="636"/>
      <c r="Q238" s="636"/>
      <c r="R238" s="636"/>
      <c r="S238" s="636"/>
      <c r="T238" s="636"/>
      <c r="U238" s="637">
        <f>IF(U222=0,0,U237/U222)</f>
        <v>192.70794633642933</v>
      </c>
      <c r="V238" s="551">
        <f>IF(V222=0,0,V237/V222)</f>
        <v>192.7438080495356</v>
      </c>
      <c r="W238" s="552"/>
      <c r="X238" s="553"/>
      <c r="Y238" s="553"/>
      <c r="Z238" s="552"/>
      <c r="AA238" s="552"/>
      <c r="AB238" s="551">
        <f>IF(AB222=0,0,AB237/AB222)</f>
        <v>192.7438080495356</v>
      </c>
      <c r="AC238" s="552"/>
      <c r="AD238" s="553"/>
      <c r="AE238" s="553"/>
      <c r="AF238" s="552"/>
      <c r="AG238" s="552"/>
      <c r="AH238" s="551">
        <f>IF(AH222=0,0,AH237/AH222)</f>
        <v>192.7438080495356</v>
      </c>
      <c r="AI238" s="552"/>
      <c r="AJ238" s="553"/>
      <c r="AK238" s="553"/>
      <c r="AL238" s="552"/>
      <c r="AM238" s="552"/>
      <c r="AN238" s="551">
        <f>IF(AN222=0,0,AN237/AN222)</f>
        <v>192.7438080495356</v>
      </c>
      <c r="AO238" s="586"/>
      <c r="AP238" s="587"/>
      <c r="AQ238" s="587"/>
      <c r="AR238" s="586"/>
      <c r="AS238" s="586"/>
      <c r="AT238" s="550">
        <f>IF(AT222=0,0,AT237/AT222)</f>
        <v>127.50912815126051</v>
      </c>
      <c r="AU238" s="313"/>
      <c r="AV238" s="314"/>
      <c r="AW238" s="314"/>
      <c r="AX238" s="313"/>
      <c r="AY238" s="313"/>
      <c r="AZ238" s="551">
        <f>IF(AZ222=0,0,AZ237/AZ222)</f>
        <v>127.28038957688338</v>
      </c>
      <c r="BA238" s="313"/>
      <c r="BB238" s="314"/>
      <c r="BC238" s="314"/>
      <c r="BD238" s="313"/>
      <c r="BE238" s="313"/>
      <c r="BF238" s="551">
        <f>IF(BF222=0,0,BF237/BF222)</f>
        <v>122.04201791242814</v>
      </c>
      <c r="BG238" s="313"/>
      <c r="BH238" s="314"/>
      <c r="BI238" s="314"/>
      <c r="BJ238" s="313"/>
      <c r="BK238" s="313"/>
      <c r="BL238" s="551">
        <f>IF(BL222=0,0,BL237/BL222)</f>
        <v>122.04201791242814</v>
      </c>
      <c r="BM238" s="313"/>
      <c r="BN238" s="314"/>
      <c r="BO238" s="314"/>
      <c r="BP238" s="313"/>
      <c r="BQ238" s="313"/>
      <c r="BR238" s="551">
        <f>IF(BR222=0,0,BR237/BR222)</f>
        <v>122.04201791242814</v>
      </c>
      <c r="BS238" s="552"/>
      <c r="BT238" s="553"/>
      <c r="BU238" s="553"/>
      <c r="BV238" s="552"/>
      <c r="BW238" s="552"/>
      <c r="BX238" s="551">
        <f>IF(BX222=0,0,BX237/BX222)</f>
        <v>122.06225416482384</v>
      </c>
      <c r="BY238" s="313"/>
      <c r="BZ238" s="314"/>
      <c r="CA238" s="314"/>
      <c r="CB238" s="313"/>
      <c r="CC238" s="313"/>
      <c r="CD238" s="551">
        <f>IF(CD222=0,0,CD237/CD222)</f>
        <v>122.06225416482384</v>
      </c>
      <c r="CE238" s="313"/>
      <c r="CF238" s="314"/>
      <c r="CG238" s="314"/>
      <c r="CH238" s="313"/>
      <c r="CI238" s="313"/>
      <c r="CJ238" s="551">
        <f>IF(CJ222=0,0,CJ237/CJ222)</f>
        <v>122.06225416482384</v>
      </c>
      <c r="CK238" s="313"/>
      <c r="CL238" s="314"/>
      <c r="CM238" s="314"/>
      <c r="CN238" s="313"/>
      <c r="CO238" s="313"/>
      <c r="CP238" s="551">
        <f>IF(CP222=0,0,CP237/CP222)</f>
        <v>122.06225416482384</v>
      </c>
      <c r="CQ238" s="554"/>
      <c r="CR238" s="553"/>
      <c r="CS238" s="553"/>
      <c r="CT238" s="554"/>
      <c r="CU238" s="554"/>
      <c r="CV238" s="551">
        <f>IF(CV222=0,0,CV237/CV222)</f>
        <v>122.06225416482384</v>
      </c>
      <c r="CW238" s="554"/>
      <c r="CX238" s="553"/>
      <c r="CY238" s="553"/>
      <c r="CZ238" s="554"/>
      <c r="DA238" s="554"/>
      <c r="DB238" s="551">
        <f>IF(DB222=0,0,DB237/DB222)</f>
        <v>122.06225416482384</v>
      </c>
      <c r="DC238" s="313"/>
      <c r="DD238" s="314"/>
      <c r="DE238" s="314"/>
      <c r="DF238" s="313"/>
      <c r="DG238" s="313"/>
      <c r="DH238" s="551">
        <f>IF(DH222=0,0,DH237/DH222)</f>
        <v>122.06225416482384</v>
      </c>
      <c r="DI238" s="313"/>
      <c r="DJ238" s="314"/>
      <c r="DK238" s="314"/>
      <c r="DL238" s="313"/>
      <c r="DM238" s="313"/>
      <c r="DN238" s="551">
        <f>IF(DN222=0,0,DN237/DN222)</f>
        <v>122.06225416482384</v>
      </c>
      <c r="DO238" s="313"/>
      <c r="DP238" s="314"/>
      <c r="DQ238" s="314"/>
      <c r="DR238" s="313"/>
      <c r="DS238" s="313"/>
      <c r="DT238" s="551">
        <f>IF(DT222=0,0,DT237/DT222)</f>
        <v>122.06225416482384</v>
      </c>
      <c r="DU238" s="313"/>
      <c r="DV238" s="314"/>
      <c r="DW238" s="314"/>
      <c r="DX238" s="313"/>
      <c r="DY238" s="313"/>
      <c r="DZ238" s="551">
        <f>IF(DZ222=0,0,DZ237/DZ222)</f>
        <v>122.06225416482384</v>
      </c>
      <c r="EA238" s="313"/>
      <c r="EB238" s="314"/>
      <c r="EC238" s="314"/>
      <c r="ED238" s="313"/>
      <c r="EE238" s="313"/>
      <c r="EF238" s="551">
        <f>IF(EF222=0,0,EF237/EF222)</f>
        <v>122.06225416482384</v>
      </c>
      <c r="EG238" s="313"/>
      <c r="EH238" s="314"/>
      <c r="EI238" s="314"/>
      <c r="EJ238" s="313"/>
      <c r="EK238" s="313"/>
      <c r="EL238" s="551">
        <f>IF(EL222=0,0,EL237/EL222)</f>
        <v>122.06225416482384</v>
      </c>
      <c r="EM238" s="313"/>
      <c r="EN238" s="314"/>
      <c r="EO238" s="314"/>
      <c r="EP238" s="313"/>
      <c r="EQ238" s="313"/>
      <c r="ER238" s="551">
        <f>IF(ER222=0,0,ER237/ER222)</f>
        <v>0</v>
      </c>
      <c r="ES238" s="313"/>
      <c r="ET238" s="314"/>
      <c r="EU238" s="314"/>
      <c r="EV238" s="313"/>
      <c r="EW238" s="313"/>
      <c r="EX238" s="551">
        <f>IF(EX222=0,0,EX237/EX222)</f>
        <v>0</v>
      </c>
      <c r="EY238" s="313"/>
      <c r="EZ238" s="314"/>
      <c r="FA238" s="314"/>
      <c r="FB238" s="313"/>
      <c r="FC238" s="313"/>
      <c r="FD238" s="551">
        <f>IF(FD222=0,0,FD237/FD222)</f>
        <v>0</v>
      </c>
      <c r="FE238" s="313"/>
      <c r="FF238" s="314"/>
      <c r="FG238" s="314"/>
      <c r="FH238" s="313"/>
      <c r="FI238" s="313"/>
      <c r="FJ238" s="551">
        <f>IF(FJ222=0,0,FJ237/FJ222)</f>
        <v>0</v>
      </c>
      <c r="FK238" s="313"/>
      <c r="FL238" s="314"/>
      <c r="FM238" s="314"/>
      <c r="FN238" s="313"/>
      <c r="FO238" s="313"/>
      <c r="FP238" s="551">
        <f>IF(FP222=0,0,FP237/FP222)</f>
        <v>0</v>
      </c>
      <c r="FQ238" s="313"/>
      <c r="FR238" s="314"/>
      <c r="FS238" s="314"/>
      <c r="FT238" s="313"/>
      <c r="FU238" s="313"/>
      <c r="FV238" s="551">
        <f>IF(FV222=0,0,FV237/FV222)</f>
        <v>0</v>
      </c>
      <c r="FW238" s="313"/>
      <c r="FX238" s="314"/>
      <c r="FY238" s="314"/>
      <c r="FZ238" s="313"/>
      <c r="GA238" s="313"/>
      <c r="GB238" s="551">
        <f>IF(GB222=0,0,GB237/GB222)</f>
        <v>0</v>
      </c>
      <c r="GC238" s="313"/>
      <c r="GD238" s="314"/>
      <c r="GE238" s="314"/>
      <c r="GF238" s="313"/>
      <c r="GG238" s="313"/>
      <c r="GH238" s="551">
        <f>IF(GH222=0,0,GH237/GH222)</f>
        <v>0</v>
      </c>
      <c r="GI238" s="313"/>
      <c r="GJ238" s="314"/>
      <c r="GK238" s="314"/>
      <c r="GL238" s="313"/>
      <c r="GM238" s="313"/>
      <c r="GN238" s="551">
        <f>IF(GN222=0,0,GN237/GN222)</f>
        <v>0</v>
      </c>
      <c r="GO238" s="313"/>
      <c r="GP238" s="314"/>
      <c r="GQ238" s="314"/>
      <c r="GR238" s="313"/>
      <c r="GS238" s="313"/>
      <c r="GT238" s="551">
        <f>IF(GT222=0,0,GT237/GT222)</f>
        <v>0</v>
      </c>
      <c r="GU238" s="313"/>
      <c r="GV238" s="314"/>
      <c r="GW238" s="314"/>
      <c r="GX238" s="313"/>
      <c r="GY238" s="313"/>
      <c r="GZ238" s="555">
        <f>IF(GZ222=0,0,GZ237/GZ222)</f>
        <v>0</v>
      </c>
      <c r="HA238" s="532"/>
      <c r="HB238" s="530"/>
      <c r="HC238" s="530"/>
      <c r="HD238" s="532"/>
      <c r="HE238" s="532"/>
      <c r="HF238" s="546"/>
      <c r="HG238" s="547"/>
      <c r="HH238" s="547"/>
      <c r="HI238" s="547"/>
      <c r="HJ238" s="547"/>
    </row>
    <row r="239" spans="1:218" ht="8.25" customHeight="1">
      <c r="B239" s="123"/>
      <c r="C239" s="123"/>
      <c r="D239" s="123"/>
      <c r="E239" s="123"/>
      <c r="F239" s="123"/>
      <c r="G239" s="123"/>
      <c r="H239" s="123"/>
      <c r="I239" s="123"/>
      <c r="J239" s="123"/>
      <c r="K239" s="123"/>
      <c r="L239" s="123"/>
      <c r="M239" s="537"/>
      <c r="N239" s="13"/>
      <c r="O239" s="13"/>
      <c r="P239" s="13"/>
      <c r="Q239" s="13"/>
      <c r="R239" s="13"/>
      <c r="S239" s="13"/>
      <c r="T239" s="13"/>
      <c r="U239" s="8"/>
      <c r="V239" s="8"/>
      <c r="W239" s="8"/>
      <c r="X239" s="638"/>
      <c r="Y239" s="63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532"/>
      <c r="HB239" s="530"/>
      <c r="HC239" s="530"/>
      <c r="HD239" s="532"/>
      <c r="HE239" s="532"/>
      <c r="HF239" s="546"/>
      <c r="HG239" s="547"/>
      <c r="HH239" s="547"/>
      <c r="HI239" s="547"/>
      <c r="HJ239" s="547"/>
    </row>
    <row r="240" spans="1:218" ht="24.95" customHeight="1">
      <c r="B240" s="123"/>
      <c r="C240" s="830" t="s">
        <v>103</v>
      </c>
      <c r="D240" s="830"/>
      <c r="E240" s="830"/>
      <c r="F240" s="830"/>
      <c r="G240" s="830"/>
      <c r="H240" s="830"/>
      <c r="I240" s="830"/>
      <c r="J240" s="830"/>
      <c r="K240" s="830"/>
      <c r="L240" s="830"/>
      <c r="M240" s="537"/>
      <c r="N240" s="640" t="s">
        <v>499</v>
      </c>
      <c r="O240" s="641"/>
      <c r="P240" s="641"/>
      <c r="Q240" s="641"/>
      <c r="R240" s="641"/>
      <c r="S240" s="641"/>
      <c r="T240" s="641"/>
      <c r="U240" s="642">
        <f>U$37</f>
        <v>0</v>
      </c>
      <c r="V240" s="541">
        <f>V$37</f>
        <v>0</v>
      </c>
      <c r="W240" s="542"/>
      <c r="X240" s="543"/>
      <c r="Y240" s="543"/>
      <c r="Z240" s="542"/>
      <c r="AA240" s="542"/>
      <c r="AB240" s="541">
        <f>AB$37</f>
        <v>0</v>
      </c>
      <c r="AC240" s="542"/>
      <c r="AD240" s="543"/>
      <c r="AE240" s="543"/>
      <c r="AF240" s="542"/>
      <c r="AG240" s="542"/>
      <c r="AH240" s="541">
        <f>AH$37</f>
        <v>0</v>
      </c>
      <c r="AI240" s="542"/>
      <c r="AJ240" s="543"/>
      <c r="AK240" s="543"/>
      <c r="AL240" s="542"/>
      <c r="AM240" s="542"/>
      <c r="AN240" s="541">
        <f>AN$37</f>
        <v>0</v>
      </c>
      <c r="AO240" s="560"/>
      <c r="AP240" s="561"/>
      <c r="AQ240" s="561"/>
      <c r="AR240" s="560"/>
      <c r="AS240" s="560"/>
      <c r="AT240" s="540">
        <f>IF(AT222=0,0,AN240+SUMIF($S44:$S216,"ja",AW44:AW216))</f>
        <v>104729.52</v>
      </c>
      <c r="AU240" s="542"/>
      <c r="AV240" s="543"/>
      <c r="AW240" s="543"/>
      <c r="AX240" s="542"/>
      <c r="AY240" s="542"/>
      <c r="AZ240" s="541">
        <f>IF(AZ222=0,0,AT240+SUMIF($S44:$S216,"ja",BC44:BC216))</f>
        <v>104729.52</v>
      </c>
      <c r="BA240" s="311"/>
      <c r="BB240" s="312"/>
      <c r="BC240" s="312"/>
      <c r="BD240" s="311"/>
      <c r="BE240" s="311"/>
      <c r="BF240" s="541">
        <f>IF(BF222=0,0,AZ240+SUMIF($S44:$S216,"ja",BI44:BI216))</f>
        <v>104729.52</v>
      </c>
      <c r="BG240" s="311"/>
      <c r="BH240" s="312"/>
      <c r="BI240" s="312"/>
      <c r="BJ240" s="311"/>
      <c r="BK240" s="311"/>
      <c r="BL240" s="541">
        <f>IF(BL222=0,0,BF240+SUMIF($S44:$S216,"ja",BO44:BO216))</f>
        <v>104729.52</v>
      </c>
      <c r="BM240" s="311"/>
      <c r="BN240" s="312"/>
      <c r="BO240" s="312"/>
      <c r="BP240" s="311"/>
      <c r="BQ240" s="311"/>
      <c r="BR240" s="541">
        <f>IF(BR222=0,0,BL240+SUMIF($S44:$S216,"ja",BU44:BU216))</f>
        <v>104729.52</v>
      </c>
      <c r="BS240" s="542"/>
      <c r="BT240" s="543"/>
      <c r="BU240" s="543"/>
      <c r="BV240" s="542"/>
      <c r="BW240" s="542"/>
      <c r="BX240" s="541">
        <f>IF(BX222=0,0,BR240+SUMIF($S44:$S216,"ja",CA44:CA216))</f>
        <v>104729.52</v>
      </c>
      <c r="BY240" s="311"/>
      <c r="BZ240" s="312"/>
      <c r="CA240" s="312"/>
      <c r="CB240" s="311"/>
      <c r="CC240" s="311"/>
      <c r="CD240" s="541">
        <f>IF(CD222=0,0,BX240+SUMIF($S44:$S216,"ja",CG44:CG216))</f>
        <v>104729.52</v>
      </c>
      <c r="CE240" s="311"/>
      <c r="CF240" s="312"/>
      <c r="CG240" s="312"/>
      <c r="CH240" s="311"/>
      <c r="CI240" s="311"/>
      <c r="CJ240" s="541">
        <f>IF(CJ222=0,0,CD240+SUMIF($S44:$S216,"ja",CM44:CM216))</f>
        <v>104729.52</v>
      </c>
      <c r="CK240" s="311"/>
      <c r="CL240" s="312"/>
      <c r="CM240" s="312"/>
      <c r="CN240" s="311"/>
      <c r="CO240" s="311"/>
      <c r="CP240" s="541">
        <f>IF(CP222=0,0,CJ240+SUMIF($S44:$S216,"ja",CS44:CS216))</f>
        <v>104729.52</v>
      </c>
      <c r="CQ240" s="544"/>
      <c r="CR240" s="543"/>
      <c r="CS240" s="543"/>
      <c r="CT240" s="544"/>
      <c r="CU240" s="544"/>
      <c r="CV240" s="541">
        <f>IF(CV222=0,0,CP240+SUMIF($S44:$S216,"ja",CY44:CY216))</f>
        <v>104729.52</v>
      </c>
      <c r="CW240" s="544"/>
      <c r="CX240" s="543"/>
      <c r="CY240" s="543"/>
      <c r="CZ240" s="544"/>
      <c r="DA240" s="544"/>
      <c r="DB240" s="541">
        <f>IF(DB222=0,0,CV240+SUMIF($S44:$S216,"ja",DE44:DE216))</f>
        <v>104729.52</v>
      </c>
      <c r="DC240" s="311"/>
      <c r="DD240" s="312"/>
      <c r="DE240" s="312"/>
      <c r="DF240" s="311"/>
      <c r="DG240" s="311"/>
      <c r="DH240" s="541">
        <f>IF(DH222=0,0,DB240+SUMIF($S44:$S216,"ja",DK44:DK216))</f>
        <v>104729.52</v>
      </c>
      <c r="DI240" s="311"/>
      <c r="DJ240" s="312"/>
      <c r="DK240" s="312"/>
      <c r="DL240" s="311"/>
      <c r="DM240" s="311"/>
      <c r="DN240" s="541">
        <f>IF(DN222=0,0,DH240+SUMIF($S44:$S216,"ja",DQ44:DQ216))</f>
        <v>104729.52</v>
      </c>
      <c r="DO240" s="311"/>
      <c r="DP240" s="312"/>
      <c r="DQ240" s="312"/>
      <c r="DR240" s="311"/>
      <c r="DS240" s="311"/>
      <c r="DT240" s="541">
        <f>IF(DT222=0,0,DN240+SUMIF($S44:$S216,"ja",DW44:DW216))</f>
        <v>104729.52</v>
      </c>
      <c r="DU240" s="311"/>
      <c r="DV240" s="312"/>
      <c r="DW240" s="312"/>
      <c r="DX240" s="311"/>
      <c r="DY240" s="311"/>
      <c r="DZ240" s="541">
        <f>IF(DZ222=0,0,DT240+SUMIF($S44:$S216,"ja",EC44:EC216))</f>
        <v>104729.52</v>
      </c>
      <c r="EA240" s="311"/>
      <c r="EB240" s="312"/>
      <c r="EC240" s="312"/>
      <c r="ED240" s="311"/>
      <c r="EE240" s="311"/>
      <c r="EF240" s="541">
        <f>IF(EF222=0,0,DZ240+SUMIF($S44:$S216,"ja",EI44:EI216))</f>
        <v>104729.52</v>
      </c>
      <c r="EG240" s="311"/>
      <c r="EH240" s="312"/>
      <c r="EI240" s="312"/>
      <c r="EJ240" s="311"/>
      <c r="EK240" s="311"/>
      <c r="EL240" s="541">
        <f>IF(EL222=0,0,EF240+SUMIF($S44:$S216,"ja",EO44:EO216))</f>
        <v>104729.52</v>
      </c>
      <c r="EM240" s="311"/>
      <c r="EN240" s="312"/>
      <c r="EO240" s="312"/>
      <c r="EP240" s="311"/>
      <c r="EQ240" s="311"/>
      <c r="ER240" s="541">
        <f>IF(ER222=0,0,EL240+SUMIF($S44:$S216,"ja",EU44:EU216))</f>
        <v>0</v>
      </c>
      <c r="ES240" s="311"/>
      <c r="ET240" s="312"/>
      <c r="EU240" s="312"/>
      <c r="EV240" s="311"/>
      <c r="EW240" s="311"/>
      <c r="EX240" s="541">
        <f>IF(EX222=0,0,ER240+SUMIF($S44:$S216,"ja",FA44:FA216))</f>
        <v>0</v>
      </c>
      <c r="EY240" s="311"/>
      <c r="EZ240" s="312"/>
      <c r="FA240" s="312"/>
      <c r="FB240" s="311"/>
      <c r="FC240" s="311"/>
      <c r="FD240" s="541">
        <f>IF(FD222=0,0,EX240+SUMIF($S44:$S216,"ja",FG44:FG216))</f>
        <v>0</v>
      </c>
      <c r="FE240" s="311"/>
      <c r="FF240" s="312"/>
      <c r="FG240" s="312"/>
      <c r="FH240" s="311"/>
      <c r="FI240" s="311"/>
      <c r="FJ240" s="541">
        <f>IF(FJ222=0,0,FD240+SUMIF($S44:$S216,"ja",FM44:FM216))</f>
        <v>0</v>
      </c>
      <c r="FK240" s="311"/>
      <c r="FL240" s="312"/>
      <c r="FM240" s="312"/>
      <c r="FN240" s="311"/>
      <c r="FO240" s="311"/>
      <c r="FP240" s="541">
        <f>IF(FP222=0,0,FJ240+SUMIF($S44:$S216,"ja",FS44:FS216))</f>
        <v>0</v>
      </c>
      <c r="FQ240" s="311"/>
      <c r="FR240" s="312"/>
      <c r="FS240" s="312"/>
      <c r="FT240" s="311"/>
      <c r="FU240" s="311"/>
      <c r="FV240" s="541">
        <f>IF(FV222=0,0,FP240+SUMIF($S44:$S216,"ja",FY44:FY216))</f>
        <v>0</v>
      </c>
      <c r="FW240" s="311"/>
      <c r="FX240" s="312"/>
      <c r="FY240" s="312"/>
      <c r="FZ240" s="311"/>
      <c r="GA240" s="311"/>
      <c r="GB240" s="541">
        <f>IF(GB222=0,0,FV240+SUMIF($S44:$S216,"ja",GE44:GE216))</f>
        <v>0</v>
      </c>
      <c r="GC240" s="311"/>
      <c r="GD240" s="312"/>
      <c r="GE240" s="312"/>
      <c r="GF240" s="311"/>
      <c r="GG240" s="311"/>
      <c r="GH240" s="541">
        <f>IF(GH222=0,0,GB240+SUMIF($S44:$S216,"ja",GK44:GK216))</f>
        <v>0</v>
      </c>
      <c r="GI240" s="311"/>
      <c r="GJ240" s="312"/>
      <c r="GK240" s="312"/>
      <c r="GL240" s="311"/>
      <c r="GM240" s="311"/>
      <c r="GN240" s="541">
        <f>IF(GN222=0,0,GH240+SUMIF($S44:$S216,"ja",GQ44:GQ216))</f>
        <v>0</v>
      </c>
      <c r="GO240" s="311"/>
      <c r="GP240" s="312"/>
      <c r="GQ240" s="312"/>
      <c r="GR240" s="311"/>
      <c r="GS240" s="311"/>
      <c r="GT240" s="541">
        <f>IF(GT222=0,0,GN240+SUMIF($S44:$S216,"ja",GW44:GW216))</f>
        <v>0</v>
      </c>
      <c r="GU240" s="311"/>
      <c r="GV240" s="312"/>
      <c r="GW240" s="312"/>
      <c r="GX240" s="311"/>
      <c r="GY240" s="311"/>
      <c r="GZ240" s="545">
        <f>IF(GZ222=0,0,GT240+SUMIF($S44:$S216,"ja",HC44:HC216))</f>
        <v>0</v>
      </c>
      <c r="HA240" s="532"/>
      <c r="HB240" s="530"/>
      <c r="HC240" s="530"/>
      <c r="HD240" s="532"/>
      <c r="HE240" s="532"/>
      <c r="HF240" s="546"/>
      <c r="HG240" s="547"/>
      <c r="HH240" s="547"/>
      <c r="HI240" s="547"/>
      <c r="HJ240" s="547"/>
    </row>
    <row r="241" spans="2:218" ht="27" customHeight="1">
      <c r="B241" s="123"/>
      <c r="C241" s="830"/>
      <c r="D241" s="830"/>
      <c r="E241" s="830"/>
      <c r="F241" s="830"/>
      <c r="G241" s="830"/>
      <c r="H241" s="830"/>
      <c r="I241" s="830"/>
      <c r="J241" s="830"/>
      <c r="K241" s="830"/>
      <c r="L241" s="830"/>
      <c r="M241" s="537"/>
      <c r="N241" s="643" t="s">
        <v>500</v>
      </c>
      <c r="O241" s="644"/>
      <c r="P241" s="644"/>
      <c r="Q241" s="644"/>
      <c r="R241" s="644"/>
      <c r="S241" s="644"/>
      <c r="T241" s="644"/>
      <c r="U241" s="645">
        <f>IF(U222=0,0,U240/U222)</f>
        <v>0</v>
      </c>
      <c r="V241" s="646">
        <f>IF(V222=0,0,V240/V222)</f>
        <v>0</v>
      </c>
      <c r="W241" s="624"/>
      <c r="X241" s="624"/>
      <c r="Y241" s="624"/>
      <c r="Z241" s="624"/>
      <c r="AA241" s="624"/>
      <c r="AB241" s="646">
        <f>IF(AB222=0,0,AB240/AB222)</f>
        <v>0</v>
      </c>
      <c r="AC241" s="625"/>
      <c r="AD241" s="625"/>
      <c r="AE241" s="625"/>
      <c r="AF241" s="625"/>
      <c r="AG241" s="625"/>
      <c r="AH241" s="646">
        <f>IF(AH222=0,0,AH240/AH222)</f>
        <v>0</v>
      </c>
      <c r="AI241" s="624"/>
      <c r="AJ241" s="624"/>
      <c r="AK241" s="624"/>
      <c r="AL241" s="624"/>
      <c r="AM241" s="624"/>
      <c r="AN241" s="623">
        <f>(IF(AN222=0,0,AN240/AN222))</f>
        <v>0</v>
      </c>
      <c r="AO241" s="626"/>
      <c r="AP241" s="626"/>
      <c r="AQ241" s="626"/>
      <c r="AR241" s="626"/>
      <c r="AS241" s="626"/>
      <c r="AT241" s="627">
        <f>(IF(AT222=0,0,AT240/AT222))</f>
        <v>48.25</v>
      </c>
      <c r="AU241" s="317"/>
      <c r="AV241" s="317"/>
      <c r="AW241" s="317"/>
      <c r="AX241" s="317"/>
      <c r="AY241" s="317"/>
      <c r="AZ241" s="623">
        <f>(IF(AZ222=0,0,AZ240/AZ222))</f>
        <v>48.25</v>
      </c>
      <c r="BA241" s="317"/>
      <c r="BB241" s="317"/>
      <c r="BC241" s="317"/>
      <c r="BD241" s="317"/>
      <c r="BE241" s="317"/>
      <c r="BF241" s="623">
        <f>(IF(BF222=0,0,BF240/BF222))</f>
        <v>48.25</v>
      </c>
      <c r="BG241" s="317"/>
      <c r="BH241" s="317"/>
      <c r="BI241" s="317"/>
      <c r="BJ241" s="317"/>
      <c r="BK241" s="317"/>
      <c r="BL241" s="623">
        <f>(IF(BL222=0,0,BL240/BL222))</f>
        <v>48.25</v>
      </c>
      <c r="BM241" s="317"/>
      <c r="BN241" s="317"/>
      <c r="BO241" s="317"/>
      <c r="BP241" s="317"/>
      <c r="BQ241" s="317"/>
      <c r="BR241" s="623">
        <f>(IF(BR222=0,0,BR240/BR222))</f>
        <v>48.25</v>
      </c>
      <c r="BS241" s="317"/>
      <c r="BT241" s="317"/>
      <c r="BU241" s="317"/>
      <c r="BV241" s="317"/>
      <c r="BW241" s="317"/>
      <c r="BX241" s="623">
        <f>(IF(BX222=0,0,BX240/BX222))</f>
        <v>48.25</v>
      </c>
      <c r="BY241" s="317"/>
      <c r="BZ241" s="317"/>
      <c r="CA241" s="317"/>
      <c r="CB241" s="317"/>
      <c r="CC241" s="317"/>
      <c r="CD241" s="623">
        <f>(IF(CD222=0,0,CD240/CD222))</f>
        <v>48.25</v>
      </c>
      <c r="CE241" s="317"/>
      <c r="CF241" s="317"/>
      <c r="CG241" s="317"/>
      <c r="CH241" s="317"/>
      <c r="CI241" s="317"/>
      <c r="CJ241" s="623">
        <f>(IF(CJ222=0,0,CJ240/CJ222))</f>
        <v>48.25</v>
      </c>
      <c r="CK241" s="317"/>
      <c r="CL241" s="317"/>
      <c r="CM241" s="317"/>
      <c r="CN241" s="317"/>
      <c r="CO241" s="317"/>
      <c r="CP241" s="623">
        <f>(IF(CP222=0,0,CP240/CP222))</f>
        <v>48.25</v>
      </c>
      <c r="CQ241" s="317"/>
      <c r="CR241" s="317"/>
      <c r="CS241" s="317"/>
      <c r="CT241" s="317"/>
      <c r="CU241" s="317"/>
      <c r="CV241" s="623">
        <f>(IF(CV222=0,0,CV240/CV222))</f>
        <v>48.25</v>
      </c>
      <c r="CW241" s="628"/>
      <c r="CX241" s="629"/>
      <c r="CY241" s="629"/>
      <c r="CZ241" s="628"/>
      <c r="DA241" s="628"/>
      <c r="DB241" s="623">
        <f>(IF(DB222=0,0,DB240/DB222))</f>
        <v>48.25</v>
      </c>
      <c r="DC241" s="317"/>
      <c r="DD241" s="317"/>
      <c r="DE241" s="317"/>
      <c r="DF241" s="317"/>
      <c r="DG241" s="317"/>
      <c r="DH241" s="623">
        <f>(IF(DH222=0,0,DH240/DH222))</f>
        <v>48.25</v>
      </c>
      <c r="DI241" s="317"/>
      <c r="DJ241" s="317"/>
      <c r="DK241" s="317"/>
      <c r="DL241" s="317"/>
      <c r="DM241" s="317"/>
      <c r="DN241" s="623">
        <f>(IF(DN222=0,0,DN240/DN222))</f>
        <v>48.25</v>
      </c>
      <c r="DO241" s="317"/>
      <c r="DP241" s="317"/>
      <c r="DQ241" s="317"/>
      <c r="DR241" s="317"/>
      <c r="DS241" s="317"/>
      <c r="DT241" s="623">
        <f>(IF(DT222=0,0,DT240/DT222))</f>
        <v>48.25</v>
      </c>
      <c r="DU241" s="317"/>
      <c r="DV241" s="317"/>
      <c r="DW241" s="317"/>
      <c r="DX241" s="317"/>
      <c r="DY241" s="317"/>
      <c r="DZ241" s="623">
        <f>(IF(DZ222=0,0,DZ240/DZ222))</f>
        <v>48.25</v>
      </c>
      <c r="EA241" s="317"/>
      <c r="EB241" s="317"/>
      <c r="EC241" s="317"/>
      <c r="ED241" s="317"/>
      <c r="EE241" s="317"/>
      <c r="EF241" s="623">
        <f>(IF(EF222=0,0,EF240/EF222))</f>
        <v>48.25</v>
      </c>
      <c r="EG241" s="317"/>
      <c r="EH241" s="317"/>
      <c r="EI241" s="317"/>
      <c r="EJ241" s="317"/>
      <c r="EK241" s="317"/>
      <c r="EL241" s="623">
        <f>(IF(EL222=0,0,EL240/EL222))</f>
        <v>48.25</v>
      </c>
      <c r="EM241" s="317"/>
      <c r="EN241" s="317"/>
      <c r="EO241" s="317"/>
      <c r="EP241" s="317"/>
      <c r="EQ241" s="317"/>
      <c r="ER241" s="623">
        <f>(IF(ER222=0,0,ER240/ER222))</f>
        <v>0</v>
      </c>
      <c r="ES241" s="317"/>
      <c r="ET241" s="317"/>
      <c r="EU241" s="317"/>
      <c r="EV241" s="317"/>
      <c r="EW241" s="317"/>
      <c r="EX241" s="623">
        <f>(IF(EX222=0,0,EX240/EX222))</f>
        <v>0</v>
      </c>
      <c r="EY241" s="317"/>
      <c r="EZ241" s="317"/>
      <c r="FA241" s="317"/>
      <c r="FB241" s="317"/>
      <c r="FC241" s="317"/>
      <c r="FD241" s="623">
        <f>(IF(FD222=0,0,FD240/FD222))</f>
        <v>0</v>
      </c>
      <c r="FE241" s="317"/>
      <c r="FF241" s="317"/>
      <c r="FG241" s="317"/>
      <c r="FH241" s="317"/>
      <c r="FI241" s="317"/>
      <c r="FJ241" s="623">
        <f>(IF(FJ222=0,0,FJ240/FJ222))</f>
        <v>0</v>
      </c>
      <c r="FK241" s="317"/>
      <c r="FL241" s="317"/>
      <c r="FM241" s="317"/>
      <c r="FN241" s="317"/>
      <c r="FO241" s="317"/>
      <c r="FP241" s="623">
        <f>(IF(FP222=0,0,FP240/FP222))</f>
        <v>0</v>
      </c>
      <c r="FQ241" s="317"/>
      <c r="FR241" s="317"/>
      <c r="FS241" s="317"/>
      <c r="FT241" s="317"/>
      <c r="FU241" s="317"/>
      <c r="FV241" s="623">
        <f>(IF(FV222=0,0,FV240/FV222))</f>
        <v>0</v>
      </c>
      <c r="FW241" s="317"/>
      <c r="FX241" s="317"/>
      <c r="FY241" s="317"/>
      <c r="FZ241" s="317"/>
      <c r="GA241" s="317"/>
      <c r="GB241" s="623">
        <f>(IF(GB222=0,0,GB240/GB222))</f>
        <v>0</v>
      </c>
      <c r="GC241" s="317"/>
      <c r="GD241" s="317"/>
      <c r="GE241" s="317"/>
      <c r="GF241" s="317"/>
      <c r="GG241" s="317"/>
      <c r="GH241" s="623">
        <f>(IF(GH222=0,0,GH240/GH222))</f>
        <v>0</v>
      </c>
      <c r="GI241" s="317"/>
      <c r="GJ241" s="317"/>
      <c r="GK241" s="317"/>
      <c r="GL241" s="317"/>
      <c r="GM241" s="317"/>
      <c r="GN241" s="623">
        <f>(IF(GN222=0,0,GN240/GN222))</f>
        <v>0</v>
      </c>
      <c r="GO241" s="317"/>
      <c r="GP241" s="317"/>
      <c r="GQ241" s="317"/>
      <c r="GR241" s="317"/>
      <c r="GS241" s="317"/>
      <c r="GT241" s="623">
        <f>(IF(GT222=0,0,GT240/GT222))</f>
        <v>0</v>
      </c>
      <c r="GU241" s="317"/>
      <c r="GV241" s="317"/>
      <c r="GW241" s="317"/>
      <c r="GX241" s="317"/>
      <c r="GY241" s="317"/>
      <c r="GZ241" s="630">
        <f>(IF(GZ222=0,0,GZ240/GZ222))</f>
        <v>0</v>
      </c>
      <c r="HA241" s="532"/>
      <c r="HB241" s="530"/>
      <c r="HC241" s="530"/>
      <c r="HD241" s="532"/>
      <c r="HE241" s="532"/>
      <c r="HF241" s="546"/>
      <c r="HG241" s="547"/>
      <c r="HH241" s="547"/>
      <c r="HI241" s="547"/>
      <c r="HJ241" s="547"/>
    </row>
    <row r="242" spans="2:218" ht="30" customHeight="1">
      <c r="B242" s="123"/>
      <c r="C242" s="830"/>
      <c r="D242" s="830"/>
      <c r="E242" s="830"/>
      <c r="F242" s="830"/>
      <c r="G242" s="830"/>
      <c r="H242" s="830"/>
      <c r="I242" s="830"/>
      <c r="J242" s="830"/>
      <c r="K242" s="830"/>
      <c r="L242" s="830"/>
      <c r="M242" s="537"/>
      <c r="N242" s="643" t="s">
        <v>740</v>
      </c>
      <c r="O242" s="644"/>
      <c r="P242" s="644"/>
      <c r="Q242" s="644"/>
      <c r="R242" s="644"/>
      <c r="S242" s="644"/>
      <c r="T242" s="644"/>
      <c r="U242" s="647"/>
      <c r="V242" s="647"/>
      <c r="W242" s="439"/>
      <c r="X242" s="530"/>
      <c r="Y242" s="530"/>
      <c r="Z242" s="439"/>
      <c r="AA242" s="439"/>
      <c r="AB242" s="647"/>
      <c r="AC242" s="439"/>
      <c r="AD242" s="530"/>
      <c r="AE242" s="530"/>
      <c r="AF242" s="439"/>
      <c r="AG242" s="439"/>
      <c r="AH242" s="647"/>
      <c r="AI242" s="439"/>
      <c r="AJ242" s="530"/>
      <c r="AK242" s="530"/>
      <c r="AL242" s="439"/>
      <c r="AM242" s="439"/>
      <c r="AN242" s="647"/>
      <c r="AO242" s="439"/>
      <c r="AP242" s="530"/>
      <c r="AQ242" s="530"/>
      <c r="AR242" s="439"/>
      <c r="AS242" s="439"/>
      <c r="AT242" s="609">
        <f t="shared" ref="AT242:DE242" si="278">IF(AT222=0,0,IF(AT44&gt;0,-AX44,IF(AN242&gt;0,AN242,0)))</f>
        <v>0</v>
      </c>
      <c r="AU242" s="609">
        <f t="shared" si="278"/>
        <v>0</v>
      </c>
      <c r="AV242" s="609">
        <f t="shared" si="278"/>
        <v>0</v>
      </c>
      <c r="AW242" s="609">
        <f t="shared" si="278"/>
        <v>0</v>
      </c>
      <c r="AX242" s="609">
        <f t="shared" si="278"/>
        <v>0</v>
      </c>
      <c r="AY242" s="609">
        <f t="shared" si="278"/>
        <v>0</v>
      </c>
      <c r="AZ242" s="609">
        <f t="shared" si="278"/>
        <v>0</v>
      </c>
      <c r="BA242" s="609">
        <f t="shared" si="278"/>
        <v>0</v>
      </c>
      <c r="BB242" s="609">
        <f t="shared" si="278"/>
        <v>0</v>
      </c>
      <c r="BC242" s="609">
        <f t="shared" si="278"/>
        <v>0</v>
      </c>
      <c r="BD242" s="609">
        <f t="shared" si="278"/>
        <v>0</v>
      </c>
      <c r="BE242" s="609">
        <f t="shared" si="278"/>
        <v>0</v>
      </c>
      <c r="BF242" s="609">
        <f t="shared" si="278"/>
        <v>0</v>
      </c>
      <c r="BG242" s="609">
        <f t="shared" si="278"/>
        <v>0</v>
      </c>
      <c r="BH242" s="609">
        <f t="shared" si="278"/>
        <v>0</v>
      </c>
      <c r="BI242" s="609">
        <f t="shared" si="278"/>
        <v>0</v>
      </c>
      <c r="BJ242" s="609">
        <f t="shared" si="278"/>
        <v>0</v>
      </c>
      <c r="BK242" s="609">
        <f t="shared" si="278"/>
        <v>0</v>
      </c>
      <c r="BL242" s="609">
        <f t="shared" si="278"/>
        <v>0</v>
      </c>
      <c r="BM242" s="609">
        <f t="shared" si="278"/>
        <v>0</v>
      </c>
      <c r="BN242" s="609">
        <f t="shared" si="278"/>
        <v>0</v>
      </c>
      <c r="BO242" s="609">
        <f t="shared" si="278"/>
        <v>0</v>
      </c>
      <c r="BP242" s="609">
        <f t="shared" si="278"/>
        <v>0</v>
      </c>
      <c r="BQ242" s="609">
        <f t="shared" si="278"/>
        <v>0</v>
      </c>
      <c r="BR242" s="609">
        <f t="shared" si="278"/>
        <v>0</v>
      </c>
      <c r="BS242" s="609">
        <f t="shared" si="278"/>
        <v>0</v>
      </c>
      <c r="BT242" s="609">
        <f t="shared" si="278"/>
        <v>0</v>
      </c>
      <c r="BU242" s="609">
        <f t="shared" si="278"/>
        <v>0</v>
      </c>
      <c r="BV242" s="609">
        <f t="shared" si="278"/>
        <v>0</v>
      </c>
      <c r="BW242" s="609">
        <f t="shared" si="278"/>
        <v>0</v>
      </c>
      <c r="BX242" s="609">
        <f t="shared" si="278"/>
        <v>711</v>
      </c>
      <c r="BY242" s="609">
        <f t="shared" si="278"/>
        <v>0</v>
      </c>
      <c r="BZ242" s="609">
        <f t="shared" si="278"/>
        <v>0</v>
      </c>
      <c r="CA242" s="609">
        <f t="shared" si="278"/>
        <v>0</v>
      </c>
      <c r="CB242" s="609">
        <f t="shared" si="278"/>
        <v>0</v>
      </c>
      <c r="CC242" s="609">
        <f t="shared" si="278"/>
        <v>0</v>
      </c>
      <c r="CD242" s="609">
        <f t="shared" si="278"/>
        <v>711</v>
      </c>
      <c r="CE242" s="609">
        <f t="shared" si="278"/>
        <v>0</v>
      </c>
      <c r="CF242" s="609">
        <f t="shared" si="278"/>
        <v>0</v>
      </c>
      <c r="CG242" s="609">
        <f t="shared" si="278"/>
        <v>0</v>
      </c>
      <c r="CH242" s="609">
        <f t="shared" si="278"/>
        <v>0</v>
      </c>
      <c r="CI242" s="609">
        <f t="shared" si="278"/>
        <v>0</v>
      </c>
      <c r="CJ242" s="609">
        <f t="shared" si="278"/>
        <v>711</v>
      </c>
      <c r="CK242" s="609">
        <f t="shared" si="278"/>
        <v>0</v>
      </c>
      <c r="CL242" s="609">
        <f t="shared" si="278"/>
        <v>0</v>
      </c>
      <c r="CM242" s="609">
        <f t="shared" si="278"/>
        <v>0</v>
      </c>
      <c r="CN242" s="609">
        <f t="shared" si="278"/>
        <v>0</v>
      </c>
      <c r="CO242" s="609">
        <f t="shared" si="278"/>
        <v>0</v>
      </c>
      <c r="CP242" s="609">
        <f t="shared" si="278"/>
        <v>711</v>
      </c>
      <c r="CQ242" s="609">
        <f t="shared" si="278"/>
        <v>0</v>
      </c>
      <c r="CR242" s="609">
        <f t="shared" si="278"/>
        <v>0</v>
      </c>
      <c r="CS242" s="609">
        <f t="shared" si="278"/>
        <v>0</v>
      </c>
      <c r="CT242" s="609">
        <f t="shared" si="278"/>
        <v>0</v>
      </c>
      <c r="CU242" s="609">
        <f t="shared" si="278"/>
        <v>0</v>
      </c>
      <c r="CV242" s="609">
        <f t="shared" si="278"/>
        <v>711</v>
      </c>
      <c r="CW242" s="609">
        <f t="shared" si="278"/>
        <v>0</v>
      </c>
      <c r="CX242" s="609">
        <f t="shared" si="278"/>
        <v>0</v>
      </c>
      <c r="CY242" s="609">
        <f t="shared" si="278"/>
        <v>0</v>
      </c>
      <c r="CZ242" s="609">
        <f t="shared" si="278"/>
        <v>0</v>
      </c>
      <c r="DA242" s="609">
        <f t="shared" si="278"/>
        <v>0</v>
      </c>
      <c r="DB242" s="609">
        <f t="shared" si="278"/>
        <v>711</v>
      </c>
      <c r="DC242" s="609">
        <f t="shared" si="278"/>
        <v>0</v>
      </c>
      <c r="DD242" s="609">
        <f t="shared" si="278"/>
        <v>0</v>
      </c>
      <c r="DE242" s="609">
        <f t="shared" si="278"/>
        <v>0</v>
      </c>
      <c r="DF242" s="609">
        <f t="shared" ref="DF242:FQ242" si="279">IF(DF222=0,0,IF(DF44&gt;0,-DJ44,IF(CZ242&gt;0,CZ242,0)))</f>
        <v>0</v>
      </c>
      <c r="DG242" s="609">
        <f t="shared" si="279"/>
        <v>0</v>
      </c>
      <c r="DH242" s="609">
        <f t="shared" si="279"/>
        <v>711</v>
      </c>
      <c r="DI242" s="609">
        <f t="shared" si="279"/>
        <v>0</v>
      </c>
      <c r="DJ242" s="609">
        <f t="shared" si="279"/>
        <v>0</v>
      </c>
      <c r="DK242" s="609">
        <f t="shared" si="279"/>
        <v>0</v>
      </c>
      <c r="DL242" s="609">
        <f t="shared" si="279"/>
        <v>0</v>
      </c>
      <c r="DM242" s="609">
        <f t="shared" si="279"/>
        <v>0</v>
      </c>
      <c r="DN242" s="609">
        <f t="shared" si="279"/>
        <v>711</v>
      </c>
      <c r="DO242" s="609">
        <f t="shared" si="279"/>
        <v>0</v>
      </c>
      <c r="DP242" s="609">
        <f t="shared" si="279"/>
        <v>0</v>
      </c>
      <c r="DQ242" s="609">
        <f t="shared" si="279"/>
        <v>0</v>
      </c>
      <c r="DR242" s="609">
        <f t="shared" si="279"/>
        <v>0</v>
      </c>
      <c r="DS242" s="609">
        <f t="shared" si="279"/>
        <v>0</v>
      </c>
      <c r="DT242" s="609">
        <f t="shared" si="279"/>
        <v>711</v>
      </c>
      <c r="DU242" s="609">
        <f t="shared" si="279"/>
        <v>0</v>
      </c>
      <c r="DV242" s="609">
        <f t="shared" si="279"/>
        <v>0</v>
      </c>
      <c r="DW242" s="609">
        <f t="shared" si="279"/>
        <v>0</v>
      </c>
      <c r="DX242" s="609">
        <f t="shared" si="279"/>
        <v>0</v>
      </c>
      <c r="DY242" s="609">
        <f t="shared" si="279"/>
        <v>0</v>
      </c>
      <c r="DZ242" s="609">
        <f t="shared" si="279"/>
        <v>711</v>
      </c>
      <c r="EA242" s="609">
        <f t="shared" si="279"/>
        <v>0</v>
      </c>
      <c r="EB242" s="609">
        <f t="shared" si="279"/>
        <v>0</v>
      </c>
      <c r="EC242" s="609">
        <f t="shared" si="279"/>
        <v>0</v>
      </c>
      <c r="ED242" s="609">
        <f t="shared" si="279"/>
        <v>0</v>
      </c>
      <c r="EE242" s="609">
        <f t="shared" si="279"/>
        <v>0</v>
      </c>
      <c r="EF242" s="609">
        <f t="shared" si="279"/>
        <v>711</v>
      </c>
      <c r="EG242" s="609">
        <f t="shared" si="279"/>
        <v>0</v>
      </c>
      <c r="EH242" s="609">
        <f t="shared" si="279"/>
        <v>0</v>
      </c>
      <c r="EI242" s="609">
        <f t="shared" si="279"/>
        <v>0</v>
      </c>
      <c r="EJ242" s="609">
        <f t="shared" si="279"/>
        <v>0</v>
      </c>
      <c r="EK242" s="609">
        <f t="shared" si="279"/>
        <v>0</v>
      </c>
      <c r="EL242" s="609">
        <f t="shared" si="279"/>
        <v>711</v>
      </c>
      <c r="EM242" s="609">
        <f t="shared" si="279"/>
        <v>0</v>
      </c>
      <c r="EN242" s="609">
        <f t="shared" si="279"/>
        <v>0</v>
      </c>
      <c r="EO242" s="609">
        <f t="shared" si="279"/>
        <v>0</v>
      </c>
      <c r="EP242" s="609">
        <f t="shared" si="279"/>
        <v>0</v>
      </c>
      <c r="EQ242" s="609">
        <f t="shared" si="279"/>
        <v>0</v>
      </c>
      <c r="ER242" s="609">
        <f t="shared" si="279"/>
        <v>0</v>
      </c>
      <c r="ES242" s="609">
        <f t="shared" si="279"/>
        <v>0</v>
      </c>
      <c r="ET242" s="609">
        <f t="shared" si="279"/>
        <v>0</v>
      </c>
      <c r="EU242" s="609">
        <f t="shared" si="279"/>
        <v>0</v>
      </c>
      <c r="EV242" s="609">
        <f t="shared" si="279"/>
        <v>0</v>
      </c>
      <c r="EW242" s="609">
        <f t="shared" si="279"/>
        <v>0</v>
      </c>
      <c r="EX242" s="609">
        <f t="shared" si="279"/>
        <v>0</v>
      </c>
      <c r="EY242" s="609">
        <f t="shared" si="279"/>
        <v>0</v>
      </c>
      <c r="EZ242" s="609">
        <f t="shared" si="279"/>
        <v>0</v>
      </c>
      <c r="FA242" s="609">
        <f t="shared" si="279"/>
        <v>0</v>
      </c>
      <c r="FB242" s="609">
        <f t="shared" si="279"/>
        <v>0</v>
      </c>
      <c r="FC242" s="609">
        <f t="shared" si="279"/>
        <v>0</v>
      </c>
      <c r="FD242" s="609">
        <f t="shared" si="279"/>
        <v>0</v>
      </c>
      <c r="FE242" s="609">
        <f t="shared" si="279"/>
        <v>0</v>
      </c>
      <c r="FF242" s="609">
        <f t="shared" si="279"/>
        <v>0</v>
      </c>
      <c r="FG242" s="609">
        <f t="shared" si="279"/>
        <v>0</v>
      </c>
      <c r="FH242" s="609">
        <f t="shared" si="279"/>
        <v>0</v>
      </c>
      <c r="FI242" s="609">
        <f t="shared" si="279"/>
        <v>0</v>
      </c>
      <c r="FJ242" s="609">
        <f t="shared" si="279"/>
        <v>0</v>
      </c>
      <c r="FK242" s="609">
        <f t="shared" si="279"/>
        <v>0</v>
      </c>
      <c r="FL242" s="609">
        <f t="shared" si="279"/>
        <v>0</v>
      </c>
      <c r="FM242" s="609">
        <f t="shared" si="279"/>
        <v>0</v>
      </c>
      <c r="FN242" s="609">
        <f t="shared" si="279"/>
        <v>0</v>
      </c>
      <c r="FO242" s="609">
        <f t="shared" si="279"/>
        <v>0</v>
      </c>
      <c r="FP242" s="609">
        <f t="shared" si="279"/>
        <v>0</v>
      </c>
      <c r="FQ242" s="609">
        <f t="shared" si="279"/>
        <v>0</v>
      </c>
      <c r="FR242" s="609">
        <f t="shared" ref="FR242:HE242" si="280">IF(FR222=0,0,IF(FR44&gt;0,-FV44,IF(FL242&gt;0,FL242,0)))</f>
        <v>0</v>
      </c>
      <c r="FS242" s="609">
        <f t="shared" si="280"/>
        <v>0</v>
      </c>
      <c r="FT242" s="609">
        <f t="shared" si="280"/>
        <v>0</v>
      </c>
      <c r="FU242" s="609">
        <f t="shared" si="280"/>
        <v>0</v>
      </c>
      <c r="FV242" s="609">
        <f t="shared" si="280"/>
        <v>0</v>
      </c>
      <c r="FW242" s="609">
        <f t="shared" si="280"/>
        <v>0</v>
      </c>
      <c r="FX242" s="609">
        <f t="shared" si="280"/>
        <v>0</v>
      </c>
      <c r="FY242" s="609">
        <f t="shared" si="280"/>
        <v>0</v>
      </c>
      <c r="FZ242" s="609">
        <f t="shared" si="280"/>
        <v>0</v>
      </c>
      <c r="GA242" s="609">
        <f t="shared" si="280"/>
        <v>0</v>
      </c>
      <c r="GB242" s="609">
        <f t="shared" si="280"/>
        <v>0</v>
      </c>
      <c r="GC242" s="609">
        <f t="shared" si="280"/>
        <v>0</v>
      </c>
      <c r="GD242" s="609">
        <f t="shared" si="280"/>
        <v>0</v>
      </c>
      <c r="GE242" s="609">
        <f t="shared" si="280"/>
        <v>0</v>
      </c>
      <c r="GF242" s="609">
        <f t="shared" si="280"/>
        <v>0</v>
      </c>
      <c r="GG242" s="609">
        <f t="shared" si="280"/>
        <v>0</v>
      </c>
      <c r="GH242" s="609">
        <f t="shared" si="280"/>
        <v>0</v>
      </c>
      <c r="GI242" s="609">
        <f t="shared" si="280"/>
        <v>0</v>
      </c>
      <c r="GJ242" s="609">
        <f t="shared" si="280"/>
        <v>0</v>
      </c>
      <c r="GK242" s="609">
        <f t="shared" si="280"/>
        <v>0</v>
      </c>
      <c r="GL242" s="609">
        <f t="shared" si="280"/>
        <v>0</v>
      </c>
      <c r="GM242" s="609">
        <f t="shared" si="280"/>
        <v>0</v>
      </c>
      <c r="GN242" s="609">
        <f t="shared" si="280"/>
        <v>0</v>
      </c>
      <c r="GO242" s="609">
        <f t="shared" si="280"/>
        <v>0</v>
      </c>
      <c r="GP242" s="609">
        <f t="shared" si="280"/>
        <v>0</v>
      </c>
      <c r="GQ242" s="609">
        <f t="shared" si="280"/>
        <v>0</v>
      </c>
      <c r="GR242" s="609">
        <f t="shared" si="280"/>
        <v>0</v>
      </c>
      <c r="GS242" s="609">
        <f t="shared" si="280"/>
        <v>0</v>
      </c>
      <c r="GT242" s="609">
        <f t="shared" si="280"/>
        <v>0</v>
      </c>
      <c r="GU242" s="609">
        <f t="shared" si="280"/>
        <v>0</v>
      </c>
      <c r="GV242" s="609">
        <f t="shared" si="280"/>
        <v>0</v>
      </c>
      <c r="GW242" s="609">
        <f t="shared" si="280"/>
        <v>0</v>
      </c>
      <c r="GX242" s="609">
        <f t="shared" si="280"/>
        <v>0</v>
      </c>
      <c r="GY242" s="609">
        <f t="shared" si="280"/>
        <v>0</v>
      </c>
      <c r="GZ242" s="609">
        <f t="shared" si="280"/>
        <v>0</v>
      </c>
      <c r="HA242" s="609">
        <f t="shared" si="280"/>
        <v>0</v>
      </c>
      <c r="HB242" s="609">
        <f t="shared" si="280"/>
        <v>0</v>
      </c>
      <c r="HC242" s="609">
        <f t="shared" si="280"/>
        <v>0</v>
      </c>
      <c r="HD242" s="609">
        <f t="shared" si="280"/>
        <v>0</v>
      </c>
      <c r="HE242" s="609">
        <f t="shared" si="280"/>
        <v>0</v>
      </c>
      <c r="HF242" s="546"/>
      <c r="HG242" s="547"/>
      <c r="HH242" s="547"/>
      <c r="HI242" s="547"/>
      <c r="HJ242" s="547"/>
    </row>
    <row r="243" spans="2:218" ht="25.5" customHeight="1">
      <c r="B243" s="123"/>
      <c r="C243" s="123"/>
      <c r="D243" s="123"/>
      <c r="E243" s="123"/>
      <c r="F243" s="123"/>
      <c r="G243" s="123"/>
      <c r="H243" s="123"/>
      <c r="I243" s="123"/>
      <c r="J243" s="123"/>
      <c r="K243" s="123"/>
      <c r="L243" s="123"/>
      <c r="M243" s="537"/>
      <c r="N243" s="643" t="s">
        <v>739</v>
      </c>
      <c r="O243" s="644"/>
      <c r="P243" s="644"/>
      <c r="Q243" s="644"/>
      <c r="R243" s="644"/>
      <c r="S243" s="644"/>
      <c r="T243" s="644"/>
      <c r="U243" s="648"/>
      <c r="V243" s="649"/>
      <c r="W243" s="617"/>
      <c r="X243" s="618"/>
      <c r="Y243" s="618"/>
      <c r="Z243" s="617"/>
      <c r="AA243" s="617"/>
      <c r="AB243" s="649"/>
      <c r="AC243" s="619"/>
      <c r="AD243" s="620"/>
      <c r="AE243" s="620"/>
      <c r="AF243" s="619"/>
      <c r="AG243" s="619"/>
      <c r="AH243" s="649"/>
      <c r="AI243" s="617"/>
      <c r="AJ243" s="618"/>
      <c r="AK243" s="618"/>
      <c r="AL243" s="617"/>
      <c r="AM243" s="617"/>
      <c r="AN243" s="650"/>
      <c r="AO243" s="439"/>
      <c r="AP243" s="530"/>
      <c r="AQ243" s="530"/>
      <c r="AR243" s="439"/>
      <c r="AS243" s="439"/>
      <c r="AT243" s="651">
        <f>IF(AT222=0,0,AT242/AT222)</f>
        <v>0</v>
      </c>
      <c r="AU243" s="651">
        <f t="shared" ref="AU243:DF243" si="281">IF(AU222=0,0,AU242/AU222)</f>
        <v>0</v>
      </c>
      <c r="AV243" s="651">
        <f t="shared" si="281"/>
        <v>0</v>
      </c>
      <c r="AW243" s="651">
        <f t="shared" si="281"/>
        <v>0</v>
      </c>
      <c r="AX243" s="651">
        <f t="shared" si="281"/>
        <v>0</v>
      </c>
      <c r="AY243" s="651">
        <f t="shared" si="281"/>
        <v>0</v>
      </c>
      <c r="AZ243" s="651">
        <f t="shared" si="281"/>
        <v>0</v>
      </c>
      <c r="BA243" s="651">
        <f t="shared" si="281"/>
        <v>0</v>
      </c>
      <c r="BB243" s="651">
        <f t="shared" si="281"/>
        <v>0</v>
      </c>
      <c r="BC243" s="651">
        <f t="shared" si="281"/>
        <v>0</v>
      </c>
      <c r="BD243" s="651">
        <f t="shared" si="281"/>
        <v>0</v>
      </c>
      <c r="BE243" s="651">
        <f t="shared" si="281"/>
        <v>0</v>
      </c>
      <c r="BF243" s="651">
        <f t="shared" si="281"/>
        <v>0</v>
      </c>
      <c r="BG243" s="651">
        <f t="shared" si="281"/>
        <v>0</v>
      </c>
      <c r="BH243" s="651">
        <f t="shared" si="281"/>
        <v>0</v>
      </c>
      <c r="BI243" s="651">
        <f t="shared" si="281"/>
        <v>0</v>
      </c>
      <c r="BJ243" s="651">
        <f t="shared" si="281"/>
        <v>0</v>
      </c>
      <c r="BK243" s="651">
        <f t="shared" si="281"/>
        <v>0</v>
      </c>
      <c r="BL243" s="651">
        <f t="shared" si="281"/>
        <v>0</v>
      </c>
      <c r="BM243" s="651">
        <f t="shared" si="281"/>
        <v>0</v>
      </c>
      <c r="BN243" s="651">
        <f t="shared" si="281"/>
        <v>0</v>
      </c>
      <c r="BO243" s="651">
        <f t="shared" si="281"/>
        <v>0</v>
      </c>
      <c r="BP243" s="651">
        <f t="shared" si="281"/>
        <v>0</v>
      </c>
      <c r="BQ243" s="651">
        <f t="shared" si="281"/>
        <v>0</v>
      </c>
      <c r="BR243" s="651">
        <f t="shared" si="281"/>
        <v>0</v>
      </c>
      <c r="BS243" s="651">
        <f t="shared" si="281"/>
        <v>0</v>
      </c>
      <c r="BT243" s="651">
        <f t="shared" si="281"/>
        <v>0</v>
      </c>
      <c r="BU243" s="651">
        <f t="shared" si="281"/>
        <v>0</v>
      </c>
      <c r="BV243" s="651">
        <f t="shared" si="281"/>
        <v>0</v>
      </c>
      <c r="BW243" s="651">
        <f t="shared" si="281"/>
        <v>0</v>
      </c>
      <c r="BX243" s="651">
        <f t="shared" si="281"/>
        <v>0.32756523662096421</v>
      </c>
      <c r="BY243" s="651">
        <f t="shared" si="281"/>
        <v>0</v>
      </c>
      <c r="BZ243" s="651">
        <f t="shared" si="281"/>
        <v>0</v>
      </c>
      <c r="CA243" s="651">
        <f t="shared" si="281"/>
        <v>0</v>
      </c>
      <c r="CB243" s="651">
        <f t="shared" si="281"/>
        <v>0</v>
      </c>
      <c r="CC243" s="651">
        <f t="shared" si="281"/>
        <v>0</v>
      </c>
      <c r="CD243" s="651">
        <f t="shared" si="281"/>
        <v>0.32756523662096421</v>
      </c>
      <c r="CE243" s="651">
        <f t="shared" si="281"/>
        <v>0</v>
      </c>
      <c r="CF243" s="651">
        <f t="shared" si="281"/>
        <v>0</v>
      </c>
      <c r="CG243" s="651">
        <f t="shared" si="281"/>
        <v>0</v>
      </c>
      <c r="CH243" s="651">
        <f t="shared" si="281"/>
        <v>0</v>
      </c>
      <c r="CI243" s="651">
        <f t="shared" si="281"/>
        <v>0</v>
      </c>
      <c r="CJ243" s="651">
        <f t="shared" si="281"/>
        <v>0.32756523662096421</v>
      </c>
      <c r="CK243" s="651">
        <f t="shared" si="281"/>
        <v>0</v>
      </c>
      <c r="CL243" s="651">
        <f t="shared" si="281"/>
        <v>0</v>
      </c>
      <c r="CM243" s="651">
        <f t="shared" si="281"/>
        <v>0</v>
      </c>
      <c r="CN243" s="651">
        <f t="shared" si="281"/>
        <v>0</v>
      </c>
      <c r="CO243" s="651">
        <f t="shared" si="281"/>
        <v>0</v>
      </c>
      <c r="CP243" s="651">
        <f t="shared" si="281"/>
        <v>0.32756523662096421</v>
      </c>
      <c r="CQ243" s="651">
        <f t="shared" si="281"/>
        <v>0</v>
      </c>
      <c r="CR243" s="651">
        <f t="shared" si="281"/>
        <v>0</v>
      </c>
      <c r="CS243" s="651">
        <f t="shared" si="281"/>
        <v>0</v>
      </c>
      <c r="CT243" s="651">
        <f t="shared" si="281"/>
        <v>0</v>
      </c>
      <c r="CU243" s="651">
        <f t="shared" si="281"/>
        <v>0</v>
      </c>
      <c r="CV243" s="651">
        <f t="shared" si="281"/>
        <v>0.32756523662096421</v>
      </c>
      <c r="CW243" s="651">
        <f t="shared" si="281"/>
        <v>0</v>
      </c>
      <c r="CX243" s="651">
        <f t="shared" si="281"/>
        <v>0</v>
      </c>
      <c r="CY243" s="651">
        <f t="shared" si="281"/>
        <v>0</v>
      </c>
      <c r="CZ243" s="651">
        <f t="shared" si="281"/>
        <v>0</v>
      </c>
      <c r="DA243" s="651">
        <f t="shared" si="281"/>
        <v>0</v>
      </c>
      <c r="DB243" s="651">
        <f t="shared" si="281"/>
        <v>0.32756523662096421</v>
      </c>
      <c r="DC243" s="651">
        <f t="shared" si="281"/>
        <v>0</v>
      </c>
      <c r="DD243" s="651">
        <f t="shared" si="281"/>
        <v>0</v>
      </c>
      <c r="DE243" s="651">
        <f t="shared" si="281"/>
        <v>0</v>
      </c>
      <c r="DF243" s="651">
        <f t="shared" si="281"/>
        <v>0</v>
      </c>
      <c r="DG243" s="651">
        <f t="shared" ref="DG243:FR243" si="282">IF(DG222=0,0,DG242/DG222)</f>
        <v>0</v>
      </c>
      <c r="DH243" s="651">
        <f t="shared" si="282"/>
        <v>0.32756523662096421</v>
      </c>
      <c r="DI243" s="651">
        <f t="shared" si="282"/>
        <v>0</v>
      </c>
      <c r="DJ243" s="651">
        <f t="shared" si="282"/>
        <v>0</v>
      </c>
      <c r="DK243" s="651">
        <f t="shared" si="282"/>
        <v>0</v>
      </c>
      <c r="DL243" s="651">
        <f t="shared" si="282"/>
        <v>0</v>
      </c>
      <c r="DM243" s="651">
        <f t="shared" si="282"/>
        <v>0</v>
      </c>
      <c r="DN243" s="651">
        <f t="shared" si="282"/>
        <v>0.32756523662096421</v>
      </c>
      <c r="DO243" s="651">
        <f t="shared" si="282"/>
        <v>0</v>
      </c>
      <c r="DP243" s="651">
        <f t="shared" si="282"/>
        <v>0</v>
      </c>
      <c r="DQ243" s="651">
        <f t="shared" si="282"/>
        <v>0</v>
      </c>
      <c r="DR243" s="651">
        <f t="shared" si="282"/>
        <v>0</v>
      </c>
      <c r="DS243" s="651">
        <f t="shared" si="282"/>
        <v>0</v>
      </c>
      <c r="DT243" s="651">
        <f t="shared" si="282"/>
        <v>0.32756523662096421</v>
      </c>
      <c r="DU243" s="651">
        <f t="shared" si="282"/>
        <v>0</v>
      </c>
      <c r="DV243" s="651">
        <f t="shared" si="282"/>
        <v>0</v>
      </c>
      <c r="DW243" s="651">
        <f t="shared" si="282"/>
        <v>0</v>
      </c>
      <c r="DX243" s="651">
        <f t="shared" si="282"/>
        <v>0</v>
      </c>
      <c r="DY243" s="651">
        <f t="shared" si="282"/>
        <v>0</v>
      </c>
      <c r="DZ243" s="651">
        <f t="shared" si="282"/>
        <v>0.32756523662096421</v>
      </c>
      <c r="EA243" s="651">
        <f t="shared" si="282"/>
        <v>0</v>
      </c>
      <c r="EB243" s="651">
        <f t="shared" si="282"/>
        <v>0</v>
      </c>
      <c r="EC243" s="651">
        <f t="shared" si="282"/>
        <v>0</v>
      </c>
      <c r="ED243" s="651">
        <f t="shared" si="282"/>
        <v>0</v>
      </c>
      <c r="EE243" s="651">
        <f t="shared" si="282"/>
        <v>0</v>
      </c>
      <c r="EF243" s="651">
        <f t="shared" si="282"/>
        <v>0.32756523662096421</v>
      </c>
      <c r="EG243" s="651">
        <f t="shared" si="282"/>
        <v>0</v>
      </c>
      <c r="EH243" s="651">
        <f t="shared" si="282"/>
        <v>0</v>
      </c>
      <c r="EI243" s="651">
        <f t="shared" si="282"/>
        <v>0</v>
      </c>
      <c r="EJ243" s="651">
        <f t="shared" si="282"/>
        <v>0</v>
      </c>
      <c r="EK243" s="651">
        <f t="shared" si="282"/>
        <v>0</v>
      </c>
      <c r="EL243" s="651">
        <f t="shared" si="282"/>
        <v>0.32756523662096421</v>
      </c>
      <c r="EM243" s="651">
        <f t="shared" si="282"/>
        <v>0</v>
      </c>
      <c r="EN243" s="651">
        <f t="shared" si="282"/>
        <v>0</v>
      </c>
      <c r="EO243" s="651">
        <f t="shared" si="282"/>
        <v>0</v>
      </c>
      <c r="EP243" s="651">
        <f t="shared" si="282"/>
        <v>0</v>
      </c>
      <c r="EQ243" s="651">
        <f t="shared" si="282"/>
        <v>0</v>
      </c>
      <c r="ER243" s="651">
        <f t="shared" si="282"/>
        <v>0</v>
      </c>
      <c r="ES243" s="651">
        <f t="shared" si="282"/>
        <v>0</v>
      </c>
      <c r="ET243" s="651">
        <f t="shared" si="282"/>
        <v>0</v>
      </c>
      <c r="EU243" s="651">
        <f t="shared" si="282"/>
        <v>0</v>
      </c>
      <c r="EV243" s="651">
        <f t="shared" si="282"/>
        <v>0</v>
      </c>
      <c r="EW243" s="651">
        <f t="shared" si="282"/>
        <v>0</v>
      </c>
      <c r="EX243" s="651">
        <f t="shared" si="282"/>
        <v>0</v>
      </c>
      <c r="EY243" s="651">
        <f t="shared" si="282"/>
        <v>0</v>
      </c>
      <c r="EZ243" s="651">
        <f t="shared" si="282"/>
        <v>0</v>
      </c>
      <c r="FA243" s="651">
        <f t="shared" si="282"/>
        <v>0</v>
      </c>
      <c r="FB243" s="651">
        <f t="shared" si="282"/>
        <v>0</v>
      </c>
      <c r="FC243" s="651">
        <f t="shared" si="282"/>
        <v>0</v>
      </c>
      <c r="FD243" s="651">
        <f t="shared" si="282"/>
        <v>0</v>
      </c>
      <c r="FE243" s="651">
        <f t="shared" si="282"/>
        <v>0</v>
      </c>
      <c r="FF243" s="651">
        <f t="shared" si="282"/>
        <v>0</v>
      </c>
      <c r="FG243" s="651">
        <f t="shared" si="282"/>
        <v>0</v>
      </c>
      <c r="FH243" s="651">
        <f t="shared" si="282"/>
        <v>0</v>
      </c>
      <c r="FI243" s="651">
        <f t="shared" si="282"/>
        <v>0</v>
      </c>
      <c r="FJ243" s="651">
        <f t="shared" si="282"/>
        <v>0</v>
      </c>
      <c r="FK243" s="651">
        <f t="shared" si="282"/>
        <v>0</v>
      </c>
      <c r="FL243" s="651">
        <f t="shared" si="282"/>
        <v>0</v>
      </c>
      <c r="FM243" s="651">
        <f t="shared" si="282"/>
        <v>0</v>
      </c>
      <c r="FN243" s="651">
        <f t="shared" si="282"/>
        <v>0</v>
      </c>
      <c r="FO243" s="651">
        <f t="shared" si="282"/>
        <v>0</v>
      </c>
      <c r="FP243" s="651">
        <f t="shared" si="282"/>
        <v>0</v>
      </c>
      <c r="FQ243" s="651">
        <f t="shared" si="282"/>
        <v>0</v>
      </c>
      <c r="FR243" s="651">
        <f t="shared" si="282"/>
        <v>0</v>
      </c>
      <c r="FS243" s="651">
        <f t="shared" ref="FS243:GZ243" si="283">IF(FS222=0,0,FS242/FS222)</f>
        <v>0</v>
      </c>
      <c r="FT243" s="651">
        <f t="shared" si="283"/>
        <v>0</v>
      </c>
      <c r="FU243" s="651">
        <f t="shared" si="283"/>
        <v>0</v>
      </c>
      <c r="FV243" s="651">
        <f t="shared" si="283"/>
        <v>0</v>
      </c>
      <c r="FW243" s="651">
        <f t="shared" si="283"/>
        <v>0</v>
      </c>
      <c r="FX243" s="651">
        <f t="shared" si="283"/>
        <v>0</v>
      </c>
      <c r="FY243" s="651">
        <f t="shared" si="283"/>
        <v>0</v>
      </c>
      <c r="FZ243" s="651">
        <f t="shared" si="283"/>
        <v>0</v>
      </c>
      <c r="GA243" s="651">
        <f t="shared" si="283"/>
        <v>0</v>
      </c>
      <c r="GB243" s="651">
        <f t="shared" si="283"/>
        <v>0</v>
      </c>
      <c r="GC243" s="651">
        <f t="shared" si="283"/>
        <v>0</v>
      </c>
      <c r="GD243" s="651">
        <f t="shared" si="283"/>
        <v>0</v>
      </c>
      <c r="GE243" s="651">
        <f t="shared" si="283"/>
        <v>0</v>
      </c>
      <c r="GF243" s="651">
        <f t="shared" si="283"/>
        <v>0</v>
      </c>
      <c r="GG243" s="651">
        <f t="shared" si="283"/>
        <v>0</v>
      </c>
      <c r="GH243" s="651">
        <f t="shared" si="283"/>
        <v>0</v>
      </c>
      <c r="GI243" s="651">
        <f t="shared" si="283"/>
        <v>0</v>
      </c>
      <c r="GJ243" s="651">
        <f t="shared" si="283"/>
        <v>0</v>
      </c>
      <c r="GK243" s="651">
        <f t="shared" si="283"/>
        <v>0</v>
      </c>
      <c r="GL243" s="651">
        <f t="shared" si="283"/>
        <v>0</v>
      </c>
      <c r="GM243" s="651">
        <f t="shared" si="283"/>
        <v>0</v>
      </c>
      <c r="GN243" s="651">
        <f t="shared" si="283"/>
        <v>0</v>
      </c>
      <c r="GO243" s="651">
        <f t="shared" si="283"/>
        <v>0</v>
      </c>
      <c r="GP243" s="651">
        <f t="shared" si="283"/>
        <v>0</v>
      </c>
      <c r="GQ243" s="651">
        <f t="shared" si="283"/>
        <v>0</v>
      </c>
      <c r="GR243" s="651">
        <f t="shared" si="283"/>
        <v>0</v>
      </c>
      <c r="GS243" s="651">
        <f t="shared" si="283"/>
        <v>0</v>
      </c>
      <c r="GT243" s="651">
        <f t="shared" si="283"/>
        <v>0</v>
      </c>
      <c r="GU243" s="651">
        <f t="shared" si="283"/>
        <v>0</v>
      </c>
      <c r="GV243" s="651">
        <f t="shared" si="283"/>
        <v>0</v>
      </c>
      <c r="GW243" s="651">
        <f t="shared" si="283"/>
        <v>0</v>
      </c>
      <c r="GX243" s="651">
        <f t="shared" si="283"/>
        <v>0</v>
      </c>
      <c r="GY243" s="651">
        <f t="shared" si="283"/>
        <v>0</v>
      </c>
      <c r="GZ243" s="651">
        <f t="shared" si="283"/>
        <v>0</v>
      </c>
      <c r="HA243" s="609" t="e">
        <f>Duurzamewarmte_2023/HA222</f>
        <v>#DIV/0!</v>
      </c>
      <c r="HB243" s="609" t="e">
        <f>Duurzamewarmte_2023/HB222</f>
        <v>#DIV/0!</v>
      </c>
      <c r="HC243" s="609" t="e">
        <f>Duurzamewarmte_2023/HC222</f>
        <v>#DIV/0!</v>
      </c>
      <c r="HD243" s="609" t="e">
        <f>Duurzamewarmte_2023/HD222</f>
        <v>#DIV/0!</v>
      </c>
      <c r="HE243" s="609" t="e">
        <f>Duurzamewarmte_2023/HE222</f>
        <v>#DIV/0!</v>
      </c>
      <c r="HF243" s="546"/>
      <c r="HG243" s="547"/>
      <c r="HH243" s="547"/>
      <c r="HI243" s="547"/>
      <c r="HJ243" s="547"/>
    </row>
    <row r="244" spans="2:218" ht="31.5" customHeight="1">
      <c r="B244" s="123"/>
      <c r="C244" s="123"/>
      <c r="D244" s="123"/>
      <c r="E244" s="123"/>
      <c r="F244" s="123"/>
      <c r="G244" s="123"/>
      <c r="H244" s="123"/>
      <c r="I244" s="123"/>
      <c r="J244" s="123"/>
      <c r="K244" s="123"/>
      <c r="L244" s="123"/>
      <c r="M244" s="537"/>
      <c r="N244" s="635" t="s">
        <v>515</v>
      </c>
      <c r="O244" s="13"/>
      <c r="P244" s="13"/>
      <c r="Q244" s="13"/>
      <c r="R244" s="13"/>
      <c r="S244" s="13"/>
      <c r="T244" s="652"/>
      <c r="U244" s="653">
        <f>U38</f>
        <v>418284.16000000003</v>
      </c>
      <c r="V244" s="654">
        <f>V38</f>
        <v>418362</v>
      </c>
      <c r="W244" s="605"/>
      <c r="X244" s="606"/>
      <c r="Y244" s="606"/>
      <c r="Z244" s="605"/>
      <c r="AA244" s="605"/>
      <c r="AB244" s="654">
        <f>AB38</f>
        <v>418362</v>
      </c>
      <c r="AC244" s="607"/>
      <c r="AD244" s="608"/>
      <c r="AE244" s="608"/>
      <c r="AF244" s="607"/>
      <c r="AG244" s="607"/>
      <c r="AH244" s="654">
        <f>AH38</f>
        <v>418362</v>
      </c>
      <c r="AI244" s="605"/>
      <c r="AJ244" s="606"/>
      <c r="AK244" s="606"/>
      <c r="AL244" s="605"/>
      <c r="AM244" s="605"/>
      <c r="AN244" s="654">
        <f>AN38</f>
        <v>418362</v>
      </c>
      <c r="AO244" s="439"/>
      <c r="AP244" s="530"/>
      <c r="AQ244" s="530"/>
      <c r="AR244" s="439"/>
      <c r="AS244" s="439"/>
      <c r="AT244" s="609">
        <f>AT229+(AT232*9.786)+(AT235*278)+(AT242*278)+AT240</f>
        <v>381495.73320000002</v>
      </c>
      <c r="AU244" s="609">
        <f t="shared" ref="AU244:DF244" si="284">AU229+(AU232*9.786)+(AU235*278)+(AU242*278)+AU240</f>
        <v>0</v>
      </c>
      <c r="AV244" s="609">
        <f t="shared" si="284"/>
        <v>0</v>
      </c>
      <c r="AW244" s="609">
        <f t="shared" si="284"/>
        <v>0</v>
      </c>
      <c r="AX244" s="609">
        <f t="shared" si="284"/>
        <v>0</v>
      </c>
      <c r="AY244" s="609">
        <f t="shared" si="284"/>
        <v>0</v>
      </c>
      <c r="AZ244" s="609">
        <f t="shared" si="284"/>
        <v>380999.24239999999</v>
      </c>
      <c r="BA244" s="609">
        <f t="shared" si="284"/>
        <v>0</v>
      </c>
      <c r="BB244" s="609">
        <f t="shared" si="284"/>
        <v>0</v>
      </c>
      <c r="BC244" s="609">
        <f t="shared" si="284"/>
        <v>0</v>
      </c>
      <c r="BD244" s="609">
        <f t="shared" si="284"/>
        <v>0</v>
      </c>
      <c r="BE244" s="609">
        <f t="shared" si="284"/>
        <v>0</v>
      </c>
      <c r="BF244" s="609">
        <f t="shared" si="284"/>
        <v>369629.04240000003</v>
      </c>
      <c r="BG244" s="609">
        <f t="shared" si="284"/>
        <v>0</v>
      </c>
      <c r="BH244" s="609">
        <f t="shared" si="284"/>
        <v>0</v>
      </c>
      <c r="BI244" s="609">
        <f t="shared" si="284"/>
        <v>0</v>
      </c>
      <c r="BJ244" s="609">
        <f t="shared" si="284"/>
        <v>0</v>
      </c>
      <c r="BK244" s="609">
        <f t="shared" si="284"/>
        <v>0</v>
      </c>
      <c r="BL244" s="609">
        <f t="shared" si="284"/>
        <v>369629.04240000003</v>
      </c>
      <c r="BM244" s="609">
        <f t="shared" si="284"/>
        <v>0</v>
      </c>
      <c r="BN244" s="609">
        <f t="shared" si="284"/>
        <v>0</v>
      </c>
      <c r="BO244" s="609">
        <f t="shared" si="284"/>
        <v>0</v>
      </c>
      <c r="BP244" s="609">
        <f t="shared" si="284"/>
        <v>0</v>
      </c>
      <c r="BQ244" s="609">
        <f t="shared" si="284"/>
        <v>0</v>
      </c>
      <c r="BR244" s="609">
        <f t="shared" si="284"/>
        <v>369629.04240000003</v>
      </c>
      <c r="BS244" s="609">
        <f t="shared" si="284"/>
        <v>0</v>
      </c>
      <c r="BT244" s="609">
        <f t="shared" si="284"/>
        <v>0</v>
      </c>
      <c r="BU244" s="609">
        <f t="shared" si="284"/>
        <v>0</v>
      </c>
      <c r="BV244" s="609">
        <f t="shared" si="284"/>
        <v>0</v>
      </c>
      <c r="BW244" s="609">
        <f t="shared" si="284"/>
        <v>0</v>
      </c>
      <c r="BX244" s="609">
        <f t="shared" si="284"/>
        <v>369672.96640000003</v>
      </c>
      <c r="BY244" s="609">
        <f t="shared" si="284"/>
        <v>0</v>
      </c>
      <c r="BZ244" s="609">
        <f t="shared" si="284"/>
        <v>0</v>
      </c>
      <c r="CA244" s="609">
        <f t="shared" si="284"/>
        <v>0</v>
      </c>
      <c r="CB244" s="609">
        <f t="shared" si="284"/>
        <v>0</v>
      </c>
      <c r="CC244" s="609">
        <f t="shared" si="284"/>
        <v>0</v>
      </c>
      <c r="CD244" s="609">
        <f t="shared" si="284"/>
        <v>369672.96640000003</v>
      </c>
      <c r="CE244" s="609">
        <f t="shared" si="284"/>
        <v>0</v>
      </c>
      <c r="CF244" s="609">
        <f t="shared" si="284"/>
        <v>0</v>
      </c>
      <c r="CG244" s="609">
        <f t="shared" si="284"/>
        <v>0</v>
      </c>
      <c r="CH244" s="609">
        <f t="shared" si="284"/>
        <v>0</v>
      </c>
      <c r="CI244" s="609">
        <f t="shared" si="284"/>
        <v>0</v>
      </c>
      <c r="CJ244" s="609">
        <f t="shared" si="284"/>
        <v>369672.96640000003</v>
      </c>
      <c r="CK244" s="609">
        <f t="shared" si="284"/>
        <v>0</v>
      </c>
      <c r="CL244" s="609">
        <f t="shared" si="284"/>
        <v>0</v>
      </c>
      <c r="CM244" s="609">
        <f t="shared" si="284"/>
        <v>0</v>
      </c>
      <c r="CN244" s="609">
        <f t="shared" si="284"/>
        <v>0</v>
      </c>
      <c r="CO244" s="609">
        <f t="shared" si="284"/>
        <v>0</v>
      </c>
      <c r="CP244" s="609">
        <f t="shared" si="284"/>
        <v>369672.96640000003</v>
      </c>
      <c r="CQ244" s="609">
        <f t="shared" si="284"/>
        <v>0</v>
      </c>
      <c r="CR244" s="609">
        <f t="shared" si="284"/>
        <v>0</v>
      </c>
      <c r="CS244" s="609">
        <f t="shared" si="284"/>
        <v>0</v>
      </c>
      <c r="CT244" s="609">
        <f t="shared" si="284"/>
        <v>0</v>
      </c>
      <c r="CU244" s="609">
        <f t="shared" si="284"/>
        <v>0</v>
      </c>
      <c r="CV244" s="609">
        <f t="shared" si="284"/>
        <v>369672.96640000003</v>
      </c>
      <c r="CW244" s="609">
        <f t="shared" si="284"/>
        <v>0</v>
      </c>
      <c r="CX244" s="609">
        <f t="shared" si="284"/>
        <v>0</v>
      </c>
      <c r="CY244" s="609">
        <f t="shared" si="284"/>
        <v>0</v>
      </c>
      <c r="CZ244" s="609">
        <f t="shared" si="284"/>
        <v>0</v>
      </c>
      <c r="DA244" s="609">
        <f t="shared" si="284"/>
        <v>0</v>
      </c>
      <c r="DB244" s="609">
        <f t="shared" si="284"/>
        <v>369672.96640000003</v>
      </c>
      <c r="DC244" s="609">
        <f t="shared" si="284"/>
        <v>0</v>
      </c>
      <c r="DD244" s="609">
        <f t="shared" si="284"/>
        <v>0</v>
      </c>
      <c r="DE244" s="609">
        <f t="shared" si="284"/>
        <v>0</v>
      </c>
      <c r="DF244" s="609">
        <f t="shared" si="284"/>
        <v>0</v>
      </c>
      <c r="DG244" s="609">
        <f t="shared" ref="DG244:FR244" si="285">DG229+(DG232*9.786)+(DG235*278)+(DG242*278)+DG240</f>
        <v>0</v>
      </c>
      <c r="DH244" s="609">
        <f t="shared" si="285"/>
        <v>369672.96640000003</v>
      </c>
      <c r="DI244" s="609">
        <f t="shared" si="285"/>
        <v>0</v>
      </c>
      <c r="DJ244" s="609">
        <f t="shared" si="285"/>
        <v>0</v>
      </c>
      <c r="DK244" s="609">
        <f t="shared" si="285"/>
        <v>0</v>
      </c>
      <c r="DL244" s="609">
        <f t="shared" si="285"/>
        <v>0</v>
      </c>
      <c r="DM244" s="609">
        <f t="shared" si="285"/>
        <v>0</v>
      </c>
      <c r="DN244" s="609">
        <f t="shared" si="285"/>
        <v>369672.96640000003</v>
      </c>
      <c r="DO244" s="609">
        <f t="shared" si="285"/>
        <v>0</v>
      </c>
      <c r="DP244" s="609">
        <f t="shared" si="285"/>
        <v>0</v>
      </c>
      <c r="DQ244" s="609">
        <f t="shared" si="285"/>
        <v>0</v>
      </c>
      <c r="DR244" s="609">
        <f t="shared" si="285"/>
        <v>0</v>
      </c>
      <c r="DS244" s="609">
        <f t="shared" si="285"/>
        <v>0</v>
      </c>
      <c r="DT244" s="609">
        <f t="shared" si="285"/>
        <v>369672.96640000003</v>
      </c>
      <c r="DU244" s="609">
        <f t="shared" si="285"/>
        <v>0</v>
      </c>
      <c r="DV244" s="609">
        <f t="shared" si="285"/>
        <v>0</v>
      </c>
      <c r="DW244" s="609">
        <f t="shared" si="285"/>
        <v>0</v>
      </c>
      <c r="DX244" s="609">
        <f t="shared" si="285"/>
        <v>0</v>
      </c>
      <c r="DY244" s="609">
        <f t="shared" si="285"/>
        <v>0</v>
      </c>
      <c r="DZ244" s="609">
        <f t="shared" si="285"/>
        <v>369672.96640000003</v>
      </c>
      <c r="EA244" s="609">
        <f t="shared" si="285"/>
        <v>0</v>
      </c>
      <c r="EB244" s="609">
        <f t="shared" si="285"/>
        <v>0</v>
      </c>
      <c r="EC244" s="609">
        <f t="shared" si="285"/>
        <v>0</v>
      </c>
      <c r="ED244" s="609">
        <f t="shared" si="285"/>
        <v>0</v>
      </c>
      <c r="EE244" s="609">
        <f t="shared" si="285"/>
        <v>0</v>
      </c>
      <c r="EF244" s="609">
        <f t="shared" si="285"/>
        <v>369672.96640000003</v>
      </c>
      <c r="EG244" s="609">
        <f t="shared" si="285"/>
        <v>0</v>
      </c>
      <c r="EH244" s="609">
        <f t="shared" si="285"/>
        <v>0</v>
      </c>
      <c r="EI244" s="609">
        <f t="shared" si="285"/>
        <v>0</v>
      </c>
      <c r="EJ244" s="609">
        <f t="shared" si="285"/>
        <v>0</v>
      </c>
      <c r="EK244" s="609">
        <f t="shared" si="285"/>
        <v>0</v>
      </c>
      <c r="EL244" s="609">
        <f t="shared" si="285"/>
        <v>369672.96640000003</v>
      </c>
      <c r="EM244" s="609">
        <f t="shared" si="285"/>
        <v>0</v>
      </c>
      <c r="EN244" s="609">
        <f t="shared" si="285"/>
        <v>0</v>
      </c>
      <c r="EO244" s="609">
        <f t="shared" si="285"/>
        <v>0</v>
      </c>
      <c r="EP244" s="609">
        <f t="shared" si="285"/>
        <v>0</v>
      </c>
      <c r="EQ244" s="609">
        <f t="shared" si="285"/>
        <v>0</v>
      </c>
      <c r="ER244" s="609">
        <f t="shared" si="285"/>
        <v>0</v>
      </c>
      <c r="ES244" s="609">
        <f t="shared" si="285"/>
        <v>0</v>
      </c>
      <c r="ET244" s="609">
        <f t="shared" si="285"/>
        <v>0</v>
      </c>
      <c r="EU244" s="609">
        <f t="shared" si="285"/>
        <v>0</v>
      </c>
      <c r="EV244" s="609">
        <f t="shared" si="285"/>
        <v>0</v>
      </c>
      <c r="EW244" s="609">
        <f t="shared" si="285"/>
        <v>0</v>
      </c>
      <c r="EX244" s="609">
        <f t="shared" si="285"/>
        <v>0</v>
      </c>
      <c r="EY244" s="609">
        <f t="shared" si="285"/>
        <v>0</v>
      </c>
      <c r="EZ244" s="609">
        <f t="shared" si="285"/>
        <v>0</v>
      </c>
      <c r="FA244" s="609">
        <f t="shared" si="285"/>
        <v>0</v>
      </c>
      <c r="FB244" s="609">
        <f t="shared" si="285"/>
        <v>0</v>
      </c>
      <c r="FC244" s="609">
        <f t="shared" si="285"/>
        <v>0</v>
      </c>
      <c r="FD244" s="609">
        <f t="shared" si="285"/>
        <v>0</v>
      </c>
      <c r="FE244" s="609">
        <f t="shared" si="285"/>
        <v>0</v>
      </c>
      <c r="FF244" s="609">
        <f t="shared" si="285"/>
        <v>0</v>
      </c>
      <c r="FG244" s="609">
        <f t="shared" si="285"/>
        <v>0</v>
      </c>
      <c r="FH244" s="609">
        <f t="shared" si="285"/>
        <v>0</v>
      </c>
      <c r="FI244" s="609">
        <f t="shared" si="285"/>
        <v>0</v>
      </c>
      <c r="FJ244" s="609">
        <f t="shared" si="285"/>
        <v>0</v>
      </c>
      <c r="FK244" s="609">
        <f t="shared" si="285"/>
        <v>0</v>
      </c>
      <c r="FL244" s="609">
        <f t="shared" si="285"/>
        <v>0</v>
      </c>
      <c r="FM244" s="609">
        <f t="shared" si="285"/>
        <v>0</v>
      </c>
      <c r="FN244" s="609">
        <f t="shared" si="285"/>
        <v>0</v>
      </c>
      <c r="FO244" s="609">
        <f t="shared" si="285"/>
        <v>0</v>
      </c>
      <c r="FP244" s="609">
        <f t="shared" si="285"/>
        <v>0</v>
      </c>
      <c r="FQ244" s="609">
        <f t="shared" si="285"/>
        <v>0</v>
      </c>
      <c r="FR244" s="609">
        <f t="shared" si="285"/>
        <v>0</v>
      </c>
      <c r="FS244" s="609">
        <f t="shared" ref="FS244:GZ244" si="286">FS229+(FS232*9.786)+(FS235*278)+(FS242*278)+FS240</f>
        <v>0</v>
      </c>
      <c r="FT244" s="609">
        <f t="shared" si="286"/>
        <v>0</v>
      </c>
      <c r="FU244" s="609">
        <f t="shared" si="286"/>
        <v>0</v>
      </c>
      <c r="FV244" s="609">
        <f t="shared" si="286"/>
        <v>0</v>
      </c>
      <c r="FW244" s="609">
        <f t="shared" si="286"/>
        <v>0</v>
      </c>
      <c r="FX244" s="609">
        <f t="shared" si="286"/>
        <v>0</v>
      </c>
      <c r="FY244" s="609">
        <f t="shared" si="286"/>
        <v>0</v>
      </c>
      <c r="FZ244" s="609">
        <f t="shared" si="286"/>
        <v>0</v>
      </c>
      <c r="GA244" s="609">
        <f t="shared" si="286"/>
        <v>0</v>
      </c>
      <c r="GB244" s="609">
        <f t="shared" si="286"/>
        <v>0</v>
      </c>
      <c r="GC244" s="609">
        <f t="shared" si="286"/>
        <v>0</v>
      </c>
      <c r="GD244" s="609">
        <f t="shared" si="286"/>
        <v>0</v>
      </c>
      <c r="GE244" s="609">
        <f t="shared" si="286"/>
        <v>0</v>
      </c>
      <c r="GF244" s="609">
        <f t="shared" si="286"/>
        <v>0</v>
      </c>
      <c r="GG244" s="609">
        <f t="shared" si="286"/>
        <v>0</v>
      </c>
      <c r="GH244" s="609">
        <f t="shared" si="286"/>
        <v>0</v>
      </c>
      <c r="GI244" s="609">
        <f t="shared" si="286"/>
        <v>0</v>
      </c>
      <c r="GJ244" s="609">
        <f t="shared" si="286"/>
        <v>0</v>
      </c>
      <c r="GK244" s="609">
        <f t="shared" si="286"/>
        <v>0</v>
      </c>
      <c r="GL244" s="609">
        <f t="shared" si="286"/>
        <v>0</v>
      </c>
      <c r="GM244" s="609">
        <f t="shared" si="286"/>
        <v>0</v>
      </c>
      <c r="GN244" s="609">
        <f t="shared" si="286"/>
        <v>0</v>
      </c>
      <c r="GO244" s="609">
        <f t="shared" si="286"/>
        <v>0</v>
      </c>
      <c r="GP244" s="609">
        <f t="shared" si="286"/>
        <v>0</v>
      </c>
      <c r="GQ244" s="609">
        <f t="shared" si="286"/>
        <v>0</v>
      </c>
      <c r="GR244" s="609">
        <f t="shared" si="286"/>
        <v>0</v>
      </c>
      <c r="GS244" s="609">
        <f t="shared" si="286"/>
        <v>0</v>
      </c>
      <c r="GT244" s="609">
        <f t="shared" si="286"/>
        <v>0</v>
      </c>
      <c r="GU244" s="609">
        <f t="shared" si="286"/>
        <v>0</v>
      </c>
      <c r="GV244" s="609">
        <f t="shared" si="286"/>
        <v>0</v>
      </c>
      <c r="GW244" s="609">
        <f t="shared" si="286"/>
        <v>0</v>
      </c>
      <c r="GX244" s="609">
        <f t="shared" si="286"/>
        <v>0</v>
      </c>
      <c r="GY244" s="609">
        <f t="shared" si="286"/>
        <v>0</v>
      </c>
      <c r="GZ244" s="609">
        <f t="shared" si="286"/>
        <v>0</v>
      </c>
      <c r="HA244" s="532"/>
      <c r="HB244" s="530"/>
      <c r="HC244" s="530"/>
      <c r="HD244" s="532"/>
      <c r="HE244" s="532"/>
      <c r="HF244" s="546"/>
      <c r="HG244" s="547"/>
      <c r="HH244" s="547"/>
      <c r="HI244" s="547"/>
      <c r="HJ244" s="547"/>
    </row>
    <row r="245" spans="2:218" ht="24.75" customHeight="1">
      <c r="B245" s="123"/>
      <c r="C245" s="830" t="s">
        <v>690</v>
      </c>
      <c r="D245" s="825"/>
      <c r="E245" s="825"/>
      <c r="F245" s="825"/>
      <c r="G245" s="825"/>
      <c r="H245" s="825"/>
      <c r="I245" s="825"/>
      <c r="J245" s="825"/>
      <c r="K245" s="825"/>
      <c r="L245" s="825"/>
      <c r="M245" s="537"/>
      <c r="N245" s="548" t="s">
        <v>620</v>
      </c>
      <c r="O245" s="636"/>
      <c r="P245" s="636"/>
      <c r="Q245" s="636"/>
      <c r="R245" s="636"/>
      <c r="S245" s="636"/>
      <c r="T245" s="636"/>
      <c r="U245" s="637">
        <f>IF(U222=0,0,U244/U222)</f>
        <v>192.70794633642933</v>
      </c>
      <c r="V245" s="551">
        <f>IF(V222=0,0,V244/V222)</f>
        <v>192.7438080495356</v>
      </c>
      <c r="W245" s="552"/>
      <c r="X245" s="553"/>
      <c r="Y245" s="553"/>
      <c r="Z245" s="552"/>
      <c r="AA245" s="552"/>
      <c r="AB245" s="551">
        <f>IF(AB222=0,0,AB244/AB222)</f>
        <v>192.7438080495356</v>
      </c>
      <c r="AC245" s="552"/>
      <c r="AD245" s="553"/>
      <c r="AE245" s="553"/>
      <c r="AF245" s="552"/>
      <c r="AG245" s="552"/>
      <c r="AH245" s="551">
        <f>IF(AH222=0,0,AH244/AH222)</f>
        <v>192.7438080495356</v>
      </c>
      <c r="AI245" s="552"/>
      <c r="AJ245" s="553"/>
      <c r="AK245" s="553"/>
      <c r="AL245" s="552"/>
      <c r="AM245" s="552"/>
      <c r="AN245" s="551">
        <f>IF(AN222=0,0,AN244/AN222)</f>
        <v>192.7438080495356</v>
      </c>
      <c r="AO245" s="586"/>
      <c r="AP245" s="587"/>
      <c r="AQ245" s="587"/>
      <c r="AR245" s="586"/>
      <c r="AS245" s="586"/>
      <c r="AT245" s="637">
        <f>IF(AT222=0,0,AT244/AT222)</f>
        <v>175.75912815126051</v>
      </c>
      <c r="AU245" s="313"/>
      <c r="AV245" s="314"/>
      <c r="AW245" s="314"/>
      <c r="AX245" s="313"/>
      <c r="AY245" s="313"/>
      <c r="AZ245" s="551">
        <f>IF(AZ222=0,0,AZ244/AZ222)</f>
        <v>175.53038957688338</v>
      </c>
      <c r="BA245" s="313"/>
      <c r="BB245" s="314"/>
      <c r="BC245" s="314"/>
      <c r="BD245" s="313"/>
      <c r="BE245" s="313"/>
      <c r="BF245" s="551">
        <f>IF(BF222=0,0,BF244/BF222)</f>
        <v>170.29201791242815</v>
      </c>
      <c r="BG245" s="313"/>
      <c r="BH245" s="314"/>
      <c r="BI245" s="314"/>
      <c r="BJ245" s="313"/>
      <c r="BK245" s="313"/>
      <c r="BL245" s="551">
        <f>IF(BL222=0,0,BL244/BL222)</f>
        <v>170.29201791242815</v>
      </c>
      <c r="BM245" s="313"/>
      <c r="BN245" s="314"/>
      <c r="BO245" s="314"/>
      <c r="BP245" s="313"/>
      <c r="BQ245" s="313"/>
      <c r="BR245" s="551">
        <f>IF(BR222=0,0,BR244/BR222)</f>
        <v>170.29201791242815</v>
      </c>
      <c r="BS245" s="552"/>
      <c r="BT245" s="553"/>
      <c r="BU245" s="553"/>
      <c r="BV245" s="552"/>
      <c r="BW245" s="552"/>
      <c r="BX245" s="551">
        <f>IF(BX222=0,0,BX244/BX222)</f>
        <v>170.31225416482386</v>
      </c>
      <c r="BY245" s="313"/>
      <c r="BZ245" s="314"/>
      <c r="CA245" s="314"/>
      <c r="CB245" s="313"/>
      <c r="CC245" s="313"/>
      <c r="CD245" s="551">
        <f>IF(CD222=0,0,CD244/CD222)</f>
        <v>170.31225416482386</v>
      </c>
      <c r="CE245" s="313"/>
      <c r="CF245" s="314"/>
      <c r="CG245" s="314"/>
      <c r="CH245" s="313"/>
      <c r="CI245" s="313"/>
      <c r="CJ245" s="551">
        <f>IF(CJ222=0,0,CJ244/CJ222)</f>
        <v>170.31225416482386</v>
      </c>
      <c r="CK245" s="313"/>
      <c r="CL245" s="314"/>
      <c r="CM245" s="314"/>
      <c r="CN245" s="313"/>
      <c r="CO245" s="313"/>
      <c r="CP245" s="551">
        <f>IF(CP222=0,0,CP244/CP222)</f>
        <v>170.31225416482386</v>
      </c>
      <c r="CQ245" s="554"/>
      <c r="CR245" s="553"/>
      <c r="CS245" s="553"/>
      <c r="CT245" s="554"/>
      <c r="CU245" s="554"/>
      <c r="CV245" s="551">
        <f>IF(CV222=0,0,CV244/CV222)</f>
        <v>170.31225416482386</v>
      </c>
      <c r="CW245" s="554"/>
      <c r="CX245" s="553"/>
      <c r="CY245" s="553"/>
      <c r="CZ245" s="554"/>
      <c r="DA245" s="554"/>
      <c r="DB245" s="551">
        <f>IF(DB222=0,0,DB244/DB222)</f>
        <v>170.31225416482386</v>
      </c>
      <c r="DC245" s="313"/>
      <c r="DD245" s="314"/>
      <c r="DE245" s="314"/>
      <c r="DF245" s="313"/>
      <c r="DG245" s="313"/>
      <c r="DH245" s="551">
        <f>IF(DH222=0,0,DH244/DH222)</f>
        <v>170.31225416482386</v>
      </c>
      <c r="DI245" s="313"/>
      <c r="DJ245" s="314"/>
      <c r="DK245" s="314"/>
      <c r="DL245" s="313"/>
      <c r="DM245" s="313"/>
      <c r="DN245" s="551">
        <f>IF(DN222=0,0,DN244/DN222)</f>
        <v>170.31225416482386</v>
      </c>
      <c r="DO245" s="313"/>
      <c r="DP245" s="314"/>
      <c r="DQ245" s="314"/>
      <c r="DR245" s="313"/>
      <c r="DS245" s="313"/>
      <c r="DT245" s="551">
        <f>IF(DT222=0,0,DT244/DT222)</f>
        <v>170.31225416482386</v>
      </c>
      <c r="DU245" s="313"/>
      <c r="DV245" s="314"/>
      <c r="DW245" s="314"/>
      <c r="DX245" s="313"/>
      <c r="DY245" s="313"/>
      <c r="DZ245" s="551">
        <f>IF(DZ222=0,0,DZ244/DZ222)</f>
        <v>170.31225416482386</v>
      </c>
      <c r="EA245" s="313"/>
      <c r="EB245" s="314"/>
      <c r="EC245" s="314"/>
      <c r="ED245" s="313"/>
      <c r="EE245" s="313"/>
      <c r="EF245" s="551">
        <f>IF(EF222=0,0,EF244/EF222)</f>
        <v>170.31225416482386</v>
      </c>
      <c r="EG245" s="313"/>
      <c r="EH245" s="314"/>
      <c r="EI245" s="314"/>
      <c r="EJ245" s="313"/>
      <c r="EK245" s="313"/>
      <c r="EL245" s="551">
        <f>IF(EL222=0,0,EL244/EL222)</f>
        <v>170.31225416482386</v>
      </c>
      <c r="EM245" s="313"/>
      <c r="EN245" s="314"/>
      <c r="EO245" s="314"/>
      <c r="EP245" s="313"/>
      <c r="EQ245" s="313"/>
      <c r="ER245" s="551">
        <f>IF(ER222=0,0,ER244/ER222)</f>
        <v>0</v>
      </c>
      <c r="ES245" s="313"/>
      <c r="ET245" s="314"/>
      <c r="EU245" s="314"/>
      <c r="EV245" s="313"/>
      <c r="EW245" s="313"/>
      <c r="EX245" s="551">
        <f>IF(EX222=0,0,EX244/EX222)</f>
        <v>0</v>
      </c>
      <c r="EY245" s="313"/>
      <c r="EZ245" s="314"/>
      <c r="FA245" s="314"/>
      <c r="FB245" s="313"/>
      <c r="FC245" s="313"/>
      <c r="FD245" s="551">
        <f>IF(FD222=0,0,FD244/FD222)</f>
        <v>0</v>
      </c>
      <c r="FE245" s="313"/>
      <c r="FF245" s="314"/>
      <c r="FG245" s="314"/>
      <c r="FH245" s="313"/>
      <c r="FI245" s="313"/>
      <c r="FJ245" s="551">
        <f>IF(FJ222=0,0,FJ244/FJ222)</f>
        <v>0</v>
      </c>
      <c r="FK245" s="313"/>
      <c r="FL245" s="314"/>
      <c r="FM245" s="314"/>
      <c r="FN245" s="313"/>
      <c r="FO245" s="313"/>
      <c r="FP245" s="551">
        <f>IF(FP222=0,0,FP244/FP222)</f>
        <v>0</v>
      </c>
      <c r="FQ245" s="313"/>
      <c r="FR245" s="314"/>
      <c r="FS245" s="314"/>
      <c r="FT245" s="313"/>
      <c r="FU245" s="313"/>
      <c r="FV245" s="551">
        <f>IF(FV222=0,0,FV244/FV222)</f>
        <v>0</v>
      </c>
      <c r="FW245" s="313"/>
      <c r="FX245" s="314"/>
      <c r="FY245" s="314"/>
      <c r="FZ245" s="313"/>
      <c r="GA245" s="313"/>
      <c r="GB245" s="551">
        <f>IF(GB222=0,0,GB244/GB222)</f>
        <v>0</v>
      </c>
      <c r="GC245" s="313"/>
      <c r="GD245" s="314"/>
      <c r="GE245" s="314"/>
      <c r="GF245" s="313"/>
      <c r="GG245" s="313"/>
      <c r="GH245" s="551">
        <f>IF(GH222=0,0,GH244/GH222)</f>
        <v>0</v>
      </c>
      <c r="GI245" s="313"/>
      <c r="GJ245" s="314"/>
      <c r="GK245" s="314"/>
      <c r="GL245" s="313"/>
      <c r="GM245" s="313"/>
      <c r="GN245" s="551">
        <f>IF(GN222=0,0,GN244/GN222)</f>
        <v>0</v>
      </c>
      <c r="GO245" s="313"/>
      <c r="GP245" s="314"/>
      <c r="GQ245" s="314"/>
      <c r="GR245" s="313"/>
      <c r="GS245" s="313"/>
      <c r="GT245" s="551">
        <f>IF(GT222=0,0,GT244/GT222)</f>
        <v>0</v>
      </c>
      <c r="GU245" s="313"/>
      <c r="GV245" s="314"/>
      <c r="GW245" s="314"/>
      <c r="GX245" s="313"/>
      <c r="GY245" s="313"/>
      <c r="GZ245" s="555">
        <f>IF(GZ222=0,0,GZ244/GZ222)</f>
        <v>0</v>
      </c>
      <c r="HA245" s="532"/>
      <c r="HB245" s="530"/>
      <c r="HC245" s="530"/>
      <c r="HD245" s="532"/>
      <c r="HE245" s="532"/>
      <c r="HF245" s="546"/>
      <c r="HG245" s="547"/>
      <c r="HH245" s="547"/>
      <c r="HI245" s="547"/>
      <c r="HJ245" s="547"/>
    </row>
    <row r="246" spans="2:218" ht="8.25" customHeight="1">
      <c r="B246" s="123"/>
      <c r="C246" s="825"/>
      <c r="D246" s="825"/>
      <c r="E246" s="825"/>
      <c r="F246" s="825"/>
      <c r="G246" s="825"/>
      <c r="H246" s="825"/>
      <c r="I246" s="825"/>
      <c r="J246" s="825"/>
      <c r="K246" s="825"/>
      <c r="L246" s="825"/>
      <c r="M246" s="537"/>
      <c r="N246" s="558"/>
      <c r="O246" s="558"/>
      <c r="P246" s="558"/>
      <c r="Q246" s="558"/>
      <c r="R246" s="558"/>
      <c r="S246" s="558"/>
      <c r="T246" s="558"/>
      <c r="U246" s="558"/>
      <c r="V246" s="558"/>
      <c r="W246" s="439"/>
      <c r="X246" s="530"/>
      <c r="Y246" s="530"/>
      <c r="Z246" s="439"/>
      <c r="AA246" s="439"/>
      <c r="AB246" s="558"/>
      <c r="AC246" s="15"/>
      <c r="AD246" s="16"/>
      <c r="AE246" s="16"/>
      <c r="AF246" s="15"/>
      <c r="AG246" s="15"/>
      <c r="AH246" s="558"/>
      <c r="AI246" s="439"/>
      <c r="AJ246" s="530"/>
      <c r="AK246" s="530"/>
      <c r="AL246" s="439"/>
      <c r="AM246" s="439"/>
      <c r="AN246" s="559"/>
      <c r="AO246" s="439"/>
      <c r="AP246" s="530"/>
      <c r="AQ246" s="530"/>
      <c r="AR246" s="439"/>
      <c r="AS246" s="439"/>
      <c r="AT246" s="558"/>
      <c r="AU246" s="15"/>
      <c r="AV246" s="16"/>
      <c r="AW246" s="16"/>
      <c r="AX246" s="15"/>
      <c r="AY246" s="15"/>
      <c r="AZ246" s="558"/>
      <c r="BA246" s="15"/>
      <c r="BB246" s="16"/>
      <c r="BC246" s="16"/>
      <c r="BD246" s="15"/>
      <c r="BE246" s="15"/>
      <c r="BF246" s="558"/>
      <c r="BG246" s="15"/>
      <c r="BH246" s="16"/>
      <c r="BI246" s="16"/>
      <c r="BJ246" s="15"/>
      <c r="BK246" s="15"/>
      <c r="BL246" s="558"/>
      <c r="BM246" s="15"/>
      <c r="BN246" s="16"/>
      <c r="BO246" s="16"/>
      <c r="BP246" s="15"/>
      <c r="BQ246" s="15"/>
      <c r="BR246" s="558"/>
      <c r="BS246" s="15"/>
      <c r="BT246" s="16"/>
      <c r="BU246" s="16"/>
      <c r="BV246" s="15"/>
      <c r="BW246" s="15"/>
      <c r="BX246" s="558"/>
      <c r="BY246" s="15"/>
      <c r="BZ246" s="16"/>
      <c r="CA246" s="16"/>
      <c r="CB246" s="15"/>
      <c r="CC246" s="15"/>
      <c r="CD246" s="558"/>
      <c r="CE246" s="15"/>
      <c r="CF246" s="16"/>
      <c r="CG246" s="16"/>
      <c r="CH246" s="15"/>
      <c r="CI246" s="15"/>
      <c r="CJ246" s="558"/>
      <c r="CK246" s="15"/>
      <c r="CL246" s="16"/>
      <c r="CM246" s="16"/>
      <c r="CN246" s="15"/>
      <c r="CO246" s="15"/>
      <c r="CP246" s="558"/>
      <c r="CQ246" s="15"/>
      <c r="CR246" s="16"/>
      <c r="CS246" s="16"/>
      <c r="CT246" s="15"/>
      <c r="CU246" s="15"/>
      <c r="CV246" s="558"/>
      <c r="CW246" s="532"/>
      <c r="CX246" s="530"/>
      <c r="CY246" s="530"/>
      <c r="CZ246" s="532"/>
      <c r="DA246" s="532"/>
      <c r="DB246" s="558"/>
      <c r="DC246" s="15"/>
      <c r="DD246" s="16"/>
      <c r="DE246" s="16"/>
      <c r="DF246" s="15"/>
      <c r="DG246" s="15"/>
      <c r="DH246" s="558"/>
      <c r="DI246" s="15"/>
      <c r="DJ246" s="16"/>
      <c r="DK246" s="16"/>
      <c r="DL246" s="15"/>
      <c r="DM246" s="15"/>
      <c r="DN246" s="558"/>
      <c r="DO246" s="15"/>
      <c r="DP246" s="16"/>
      <c r="DQ246" s="16"/>
      <c r="DR246" s="15"/>
      <c r="DS246" s="15"/>
      <c r="DT246" s="558"/>
      <c r="DU246" s="15"/>
      <c r="DV246" s="16"/>
      <c r="DW246" s="16"/>
      <c r="DX246" s="15"/>
      <c r="DY246" s="15"/>
      <c r="DZ246" s="558"/>
      <c r="EA246" s="15"/>
      <c r="EB246" s="16"/>
      <c r="EC246" s="16"/>
      <c r="ED246" s="15"/>
      <c r="EE246" s="15"/>
      <c r="EF246" s="558"/>
      <c r="EG246" s="15"/>
      <c r="EH246" s="16"/>
      <c r="EI246" s="16"/>
      <c r="EJ246" s="15"/>
      <c r="EK246" s="15"/>
      <c r="EL246" s="558"/>
      <c r="EM246" s="15"/>
      <c r="EN246" s="16"/>
      <c r="EO246" s="16"/>
      <c r="EP246" s="15"/>
      <c r="EQ246" s="15"/>
      <c r="ER246" s="558"/>
      <c r="ES246" s="15"/>
      <c r="ET246" s="16"/>
      <c r="EU246" s="16"/>
      <c r="EV246" s="15"/>
      <c r="EW246" s="15"/>
      <c r="EX246" s="558"/>
      <c r="EY246" s="15"/>
      <c r="EZ246" s="16"/>
      <c r="FA246" s="16"/>
      <c r="FB246" s="15"/>
      <c r="FC246" s="15"/>
      <c r="FD246" s="558"/>
      <c r="FE246" s="15"/>
      <c r="FF246" s="16"/>
      <c r="FG246" s="16"/>
      <c r="FH246" s="15"/>
      <c r="FI246" s="15"/>
      <c r="FJ246" s="558"/>
      <c r="FK246" s="15"/>
      <c r="FL246" s="16"/>
      <c r="FM246" s="16"/>
      <c r="FN246" s="15"/>
      <c r="FO246" s="15"/>
      <c r="FP246" s="558"/>
      <c r="FQ246" s="15"/>
      <c r="FR246" s="16"/>
      <c r="FS246" s="16"/>
      <c r="FT246" s="15"/>
      <c r="FU246" s="15"/>
      <c r="FV246" s="558"/>
      <c r="FW246" s="15"/>
      <c r="FX246" s="16"/>
      <c r="FY246" s="16"/>
      <c r="FZ246" s="15"/>
      <c r="GA246" s="15"/>
      <c r="GB246" s="558"/>
      <c r="GC246" s="15"/>
      <c r="GD246" s="16"/>
      <c r="GE246" s="16"/>
      <c r="GF246" s="15"/>
      <c r="GG246" s="15"/>
      <c r="GH246" s="558"/>
      <c r="GI246" s="15"/>
      <c r="GJ246" s="16"/>
      <c r="GK246" s="16"/>
      <c r="GL246" s="15"/>
      <c r="GM246" s="15"/>
      <c r="GN246" s="558"/>
      <c r="GO246" s="15"/>
      <c r="GP246" s="16"/>
      <c r="GQ246" s="16"/>
      <c r="GR246" s="15"/>
      <c r="GS246" s="15"/>
      <c r="GT246" s="558"/>
      <c r="GU246" s="655"/>
      <c r="GV246" s="598"/>
      <c r="GW246" s="598"/>
      <c r="GX246" s="597"/>
      <c r="GY246" s="597"/>
      <c r="GZ246" s="656"/>
      <c r="HA246" s="532"/>
      <c r="HB246" s="530"/>
      <c r="HC246" s="530"/>
      <c r="HD246" s="532"/>
      <c r="HE246" s="532"/>
      <c r="HF246" s="546"/>
      <c r="HG246" s="547"/>
      <c r="HH246" s="547"/>
      <c r="HI246" s="547"/>
      <c r="HJ246" s="547"/>
    </row>
    <row r="247" spans="2:218" ht="24.95" customHeight="1">
      <c r="B247" s="123"/>
      <c r="C247" s="825"/>
      <c r="D247" s="825"/>
      <c r="E247" s="825"/>
      <c r="F247" s="825"/>
      <c r="G247" s="825"/>
      <c r="H247" s="825"/>
      <c r="I247" s="825"/>
      <c r="J247" s="825"/>
      <c r="K247" s="825"/>
      <c r="L247" s="825"/>
      <c r="M247" s="537"/>
      <c r="N247" s="556" t="s">
        <v>503</v>
      </c>
      <c r="O247" s="657"/>
      <c r="P247" s="657"/>
      <c r="Q247" s="657"/>
      <c r="R247" s="657"/>
      <c r="S247" s="657"/>
      <c r="T247" s="657"/>
      <c r="U247" s="642">
        <f>U229*$C18</f>
        <v>48503.332000000002</v>
      </c>
      <c r="V247" s="541">
        <f>V229*$C18</f>
        <v>48503.332000000002</v>
      </c>
      <c r="W247" s="542"/>
      <c r="X247" s="543"/>
      <c r="Y247" s="543"/>
      <c r="Z247" s="542"/>
      <c r="AA247" s="542"/>
      <c r="AB247" s="541">
        <f>AB229*$C18</f>
        <v>48503.332000000002</v>
      </c>
      <c r="AC247" s="542"/>
      <c r="AD247" s="543"/>
      <c r="AE247" s="543"/>
      <c r="AF247" s="542"/>
      <c r="AG247" s="542"/>
      <c r="AH247" s="541">
        <f>AH229*$C18</f>
        <v>48503.332000000002</v>
      </c>
      <c r="AI247" s="542"/>
      <c r="AJ247" s="543"/>
      <c r="AK247" s="543"/>
      <c r="AL247" s="542"/>
      <c r="AM247" s="542"/>
      <c r="AN247" s="541">
        <f>AN229*$C18</f>
        <v>48503.332000000002</v>
      </c>
      <c r="AO247" s="560"/>
      <c r="AP247" s="561"/>
      <c r="AQ247" s="561"/>
      <c r="AR247" s="560"/>
      <c r="AS247" s="560"/>
      <c r="AT247" s="540">
        <f>AT229*$C18</f>
        <v>17216.612048800002</v>
      </c>
      <c r="AU247" s="311"/>
      <c r="AV247" s="312"/>
      <c r="AW247" s="312"/>
      <c r="AX247" s="311"/>
      <c r="AY247" s="311"/>
      <c r="AZ247" s="541">
        <f>AZ229*$C18</f>
        <v>17090.503385600001</v>
      </c>
      <c r="BA247" s="311"/>
      <c r="BB247" s="312"/>
      <c r="BC247" s="312"/>
      <c r="BD247" s="311"/>
      <c r="BE247" s="311"/>
      <c r="BF247" s="541">
        <f>BF229*$C18</f>
        <v>17090.503385600001</v>
      </c>
      <c r="BG247" s="311"/>
      <c r="BH247" s="312"/>
      <c r="BI247" s="312"/>
      <c r="BJ247" s="311"/>
      <c r="BK247" s="311"/>
      <c r="BL247" s="541">
        <f>BL229*$C18</f>
        <v>17090.503385600001</v>
      </c>
      <c r="BM247" s="311"/>
      <c r="BN247" s="312"/>
      <c r="BO247" s="312"/>
      <c r="BP247" s="311"/>
      <c r="BQ247" s="311"/>
      <c r="BR247" s="541">
        <f>BR229*$C18</f>
        <v>17090.503385600001</v>
      </c>
      <c r="BS247" s="542"/>
      <c r="BT247" s="543"/>
      <c r="BU247" s="543"/>
      <c r="BV247" s="542"/>
      <c r="BW247" s="542"/>
      <c r="BX247" s="541">
        <f>BX229*$C18</f>
        <v>17090.503385600001</v>
      </c>
      <c r="BY247" s="311"/>
      <c r="BZ247" s="312"/>
      <c r="CA247" s="312"/>
      <c r="CB247" s="311"/>
      <c r="CC247" s="311"/>
      <c r="CD247" s="541">
        <f>CD229*$C18</f>
        <v>17090.503385600001</v>
      </c>
      <c r="CE247" s="311"/>
      <c r="CF247" s="312"/>
      <c r="CG247" s="312"/>
      <c r="CH247" s="311"/>
      <c r="CI247" s="311"/>
      <c r="CJ247" s="541">
        <f>CJ229*$C18</f>
        <v>17090.503385600001</v>
      </c>
      <c r="CK247" s="311"/>
      <c r="CL247" s="312"/>
      <c r="CM247" s="312"/>
      <c r="CN247" s="311"/>
      <c r="CO247" s="311"/>
      <c r="CP247" s="541">
        <f>CP229*$C18</f>
        <v>17090.503385600001</v>
      </c>
      <c r="CQ247" s="544"/>
      <c r="CR247" s="543"/>
      <c r="CS247" s="543"/>
      <c r="CT247" s="544"/>
      <c r="CU247" s="544"/>
      <c r="CV247" s="541">
        <f>CV229*$C18</f>
        <v>17090.503385600001</v>
      </c>
      <c r="CW247" s="544"/>
      <c r="CX247" s="543"/>
      <c r="CY247" s="543"/>
      <c r="CZ247" s="544"/>
      <c r="DA247" s="544"/>
      <c r="DB247" s="541">
        <f>DB229*$C18</f>
        <v>17090.503385600001</v>
      </c>
      <c r="DC247" s="311"/>
      <c r="DD247" s="312"/>
      <c r="DE247" s="312"/>
      <c r="DF247" s="311"/>
      <c r="DG247" s="311"/>
      <c r="DH247" s="541">
        <f>DH229*$C18</f>
        <v>17090.503385600001</v>
      </c>
      <c r="DI247" s="311"/>
      <c r="DJ247" s="312"/>
      <c r="DK247" s="312"/>
      <c r="DL247" s="311"/>
      <c r="DM247" s="311"/>
      <c r="DN247" s="541">
        <f>DN229*$C18</f>
        <v>17090.503385600001</v>
      </c>
      <c r="DO247" s="311"/>
      <c r="DP247" s="312"/>
      <c r="DQ247" s="312"/>
      <c r="DR247" s="311"/>
      <c r="DS247" s="311"/>
      <c r="DT247" s="541">
        <f>DT229*$C18</f>
        <v>17090.503385600001</v>
      </c>
      <c r="DU247" s="311"/>
      <c r="DV247" s="312"/>
      <c r="DW247" s="312"/>
      <c r="DX247" s="311"/>
      <c r="DY247" s="311"/>
      <c r="DZ247" s="541">
        <f>DZ229*$C18</f>
        <v>17090.503385600001</v>
      </c>
      <c r="EA247" s="311"/>
      <c r="EB247" s="312"/>
      <c r="EC247" s="312"/>
      <c r="ED247" s="311"/>
      <c r="EE247" s="311"/>
      <c r="EF247" s="541">
        <f>EF229*$C18</f>
        <v>17090.503385600001</v>
      </c>
      <c r="EG247" s="311"/>
      <c r="EH247" s="312"/>
      <c r="EI247" s="312"/>
      <c r="EJ247" s="311"/>
      <c r="EK247" s="311"/>
      <c r="EL247" s="541">
        <f>EL229*$C18</f>
        <v>17090.503385600001</v>
      </c>
      <c r="EM247" s="311"/>
      <c r="EN247" s="312"/>
      <c r="EO247" s="312"/>
      <c r="EP247" s="311"/>
      <c r="EQ247" s="311"/>
      <c r="ER247" s="541">
        <f>ER229*$C18</f>
        <v>0</v>
      </c>
      <c r="ES247" s="311"/>
      <c r="ET247" s="312"/>
      <c r="EU247" s="312"/>
      <c r="EV247" s="311"/>
      <c r="EW247" s="311"/>
      <c r="EX247" s="541">
        <f>EX229*$C18</f>
        <v>0</v>
      </c>
      <c r="EY247" s="311"/>
      <c r="EZ247" s="312"/>
      <c r="FA247" s="312"/>
      <c r="FB247" s="311"/>
      <c r="FC247" s="311"/>
      <c r="FD247" s="541">
        <f>FD229*$C18</f>
        <v>0</v>
      </c>
      <c r="FE247" s="311"/>
      <c r="FF247" s="312"/>
      <c r="FG247" s="312"/>
      <c r="FH247" s="311"/>
      <c r="FI247" s="311"/>
      <c r="FJ247" s="541">
        <f>FJ229*$C18</f>
        <v>0</v>
      </c>
      <c r="FK247" s="311"/>
      <c r="FL247" s="312"/>
      <c r="FM247" s="312"/>
      <c r="FN247" s="311"/>
      <c r="FO247" s="311"/>
      <c r="FP247" s="541">
        <f>FP229*$C18</f>
        <v>0</v>
      </c>
      <c r="FQ247" s="311"/>
      <c r="FR247" s="312"/>
      <c r="FS247" s="312"/>
      <c r="FT247" s="311"/>
      <c r="FU247" s="311"/>
      <c r="FV247" s="541">
        <f>FV229*$C18</f>
        <v>0</v>
      </c>
      <c r="FW247" s="311"/>
      <c r="FX247" s="312"/>
      <c r="FY247" s="312"/>
      <c r="FZ247" s="311"/>
      <c r="GA247" s="311"/>
      <c r="GB247" s="541">
        <f>GB229*$C18</f>
        <v>0</v>
      </c>
      <c r="GC247" s="311"/>
      <c r="GD247" s="312"/>
      <c r="GE247" s="312"/>
      <c r="GF247" s="311"/>
      <c r="GG247" s="311"/>
      <c r="GH247" s="541">
        <f>GH229*$C18</f>
        <v>0</v>
      </c>
      <c r="GI247" s="311"/>
      <c r="GJ247" s="312"/>
      <c r="GK247" s="312"/>
      <c r="GL247" s="311"/>
      <c r="GM247" s="311"/>
      <c r="GN247" s="541">
        <f>GN229*$C18</f>
        <v>0</v>
      </c>
      <c r="GO247" s="311"/>
      <c r="GP247" s="312"/>
      <c r="GQ247" s="312"/>
      <c r="GR247" s="311"/>
      <c r="GS247" s="311"/>
      <c r="GT247" s="541">
        <f>GT229*$C18</f>
        <v>0</v>
      </c>
      <c r="GU247" s="311"/>
      <c r="GV247" s="312"/>
      <c r="GW247" s="312"/>
      <c r="GX247" s="311"/>
      <c r="GY247" s="311"/>
      <c r="GZ247" s="545">
        <f>GZ229*$C18</f>
        <v>0</v>
      </c>
      <c r="HA247" s="532"/>
      <c r="HB247" s="530"/>
      <c r="HC247" s="530"/>
      <c r="HD247" s="532"/>
      <c r="HE247" s="532"/>
      <c r="HF247" s="546"/>
      <c r="HG247" s="547"/>
      <c r="HH247" s="547"/>
      <c r="HI247" s="547"/>
      <c r="HJ247" s="547"/>
    </row>
    <row r="248" spans="2:218" ht="24.95" customHeight="1">
      <c r="B248" s="123"/>
      <c r="C248" s="825"/>
      <c r="D248" s="825"/>
      <c r="E248" s="825"/>
      <c r="F248" s="825"/>
      <c r="G248" s="825"/>
      <c r="H248" s="825"/>
      <c r="I248" s="825"/>
      <c r="J248" s="825"/>
      <c r="K248" s="825"/>
      <c r="L248" s="825"/>
      <c r="M248" s="537"/>
      <c r="N248" s="579" t="s">
        <v>501</v>
      </c>
      <c r="O248" s="658"/>
      <c r="P248" s="658"/>
      <c r="Q248" s="658"/>
      <c r="R248" s="658"/>
      <c r="S248" s="658"/>
      <c r="T248" s="658"/>
      <c r="U248" s="603">
        <f>U232*$C19</f>
        <v>0</v>
      </c>
      <c r="V248" s="604">
        <f>V232*$C19</f>
        <v>0</v>
      </c>
      <c r="W248" s="574"/>
      <c r="X248" s="575"/>
      <c r="Y248" s="575"/>
      <c r="Z248" s="574"/>
      <c r="AA248" s="574"/>
      <c r="AB248" s="604">
        <f>AB232*$C19</f>
        <v>0</v>
      </c>
      <c r="AC248" s="315"/>
      <c r="AD248" s="316"/>
      <c r="AE248" s="316"/>
      <c r="AF248" s="315"/>
      <c r="AG248" s="315"/>
      <c r="AH248" s="604">
        <f>AH232*$C19</f>
        <v>0</v>
      </c>
      <c r="AI248" s="574"/>
      <c r="AJ248" s="575"/>
      <c r="AK248" s="575"/>
      <c r="AL248" s="574"/>
      <c r="AM248" s="574"/>
      <c r="AN248" s="604">
        <f>AN232*$C19</f>
        <v>0</v>
      </c>
      <c r="AO248" s="439"/>
      <c r="AP248" s="530"/>
      <c r="AQ248" s="530"/>
      <c r="AR248" s="439"/>
      <c r="AS248" s="439"/>
      <c r="AT248" s="609">
        <f>AT232*$C19</f>
        <v>0</v>
      </c>
      <c r="AU248" s="315"/>
      <c r="AV248" s="316"/>
      <c r="AW248" s="316"/>
      <c r="AX248" s="315"/>
      <c r="AY248" s="315"/>
      <c r="AZ248" s="604">
        <f>AZ232*$C19</f>
        <v>0</v>
      </c>
      <c r="BA248" s="315"/>
      <c r="BB248" s="316"/>
      <c r="BC248" s="316"/>
      <c r="BD248" s="315"/>
      <c r="BE248" s="315"/>
      <c r="BF248" s="604">
        <f>BF232*$C19</f>
        <v>0</v>
      </c>
      <c r="BG248" s="315"/>
      <c r="BH248" s="316"/>
      <c r="BI248" s="316"/>
      <c r="BJ248" s="315"/>
      <c r="BK248" s="315"/>
      <c r="BL248" s="604">
        <f>BL232*$C19</f>
        <v>0</v>
      </c>
      <c r="BM248" s="315"/>
      <c r="BN248" s="316"/>
      <c r="BO248" s="316"/>
      <c r="BP248" s="315"/>
      <c r="BQ248" s="315"/>
      <c r="BR248" s="604">
        <f>BR232*$C19</f>
        <v>0</v>
      </c>
      <c r="BS248" s="315"/>
      <c r="BT248" s="316"/>
      <c r="BU248" s="316"/>
      <c r="BV248" s="315"/>
      <c r="BW248" s="315"/>
      <c r="BX248" s="604">
        <f>BX232*$C19</f>
        <v>0</v>
      </c>
      <c r="BY248" s="315"/>
      <c r="BZ248" s="316"/>
      <c r="CA248" s="316"/>
      <c r="CB248" s="315"/>
      <c r="CC248" s="315"/>
      <c r="CD248" s="604">
        <f>CD232*$C19</f>
        <v>0</v>
      </c>
      <c r="CE248" s="315"/>
      <c r="CF248" s="316"/>
      <c r="CG248" s="316"/>
      <c r="CH248" s="315"/>
      <c r="CI248" s="315"/>
      <c r="CJ248" s="604">
        <f>CJ232*$C19</f>
        <v>0</v>
      </c>
      <c r="CK248" s="315"/>
      <c r="CL248" s="316"/>
      <c r="CM248" s="316"/>
      <c r="CN248" s="315"/>
      <c r="CO248" s="315"/>
      <c r="CP248" s="604">
        <f>CP232*$C19</f>
        <v>0</v>
      </c>
      <c r="CQ248" s="315"/>
      <c r="CR248" s="316"/>
      <c r="CS248" s="316"/>
      <c r="CT248" s="315"/>
      <c r="CU248" s="315"/>
      <c r="CV248" s="604">
        <f>CV232*$C19</f>
        <v>0</v>
      </c>
      <c r="CW248" s="577"/>
      <c r="CX248" s="575"/>
      <c r="CY248" s="575"/>
      <c r="CZ248" s="577"/>
      <c r="DA248" s="577"/>
      <c r="DB248" s="604">
        <f>DB232*$C19</f>
        <v>0</v>
      </c>
      <c r="DC248" s="315"/>
      <c r="DD248" s="316"/>
      <c r="DE248" s="316"/>
      <c r="DF248" s="315"/>
      <c r="DG248" s="315"/>
      <c r="DH248" s="604">
        <f>DH232*$C19</f>
        <v>0</v>
      </c>
      <c r="DI248" s="315"/>
      <c r="DJ248" s="316"/>
      <c r="DK248" s="316"/>
      <c r="DL248" s="315"/>
      <c r="DM248" s="315"/>
      <c r="DN248" s="604">
        <f>DN232*$C19</f>
        <v>0</v>
      </c>
      <c r="DO248" s="315"/>
      <c r="DP248" s="316"/>
      <c r="DQ248" s="316"/>
      <c r="DR248" s="315"/>
      <c r="DS248" s="315"/>
      <c r="DT248" s="604">
        <f>DT232*$C19</f>
        <v>0</v>
      </c>
      <c r="DU248" s="315"/>
      <c r="DV248" s="316"/>
      <c r="DW248" s="316"/>
      <c r="DX248" s="315"/>
      <c r="DY248" s="315"/>
      <c r="DZ248" s="604">
        <f>DZ232*$C19</f>
        <v>0</v>
      </c>
      <c r="EA248" s="315"/>
      <c r="EB248" s="316"/>
      <c r="EC248" s="316"/>
      <c r="ED248" s="315"/>
      <c r="EE248" s="315"/>
      <c r="EF248" s="604">
        <f>EF232*$C19</f>
        <v>0</v>
      </c>
      <c r="EG248" s="315"/>
      <c r="EH248" s="316"/>
      <c r="EI248" s="316"/>
      <c r="EJ248" s="315"/>
      <c r="EK248" s="315"/>
      <c r="EL248" s="604">
        <f>EL232*$C19</f>
        <v>0</v>
      </c>
      <c r="EM248" s="315"/>
      <c r="EN248" s="316"/>
      <c r="EO248" s="316"/>
      <c r="EP248" s="315"/>
      <c r="EQ248" s="315"/>
      <c r="ER248" s="604">
        <f>ER232*$C19</f>
        <v>0</v>
      </c>
      <c r="ES248" s="315"/>
      <c r="ET248" s="316"/>
      <c r="EU248" s="316"/>
      <c r="EV248" s="315"/>
      <c r="EW248" s="315"/>
      <c r="EX248" s="604">
        <f>EX232*$C19</f>
        <v>0</v>
      </c>
      <c r="EY248" s="315"/>
      <c r="EZ248" s="316"/>
      <c r="FA248" s="316"/>
      <c r="FB248" s="315"/>
      <c r="FC248" s="315"/>
      <c r="FD248" s="604">
        <f>FD232*$C19</f>
        <v>0</v>
      </c>
      <c r="FE248" s="315"/>
      <c r="FF248" s="316"/>
      <c r="FG248" s="316"/>
      <c r="FH248" s="315"/>
      <c r="FI248" s="315"/>
      <c r="FJ248" s="604">
        <f>FJ232*$C19</f>
        <v>0</v>
      </c>
      <c r="FK248" s="315"/>
      <c r="FL248" s="316"/>
      <c r="FM248" s="316"/>
      <c r="FN248" s="315"/>
      <c r="FO248" s="315"/>
      <c r="FP248" s="604">
        <f>FP232*$C19</f>
        <v>0</v>
      </c>
      <c r="FQ248" s="315"/>
      <c r="FR248" s="316"/>
      <c r="FS248" s="316"/>
      <c r="FT248" s="315"/>
      <c r="FU248" s="315"/>
      <c r="FV248" s="604">
        <f>FV232*$C19</f>
        <v>0</v>
      </c>
      <c r="FW248" s="315"/>
      <c r="FX248" s="316"/>
      <c r="FY248" s="316"/>
      <c r="FZ248" s="315"/>
      <c r="GA248" s="315"/>
      <c r="GB248" s="604">
        <f>GB232*$C19</f>
        <v>0</v>
      </c>
      <c r="GC248" s="315"/>
      <c r="GD248" s="316"/>
      <c r="GE248" s="316"/>
      <c r="GF248" s="315"/>
      <c r="GG248" s="315"/>
      <c r="GH248" s="604">
        <f>GH232*$C19</f>
        <v>0</v>
      </c>
      <c r="GI248" s="315"/>
      <c r="GJ248" s="316"/>
      <c r="GK248" s="316"/>
      <c r="GL248" s="315"/>
      <c r="GM248" s="315"/>
      <c r="GN248" s="604">
        <f>GN232*$C19</f>
        <v>0</v>
      </c>
      <c r="GO248" s="315"/>
      <c r="GP248" s="316"/>
      <c r="GQ248" s="316"/>
      <c r="GR248" s="315"/>
      <c r="GS248" s="315"/>
      <c r="GT248" s="604">
        <f>GT232*$C19</f>
        <v>0</v>
      </c>
      <c r="GU248" s="315"/>
      <c r="GV248" s="316"/>
      <c r="GW248" s="316"/>
      <c r="GX248" s="315"/>
      <c r="GY248" s="315"/>
      <c r="GZ248" s="610">
        <f>GZ232*$C19</f>
        <v>0</v>
      </c>
      <c r="HA248" s="532"/>
      <c r="HB248" s="530"/>
      <c r="HC248" s="530"/>
      <c r="HD248" s="532"/>
      <c r="HE248" s="532"/>
      <c r="HF248" s="546"/>
      <c r="HG248" s="547"/>
      <c r="HH248" s="547"/>
      <c r="HI248" s="547"/>
      <c r="HJ248" s="547"/>
    </row>
    <row r="249" spans="2:218" ht="28.5" customHeight="1">
      <c r="B249" s="123"/>
      <c r="C249" s="123"/>
      <c r="D249" s="123"/>
      <c r="E249" s="123"/>
      <c r="F249" s="123"/>
      <c r="G249" s="123"/>
      <c r="H249" s="123"/>
      <c r="I249" s="123"/>
      <c r="J249" s="123"/>
      <c r="K249" s="123"/>
      <c r="L249" s="123"/>
      <c r="M249" s="537"/>
      <c r="N249" s="579" t="s">
        <v>502</v>
      </c>
      <c r="O249" s="658"/>
      <c r="P249" s="658"/>
      <c r="Q249" s="658"/>
      <c r="R249" s="658"/>
      <c r="S249" s="658"/>
      <c r="T249" s="658"/>
      <c r="U249" s="603">
        <f>U235*$C20</f>
        <v>40558.912000000004</v>
      </c>
      <c r="V249" s="604">
        <f>V235*$C20</f>
        <v>40572.800000000003</v>
      </c>
      <c r="W249" s="574"/>
      <c r="X249" s="575"/>
      <c r="Y249" s="575"/>
      <c r="Z249" s="574"/>
      <c r="AA249" s="574"/>
      <c r="AB249" s="604">
        <f>AB235*$C20</f>
        <v>40572.800000000003</v>
      </c>
      <c r="AC249" s="574"/>
      <c r="AD249" s="575"/>
      <c r="AE249" s="575"/>
      <c r="AF249" s="574"/>
      <c r="AG249" s="574"/>
      <c r="AH249" s="604">
        <f>AH235*$C20</f>
        <v>40572.800000000003</v>
      </c>
      <c r="AI249" s="574"/>
      <c r="AJ249" s="575"/>
      <c r="AK249" s="575"/>
      <c r="AL249" s="574"/>
      <c r="AM249" s="574"/>
      <c r="AN249" s="604">
        <f>AN235*$C20</f>
        <v>40572.800000000003</v>
      </c>
      <c r="AO249" s="439"/>
      <c r="AP249" s="530"/>
      <c r="AQ249" s="530"/>
      <c r="AR249" s="439"/>
      <c r="AS249" s="439"/>
      <c r="AT249" s="609">
        <f t="shared" ref="AT249:DE249" si="287">(AT235+AT242)*$C20</f>
        <v>37286.403200000001</v>
      </c>
      <c r="AU249" s="609">
        <f t="shared" si="287"/>
        <v>0</v>
      </c>
      <c r="AV249" s="609">
        <f t="shared" si="287"/>
        <v>0</v>
      </c>
      <c r="AW249" s="609">
        <f t="shared" si="287"/>
        <v>0</v>
      </c>
      <c r="AX249" s="609">
        <f t="shared" si="287"/>
        <v>0</v>
      </c>
      <c r="AY249" s="609">
        <f t="shared" si="287"/>
        <v>0</v>
      </c>
      <c r="AZ249" s="609">
        <f t="shared" si="287"/>
        <v>37286.403200000001</v>
      </c>
      <c r="BA249" s="609">
        <f t="shared" si="287"/>
        <v>0</v>
      </c>
      <c r="BB249" s="609">
        <f t="shared" si="287"/>
        <v>0</v>
      </c>
      <c r="BC249" s="609">
        <f t="shared" si="287"/>
        <v>0</v>
      </c>
      <c r="BD249" s="609">
        <f t="shared" si="287"/>
        <v>0</v>
      </c>
      <c r="BE249" s="609">
        <f t="shared" si="287"/>
        <v>0</v>
      </c>
      <c r="BF249" s="609">
        <f t="shared" si="287"/>
        <v>35257.763200000001</v>
      </c>
      <c r="BG249" s="609">
        <f t="shared" si="287"/>
        <v>0</v>
      </c>
      <c r="BH249" s="609">
        <f t="shared" si="287"/>
        <v>0</v>
      </c>
      <c r="BI249" s="609">
        <f t="shared" si="287"/>
        <v>0</v>
      </c>
      <c r="BJ249" s="609">
        <f t="shared" si="287"/>
        <v>0</v>
      </c>
      <c r="BK249" s="609">
        <f t="shared" si="287"/>
        <v>0</v>
      </c>
      <c r="BL249" s="609">
        <f t="shared" si="287"/>
        <v>35257.763200000001</v>
      </c>
      <c r="BM249" s="609">
        <f t="shared" si="287"/>
        <v>0</v>
      </c>
      <c r="BN249" s="609">
        <f t="shared" si="287"/>
        <v>0</v>
      </c>
      <c r="BO249" s="609">
        <f t="shared" si="287"/>
        <v>0</v>
      </c>
      <c r="BP249" s="609">
        <f t="shared" si="287"/>
        <v>0</v>
      </c>
      <c r="BQ249" s="609">
        <f t="shared" si="287"/>
        <v>0</v>
      </c>
      <c r="BR249" s="609">
        <f t="shared" si="287"/>
        <v>35257.763200000001</v>
      </c>
      <c r="BS249" s="609">
        <f t="shared" si="287"/>
        <v>0</v>
      </c>
      <c r="BT249" s="609">
        <f t="shared" si="287"/>
        <v>0</v>
      </c>
      <c r="BU249" s="609">
        <f t="shared" si="287"/>
        <v>0</v>
      </c>
      <c r="BV249" s="609">
        <f t="shared" si="287"/>
        <v>0</v>
      </c>
      <c r="BW249" s="609">
        <f t="shared" si="287"/>
        <v>0</v>
      </c>
      <c r="BX249" s="609">
        <f t="shared" si="287"/>
        <v>35265.599999999999</v>
      </c>
      <c r="BY249" s="609">
        <f t="shared" si="287"/>
        <v>0</v>
      </c>
      <c r="BZ249" s="609">
        <f t="shared" si="287"/>
        <v>0</v>
      </c>
      <c r="CA249" s="609">
        <f t="shared" si="287"/>
        <v>0</v>
      </c>
      <c r="CB249" s="609">
        <f t="shared" si="287"/>
        <v>0</v>
      </c>
      <c r="CC249" s="609">
        <f t="shared" si="287"/>
        <v>0</v>
      </c>
      <c r="CD249" s="609">
        <f t="shared" si="287"/>
        <v>35265.599999999999</v>
      </c>
      <c r="CE249" s="609">
        <f t="shared" si="287"/>
        <v>0</v>
      </c>
      <c r="CF249" s="609">
        <f t="shared" si="287"/>
        <v>0</v>
      </c>
      <c r="CG249" s="609">
        <f t="shared" si="287"/>
        <v>0</v>
      </c>
      <c r="CH249" s="609">
        <f t="shared" si="287"/>
        <v>0</v>
      </c>
      <c r="CI249" s="609">
        <f t="shared" si="287"/>
        <v>0</v>
      </c>
      <c r="CJ249" s="609">
        <f t="shared" si="287"/>
        <v>35265.599999999999</v>
      </c>
      <c r="CK249" s="609">
        <f t="shared" si="287"/>
        <v>0</v>
      </c>
      <c r="CL249" s="609">
        <f t="shared" si="287"/>
        <v>0</v>
      </c>
      <c r="CM249" s="609">
        <f t="shared" si="287"/>
        <v>0</v>
      </c>
      <c r="CN249" s="609">
        <f t="shared" si="287"/>
        <v>0</v>
      </c>
      <c r="CO249" s="609">
        <f t="shared" si="287"/>
        <v>0</v>
      </c>
      <c r="CP249" s="609">
        <f t="shared" si="287"/>
        <v>35265.599999999999</v>
      </c>
      <c r="CQ249" s="609">
        <f t="shared" si="287"/>
        <v>0</v>
      </c>
      <c r="CR249" s="609">
        <f t="shared" si="287"/>
        <v>0</v>
      </c>
      <c r="CS249" s="609">
        <f t="shared" si="287"/>
        <v>0</v>
      </c>
      <c r="CT249" s="609">
        <f t="shared" si="287"/>
        <v>0</v>
      </c>
      <c r="CU249" s="609">
        <f t="shared" si="287"/>
        <v>0</v>
      </c>
      <c r="CV249" s="609">
        <f t="shared" si="287"/>
        <v>35265.599999999999</v>
      </c>
      <c r="CW249" s="609">
        <f t="shared" si="287"/>
        <v>0</v>
      </c>
      <c r="CX249" s="609">
        <f t="shared" si="287"/>
        <v>0</v>
      </c>
      <c r="CY249" s="609">
        <f t="shared" si="287"/>
        <v>0</v>
      </c>
      <c r="CZ249" s="609">
        <f t="shared" si="287"/>
        <v>0</v>
      </c>
      <c r="DA249" s="609">
        <f t="shared" si="287"/>
        <v>0</v>
      </c>
      <c r="DB249" s="609">
        <f t="shared" si="287"/>
        <v>35265.599999999999</v>
      </c>
      <c r="DC249" s="609">
        <f t="shared" si="287"/>
        <v>0</v>
      </c>
      <c r="DD249" s="609">
        <f t="shared" si="287"/>
        <v>0</v>
      </c>
      <c r="DE249" s="609">
        <f t="shared" si="287"/>
        <v>0</v>
      </c>
      <c r="DF249" s="609">
        <f t="shared" ref="DF249:FQ249" si="288">(DF235+DF242)*$C20</f>
        <v>0</v>
      </c>
      <c r="DG249" s="609">
        <f t="shared" si="288"/>
        <v>0</v>
      </c>
      <c r="DH249" s="609">
        <f t="shared" si="288"/>
        <v>35265.599999999999</v>
      </c>
      <c r="DI249" s="609">
        <f t="shared" si="288"/>
        <v>0</v>
      </c>
      <c r="DJ249" s="609">
        <f t="shared" si="288"/>
        <v>0</v>
      </c>
      <c r="DK249" s="609">
        <f t="shared" si="288"/>
        <v>0</v>
      </c>
      <c r="DL249" s="609">
        <f t="shared" si="288"/>
        <v>0</v>
      </c>
      <c r="DM249" s="609">
        <f t="shared" si="288"/>
        <v>0</v>
      </c>
      <c r="DN249" s="609">
        <f t="shared" si="288"/>
        <v>35265.599999999999</v>
      </c>
      <c r="DO249" s="609">
        <f t="shared" si="288"/>
        <v>0</v>
      </c>
      <c r="DP249" s="609">
        <f t="shared" si="288"/>
        <v>0</v>
      </c>
      <c r="DQ249" s="609">
        <f t="shared" si="288"/>
        <v>0</v>
      </c>
      <c r="DR249" s="609">
        <f t="shared" si="288"/>
        <v>0</v>
      </c>
      <c r="DS249" s="609">
        <f t="shared" si="288"/>
        <v>0</v>
      </c>
      <c r="DT249" s="609">
        <f t="shared" si="288"/>
        <v>35265.599999999999</v>
      </c>
      <c r="DU249" s="609">
        <f t="shared" si="288"/>
        <v>0</v>
      </c>
      <c r="DV249" s="609">
        <f t="shared" si="288"/>
        <v>0</v>
      </c>
      <c r="DW249" s="609">
        <f t="shared" si="288"/>
        <v>0</v>
      </c>
      <c r="DX249" s="609">
        <f t="shared" si="288"/>
        <v>0</v>
      </c>
      <c r="DY249" s="609">
        <f t="shared" si="288"/>
        <v>0</v>
      </c>
      <c r="DZ249" s="609">
        <f t="shared" si="288"/>
        <v>35265.599999999999</v>
      </c>
      <c r="EA249" s="609">
        <f t="shared" si="288"/>
        <v>0</v>
      </c>
      <c r="EB249" s="609">
        <f t="shared" si="288"/>
        <v>0</v>
      </c>
      <c r="EC249" s="609">
        <f t="shared" si="288"/>
        <v>0</v>
      </c>
      <c r="ED249" s="609">
        <f t="shared" si="288"/>
        <v>0</v>
      </c>
      <c r="EE249" s="609">
        <f t="shared" si="288"/>
        <v>0</v>
      </c>
      <c r="EF249" s="609">
        <f t="shared" si="288"/>
        <v>35265.599999999999</v>
      </c>
      <c r="EG249" s="609">
        <f t="shared" si="288"/>
        <v>0</v>
      </c>
      <c r="EH249" s="609">
        <f t="shared" si="288"/>
        <v>0</v>
      </c>
      <c r="EI249" s="609">
        <f t="shared" si="288"/>
        <v>0</v>
      </c>
      <c r="EJ249" s="609">
        <f t="shared" si="288"/>
        <v>0</v>
      </c>
      <c r="EK249" s="609">
        <f t="shared" si="288"/>
        <v>0</v>
      </c>
      <c r="EL249" s="609">
        <f t="shared" si="288"/>
        <v>35265.599999999999</v>
      </c>
      <c r="EM249" s="609">
        <f t="shared" si="288"/>
        <v>0</v>
      </c>
      <c r="EN249" s="609">
        <f t="shared" si="288"/>
        <v>0</v>
      </c>
      <c r="EO249" s="609">
        <f t="shared" si="288"/>
        <v>0</v>
      </c>
      <c r="EP249" s="609">
        <f t="shared" si="288"/>
        <v>0</v>
      </c>
      <c r="EQ249" s="609">
        <f t="shared" si="288"/>
        <v>0</v>
      </c>
      <c r="ER249" s="609">
        <f t="shared" si="288"/>
        <v>0</v>
      </c>
      <c r="ES249" s="609">
        <f t="shared" si="288"/>
        <v>0</v>
      </c>
      <c r="ET249" s="609">
        <f t="shared" si="288"/>
        <v>0</v>
      </c>
      <c r="EU249" s="609">
        <f t="shared" si="288"/>
        <v>0</v>
      </c>
      <c r="EV249" s="609">
        <f t="shared" si="288"/>
        <v>0</v>
      </c>
      <c r="EW249" s="609">
        <f t="shared" si="288"/>
        <v>0</v>
      </c>
      <c r="EX249" s="609">
        <f t="shared" si="288"/>
        <v>0</v>
      </c>
      <c r="EY249" s="609">
        <f t="shared" si="288"/>
        <v>0</v>
      </c>
      <c r="EZ249" s="609">
        <f t="shared" si="288"/>
        <v>0</v>
      </c>
      <c r="FA249" s="609">
        <f t="shared" si="288"/>
        <v>0</v>
      </c>
      <c r="FB249" s="609">
        <f t="shared" si="288"/>
        <v>0</v>
      </c>
      <c r="FC249" s="609">
        <f t="shared" si="288"/>
        <v>0</v>
      </c>
      <c r="FD249" s="609">
        <f t="shared" si="288"/>
        <v>0</v>
      </c>
      <c r="FE249" s="609">
        <f t="shared" si="288"/>
        <v>0</v>
      </c>
      <c r="FF249" s="609">
        <f t="shared" si="288"/>
        <v>0</v>
      </c>
      <c r="FG249" s="609">
        <f t="shared" si="288"/>
        <v>0</v>
      </c>
      <c r="FH249" s="609">
        <f t="shared" si="288"/>
        <v>0</v>
      </c>
      <c r="FI249" s="609">
        <f t="shared" si="288"/>
        <v>0</v>
      </c>
      <c r="FJ249" s="609">
        <f t="shared" si="288"/>
        <v>0</v>
      </c>
      <c r="FK249" s="609">
        <f t="shared" si="288"/>
        <v>0</v>
      </c>
      <c r="FL249" s="609">
        <f t="shared" si="288"/>
        <v>0</v>
      </c>
      <c r="FM249" s="609">
        <f t="shared" si="288"/>
        <v>0</v>
      </c>
      <c r="FN249" s="609">
        <f t="shared" si="288"/>
        <v>0</v>
      </c>
      <c r="FO249" s="609">
        <f t="shared" si="288"/>
        <v>0</v>
      </c>
      <c r="FP249" s="609">
        <f t="shared" si="288"/>
        <v>0</v>
      </c>
      <c r="FQ249" s="609">
        <f t="shared" si="288"/>
        <v>0</v>
      </c>
      <c r="FR249" s="609">
        <f t="shared" ref="FR249:HE249" si="289">(FR235+FR242)*$C20</f>
        <v>0</v>
      </c>
      <c r="FS249" s="609">
        <f t="shared" si="289"/>
        <v>0</v>
      </c>
      <c r="FT249" s="609">
        <f t="shared" si="289"/>
        <v>0</v>
      </c>
      <c r="FU249" s="609">
        <f t="shared" si="289"/>
        <v>0</v>
      </c>
      <c r="FV249" s="609">
        <f t="shared" si="289"/>
        <v>0</v>
      </c>
      <c r="FW249" s="609">
        <f t="shared" si="289"/>
        <v>0</v>
      </c>
      <c r="FX249" s="609">
        <f t="shared" si="289"/>
        <v>0</v>
      </c>
      <c r="FY249" s="609">
        <f t="shared" si="289"/>
        <v>0</v>
      </c>
      <c r="FZ249" s="609">
        <f t="shared" si="289"/>
        <v>0</v>
      </c>
      <c r="GA249" s="609">
        <f t="shared" si="289"/>
        <v>0</v>
      </c>
      <c r="GB249" s="609">
        <f t="shared" si="289"/>
        <v>0</v>
      </c>
      <c r="GC249" s="609">
        <f t="shared" si="289"/>
        <v>0</v>
      </c>
      <c r="GD249" s="609">
        <f t="shared" si="289"/>
        <v>0</v>
      </c>
      <c r="GE249" s="609">
        <f t="shared" si="289"/>
        <v>0</v>
      </c>
      <c r="GF249" s="609">
        <f t="shared" si="289"/>
        <v>0</v>
      </c>
      <c r="GG249" s="609">
        <f t="shared" si="289"/>
        <v>0</v>
      </c>
      <c r="GH249" s="609">
        <f t="shared" si="289"/>
        <v>0</v>
      </c>
      <c r="GI249" s="609">
        <f t="shared" si="289"/>
        <v>0</v>
      </c>
      <c r="GJ249" s="609">
        <f t="shared" si="289"/>
        <v>0</v>
      </c>
      <c r="GK249" s="609">
        <f t="shared" si="289"/>
        <v>0</v>
      </c>
      <c r="GL249" s="609">
        <f t="shared" si="289"/>
        <v>0</v>
      </c>
      <c r="GM249" s="609">
        <f t="shared" si="289"/>
        <v>0</v>
      </c>
      <c r="GN249" s="609">
        <f t="shared" si="289"/>
        <v>0</v>
      </c>
      <c r="GO249" s="609">
        <f t="shared" si="289"/>
        <v>0</v>
      </c>
      <c r="GP249" s="609">
        <f t="shared" si="289"/>
        <v>0</v>
      </c>
      <c r="GQ249" s="609">
        <f t="shared" si="289"/>
        <v>0</v>
      </c>
      <c r="GR249" s="609">
        <f t="shared" si="289"/>
        <v>0</v>
      </c>
      <c r="GS249" s="609">
        <f t="shared" si="289"/>
        <v>0</v>
      </c>
      <c r="GT249" s="609">
        <f t="shared" si="289"/>
        <v>0</v>
      </c>
      <c r="GU249" s="609">
        <f t="shared" si="289"/>
        <v>0</v>
      </c>
      <c r="GV249" s="609">
        <f t="shared" si="289"/>
        <v>0</v>
      </c>
      <c r="GW249" s="609">
        <f t="shared" si="289"/>
        <v>0</v>
      </c>
      <c r="GX249" s="609">
        <f t="shared" si="289"/>
        <v>0</v>
      </c>
      <c r="GY249" s="609">
        <f t="shared" si="289"/>
        <v>0</v>
      </c>
      <c r="GZ249" s="609">
        <f t="shared" si="289"/>
        <v>0</v>
      </c>
      <c r="HA249" s="609">
        <f t="shared" si="289"/>
        <v>0</v>
      </c>
      <c r="HB249" s="609">
        <f t="shared" si="289"/>
        <v>0</v>
      </c>
      <c r="HC249" s="609">
        <f t="shared" si="289"/>
        <v>0</v>
      </c>
      <c r="HD249" s="609">
        <f t="shared" si="289"/>
        <v>0</v>
      </c>
      <c r="HE249" s="609">
        <f t="shared" si="289"/>
        <v>0</v>
      </c>
      <c r="HF249" s="546"/>
      <c r="HG249" s="547"/>
      <c r="HH249" s="547"/>
      <c r="HI249" s="547"/>
      <c r="HJ249" s="547"/>
    </row>
    <row r="250" spans="2:218" ht="27" customHeight="1">
      <c r="B250" s="123"/>
      <c r="C250" s="123"/>
      <c r="D250" s="123"/>
      <c r="E250" s="123"/>
      <c r="F250" s="123"/>
      <c r="G250" s="123"/>
      <c r="H250" s="123"/>
      <c r="I250" s="123"/>
      <c r="J250" s="123"/>
      <c r="K250" s="123"/>
      <c r="L250" s="123"/>
      <c r="M250" s="537"/>
      <c r="N250" s="579" t="s">
        <v>504</v>
      </c>
      <c r="O250" s="658"/>
      <c r="P250" s="658"/>
      <c r="Q250" s="658"/>
      <c r="R250" s="658"/>
      <c r="S250" s="658"/>
      <c r="T250" s="658"/>
      <c r="U250" s="603">
        <f>SUM(U247:U249)</f>
        <v>89062.244000000006</v>
      </c>
      <c r="V250" s="604">
        <f>SUM(V247:V249)</f>
        <v>89076.132000000012</v>
      </c>
      <c r="W250" s="611"/>
      <c r="X250" s="612"/>
      <c r="Y250" s="612"/>
      <c r="Z250" s="611"/>
      <c r="AA250" s="611"/>
      <c r="AB250" s="604">
        <f>SUM(AB247:AB249)</f>
        <v>89076.132000000012</v>
      </c>
      <c r="AC250" s="659"/>
      <c r="AD250" s="660"/>
      <c r="AE250" s="660"/>
      <c r="AF250" s="659"/>
      <c r="AG250" s="659"/>
      <c r="AH250" s="604">
        <f>SUM(AH247:AH249)</f>
        <v>89076.132000000012</v>
      </c>
      <c r="AI250" s="611"/>
      <c r="AJ250" s="612"/>
      <c r="AK250" s="612"/>
      <c r="AL250" s="611"/>
      <c r="AM250" s="611"/>
      <c r="AN250" s="604">
        <f>SUM(AN247:AN249)</f>
        <v>89076.132000000012</v>
      </c>
      <c r="AO250" s="439"/>
      <c r="AP250" s="530"/>
      <c r="AQ250" s="530"/>
      <c r="AR250" s="439"/>
      <c r="AS250" s="439"/>
      <c r="AT250" s="609">
        <f>SUM(AT247:AT249)</f>
        <v>54503.015248800002</v>
      </c>
      <c r="AU250" s="315"/>
      <c r="AV250" s="316"/>
      <c r="AW250" s="316"/>
      <c r="AX250" s="315"/>
      <c r="AY250" s="315"/>
      <c r="AZ250" s="604">
        <f>SUM(AZ247:AZ249)</f>
        <v>54376.906585600002</v>
      </c>
      <c r="BA250" s="315"/>
      <c r="BB250" s="316"/>
      <c r="BC250" s="316"/>
      <c r="BD250" s="315"/>
      <c r="BE250" s="315"/>
      <c r="BF250" s="604">
        <f>SUM(BF247:BF249)</f>
        <v>52348.266585600002</v>
      </c>
      <c r="BG250" s="315"/>
      <c r="BH250" s="316"/>
      <c r="BI250" s="316"/>
      <c r="BJ250" s="315"/>
      <c r="BK250" s="315"/>
      <c r="BL250" s="604">
        <f>SUM(BL247:BL249)</f>
        <v>52348.266585600002</v>
      </c>
      <c r="BM250" s="315"/>
      <c r="BN250" s="316"/>
      <c r="BO250" s="316"/>
      <c r="BP250" s="315"/>
      <c r="BQ250" s="315"/>
      <c r="BR250" s="604">
        <f>SUM(BR247:BR249)</f>
        <v>52348.266585600002</v>
      </c>
      <c r="BS250" s="315"/>
      <c r="BT250" s="316"/>
      <c r="BU250" s="316"/>
      <c r="BV250" s="315"/>
      <c r="BW250" s="315"/>
      <c r="BX250" s="604">
        <f>SUM(BX247:BX249)</f>
        <v>52356.103385599999</v>
      </c>
      <c r="BY250" s="315"/>
      <c r="BZ250" s="316"/>
      <c r="CA250" s="316"/>
      <c r="CB250" s="315"/>
      <c r="CC250" s="315"/>
      <c r="CD250" s="604">
        <f>SUM(CD247:CD249)</f>
        <v>52356.103385599999</v>
      </c>
      <c r="CE250" s="315"/>
      <c r="CF250" s="316"/>
      <c r="CG250" s="316"/>
      <c r="CH250" s="315"/>
      <c r="CI250" s="315"/>
      <c r="CJ250" s="604">
        <f>SUM(CJ247:CJ249)</f>
        <v>52356.103385599999</v>
      </c>
      <c r="CK250" s="315"/>
      <c r="CL250" s="316"/>
      <c r="CM250" s="316"/>
      <c r="CN250" s="315"/>
      <c r="CO250" s="315"/>
      <c r="CP250" s="604">
        <f>SUM(CP247:CP249)</f>
        <v>52356.103385599999</v>
      </c>
      <c r="CQ250" s="315"/>
      <c r="CR250" s="316"/>
      <c r="CS250" s="316"/>
      <c r="CT250" s="315"/>
      <c r="CU250" s="315"/>
      <c r="CV250" s="604">
        <f>SUM(CV247:CV249)</f>
        <v>52356.103385599999</v>
      </c>
      <c r="CW250" s="577"/>
      <c r="CX250" s="575"/>
      <c r="CY250" s="575"/>
      <c r="CZ250" s="577"/>
      <c r="DA250" s="577"/>
      <c r="DB250" s="604">
        <f>SUM(DB247:DB249)</f>
        <v>52356.103385599999</v>
      </c>
      <c r="DC250" s="315"/>
      <c r="DD250" s="316"/>
      <c r="DE250" s="316"/>
      <c r="DF250" s="315"/>
      <c r="DG250" s="315"/>
      <c r="DH250" s="604">
        <f>SUM(DH247:DH249)</f>
        <v>52356.103385599999</v>
      </c>
      <c r="DI250" s="315"/>
      <c r="DJ250" s="316"/>
      <c r="DK250" s="316"/>
      <c r="DL250" s="315"/>
      <c r="DM250" s="315"/>
      <c r="DN250" s="604">
        <f>SUM(DN247:DN249)</f>
        <v>52356.103385599999</v>
      </c>
      <c r="DO250" s="315"/>
      <c r="DP250" s="316"/>
      <c r="DQ250" s="316"/>
      <c r="DR250" s="315"/>
      <c r="DS250" s="315"/>
      <c r="DT250" s="604">
        <f>SUM(DT247:DT249)</f>
        <v>52356.103385599999</v>
      </c>
      <c r="DU250" s="315"/>
      <c r="DV250" s="316"/>
      <c r="DW250" s="316"/>
      <c r="DX250" s="315"/>
      <c r="DY250" s="315"/>
      <c r="DZ250" s="604">
        <f>SUM(DZ247:DZ249)</f>
        <v>52356.103385599999</v>
      </c>
      <c r="EA250" s="315"/>
      <c r="EB250" s="316"/>
      <c r="EC250" s="316"/>
      <c r="ED250" s="315"/>
      <c r="EE250" s="315"/>
      <c r="EF250" s="604">
        <f>SUM(EF247:EF249)</f>
        <v>52356.103385599999</v>
      </c>
      <c r="EG250" s="315"/>
      <c r="EH250" s="316"/>
      <c r="EI250" s="316"/>
      <c r="EJ250" s="315"/>
      <c r="EK250" s="315"/>
      <c r="EL250" s="604">
        <f>SUM(EL247:EL249)</f>
        <v>52356.103385599999</v>
      </c>
      <c r="EM250" s="315"/>
      <c r="EN250" s="316"/>
      <c r="EO250" s="316"/>
      <c r="EP250" s="315"/>
      <c r="EQ250" s="315"/>
      <c r="ER250" s="604">
        <f>SUM(ER247:ER249)</f>
        <v>0</v>
      </c>
      <c r="ES250" s="315"/>
      <c r="ET250" s="316"/>
      <c r="EU250" s="316"/>
      <c r="EV250" s="315"/>
      <c r="EW250" s="315"/>
      <c r="EX250" s="604">
        <f>SUM(EX247:EX249)</f>
        <v>0</v>
      </c>
      <c r="EY250" s="315"/>
      <c r="EZ250" s="316"/>
      <c r="FA250" s="316"/>
      <c r="FB250" s="315"/>
      <c r="FC250" s="315"/>
      <c r="FD250" s="604">
        <f>SUM(FD247:FD249)</f>
        <v>0</v>
      </c>
      <c r="FE250" s="315"/>
      <c r="FF250" s="316"/>
      <c r="FG250" s="316"/>
      <c r="FH250" s="315"/>
      <c r="FI250" s="315"/>
      <c r="FJ250" s="604">
        <f>SUM(FJ247:FJ249)</f>
        <v>0</v>
      </c>
      <c r="FK250" s="315"/>
      <c r="FL250" s="316"/>
      <c r="FM250" s="316"/>
      <c r="FN250" s="315"/>
      <c r="FO250" s="315"/>
      <c r="FP250" s="604">
        <f>SUM(FP247:FP249)</f>
        <v>0</v>
      </c>
      <c r="FQ250" s="315"/>
      <c r="FR250" s="316"/>
      <c r="FS250" s="316"/>
      <c r="FT250" s="315"/>
      <c r="FU250" s="315"/>
      <c r="FV250" s="604">
        <f>SUM(FV247:FV249)</f>
        <v>0</v>
      </c>
      <c r="FW250" s="315"/>
      <c r="FX250" s="316"/>
      <c r="FY250" s="316"/>
      <c r="FZ250" s="315"/>
      <c r="GA250" s="315"/>
      <c r="GB250" s="604">
        <f>SUM(GB247:GB249)</f>
        <v>0</v>
      </c>
      <c r="GC250" s="315"/>
      <c r="GD250" s="316"/>
      <c r="GE250" s="316"/>
      <c r="GF250" s="315"/>
      <c r="GG250" s="315"/>
      <c r="GH250" s="604">
        <f>SUM(GH247:GH249)</f>
        <v>0</v>
      </c>
      <c r="GI250" s="315"/>
      <c r="GJ250" s="316"/>
      <c r="GK250" s="316"/>
      <c r="GL250" s="315"/>
      <c r="GM250" s="315"/>
      <c r="GN250" s="604">
        <f>SUM(GN247:GN249)</f>
        <v>0</v>
      </c>
      <c r="GO250" s="315"/>
      <c r="GP250" s="316"/>
      <c r="GQ250" s="316"/>
      <c r="GR250" s="315"/>
      <c r="GS250" s="315"/>
      <c r="GT250" s="604">
        <f>SUM(GT247:GT249)</f>
        <v>0</v>
      </c>
      <c r="GU250" s="315"/>
      <c r="GV250" s="316"/>
      <c r="GW250" s="316"/>
      <c r="GX250" s="315"/>
      <c r="GY250" s="315"/>
      <c r="GZ250" s="610">
        <f>SUM(GZ247:GZ249)</f>
        <v>0</v>
      </c>
      <c r="HA250" s="532"/>
      <c r="HB250" s="530"/>
      <c r="HC250" s="530"/>
      <c r="HD250" s="532"/>
      <c r="HE250" s="532"/>
      <c r="HF250" s="546"/>
      <c r="HG250" s="547"/>
      <c r="HH250" s="547"/>
      <c r="HI250" s="547"/>
      <c r="HJ250" s="547"/>
    </row>
    <row r="251" spans="2:218" ht="28.5" customHeight="1">
      <c r="B251" s="123"/>
      <c r="C251" s="830" t="s">
        <v>103</v>
      </c>
      <c r="D251" s="830"/>
      <c r="E251" s="830"/>
      <c r="F251" s="830"/>
      <c r="G251" s="830"/>
      <c r="H251" s="830"/>
      <c r="I251" s="830"/>
      <c r="J251" s="830"/>
      <c r="K251" s="830"/>
      <c r="L251" s="830"/>
      <c r="M251" s="537"/>
      <c r="N251" s="661" t="s">
        <v>505</v>
      </c>
      <c r="O251" s="662"/>
      <c r="P251" s="662"/>
      <c r="Q251" s="662"/>
      <c r="R251" s="662"/>
      <c r="S251" s="662"/>
      <c r="T251" s="662"/>
      <c r="U251" s="585"/>
      <c r="V251" s="585"/>
      <c r="W251" s="586"/>
      <c r="X251" s="587"/>
      <c r="Y251" s="587"/>
      <c r="Z251" s="586"/>
      <c r="AA251" s="586"/>
      <c r="AB251" s="585"/>
      <c r="AC251" s="586"/>
      <c r="AD251" s="587"/>
      <c r="AE251" s="587"/>
      <c r="AF251" s="586"/>
      <c r="AG251" s="586"/>
      <c r="AH251" s="585"/>
      <c r="AI251" s="586"/>
      <c r="AJ251" s="587"/>
      <c r="AK251" s="587"/>
      <c r="AL251" s="586"/>
      <c r="AM251" s="586"/>
      <c r="AN251" s="585">
        <f>IF(AN222=0,0,$AN$250-AN250)</f>
        <v>0</v>
      </c>
      <c r="AO251" s="586"/>
      <c r="AP251" s="587"/>
      <c r="AQ251" s="587"/>
      <c r="AR251" s="586"/>
      <c r="AS251" s="586"/>
      <c r="AT251" s="550">
        <f>IF(AT222=0,0,$AN$250-AT250)</f>
        <v>34573.11675120001</v>
      </c>
      <c r="AU251" s="552"/>
      <c r="AV251" s="553"/>
      <c r="AW251" s="553"/>
      <c r="AX251" s="552"/>
      <c r="AY251" s="552"/>
      <c r="AZ251" s="551">
        <f>IF(AZ222=0,0,$AN$250-AZ250)</f>
        <v>34699.225414400011</v>
      </c>
      <c r="BA251" s="313"/>
      <c r="BB251" s="314"/>
      <c r="BC251" s="314"/>
      <c r="BD251" s="313"/>
      <c r="BE251" s="313"/>
      <c r="BF251" s="551">
        <f>IF(BF222=0,0,$AN$250-BF250)</f>
        <v>36727.86541440001</v>
      </c>
      <c r="BG251" s="313"/>
      <c r="BH251" s="314"/>
      <c r="BI251" s="314"/>
      <c r="BJ251" s="313"/>
      <c r="BK251" s="313"/>
      <c r="BL251" s="551">
        <f>IF(BL222=0,0,$AN$250-BL250)</f>
        <v>36727.86541440001</v>
      </c>
      <c r="BM251" s="313"/>
      <c r="BN251" s="314"/>
      <c r="BO251" s="314"/>
      <c r="BP251" s="313"/>
      <c r="BQ251" s="313"/>
      <c r="BR251" s="551">
        <f>IF(BR222=0,0,$AN$250-BR250)</f>
        <v>36727.86541440001</v>
      </c>
      <c r="BS251" s="552"/>
      <c r="BT251" s="553"/>
      <c r="BU251" s="553"/>
      <c r="BV251" s="552"/>
      <c r="BW251" s="552"/>
      <c r="BX251" s="551">
        <f>IF(BX222=0,0,$AN$250-BX250)</f>
        <v>36720.028614400013</v>
      </c>
      <c r="BY251" s="313"/>
      <c r="BZ251" s="314"/>
      <c r="CA251" s="314"/>
      <c r="CB251" s="313"/>
      <c r="CC251" s="313"/>
      <c r="CD251" s="551">
        <f>IF(CD222=0,0,$AN$250-CD250)</f>
        <v>36720.028614400013</v>
      </c>
      <c r="CE251" s="313"/>
      <c r="CF251" s="314"/>
      <c r="CG251" s="314"/>
      <c r="CH251" s="313"/>
      <c r="CI251" s="313"/>
      <c r="CJ251" s="551">
        <f>IF(CJ222=0,0,$AN$250-CJ250)</f>
        <v>36720.028614400013</v>
      </c>
      <c r="CK251" s="313"/>
      <c r="CL251" s="314"/>
      <c r="CM251" s="314"/>
      <c r="CN251" s="313"/>
      <c r="CO251" s="313"/>
      <c r="CP251" s="551">
        <f>IF(CP222=0,0,$AN$250-CP250)</f>
        <v>36720.028614400013</v>
      </c>
      <c r="CQ251" s="554"/>
      <c r="CR251" s="553"/>
      <c r="CS251" s="553"/>
      <c r="CT251" s="554"/>
      <c r="CU251" s="554"/>
      <c r="CV251" s="551">
        <f>IF(CV222=0,0,$AN$250-CV250)</f>
        <v>36720.028614400013</v>
      </c>
      <c r="CW251" s="554"/>
      <c r="CX251" s="553"/>
      <c r="CY251" s="553"/>
      <c r="CZ251" s="554"/>
      <c r="DA251" s="554"/>
      <c r="DB251" s="551">
        <f>IF(DB222=0,0,$AN$250-DB250)</f>
        <v>36720.028614400013</v>
      </c>
      <c r="DC251" s="313"/>
      <c r="DD251" s="314"/>
      <c r="DE251" s="314"/>
      <c r="DF251" s="313"/>
      <c r="DG251" s="313"/>
      <c r="DH251" s="551">
        <f>IF(DH222=0,0,$AN$250-DH250)</f>
        <v>36720.028614400013</v>
      </c>
      <c r="DI251" s="313"/>
      <c r="DJ251" s="314"/>
      <c r="DK251" s="314"/>
      <c r="DL251" s="313"/>
      <c r="DM251" s="313"/>
      <c r="DN251" s="551">
        <f>IF(DN222=0,0,$AN$250-DN250)</f>
        <v>36720.028614400013</v>
      </c>
      <c r="DO251" s="313"/>
      <c r="DP251" s="314"/>
      <c r="DQ251" s="314"/>
      <c r="DR251" s="313"/>
      <c r="DS251" s="313"/>
      <c r="DT251" s="551">
        <f>IF(DT222=0,0,$AN$250-DT250)</f>
        <v>36720.028614400013</v>
      </c>
      <c r="DU251" s="313"/>
      <c r="DV251" s="314"/>
      <c r="DW251" s="314"/>
      <c r="DX251" s="313"/>
      <c r="DY251" s="313"/>
      <c r="DZ251" s="551">
        <f>IF(DZ222=0,0,$AN$250-DZ250)</f>
        <v>36720.028614400013</v>
      </c>
      <c r="EA251" s="313"/>
      <c r="EB251" s="314"/>
      <c r="EC251" s="314"/>
      <c r="ED251" s="313"/>
      <c r="EE251" s="313"/>
      <c r="EF251" s="551">
        <f>IF(EF222=0,0,$AN$250-EF250)</f>
        <v>36720.028614400013</v>
      </c>
      <c r="EG251" s="313"/>
      <c r="EH251" s="314"/>
      <c r="EI251" s="314"/>
      <c r="EJ251" s="313"/>
      <c r="EK251" s="313"/>
      <c r="EL251" s="551">
        <f>IF(EL222=0,0,$AN$250-EL250)</f>
        <v>36720.028614400013</v>
      </c>
      <c r="EM251" s="313"/>
      <c r="EN251" s="314"/>
      <c r="EO251" s="314"/>
      <c r="EP251" s="313"/>
      <c r="EQ251" s="313"/>
      <c r="ER251" s="551">
        <f>IF(ER222=0,0,$AN$250-ER250)</f>
        <v>0</v>
      </c>
      <c r="ES251" s="313"/>
      <c r="ET251" s="314"/>
      <c r="EU251" s="314"/>
      <c r="EV251" s="313"/>
      <c r="EW251" s="313"/>
      <c r="EX251" s="551">
        <f>IF(EX222=0,0,$AN$250-EX250)</f>
        <v>0</v>
      </c>
      <c r="EY251" s="313"/>
      <c r="EZ251" s="314"/>
      <c r="FA251" s="314"/>
      <c r="FB251" s="313"/>
      <c r="FC251" s="313"/>
      <c r="FD251" s="551">
        <f>IF(FD222=0,0,$AN$250-FD250)</f>
        <v>0</v>
      </c>
      <c r="FE251" s="313"/>
      <c r="FF251" s="314"/>
      <c r="FG251" s="314"/>
      <c r="FH251" s="313"/>
      <c r="FI251" s="313"/>
      <c r="FJ251" s="551">
        <f>IF(FJ222=0,0,$AN$250-FJ250)</f>
        <v>0</v>
      </c>
      <c r="FK251" s="313"/>
      <c r="FL251" s="314"/>
      <c r="FM251" s="314"/>
      <c r="FN251" s="313"/>
      <c r="FO251" s="313"/>
      <c r="FP251" s="551">
        <f>IF(FP222=0,0,$AN$250-FP250)</f>
        <v>0</v>
      </c>
      <c r="FQ251" s="313"/>
      <c r="FR251" s="314"/>
      <c r="FS251" s="314"/>
      <c r="FT251" s="313"/>
      <c r="FU251" s="313"/>
      <c r="FV251" s="551">
        <f>IF(FV222=0,0,$AN$250-FV250)</f>
        <v>0</v>
      </c>
      <c r="FW251" s="313"/>
      <c r="FX251" s="314"/>
      <c r="FY251" s="314"/>
      <c r="FZ251" s="313"/>
      <c r="GA251" s="313"/>
      <c r="GB251" s="551">
        <f>IF(GB222=0,0,$AN$250-GB250)</f>
        <v>0</v>
      </c>
      <c r="GC251" s="313"/>
      <c r="GD251" s="314"/>
      <c r="GE251" s="314"/>
      <c r="GF251" s="313"/>
      <c r="GG251" s="313"/>
      <c r="GH251" s="551">
        <f>IF(GH222=0,0,$AN$250-GH250)</f>
        <v>0</v>
      </c>
      <c r="GI251" s="313"/>
      <c r="GJ251" s="314"/>
      <c r="GK251" s="314"/>
      <c r="GL251" s="313"/>
      <c r="GM251" s="313"/>
      <c r="GN251" s="551">
        <f>IF(GN222=0,0,$AN$250-GN250)</f>
        <v>0</v>
      </c>
      <c r="GO251" s="313"/>
      <c r="GP251" s="314"/>
      <c r="GQ251" s="314"/>
      <c r="GR251" s="313"/>
      <c r="GS251" s="313"/>
      <c r="GT251" s="551">
        <f>IF(GT222=0,0,$AN$250-GT250)</f>
        <v>0</v>
      </c>
      <c r="GU251" s="313"/>
      <c r="GV251" s="314"/>
      <c r="GW251" s="314"/>
      <c r="GX251" s="313"/>
      <c r="GY251" s="313"/>
      <c r="GZ251" s="555">
        <f>IF(GZ222=0,0,$AN$250-GZ250)</f>
        <v>0</v>
      </c>
      <c r="HA251" s="532"/>
      <c r="HB251" s="530"/>
      <c r="HC251" s="530"/>
      <c r="HD251" s="532"/>
      <c r="HE251" s="532"/>
      <c r="HF251" s="546"/>
      <c r="HG251" s="547"/>
      <c r="HH251" s="547"/>
      <c r="HI251" s="547"/>
      <c r="HJ251" s="547"/>
    </row>
    <row r="252" spans="2:218" ht="9.75" customHeight="1">
      <c r="B252" s="123"/>
      <c r="C252" s="830"/>
      <c r="D252" s="830"/>
      <c r="E252" s="830"/>
      <c r="F252" s="830"/>
      <c r="G252" s="830"/>
      <c r="H252" s="830"/>
      <c r="I252" s="830"/>
      <c r="J252" s="830"/>
      <c r="K252" s="830"/>
      <c r="L252" s="830"/>
      <c r="M252" s="537"/>
      <c r="N252" s="663"/>
      <c r="O252" s="558"/>
      <c r="P252" s="558"/>
      <c r="Q252" s="558"/>
      <c r="R252" s="558"/>
      <c r="S252" s="558"/>
      <c r="T252" s="558"/>
      <c r="U252" s="558"/>
      <c r="V252" s="558"/>
      <c r="W252" s="439"/>
      <c r="X252" s="530"/>
      <c r="Y252" s="530"/>
      <c r="Z252" s="439"/>
      <c r="AA252" s="439"/>
      <c r="AB252" s="558"/>
      <c r="AC252" s="15"/>
      <c r="AD252" s="16"/>
      <c r="AE252" s="16"/>
      <c r="AF252" s="15"/>
      <c r="AG252" s="15"/>
      <c r="AH252" s="558"/>
      <c r="AI252" s="439"/>
      <c r="AJ252" s="530"/>
      <c r="AK252" s="530"/>
      <c r="AL252" s="439"/>
      <c r="AM252" s="439"/>
      <c r="AN252" s="559"/>
      <c r="AO252" s="439"/>
      <c r="AP252" s="530"/>
      <c r="AQ252" s="530"/>
      <c r="AR252" s="439"/>
      <c r="AS252" s="439"/>
      <c r="AT252" s="8"/>
      <c r="AU252" s="15"/>
      <c r="AV252" s="16"/>
      <c r="AW252" s="16"/>
      <c r="AX252" s="15"/>
      <c r="AY252" s="15"/>
      <c r="AZ252" s="8"/>
      <c r="BA252" s="15"/>
      <c r="BB252" s="16"/>
      <c r="BC252" s="16"/>
      <c r="BD252" s="15"/>
      <c r="BE252" s="15"/>
      <c r="BF252" s="8"/>
      <c r="BG252" s="15"/>
      <c r="BH252" s="16"/>
      <c r="BI252" s="16"/>
      <c r="BJ252" s="15"/>
      <c r="BK252" s="15"/>
      <c r="BL252" s="8"/>
      <c r="BM252" s="15"/>
      <c r="BN252" s="16"/>
      <c r="BO252" s="16"/>
      <c r="BP252" s="15"/>
      <c r="BQ252" s="15"/>
      <c r="BR252" s="8"/>
      <c r="BS252" s="15"/>
      <c r="BT252" s="16"/>
      <c r="BU252" s="16"/>
      <c r="BV252" s="15"/>
      <c r="BW252" s="15"/>
      <c r="BX252" s="8"/>
      <c r="BY252" s="15"/>
      <c r="BZ252" s="16"/>
      <c r="CA252" s="16"/>
      <c r="CB252" s="15"/>
      <c r="CC252" s="15"/>
      <c r="CD252" s="8"/>
      <c r="CE252" s="15"/>
      <c r="CF252" s="16"/>
      <c r="CG252" s="16"/>
      <c r="CH252" s="15"/>
      <c r="CI252" s="15"/>
      <c r="CJ252" s="8"/>
      <c r="CK252" s="15"/>
      <c r="CL252" s="16"/>
      <c r="CM252" s="16"/>
      <c r="CN252" s="15"/>
      <c r="CO252" s="15"/>
      <c r="CP252" s="8"/>
      <c r="CQ252" s="15"/>
      <c r="CR252" s="16"/>
      <c r="CS252" s="16"/>
      <c r="CT252" s="15"/>
      <c r="CU252" s="15"/>
      <c r="CV252" s="8"/>
      <c r="CW252" s="532"/>
      <c r="CX252" s="530"/>
      <c r="CY252" s="530"/>
      <c r="CZ252" s="532"/>
      <c r="DA252" s="532"/>
      <c r="DB252" s="8"/>
      <c r="DC252" s="15"/>
      <c r="DD252" s="16"/>
      <c r="DE252" s="16"/>
      <c r="DF252" s="15"/>
      <c r="DG252" s="15"/>
      <c r="DH252" s="8"/>
      <c r="DI252" s="15"/>
      <c r="DJ252" s="16"/>
      <c r="DK252" s="16"/>
      <c r="DL252" s="15"/>
      <c r="DM252" s="15"/>
      <c r="DN252" s="8"/>
      <c r="DO252" s="15"/>
      <c r="DP252" s="16"/>
      <c r="DQ252" s="16"/>
      <c r="DR252" s="15"/>
      <c r="DS252" s="15"/>
      <c r="DT252" s="8"/>
      <c r="DU252" s="15"/>
      <c r="DV252" s="16"/>
      <c r="DW252" s="16"/>
      <c r="DX252" s="15"/>
      <c r="DY252" s="15"/>
      <c r="DZ252" s="8"/>
      <c r="EA252" s="15"/>
      <c r="EB252" s="16"/>
      <c r="EC252" s="16"/>
      <c r="ED252" s="15"/>
      <c r="EE252" s="15"/>
      <c r="EF252" s="8"/>
      <c r="EG252" s="15"/>
      <c r="EH252" s="16"/>
      <c r="EI252" s="16"/>
      <c r="EJ252" s="15"/>
      <c r="EK252" s="15"/>
      <c r="EL252" s="8"/>
      <c r="EM252" s="15"/>
      <c r="EN252" s="16"/>
      <c r="EO252" s="16"/>
      <c r="EP252" s="15"/>
      <c r="EQ252" s="15"/>
      <c r="ER252" s="8"/>
      <c r="ES252" s="15"/>
      <c r="ET252" s="16"/>
      <c r="EU252" s="16"/>
      <c r="EV252" s="15"/>
      <c r="EW252" s="15"/>
      <c r="EX252" s="8"/>
      <c r="EY252" s="15"/>
      <c r="EZ252" s="16"/>
      <c r="FA252" s="16"/>
      <c r="FB252" s="15"/>
      <c r="FC252" s="15"/>
      <c r="FD252" s="8"/>
      <c r="FE252" s="15"/>
      <c r="FF252" s="16"/>
      <c r="FG252" s="16"/>
      <c r="FH252" s="15"/>
      <c r="FI252" s="15"/>
      <c r="FJ252" s="8"/>
      <c r="FK252" s="15"/>
      <c r="FL252" s="16"/>
      <c r="FM252" s="16"/>
      <c r="FN252" s="15"/>
      <c r="FO252" s="15"/>
      <c r="FP252" s="8"/>
      <c r="FQ252" s="15"/>
      <c r="FR252" s="16"/>
      <c r="FS252" s="16"/>
      <c r="FT252" s="15"/>
      <c r="FU252" s="15"/>
      <c r="FV252" s="8"/>
      <c r="FW252" s="15"/>
      <c r="FX252" s="16"/>
      <c r="FY252" s="16"/>
      <c r="FZ252" s="15"/>
      <c r="GA252" s="15"/>
      <c r="GB252" s="8"/>
      <c r="GC252" s="15"/>
      <c r="GD252" s="16"/>
      <c r="GE252" s="16"/>
      <c r="GF252" s="15"/>
      <c r="GG252" s="15"/>
      <c r="GH252" s="8"/>
      <c r="GI252" s="15"/>
      <c r="GJ252" s="16"/>
      <c r="GK252" s="16"/>
      <c r="GL252" s="15"/>
      <c r="GM252" s="15"/>
      <c r="GN252" s="8"/>
      <c r="GO252" s="15"/>
      <c r="GP252" s="16"/>
      <c r="GQ252" s="16"/>
      <c r="GR252" s="15"/>
      <c r="GS252" s="15"/>
      <c r="GT252" s="8"/>
      <c r="GU252" s="15"/>
      <c r="GV252" s="16"/>
      <c r="GW252" s="16"/>
      <c r="GX252" s="15"/>
      <c r="GY252" s="15"/>
      <c r="GZ252" s="8"/>
      <c r="HA252" s="532"/>
      <c r="HB252" s="530"/>
      <c r="HC252" s="530"/>
      <c r="HD252" s="532"/>
      <c r="HE252" s="532"/>
      <c r="HF252" s="546"/>
      <c r="HG252" s="547"/>
      <c r="HH252" s="547"/>
      <c r="HI252" s="547"/>
      <c r="HJ252" s="547"/>
    </row>
    <row r="253" spans="2:218" ht="31.5" customHeight="1">
      <c r="B253" s="123"/>
      <c r="C253" s="830"/>
      <c r="D253" s="830"/>
      <c r="E253" s="830"/>
      <c r="F253" s="830"/>
      <c r="G253" s="830"/>
      <c r="H253" s="830"/>
      <c r="I253" s="830"/>
      <c r="J253" s="830"/>
      <c r="K253" s="830"/>
      <c r="L253" s="830"/>
      <c r="M253" s="8"/>
      <c r="N253" s="664" t="s">
        <v>34</v>
      </c>
      <c r="O253" s="657"/>
      <c r="P253" s="657"/>
      <c r="Q253" s="657"/>
      <c r="R253" s="657"/>
      <c r="S253" s="657"/>
      <c r="T253" s="657"/>
      <c r="U253" s="642">
        <f>(U229*CO2factorElektriciteit+U232*CO2factorAardgas+(U235-U242)*CO2factorWarmte)/1000</f>
        <v>121.78592999999999</v>
      </c>
      <c r="V253" s="541">
        <f>(V229*CO2factorElektriciteit+V232*CO2factorAardgas+(V235-V242)*CO2factorWarmte)/1000</f>
        <v>121.793434</v>
      </c>
      <c r="W253" s="542"/>
      <c r="X253" s="543"/>
      <c r="Y253" s="543"/>
      <c r="Z253" s="542"/>
      <c r="AA253" s="542"/>
      <c r="AB253" s="541">
        <f>(AB229*CO2factorElektriciteit+AB232*CO2factorAardgas+(AB235-AB242)*CO2factorWarmte)/1000</f>
        <v>121.793434</v>
      </c>
      <c r="AC253" s="542"/>
      <c r="AD253" s="543"/>
      <c r="AE253" s="543"/>
      <c r="AF253" s="542"/>
      <c r="AG253" s="542"/>
      <c r="AH253" s="541">
        <f>(AH229*CO2factorElektriciteit+AH232*CO2factorAardgas+(AH235-AH242)*CO2factorWarmte)/1000</f>
        <v>121.793434</v>
      </c>
      <c r="AI253" s="542"/>
      <c r="AJ253" s="543"/>
      <c r="AK253" s="543"/>
      <c r="AL253" s="542"/>
      <c r="AM253" s="542"/>
      <c r="AN253" s="541">
        <f>(AN229*CO2factorElektriciteit+AN232*CO2factorAardgas+(AN235-AN242)*CO2factorWarmte)/1000</f>
        <v>121.793434</v>
      </c>
      <c r="AO253" s="560"/>
      <c r="AP253" s="561"/>
      <c r="AQ253" s="561"/>
      <c r="AR253" s="560"/>
      <c r="AS253" s="560"/>
      <c r="AT253" s="642">
        <f>(AT229*CO2factorElektriciteit+AT232*CO2factorAardgas+(AT235-AT242)*CO2factorWarmte)/1000</f>
        <v>55.596638755599997</v>
      </c>
      <c r="AU253" s="542"/>
      <c r="AV253" s="543"/>
      <c r="AW253" s="543"/>
      <c r="AX253" s="542"/>
      <c r="AY253" s="542"/>
      <c r="AZ253" s="541">
        <f>(AZ229*CO2factorElektriciteit+AZ232*CO2factorAardgas+(AZ235-AZ242)*CO2factorWarmte)/1000</f>
        <v>55.336974067200003</v>
      </c>
      <c r="BA253" s="311"/>
      <c r="BB253" s="312"/>
      <c r="BC253" s="312"/>
      <c r="BD253" s="311"/>
      <c r="BE253" s="311"/>
      <c r="BF253" s="541">
        <f>(BF229*CO2factorElektriciteit+BF232*CO2factorAardgas+(BF235-BF242)*CO2factorWarmte)/1000</f>
        <v>54.240854067200004</v>
      </c>
      <c r="BG253" s="311"/>
      <c r="BH253" s="312"/>
      <c r="BI253" s="312"/>
      <c r="BJ253" s="311"/>
      <c r="BK253" s="311"/>
      <c r="BL253" s="541">
        <f>(BL229*CO2factorElektriciteit+BL232*CO2factorAardgas+(BL235-BL242)*CO2factorWarmte)/1000</f>
        <v>54.240854067200004</v>
      </c>
      <c r="BM253" s="311"/>
      <c r="BN253" s="312"/>
      <c r="BO253" s="312"/>
      <c r="BP253" s="311"/>
      <c r="BQ253" s="311"/>
      <c r="BR253" s="541">
        <f>(BR229*CO2factorElektriciteit+BR232*CO2factorAardgas+(BR235-BR242)*CO2factorWarmte)/1000</f>
        <v>54.240854067200004</v>
      </c>
      <c r="BS253" s="542"/>
      <c r="BT253" s="543"/>
      <c r="BU253" s="543"/>
      <c r="BV253" s="542"/>
      <c r="BW253" s="542"/>
      <c r="BX253" s="541">
        <f>(BX229*CO2factorElektriciteit+BX232*CO2factorAardgas+(BX235-BX242)*CO2factorWarmte)/1000</f>
        <v>16.135488467200002</v>
      </c>
      <c r="BY253" s="311"/>
      <c r="BZ253" s="312"/>
      <c r="CA253" s="312"/>
      <c r="CB253" s="311"/>
      <c r="CC253" s="311"/>
      <c r="CD253" s="541">
        <f>(CD229*CO2factorElektriciteit+CD232*CO2factorAardgas+(CD235-CD242)*CO2factorWarmte)/1000</f>
        <v>16.135488467200002</v>
      </c>
      <c r="CE253" s="311"/>
      <c r="CF253" s="312"/>
      <c r="CG253" s="312"/>
      <c r="CH253" s="311"/>
      <c r="CI253" s="311"/>
      <c r="CJ253" s="541">
        <f>(CJ229*CO2factorElektriciteit+CJ232*CO2factorAardgas+(CJ235-CJ242)*CO2factorWarmte)/1000</f>
        <v>16.135488467200002</v>
      </c>
      <c r="CK253" s="311"/>
      <c r="CL253" s="312"/>
      <c r="CM253" s="312"/>
      <c r="CN253" s="311"/>
      <c r="CO253" s="311"/>
      <c r="CP253" s="541">
        <f>(CP229*CO2factorElektriciteit+CP232*CO2factorAardgas+(CP235-CP242)*CO2factorWarmte)/1000</f>
        <v>16.135488467200002</v>
      </c>
      <c r="CQ253" s="544"/>
      <c r="CR253" s="543"/>
      <c r="CS253" s="543"/>
      <c r="CT253" s="544"/>
      <c r="CU253" s="544"/>
      <c r="CV253" s="541">
        <f>(CV229*CO2factorElektriciteit+CV232*CO2factorAardgas+(CV235-CV242)*CO2factorWarmte)/1000</f>
        <v>16.135488467200002</v>
      </c>
      <c r="CW253" s="544"/>
      <c r="CX253" s="543"/>
      <c r="CY253" s="543"/>
      <c r="CZ253" s="544"/>
      <c r="DA253" s="544"/>
      <c r="DB253" s="541">
        <f>(DB229*CO2factorElektriciteit+DB232*CO2factorAardgas+(DB235-DB242)*CO2factorWarmte)/1000</f>
        <v>16.135488467200002</v>
      </c>
      <c r="DC253" s="311"/>
      <c r="DD253" s="312"/>
      <c r="DE253" s="312"/>
      <c r="DF253" s="311"/>
      <c r="DG253" s="311"/>
      <c r="DH253" s="541">
        <f>(DH229*CO2factorElektriciteit+DH232*CO2factorAardgas+(DH235-DH242)*CO2factorWarmte)/1000</f>
        <v>16.135488467200002</v>
      </c>
      <c r="DI253" s="311"/>
      <c r="DJ253" s="312"/>
      <c r="DK253" s="312"/>
      <c r="DL253" s="311"/>
      <c r="DM253" s="311"/>
      <c r="DN253" s="541">
        <f>(DN229*CO2factorElektriciteit+DN232*CO2factorAardgas+(DN235-DN242)*CO2factorWarmte)/1000</f>
        <v>16.135488467200002</v>
      </c>
      <c r="DO253" s="311"/>
      <c r="DP253" s="312"/>
      <c r="DQ253" s="312"/>
      <c r="DR253" s="311"/>
      <c r="DS253" s="311"/>
      <c r="DT253" s="541">
        <f>(DT229*CO2factorElektriciteit+DT232*CO2factorAardgas+(DT235-DT242)*CO2factorWarmte)/1000</f>
        <v>16.135488467200002</v>
      </c>
      <c r="DU253" s="311"/>
      <c r="DV253" s="312"/>
      <c r="DW253" s="312"/>
      <c r="DX253" s="311"/>
      <c r="DY253" s="311"/>
      <c r="DZ253" s="541">
        <f>(DZ229*CO2factorElektriciteit+DZ232*CO2factorAardgas+(DZ235-DZ242)*CO2factorWarmte)/1000</f>
        <v>16.135488467200002</v>
      </c>
      <c r="EA253" s="311"/>
      <c r="EB253" s="312"/>
      <c r="EC253" s="312"/>
      <c r="ED253" s="311"/>
      <c r="EE253" s="311"/>
      <c r="EF253" s="541">
        <f>(EF229*CO2factorElektriciteit+EF232*CO2factorAardgas+(EF235-EF242)*CO2factorWarmte)/1000</f>
        <v>16.135488467200002</v>
      </c>
      <c r="EG253" s="311"/>
      <c r="EH253" s="312"/>
      <c r="EI253" s="312"/>
      <c r="EJ253" s="311"/>
      <c r="EK253" s="311"/>
      <c r="EL253" s="541">
        <f>(EL229*CO2factorElektriciteit+EL232*CO2factorAardgas+(EL235-EL242)*CO2factorWarmte)/1000</f>
        <v>16.135488467200002</v>
      </c>
      <c r="EM253" s="311"/>
      <c r="EN253" s="312"/>
      <c r="EO253" s="312"/>
      <c r="EP253" s="311"/>
      <c r="EQ253" s="311"/>
      <c r="ER253" s="541">
        <f>(ER229*CO2factorElektriciteit+ER232*CO2factorAardgas+(ER235-ER242)*CO2factorWarmte)/1000</f>
        <v>0</v>
      </c>
      <c r="ES253" s="311"/>
      <c r="ET253" s="312"/>
      <c r="EU253" s="312"/>
      <c r="EV253" s="311"/>
      <c r="EW253" s="311"/>
      <c r="EX253" s="541">
        <f>(EX229*CO2factorElektriciteit+EX232*CO2factorAardgas+(EX235-EX242)*CO2factorWarmte)/1000</f>
        <v>0</v>
      </c>
      <c r="EY253" s="311"/>
      <c r="EZ253" s="312"/>
      <c r="FA253" s="312"/>
      <c r="FB253" s="311"/>
      <c r="FC253" s="311"/>
      <c r="FD253" s="541">
        <f>(FD229*CO2factorElektriciteit+FD232*CO2factorAardgas+(FD235-FD242)*CO2factorWarmte)/1000</f>
        <v>0</v>
      </c>
      <c r="FE253" s="311"/>
      <c r="FF253" s="312"/>
      <c r="FG253" s="312"/>
      <c r="FH253" s="311"/>
      <c r="FI253" s="311"/>
      <c r="FJ253" s="541">
        <f>(FJ229*CO2factorElektriciteit+FJ232*CO2factorAardgas+(FJ235-FJ242)*CO2factorWarmte)/1000</f>
        <v>0</v>
      </c>
      <c r="FK253" s="311"/>
      <c r="FL253" s="312"/>
      <c r="FM253" s="312"/>
      <c r="FN253" s="311"/>
      <c r="FO253" s="311"/>
      <c r="FP253" s="541">
        <f>(FP229*CO2factorElektriciteit+FP232*CO2factorAardgas+(FP235-FP242)*CO2factorWarmte)/1000</f>
        <v>0</v>
      </c>
      <c r="FQ253" s="311"/>
      <c r="FR253" s="312"/>
      <c r="FS253" s="312"/>
      <c r="FT253" s="311"/>
      <c r="FU253" s="311"/>
      <c r="FV253" s="541">
        <f>(FV229*CO2factorElektriciteit+FV232*CO2factorAardgas+(FV235-FV242)*CO2factorWarmte)/1000</f>
        <v>0</v>
      </c>
      <c r="FW253" s="311"/>
      <c r="FX253" s="312"/>
      <c r="FY253" s="312"/>
      <c r="FZ253" s="311"/>
      <c r="GA253" s="311"/>
      <c r="GB253" s="541">
        <f>(GB229*CO2factorElektriciteit+GB232*CO2factorAardgas+(GB235-GB242)*CO2factorWarmte)/1000</f>
        <v>0</v>
      </c>
      <c r="GC253" s="311"/>
      <c r="GD253" s="312"/>
      <c r="GE253" s="312"/>
      <c r="GF253" s="311"/>
      <c r="GG253" s="311"/>
      <c r="GH253" s="541">
        <f>(GH229*CO2factorElektriciteit+GH232*CO2factorAardgas+(GH235-GH242)*CO2factorWarmte)/1000</f>
        <v>0</v>
      </c>
      <c r="GI253" s="311"/>
      <c r="GJ253" s="312"/>
      <c r="GK253" s="312"/>
      <c r="GL253" s="311"/>
      <c r="GM253" s="311"/>
      <c r="GN253" s="541">
        <f>(GN229*CO2factorElektriciteit+GN232*CO2factorAardgas+(GN235-GN242)*CO2factorWarmte)/1000</f>
        <v>0</v>
      </c>
      <c r="GO253" s="311"/>
      <c r="GP253" s="312"/>
      <c r="GQ253" s="312"/>
      <c r="GR253" s="311"/>
      <c r="GS253" s="311"/>
      <c r="GT253" s="541">
        <f>(GT229*CO2factorElektriciteit+GT232*CO2factorAardgas+(GT235-GT242)*CO2factorWarmte)/1000</f>
        <v>0</v>
      </c>
      <c r="GU253" s="311"/>
      <c r="GV253" s="312"/>
      <c r="GW253" s="312"/>
      <c r="GX253" s="311"/>
      <c r="GY253" s="311"/>
      <c r="GZ253" s="545">
        <f>(GZ229*CO2factorElektriciteit+GZ232*CO2factorAardgas+(GZ235-GZ242)*CO2factorWarmte)/1000</f>
        <v>0</v>
      </c>
      <c r="HA253" s="532"/>
      <c r="HB253" s="530"/>
      <c r="HC253" s="530"/>
      <c r="HD253" s="532"/>
      <c r="HE253" s="532"/>
      <c r="HF253" s="546"/>
      <c r="HG253" s="8"/>
      <c r="HH253" s="8"/>
      <c r="HI253" s="8"/>
      <c r="HJ253" s="8"/>
    </row>
    <row r="254" spans="2:218" ht="31.5" customHeight="1">
      <c r="B254" s="123"/>
      <c r="C254" s="123"/>
      <c r="D254" s="123"/>
      <c r="E254" s="123"/>
      <c r="F254" s="123"/>
      <c r="G254" s="123"/>
      <c r="H254" s="123"/>
      <c r="I254" s="123"/>
      <c r="J254" s="123"/>
      <c r="K254" s="123"/>
      <c r="L254" s="123"/>
      <c r="M254" s="8"/>
      <c r="N254" s="665" t="s">
        <v>514</v>
      </c>
      <c r="O254" s="658"/>
      <c r="P254" s="658"/>
      <c r="Q254" s="658"/>
      <c r="R254" s="658"/>
      <c r="S254" s="658"/>
      <c r="T254" s="658"/>
      <c r="U254" s="633">
        <f>IF(U222=0,0,(U253*1000)/U222)</f>
        <v>56.108068885448915</v>
      </c>
      <c r="V254" s="634">
        <f>IF(V222=0,0,(V253*1000)/V222)</f>
        <v>56.111526057791544</v>
      </c>
      <c r="W254" s="574"/>
      <c r="X254" s="575"/>
      <c r="Y254" s="575"/>
      <c r="Z254" s="574"/>
      <c r="AA254" s="574"/>
      <c r="AB254" s="634">
        <f>IF(AB222=0,0,(AB253*1000)/AB222)</f>
        <v>56.111526057791544</v>
      </c>
      <c r="AC254" s="315"/>
      <c r="AD254" s="316"/>
      <c r="AE254" s="316"/>
      <c r="AF254" s="315"/>
      <c r="AG254" s="315"/>
      <c r="AH254" s="634">
        <f>IF(AH222=0,0,(AH253*1000)/AH222)</f>
        <v>56.111526057791544</v>
      </c>
      <c r="AI254" s="574"/>
      <c r="AJ254" s="575"/>
      <c r="AK254" s="575"/>
      <c r="AL254" s="574"/>
      <c r="AM254" s="574"/>
      <c r="AN254" s="634">
        <f>IF(AN222=0,0,(AN253*1000)/AN222)</f>
        <v>56.111526057791544</v>
      </c>
      <c r="AO254" s="439"/>
      <c r="AP254" s="530"/>
      <c r="AQ254" s="530"/>
      <c r="AR254" s="439"/>
      <c r="AS254" s="439"/>
      <c r="AT254" s="633">
        <f>IF(AT222=0,0,(AT253*1000)/AT222)</f>
        <v>25.613960800715024</v>
      </c>
      <c r="AU254" s="315"/>
      <c r="AV254" s="316"/>
      <c r="AW254" s="316"/>
      <c r="AX254" s="315"/>
      <c r="AY254" s="315"/>
      <c r="AZ254" s="634">
        <f>IF(AZ222=0,0,(AZ253*1000)/AZ222)</f>
        <v>25.494330526315792</v>
      </c>
      <c r="BA254" s="315"/>
      <c r="BB254" s="316"/>
      <c r="BC254" s="316"/>
      <c r="BD254" s="315"/>
      <c r="BE254" s="315"/>
      <c r="BF254" s="634">
        <f>IF(BF222=0,0,(BF253*1000)/BF222)</f>
        <v>24.989336423411473</v>
      </c>
      <c r="BG254" s="315"/>
      <c r="BH254" s="316"/>
      <c r="BI254" s="316"/>
      <c r="BJ254" s="315"/>
      <c r="BK254" s="315"/>
      <c r="BL254" s="634">
        <f>IF(BL222=0,0,(BL253*1000)/BL222)</f>
        <v>24.989336423411473</v>
      </c>
      <c r="BM254" s="315"/>
      <c r="BN254" s="316"/>
      <c r="BO254" s="316"/>
      <c r="BP254" s="315"/>
      <c r="BQ254" s="315"/>
      <c r="BR254" s="634">
        <f>IF(BR222=0,0,(BR253*1000)/BR222)</f>
        <v>24.989336423411473</v>
      </c>
      <c r="BS254" s="315"/>
      <c r="BT254" s="316"/>
      <c r="BU254" s="316"/>
      <c r="BV254" s="315"/>
      <c r="BW254" s="315"/>
      <c r="BX254" s="634">
        <f>IF(BX222=0,0,(BX253*1000)/BX222)</f>
        <v>7.4337905734925567</v>
      </c>
      <c r="BY254" s="315"/>
      <c r="BZ254" s="316"/>
      <c r="CA254" s="316"/>
      <c r="CB254" s="315"/>
      <c r="CC254" s="315"/>
      <c r="CD254" s="634">
        <f>IF(CD222=0,0,(CD253*1000)/CD222)</f>
        <v>7.4337905734925567</v>
      </c>
      <c r="CE254" s="315"/>
      <c r="CF254" s="316"/>
      <c r="CG254" s="316"/>
      <c r="CH254" s="315"/>
      <c r="CI254" s="315"/>
      <c r="CJ254" s="634">
        <f>IF(CJ222=0,0,(CJ253*1000)/CJ222)</f>
        <v>7.4337905734925567</v>
      </c>
      <c r="CK254" s="315"/>
      <c r="CL254" s="316"/>
      <c r="CM254" s="316"/>
      <c r="CN254" s="315"/>
      <c r="CO254" s="315"/>
      <c r="CP254" s="634">
        <f>IF(CP222=0,0,(CP253*1000)/CP222)</f>
        <v>7.4337905734925567</v>
      </c>
      <c r="CQ254" s="315"/>
      <c r="CR254" s="316"/>
      <c r="CS254" s="316"/>
      <c r="CT254" s="315"/>
      <c r="CU254" s="315"/>
      <c r="CV254" s="634">
        <f>IF(CV222=0,0,(CV253*1000)/CV222)</f>
        <v>7.4337905734925567</v>
      </c>
      <c r="CW254" s="577"/>
      <c r="CX254" s="575"/>
      <c r="CY254" s="575"/>
      <c r="CZ254" s="577"/>
      <c r="DA254" s="577"/>
      <c r="DB254" s="634">
        <f>IF(DB222=0,0,(DB253*1000)/DB222)</f>
        <v>7.4337905734925567</v>
      </c>
      <c r="DC254" s="315"/>
      <c r="DD254" s="316"/>
      <c r="DE254" s="316"/>
      <c r="DF254" s="315"/>
      <c r="DG254" s="315"/>
      <c r="DH254" s="634">
        <f>IF(DH222=0,0,(DH253*1000)/DH222)</f>
        <v>7.4337905734925567</v>
      </c>
      <c r="DI254" s="315"/>
      <c r="DJ254" s="316"/>
      <c r="DK254" s="316"/>
      <c r="DL254" s="315"/>
      <c r="DM254" s="315"/>
      <c r="DN254" s="634">
        <f>IF(DN222=0,0,(DN253*1000)/DN222)</f>
        <v>7.4337905734925567</v>
      </c>
      <c r="DO254" s="315"/>
      <c r="DP254" s="316"/>
      <c r="DQ254" s="316"/>
      <c r="DR254" s="315"/>
      <c r="DS254" s="315"/>
      <c r="DT254" s="634">
        <f>IF(DT222=0,0,(DT253*1000)/DT222)</f>
        <v>7.4337905734925567</v>
      </c>
      <c r="DU254" s="315"/>
      <c r="DV254" s="316"/>
      <c r="DW254" s="316"/>
      <c r="DX254" s="315"/>
      <c r="DY254" s="315"/>
      <c r="DZ254" s="634">
        <f>IF(DZ222=0,0,(DZ253*1000)/DZ222)</f>
        <v>7.4337905734925567</v>
      </c>
      <c r="EA254" s="315"/>
      <c r="EB254" s="316"/>
      <c r="EC254" s="316"/>
      <c r="ED254" s="315"/>
      <c r="EE254" s="315"/>
      <c r="EF254" s="634">
        <f>IF(EF222=0,0,(EF253*1000)/EF222)</f>
        <v>7.4337905734925567</v>
      </c>
      <c r="EG254" s="315"/>
      <c r="EH254" s="316"/>
      <c r="EI254" s="316"/>
      <c r="EJ254" s="315"/>
      <c r="EK254" s="315"/>
      <c r="EL254" s="634">
        <f>IF(EL222=0,0,(EL253*1000)/EL222)</f>
        <v>7.4337905734925567</v>
      </c>
      <c r="EM254" s="315"/>
      <c r="EN254" s="316"/>
      <c r="EO254" s="316"/>
      <c r="EP254" s="315"/>
      <c r="EQ254" s="315"/>
      <c r="ER254" s="634">
        <f>IF(ER222=0,0,(ER253*1000)/ER222)</f>
        <v>0</v>
      </c>
      <c r="ES254" s="315"/>
      <c r="ET254" s="316"/>
      <c r="EU254" s="316"/>
      <c r="EV254" s="315"/>
      <c r="EW254" s="315"/>
      <c r="EX254" s="634">
        <f>IF(EX222=0,0,(EX253*1000)/EX222)</f>
        <v>0</v>
      </c>
      <c r="EY254" s="315"/>
      <c r="EZ254" s="316"/>
      <c r="FA254" s="316"/>
      <c r="FB254" s="315"/>
      <c r="FC254" s="315"/>
      <c r="FD254" s="634">
        <f>IF(FD222=0,0,(FD253*1000)/FD222)</f>
        <v>0</v>
      </c>
      <c r="FE254" s="315"/>
      <c r="FF254" s="316"/>
      <c r="FG254" s="316"/>
      <c r="FH254" s="315"/>
      <c r="FI254" s="315"/>
      <c r="FJ254" s="634">
        <f>IF(FJ222=0,0,(FJ253*1000)/FJ222)</f>
        <v>0</v>
      </c>
      <c r="FK254" s="315"/>
      <c r="FL254" s="316"/>
      <c r="FM254" s="316"/>
      <c r="FN254" s="315"/>
      <c r="FO254" s="315"/>
      <c r="FP254" s="634">
        <f>IF(FP222=0,0,(FP253*1000)/FP222)</f>
        <v>0</v>
      </c>
      <c r="FQ254" s="315"/>
      <c r="FR254" s="316"/>
      <c r="FS254" s="316"/>
      <c r="FT254" s="315"/>
      <c r="FU254" s="315"/>
      <c r="FV254" s="634">
        <f>IF(FV222=0,0,(FV253*1000)/FV222)</f>
        <v>0</v>
      </c>
      <c r="FW254" s="315"/>
      <c r="FX254" s="316"/>
      <c r="FY254" s="316"/>
      <c r="FZ254" s="315"/>
      <c r="GA254" s="315"/>
      <c r="GB254" s="634">
        <f>IF(GB222=0,0,(GB253*1000)/GB222)</f>
        <v>0</v>
      </c>
      <c r="GC254" s="315"/>
      <c r="GD254" s="316"/>
      <c r="GE254" s="316"/>
      <c r="GF254" s="315"/>
      <c r="GG254" s="315"/>
      <c r="GH254" s="634">
        <f>IF(GH222=0,0,(GH253*1000)/GH222)</f>
        <v>0</v>
      </c>
      <c r="GI254" s="315"/>
      <c r="GJ254" s="316"/>
      <c r="GK254" s="316"/>
      <c r="GL254" s="315"/>
      <c r="GM254" s="315"/>
      <c r="GN254" s="634">
        <f>IF(GN222=0,0,(GN253*1000)/GN222)</f>
        <v>0</v>
      </c>
      <c r="GO254" s="315"/>
      <c r="GP254" s="316"/>
      <c r="GQ254" s="316"/>
      <c r="GR254" s="315"/>
      <c r="GS254" s="315"/>
      <c r="GT254" s="634">
        <f>IF(GT222=0,0,(GT253*1000)/GT222)</f>
        <v>0</v>
      </c>
      <c r="GU254" s="315"/>
      <c r="GV254" s="316"/>
      <c r="GW254" s="316"/>
      <c r="GX254" s="315"/>
      <c r="GY254" s="315"/>
      <c r="GZ254" s="666">
        <f>IF(GZ222=0,0,(GZ253*1000)/GZ222)</f>
        <v>0</v>
      </c>
      <c r="HA254" s="532"/>
      <c r="HB254" s="530"/>
      <c r="HC254" s="530"/>
      <c r="HD254" s="532"/>
      <c r="HE254" s="532"/>
      <c r="HF254" s="546"/>
      <c r="HG254" s="8"/>
      <c r="HH254" s="8"/>
      <c r="HI254" s="8"/>
      <c r="HJ254" s="8"/>
    </row>
    <row r="255" spans="2:218" ht="24" customHeight="1">
      <c r="B255" s="123"/>
      <c r="C255" s="8"/>
      <c r="D255" s="8"/>
      <c r="E255" s="8"/>
      <c r="F255" s="8"/>
      <c r="G255" s="8"/>
      <c r="H255" s="8"/>
      <c r="I255" s="8"/>
      <c r="J255" s="8"/>
      <c r="K255" s="8"/>
      <c r="L255" s="8"/>
      <c r="M255" s="8"/>
      <c r="N255" s="667" t="s">
        <v>735</v>
      </c>
      <c r="O255" s="662"/>
      <c r="P255" s="662"/>
      <c r="Q255" s="662"/>
      <c r="R255" s="662"/>
      <c r="S255" s="662"/>
      <c r="T255" s="662"/>
      <c r="U255" s="668">
        <f t="shared" ref="U255:AZ255" si="290">IF(U222=0,0,IF(CO2_2018=0,0,(U253/$U$253)-1))</f>
        <v>0</v>
      </c>
      <c r="V255" s="668">
        <f t="shared" si="290"/>
        <v>6.1616313148826762E-5</v>
      </c>
      <c r="W255" s="668">
        <f t="shared" si="290"/>
        <v>0</v>
      </c>
      <c r="X255" s="668">
        <f t="shared" si="290"/>
        <v>0</v>
      </c>
      <c r="Y255" s="668">
        <f t="shared" si="290"/>
        <v>0</v>
      </c>
      <c r="Z255" s="668">
        <f t="shared" si="290"/>
        <v>0</v>
      </c>
      <c r="AA255" s="668">
        <f t="shared" si="290"/>
        <v>0</v>
      </c>
      <c r="AB255" s="668">
        <f t="shared" si="290"/>
        <v>6.1616313148826762E-5</v>
      </c>
      <c r="AC255" s="668">
        <f t="shared" si="290"/>
        <v>0</v>
      </c>
      <c r="AD255" s="668">
        <f t="shared" si="290"/>
        <v>0</v>
      </c>
      <c r="AE255" s="668">
        <f t="shared" si="290"/>
        <v>0</v>
      </c>
      <c r="AF255" s="668">
        <f t="shared" si="290"/>
        <v>0</v>
      </c>
      <c r="AG255" s="668">
        <f t="shared" si="290"/>
        <v>0</v>
      </c>
      <c r="AH255" s="668">
        <f t="shared" si="290"/>
        <v>6.1616313148826762E-5</v>
      </c>
      <c r="AI255" s="668">
        <f t="shared" si="290"/>
        <v>0</v>
      </c>
      <c r="AJ255" s="668">
        <f t="shared" si="290"/>
        <v>0</v>
      </c>
      <c r="AK255" s="668">
        <f t="shared" si="290"/>
        <v>0</v>
      </c>
      <c r="AL255" s="668">
        <f t="shared" si="290"/>
        <v>0</v>
      </c>
      <c r="AM255" s="668">
        <f t="shared" si="290"/>
        <v>0</v>
      </c>
      <c r="AN255" s="668">
        <f t="shared" si="290"/>
        <v>6.1616313148826762E-5</v>
      </c>
      <c r="AO255" s="668">
        <f t="shared" si="290"/>
        <v>0</v>
      </c>
      <c r="AP255" s="668">
        <f t="shared" si="290"/>
        <v>0</v>
      </c>
      <c r="AQ255" s="668">
        <f t="shared" si="290"/>
        <v>0</v>
      </c>
      <c r="AR255" s="668">
        <f t="shared" si="290"/>
        <v>0</v>
      </c>
      <c r="AS255" s="668">
        <f t="shared" si="290"/>
        <v>0</v>
      </c>
      <c r="AT255" s="668">
        <f t="shared" si="290"/>
        <v>-0.54348881881839717</v>
      </c>
      <c r="AU255" s="668">
        <f t="shared" si="290"/>
        <v>0</v>
      </c>
      <c r="AV255" s="668">
        <f t="shared" si="290"/>
        <v>0</v>
      </c>
      <c r="AW255" s="668">
        <f t="shared" si="290"/>
        <v>0</v>
      </c>
      <c r="AX255" s="668">
        <f t="shared" si="290"/>
        <v>0</v>
      </c>
      <c r="AY255" s="668">
        <f t="shared" si="290"/>
        <v>0</v>
      </c>
      <c r="AZ255" s="668">
        <f t="shared" si="290"/>
        <v>-0.54562095911079378</v>
      </c>
      <c r="BA255" s="668">
        <f t="shared" ref="BA255:CF255" si="291">IF(BA222=0,0,IF(CO2_2018=0,0,(BA253/$U$253)-1))</f>
        <v>0</v>
      </c>
      <c r="BB255" s="668">
        <f t="shared" si="291"/>
        <v>0</v>
      </c>
      <c r="BC255" s="668">
        <f t="shared" si="291"/>
        <v>0</v>
      </c>
      <c r="BD255" s="668">
        <f t="shared" si="291"/>
        <v>0</v>
      </c>
      <c r="BE255" s="668">
        <f t="shared" si="291"/>
        <v>0</v>
      </c>
      <c r="BF255" s="668">
        <f t="shared" si="291"/>
        <v>-0.55462134199574609</v>
      </c>
      <c r="BG255" s="668">
        <f t="shared" si="291"/>
        <v>0</v>
      </c>
      <c r="BH255" s="668">
        <f t="shared" si="291"/>
        <v>0</v>
      </c>
      <c r="BI255" s="668">
        <f t="shared" si="291"/>
        <v>0</v>
      </c>
      <c r="BJ255" s="668">
        <f t="shared" si="291"/>
        <v>0</v>
      </c>
      <c r="BK255" s="668">
        <f t="shared" si="291"/>
        <v>0</v>
      </c>
      <c r="BL255" s="668">
        <f t="shared" si="291"/>
        <v>-0.55462134199574609</v>
      </c>
      <c r="BM255" s="668">
        <f t="shared" si="291"/>
        <v>0</v>
      </c>
      <c r="BN255" s="668">
        <f t="shared" si="291"/>
        <v>0</v>
      </c>
      <c r="BO255" s="668">
        <f t="shared" si="291"/>
        <v>0</v>
      </c>
      <c r="BP255" s="668">
        <f t="shared" si="291"/>
        <v>0</v>
      </c>
      <c r="BQ255" s="668">
        <f t="shared" si="291"/>
        <v>0</v>
      </c>
      <c r="BR255" s="668">
        <f t="shared" si="291"/>
        <v>-0.55462134199574609</v>
      </c>
      <c r="BS255" s="668">
        <f t="shared" si="291"/>
        <v>0</v>
      </c>
      <c r="BT255" s="668">
        <f t="shared" si="291"/>
        <v>0</v>
      </c>
      <c r="BU255" s="668">
        <f t="shared" si="291"/>
        <v>0</v>
      </c>
      <c r="BV255" s="668">
        <f t="shared" si="291"/>
        <v>0</v>
      </c>
      <c r="BW255" s="668">
        <f t="shared" si="291"/>
        <v>0</v>
      </c>
      <c r="BX255" s="668">
        <f t="shared" si="291"/>
        <v>-0.8675094202819652</v>
      </c>
      <c r="BY255" s="668">
        <f t="shared" si="291"/>
        <v>0</v>
      </c>
      <c r="BZ255" s="668">
        <f t="shared" si="291"/>
        <v>0</v>
      </c>
      <c r="CA255" s="668">
        <f t="shared" si="291"/>
        <v>0</v>
      </c>
      <c r="CB255" s="668">
        <f t="shared" si="291"/>
        <v>0</v>
      </c>
      <c r="CC255" s="668">
        <f t="shared" si="291"/>
        <v>0</v>
      </c>
      <c r="CD255" s="668">
        <f t="shared" si="291"/>
        <v>-0.8675094202819652</v>
      </c>
      <c r="CE255" s="668">
        <f t="shared" si="291"/>
        <v>0</v>
      </c>
      <c r="CF255" s="668">
        <f t="shared" si="291"/>
        <v>0</v>
      </c>
      <c r="CG255" s="668">
        <f t="shared" ref="CG255:DL255" si="292">IF(CG222=0,0,IF(CO2_2018=0,0,(CG253/$U$253)-1))</f>
        <v>0</v>
      </c>
      <c r="CH255" s="668">
        <f t="shared" si="292"/>
        <v>0</v>
      </c>
      <c r="CI255" s="668">
        <f t="shared" si="292"/>
        <v>0</v>
      </c>
      <c r="CJ255" s="668">
        <f t="shared" si="292"/>
        <v>-0.8675094202819652</v>
      </c>
      <c r="CK255" s="668">
        <f t="shared" si="292"/>
        <v>0</v>
      </c>
      <c r="CL255" s="668">
        <f t="shared" si="292"/>
        <v>0</v>
      </c>
      <c r="CM255" s="668">
        <f t="shared" si="292"/>
        <v>0</v>
      </c>
      <c r="CN255" s="668">
        <f t="shared" si="292"/>
        <v>0</v>
      </c>
      <c r="CO255" s="668">
        <f t="shared" si="292"/>
        <v>0</v>
      </c>
      <c r="CP255" s="668">
        <f t="shared" si="292"/>
        <v>-0.8675094202819652</v>
      </c>
      <c r="CQ255" s="668">
        <f t="shared" si="292"/>
        <v>0</v>
      </c>
      <c r="CR255" s="668">
        <f t="shared" si="292"/>
        <v>0</v>
      </c>
      <c r="CS255" s="668">
        <f t="shared" si="292"/>
        <v>0</v>
      </c>
      <c r="CT255" s="668">
        <f t="shared" si="292"/>
        <v>0</v>
      </c>
      <c r="CU255" s="668">
        <f t="shared" si="292"/>
        <v>0</v>
      </c>
      <c r="CV255" s="668">
        <f t="shared" si="292"/>
        <v>-0.8675094202819652</v>
      </c>
      <c r="CW255" s="668">
        <f t="shared" si="292"/>
        <v>0</v>
      </c>
      <c r="CX255" s="668">
        <f t="shared" si="292"/>
        <v>0</v>
      </c>
      <c r="CY255" s="668">
        <f t="shared" si="292"/>
        <v>0</v>
      </c>
      <c r="CZ255" s="668">
        <f t="shared" si="292"/>
        <v>0</v>
      </c>
      <c r="DA255" s="668">
        <f t="shared" si="292"/>
        <v>0</v>
      </c>
      <c r="DB255" s="668">
        <f t="shared" si="292"/>
        <v>-0.8675094202819652</v>
      </c>
      <c r="DC255" s="668">
        <f t="shared" si="292"/>
        <v>0</v>
      </c>
      <c r="DD255" s="668">
        <f t="shared" si="292"/>
        <v>0</v>
      </c>
      <c r="DE255" s="668">
        <f t="shared" si="292"/>
        <v>0</v>
      </c>
      <c r="DF255" s="668">
        <f t="shared" si="292"/>
        <v>0</v>
      </c>
      <c r="DG255" s="668">
        <f t="shared" si="292"/>
        <v>0</v>
      </c>
      <c r="DH255" s="668">
        <f t="shared" si="292"/>
        <v>-0.8675094202819652</v>
      </c>
      <c r="DI255" s="668">
        <f t="shared" si="292"/>
        <v>0</v>
      </c>
      <c r="DJ255" s="668">
        <f t="shared" si="292"/>
        <v>0</v>
      </c>
      <c r="DK255" s="668">
        <f t="shared" si="292"/>
        <v>0</v>
      </c>
      <c r="DL255" s="668">
        <f t="shared" si="292"/>
        <v>0</v>
      </c>
      <c r="DM255" s="668">
        <f t="shared" ref="DM255:ER255" si="293">IF(DM222=0,0,IF(CO2_2018=0,0,(DM253/$U$253)-1))</f>
        <v>0</v>
      </c>
      <c r="DN255" s="668">
        <f t="shared" si="293"/>
        <v>-0.8675094202819652</v>
      </c>
      <c r="DO255" s="668">
        <f t="shared" si="293"/>
        <v>0</v>
      </c>
      <c r="DP255" s="668">
        <f t="shared" si="293"/>
        <v>0</v>
      </c>
      <c r="DQ255" s="668">
        <f t="shared" si="293"/>
        <v>0</v>
      </c>
      <c r="DR255" s="668">
        <f t="shared" si="293"/>
        <v>0</v>
      </c>
      <c r="DS255" s="668">
        <f t="shared" si="293"/>
        <v>0</v>
      </c>
      <c r="DT255" s="668">
        <f t="shared" si="293"/>
        <v>-0.8675094202819652</v>
      </c>
      <c r="DU255" s="668">
        <f t="shared" si="293"/>
        <v>0</v>
      </c>
      <c r="DV255" s="668">
        <f t="shared" si="293"/>
        <v>0</v>
      </c>
      <c r="DW255" s="668">
        <f t="shared" si="293"/>
        <v>0</v>
      </c>
      <c r="DX255" s="668">
        <f t="shared" si="293"/>
        <v>0</v>
      </c>
      <c r="DY255" s="668">
        <f t="shared" si="293"/>
        <v>0</v>
      </c>
      <c r="DZ255" s="668">
        <f t="shared" si="293"/>
        <v>-0.8675094202819652</v>
      </c>
      <c r="EA255" s="668">
        <f t="shared" si="293"/>
        <v>0</v>
      </c>
      <c r="EB255" s="668">
        <f t="shared" si="293"/>
        <v>0</v>
      </c>
      <c r="EC255" s="668">
        <f t="shared" si="293"/>
        <v>0</v>
      </c>
      <c r="ED255" s="668">
        <f t="shared" si="293"/>
        <v>0</v>
      </c>
      <c r="EE255" s="668">
        <f t="shared" si="293"/>
        <v>0</v>
      </c>
      <c r="EF255" s="668">
        <f t="shared" si="293"/>
        <v>-0.8675094202819652</v>
      </c>
      <c r="EG255" s="668">
        <f t="shared" si="293"/>
        <v>0</v>
      </c>
      <c r="EH255" s="668">
        <f t="shared" si="293"/>
        <v>0</v>
      </c>
      <c r="EI255" s="668">
        <f t="shared" si="293"/>
        <v>0</v>
      </c>
      <c r="EJ255" s="668">
        <f t="shared" si="293"/>
        <v>0</v>
      </c>
      <c r="EK255" s="668">
        <f t="shared" si="293"/>
        <v>0</v>
      </c>
      <c r="EL255" s="668">
        <f t="shared" si="293"/>
        <v>-0.8675094202819652</v>
      </c>
      <c r="EM255" s="668">
        <f t="shared" si="293"/>
        <v>0</v>
      </c>
      <c r="EN255" s="668">
        <f t="shared" si="293"/>
        <v>0</v>
      </c>
      <c r="EO255" s="668">
        <f t="shared" si="293"/>
        <v>0</v>
      </c>
      <c r="EP255" s="668">
        <f t="shared" si="293"/>
        <v>0</v>
      </c>
      <c r="EQ255" s="668">
        <f t="shared" si="293"/>
        <v>0</v>
      </c>
      <c r="ER255" s="668">
        <f t="shared" si="293"/>
        <v>0</v>
      </c>
      <c r="ES255" s="668">
        <f t="shared" ref="ES255:FX255" si="294">IF(ES222=0,0,IF(CO2_2018=0,0,(ES253/$U$253)-1))</f>
        <v>0</v>
      </c>
      <c r="ET255" s="668">
        <f t="shared" si="294"/>
        <v>0</v>
      </c>
      <c r="EU255" s="668">
        <f t="shared" si="294"/>
        <v>0</v>
      </c>
      <c r="EV255" s="668">
        <f t="shared" si="294"/>
        <v>0</v>
      </c>
      <c r="EW255" s="668">
        <f t="shared" si="294"/>
        <v>0</v>
      </c>
      <c r="EX255" s="668">
        <f t="shared" si="294"/>
        <v>0</v>
      </c>
      <c r="EY255" s="668">
        <f t="shared" si="294"/>
        <v>0</v>
      </c>
      <c r="EZ255" s="668">
        <f t="shared" si="294"/>
        <v>0</v>
      </c>
      <c r="FA255" s="668">
        <f t="shared" si="294"/>
        <v>0</v>
      </c>
      <c r="FB255" s="668">
        <f t="shared" si="294"/>
        <v>0</v>
      </c>
      <c r="FC255" s="668">
        <f t="shared" si="294"/>
        <v>0</v>
      </c>
      <c r="FD255" s="668">
        <f t="shared" si="294"/>
        <v>0</v>
      </c>
      <c r="FE255" s="668">
        <f t="shared" si="294"/>
        <v>0</v>
      </c>
      <c r="FF255" s="668">
        <f t="shared" si="294"/>
        <v>0</v>
      </c>
      <c r="FG255" s="668">
        <f t="shared" si="294"/>
        <v>0</v>
      </c>
      <c r="FH255" s="668">
        <f t="shared" si="294"/>
        <v>0</v>
      </c>
      <c r="FI255" s="668">
        <f t="shared" si="294"/>
        <v>0</v>
      </c>
      <c r="FJ255" s="668">
        <f t="shared" si="294"/>
        <v>0</v>
      </c>
      <c r="FK255" s="668">
        <f t="shared" si="294"/>
        <v>0</v>
      </c>
      <c r="FL255" s="668">
        <f t="shared" si="294"/>
        <v>0</v>
      </c>
      <c r="FM255" s="668">
        <f t="shared" si="294"/>
        <v>0</v>
      </c>
      <c r="FN255" s="668">
        <f t="shared" si="294"/>
        <v>0</v>
      </c>
      <c r="FO255" s="668">
        <f t="shared" si="294"/>
        <v>0</v>
      </c>
      <c r="FP255" s="668">
        <f t="shared" si="294"/>
        <v>0</v>
      </c>
      <c r="FQ255" s="668">
        <f t="shared" si="294"/>
        <v>0</v>
      </c>
      <c r="FR255" s="668">
        <f t="shared" si="294"/>
        <v>0</v>
      </c>
      <c r="FS255" s="668">
        <f t="shared" si="294"/>
        <v>0</v>
      </c>
      <c r="FT255" s="668">
        <f t="shared" si="294"/>
        <v>0</v>
      </c>
      <c r="FU255" s="668">
        <f t="shared" si="294"/>
        <v>0</v>
      </c>
      <c r="FV255" s="668">
        <f t="shared" si="294"/>
        <v>0</v>
      </c>
      <c r="FW255" s="668">
        <f t="shared" si="294"/>
        <v>0</v>
      </c>
      <c r="FX255" s="668">
        <f t="shared" si="294"/>
        <v>0</v>
      </c>
      <c r="FY255" s="668">
        <f t="shared" ref="FY255:GZ255" si="295">IF(FY222=0,0,IF(CO2_2018=0,0,(FY253/$U$253)-1))</f>
        <v>0</v>
      </c>
      <c r="FZ255" s="668">
        <f t="shared" si="295"/>
        <v>0</v>
      </c>
      <c r="GA255" s="668">
        <f t="shared" si="295"/>
        <v>0</v>
      </c>
      <c r="GB255" s="668">
        <f t="shared" si="295"/>
        <v>0</v>
      </c>
      <c r="GC255" s="668">
        <f t="shared" si="295"/>
        <v>0</v>
      </c>
      <c r="GD255" s="668">
        <f t="shared" si="295"/>
        <v>0</v>
      </c>
      <c r="GE255" s="668">
        <f t="shared" si="295"/>
        <v>0</v>
      </c>
      <c r="GF255" s="668">
        <f t="shared" si="295"/>
        <v>0</v>
      </c>
      <c r="GG255" s="668">
        <f t="shared" si="295"/>
        <v>0</v>
      </c>
      <c r="GH255" s="668">
        <f t="shared" si="295"/>
        <v>0</v>
      </c>
      <c r="GI255" s="668">
        <f t="shared" si="295"/>
        <v>0</v>
      </c>
      <c r="GJ255" s="668">
        <f t="shared" si="295"/>
        <v>0</v>
      </c>
      <c r="GK255" s="668">
        <f t="shared" si="295"/>
        <v>0</v>
      </c>
      <c r="GL255" s="668">
        <f t="shared" si="295"/>
        <v>0</v>
      </c>
      <c r="GM255" s="668">
        <f t="shared" si="295"/>
        <v>0</v>
      </c>
      <c r="GN255" s="668">
        <f t="shared" si="295"/>
        <v>0</v>
      </c>
      <c r="GO255" s="668">
        <f t="shared" si="295"/>
        <v>0</v>
      </c>
      <c r="GP255" s="668">
        <f t="shared" si="295"/>
        <v>0</v>
      </c>
      <c r="GQ255" s="668">
        <f t="shared" si="295"/>
        <v>0</v>
      </c>
      <c r="GR255" s="668">
        <f t="shared" si="295"/>
        <v>0</v>
      </c>
      <c r="GS255" s="668">
        <f t="shared" si="295"/>
        <v>0</v>
      </c>
      <c r="GT255" s="668">
        <f t="shared" si="295"/>
        <v>0</v>
      </c>
      <c r="GU255" s="668">
        <f t="shared" si="295"/>
        <v>0</v>
      </c>
      <c r="GV255" s="668">
        <f t="shared" si="295"/>
        <v>0</v>
      </c>
      <c r="GW255" s="668">
        <f t="shared" si="295"/>
        <v>0</v>
      </c>
      <c r="GX255" s="668">
        <f t="shared" si="295"/>
        <v>0</v>
      </c>
      <c r="GY255" s="668">
        <f t="shared" si="295"/>
        <v>0</v>
      </c>
      <c r="GZ255" s="668">
        <f t="shared" si="295"/>
        <v>0</v>
      </c>
      <c r="HA255" s="532"/>
      <c r="HB255" s="530"/>
      <c r="HC255" s="530"/>
      <c r="HD255" s="532"/>
      <c r="HE255" s="532"/>
      <c r="HF255" s="546"/>
      <c r="HG255" s="8"/>
      <c r="HH255" s="8"/>
      <c r="HI255" s="8"/>
      <c r="HJ255" s="8"/>
    </row>
    <row r="256" spans="2:218" ht="30" customHeight="1">
      <c r="B256" s="123"/>
      <c r="C256" s="825" t="s">
        <v>678</v>
      </c>
      <c r="D256" s="825"/>
      <c r="E256" s="825"/>
      <c r="F256" s="825"/>
      <c r="G256" s="825"/>
      <c r="H256" s="825"/>
      <c r="I256" s="825"/>
      <c r="J256" s="825"/>
      <c r="K256" s="825"/>
      <c r="L256" s="825"/>
      <c r="M256" s="8"/>
      <c r="N256" s="669" t="s">
        <v>496</v>
      </c>
      <c r="O256" s="670"/>
      <c r="P256" s="670"/>
      <c r="Q256" s="670"/>
      <c r="R256" s="670"/>
      <c r="S256" s="670"/>
      <c r="T256" s="670"/>
      <c r="U256" s="671">
        <v>80</v>
      </c>
      <c r="V256" s="671">
        <v>80</v>
      </c>
      <c r="W256" s="439"/>
      <c r="X256" s="530"/>
      <c r="Y256" s="530"/>
      <c r="Z256" s="439"/>
      <c r="AA256" s="439"/>
      <c r="AB256" s="671">
        <v>80</v>
      </c>
      <c r="AC256" s="15"/>
      <c r="AD256" s="16"/>
      <c r="AE256" s="16"/>
      <c r="AF256" s="15"/>
      <c r="AG256" s="15"/>
      <c r="AH256" s="671">
        <v>80</v>
      </c>
      <c r="AI256" s="439"/>
      <c r="AJ256" s="530"/>
      <c r="AK256" s="530"/>
      <c r="AL256" s="439"/>
      <c r="AM256" s="439"/>
      <c r="AN256" s="671">
        <v>80</v>
      </c>
      <c r="AO256" s="439"/>
      <c r="AP256" s="530"/>
      <c r="AQ256" s="530"/>
      <c r="AR256" s="439"/>
      <c r="AS256" s="439"/>
      <c r="AT256" s="671">
        <v>80</v>
      </c>
      <c r="AU256" s="15"/>
      <c r="AV256" s="16"/>
      <c r="AW256" s="16"/>
      <c r="AX256" s="15"/>
      <c r="AY256" s="15"/>
      <c r="AZ256" s="671">
        <v>80</v>
      </c>
      <c r="BA256" s="15"/>
      <c r="BB256" s="16"/>
      <c r="BC256" s="16"/>
      <c r="BD256" s="15"/>
      <c r="BE256" s="15"/>
      <c r="BF256" s="671">
        <v>80</v>
      </c>
      <c r="BG256" s="15"/>
      <c r="BH256" s="16"/>
      <c r="BI256" s="16"/>
      <c r="BJ256" s="15"/>
      <c r="BK256" s="15"/>
      <c r="BL256" s="671">
        <v>80</v>
      </c>
      <c r="BM256" s="15"/>
      <c r="BN256" s="16"/>
      <c r="BO256" s="16"/>
      <c r="BP256" s="15"/>
      <c r="BQ256" s="15"/>
      <c r="BR256" s="671">
        <v>80</v>
      </c>
      <c r="BS256" s="15"/>
      <c r="BT256" s="16"/>
      <c r="BU256" s="16"/>
      <c r="BV256" s="15"/>
      <c r="BW256" s="15"/>
      <c r="BX256" s="671">
        <v>80</v>
      </c>
      <c r="BY256" s="15"/>
      <c r="BZ256" s="16"/>
      <c r="CA256" s="16"/>
      <c r="CB256" s="15"/>
      <c r="CC256" s="15"/>
      <c r="CD256" s="671">
        <v>80</v>
      </c>
      <c r="CE256" s="15"/>
      <c r="CF256" s="16"/>
      <c r="CG256" s="16"/>
      <c r="CH256" s="15"/>
      <c r="CI256" s="15"/>
      <c r="CJ256" s="671">
        <v>80</v>
      </c>
      <c r="CK256" s="15"/>
      <c r="CL256" s="16"/>
      <c r="CM256" s="16"/>
      <c r="CN256" s="15"/>
      <c r="CO256" s="15"/>
      <c r="CP256" s="671">
        <v>80</v>
      </c>
      <c r="CQ256" s="15"/>
      <c r="CR256" s="16"/>
      <c r="CS256" s="16"/>
      <c r="CT256" s="15"/>
      <c r="CU256" s="15"/>
      <c r="CV256" s="671">
        <v>80</v>
      </c>
      <c r="CW256" s="532"/>
      <c r="CX256" s="530"/>
      <c r="CY256" s="530"/>
      <c r="CZ256" s="532"/>
      <c r="DA256" s="532"/>
      <c r="DB256" s="671">
        <v>80</v>
      </c>
      <c r="DC256" s="15"/>
      <c r="DD256" s="16"/>
      <c r="DE256" s="16"/>
      <c r="DF256" s="15"/>
      <c r="DG256" s="15"/>
      <c r="DH256" s="671">
        <v>80</v>
      </c>
      <c r="DI256" s="15"/>
      <c r="DJ256" s="16"/>
      <c r="DK256" s="16"/>
      <c r="DL256" s="15"/>
      <c r="DM256" s="15"/>
      <c r="DN256" s="671">
        <v>80</v>
      </c>
      <c r="DO256" s="15"/>
      <c r="DP256" s="16"/>
      <c r="DQ256" s="16"/>
      <c r="DR256" s="15"/>
      <c r="DS256" s="15"/>
      <c r="DT256" s="671">
        <v>80</v>
      </c>
      <c r="DU256" s="15"/>
      <c r="DV256" s="16"/>
      <c r="DW256" s="16"/>
      <c r="DX256" s="15"/>
      <c r="DY256" s="15"/>
      <c r="DZ256" s="671">
        <v>80</v>
      </c>
      <c r="EA256" s="15"/>
      <c r="EB256" s="16"/>
      <c r="EC256" s="16"/>
      <c r="ED256" s="15"/>
      <c r="EE256" s="15"/>
      <c r="EF256" s="671">
        <v>80</v>
      </c>
      <c r="EG256" s="15"/>
      <c r="EH256" s="16"/>
      <c r="EI256" s="16"/>
      <c r="EJ256" s="15"/>
      <c r="EK256" s="15"/>
      <c r="EL256" s="671">
        <v>80</v>
      </c>
      <c r="EM256" s="15"/>
      <c r="EN256" s="16"/>
      <c r="EO256" s="16"/>
      <c r="EP256" s="15"/>
      <c r="EQ256" s="15"/>
      <c r="ER256" s="671">
        <v>80</v>
      </c>
      <c r="ES256" s="15"/>
      <c r="ET256" s="16"/>
      <c r="EU256" s="16"/>
      <c r="EV256" s="15"/>
      <c r="EW256" s="15"/>
      <c r="EX256" s="671">
        <v>80</v>
      </c>
      <c r="EY256" s="15"/>
      <c r="EZ256" s="16"/>
      <c r="FA256" s="16"/>
      <c r="FB256" s="15"/>
      <c r="FC256" s="15"/>
      <c r="FD256" s="671">
        <v>80</v>
      </c>
      <c r="FE256" s="15"/>
      <c r="FF256" s="16"/>
      <c r="FG256" s="16"/>
      <c r="FH256" s="15"/>
      <c r="FI256" s="15"/>
      <c r="FJ256" s="671">
        <v>80</v>
      </c>
      <c r="FK256" s="15"/>
      <c r="FL256" s="16"/>
      <c r="FM256" s="16"/>
      <c r="FN256" s="15"/>
      <c r="FO256" s="15"/>
      <c r="FP256" s="671">
        <v>80</v>
      </c>
      <c r="FQ256" s="15"/>
      <c r="FR256" s="16"/>
      <c r="FS256" s="16"/>
      <c r="FT256" s="15"/>
      <c r="FU256" s="15"/>
      <c r="FV256" s="671">
        <v>80</v>
      </c>
      <c r="FW256" s="15"/>
      <c r="FX256" s="16"/>
      <c r="FY256" s="16"/>
      <c r="FZ256" s="15"/>
      <c r="GA256" s="15"/>
      <c r="GB256" s="671">
        <v>80</v>
      </c>
      <c r="GC256" s="15"/>
      <c r="GD256" s="16"/>
      <c r="GE256" s="16"/>
      <c r="GF256" s="15"/>
      <c r="GG256" s="15"/>
      <c r="GH256" s="671">
        <v>80</v>
      </c>
      <c r="GI256" s="15"/>
      <c r="GJ256" s="16"/>
      <c r="GK256" s="16"/>
      <c r="GL256" s="15"/>
      <c r="GM256" s="15"/>
      <c r="GN256" s="671">
        <v>80</v>
      </c>
      <c r="GO256" s="15"/>
      <c r="GP256" s="16"/>
      <c r="GQ256" s="16"/>
      <c r="GR256" s="15"/>
      <c r="GS256" s="15"/>
      <c r="GT256" s="671">
        <v>80</v>
      </c>
      <c r="GU256" s="15"/>
      <c r="GV256" s="16"/>
      <c r="GW256" s="16"/>
      <c r="GX256" s="15"/>
      <c r="GY256" s="15"/>
      <c r="GZ256" s="671">
        <v>80</v>
      </c>
      <c r="HA256" s="532"/>
      <c r="HB256" s="530"/>
      <c r="HC256" s="530"/>
      <c r="HD256" s="532"/>
      <c r="HE256" s="532"/>
      <c r="HF256" s="546"/>
      <c r="HG256" s="8"/>
      <c r="HI256" s="8"/>
      <c r="HJ256" s="8"/>
    </row>
    <row r="257" spans="2:218" ht="22.5" customHeight="1">
      <c r="B257" s="123"/>
      <c r="C257" s="825"/>
      <c r="D257" s="825"/>
      <c r="E257" s="825"/>
      <c r="F257" s="825"/>
      <c r="G257" s="825"/>
      <c r="H257" s="825"/>
      <c r="I257" s="825"/>
      <c r="J257" s="825"/>
      <c r="K257" s="825"/>
      <c r="L257" s="825"/>
      <c r="M257" s="8"/>
      <c r="N257" s="8"/>
      <c r="O257" s="8"/>
      <c r="P257" s="8"/>
      <c r="Q257" s="8"/>
      <c r="R257" s="8"/>
      <c r="S257" s="8"/>
      <c r="T257" s="13"/>
      <c r="U257" s="13"/>
      <c r="V257" s="672"/>
      <c r="W257" s="672">
        <f>IF($C$9&gt;2000,0,80)</f>
        <v>80</v>
      </c>
      <c r="X257" s="672">
        <f>IF($C$9&gt;2000,0,80)</f>
        <v>80</v>
      </c>
      <c r="Y257" s="672">
        <f>IF($C$9&gt;2000,0,80)</f>
        <v>80</v>
      </c>
      <c r="Z257" s="672">
        <f>IF($C$9&gt;2000,0,80)</f>
        <v>80</v>
      </c>
      <c r="AA257" s="672">
        <f>IF($C$9&gt;2000,0,80)</f>
        <v>80</v>
      </c>
      <c r="AB257" s="672"/>
      <c r="AC257" s="8"/>
      <c r="AD257" s="8"/>
      <c r="AE257" s="8"/>
      <c r="AF257" s="124"/>
      <c r="AG257" s="124"/>
      <c r="AH257" s="672"/>
      <c r="AI257" s="439"/>
      <c r="AJ257" s="530"/>
      <c r="AK257" s="530"/>
      <c r="AL257" s="439"/>
      <c r="AM257" s="439"/>
      <c r="AN257" s="672"/>
      <c r="AO257" s="439"/>
      <c r="AP257" s="530"/>
      <c r="AQ257" s="530"/>
      <c r="AR257" s="439"/>
      <c r="AS257" s="439"/>
      <c r="AT257" s="672"/>
      <c r="AU257" s="439"/>
      <c r="AV257" s="530"/>
      <c r="AW257" s="530"/>
      <c r="AX257" s="439"/>
      <c r="AY257" s="439"/>
      <c r="AZ257" s="672"/>
      <c r="BA257" s="15"/>
      <c r="BB257" s="16"/>
      <c r="BC257" s="16"/>
      <c r="BD257" s="15"/>
      <c r="BE257" s="15"/>
      <c r="BF257" s="672"/>
      <c r="BG257" s="15"/>
      <c r="BH257" s="16"/>
      <c r="BI257" s="16"/>
      <c r="BJ257" s="15"/>
      <c r="BK257" s="15"/>
      <c r="BL257" s="672"/>
      <c r="BM257" s="15"/>
      <c r="BN257" s="16"/>
      <c r="BO257" s="16"/>
      <c r="BP257" s="15"/>
      <c r="BQ257" s="15"/>
      <c r="BR257" s="672"/>
      <c r="BS257" s="439"/>
      <c r="BT257" s="530"/>
      <c r="BU257" s="530"/>
      <c r="BV257" s="439"/>
      <c r="BW257" s="439"/>
      <c r="BX257" s="672"/>
      <c r="BY257" s="672"/>
      <c r="BZ257" s="672"/>
      <c r="CA257" s="672"/>
      <c r="CB257" s="672"/>
      <c r="CC257" s="672"/>
      <c r="CD257" s="672"/>
      <c r="CE257" s="15"/>
      <c r="CF257" s="16"/>
      <c r="CG257" s="16"/>
      <c r="CH257" s="15"/>
      <c r="CI257" s="15"/>
      <c r="CJ257" s="672"/>
      <c r="CK257" s="15"/>
      <c r="CL257" s="16"/>
      <c r="CM257" s="16"/>
      <c r="CN257" s="15"/>
      <c r="CO257" s="15"/>
      <c r="CP257" s="672"/>
      <c r="CQ257" s="532"/>
      <c r="CR257" s="530"/>
      <c r="CS257" s="530"/>
      <c r="CT257" s="532"/>
      <c r="CU257" s="532"/>
      <c r="CV257" s="672"/>
      <c r="CW257" s="532"/>
      <c r="CX257" s="530"/>
      <c r="CY257" s="530"/>
      <c r="CZ257" s="532"/>
      <c r="DA257" s="532"/>
      <c r="DB257" s="672"/>
      <c r="DC257" s="15"/>
      <c r="DD257" s="16"/>
      <c r="DE257" s="16"/>
      <c r="DF257" s="15"/>
      <c r="DG257" s="15"/>
      <c r="DH257" s="672"/>
      <c r="DI257" s="15"/>
      <c r="DJ257" s="16"/>
      <c r="DK257" s="16"/>
      <c r="DL257" s="15"/>
      <c r="DM257" s="15"/>
      <c r="DN257" s="672"/>
      <c r="DO257" s="15"/>
      <c r="DP257" s="16"/>
      <c r="DQ257" s="16"/>
      <c r="DR257" s="15"/>
      <c r="DS257" s="15"/>
      <c r="DT257" s="672"/>
      <c r="DU257" s="672"/>
      <c r="DV257" s="672"/>
      <c r="DW257" s="672"/>
      <c r="DX257" s="672"/>
      <c r="DY257" s="672"/>
      <c r="DZ257" s="672"/>
      <c r="EA257" s="672"/>
      <c r="EB257" s="672"/>
      <c r="EC257" s="672"/>
      <c r="ED257" s="672"/>
      <c r="EE257" s="672"/>
      <c r="EF257" s="672"/>
      <c r="EG257" s="672"/>
      <c r="EH257" s="672"/>
      <c r="EI257" s="672"/>
      <c r="EJ257" s="672"/>
      <c r="EK257" s="672"/>
      <c r="EL257" s="672"/>
      <c r="EM257" s="672"/>
      <c r="EN257" s="672"/>
      <c r="EO257" s="672"/>
      <c r="EP257" s="672"/>
      <c r="EQ257" s="672"/>
      <c r="ER257" s="672"/>
      <c r="ES257" s="672"/>
      <c r="ET257" s="672"/>
      <c r="EU257" s="672"/>
      <c r="EV257" s="672"/>
      <c r="EW257" s="672"/>
      <c r="EX257" s="672"/>
      <c r="EY257" s="672"/>
      <c r="EZ257" s="672"/>
      <c r="FA257" s="672"/>
      <c r="FB257" s="672"/>
      <c r="FC257" s="672"/>
      <c r="FD257" s="672"/>
      <c r="FE257" s="672"/>
      <c r="FF257" s="672"/>
      <c r="FG257" s="672"/>
      <c r="FH257" s="672"/>
      <c r="FI257" s="672"/>
      <c r="FJ257" s="672"/>
      <c r="FK257" s="672"/>
      <c r="FL257" s="672"/>
      <c r="FM257" s="672"/>
      <c r="FN257" s="672"/>
      <c r="FO257" s="672"/>
      <c r="FP257" s="672"/>
      <c r="FQ257" s="672"/>
      <c r="FR257" s="672"/>
      <c r="FS257" s="672"/>
      <c r="FT257" s="672"/>
      <c r="FU257" s="672"/>
      <c r="FV257" s="672"/>
      <c r="FW257" s="672"/>
      <c r="FX257" s="672"/>
      <c r="FY257" s="672"/>
      <c r="FZ257" s="672"/>
      <c r="GA257" s="672"/>
      <c r="GB257" s="672"/>
      <c r="GC257" s="672"/>
      <c r="GD257" s="672"/>
      <c r="GE257" s="672"/>
      <c r="GF257" s="672"/>
      <c r="GG257" s="672"/>
      <c r="GH257" s="672"/>
      <c r="GI257" s="672"/>
      <c r="GJ257" s="672"/>
      <c r="GK257" s="672"/>
      <c r="GL257" s="672"/>
      <c r="GM257" s="672"/>
      <c r="GN257" s="672"/>
      <c r="GO257" s="672"/>
      <c r="GP257" s="672"/>
      <c r="GQ257" s="672"/>
      <c r="GR257" s="672"/>
      <c r="GS257" s="672"/>
      <c r="GT257" s="672"/>
      <c r="GU257" s="672"/>
      <c r="GV257" s="672"/>
      <c r="GW257" s="672"/>
      <c r="GX257" s="672"/>
      <c r="GY257" s="672"/>
      <c r="GZ257" s="672"/>
      <c r="HA257" s="532"/>
      <c r="HB257" s="530"/>
      <c r="HC257" s="530"/>
      <c r="HD257" s="532"/>
      <c r="HE257" s="532"/>
      <c r="HF257" s="531"/>
      <c r="HG257" s="8"/>
      <c r="HI257" s="8"/>
      <c r="HJ257" s="8"/>
    </row>
    <row r="258" spans="2:218" ht="21">
      <c r="B258" s="8"/>
      <c r="C258" s="8"/>
      <c r="D258" s="8"/>
      <c r="E258" s="8"/>
      <c r="F258" s="8"/>
      <c r="G258" s="8"/>
      <c r="H258" s="8"/>
      <c r="I258" s="8"/>
      <c r="J258" s="8"/>
      <c r="K258" s="8"/>
      <c r="L258" s="8"/>
      <c r="M258" s="8"/>
      <c r="N258" s="8"/>
      <c r="O258" s="8"/>
      <c r="P258" s="8"/>
      <c r="Q258" s="8"/>
      <c r="R258" s="8"/>
      <c r="S258" s="8"/>
      <c r="T258" s="8"/>
      <c r="U258" s="8"/>
      <c r="V258" s="8"/>
      <c r="W258" s="8"/>
      <c r="X258" s="638"/>
      <c r="Y258" s="63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639"/>
      <c r="CQ258" s="639"/>
      <c r="CR258" s="639"/>
      <c r="CS258" s="639"/>
      <c r="CT258" s="639"/>
      <c r="CU258" s="639"/>
      <c r="CV258" s="639"/>
      <c r="CW258" s="639"/>
      <c r="CX258" s="639"/>
      <c r="CY258" s="639"/>
      <c r="CZ258" s="639"/>
      <c r="DA258" s="639"/>
      <c r="DB258" s="639"/>
      <c r="DC258" s="639"/>
      <c r="DD258" s="639"/>
      <c r="DE258" s="639"/>
      <c r="DF258" s="639"/>
      <c r="DG258" s="639"/>
      <c r="DH258" s="639"/>
      <c r="DI258" s="15"/>
      <c r="DJ258" s="16"/>
      <c r="DK258" s="16"/>
      <c r="DL258" s="15"/>
      <c r="DM258" s="15"/>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531"/>
      <c r="HG258" s="8"/>
      <c r="HI258" s="8"/>
      <c r="HJ258" s="8"/>
    </row>
    <row r="259" spans="2:218" s="55" customFormat="1">
      <c r="C259" s="343"/>
    </row>
    <row r="260" spans="2:218" s="55" customFormat="1">
      <c r="C260" s="343"/>
    </row>
    <row r="261" spans="2:218" s="55" customFormat="1">
      <c r="C261" s="343"/>
    </row>
  </sheetData>
  <sheetProtection algorithmName="SHA-512" hashValue="ppJEI+rGpvYaA0+wsHIsY6NS/uQM6ESuFcf2aD6w049Tf6G68eJY1bWCddebC1oE98CkV7tQG2RLR1mbqmo7vQ==" saltValue="GFAgzDso6QNFIDTiABEc+A==" spinCount="100000" sheet="1" objects="1" scenarios="1" selectLockedCells="1" autoFilter="0"/>
  <autoFilter ref="B43:GZ215" xr:uid="{8017DF52-38F4-4D7E-BE59-C31EDAEF70DE}">
    <filterColumn colId="3" showButton="0"/>
    <filterColumn colId="4" showButton="0"/>
    <filterColumn colId="6">
      <filters>
        <filter val="i"/>
        <filter val="v"/>
      </filters>
    </filterColumn>
  </autoFilter>
  <dataConsolidate/>
  <mergeCells count="12">
    <mergeCell ref="N220:U220"/>
    <mergeCell ref="C256:L257"/>
    <mergeCell ref="C37:D37"/>
    <mergeCell ref="C38:D38"/>
    <mergeCell ref="C39:D39"/>
    <mergeCell ref="E42:F42"/>
    <mergeCell ref="E43:G43"/>
    <mergeCell ref="C225:L231"/>
    <mergeCell ref="C234:L236"/>
    <mergeCell ref="C240:L242"/>
    <mergeCell ref="C245:L248"/>
    <mergeCell ref="C251:L253"/>
  </mergeCells>
  <conditionalFormatting sqref="C12">
    <cfRule type="containsBlanks" dxfId="135" priority="7">
      <formula>LEN(TRIM(C12))=0</formula>
    </cfRule>
  </conditionalFormatting>
  <conditionalFormatting sqref="C15">
    <cfRule type="containsBlanks" dxfId="134" priority="6">
      <formula>LEN(TRIM(C15))=0</formula>
    </cfRule>
  </conditionalFormatting>
  <conditionalFormatting sqref="C29">
    <cfRule type="expression" dxfId="133" priority="5">
      <formula>$C$28="Ja"</formula>
    </cfRule>
  </conditionalFormatting>
  <conditionalFormatting sqref="C44:G215">
    <cfRule type="expression" dxfId="132" priority="51">
      <formula>$H44="x"</formula>
    </cfRule>
  </conditionalFormatting>
  <conditionalFormatting sqref="D29">
    <cfRule type="expression" dxfId="131" priority="14">
      <formula>$C$28="Ja"</formula>
    </cfRule>
  </conditionalFormatting>
  <conditionalFormatting sqref="D43:E43">
    <cfRule type="expression" dxfId="130" priority="72">
      <formula>$C$12&lt;K$219</formula>
    </cfRule>
  </conditionalFormatting>
  <conditionalFormatting sqref="E1">
    <cfRule type="containsText" dxfId="129" priority="52" operator="containsText" text="Let">
      <formula>NOT(ISERROR(SEARCH("Let",E1)))</formula>
    </cfRule>
  </conditionalFormatting>
  <conditionalFormatting sqref="E218:I218">
    <cfRule type="expression" dxfId="128" priority="66">
      <formula>#REF!=0</formula>
    </cfRule>
  </conditionalFormatting>
  <conditionalFormatting sqref="H42">
    <cfRule type="expression" dxfId="127" priority="71">
      <formula>$C$12&lt;L$219</formula>
    </cfRule>
  </conditionalFormatting>
  <conditionalFormatting sqref="H44:H215">
    <cfRule type="containsText" dxfId="124" priority="58" operator="containsText" text="x">
      <formula>NOT(ISERROR(SEARCH("x",H44)))</formula>
    </cfRule>
  </conditionalFormatting>
  <conditionalFormatting sqref="I42:I43">
    <cfRule type="expression" dxfId="123" priority="68">
      <formula>$C$12&lt;N$219</formula>
    </cfRule>
  </conditionalFormatting>
  <conditionalFormatting sqref="I45:GZ215">
    <cfRule type="expression" dxfId="122" priority="74">
      <formula>$H45="x"</formula>
    </cfRule>
  </conditionalFormatting>
  <conditionalFormatting sqref="I44:HE44">
    <cfRule type="expression" dxfId="121" priority="60">
      <formula>$H44="x"</formula>
    </cfRule>
  </conditionalFormatting>
  <conditionalFormatting sqref="J218">
    <cfRule type="expression" dxfId="120" priority="63">
      <formula>#REF!=0</formula>
    </cfRule>
  </conditionalFormatting>
  <conditionalFormatting sqref="K42:K43 N42:N43 P42:S43">
    <cfRule type="expression" dxfId="119" priority="67">
      <formula>$C$12&lt;#REF!</formula>
    </cfRule>
  </conditionalFormatting>
  <conditionalFormatting sqref="M42:M43 C43">
    <cfRule type="expression" dxfId="118" priority="69">
      <formula>$C$12&lt;K$219</formula>
    </cfRule>
  </conditionalFormatting>
  <conditionalFormatting sqref="O42:O43">
    <cfRule type="expression" dxfId="117" priority="70">
      <formula>$C$12&lt;Q$219</formula>
    </cfRule>
  </conditionalFormatting>
  <conditionalFormatting sqref="T44:T215">
    <cfRule type="cellIs" dxfId="116" priority="62" operator="equal">
      <formula>1</formula>
    </cfRule>
    <cfRule type="cellIs" dxfId="115" priority="73" operator="greaterThan">
      <formula>1</formula>
    </cfRule>
  </conditionalFormatting>
  <conditionalFormatting sqref="U229:V229 AB229 AH229 AN229 AT229:GZ229 U232:V232 AB232 AH232 AN232 AT232:GZ232 U235:V235 AB235 AH235 AN235 AT235:GZ235">
    <cfRule type="cellIs" dxfId="114" priority="53" operator="lessThan">
      <formula>0</formula>
    </cfRule>
  </conditionalFormatting>
  <conditionalFormatting sqref="U31:CJ33">
    <cfRule type="expression" dxfId="113" priority="3">
      <formula>YEAR(TODAY())=U$30+1</formula>
    </cfRule>
    <cfRule type="expression" dxfId="112" priority="4">
      <formula>YEAR(TODAY())&gt;U$30</formula>
    </cfRule>
  </conditionalFormatting>
  <conditionalFormatting sqref="U37:CJ37">
    <cfRule type="expression" dxfId="111" priority="1">
      <formula>YEAR(TODAY())=U$30+1</formula>
    </cfRule>
    <cfRule type="expression" dxfId="110" priority="2">
      <formula>YEAR(TODAY())&gt;U$30</formula>
    </cfRule>
  </conditionalFormatting>
  <conditionalFormatting sqref="V44:GZ215">
    <cfRule type="expression" dxfId="109" priority="11">
      <formula>V$219&lt;$C$11</formula>
    </cfRule>
    <cfRule type="expression" dxfId="108" priority="9">
      <formula>V$219&gt;$C$12</formula>
    </cfRule>
  </conditionalFormatting>
  <conditionalFormatting sqref="V44:HE44 V45:GZ215">
    <cfRule type="expression" dxfId="107" priority="8">
      <formula>YEAR(TODAY())&gt;V$42</formula>
    </cfRule>
    <cfRule type="notContainsBlanks" dxfId="106" priority="12">
      <formula>LEN(TRIM(V44))&gt;0</formula>
    </cfRule>
  </conditionalFormatting>
  <conditionalFormatting sqref="CQ36:CU37">
    <cfRule type="expression" dxfId="105" priority="54">
      <formula>YEAR(TODAY())=CQ$42</formula>
    </cfRule>
    <cfRule type="expression" dxfId="104" priority="55">
      <formula>YEAR(TODAY())&lt;CQ$42</formula>
    </cfRule>
  </conditionalFormatting>
  <conditionalFormatting sqref="HA45:HE215">
    <cfRule type="notContainsBlanks" dxfId="103" priority="16">
      <formula>LEN(TRIM(HA45))&gt;0</formula>
    </cfRule>
    <cfRule type="expression" dxfId="102" priority="17">
      <formula>$H45="x"</formula>
    </cfRule>
  </conditionalFormatting>
  <dataValidations count="27">
    <dataValidation type="whole" errorStyle="warning" operator="lessThan" showInputMessage="1" showErrorMessage="1" errorTitle="Let op!" error="U heeft deze maatregel al elders ingepland. Weet u zeker dat u deze maatregel nógmaals wilt uitvoeren? " sqref="HF46:HF66 HF218" xr:uid="{B958A9EE-A524-4605-96FE-91E3709A7600}">
      <formula1>1</formula1>
    </dataValidation>
    <dataValidation type="whole" operator="notEqual" showErrorMessage="1" errorTitle="Let op!" error="U heeft deze maatregel al elders ingepland. Weet u zeker dat u deze maatregel nógmaals wilt uitvoeren? " sqref="HF43:HF45" xr:uid="{9C637170-48E3-40B4-9C1B-184E0683FB09}">
      <formula1>1</formula1>
    </dataValidation>
    <dataValidation allowBlank="1" showInputMessage="1" showErrorMessage="1" prompt="Alleen wijzigen als dit afwijkt van de rest van de organisatie! Voor de gehele organisatie kunt u de energieprijs wijzigen in het Dashboard. " sqref="C18:C20" xr:uid="{4924A93D-9246-4C30-93C8-EE73F4790F16}"/>
    <dataValidation allowBlank="1" sqref="U218:GY218 HA218:HE218" xr:uid="{E38C2D5B-A746-4782-B8A3-DE143ABBE78A}"/>
    <dataValidation type="list" showInputMessage="1" showErrorMessage="1" error="Kies een jaar tussen 2018 en 2050. " prompt="Kies een jaar tussen '2018' en '2050 of later'. " sqref="C12" xr:uid="{2A811D50-8891-4246-A6EC-E8751D1991C7}">
      <formula1>$HL$2:$HL$34</formula1>
    </dataValidation>
    <dataValidation type="whole" operator="equal"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h - maatregel is voor verhuurder_x000a_v - maatregel is voor huurder" sqref="H216:H217" xr:uid="{85FEF482-F668-4519-8DCF-ADD1E3E0F85A}">
      <formula1>0</formula1>
    </dataValidation>
    <dataValidation type="list" showInputMessage="1" showErrorMessage="1" error="Kies een jaar tussen 2018 en 2050 of laat leeg. " sqref="C11" xr:uid="{C333E7AA-422D-467E-8095-DB8EC6F95778}">
      <formula1>$HL$2:$HL$34</formula1>
    </dataValidation>
    <dataValidation type="custom" allowBlank="1" showInputMessage="1" showErrorMessage="1" errorTitle="U bent van het gas!" error="Uw berekende gasverbruik is al zo laag dat het uitvoeren van deze gasreducerende maatregel geen effect meer heeft. Probeer de maatregel gedeeltelijk uit te voeren om gasloos te benaderen (Kies een waarde tussen 0 en 0,9) " sqref="T44:T215" xr:uid="{A69F188B-B98A-458A-8AC6-3E2375685940}">
      <formula1>$GZ$233&gt;0</formula1>
    </dataValidation>
    <dataValidation type="list" allowBlank="1" showDropDown="1" showInputMessage="1" showErrorMessage="1" errorTitle="Ongeldige invoer" error="Je kunt hier alleen ja invullen of de cel leeglaten. Vul ja in als de maatregel zorgt duurzame opwek van elektriciteit met PV.  " sqref="S44:S215" xr:uid="{CB4E91BE-05D6-4D77-995B-09465AAC306E}">
      <formula1>$HL$1</formula1>
    </dataValidation>
    <dataValidation type="decimal" operator="greaterThan" allowBlank="1" showInputMessage="1" showErrorMessage="1" errorTitle="Ongeldige invoer" error="Je probeert iets anders dan een (komma)getal in te voeren. Dat kan niet. " sqref="HA45:HE215 V45:AS215" xr:uid="{46C0584A-29B9-4887-AD30-0AA4DC9A1215}">
      <formula1>0</formula1>
    </dataValidation>
    <dataValidation type="list" showDropDown="1" showInputMessage="1" showErrorMessage="1" error="Maak een keuze tussen 'Eigendom' of 'Huur'." prompt="Maak een keuze tussen 'Eigendom' of 'Huur'." sqref="C15" xr:uid="{3054BCE2-FFD0-45C1-8DF3-9DEEB5E9CE70}">
      <formula1>$HK$8:$HK$9</formula1>
    </dataValidation>
    <dataValidation allowBlank="1" showInputMessage="1" showErrorMessage="1" prompt="Hier komt automatisch de beheerder die op het starttabblad genoteerd staat. Je kunt dit overschrijven. " sqref="C37" xr:uid="{7EB69D6B-D0A0-4AE7-832D-F3D9232BCBD0}"/>
    <dataValidation allowBlank="1" showInputMessage="1" showErrorMessage="1" prompt="1234AA zonder spatie" sqref="C31" xr:uid="{3CAB88CD-904D-4E54-9A60-DC444D3CBEDB}"/>
    <dataValidation type="list" operator="greaterThan" showDropDown="1" showInputMessage="1" showErrorMessage="1" error="Typ &quot;Ja&quot; of &quot;Nee&quot;." prompt="Voorselectie o.b.v. verbruik 2023. Panden met een verbruik hoger dan 50.000 kWh of 25.000 m3 aardgasequivalent zijn informatieplichtig. Betreft dit tabblad een cluster van panden die individ. niet informatieplichtig zijn? Zet dit veld dan op 'nee'. _x000a__x000a_" sqref="C14" xr:uid="{FD0002AD-3C46-401D-BA8A-50DC3624B7F2}">
      <formula1>$HL$1:$HM$1</formula1>
    </dataValidation>
    <dataValidation type="textLength" operator="lessThanOrEqual" showInputMessage="1" showErrorMessage="1" error="Typ alleen het energielabel (G t/m A++++)" sqref="C16" xr:uid="{1D473D22-15C2-40B9-85FA-EE71332DFD58}">
      <formula1>6</formula1>
    </dataValidation>
    <dataValidation type="whole" allowBlank="1" showInputMessage="1" showErrorMessage="1" error="Kies een geheel getal." prompt="Voer hier het bouwjaar in. Dit moet een geheel getal zijn (tekst, streepjes en spaties kunnen niet ingevoerd worden). Bestaat de locatie uit bouwdelen van variabele leeftijd, maak dan een schatting van het gemiddelde." sqref="C9" xr:uid="{D7EB181E-7FE7-4DAE-94BD-A2D80F8ED1C1}">
      <formula1>0</formula1>
      <formula2>2030</formula2>
    </dataValidation>
    <dataValidation type="whole" allowBlank="1" showInputMessage="1" showErrorMessage="1" error="Vul een geheel getal in." sqref="C4:C5" xr:uid="{905F1F52-B6B5-42C4-B22C-82FF580455B8}">
      <formula1>0</formula1>
      <formula2>10000000</formula2>
    </dataValidation>
    <dataValidation type="list" operator="greaterThan" showDropDown="1" showInputMessage="1" showErrorMessage="1" error="Typ &quot;Ja&quot; of &quot;Nee&quot;." prompt="Kies 'Ja' of 'Nee'." sqref="C10 C28" xr:uid="{CA856C50-D953-477C-9F42-C8173EFCF2C5}">
      <formula1>$HL$1:$HM$1</formula1>
    </dataValidation>
    <dataValidation type="list" operator="greaterThan" showDropDown="1" showInputMessage="1" showErrorMessage="1" error=" Typ 'brons', 'zilver' of 'goud'." prompt="Maak een keuze tussen brons, zilver of goud." sqref="C29" xr:uid="{9C7E284E-5225-43DC-8429-0AEEFB080434}">
      <formula1>$HK$10:$HK$12</formula1>
    </dataValidation>
    <dataValidation allowBlank="1" showInputMessage="1" showErrorMessage="1" prompt="Dit is nodig als je de tool wilt gebruiken voor de informatieplicht. Met het e-mailadres en telefoonnummer wordt verder niets gedaan." sqref="C38:D39" xr:uid="{ABCFDB51-910C-40F2-BA3C-266C2240B676}"/>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sqref="GC44:HE44 CP45:GZ215 CK44:CO215 BY44:CC215 BS44:BW215 BM44:BQ215 BG44:BK215 BA44:BE215 AU44:AY215 AT45:AT215 CD45:CD215 BX45:BX215 BR45:BR215 BL45:BL215 BF45:BF215 AZ45:AZ215 CE44:CI215 AC44:AG44 AI44:AM44 AO44:AS44 EY44:GA44 DU44:EW44 CQ44:DS44 W44:AA44 CJ45:CJ215" xr:uid="{596B833F-FFA3-42FC-833E-A4280A438A2B}">
      <formula1>AND($GZ$229&gt;-1,$GZ$232&gt;-1,$GZ$235&gt;-1)</formula1>
    </dataValidation>
    <dataValidation allowBlank="1" showInputMessage="1" showErrorMessage="1" prompt="Vul de reductie aardgas in als je overstapt van een aardgasbron naar een duurzaam warmtenet. Laat de reductie warmte (cel R44) leeg." sqref="P44" xr:uid="{5184F1F9-7448-4335-A571-0373B094E0F1}"/>
    <dataValidation allowBlank="1" showInputMessage="1" showErrorMessage="1" prompt="Vul de reductie warmte in als het warmtenet waarop je aangesloten zit volledig duurzaam wordt. Laat de reductie aardgas (cel P44) leeg. " sqref="R44" xr:uid="{068ADEEE-A0F1-4726-9F63-29803A1D3451}"/>
    <dataValidation type="custom" allowBlank="1" showInputMessage="1" showErrorMessage="1" error="Let op! Door deze maatregel gaat elektriciteit of gas/warmte onder nul. Dat kan niet. Zie voor meer informatie de FAQ op de EVZ website. Deze melding ontstaat ook als je iets anders dan een (komma)getal invoert. " prompt="Heb je de reductie aardgas of warmte ingevuld? Zie cellen P44 en R44. Zo niet, dan wordt er niks doorgerekend. " sqref="V44 AB44 AH44 AN44 AT44 AZ44 BF44 BL44 BR44 BX44 CD44 CJ44 CP44 GB44 DT44 EX44" xr:uid="{DDDBF735-2C89-4C2A-95A1-C401857D609B}">
      <formula1>AND($GZ$229&gt;-1,$GZ$232&gt;-1,$GZ$235&gt;-1)</formula1>
    </dataValidation>
    <dataValidation type="list" allowBlank="1" showDropDown="1" showInputMessage="1" showErrorMessage="1" errorTitle="Ongeldige invoer" error="Maak een keuze tussen: _x000a__x000a_x - maatregel is niet van toepassing_x000a_i - maatregel is voor ons, de instelling_x000a_h - maatregel is voor verhuurder_x000a_v - maatregel is voor huurder" promptTitle="Maak een keuze" prompt="Noteer:  _x000a__x000a_x - maatregel is n.v.t. _x000a_i -  maatregel is voor ons              _x000a_v - maatregel is voor verhuurder_x000a_h - maatregel is voor huurder" sqref="H44:H215" xr:uid="{DAD11240-2C2E-4D7F-8F7B-5206B56E10B7}">
      <formula1>$HK$3:$HK$6</formula1>
    </dataValidation>
    <dataValidation type="list" operator="equal" allowBlank="1" showDropDown="1" showInputMessage="1" showErrorMessage="1" errorTitle="Ongeldige invoer" error="Kies voor &quot;ja&quot; (direct uitvoeren) of laat de cel leeg." sqref="J44:J217" xr:uid="{DDC42DEF-EBE9-4657-A4B1-15DE728E1FCD}">
      <formula1>$HK$7</formula1>
    </dataValidation>
    <dataValidation type="decimal" allowBlank="1" showInputMessage="1" showErrorMessage="1" sqref="C6" xr:uid="{85F6820A-5569-45CA-90EF-F266A07A8ED0}">
      <formula1>0</formula1>
      <formula2>9999</formula2>
    </dataValidation>
  </dataValidations>
  <pageMargins left="0.7" right="0.7" top="0.75" bottom="0.75" header="0.3" footer="0.3"/>
  <pageSetup paperSize="8" scale="12" orientation="landscape" r:id="rId1"/>
  <rowBreaks count="1" manualBreakCount="1">
    <brk id="30" max="16383" man="1"/>
  </rowBreaks>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61" operator="containsText" id="{66FB5F76-ECCE-452E-9603-D742EDA17883}">
            <xm:f>NOT(ISERROR(SEARCH("h",H44)))</xm:f>
            <xm:f>"h"</xm:f>
            <x14:dxf>
              <font>
                <color rgb="FFFDFDFF"/>
              </font>
              <fill>
                <patternFill>
                  <bgColor rgb="FF546A7B"/>
                </patternFill>
              </fill>
            </x14:dxf>
          </x14:cfRule>
          <x14:cfRule type="containsText" priority="59" operator="containsText" id="{12CCAAD6-B69E-4E7E-99A6-80D5E6B7FAB5}">
            <xm:f>NOT(ISERROR(SEARCH("v",H44)))</xm:f>
            <xm:f>"v"</xm:f>
            <x14:dxf>
              <font>
                <color rgb="FFFDFDFF"/>
              </font>
              <fill>
                <patternFill>
                  <bgColor rgb="FF393D3F"/>
                </patternFill>
              </fill>
            </x14:dxf>
          </x14:cfRule>
          <xm:sqref>H44:H215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ddfc4a7-2327-4f2d-b29d-dda666fbba38" xsi:nil="true"/>
    <lcf76f155ced4ddcb4097134ff3c332f xmlns="45b0fde6-3671-446b-8026-4c0d418a39e7">
      <Terms xmlns="http://schemas.microsoft.com/office/infopath/2007/PartnerControls"/>
    </lcf76f155ced4ddcb4097134ff3c332f>
    <Extern_x0020_gedeeld_x003f_ xmlns="45b0fde6-3671-446b-8026-4c0d418a39e7">onbekend</Extern_x0020_gedeeld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31FF76EB96914B9FDB055D1D7EC1F1" ma:contentTypeVersion="19" ma:contentTypeDescription="Een nieuw document maken." ma:contentTypeScope="" ma:versionID="c065cc45f02b2535f69b8d60a65be5e0">
  <xsd:schema xmlns:xsd="http://www.w3.org/2001/XMLSchema" xmlns:xs="http://www.w3.org/2001/XMLSchema" xmlns:p="http://schemas.microsoft.com/office/2006/metadata/properties" xmlns:ns2="7ddfc4a7-2327-4f2d-b29d-dda666fbba38" xmlns:ns3="45b0fde6-3671-446b-8026-4c0d418a39e7" targetNamespace="http://schemas.microsoft.com/office/2006/metadata/properties" ma:root="true" ma:fieldsID="61a9e7e6831ae3cf185fd6e72792b2bd" ns2:_="" ns3:_="">
    <xsd:import namespace="7ddfc4a7-2327-4f2d-b29d-dda666fbba38"/>
    <xsd:import namespace="45b0fde6-3671-446b-8026-4c0d418a39e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3:MediaServiceSearchProperties" minOccurs="0"/>
                <xsd:element ref="ns3:MediaServiceBillingMetadata" minOccurs="0"/>
                <xsd:element ref="ns3:Extern_x0020_gedeeld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dfc4a7-2327-4f2d-b29d-dda666fbba38"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19" nillable="true" ma:displayName="Taxonomy Catch All Column" ma:hidden="true" ma:list="{500ca94e-3c10-4710-8f5a-bcf85d946662}" ma:internalName="TaxCatchAll" ma:showField="CatchAllData" ma:web="7ddfc4a7-2327-4f2d-b29d-dda666fbba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b0fde6-3671-446b-8026-4c0d418a39e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Afbeeldingtags" ma:readOnly="false" ma:fieldId="{5cf76f15-5ced-4ddc-b409-7134ff3c332f}" ma:taxonomyMulti="true" ma:sspId="f267c90d-14ff-4ce5-b3f0-f18f151e174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Extern_x0020_gedeeld_x003f_" ma:index="24" nillable="true" ma:displayName="Extern gedeeld?" ma:default="onbekend" ma:format="Dropdown" ma:internalName="Extern_x0020_gedeeld_x003f_">
      <xsd:simpleType>
        <xsd:restriction base="dms:Choice">
          <xsd:enumeration value="ja"/>
          <xsd:enumeration value="nee"/>
          <xsd:enumeration value="onbeken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0192FA-F950-44E4-864D-BC29A7F788C7}">
  <ds:schemaRefs>
    <ds:schemaRef ds:uri="http://schemas.microsoft.com/office/2006/metadata/properties"/>
    <ds:schemaRef ds:uri="http://schemas.microsoft.com/office/infopath/2007/PartnerControls"/>
    <ds:schemaRef ds:uri="7ddfc4a7-2327-4f2d-b29d-dda666fbba38"/>
    <ds:schemaRef ds:uri="45b0fde6-3671-446b-8026-4c0d418a39e7"/>
  </ds:schemaRefs>
</ds:datastoreItem>
</file>

<file path=customXml/itemProps2.xml><?xml version="1.0" encoding="utf-8"?>
<ds:datastoreItem xmlns:ds="http://schemas.openxmlformats.org/officeDocument/2006/customXml" ds:itemID="{6D4074CD-3578-46C5-A8C5-015AEAF0CA0F}">
  <ds:schemaRefs>
    <ds:schemaRef ds:uri="http://schemas.microsoft.com/sharepoint/v3/contenttype/forms"/>
  </ds:schemaRefs>
</ds:datastoreItem>
</file>

<file path=customXml/itemProps3.xml><?xml version="1.0" encoding="utf-8"?>
<ds:datastoreItem xmlns:ds="http://schemas.openxmlformats.org/officeDocument/2006/customXml" ds:itemID="{38526904-80C5-4192-A665-A6FDD727CB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dfc4a7-2327-4f2d-b29d-dda666fbba38"/>
    <ds:schemaRef ds:uri="45b0fde6-3671-446b-8026-4c0d418a3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5364</vt:i4>
      </vt:variant>
    </vt:vector>
  </HeadingPairs>
  <TitlesOfParts>
    <vt:vector size="5376" baseType="lpstr">
      <vt:lpstr>START</vt:lpstr>
      <vt:lpstr>Uitleg</vt:lpstr>
      <vt:lpstr>Bron</vt:lpstr>
      <vt:lpstr>Dashboard</vt:lpstr>
      <vt:lpstr>Blanco</vt:lpstr>
      <vt:lpstr>Cijfers</vt:lpstr>
      <vt:lpstr>Nieuwbouw</vt:lpstr>
      <vt:lpstr>Locatie1</vt:lpstr>
      <vt:lpstr>Locatie2</vt:lpstr>
      <vt:lpstr>Locatie3</vt:lpstr>
      <vt:lpstr>cluster eigendom</vt:lpstr>
      <vt:lpstr>cluster huur</vt:lpstr>
      <vt:lpstr>Blanco!aardgasinkoop_2018</vt:lpstr>
      <vt:lpstr>'cluster eigendom'!aardgasinkoop_2018</vt:lpstr>
      <vt:lpstr>'cluster huur'!aardgasinkoop_2018</vt:lpstr>
      <vt:lpstr>Locatie1!aardgasinkoop_2018</vt:lpstr>
      <vt:lpstr>Locatie2!aardgasinkoop_2018</vt:lpstr>
      <vt:lpstr>Locatie3!aardgasinkoop_2018</vt:lpstr>
      <vt:lpstr>Blanco!aardgasinkoop_2019</vt:lpstr>
      <vt:lpstr>'cluster eigendom'!aardgasinkoop_2019</vt:lpstr>
      <vt:lpstr>'cluster huur'!aardgasinkoop_2019</vt:lpstr>
      <vt:lpstr>Locatie1!aardgasinkoop_2019</vt:lpstr>
      <vt:lpstr>Locatie2!aardgasinkoop_2019</vt:lpstr>
      <vt:lpstr>Locatie3!aardgasinkoop_2019</vt:lpstr>
      <vt:lpstr>Blanco!aardgasinkoop_2020</vt:lpstr>
      <vt:lpstr>'cluster eigendom'!aardgasinkoop_2020</vt:lpstr>
      <vt:lpstr>'cluster huur'!aardgasinkoop_2020</vt:lpstr>
      <vt:lpstr>Locatie1!aardgasinkoop_2020</vt:lpstr>
      <vt:lpstr>Locatie2!aardgasinkoop_2020</vt:lpstr>
      <vt:lpstr>Locatie3!aardgasinkoop_2020</vt:lpstr>
      <vt:lpstr>Blanco!aardgasinkoop_2021</vt:lpstr>
      <vt:lpstr>'cluster eigendom'!aardgasinkoop_2021</vt:lpstr>
      <vt:lpstr>'cluster huur'!aardgasinkoop_2021</vt:lpstr>
      <vt:lpstr>Locatie1!aardgasinkoop_2021</vt:lpstr>
      <vt:lpstr>Locatie2!aardgasinkoop_2021</vt:lpstr>
      <vt:lpstr>Locatie3!aardgasinkoop_2021</vt:lpstr>
      <vt:lpstr>Blanco!aardgasinkoop_2022</vt:lpstr>
      <vt:lpstr>'cluster eigendom'!aardgasinkoop_2022</vt:lpstr>
      <vt:lpstr>'cluster huur'!aardgasinkoop_2022</vt:lpstr>
      <vt:lpstr>Locatie1!aardgasinkoop_2022</vt:lpstr>
      <vt:lpstr>Locatie2!aardgasinkoop_2022</vt:lpstr>
      <vt:lpstr>Locatie3!aardgasinkoop_2022</vt:lpstr>
      <vt:lpstr>Blanco!aardgasinkoop_2023</vt:lpstr>
      <vt:lpstr>'cluster eigendom'!aardgasinkoop_2023</vt:lpstr>
      <vt:lpstr>'cluster huur'!aardgasinkoop_2023</vt:lpstr>
      <vt:lpstr>Locatie1!aardgasinkoop_2023</vt:lpstr>
      <vt:lpstr>Locatie2!aardgasinkoop_2023</vt:lpstr>
      <vt:lpstr>Locatie3!aardgasinkoop_2023</vt:lpstr>
      <vt:lpstr>Blanco!aardgasinkoop_2024</vt:lpstr>
      <vt:lpstr>'cluster eigendom'!aardgasinkoop_2024</vt:lpstr>
      <vt:lpstr>'cluster huur'!aardgasinkoop_2024</vt:lpstr>
      <vt:lpstr>Locatie1!aardgasinkoop_2024</vt:lpstr>
      <vt:lpstr>Locatie2!aardgasinkoop_2024</vt:lpstr>
      <vt:lpstr>Locatie3!aardgasinkoop_2024</vt:lpstr>
      <vt:lpstr>Blanco!aardgasinkoop_2025</vt:lpstr>
      <vt:lpstr>'cluster eigendom'!aardgasinkoop_2025</vt:lpstr>
      <vt:lpstr>'cluster huur'!aardgasinkoop_2025</vt:lpstr>
      <vt:lpstr>Locatie1!aardgasinkoop_2025</vt:lpstr>
      <vt:lpstr>Locatie2!aardgasinkoop_2025</vt:lpstr>
      <vt:lpstr>Locatie3!aardgasinkoop_2025</vt:lpstr>
      <vt:lpstr>Blanco!aardgasinkoop_2026</vt:lpstr>
      <vt:lpstr>'cluster eigendom'!aardgasinkoop_2026</vt:lpstr>
      <vt:lpstr>'cluster huur'!aardgasinkoop_2026</vt:lpstr>
      <vt:lpstr>Locatie1!aardgasinkoop_2026</vt:lpstr>
      <vt:lpstr>Locatie2!aardgasinkoop_2026</vt:lpstr>
      <vt:lpstr>Locatie3!aardgasinkoop_2026</vt:lpstr>
      <vt:lpstr>Blanco!aardgasinkoop_2027</vt:lpstr>
      <vt:lpstr>'cluster eigendom'!aardgasinkoop_2027</vt:lpstr>
      <vt:lpstr>'cluster huur'!aardgasinkoop_2027</vt:lpstr>
      <vt:lpstr>Locatie1!aardgasinkoop_2027</vt:lpstr>
      <vt:lpstr>Locatie2!aardgasinkoop_2027</vt:lpstr>
      <vt:lpstr>Locatie3!aardgasinkoop_2027</vt:lpstr>
      <vt:lpstr>Blanco!aardgasinkoop_2028</vt:lpstr>
      <vt:lpstr>'cluster eigendom'!aardgasinkoop_2028</vt:lpstr>
      <vt:lpstr>'cluster huur'!aardgasinkoop_2028</vt:lpstr>
      <vt:lpstr>Locatie1!aardgasinkoop_2028</vt:lpstr>
      <vt:lpstr>Locatie2!aardgasinkoop_2028</vt:lpstr>
      <vt:lpstr>Locatie3!aardgasinkoop_2028</vt:lpstr>
      <vt:lpstr>Blanco!aardgasinkoop_2029</vt:lpstr>
      <vt:lpstr>'cluster eigendom'!aardgasinkoop_2029</vt:lpstr>
      <vt:lpstr>'cluster huur'!aardgasinkoop_2029</vt:lpstr>
      <vt:lpstr>Locatie1!aardgasinkoop_2029</vt:lpstr>
      <vt:lpstr>Locatie2!aardgasinkoop_2029</vt:lpstr>
      <vt:lpstr>Locatie3!aardgasinkoop_2029</vt:lpstr>
      <vt:lpstr>Blanco!aardgasinkoop_2030</vt:lpstr>
      <vt:lpstr>'cluster eigendom'!aardgasinkoop_2030</vt:lpstr>
      <vt:lpstr>'cluster huur'!aardgasinkoop_2030</vt:lpstr>
      <vt:lpstr>Locatie1!aardgasinkoop_2030</vt:lpstr>
      <vt:lpstr>Locatie2!aardgasinkoop_2030</vt:lpstr>
      <vt:lpstr>Locatie3!aardgasinkoop_2030</vt:lpstr>
      <vt:lpstr>Blanco!aardgasinkoop_2031</vt:lpstr>
      <vt:lpstr>'cluster eigendom'!aardgasinkoop_2031</vt:lpstr>
      <vt:lpstr>'cluster huur'!aardgasinkoop_2031</vt:lpstr>
      <vt:lpstr>Locatie1!aardgasinkoop_2031</vt:lpstr>
      <vt:lpstr>Locatie2!aardgasinkoop_2031</vt:lpstr>
      <vt:lpstr>Locatie3!aardgasinkoop_2031</vt:lpstr>
      <vt:lpstr>Blanco!aardgasinkoop_2032</vt:lpstr>
      <vt:lpstr>'cluster eigendom'!aardgasinkoop_2032</vt:lpstr>
      <vt:lpstr>'cluster huur'!aardgasinkoop_2032</vt:lpstr>
      <vt:lpstr>Locatie1!aardgasinkoop_2032</vt:lpstr>
      <vt:lpstr>Locatie2!aardgasinkoop_2032</vt:lpstr>
      <vt:lpstr>Locatie3!aardgasinkoop_2032</vt:lpstr>
      <vt:lpstr>Blanco!aardgasinkoop_2033</vt:lpstr>
      <vt:lpstr>'cluster eigendom'!aardgasinkoop_2033</vt:lpstr>
      <vt:lpstr>'cluster huur'!aardgasinkoop_2033</vt:lpstr>
      <vt:lpstr>Locatie1!aardgasinkoop_2033</vt:lpstr>
      <vt:lpstr>Locatie2!aardgasinkoop_2033</vt:lpstr>
      <vt:lpstr>Locatie3!aardgasinkoop_2033</vt:lpstr>
      <vt:lpstr>Blanco!aardgasinkoop_2034</vt:lpstr>
      <vt:lpstr>'cluster eigendom'!aardgasinkoop_2034</vt:lpstr>
      <vt:lpstr>'cluster huur'!aardgasinkoop_2034</vt:lpstr>
      <vt:lpstr>Locatie1!aardgasinkoop_2034</vt:lpstr>
      <vt:lpstr>Locatie2!aardgasinkoop_2034</vt:lpstr>
      <vt:lpstr>Locatie3!aardgasinkoop_2034</vt:lpstr>
      <vt:lpstr>Blanco!aardgasinkoop_2035</vt:lpstr>
      <vt:lpstr>'cluster eigendom'!aardgasinkoop_2035</vt:lpstr>
      <vt:lpstr>'cluster huur'!aardgasinkoop_2035</vt:lpstr>
      <vt:lpstr>Locatie1!aardgasinkoop_2035</vt:lpstr>
      <vt:lpstr>Locatie2!aardgasinkoop_2035</vt:lpstr>
      <vt:lpstr>Locatie3!aardgasinkoop_2035</vt:lpstr>
      <vt:lpstr>Blanco!aardgasinkoop_2036</vt:lpstr>
      <vt:lpstr>'cluster eigendom'!aardgasinkoop_2036</vt:lpstr>
      <vt:lpstr>'cluster huur'!aardgasinkoop_2036</vt:lpstr>
      <vt:lpstr>Locatie1!aardgasinkoop_2036</vt:lpstr>
      <vt:lpstr>Locatie2!aardgasinkoop_2036</vt:lpstr>
      <vt:lpstr>Locatie3!aardgasinkoop_2036</vt:lpstr>
      <vt:lpstr>Blanco!aardgasinkoop_2037</vt:lpstr>
      <vt:lpstr>'cluster eigendom'!aardgasinkoop_2037</vt:lpstr>
      <vt:lpstr>'cluster huur'!aardgasinkoop_2037</vt:lpstr>
      <vt:lpstr>Locatie1!aardgasinkoop_2037</vt:lpstr>
      <vt:lpstr>Locatie2!aardgasinkoop_2037</vt:lpstr>
      <vt:lpstr>Locatie3!aardgasinkoop_2037</vt:lpstr>
      <vt:lpstr>Blanco!aardgasinkoop_2038</vt:lpstr>
      <vt:lpstr>'cluster eigendom'!aardgasinkoop_2038</vt:lpstr>
      <vt:lpstr>'cluster huur'!aardgasinkoop_2038</vt:lpstr>
      <vt:lpstr>Locatie1!aardgasinkoop_2038</vt:lpstr>
      <vt:lpstr>Locatie2!aardgasinkoop_2038</vt:lpstr>
      <vt:lpstr>Locatie3!aardgasinkoop_2038</vt:lpstr>
      <vt:lpstr>Blanco!aardgasinkoop_2039</vt:lpstr>
      <vt:lpstr>'cluster eigendom'!aardgasinkoop_2039</vt:lpstr>
      <vt:lpstr>'cluster huur'!aardgasinkoop_2039</vt:lpstr>
      <vt:lpstr>Locatie1!aardgasinkoop_2039</vt:lpstr>
      <vt:lpstr>Locatie2!aardgasinkoop_2039</vt:lpstr>
      <vt:lpstr>Locatie3!aardgasinkoop_2039</vt:lpstr>
      <vt:lpstr>Blanco!aardgasinkoop_2040</vt:lpstr>
      <vt:lpstr>'cluster eigendom'!aardgasinkoop_2040</vt:lpstr>
      <vt:lpstr>'cluster huur'!aardgasinkoop_2040</vt:lpstr>
      <vt:lpstr>Locatie1!aardgasinkoop_2040</vt:lpstr>
      <vt:lpstr>Locatie2!aardgasinkoop_2040</vt:lpstr>
      <vt:lpstr>Locatie3!aardgasinkoop_2040</vt:lpstr>
      <vt:lpstr>Blanco!aardgasinkoop_2041</vt:lpstr>
      <vt:lpstr>'cluster eigendom'!aardgasinkoop_2041</vt:lpstr>
      <vt:lpstr>'cluster huur'!aardgasinkoop_2041</vt:lpstr>
      <vt:lpstr>Locatie1!aardgasinkoop_2041</vt:lpstr>
      <vt:lpstr>Locatie2!aardgasinkoop_2041</vt:lpstr>
      <vt:lpstr>Locatie3!aardgasinkoop_2041</vt:lpstr>
      <vt:lpstr>Blanco!aardgasinkoop_2042</vt:lpstr>
      <vt:lpstr>'cluster eigendom'!aardgasinkoop_2042</vt:lpstr>
      <vt:lpstr>'cluster huur'!aardgasinkoop_2042</vt:lpstr>
      <vt:lpstr>Locatie1!aardgasinkoop_2042</vt:lpstr>
      <vt:lpstr>Locatie2!aardgasinkoop_2042</vt:lpstr>
      <vt:lpstr>Locatie3!aardgasinkoop_2042</vt:lpstr>
      <vt:lpstr>Blanco!aardgasinkoop_2043</vt:lpstr>
      <vt:lpstr>'cluster eigendom'!aardgasinkoop_2043</vt:lpstr>
      <vt:lpstr>'cluster huur'!aardgasinkoop_2043</vt:lpstr>
      <vt:lpstr>Locatie1!aardgasinkoop_2043</vt:lpstr>
      <vt:lpstr>Locatie2!aardgasinkoop_2043</vt:lpstr>
      <vt:lpstr>Locatie3!aardgasinkoop_2043</vt:lpstr>
      <vt:lpstr>Blanco!aardgasinkoop_2044</vt:lpstr>
      <vt:lpstr>'cluster eigendom'!aardgasinkoop_2044</vt:lpstr>
      <vt:lpstr>'cluster huur'!aardgasinkoop_2044</vt:lpstr>
      <vt:lpstr>Locatie1!aardgasinkoop_2044</vt:lpstr>
      <vt:lpstr>Locatie2!aardgasinkoop_2044</vt:lpstr>
      <vt:lpstr>Locatie3!aardgasinkoop_2044</vt:lpstr>
      <vt:lpstr>Blanco!aardgasinkoop_2045</vt:lpstr>
      <vt:lpstr>'cluster eigendom'!aardgasinkoop_2045</vt:lpstr>
      <vt:lpstr>'cluster huur'!aardgasinkoop_2045</vt:lpstr>
      <vt:lpstr>Locatie1!aardgasinkoop_2045</vt:lpstr>
      <vt:lpstr>Locatie2!aardgasinkoop_2045</vt:lpstr>
      <vt:lpstr>Locatie3!aardgasinkoop_2045</vt:lpstr>
      <vt:lpstr>Blanco!aardgasinkoop_2046</vt:lpstr>
      <vt:lpstr>'cluster eigendom'!aardgasinkoop_2046</vt:lpstr>
      <vt:lpstr>'cluster huur'!aardgasinkoop_2046</vt:lpstr>
      <vt:lpstr>Locatie1!aardgasinkoop_2046</vt:lpstr>
      <vt:lpstr>Locatie2!aardgasinkoop_2046</vt:lpstr>
      <vt:lpstr>Locatie3!aardgasinkoop_2046</vt:lpstr>
      <vt:lpstr>Blanco!aardgasinkoop_2047</vt:lpstr>
      <vt:lpstr>'cluster eigendom'!aardgasinkoop_2047</vt:lpstr>
      <vt:lpstr>'cluster huur'!aardgasinkoop_2047</vt:lpstr>
      <vt:lpstr>Locatie1!aardgasinkoop_2047</vt:lpstr>
      <vt:lpstr>Locatie2!aardgasinkoop_2047</vt:lpstr>
      <vt:lpstr>Locatie3!aardgasinkoop_2047</vt:lpstr>
      <vt:lpstr>Blanco!aardgasinkoop_2048</vt:lpstr>
      <vt:lpstr>'cluster eigendom'!aardgasinkoop_2048</vt:lpstr>
      <vt:lpstr>'cluster huur'!aardgasinkoop_2048</vt:lpstr>
      <vt:lpstr>Locatie1!aardgasinkoop_2048</vt:lpstr>
      <vt:lpstr>Locatie2!aardgasinkoop_2048</vt:lpstr>
      <vt:lpstr>Locatie3!aardgasinkoop_2048</vt:lpstr>
      <vt:lpstr>Blanco!aardgasinkoop_2049</vt:lpstr>
      <vt:lpstr>'cluster eigendom'!aardgasinkoop_2049</vt:lpstr>
      <vt:lpstr>'cluster huur'!aardgasinkoop_2049</vt:lpstr>
      <vt:lpstr>Locatie1!aardgasinkoop_2049</vt:lpstr>
      <vt:lpstr>Locatie2!aardgasinkoop_2049</vt:lpstr>
      <vt:lpstr>Locatie3!aardgasinkoop_2049</vt:lpstr>
      <vt:lpstr>Blanco!aardgasinkoop_2050</vt:lpstr>
      <vt:lpstr>'cluster eigendom'!aardgasinkoop_2050</vt:lpstr>
      <vt:lpstr>'cluster huur'!aardgasinkoop_2050</vt:lpstr>
      <vt:lpstr>Locatie1!aardgasinkoop_2050</vt:lpstr>
      <vt:lpstr>Locatie2!aardgasinkoop_2050</vt:lpstr>
      <vt:lpstr>Locatie3!aardgasinkoop_2050</vt:lpstr>
      <vt:lpstr>Blanco!aardgasinkoopm2_2022</vt:lpstr>
      <vt:lpstr>'cluster eigendom'!aardgasinkoopm2_2022</vt:lpstr>
      <vt:lpstr>'cluster huur'!aardgasinkoopm2_2022</vt:lpstr>
      <vt:lpstr>Locatie1!aardgasinkoopm2_2022</vt:lpstr>
      <vt:lpstr>Locatie2!aardgasinkoopm2_2022</vt:lpstr>
      <vt:lpstr>Locatie3!aardgasinkoopm2_2022</vt:lpstr>
      <vt:lpstr>Aardgasprijs</vt:lpstr>
      <vt:lpstr>Blanco!aardgasverbruikm2_2018</vt:lpstr>
      <vt:lpstr>'cluster eigendom'!aardgasverbruikm2_2018</vt:lpstr>
      <vt:lpstr>'cluster huur'!aardgasverbruikm2_2018</vt:lpstr>
      <vt:lpstr>Locatie1!aardgasverbruikm2_2018</vt:lpstr>
      <vt:lpstr>Locatie2!aardgasverbruikm2_2018</vt:lpstr>
      <vt:lpstr>Locatie3!aardgasverbruikm2_2018</vt:lpstr>
      <vt:lpstr>Blanco!aardgasverbruikm2_2019</vt:lpstr>
      <vt:lpstr>'cluster eigendom'!aardgasverbruikm2_2019</vt:lpstr>
      <vt:lpstr>'cluster huur'!aardgasverbruikm2_2019</vt:lpstr>
      <vt:lpstr>Locatie1!aardgasverbruikm2_2019</vt:lpstr>
      <vt:lpstr>Locatie2!aardgasverbruikm2_2019</vt:lpstr>
      <vt:lpstr>Locatie3!aardgasverbruikm2_2019</vt:lpstr>
      <vt:lpstr>Blanco!aardgasverbruikm2_2020</vt:lpstr>
      <vt:lpstr>'cluster eigendom'!aardgasverbruikm2_2020</vt:lpstr>
      <vt:lpstr>'cluster huur'!aardgasverbruikm2_2020</vt:lpstr>
      <vt:lpstr>Locatie1!aardgasverbruikm2_2020</vt:lpstr>
      <vt:lpstr>Locatie2!aardgasverbruikm2_2020</vt:lpstr>
      <vt:lpstr>Locatie3!aardgasverbruikm2_2020</vt:lpstr>
      <vt:lpstr>Blanco!aardgasverbruikm2_2021</vt:lpstr>
      <vt:lpstr>'cluster eigendom'!aardgasverbruikm2_2021</vt:lpstr>
      <vt:lpstr>'cluster huur'!aardgasverbruikm2_2021</vt:lpstr>
      <vt:lpstr>Locatie1!aardgasverbruikm2_2021</vt:lpstr>
      <vt:lpstr>Locatie2!aardgasverbruikm2_2021</vt:lpstr>
      <vt:lpstr>Locatie3!aardgasverbruikm2_2021</vt:lpstr>
      <vt:lpstr>Blanco!aardgasverbruikm2_2022</vt:lpstr>
      <vt:lpstr>'cluster eigendom'!aardgasverbruikm2_2022</vt:lpstr>
      <vt:lpstr>'cluster huur'!aardgasverbruikm2_2022</vt:lpstr>
      <vt:lpstr>Locatie1!aardgasverbruikm2_2022</vt:lpstr>
      <vt:lpstr>Locatie2!aardgasverbruikm2_2022</vt:lpstr>
      <vt:lpstr>Locatie3!aardgasverbruikm2_2022</vt:lpstr>
      <vt:lpstr>Blanco!aardgasverbruikm2_2023</vt:lpstr>
      <vt:lpstr>'cluster eigendom'!aardgasverbruikm2_2023</vt:lpstr>
      <vt:lpstr>'cluster huur'!aardgasverbruikm2_2023</vt:lpstr>
      <vt:lpstr>Locatie1!aardgasverbruikm2_2023</vt:lpstr>
      <vt:lpstr>Locatie2!aardgasverbruikm2_2023</vt:lpstr>
      <vt:lpstr>Locatie3!aardgasverbruikm2_2023</vt:lpstr>
      <vt:lpstr>Blanco!aardgasverbruikm2_2024</vt:lpstr>
      <vt:lpstr>'cluster eigendom'!aardgasverbruikm2_2024</vt:lpstr>
      <vt:lpstr>'cluster huur'!aardgasverbruikm2_2024</vt:lpstr>
      <vt:lpstr>Locatie1!aardgasverbruikm2_2024</vt:lpstr>
      <vt:lpstr>Locatie2!aardgasverbruikm2_2024</vt:lpstr>
      <vt:lpstr>Locatie3!aardgasverbruikm2_2024</vt:lpstr>
      <vt:lpstr>Blanco!aardgasverbruikm2_2025</vt:lpstr>
      <vt:lpstr>'cluster eigendom'!aardgasverbruikm2_2025</vt:lpstr>
      <vt:lpstr>'cluster huur'!aardgasverbruikm2_2025</vt:lpstr>
      <vt:lpstr>Locatie1!aardgasverbruikm2_2025</vt:lpstr>
      <vt:lpstr>Locatie2!aardgasverbruikm2_2025</vt:lpstr>
      <vt:lpstr>Locatie3!aardgasverbruikm2_2025</vt:lpstr>
      <vt:lpstr>Blanco!aardgasverbruikm2_2026</vt:lpstr>
      <vt:lpstr>'cluster eigendom'!aardgasverbruikm2_2026</vt:lpstr>
      <vt:lpstr>'cluster huur'!aardgasverbruikm2_2026</vt:lpstr>
      <vt:lpstr>Locatie1!aardgasverbruikm2_2026</vt:lpstr>
      <vt:lpstr>Locatie2!aardgasverbruikm2_2026</vt:lpstr>
      <vt:lpstr>Locatie3!aardgasverbruikm2_2026</vt:lpstr>
      <vt:lpstr>Blanco!aardgasverbruikm2_2027</vt:lpstr>
      <vt:lpstr>'cluster eigendom'!aardgasverbruikm2_2027</vt:lpstr>
      <vt:lpstr>'cluster huur'!aardgasverbruikm2_2027</vt:lpstr>
      <vt:lpstr>Locatie1!aardgasverbruikm2_2027</vt:lpstr>
      <vt:lpstr>Locatie2!aardgasverbruikm2_2027</vt:lpstr>
      <vt:lpstr>Locatie3!aardgasverbruikm2_2027</vt:lpstr>
      <vt:lpstr>Blanco!aardgasverbruikm2_2028</vt:lpstr>
      <vt:lpstr>'cluster eigendom'!aardgasverbruikm2_2028</vt:lpstr>
      <vt:lpstr>'cluster huur'!aardgasverbruikm2_2028</vt:lpstr>
      <vt:lpstr>Locatie1!aardgasverbruikm2_2028</vt:lpstr>
      <vt:lpstr>Locatie2!aardgasverbruikm2_2028</vt:lpstr>
      <vt:lpstr>Locatie3!aardgasverbruikm2_2028</vt:lpstr>
      <vt:lpstr>Blanco!aardgasverbruikm2_2029</vt:lpstr>
      <vt:lpstr>'cluster eigendom'!aardgasverbruikm2_2029</vt:lpstr>
      <vt:lpstr>'cluster huur'!aardgasverbruikm2_2029</vt:lpstr>
      <vt:lpstr>Locatie1!aardgasverbruikm2_2029</vt:lpstr>
      <vt:lpstr>Locatie2!aardgasverbruikm2_2029</vt:lpstr>
      <vt:lpstr>Locatie3!aardgasverbruikm2_2029</vt:lpstr>
      <vt:lpstr>Blanco!aardgasverbruikm2_2030</vt:lpstr>
      <vt:lpstr>'cluster eigendom'!aardgasverbruikm2_2030</vt:lpstr>
      <vt:lpstr>'cluster huur'!aardgasverbruikm2_2030</vt:lpstr>
      <vt:lpstr>Locatie1!aardgasverbruikm2_2030</vt:lpstr>
      <vt:lpstr>Locatie2!aardgasverbruikm2_2030</vt:lpstr>
      <vt:lpstr>Locatie3!aardgasverbruikm2_2030</vt:lpstr>
      <vt:lpstr>Blanco!aardgasverbruikm2_2031</vt:lpstr>
      <vt:lpstr>'cluster eigendom'!aardgasverbruikm2_2031</vt:lpstr>
      <vt:lpstr>'cluster huur'!aardgasverbruikm2_2031</vt:lpstr>
      <vt:lpstr>Locatie1!aardgasverbruikm2_2031</vt:lpstr>
      <vt:lpstr>Locatie2!aardgasverbruikm2_2031</vt:lpstr>
      <vt:lpstr>Locatie3!aardgasverbruikm2_2031</vt:lpstr>
      <vt:lpstr>Blanco!aardgasverbruikm2_2032</vt:lpstr>
      <vt:lpstr>'cluster eigendom'!aardgasverbruikm2_2032</vt:lpstr>
      <vt:lpstr>'cluster huur'!aardgasverbruikm2_2032</vt:lpstr>
      <vt:lpstr>Locatie1!aardgasverbruikm2_2032</vt:lpstr>
      <vt:lpstr>Locatie2!aardgasverbruikm2_2032</vt:lpstr>
      <vt:lpstr>Locatie3!aardgasverbruikm2_2032</vt:lpstr>
      <vt:lpstr>Blanco!aardgasverbruikm2_2033</vt:lpstr>
      <vt:lpstr>'cluster eigendom'!aardgasverbruikm2_2033</vt:lpstr>
      <vt:lpstr>'cluster huur'!aardgasverbruikm2_2033</vt:lpstr>
      <vt:lpstr>Locatie1!aardgasverbruikm2_2033</vt:lpstr>
      <vt:lpstr>Locatie2!aardgasverbruikm2_2033</vt:lpstr>
      <vt:lpstr>Locatie3!aardgasverbruikm2_2033</vt:lpstr>
      <vt:lpstr>Blanco!aardgasverbruikm2_2034</vt:lpstr>
      <vt:lpstr>'cluster eigendom'!aardgasverbruikm2_2034</vt:lpstr>
      <vt:lpstr>'cluster huur'!aardgasverbruikm2_2034</vt:lpstr>
      <vt:lpstr>Locatie1!aardgasverbruikm2_2034</vt:lpstr>
      <vt:lpstr>Locatie2!aardgasverbruikm2_2034</vt:lpstr>
      <vt:lpstr>Locatie3!aardgasverbruikm2_2034</vt:lpstr>
      <vt:lpstr>Blanco!aardgasverbruikm2_2035</vt:lpstr>
      <vt:lpstr>'cluster eigendom'!aardgasverbruikm2_2035</vt:lpstr>
      <vt:lpstr>'cluster huur'!aardgasverbruikm2_2035</vt:lpstr>
      <vt:lpstr>Locatie1!aardgasverbruikm2_2035</vt:lpstr>
      <vt:lpstr>Locatie2!aardgasverbruikm2_2035</vt:lpstr>
      <vt:lpstr>Locatie3!aardgasverbruikm2_2035</vt:lpstr>
      <vt:lpstr>Blanco!aardgasverbruikm2_2036</vt:lpstr>
      <vt:lpstr>'cluster eigendom'!aardgasverbruikm2_2036</vt:lpstr>
      <vt:lpstr>'cluster huur'!aardgasverbruikm2_2036</vt:lpstr>
      <vt:lpstr>Locatie1!aardgasverbruikm2_2036</vt:lpstr>
      <vt:lpstr>Locatie2!aardgasverbruikm2_2036</vt:lpstr>
      <vt:lpstr>Locatie3!aardgasverbruikm2_2036</vt:lpstr>
      <vt:lpstr>Blanco!aardgasverbruikm2_2037</vt:lpstr>
      <vt:lpstr>'cluster eigendom'!aardgasverbruikm2_2037</vt:lpstr>
      <vt:lpstr>'cluster huur'!aardgasverbruikm2_2037</vt:lpstr>
      <vt:lpstr>Locatie1!aardgasverbruikm2_2037</vt:lpstr>
      <vt:lpstr>Locatie2!aardgasverbruikm2_2037</vt:lpstr>
      <vt:lpstr>Locatie3!aardgasverbruikm2_2037</vt:lpstr>
      <vt:lpstr>Blanco!aardgasverbruikm2_2038</vt:lpstr>
      <vt:lpstr>'cluster eigendom'!aardgasverbruikm2_2038</vt:lpstr>
      <vt:lpstr>'cluster huur'!aardgasverbruikm2_2038</vt:lpstr>
      <vt:lpstr>Locatie1!aardgasverbruikm2_2038</vt:lpstr>
      <vt:lpstr>Locatie2!aardgasverbruikm2_2038</vt:lpstr>
      <vt:lpstr>Locatie3!aardgasverbruikm2_2038</vt:lpstr>
      <vt:lpstr>Blanco!aardgasverbruikm2_2039</vt:lpstr>
      <vt:lpstr>'cluster eigendom'!aardgasverbruikm2_2039</vt:lpstr>
      <vt:lpstr>'cluster huur'!aardgasverbruikm2_2039</vt:lpstr>
      <vt:lpstr>Locatie1!aardgasverbruikm2_2039</vt:lpstr>
      <vt:lpstr>Locatie2!aardgasverbruikm2_2039</vt:lpstr>
      <vt:lpstr>Locatie3!aardgasverbruikm2_2039</vt:lpstr>
      <vt:lpstr>Blanco!aardgasverbruikm2_2040</vt:lpstr>
      <vt:lpstr>'cluster eigendom'!aardgasverbruikm2_2040</vt:lpstr>
      <vt:lpstr>'cluster huur'!aardgasverbruikm2_2040</vt:lpstr>
      <vt:lpstr>Locatie1!aardgasverbruikm2_2040</vt:lpstr>
      <vt:lpstr>Locatie2!aardgasverbruikm2_2040</vt:lpstr>
      <vt:lpstr>Locatie3!aardgasverbruikm2_2040</vt:lpstr>
      <vt:lpstr>Blanco!aardgasverbruikm2_2041</vt:lpstr>
      <vt:lpstr>'cluster eigendom'!aardgasverbruikm2_2041</vt:lpstr>
      <vt:lpstr>'cluster huur'!aardgasverbruikm2_2041</vt:lpstr>
      <vt:lpstr>Locatie1!aardgasverbruikm2_2041</vt:lpstr>
      <vt:lpstr>Locatie2!aardgasverbruikm2_2041</vt:lpstr>
      <vt:lpstr>Locatie3!aardgasverbruikm2_2041</vt:lpstr>
      <vt:lpstr>Blanco!aardgasverbruikm2_2042</vt:lpstr>
      <vt:lpstr>'cluster eigendom'!aardgasverbruikm2_2042</vt:lpstr>
      <vt:lpstr>'cluster huur'!aardgasverbruikm2_2042</vt:lpstr>
      <vt:lpstr>Locatie1!aardgasverbruikm2_2042</vt:lpstr>
      <vt:lpstr>Locatie2!aardgasverbruikm2_2042</vt:lpstr>
      <vt:lpstr>Locatie3!aardgasverbruikm2_2042</vt:lpstr>
      <vt:lpstr>Blanco!aardgasverbruikm2_2043</vt:lpstr>
      <vt:lpstr>'cluster eigendom'!aardgasverbruikm2_2043</vt:lpstr>
      <vt:lpstr>'cluster huur'!aardgasverbruikm2_2043</vt:lpstr>
      <vt:lpstr>Locatie1!aardgasverbruikm2_2043</vt:lpstr>
      <vt:lpstr>Locatie2!aardgasverbruikm2_2043</vt:lpstr>
      <vt:lpstr>Locatie3!aardgasverbruikm2_2043</vt:lpstr>
      <vt:lpstr>Blanco!aardgasverbruikm2_2044</vt:lpstr>
      <vt:lpstr>'cluster eigendom'!aardgasverbruikm2_2044</vt:lpstr>
      <vt:lpstr>'cluster huur'!aardgasverbruikm2_2044</vt:lpstr>
      <vt:lpstr>Locatie1!aardgasverbruikm2_2044</vt:lpstr>
      <vt:lpstr>Locatie2!aardgasverbruikm2_2044</vt:lpstr>
      <vt:lpstr>Locatie3!aardgasverbruikm2_2044</vt:lpstr>
      <vt:lpstr>Blanco!aardgasverbruikm2_2045</vt:lpstr>
      <vt:lpstr>'cluster eigendom'!aardgasverbruikm2_2045</vt:lpstr>
      <vt:lpstr>'cluster huur'!aardgasverbruikm2_2045</vt:lpstr>
      <vt:lpstr>Locatie1!aardgasverbruikm2_2045</vt:lpstr>
      <vt:lpstr>Locatie2!aardgasverbruikm2_2045</vt:lpstr>
      <vt:lpstr>Locatie3!aardgasverbruikm2_2045</vt:lpstr>
      <vt:lpstr>Blanco!aardgasverbruikm2_2046</vt:lpstr>
      <vt:lpstr>'cluster eigendom'!aardgasverbruikm2_2046</vt:lpstr>
      <vt:lpstr>'cluster huur'!aardgasverbruikm2_2046</vt:lpstr>
      <vt:lpstr>Locatie1!aardgasverbruikm2_2046</vt:lpstr>
      <vt:lpstr>Locatie2!aardgasverbruikm2_2046</vt:lpstr>
      <vt:lpstr>Locatie3!aardgasverbruikm2_2046</vt:lpstr>
      <vt:lpstr>Blanco!aardgasverbruikm2_2047</vt:lpstr>
      <vt:lpstr>'cluster eigendom'!aardgasverbruikm2_2047</vt:lpstr>
      <vt:lpstr>'cluster huur'!aardgasverbruikm2_2047</vt:lpstr>
      <vt:lpstr>Locatie1!aardgasverbruikm2_2047</vt:lpstr>
      <vt:lpstr>Locatie2!aardgasverbruikm2_2047</vt:lpstr>
      <vt:lpstr>Locatie3!aardgasverbruikm2_2047</vt:lpstr>
      <vt:lpstr>Blanco!aardgasverbruikm2_2048</vt:lpstr>
      <vt:lpstr>'cluster eigendom'!aardgasverbruikm2_2048</vt:lpstr>
      <vt:lpstr>'cluster huur'!aardgasverbruikm2_2048</vt:lpstr>
      <vt:lpstr>Locatie1!aardgasverbruikm2_2048</vt:lpstr>
      <vt:lpstr>Locatie2!aardgasverbruikm2_2048</vt:lpstr>
      <vt:lpstr>Locatie3!aardgasverbruikm2_2048</vt:lpstr>
      <vt:lpstr>Blanco!aardgasverbruikm2_2049</vt:lpstr>
      <vt:lpstr>'cluster eigendom'!aardgasverbruikm2_2049</vt:lpstr>
      <vt:lpstr>'cluster huur'!aardgasverbruikm2_2049</vt:lpstr>
      <vt:lpstr>Locatie1!aardgasverbruikm2_2049</vt:lpstr>
      <vt:lpstr>Locatie2!aardgasverbruikm2_2049</vt:lpstr>
      <vt:lpstr>Locatie3!aardgasverbruikm2_2049</vt:lpstr>
      <vt:lpstr>Blanco!aardgasverbruikm2_2050</vt:lpstr>
      <vt:lpstr>'cluster eigendom'!aardgasverbruikm2_2050</vt:lpstr>
      <vt:lpstr>'cluster huur'!aardgasverbruikm2_2050</vt:lpstr>
      <vt:lpstr>Locatie1!aardgasverbruikm2_2050</vt:lpstr>
      <vt:lpstr>Locatie2!aardgasverbruikm2_2050</vt:lpstr>
      <vt:lpstr>Locatie3!aardgasverbruikm2_2050</vt:lpstr>
      <vt:lpstr>Blanco!bespar_2018</vt:lpstr>
      <vt:lpstr>'cluster eigendom'!bespar_2018</vt:lpstr>
      <vt:lpstr>'cluster huur'!bespar_2018</vt:lpstr>
      <vt:lpstr>Locatie1!bespar_2018</vt:lpstr>
      <vt:lpstr>Locatie2!bespar_2018</vt:lpstr>
      <vt:lpstr>Locatie3!bespar_2018</vt:lpstr>
      <vt:lpstr>Blanco!bespar_2019</vt:lpstr>
      <vt:lpstr>'cluster eigendom'!bespar_2019</vt:lpstr>
      <vt:lpstr>'cluster huur'!bespar_2019</vt:lpstr>
      <vt:lpstr>Locatie1!bespar_2019</vt:lpstr>
      <vt:lpstr>Locatie2!bespar_2019</vt:lpstr>
      <vt:lpstr>Locatie3!bespar_2019</vt:lpstr>
      <vt:lpstr>Blanco!bespar_2020</vt:lpstr>
      <vt:lpstr>'cluster eigendom'!bespar_2020</vt:lpstr>
      <vt:lpstr>'cluster huur'!bespar_2020</vt:lpstr>
      <vt:lpstr>Locatie1!bespar_2020</vt:lpstr>
      <vt:lpstr>Locatie2!bespar_2020</vt:lpstr>
      <vt:lpstr>Locatie3!bespar_2020</vt:lpstr>
      <vt:lpstr>Blanco!bespar_2021</vt:lpstr>
      <vt:lpstr>'cluster eigendom'!bespar_2021</vt:lpstr>
      <vt:lpstr>'cluster huur'!bespar_2021</vt:lpstr>
      <vt:lpstr>Locatie1!bespar_2021</vt:lpstr>
      <vt:lpstr>Locatie2!bespar_2021</vt:lpstr>
      <vt:lpstr>Locatie3!bespar_2021</vt:lpstr>
      <vt:lpstr>Blanco!bespar_2022</vt:lpstr>
      <vt:lpstr>'cluster eigendom'!bespar_2022</vt:lpstr>
      <vt:lpstr>'cluster huur'!bespar_2022</vt:lpstr>
      <vt:lpstr>Locatie1!bespar_2022</vt:lpstr>
      <vt:lpstr>Locatie2!bespar_2022</vt:lpstr>
      <vt:lpstr>Locatie3!bespar_2022</vt:lpstr>
      <vt:lpstr>Blanco!bespar_2023</vt:lpstr>
      <vt:lpstr>'cluster eigendom'!bespar_2023</vt:lpstr>
      <vt:lpstr>'cluster huur'!bespar_2023</vt:lpstr>
      <vt:lpstr>Locatie1!bespar_2023</vt:lpstr>
      <vt:lpstr>Locatie2!bespar_2023</vt:lpstr>
      <vt:lpstr>Locatie3!bespar_2023</vt:lpstr>
      <vt:lpstr>Blanco!bespar_2024</vt:lpstr>
      <vt:lpstr>'cluster eigendom'!bespar_2024</vt:lpstr>
      <vt:lpstr>'cluster huur'!bespar_2024</vt:lpstr>
      <vt:lpstr>Locatie1!bespar_2024</vt:lpstr>
      <vt:lpstr>Locatie2!bespar_2024</vt:lpstr>
      <vt:lpstr>Locatie3!bespar_2024</vt:lpstr>
      <vt:lpstr>Blanco!bespar_2025</vt:lpstr>
      <vt:lpstr>'cluster eigendom'!bespar_2025</vt:lpstr>
      <vt:lpstr>'cluster huur'!bespar_2025</vt:lpstr>
      <vt:lpstr>Locatie1!bespar_2025</vt:lpstr>
      <vt:lpstr>Locatie2!bespar_2025</vt:lpstr>
      <vt:lpstr>Locatie3!bespar_2025</vt:lpstr>
      <vt:lpstr>Blanco!bespar_2026</vt:lpstr>
      <vt:lpstr>'cluster eigendom'!bespar_2026</vt:lpstr>
      <vt:lpstr>'cluster huur'!bespar_2026</vt:lpstr>
      <vt:lpstr>Locatie1!bespar_2026</vt:lpstr>
      <vt:lpstr>Locatie2!bespar_2026</vt:lpstr>
      <vt:lpstr>Locatie3!bespar_2026</vt:lpstr>
      <vt:lpstr>Blanco!bespar_2027</vt:lpstr>
      <vt:lpstr>'cluster eigendom'!bespar_2027</vt:lpstr>
      <vt:lpstr>'cluster huur'!bespar_2027</vt:lpstr>
      <vt:lpstr>Locatie1!bespar_2027</vt:lpstr>
      <vt:lpstr>Locatie2!bespar_2027</vt:lpstr>
      <vt:lpstr>Locatie3!bespar_2027</vt:lpstr>
      <vt:lpstr>Blanco!bespar_2028</vt:lpstr>
      <vt:lpstr>'cluster eigendom'!bespar_2028</vt:lpstr>
      <vt:lpstr>'cluster huur'!bespar_2028</vt:lpstr>
      <vt:lpstr>Locatie1!bespar_2028</vt:lpstr>
      <vt:lpstr>Locatie2!bespar_2028</vt:lpstr>
      <vt:lpstr>Locatie3!bespar_2028</vt:lpstr>
      <vt:lpstr>Blanco!bespar_2029</vt:lpstr>
      <vt:lpstr>'cluster eigendom'!bespar_2029</vt:lpstr>
      <vt:lpstr>'cluster huur'!bespar_2029</vt:lpstr>
      <vt:lpstr>Locatie1!bespar_2029</vt:lpstr>
      <vt:lpstr>Locatie2!bespar_2029</vt:lpstr>
      <vt:lpstr>Locatie3!bespar_2029</vt:lpstr>
      <vt:lpstr>Blanco!bespar_2030</vt:lpstr>
      <vt:lpstr>'cluster eigendom'!bespar_2030</vt:lpstr>
      <vt:lpstr>'cluster huur'!bespar_2030</vt:lpstr>
      <vt:lpstr>Locatie1!bespar_2030</vt:lpstr>
      <vt:lpstr>Locatie2!bespar_2030</vt:lpstr>
      <vt:lpstr>Locatie3!bespar_2030</vt:lpstr>
      <vt:lpstr>Blanco!bespar_2031</vt:lpstr>
      <vt:lpstr>'cluster eigendom'!bespar_2031</vt:lpstr>
      <vt:lpstr>'cluster huur'!bespar_2031</vt:lpstr>
      <vt:lpstr>Locatie1!bespar_2031</vt:lpstr>
      <vt:lpstr>Locatie2!bespar_2031</vt:lpstr>
      <vt:lpstr>Locatie3!bespar_2031</vt:lpstr>
      <vt:lpstr>Blanco!bespar_2032</vt:lpstr>
      <vt:lpstr>'cluster eigendom'!bespar_2032</vt:lpstr>
      <vt:lpstr>'cluster huur'!bespar_2032</vt:lpstr>
      <vt:lpstr>Locatie1!bespar_2032</vt:lpstr>
      <vt:lpstr>Locatie2!bespar_2032</vt:lpstr>
      <vt:lpstr>Locatie3!bespar_2032</vt:lpstr>
      <vt:lpstr>Blanco!bespar_2033</vt:lpstr>
      <vt:lpstr>'cluster eigendom'!bespar_2033</vt:lpstr>
      <vt:lpstr>'cluster huur'!bespar_2033</vt:lpstr>
      <vt:lpstr>Locatie1!bespar_2033</vt:lpstr>
      <vt:lpstr>Locatie2!bespar_2033</vt:lpstr>
      <vt:lpstr>Locatie3!bespar_2033</vt:lpstr>
      <vt:lpstr>Blanco!bespar_2034</vt:lpstr>
      <vt:lpstr>'cluster eigendom'!bespar_2034</vt:lpstr>
      <vt:lpstr>'cluster huur'!bespar_2034</vt:lpstr>
      <vt:lpstr>Locatie1!bespar_2034</vt:lpstr>
      <vt:lpstr>Locatie2!bespar_2034</vt:lpstr>
      <vt:lpstr>Locatie3!bespar_2034</vt:lpstr>
      <vt:lpstr>Blanco!bespar_2035</vt:lpstr>
      <vt:lpstr>'cluster eigendom'!bespar_2035</vt:lpstr>
      <vt:lpstr>'cluster huur'!bespar_2035</vt:lpstr>
      <vt:lpstr>Locatie1!bespar_2035</vt:lpstr>
      <vt:lpstr>Locatie2!bespar_2035</vt:lpstr>
      <vt:lpstr>Locatie3!bespar_2035</vt:lpstr>
      <vt:lpstr>Blanco!bespar_2036</vt:lpstr>
      <vt:lpstr>'cluster eigendom'!bespar_2036</vt:lpstr>
      <vt:lpstr>'cluster huur'!bespar_2036</vt:lpstr>
      <vt:lpstr>Locatie1!bespar_2036</vt:lpstr>
      <vt:lpstr>Locatie2!bespar_2036</vt:lpstr>
      <vt:lpstr>Locatie3!bespar_2036</vt:lpstr>
      <vt:lpstr>Blanco!bespar_2037</vt:lpstr>
      <vt:lpstr>'cluster eigendom'!bespar_2037</vt:lpstr>
      <vt:lpstr>'cluster huur'!bespar_2037</vt:lpstr>
      <vt:lpstr>Locatie1!bespar_2037</vt:lpstr>
      <vt:lpstr>Locatie2!bespar_2037</vt:lpstr>
      <vt:lpstr>Locatie3!bespar_2037</vt:lpstr>
      <vt:lpstr>Blanco!bespar_2038</vt:lpstr>
      <vt:lpstr>'cluster eigendom'!bespar_2038</vt:lpstr>
      <vt:lpstr>'cluster huur'!bespar_2038</vt:lpstr>
      <vt:lpstr>Locatie1!bespar_2038</vt:lpstr>
      <vt:lpstr>Locatie2!bespar_2038</vt:lpstr>
      <vt:lpstr>Locatie3!bespar_2038</vt:lpstr>
      <vt:lpstr>Blanco!bespar_2039</vt:lpstr>
      <vt:lpstr>'cluster eigendom'!bespar_2039</vt:lpstr>
      <vt:lpstr>'cluster huur'!bespar_2039</vt:lpstr>
      <vt:lpstr>Locatie1!bespar_2039</vt:lpstr>
      <vt:lpstr>Locatie2!bespar_2039</vt:lpstr>
      <vt:lpstr>Locatie3!bespar_2039</vt:lpstr>
      <vt:lpstr>Blanco!bespar_2040</vt:lpstr>
      <vt:lpstr>'cluster eigendom'!bespar_2040</vt:lpstr>
      <vt:lpstr>'cluster huur'!bespar_2040</vt:lpstr>
      <vt:lpstr>Locatie1!bespar_2040</vt:lpstr>
      <vt:lpstr>Locatie2!bespar_2040</vt:lpstr>
      <vt:lpstr>Locatie3!bespar_2040</vt:lpstr>
      <vt:lpstr>Blanco!bespar_2041</vt:lpstr>
      <vt:lpstr>'cluster eigendom'!bespar_2041</vt:lpstr>
      <vt:lpstr>'cluster huur'!bespar_2041</vt:lpstr>
      <vt:lpstr>Locatie1!bespar_2041</vt:lpstr>
      <vt:lpstr>Locatie2!bespar_2041</vt:lpstr>
      <vt:lpstr>Locatie3!bespar_2041</vt:lpstr>
      <vt:lpstr>Blanco!bespar_2042</vt:lpstr>
      <vt:lpstr>'cluster eigendom'!bespar_2042</vt:lpstr>
      <vt:lpstr>'cluster huur'!bespar_2042</vt:lpstr>
      <vt:lpstr>Locatie1!bespar_2042</vt:lpstr>
      <vt:lpstr>Locatie2!bespar_2042</vt:lpstr>
      <vt:lpstr>Locatie3!bespar_2042</vt:lpstr>
      <vt:lpstr>Blanco!bespar_2043</vt:lpstr>
      <vt:lpstr>'cluster eigendom'!bespar_2043</vt:lpstr>
      <vt:lpstr>'cluster huur'!bespar_2043</vt:lpstr>
      <vt:lpstr>Locatie1!bespar_2043</vt:lpstr>
      <vt:lpstr>Locatie2!bespar_2043</vt:lpstr>
      <vt:lpstr>Locatie3!bespar_2043</vt:lpstr>
      <vt:lpstr>Blanco!bespar_2044</vt:lpstr>
      <vt:lpstr>'cluster eigendom'!bespar_2044</vt:lpstr>
      <vt:lpstr>'cluster huur'!bespar_2044</vt:lpstr>
      <vt:lpstr>Locatie1!bespar_2044</vt:lpstr>
      <vt:lpstr>Locatie2!bespar_2044</vt:lpstr>
      <vt:lpstr>Locatie3!bespar_2044</vt:lpstr>
      <vt:lpstr>Blanco!bespar_2045</vt:lpstr>
      <vt:lpstr>'cluster eigendom'!bespar_2045</vt:lpstr>
      <vt:lpstr>'cluster huur'!bespar_2045</vt:lpstr>
      <vt:lpstr>Locatie1!bespar_2045</vt:lpstr>
      <vt:lpstr>Locatie2!bespar_2045</vt:lpstr>
      <vt:lpstr>Locatie3!bespar_2045</vt:lpstr>
      <vt:lpstr>Blanco!bespar_2046</vt:lpstr>
      <vt:lpstr>'cluster eigendom'!bespar_2046</vt:lpstr>
      <vt:lpstr>'cluster huur'!bespar_2046</vt:lpstr>
      <vt:lpstr>Locatie1!bespar_2046</vt:lpstr>
      <vt:lpstr>Locatie2!bespar_2046</vt:lpstr>
      <vt:lpstr>Locatie3!bespar_2046</vt:lpstr>
      <vt:lpstr>Blanco!bespar_2047</vt:lpstr>
      <vt:lpstr>'cluster eigendom'!bespar_2047</vt:lpstr>
      <vt:lpstr>'cluster huur'!bespar_2047</vt:lpstr>
      <vt:lpstr>Locatie1!bespar_2047</vt:lpstr>
      <vt:lpstr>Locatie2!bespar_2047</vt:lpstr>
      <vt:lpstr>Locatie3!bespar_2047</vt:lpstr>
      <vt:lpstr>Blanco!bespar_2048</vt:lpstr>
      <vt:lpstr>'cluster eigendom'!bespar_2048</vt:lpstr>
      <vt:lpstr>'cluster huur'!bespar_2048</vt:lpstr>
      <vt:lpstr>Locatie1!bespar_2048</vt:lpstr>
      <vt:lpstr>Locatie2!bespar_2048</vt:lpstr>
      <vt:lpstr>Locatie3!bespar_2048</vt:lpstr>
      <vt:lpstr>Blanco!bespar_2049</vt:lpstr>
      <vt:lpstr>'cluster eigendom'!bespar_2049</vt:lpstr>
      <vt:lpstr>'cluster huur'!bespar_2049</vt:lpstr>
      <vt:lpstr>Locatie1!bespar_2049</vt:lpstr>
      <vt:lpstr>Locatie2!bespar_2049</vt:lpstr>
      <vt:lpstr>Locatie3!bespar_2049</vt:lpstr>
      <vt:lpstr>Blanco!bespar_2050</vt:lpstr>
      <vt:lpstr>'cluster eigendom'!bespar_2050</vt:lpstr>
      <vt:lpstr>'cluster huur'!bespar_2050</vt:lpstr>
      <vt:lpstr>Locatie1!bespar_2050</vt:lpstr>
      <vt:lpstr>Locatie2!bespar_2050</vt:lpstr>
      <vt:lpstr>Locatie3!bespar_2050</vt:lpstr>
      <vt:lpstr>Blanco!besparcum_2018</vt:lpstr>
      <vt:lpstr>'cluster eigendom'!besparcum_2018</vt:lpstr>
      <vt:lpstr>'cluster huur'!besparcum_2018</vt:lpstr>
      <vt:lpstr>Locatie1!besparcum_2018</vt:lpstr>
      <vt:lpstr>Locatie2!besparcum_2018</vt:lpstr>
      <vt:lpstr>Locatie3!besparcum_2018</vt:lpstr>
      <vt:lpstr>Blanco!besparcum_2019</vt:lpstr>
      <vt:lpstr>'cluster eigendom'!besparcum_2019</vt:lpstr>
      <vt:lpstr>'cluster huur'!besparcum_2019</vt:lpstr>
      <vt:lpstr>Locatie1!besparcum_2019</vt:lpstr>
      <vt:lpstr>Locatie2!besparcum_2019</vt:lpstr>
      <vt:lpstr>Locatie3!besparcum_2019</vt:lpstr>
      <vt:lpstr>Blanco!besparcum_2020</vt:lpstr>
      <vt:lpstr>'cluster eigendom'!besparcum_2020</vt:lpstr>
      <vt:lpstr>'cluster huur'!besparcum_2020</vt:lpstr>
      <vt:lpstr>Locatie1!besparcum_2020</vt:lpstr>
      <vt:lpstr>Locatie2!besparcum_2020</vt:lpstr>
      <vt:lpstr>Locatie3!besparcum_2020</vt:lpstr>
      <vt:lpstr>Blanco!besparcum_2021</vt:lpstr>
      <vt:lpstr>'cluster eigendom'!besparcum_2021</vt:lpstr>
      <vt:lpstr>'cluster huur'!besparcum_2021</vt:lpstr>
      <vt:lpstr>Locatie1!besparcum_2021</vt:lpstr>
      <vt:lpstr>Locatie2!besparcum_2021</vt:lpstr>
      <vt:lpstr>Locatie3!besparcum_2021</vt:lpstr>
      <vt:lpstr>Blanco!besparcum_2022</vt:lpstr>
      <vt:lpstr>'cluster eigendom'!besparcum_2022</vt:lpstr>
      <vt:lpstr>'cluster huur'!besparcum_2022</vt:lpstr>
      <vt:lpstr>Locatie1!besparcum_2022</vt:lpstr>
      <vt:lpstr>Locatie2!besparcum_2022</vt:lpstr>
      <vt:lpstr>Locatie3!besparcum_2022</vt:lpstr>
      <vt:lpstr>Blanco!besparcum_2023</vt:lpstr>
      <vt:lpstr>'cluster eigendom'!besparcum_2023</vt:lpstr>
      <vt:lpstr>'cluster huur'!besparcum_2023</vt:lpstr>
      <vt:lpstr>Locatie1!besparcum_2023</vt:lpstr>
      <vt:lpstr>Locatie2!besparcum_2023</vt:lpstr>
      <vt:lpstr>Locatie3!besparcum_2023</vt:lpstr>
      <vt:lpstr>Blanco!besparcum_2024</vt:lpstr>
      <vt:lpstr>'cluster eigendom'!besparcum_2024</vt:lpstr>
      <vt:lpstr>'cluster huur'!besparcum_2024</vt:lpstr>
      <vt:lpstr>Locatie1!besparcum_2024</vt:lpstr>
      <vt:lpstr>Locatie2!besparcum_2024</vt:lpstr>
      <vt:lpstr>Locatie3!besparcum_2024</vt:lpstr>
      <vt:lpstr>Blanco!besparcum_2025</vt:lpstr>
      <vt:lpstr>'cluster eigendom'!besparcum_2025</vt:lpstr>
      <vt:lpstr>'cluster huur'!besparcum_2025</vt:lpstr>
      <vt:lpstr>Locatie1!besparcum_2025</vt:lpstr>
      <vt:lpstr>Locatie2!besparcum_2025</vt:lpstr>
      <vt:lpstr>Locatie3!besparcum_2025</vt:lpstr>
      <vt:lpstr>Blanco!besparcum_2026</vt:lpstr>
      <vt:lpstr>'cluster eigendom'!besparcum_2026</vt:lpstr>
      <vt:lpstr>'cluster huur'!besparcum_2026</vt:lpstr>
      <vt:lpstr>Locatie1!besparcum_2026</vt:lpstr>
      <vt:lpstr>Locatie2!besparcum_2026</vt:lpstr>
      <vt:lpstr>Locatie3!besparcum_2026</vt:lpstr>
      <vt:lpstr>Blanco!besparcum_2027</vt:lpstr>
      <vt:lpstr>'cluster eigendom'!besparcum_2027</vt:lpstr>
      <vt:lpstr>'cluster huur'!besparcum_2027</vt:lpstr>
      <vt:lpstr>Locatie1!besparcum_2027</vt:lpstr>
      <vt:lpstr>Locatie2!besparcum_2027</vt:lpstr>
      <vt:lpstr>Locatie3!besparcum_2027</vt:lpstr>
      <vt:lpstr>Blanco!besparcum_2028</vt:lpstr>
      <vt:lpstr>'cluster eigendom'!besparcum_2028</vt:lpstr>
      <vt:lpstr>'cluster huur'!besparcum_2028</vt:lpstr>
      <vt:lpstr>Locatie1!besparcum_2028</vt:lpstr>
      <vt:lpstr>Locatie2!besparcum_2028</vt:lpstr>
      <vt:lpstr>Locatie3!besparcum_2028</vt:lpstr>
      <vt:lpstr>Blanco!besparcum_2029</vt:lpstr>
      <vt:lpstr>'cluster eigendom'!besparcum_2029</vt:lpstr>
      <vt:lpstr>'cluster huur'!besparcum_2029</vt:lpstr>
      <vt:lpstr>Locatie1!besparcum_2029</vt:lpstr>
      <vt:lpstr>Locatie2!besparcum_2029</vt:lpstr>
      <vt:lpstr>Locatie3!besparcum_2029</vt:lpstr>
      <vt:lpstr>Blanco!besparcum_2030</vt:lpstr>
      <vt:lpstr>'cluster eigendom'!besparcum_2030</vt:lpstr>
      <vt:lpstr>'cluster huur'!besparcum_2030</vt:lpstr>
      <vt:lpstr>Locatie1!besparcum_2030</vt:lpstr>
      <vt:lpstr>Locatie2!besparcum_2030</vt:lpstr>
      <vt:lpstr>Locatie3!besparcum_2030</vt:lpstr>
      <vt:lpstr>Blanco!besparcum_2031</vt:lpstr>
      <vt:lpstr>'cluster eigendom'!besparcum_2031</vt:lpstr>
      <vt:lpstr>'cluster huur'!besparcum_2031</vt:lpstr>
      <vt:lpstr>Locatie1!besparcum_2031</vt:lpstr>
      <vt:lpstr>Locatie2!besparcum_2031</vt:lpstr>
      <vt:lpstr>Locatie3!besparcum_2031</vt:lpstr>
      <vt:lpstr>Blanco!besparcum_2032</vt:lpstr>
      <vt:lpstr>'cluster eigendom'!besparcum_2032</vt:lpstr>
      <vt:lpstr>'cluster huur'!besparcum_2032</vt:lpstr>
      <vt:lpstr>Locatie1!besparcum_2032</vt:lpstr>
      <vt:lpstr>Locatie2!besparcum_2032</vt:lpstr>
      <vt:lpstr>Locatie3!besparcum_2032</vt:lpstr>
      <vt:lpstr>Blanco!besparcum_2033</vt:lpstr>
      <vt:lpstr>'cluster eigendom'!besparcum_2033</vt:lpstr>
      <vt:lpstr>'cluster huur'!besparcum_2033</vt:lpstr>
      <vt:lpstr>Locatie1!besparcum_2033</vt:lpstr>
      <vt:lpstr>Locatie2!besparcum_2033</vt:lpstr>
      <vt:lpstr>Locatie3!besparcum_2033</vt:lpstr>
      <vt:lpstr>Blanco!besparcum_2034</vt:lpstr>
      <vt:lpstr>'cluster eigendom'!besparcum_2034</vt:lpstr>
      <vt:lpstr>'cluster huur'!besparcum_2034</vt:lpstr>
      <vt:lpstr>Locatie1!besparcum_2034</vt:lpstr>
      <vt:lpstr>Locatie2!besparcum_2034</vt:lpstr>
      <vt:lpstr>Locatie3!besparcum_2034</vt:lpstr>
      <vt:lpstr>Blanco!besparcum_2035</vt:lpstr>
      <vt:lpstr>'cluster eigendom'!besparcum_2035</vt:lpstr>
      <vt:lpstr>'cluster huur'!besparcum_2035</vt:lpstr>
      <vt:lpstr>Locatie1!besparcum_2035</vt:lpstr>
      <vt:lpstr>Locatie2!besparcum_2035</vt:lpstr>
      <vt:lpstr>Locatie3!besparcum_2035</vt:lpstr>
      <vt:lpstr>Blanco!besparcum_2036</vt:lpstr>
      <vt:lpstr>'cluster eigendom'!besparcum_2036</vt:lpstr>
      <vt:lpstr>'cluster huur'!besparcum_2036</vt:lpstr>
      <vt:lpstr>Locatie1!besparcum_2036</vt:lpstr>
      <vt:lpstr>Locatie2!besparcum_2036</vt:lpstr>
      <vt:lpstr>Locatie3!besparcum_2036</vt:lpstr>
      <vt:lpstr>Blanco!besparcum_2037</vt:lpstr>
      <vt:lpstr>'cluster eigendom'!besparcum_2037</vt:lpstr>
      <vt:lpstr>'cluster huur'!besparcum_2037</vt:lpstr>
      <vt:lpstr>Locatie1!besparcum_2037</vt:lpstr>
      <vt:lpstr>Locatie2!besparcum_2037</vt:lpstr>
      <vt:lpstr>Locatie3!besparcum_2037</vt:lpstr>
      <vt:lpstr>Blanco!besparcum_2038</vt:lpstr>
      <vt:lpstr>'cluster eigendom'!besparcum_2038</vt:lpstr>
      <vt:lpstr>'cluster huur'!besparcum_2038</vt:lpstr>
      <vt:lpstr>Locatie1!besparcum_2038</vt:lpstr>
      <vt:lpstr>Locatie2!besparcum_2038</vt:lpstr>
      <vt:lpstr>Locatie3!besparcum_2038</vt:lpstr>
      <vt:lpstr>Blanco!besparcum_2039</vt:lpstr>
      <vt:lpstr>'cluster eigendom'!besparcum_2039</vt:lpstr>
      <vt:lpstr>'cluster huur'!besparcum_2039</vt:lpstr>
      <vt:lpstr>Locatie1!besparcum_2039</vt:lpstr>
      <vt:lpstr>Locatie2!besparcum_2039</vt:lpstr>
      <vt:lpstr>Locatie3!besparcum_2039</vt:lpstr>
      <vt:lpstr>Blanco!besparcum_2040</vt:lpstr>
      <vt:lpstr>'cluster eigendom'!besparcum_2040</vt:lpstr>
      <vt:lpstr>'cluster huur'!besparcum_2040</vt:lpstr>
      <vt:lpstr>Locatie1!besparcum_2040</vt:lpstr>
      <vt:lpstr>Locatie2!besparcum_2040</vt:lpstr>
      <vt:lpstr>Locatie3!besparcum_2040</vt:lpstr>
      <vt:lpstr>Blanco!besparcum_2041</vt:lpstr>
      <vt:lpstr>'cluster eigendom'!besparcum_2041</vt:lpstr>
      <vt:lpstr>'cluster huur'!besparcum_2041</vt:lpstr>
      <vt:lpstr>Locatie1!besparcum_2041</vt:lpstr>
      <vt:lpstr>Locatie2!besparcum_2041</vt:lpstr>
      <vt:lpstr>Locatie3!besparcum_2041</vt:lpstr>
      <vt:lpstr>Blanco!besparcum_2042</vt:lpstr>
      <vt:lpstr>'cluster eigendom'!besparcum_2042</vt:lpstr>
      <vt:lpstr>'cluster huur'!besparcum_2042</vt:lpstr>
      <vt:lpstr>Locatie1!besparcum_2042</vt:lpstr>
      <vt:lpstr>Locatie2!besparcum_2042</vt:lpstr>
      <vt:lpstr>Locatie3!besparcum_2042</vt:lpstr>
      <vt:lpstr>Blanco!besparcum_2043</vt:lpstr>
      <vt:lpstr>'cluster eigendom'!besparcum_2043</vt:lpstr>
      <vt:lpstr>'cluster huur'!besparcum_2043</vt:lpstr>
      <vt:lpstr>Locatie1!besparcum_2043</vt:lpstr>
      <vt:lpstr>Locatie2!besparcum_2043</vt:lpstr>
      <vt:lpstr>Locatie3!besparcum_2043</vt:lpstr>
      <vt:lpstr>Blanco!besparcum_2044</vt:lpstr>
      <vt:lpstr>'cluster eigendom'!besparcum_2044</vt:lpstr>
      <vt:lpstr>'cluster huur'!besparcum_2044</vt:lpstr>
      <vt:lpstr>Locatie1!besparcum_2044</vt:lpstr>
      <vt:lpstr>Locatie2!besparcum_2044</vt:lpstr>
      <vt:lpstr>Locatie3!besparcum_2044</vt:lpstr>
      <vt:lpstr>Blanco!besparcum_2045</vt:lpstr>
      <vt:lpstr>'cluster eigendom'!besparcum_2045</vt:lpstr>
      <vt:lpstr>'cluster huur'!besparcum_2045</vt:lpstr>
      <vt:lpstr>Locatie1!besparcum_2045</vt:lpstr>
      <vt:lpstr>Locatie2!besparcum_2045</vt:lpstr>
      <vt:lpstr>Locatie3!besparcum_2045</vt:lpstr>
      <vt:lpstr>Blanco!besparcum_2046</vt:lpstr>
      <vt:lpstr>'cluster eigendom'!besparcum_2046</vt:lpstr>
      <vt:lpstr>'cluster huur'!besparcum_2046</vt:lpstr>
      <vt:lpstr>Locatie1!besparcum_2046</vt:lpstr>
      <vt:lpstr>Locatie2!besparcum_2046</vt:lpstr>
      <vt:lpstr>Locatie3!besparcum_2046</vt:lpstr>
      <vt:lpstr>Blanco!besparcum_2047</vt:lpstr>
      <vt:lpstr>'cluster eigendom'!besparcum_2047</vt:lpstr>
      <vt:lpstr>'cluster huur'!besparcum_2047</vt:lpstr>
      <vt:lpstr>Locatie1!besparcum_2047</vt:lpstr>
      <vt:lpstr>Locatie2!besparcum_2047</vt:lpstr>
      <vt:lpstr>Locatie3!besparcum_2047</vt:lpstr>
      <vt:lpstr>Blanco!besparcum_2048</vt:lpstr>
      <vt:lpstr>'cluster eigendom'!besparcum_2048</vt:lpstr>
      <vt:lpstr>'cluster huur'!besparcum_2048</vt:lpstr>
      <vt:lpstr>Locatie1!besparcum_2048</vt:lpstr>
      <vt:lpstr>Locatie2!besparcum_2048</vt:lpstr>
      <vt:lpstr>Locatie3!besparcum_2048</vt:lpstr>
      <vt:lpstr>Blanco!besparcum_2049</vt:lpstr>
      <vt:lpstr>'cluster eigendom'!besparcum_2049</vt:lpstr>
      <vt:lpstr>'cluster huur'!besparcum_2049</vt:lpstr>
      <vt:lpstr>Locatie1!besparcum_2049</vt:lpstr>
      <vt:lpstr>Locatie2!besparcum_2049</vt:lpstr>
      <vt:lpstr>Locatie3!besparcum_2049</vt:lpstr>
      <vt:lpstr>Blanco!besparcum_2050</vt:lpstr>
      <vt:lpstr>'cluster eigendom'!besparcum_2050</vt:lpstr>
      <vt:lpstr>'cluster huur'!besparcum_2050</vt:lpstr>
      <vt:lpstr>Locatie1!besparcum_2050</vt:lpstr>
      <vt:lpstr>Locatie2!besparcum_2050</vt:lpstr>
      <vt:lpstr>Locatie3!besparcum_2050</vt:lpstr>
      <vt:lpstr>Blanco!BVO_2018</vt:lpstr>
      <vt:lpstr>'cluster eigendom'!BVO_2018</vt:lpstr>
      <vt:lpstr>'cluster huur'!BVO_2018</vt:lpstr>
      <vt:lpstr>Locatie1!BVO_2018</vt:lpstr>
      <vt:lpstr>Locatie2!BVO_2018</vt:lpstr>
      <vt:lpstr>Locatie3!BVO_2018</vt:lpstr>
      <vt:lpstr>Blanco!BVO_2019</vt:lpstr>
      <vt:lpstr>'cluster eigendom'!BVO_2019</vt:lpstr>
      <vt:lpstr>'cluster huur'!BVO_2019</vt:lpstr>
      <vt:lpstr>Locatie1!BVO_2019</vt:lpstr>
      <vt:lpstr>Locatie2!BVO_2019</vt:lpstr>
      <vt:lpstr>Locatie3!BVO_2019</vt:lpstr>
      <vt:lpstr>Blanco!BVO_2020</vt:lpstr>
      <vt:lpstr>'cluster eigendom'!BVO_2020</vt:lpstr>
      <vt:lpstr>'cluster huur'!BVO_2020</vt:lpstr>
      <vt:lpstr>Locatie1!BVO_2020</vt:lpstr>
      <vt:lpstr>Locatie2!BVO_2020</vt:lpstr>
      <vt:lpstr>Locatie3!BVO_2020</vt:lpstr>
      <vt:lpstr>Blanco!BVO_2021</vt:lpstr>
      <vt:lpstr>'cluster eigendom'!BVO_2021</vt:lpstr>
      <vt:lpstr>'cluster huur'!BVO_2021</vt:lpstr>
      <vt:lpstr>Locatie1!BVO_2021</vt:lpstr>
      <vt:lpstr>Locatie2!BVO_2021</vt:lpstr>
      <vt:lpstr>Locatie3!BVO_2021</vt:lpstr>
      <vt:lpstr>Blanco!BVO_2022</vt:lpstr>
      <vt:lpstr>'cluster eigendom'!BVO_2022</vt:lpstr>
      <vt:lpstr>'cluster huur'!BVO_2022</vt:lpstr>
      <vt:lpstr>Locatie1!BVO_2022</vt:lpstr>
      <vt:lpstr>Locatie2!BVO_2022</vt:lpstr>
      <vt:lpstr>Locatie3!BVO_2022</vt:lpstr>
      <vt:lpstr>Blanco!BVO_2023</vt:lpstr>
      <vt:lpstr>'cluster eigendom'!BVO_2023</vt:lpstr>
      <vt:lpstr>'cluster huur'!BVO_2023</vt:lpstr>
      <vt:lpstr>Locatie1!BVO_2023</vt:lpstr>
      <vt:lpstr>Locatie2!BVO_2023</vt:lpstr>
      <vt:lpstr>Locatie3!BVO_2023</vt:lpstr>
      <vt:lpstr>Blanco!BVO_2024</vt:lpstr>
      <vt:lpstr>'cluster eigendom'!BVO_2024</vt:lpstr>
      <vt:lpstr>'cluster huur'!BVO_2024</vt:lpstr>
      <vt:lpstr>Locatie1!BVO_2024</vt:lpstr>
      <vt:lpstr>Locatie2!BVO_2024</vt:lpstr>
      <vt:lpstr>Locatie3!BVO_2024</vt:lpstr>
      <vt:lpstr>Blanco!BVO_2025</vt:lpstr>
      <vt:lpstr>'cluster eigendom'!BVO_2025</vt:lpstr>
      <vt:lpstr>'cluster huur'!BVO_2025</vt:lpstr>
      <vt:lpstr>Locatie1!BVO_2025</vt:lpstr>
      <vt:lpstr>Locatie2!BVO_2025</vt:lpstr>
      <vt:lpstr>Locatie3!BVO_2025</vt:lpstr>
      <vt:lpstr>Blanco!BVO_2026</vt:lpstr>
      <vt:lpstr>'cluster eigendom'!BVO_2026</vt:lpstr>
      <vt:lpstr>'cluster huur'!BVO_2026</vt:lpstr>
      <vt:lpstr>Locatie1!BVO_2026</vt:lpstr>
      <vt:lpstr>Locatie2!BVO_2026</vt:lpstr>
      <vt:lpstr>Locatie3!BVO_2026</vt:lpstr>
      <vt:lpstr>Blanco!BVO_2027</vt:lpstr>
      <vt:lpstr>'cluster eigendom'!BVO_2027</vt:lpstr>
      <vt:lpstr>'cluster huur'!BVO_2027</vt:lpstr>
      <vt:lpstr>Locatie1!BVO_2027</vt:lpstr>
      <vt:lpstr>Locatie2!BVO_2027</vt:lpstr>
      <vt:lpstr>Locatie3!BVO_2027</vt:lpstr>
      <vt:lpstr>Blanco!BVO_2028</vt:lpstr>
      <vt:lpstr>'cluster eigendom'!BVO_2028</vt:lpstr>
      <vt:lpstr>'cluster huur'!BVO_2028</vt:lpstr>
      <vt:lpstr>Locatie1!BVO_2028</vt:lpstr>
      <vt:lpstr>Locatie2!BVO_2028</vt:lpstr>
      <vt:lpstr>Locatie3!BVO_2028</vt:lpstr>
      <vt:lpstr>Blanco!BVO_2029</vt:lpstr>
      <vt:lpstr>'cluster eigendom'!BVO_2029</vt:lpstr>
      <vt:lpstr>'cluster huur'!BVO_2029</vt:lpstr>
      <vt:lpstr>Locatie1!BVO_2029</vt:lpstr>
      <vt:lpstr>Locatie2!BVO_2029</vt:lpstr>
      <vt:lpstr>Locatie3!BVO_2029</vt:lpstr>
      <vt:lpstr>Blanco!BVO_2030</vt:lpstr>
      <vt:lpstr>'cluster eigendom'!BVO_2030</vt:lpstr>
      <vt:lpstr>'cluster huur'!BVO_2030</vt:lpstr>
      <vt:lpstr>Locatie1!BVO_2030</vt:lpstr>
      <vt:lpstr>Locatie2!BVO_2030</vt:lpstr>
      <vt:lpstr>Locatie3!BVO_2030</vt:lpstr>
      <vt:lpstr>Blanco!BVO_2031</vt:lpstr>
      <vt:lpstr>'cluster eigendom'!BVO_2031</vt:lpstr>
      <vt:lpstr>'cluster huur'!BVO_2031</vt:lpstr>
      <vt:lpstr>Locatie1!BVO_2031</vt:lpstr>
      <vt:lpstr>Locatie2!BVO_2031</vt:lpstr>
      <vt:lpstr>Locatie3!BVO_2031</vt:lpstr>
      <vt:lpstr>Blanco!BVO_2032</vt:lpstr>
      <vt:lpstr>'cluster eigendom'!BVO_2032</vt:lpstr>
      <vt:lpstr>'cluster huur'!BVO_2032</vt:lpstr>
      <vt:lpstr>Locatie1!BVO_2032</vt:lpstr>
      <vt:lpstr>Locatie2!BVO_2032</vt:lpstr>
      <vt:lpstr>Locatie3!BVO_2032</vt:lpstr>
      <vt:lpstr>Blanco!BVO_2033</vt:lpstr>
      <vt:lpstr>'cluster eigendom'!BVO_2033</vt:lpstr>
      <vt:lpstr>'cluster huur'!BVO_2033</vt:lpstr>
      <vt:lpstr>Locatie1!BVO_2033</vt:lpstr>
      <vt:lpstr>Locatie2!BVO_2033</vt:lpstr>
      <vt:lpstr>Locatie3!BVO_2033</vt:lpstr>
      <vt:lpstr>Blanco!BVO_2034</vt:lpstr>
      <vt:lpstr>'cluster eigendom'!BVO_2034</vt:lpstr>
      <vt:lpstr>'cluster huur'!BVO_2034</vt:lpstr>
      <vt:lpstr>Locatie1!BVO_2034</vt:lpstr>
      <vt:lpstr>Locatie2!BVO_2034</vt:lpstr>
      <vt:lpstr>Locatie3!BVO_2034</vt:lpstr>
      <vt:lpstr>Blanco!BVO_2035</vt:lpstr>
      <vt:lpstr>'cluster eigendom'!BVO_2035</vt:lpstr>
      <vt:lpstr>'cluster huur'!BVO_2035</vt:lpstr>
      <vt:lpstr>Locatie1!BVO_2035</vt:lpstr>
      <vt:lpstr>Locatie2!BVO_2035</vt:lpstr>
      <vt:lpstr>Locatie3!BVO_2035</vt:lpstr>
      <vt:lpstr>Blanco!BVO_2036</vt:lpstr>
      <vt:lpstr>'cluster eigendom'!BVO_2036</vt:lpstr>
      <vt:lpstr>'cluster huur'!BVO_2036</vt:lpstr>
      <vt:lpstr>Locatie1!BVO_2036</vt:lpstr>
      <vt:lpstr>Locatie2!BVO_2036</vt:lpstr>
      <vt:lpstr>Locatie3!BVO_2036</vt:lpstr>
      <vt:lpstr>Blanco!BVO_2037</vt:lpstr>
      <vt:lpstr>'cluster eigendom'!BVO_2037</vt:lpstr>
      <vt:lpstr>'cluster huur'!BVO_2037</vt:lpstr>
      <vt:lpstr>Locatie1!BVO_2037</vt:lpstr>
      <vt:lpstr>Locatie2!BVO_2037</vt:lpstr>
      <vt:lpstr>Locatie3!BVO_2037</vt:lpstr>
      <vt:lpstr>Blanco!BVO_2038</vt:lpstr>
      <vt:lpstr>'cluster eigendom'!BVO_2038</vt:lpstr>
      <vt:lpstr>'cluster huur'!BVO_2038</vt:lpstr>
      <vt:lpstr>Locatie1!BVO_2038</vt:lpstr>
      <vt:lpstr>Locatie2!BVO_2038</vt:lpstr>
      <vt:lpstr>Locatie3!BVO_2038</vt:lpstr>
      <vt:lpstr>Blanco!BVO_2039</vt:lpstr>
      <vt:lpstr>'cluster eigendom'!BVO_2039</vt:lpstr>
      <vt:lpstr>'cluster huur'!BVO_2039</vt:lpstr>
      <vt:lpstr>Locatie1!BVO_2039</vt:lpstr>
      <vt:lpstr>Locatie2!BVO_2039</vt:lpstr>
      <vt:lpstr>Locatie3!BVO_2039</vt:lpstr>
      <vt:lpstr>Blanco!BVO_2040</vt:lpstr>
      <vt:lpstr>'cluster eigendom'!BVO_2040</vt:lpstr>
      <vt:lpstr>'cluster huur'!BVO_2040</vt:lpstr>
      <vt:lpstr>Locatie1!BVO_2040</vt:lpstr>
      <vt:lpstr>Locatie2!BVO_2040</vt:lpstr>
      <vt:lpstr>Locatie3!BVO_2040</vt:lpstr>
      <vt:lpstr>Blanco!BVO_2041</vt:lpstr>
      <vt:lpstr>'cluster eigendom'!BVO_2041</vt:lpstr>
      <vt:lpstr>'cluster huur'!BVO_2041</vt:lpstr>
      <vt:lpstr>Locatie1!BVO_2041</vt:lpstr>
      <vt:lpstr>Locatie2!BVO_2041</vt:lpstr>
      <vt:lpstr>Locatie3!BVO_2041</vt:lpstr>
      <vt:lpstr>Blanco!BVO_2042</vt:lpstr>
      <vt:lpstr>'cluster eigendom'!BVO_2042</vt:lpstr>
      <vt:lpstr>'cluster huur'!BVO_2042</vt:lpstr>
      <vt:lpstr>Locatie1!BVO_2042</vt:lpstr>
      <vt:lpstr>Locatie2!BVO_2042</vt:lpstr>
      <vt:lpstr>Locatie3!BVO_2042</vt:lpstr>
      <vt:lpstr>Blanco!BVO_2043</vt:lpstr>
      <vt:lpstr>'cluster eigendom'!BVO_2043</vt:lpstr>
      <vt:lpstr>'cluster huur'!BVO_2043</vt:lpstr>
      <vt:lpstr>Locatie1!BVO_2043</vt:lpstr>
      <vt:lpstr>Locatie2!BVO_2043</vt:lpstr>
      <vt:lpstr>Locatie3!BVO_2043</vt:lpstr>
      <vt:lpstr>Blanco!BVO_2044</vt:lpstr>
      <vt:lpstr>'cluster eigendom'!BVO_2044</vt:lpstr>
      <vt:lpstr>'cluster huur'!BVO_2044</vt:lpstr>
      <vt:lpstr>Locatie1!BVO_2044</vt:lpstr>
      <vt:lpstr>Locatie2!BVO_2044</vt:lpstr>
      <vt:lpstr>Locatie3!BVO_2044</vt:lpstr>
      <vt:lpstr>Blanco!BVO_2045</vt:lpstr>
      <vt:lpstr>'cluster eigendom'!BVO_2045</vt:lpstr>
      <vt:lpstr>'cluster huur'!BVO_2045</vt:lpstr>
      <vt:lpstr>Locatie1!BVO_2045</vt:lpstr>
      <vt:lpstr>Locatie2!BVO_2045</vt:lpstr>
      <vt:lpstr>Locatie3!BVO_2045</vt:lpstr>
      <vt:lpstr>Blanco!BVO_2046</vt:lpstr>
      <vt:lpstr>'cluster eigendom'!BVO_2046</vt:lpstr>
      <vt:lpstr>'cluster huur'!BVO_2046</vt:lpstr>
      <vt:lpstr>Locatie1!BVO_2046</vt:lpstr>
      <vt:lpstr>Locatie2!BVO_2046</vt:lpstr>
      <vt:lpstr>Locatie3!BVO_2046</vt:lpstr>
      <vt:lpstr>Blanco!BVO_2047</vt:lpstr>
      <vt:lpstr>'cluster eigendom'!BVO_2047</vt:lpstr>
      <vt:lpstr>'cluster huur'!BVO_2047</vt:lpstr>
      <vt:lpstr>Locatie1!BVO_2047</vt:lpstr>
      <vt:lpstr>Locatie2!BVO_2047</vt:lpstr>
      <vt:lpstr>Locatie3!BVO_2047</vt:lpstr>
      <vt:lpstr>Blanco!BVO_2048</vt:lpstr>
      <vt:lpstr>'cluster eigendom'!BVO_2048</vt:lpstr>
      <vt:lpstr>'cluster huur'!BVO_2048</vt:lpstr>
      <vt:lpstr>Locatie1!BVO_2048</vt:lpstr>
      <vt:lpstr>Locatie2!BVO_2048</vt:lpstr>
      <vt:lpstr>Locatie3!BVO_2048</vt:lpstr>
      <vt:lpstr>Blanco!BVO_2049</vt:lpstr>
      <vt:lpstr>'cluster eigendom'!BVO_2049</vt:lpstr>
      <vt:lpstr>'cluster huur'!BVO_2049</vt:lpstr>
      <vt:lpstr>Locatie1!BVO_2049</vt:lpstr>
      <vt:lpstr>Locatie2!BVO_2049</vt:lpstr>
      <vt:lpstr>Locatie3!BVO_2049</vt:lpstr>
      <vt:lpstr>Blanco!BVO_2050</vt:lpstr>
      <vt:lpstr>'cluster eigendom'!BVO_2050</vt:lpstr>
      <vt:lpstr>'cluster huur'!BVO_2050</vt:lpstr>
      <vt:lpstr>Locatie1!BVO_2050</vt:lpstr>
      <vt:lpstr>Locatie2!BVO_2050</vt:lpstr>
      <vt:lpstr>Locatie3!BVO_2050</vt:lpstr>
      <vt:lpstr>Blanco!CO2_2018</vt:lpstr>
      <vt:lpstr>'cluster eigendom'!CO2_2018</vt:lpstr>
      <vt:lpstr>'cluster huur'!CO2_2018</vt:lpstr>
      <vt:lpstr>Locatie1!CO2_2018</vt:lpstr>
      <vt:lpstr>Locatie2!CO2_2018</vt:lpstr>
      <vt:lpstr>Locatie3!CO2_2018</vt:lpstr>
      <vt:lpstr>Blanco!CO2_2019</vt:lpstr>
      <vt:lpstr>'cluster eigendom'!CO2_2019</vt:lpstr>
      <vt:lpstr>'cluster huur'!CO2_2019</vt:lpstr>
      <vt:lpstr>Locatie1!CO2_2019</vt:lpstr>
      <vt:lpstr>Locatie2!CO2_2019</vt:lpstr>
      <vt:lpstr>Locatie3!CO2_2019</vt:lpstr>
      <vt:lpstr>Blanco!CO2_2020</vt:lpstr>
      <vt:lpstr>'cluster eigendom'!CO2_2020</vt:lpstr>
      <vt:lpstr>'cluster huur'!CO2_2020</vt:lpstr>
      <vt:lpstr>Locatie1!CO2_2020</vt:lpstr>
      <vt:lpstr>Locatie2!CO2_2020</vt:lpstr>
      <vt:lpstr>Locatie3!CO2_2020</vt:lpstr>
      <vt:lpstr>Blanco!CO2_2021</vt:lpstr>
      <vt:lpstr>'cluster eigendom'!CO2_2021</vt:lpstr>
      <vt:lpstr>'cluster huur'!CO2_2021</vt:lpstr>
      <vt:lpstr>Locatie1!CO2_2021</vt:lpstr>
      <vt:lpstr>Locatie2!CO2_2021</vt:lpstr>
      <vt:lpstr>Locatie3!CO2_2021</vt:lpstr>
      <vt:lpstr>Blanco!CO2_2022</vt:lpstr>
      <vt:lpstr>'cluster eigendom'!CO2_2022</vt:lpstr>
      <vt:lpstr>'cluster huur'!CO2_2022</vt:lpstr>
      <vt:lpstr>Locatie1!CO2_2022</vt:lpstr>
      <vt:lpstr>Locatie2!CO2_2022</vt:lpstr>
      <vt:lpstr>Locatie3!CO2_2022</vt:lpstr>
      <vt:lpstr>Blanco!CO2_2023</vt:lpstr>
      <vt:lpstr>'cluster eigendom'!CO2_2023</vt:lpstr>
      <vt:lpstr>'cluster huur'!CO2_2023</vt:lpstr>
      <vt:lpstr>Locatie1!CO2_2023</vt:lpstr>
      <vt:lpstr>Locatie2!CO2_2023</vt:lpstr>
      <vt:lpstr>Locatie3!CO2_2023</vt:lpstr>
      <vt:lpstr>Blanco!CO2_2024</vt:lpstr>
      <vt:lpstr>'cluster eigendom'!CO2_2024</vt:lpstr>
      <vt:lpstr>'cluster huur'!CO2_2024</vt:lpstr>
      <vt:lpstr>Locatie1!CO2_2024</vt:lpstr>
      <vt:lpstr>Locatie2!CO2_2024</vt:lpstr>
      <vt:lpstr>Locatie3!CO2_2024</vt:lpstr>
      <vt:lpstr>Blanco!CO2_2025</vt:lpstr>
      <vt:lpstr>'cluster eigendom'!CO2_2025</vt:lpstr>
      <vt:lpstr>'cluster huur'!CO2_2025</vt:lpstr>
      <vt:lpstr>Locatie1!CO2_2025</vt:lpstr>
      <vt:lpstr>Locatie2!CO2_2025</vt:lpstr>
      <vt:lpstr>Locatie3!CO2_2025</vt:lpstr>
      <vt:lpstr>Blanco!CO2_2026</vt:lpstr>
      <vt:lpstr>'cluster eigendom'!CO2_2026</vt:lpstr>
      <vt:lpstr>'cluster huur'!CO2_2026</vt:lpstr>
      <vt:lpstr>Locatie1!CO2_2026</vt:lpstr>
      <vt:lpstr>Locatie2!CO2_2026</vt:lpstr>
      <vt:lpstr>Locatie3!CO2_2026</vt:lpstr>
      <vt:lpstr>Blanco!CO2_2027</vt:lpstr>
      <vt:lpstr>'cluster eigendom'!CO2_2027</vt:lpstr>
      <vt:lpstr>'cluster huur'!CO2_2027</vt:lpstr>
      <vt:lpstr>Locatie1!CO2_2027</vt:lpstr>
      <vt:lpstr>Locatie2!CO2_2027</vt:lpstr>
      <vt:lpstr>Locatie3!CO2_2027</vt:lpstr>
      <vt:lpstr>Blanco!CO2_2028</vt:lpstr>
      <vt:lpstr>'cluster eigendom'!CO2_2028</vt:lpstr>
      <vt:lpstr>'cluster huur'!CO2_2028</vt:lpstr>
      <vt:lpstr>Locatie1!CO2_2028</vt:lpstr>
      <vt:lpstr>Locatie2!CO2_2028</vt:lpstr>
      <vt:lpstr>Locatie3!CO2_2028</vt:lpstr>
      <vt:lpstr>Blanco!CO2_2029</vt:lpstr>
      <vt:lpstr>'cluster eigendom'!CO2_2029</vt:lpstr>
      <vt:lpstr>'cluster huur'!CO2_2029</vt:lpstr>
      <vt:lpstr>Locatie1!CO2_2029</vt:lpstr>
      <vt:lpstr>Locatie2!CO2_2029</vt:lpstr>
      <vt:lpstr>Locatie3!CO2_2029</vt:lpstr>
      <vt:lpstr>Blanco!CO2_2030</vt:lpstr>
      <vt:lpstr>'cluster eigendom'!CO2_2030</vt:lpstr>
      <vt:lpstr>'cluster huur'!CO2_2030</vt:lpstr>
      <vt:lpstr>Locatie1!CO2_2030</vt:lpstr>
      <vt:lpstr>Locatie2!CO2_2030</vt:lpstr>
      <vt:lpstr>Locatie3!CO2_2030</vt:lpstr>
      <vt:lpstr>Blanco!CO2_2031</vt:lpstr>
      <vt:lpstr>'cluster eigendom'!CO2_2031</vt:lpstr>
      <vt:lpstr>'cluster huur'!CO2_2031</vt:lpstr>
      <vt:lpstr>Locatie1!CO2_2031</vt:lpstr>
      <vt:lpstr>Locatie2!CO2_2031</vt:lpstr>
      <vt:lpstr>Locatie3!CO2_2031</vt:lpstr>
      <vt:lpstr>Blanco!CO2_2032</vt:lpstr>
      <vt:lpstr>'cluster eigendom'!CO2_2032</vt:lpstr>
      <vt:lpstr>'cluster huur'!CO2_2032</vt:lpstr>
      <vt:lpstr>Locatie1!CO2_2032</vt:lpstr>
      <vt:lpstr>Locatie2!CO2_2032</vt:lpstr>
      <vt:lpstr>Locatie3!CO2_2032</vt:lpstr>
      <vt:lpstr>Blanco!CO2_2033</vt:lpstr>
      <vt:lpstr>'cluster eigendom'!CO2_2033</vt:lpstr>
      <vt:lpstr>'cluster huur'!CO2_2033</vt:lpstr>
      <vt:lpstr>Locatie1!CO2_2033</vt:lpstr>
      <vt:lpstr>Locatie2!CO2_2033</vt:lpstr>
      <vt:lpstr>Locatie3!CO2_2033</vt:lpstr>
      <vt:lpstr>Blanco!CO2_2034</vt:lpstr>
      <vt:lpstr>'cluster eigendom'!CO2_2034</vt:lpstr>
      <vt:lpstr>'cluster huur'!CO2_2034</vt:lpstr>
      <vt:lpstr>Locatie1!CO2_2034</vt:lpstr>
      <vt:lpstr>Locatie2!CO2_2034</vt:lpstr>
      <vt:lpstr>Locatie3!CO2_2034</vt:lpstr>
      <vt:lpstr>Blanco!CO2_2035</vt:lpstr>
      <vt:lpstr>'cluster eigendom'!CO2_2035</vt:lpstr>
      <vt:lpstr>'cluster huur'!CO2_2035</vt:lpstr>
      <vt:lpstr>Locatie1!CO2_2035</vt:lpstr>
      <vt:lpstr>Locatie2!CO2_2035</vt:lpstr>
      <vt:lpstr>Locatie3!CO2_2035</vt:lpstr>
      <vt:lpstr>Blanco!CO2_2036</vt:lpstr>
      <vt:lpstr>'cluster eigendom'!CO2_2036</vt:lpstr>
      <vt:lpstr>'cluster huur'!CO2_2036</vt:lpstr>
      <vt:lpstr>Locatie1!CO2_2036</vt:lpstr>
      <vt:lpstr>Locatie2!CO2_2036</vt:lpstr>
      <vt:lpstr>Locatie3!CO2_2036</vt:lpstr>
      <vt:lpstr>Blanco!CO2_2037</vt:lpstr>
      <vt:lpstr>'cluster eigendom'!CO2_2037</vt:lpstr>
      <vt:lpstr>'cluster huur'!CO2_2037</vt:lpstr>
      <vt:lpstr>Locatie1!CO2_2037</vt:lpstr>
      <vt:lpstr>Locatie2!CO2_2037</vt:lpstr>
      <vt:lpstr>Locatie3!CO2_2037</vt:lpstr>
      <vt:lpstr>Blanco!CO2_2038</vt:lpstr>
      <vt:lpstr>'cluster eigendom'!CO2_2038</vt:lpstr>
      <vt:lpstr>'cluster huur'!CO2_2038</vt:lpstr>
      <vt:lpstr>Locatie1!CO2_2038</vt:lpstr>
      <vt:lpstr>Locatie2!CO2_2038</vt:lpstr>
      <vt:lpstr>Locatie3!CO2_2038</vt:lpstr>
      <vt:lpstr>Blanco!CO2_2039</vt:lpstr>
      <vt:lpstr>'cluster eigendom'!CO2_2039</vt:lpstr>
      <vt:lpstr>'cluster huur'!CO2_2039</vt:lpstr>
      <vt:lpstr>Locatie1!CO2_2039</vt:lpstr>
      <vt:lpstr>Locatie2!CO2_2039</vt:lpstr>
      <vt:lpstr>Locatie3!CO2_2039</vt:lpstr>
      <vt:lpstr>Blanco!CO2_2040</vt:lpstr>
      <vt:lpstr>'cluster eigendom'!CO2_2040</vt:lpstr>
      <vt:lpstr>'cluster huur'!CO2_2040</vt:lpstr>
      <vt:lpstr>Locatie1!CO2_2040</vt:lpstr>
      <vt:lpstr>Locatie2!CO2_2040</vt:lpstr>
      <vt:lpstr>Locatie3!CO2_2040</vt:lpstr>
      <vt:lpstr>Blanco!CO2_2041</vt:lpstr>
      <vt:lpstr>'cluster eigendom'!CO2_2041</vt:lpstr>
      <vt:lpstr>'cluster huur'!CO2_2041</vt:lpstr>
      <vt:lpstr>Locatie1!CO2_2041</vt:lpstr>
      <vt:lpstr>Locatie2!CO2_2041</vt:lpstr>
      <vt:lpstr>Locatie3!CO2_2041</vt:lpstr>
      <vt:lpstr>Blanco!CO2_2042</vt:lpstr>
      <vt:lpstr>'cluster eigendom'!CO2_2042</vt:lpstr>
      <vt:lpstr>'cluster huur'!CO2_2042</vt:lpstr>
      <vt:lpstr>Locatie1!CO2_2042</vt:lpstr>
      <vt:lpstr>Locatie2!CO2_2042</vt:lpstr>
      <vt:lpstr>Locatie3!CO2_2042</vt:lpstr>
      <vt:lpstr>Blanco!CO2_2043</vt:lpstr>
      <vt:lpstr>'cluster eigendom'!CO2_2043</vt:lpstr>
      <vt:lpstr>'cluster huur'!CO2_2043</vt:lpstr>
      <vt:lpstr>Locatie1!CO2_2043</vt:lpstr>
      <vt:lpstr>Locatie2!CO2_2043</vt:lpstr>
      <vt:lpstr>Locatie3!CO2_2043</vt:lpstr>
      <vt:lpstr>Blanco!CO2_2044</vt:lpstr>
      <vt:lpstr>'cluster eigendom'!CO2_2044</vt:lpstr>
      <vt:lpstr>'cluster huur'!CO2_2044</vt:lpstr>
      <vt:lpstr>Locatie1!CO2_2044</vt:lpstr>
      <vt:lpstr>Locatie2!CO2_2044</vt:lpstr>
      <vt:lpstr>Locatie3!CO2_2044</vt:lpstr>
      <vt:lpstr>Blanco!CO2_2045</vt:lpstr>
      <vt:lpstr>'cluster eigendom'!CO2_2045</vt:lpstr>
      <vt:lpstr>'cluster huur'!CO2_2045</vt:lpstr>
      <vt:lpstr>Locatie1!CO2_2045</vt:lpstr>
      <vt:lpstr>Locatie2!CO2_2045</vt:lpstr>
      <vt:lpstr>Locatie3!CO2_2045</vt:lpstr>
      <vt:lpstr>Blanco!CO2_2046</vt:lpstr>
      <vt:lpstr>'cluster eigendom'!CO2_2046</vt:lpstr>
      <vt:lpstr>'cluster huur'!CO2_2046</vt:lpstr>
      <vt:lpstr>Locatie1!CO2_2046</vt:lpstr>
      <vt:lpstr>Locatie2!CO2_2046</vt:lpstr>
      <vt:lpstr>Locatie3!CO2_2046</vt:lpstr>
      <vt:lpstr>Blanco!CO2_2047</vt:lpstr>
      <vt:lpstr>'cluster eigendom'!CO2_2047</vt:lpstr>
      <vt:lpstr>'cluster huur'!CO2_2047</vt:lpstr>
      <vt:lpstr>Locatie1!CO2_2047</vt:lpstr>
      <vt:lpstr>Locatie2!CO2_2047</vt:lpstr>
      <vt:lpstr>Locatie3!CO2_2047</vt:lpstr>
      <vt:lpstr>Blanco!CO2_2048</vt:lpstr>
      <vt:lpstr>'cluster eigendom'!CO2_2048</vt:lpstr>
      <vt:lpstr>'cluster huur'!CO2_2048</vt:lpstr>
      <vt:lpstr>Locatie1!CO2_2048</vt:lpstr>
      <vt:lpstr>Locatie2!CO2_2048</vt:lpstr>
      <vt:lpstr>Locatie3!CO2_2048</vt:lpstr>
      <vt:lpstr>Blanco!CO2_2049</vt:lpstr>
      <vt:lpstr>'cluster eigendom'!CO2_2049</vt:lpstr>
      <vt:lpstr>'cluster huur'!CO2_2049</vt:lpstr>
      <vt:lpstr>Locatie1!CO2_2049</vt:lpstr>
      <vt:lpstr>Locatie2!CO2_2049</vt:lpstr>
      <vt:lpstr>Locatie3!CO2_2049</vt:lpstr>
      <vt:lpstr>Blanco!CO2_2050</vt:lpstr>
      <vt:lpstr>'cluster eigendom'!CO2_2050</vt:lpstr>
      <vt:lpstr>'cluster huur'!CO2_2050</vt:lpstr>
      <vt:lpstr>Locatie1!CO2_2050</vt:lpstr>
      <vt:lpstr>Locatie2!CO2_2050</vt:lpstr>
      <vt:lpstr>Locatie3!CO2_2050</vt:lpstr>
      <vt:lpstr>CO2factorAardgas</vt:lpstr>
      <vt:lpstr>CO2factorElektriciteit</vt:lpstr>
      <vt:lpstr>CO2factorWarmte</vt:lpstr>
      <vt:lpstr>Blanco!CO2m2_2018</vt:lpstr>
      <vt:lpstr>'cluster eigendom'!CO2m2_2018</vt:lpstr>
      <vt:lpstr>'cluster huur'!CO2m2_2018</vt:lpstr>
      <vt:lpstr>Locatie1!CO2m2_2018</vt:lpstr>
      <vt:lpstr>Locatie2!CO2m2_2018</vt:lpstr>
      <vt:lpstr>Locatie3!CO2m2_2018</vt:lpstr>
      <vt:lpstr>Blanco!CO2m2_2019</vt:lpstr>
      <vt:lpstr>'cluster eigendom'!CO2m2_2019</vt:lpstr>
      <vt:lpstr>'cluster huur'!CO2m2_2019</vt:lpstr>
      <vt:lpstr>Locatie1!CO2m2_2019</vt:lpstr>
      <vt:lpstr>Locatie2!CO2m2_2019</vt:lpstr>
      <vt:lpstr>Locatie3!CO2m2_2019</vt:lpstr>
      <vt:lpstr>Blanco!CO2m2_2020</vt:lpstr>
      <vt:lpstr>'cluster eigendom'!CO2m2_2020</vt:lpstr>
      <vt:lpstr>'cluster huur'!CO2m2_2020</vt:lpstr>
      <vt:lpstr>Locatie1!CO2m2_2020</vt:lpstr>
      <vt:lpstr>Locatie2!CO2m2_2020</vt:lpstr>
      <vt:lpstr>Locatie3!CO2m2_2020</vt:lpstr>
      <vt:lpstr>Blanco!CO2m2_2021</vt:lpstr>
      <vt:lpstr>'cluster eigendom'!CO2m2_2021</vt:lpstr>
      <vt:lpstr>'cluster huur'!CO2m2_2021</vt:lpstr>
      <vt:lpstr>Locatie1!CO2m2_2021</vt:lpstr>
      <vt:lpstr>Locatie2!CO2m2_2021</vt:lpstr>
      <vt:lpstr>Locatie3!CO2m2_2021</vt:lpstr>
      <vt:lpstr>Blanco!CO2m2_2022</vt:lpstr>
      <vt:lpstr>'cluster eigendom'!CO2m2_2022</vt:lpstr>
      <vt:lpstr>'cluster huur'!CO2m2_2022</vt:lpstr>
      <vt:lpstr>Locatie1!CO2m2_2022</vt:lpstr>
      <vt:lpstr>Locatie2!CO2m2_2022</vt:lpstr>
      <vt:lpstr>Locatie3!CO2m2_2022</vt:lpstr>
      <vt:lpstr>Blanco!CO2m2_2023</vt:lpstr>
      <vt:lpstr>'cluster eigendom'!CO2m2_2023</vt:lpstr>
      <vt:lpstr>'cluster huur'!CO2m2_2023</vt:lpstr>
      <vt:lpstr>Locatie1!CO2m2_2023</vt:lpstr>
      <vt:lpstr>Locatie2!CO2m2_2023</vt:lpstr>
      <vt:lpstr>Locatie3!CO2m2_2023</vt:lpstr>
      <vt:lpstr>Blanco!CO2m2_2024</vt:lpstr>
      <vt:lpstr>'cluster eigendom'!CO2m2_2024</vt:lpstr>
      <vt:lpstr>'cluster huur'!CO2m2_2024</vt:lpstr>
      <vt:lpstr>Locatie1!CO2m2_2024</vt:lpstr>
      <vt:lpstr>Locatie2!CO2m2_2024</vt:lpstr>
      <vt:lpstr>Locatie3!CO2m2_2024</vt:lpstr>
      <vt:lpstr>Blanco!CO2m2_2025</vt:lpstr>
      <vt:lpstr>'cluster eigendom'!CO2m2_2025</vt:lpstr>
      <vt:lpstr>'cluster huur'!CO2m2_2025</vt:lpstr>
      <vt:lpstr>Locatie1!CO2m2_2025</vt:lpstr>
      <vt:lpstr>Locatie2!CO2m2_2025</vt:lpstr>
      <vt:lpstr>Locatie3!CO2m2_2025</vt:lpstr>
      <vt:lpstr>Blanco!CO2m2_2026</vt:lpstr>
      <vt:lpstr>'cluster eigendom'!CO2m2_2026</vt:lpstr>
      <vt:lpstr>'cluster huur'!CO2m2_2026</vt:lpstr>
      <vt:lpstr>Locatie1!CO2m2_2026</vt:lpstr>
      <vt:lpstr>Locatie2!CO2m2_2026</vt:lpstr>
      <vt:lpstr>Locatie3!CO2m2_2026</vt:lpstr>
      <vt:lpstr>Blanco!CO2m2_2027</vt:lpstr>
      <vt:lpstr>'cluster eigendom'!CO2m2_2027</vt:lpstr>
      <vt:lpstr>'cluster huur'!CO2m2_2027</vt:lpstr>
      <vt:lpstr>Locatie1!CO2m2_2027</vt:lpstr>
      <vt:lpstr>Locatie2!CO2m2_2027</vt:lpstr>
      <vt:lpstr>Locatie3!CO2m2_2027</vt:lpstr>
      <vt:lpstr>Blanco!CO2m2_2028</vt:lpstr>
      <vt:lpstr>'cluster eigendom'!CO2m2_2028</vt:lpstr>
      <vt:lpstr>'cluster huur'!CO2m2_2028</vt:lpstr>
      <vt:lpstr>Locatie1!CO2m2_2028</vt:lpstr>
      <vt:lpstr>Locatie2!CO2m2_2028</vt:lpstr>
      <vt:lpstr>Locatie3!CO2m2_2028</vt:lpstr>
      <vt:lpstr>Blanco!CO2m2_2029</vt:lpstr>
      <vt:lpstr>'cluster eigendom'!CO2m2_2029</vt:lpstr>
      <vt:lpstr>'cluster huur'!CO2m2_2029</vt:lpstr>
      <vt:lpstr>Locatie1!CO2m2_2029</vt:lpstr>
      <vt:lpstr>Locatie2!CO2m2_2029</vt:lpstr>
      <vt:lpstr>Locatie3!CO2m2_2029</vt:lpstr>
      <vt:lpstr>Blanco!CO2m2_2030</vt:lpstr>
      <vt:lpstr>'cluster eigendom'!CO2m2_2030</vt:lpstr>
      <vt:lpstr>'cluster huur'!CO2m2_2030</vt:lpstr>
      <vt:lpstr>Locatie1!CO2m2_2030</vt:lpstr>
      <vt:lpstr>Locatie2!CO2m2_2030</vt:lpstr>
      <vt:lpstr>Locatie3!CO2m2_2030</vt:lpstr>
      <vt:lpstr>Blanco!CO2m2_2031</vt:lpstr>
      <vt:lpstr>'cluster eigendom'!CO2m2_2031</vt:lpstr>
      <vt:lpstr>'cluster huur'!CO2m2_2031</vt:lpstr>
      <vt:lpstr>Locatie1!CO2m2_2031</vt:lpstr>
      <vt:lpstr>Locatie2!CO2m2_2031</vt:lpstr>
      <vt:lpstr>Locatie3!CO2m2_2031</vt:lpstr>
      <vt:lpstr>Blanco!CO2m2_2032</vt:lpstr>
      <vt:lpstr>'cluster eigendom'!CO2m2_2032</vt:lpstr>
      <vt:lpstr>'cluster huur'!CO2m2_2032</vt:lpstr>
      <vt:lpstr>Locatie1!CO2m2_2032</vt:lpstr>
      <vt:lpstr>Locatie2!CO2m2_2032</vt:lpstr>
      <vt:lpstr>Locatie3!CO2m2_2032</vt:lpstr>
      <vt:lpstr>Blanco!CO2m2_2033</vt:lpstr>
      <vt:lpstr>'cluster eigendom'!CO2m2_2033</vt:lpstr>
      <vt:lpstr>'cluster huur'!CO2m2_2033</vt:lpstr>
      <vt:lpstr>Locatie1!CO2m2_2033</vt:lpstr>
      <vt:lpstr>Locatie2!CO2m2_2033</vt:lpstr>
      <vt:lpstr>Locatie3!CO2m2_2033</vt:lpstr>
      <vt:lpstr>Blanco!CO2m2_2034</vt:lpstr>
      <vt:lpstr>'cluster eigendom'!CO2m2_2034</vt:lpstr>
      <vt:lpstr>'cluster huur'!CO2m2_2034</vt:lpstr>
      <vt:lpstr>Locatie1!CO2m2_2034</vt:lpstr>
      <vt:lpstr>Locatie2!CO2m2_2034</vt:lpstr>
      <vt:lpstr>Locatie3!CO2m2_2034</vt:lpstr>
      <vt:lpstr>Blanco!CO2m2_2035</vt:lpstr>
      <vt:lpstr>'cluster eigendom'!CO2m2_2035</vt:lpstr>
      <vt:lpstr>'cluster huur'!CO2m2_2035</vt:lpstr>
      <vt:lpstr>Locatie1!CO2m2_2035</vt:lpstr>
      <vt:lpstr>Locatie2!CO2m2_2035</vt:lpstr>
      <vt:lpstr>Locatie3!CO2m2_2035</vt:lpstr>
      <vt:lpstr>Blanco!CO2m2_2036</vt:lpstr>
      <vt:lpstr>'cluster eigendom'!CO2m2_2036</vt:lpstr>
      <vt:lpstr>'cluster huur'!CO2m2_2036</vt:lpstr>
      <vt:lpstr>Locatie1!CO2m2_2036</vt:lpstr>
      <vt:lpstr>Locatie2!CO2m2_2036</vt:lpstr>
      <vt:lpstr>Locatie3!CO2m2_2036</vt:lpstr>
      <vt:lpstr>Blanco!CO2m2_2037</vt:lpstr>
      <vt:lpstr>'cluster eigendom'!CO2m2_2037</vt:lpstr>
      <vt:lpstr>'cluster huur'!CO2m2_2037</vt:lpstr>
      <vt:lpstr>Locatie1!CO2m2_2037</vt:lpstr>
      <vt:lpstr>Locatie2!CO2m2_2037</vt:lpstr>
      <vt:lpstr>Locatie3!CO2m2_2037</vt:lpstr>
      <vt:lpstr>Blanco!CO2m2_2038</vt:lpstr>
      <vt:lpstr>'cluster eigendom'!CO2m2_2038</vt:lpstr>
      <vt:lpstr>'cluster huur'!CO2m2_2038</vt:lpstr>
      <vt:lpstr>Locatie1!CO2m2_2038</vt:lpstr>
      <vt:lpstr>Locatie2!CO2m2_2038</vt:lpstr>
      <vt:lpstr>Locatie3!CO2m2_2038</vt:lpstr>
      <vt:lpstr>Blanco!CO2m2_2039</vt:lpstr>
      <vt:lpstr>'cluster eigendom'!CO2m2_2039</vt:lpstr>
      <vt:lpstr>'cluster huur'!CO2m2_2039</vt:lpstr>
      <vt:lpstr>Locatie1!CO2m2_2039</vt:lpstr>
      <vt:lpstr>Locatie2!CO2m2_2039</vt:lpstr>
      <vt:lpstr>Locatie3!CO2m2_2039</vt:lpstr>
      <vt:lpstr>Blanco!CO2m2_2040</vt:lpstr>
      <vt:lpstr>'cluster eigendom'!CO2m2_2040</vt:lpstr>
      <vt:lpstr>'cluster huur'!CO2m2_2040</vt:lpstr>
      <vt:lpstr>Locatie1!CO2m2_2040</vt:lpstr>
      <vt:lpstr>Locatie2!CO2m2_2040</vt:lpstr>
      <vt:lpstr>Locatie3!CO2m2_2040</vt:lpstr>
      <vt:lpstr>Blanco!CO2m2_2041</vt:lpstr>
      <vt:lpstr>'cluster eigendom'!CO2m2_2041</vt:lpstr>
      <vt:lpstr>'cluster huur'!CO2m2_2041</vt:lpstr>
      <vt:lpstr>Locatie1!CO2m2_2041</vt:lpstr>
      <vt:lpstr>Locatie2!CO2m2_2041</vt:lpstr>
      <vt:lpstr>Locatie3!CO2m2_2041</vt:lpstr>
      <vt:lpstr>Blanco!CO2m2_2042</vt:lpstr>
      <vt:lpstr>'cluster eigendom'!CO2m2_2042</vt:lpstr>
      <vt:lpstr>'cluster huur'!CO2m2_2042</vt:lpstr>
      <vt:lpstr>Locatie1!CO2m2_2042</vt:lpstr>
      <vt:lpstr>Locatie2!CO2m2_2042</vt:lpstr>
      <vt:lpstr>Locatie3!CO2m2_2042</vt:lpstr>
      <vt:lpstr>Blanco!CO2m2_2043</vt:lpstr>
      <vt:lpstr>'cluster eigendom'!CO2m2_2043</vt:lpstr>
      <vt:lpstr>'cluster huur'!CO2m2_2043</vt:lpstr>
      <vt:lpstr>Locatie1!CO2m2_2043</vt:lpstr>
      <vt:lpstr>Locatie2!CO2m2_2043</vt:lpstr>
      <vt:lpstr>Locatie3!CO2m2_2043</vt:lpstr>
      <vt:lpstr>Blanco!CO2m2_2044</vt:lpstr>
      <vt:lpstr>'cluster eigendom'!CO2m2_2044</vt:lpstr>
      <vt:lpstr>'cluster huur'!CO2m2_2044</vt:lpstr>
      <vt:lpstr>Locatie1!CO2m2_2044</vt:lpstr>
      <vt:lpstr>Locatie2!CO2m2_2044</vt:lpstr>
      <vt:lpstr>Locatie3!CO2m2_2044</vt:lpstr>
      <vt:lpstr>Blanco!CO2m2_2045</vt:lpstr>
      <vt:lpstr>'cluster eigendom'!CO2m2_2045</vt:lpstr>
      <vt:lpstr>'cluster huur'!CO2m2_2045</vt:lpstr>
      <vt:lpstr>Locatie1!CO2m2_2045</vt:lpstr>
      <vt:lpstr>Locatie2!CO2m2_2045</vt:lpstr>
      <vt:lpstr>Locatie3!CO2m2_2045</vt:lpstr>
      <vt:lpstr>Blanco!CO2m2_2046</vt:lpstr>
      <vt:lpstr>'cluster eigendom'!CO2m2_2046</vt:lpstr>
      <vt:lpstr>'cluster huur'!CO2m2_2046</vt:lpstr>
      <vt:lpstr>Locatie1!CO2m2_2046</vt:lpstr>
      <vt:lpstr>Locatie2!CO2m2_2046</vt:lpstr>
      <vt:lpstr>Locatie3!CO2m2_2046</vt:lpstr>
      <vt:lpstr>Blanco!CO2m2_2047</vt:lpstr>
      <vt:lpstr>'cluster eigendom'!CO2m2_2047</vt:lpstr>
      <vt:lpstr>'cluster huur'!CO2m2_2047</vt:lpstr>
      <vt:lpstr>Locatie1!CO2m2_2047</vt:lpstr>
      <vt:lpstr>Locatie2!CO2m2_2047</vt:lpstr>
      <vt:lpstr>Locatie3!CO2m2_2047</vt:lpstr>
      <vt:lpstr>Blanco!CO2m2_2048</vt:lpstr>
      <vt:lpstr>'cluster eigendom'!CO2m2_2048</vt:lpstr>
      <vt:lpstr>'cluster huur'!CO2m2_2048</vt:lpstr>
      <vt:lpstr>Locatie1!CO2m2_2048</vt:lpstr>
      <vt:lpstr>Locatie2!CO2m2_2048</vt:lpstr>
      <vt:lpstr>Locatie3!CO2m2_2048</vt:lpstr>
      <vt:lpstr>Blanco!CO2m2_2049</vt:lpstr>
      <vt:lpstr>'cluster eigendom'!CO2m2_2049</vt:lpstr>
      <vt:lpstr>'cluster huur'!CO2m2_2049</vt:lpstr>
      <vt:lpstr>Locatie1!CO2m2_2049</vt:lpstr>
      <vt:lpstr>Locatie2!CO2m2_2049</vt:lpstr>
      <vt:lpstr>Locatie3!CO2m2_2049</vt:lpstr>
      <vt:lpstr>Blanco!CO2m2_2050</vt:lpstr>
      <vt:lpstr>'cluster eigendom'!CO2m2_2050</vt:lpstr>
      <vt:lpstr>'cluster huur'!CO2m2_2050</vt:lpstr>
      <vt:lpstr>Locatie1!CO2m2_2050</vt:lpstr>
      <vt:lpstr>Locatie2!CO2m2_2050</vt:lpstr>
      <vt:lpstr>Locatie3!CO2m2_2050</vt:lpstr>
      <vt:lpstr>Blanco!CO2reductieperc_2018</vt:lpstr>
      <vt:lpstr>'cluster eigendom'!CO2reductieperc_2018</vt:lpstr>
      <vt:lpstr>'cluster huur'!CO2reductieperc_2018</vt:lpstr>
      <vt:lpstr>Locatie1!CO2reductieperc_2018</vt:lpstr>
      <vt:lpstr>Locatie2!CO2reductieperc_2018</vt:lpstr>
      <vt:lpstr>Locatie3!CO2reductieperc_2018</vt:lpstr>
      <vt:lpstr>Blanco!CO2reductieperc_2019</vt:lpstr>
      <vt:lpstr>'cluster eigendom'!CO2reductieperc_2019</vt:lpstr>
      <vt:lpstr>'cluster huur'!CO2reductieperc_2019</vt:lpstr>
      <vt:lpstr>Locatie1!CO2reductieperc_2019</vt:lpstr>
      <vt:lpstr>Locatie2!CO2reductieperc_2019</vt:lpstr>
      <vt:lpstr>Locatie3!CO2reductieperc_2019</vt:lpstr>
      <vt:lpstr>Blanco!CO2reductieperc_2020</vt:lpstr>
      <vt:lpstr>'cluster eigendom'!CO2reductieperc_2020</vt:lpstr>
      <vt:lpstr>'cluster huur'!CO2reductieperc_2020</vt:lpstr>
      <vt:lpstr>Locatie1!CO2reductieperc_2020</vt:lpstr>
      <vt:lpstr>Locatie2!CO2reductieperc_2020</vt:lpstr>
      <vt:lpstr>Locatie3!CO2reductieperc_2020</vt:lpstr>
      <vt:lpstr>Blanco!CO2reductieperc_2021</vt:lpstr>
      <vt:lpstr>'cluster eigendom'!CO2reductieperc_2021</vt:lpstr>
      <vt:lpstr>'cluster huur'!CO2reductieperc_2021</vt:lpstr>
      <vt:lpstr>Locatie1!CO2reductieperc_2021</vt:lpstr>
      <vt:lpstr>Locatie2!CO2reductieperc_2021</vt:lpstr>
      <vt:lpstr>Locatie3!CO2reductieperc_2021</vt:lpstr>
      <vt:lpstr>Blanco!CO2reductieperc_2022</vt:lpstr>
      <vt:lpstr>'cluster eigendom'!CO2reductieperc_2022</vt:lpstr>
      <vt:lpstr>'cluster huur'!CO2reductieperc_2022</vt:lpstr>
      <vt:lpstr>Locatie1!CO2reductieperc_2022</vt:lpstr>
      <vt:lpstr>Locatie2!CO2reductieperc_2022</vt:lpstr>
      <vt:lpstr>Locatie3!CO2reductieperc_2022</vt:lpstr>
      <vt:lpstr>Blanco!CO2reductieperc_2023</vt:lpstr>
      <vt:lpstr>'cluster eigendom'!CO2reductieperc_2023</vt:lpstr>
      <vt:lpstr>'cluster huur'!CO2reductieperc_2023</vt:lpstr>
      <vt:lpstr>Locatie1!CO2reductieperc_2023</vt:lpstr>
      <vt:lpstr>Locatie2!CO2reductieperc_2023</vt:lpstr>
      <vt:lpstr>Locatie3!CO2reductieperc_2023</vt:lpstr>
      <vt:lpstr>Blanco!CO2reductieperc_2024</vt:lpstr>
      <vt:lpstr>'cluster eigendom'!CO2reductieperc_2024</vt:lpstr>
      <vt:lpstr>'cluster huur'!CO2reductieperc_2024</vt:lpstr>
      <vt:lpstr>Locatie1!CO2reductieperc_2024</vt:lpstr>
      <vt:lpstr>Locatie2!CO2reductieperc_2024</vt:lpstr>
      <vt:lpstr>Locatie3!CO2reductieperc_2024</vt:lpstr>
      <vt:lpstr>Blanco!CO2reductieperc_2025</vt:lpstr>
      <vt:lpstr>'cluster eigendom'!CO2reductieperc_2025</vt:lpstr>
      <vt:lpstr>'cluster huur'!CO2reductieperc_2025</vt:lpstr>
      <vt:lpstr>Locatie1!CO2reductieperc_2025</vt:lpstr>
      <vt:lpstr>Locatie2!CO2reductieperc_2025</vt:lpstr>
      <vt:lpstr>Locatie3!CO2reductieperc_2025</vt:lpstr>
      <vt:lpstr>Blanco!CO2reductieperc_2026</vt:lpstr>
      <vt:lpstr>'cluster eigendom'!CO2reductieperc_2026</vt:lpstr>
      <vt:lpstr>'cluster huur'!CO2reductieperc_2026</vt:lpstr>
      <vt:lpstr>Locatie1!CO2reductieperc_2026</vt:lpstr>
      <vt:lpstr>Locatie2!CO2reductieperc_2026</vt:lpstr>
      <vt:lpstr>Locatie3!CO2reductieperc_2026</vt:lpstr>
      <vt:lpstr>Blanco!CO2reductieperc_2027</vt:lpstr>
      <vt:lpstr>'cluster eigendom'!CO2reductieperc_2027</vt:lpstr>
      <vt:lpstr>'cluster huur'!CO2reductieperc_2027</vt:lpstr>
      <vt:lpstr>Locatie1!CO2reductieperc_2027</vt:lpstr>
      <vt:lpstr>Locatie2!CO2reductieperc_2027</vt:lpstr>
      <vt:lpstr>Locatie3!CO2reductieperc_2027</vt:lpstr>
      <vt:lpstr>Blanco!CO2reductieperc_2028</vt:lpstr>
      <vt:lpstr>'cluster eigendom'!CO2reductieperc_2028</vt:lpstr>
      <vt:lpstr>'cluster huur'!CO2reductieperc_2028</vt:lpstr>
      <vt:lpstr>Locatie1!CO2reductieperc_2028</vt:lpstr>
      <vt:lpstr>Locatie2!CO2reductieperc_2028</vt:lpstr>
      <vt:lpstr>Locatie3!CO2reductieperc_2028</vt:lpstr>
      <vt:lpstr>Blanco!CO2reductieperc_2029</vt:lpstr>
      <vt:lpstr>'cluster eigendom'!CO2reductieperc_2029</vt:lpstr>
      <vt:lpstr>'cluster huur'!CO2reductieperc_2029</vt:lpstr>
      <vt:lpstr>Locatie1!CO2reductieperc_2029</vt:lpstr>
      <vt:lpstr>Locatie2!CO2reductieperc_2029</vt:lpstr>
      <vt:lpstr>Locatie3!CO2reductieperc_2029</vt:lpstr>
      <vt:lpstr>Blanco!CO2reductieperc_2030</vt:lpstr>
      <vt:lpstr>'cluster eigendom'!CO2reductieperc_2030</vt:lpstr>
      <vt:lpstr>'cluster huur'!CO2reductieperc_2030</vt:lpstr>
      <vt:lpstr>Locatie1!CO2reductieperc_2030</vt:lpstr>
      <vt:lpstr>Locatie2!CO2reductieperc_2030</vt:lpstr>
      <vt:lpstr>Locatie3!CO2reductieperc_2030</vt:lpstr>
      <vt:lpstr>Blanco!CO2reductieperc_2031</vt:lpstr>
      <vt:lpstr>'cluster eigendom'!CO2reductieperc_2031</vt:lpstr>
      <vt:lpstr>'cluster huur'!CO2reductieperc_2031</vt:lpstr>
      <vt:lpstr>Locatie1!CO2reductieperc_2031</vt:lpstr>
      <vt:lpstr>Locatie2!CO2reductieperc_2031</vt:lpstr>
      <vt:lpstr>Locatie3!CO2reductieperc_2031</vt:lpstr>
      <vt:lpstr>Blanco!CO2reductieperc_2032</vt:lpstr>
      <vt:lpstr>'cluster eigendom'!CO2reductieperc_2032</vt:lpstr>
      <vt:lpstr>'cluster huur'!CO2reductieperc_2032</vt:lpstr>
      <vt:lpstr>Locatie1!CO2reductieperc_2032</vt:lpstr>
      <vt:lpstr>Locatie2!CO2reductieperc_2032</vt:lpstr>
      <vt:lpstr>Locatie3!CO2reductieperc_2032</vt:lpstr>
      <vt:lpstr>Blanco!CO2reductieperc_2033</vt:lpstr>
      <vt:lpstr>'cluster eigendom'!CO2reductieperc_2033</vt:lpstr>
      <vt:lpstr>'cluster huur'!CO2reductieperc_2033</vt:lpstr>
      <vt:lpstr>Locatie1!CO2reductieperc_2033</vt:lpstr>
      <vt:lpstr>Locatie2!CO2reductieperc_2033</vt:lpstr>
      <vt:lpstr>Locatie3!CO2reductieperc_2033</vt:lpstr>
      <vt:lpstr>Blanco!CO2reductieperc_2034</vt:lpstr>
      <vt:lpstr>'cluster eigendom'!CO2reductieperc_2034</vt:lpstr>
      <vt:lpstr>'cluster huur'!CO2reductieperc_2034</vt:lpstr>
      <vt:lpstr>Locatie1!CO2reductieperc_2034</vt:lpstr>
      <vt:lpstr>Locatie2!CO2reductieperc_2034</vt:lpstr>
      <vt:lpstr>Locatie3!CO2reductieperc_2034</vt:lpstr>
      <vt:lpstr>Blanco!CO2reductieperc_2035</vt:lpstr>
      <vt:lpstr>'cluster eigendom'!CO2reductieperc_2035</vt:lpstr>
      <vt:lpstr>'cluster huur'!CO2reductieperc_2035</vt:lpstr>
      <vt:lpstr>Locatie1!CO2reductieperc_2035</vt:lpstr>
      <vt:lpstr>Locatie2!CO2reductieperc_2035</vt:lpstr>
      <vt:lpstr>Locatie3!CO2reductieperc_2035</vt:lpstr>
      <vt:lpstr>Blanco!CO2reductieperc_2036</vt:lpstr>
      <vt:lpstr>'cluster eigendom'!CO2reductieperc_2036</vt:lpstr>
      <vt:lpstr>'cluster huur'!CO2reductieperc_2036</vt:lpstr>
      <vt:lpstr>Locatie1!CO2reductieperc_2036</vt:lpstr>
      <vt:lpstr>Locatie2!CO2reductieperc_2036</vt:lpstr>
      <vt:lpstr>Locatie3!CO2reductieperc_2036</vt:lpstr>
      <vt:lpstr>Blanco!CO2reductieperc_2037</vt:lpstr>
      <vt:lpstr>'cluster eigendom'!CO2reductieperc_2037</vt:lpstr>
      <vt:lpstr>'cluster huur'!CO2reductieperc_2037</vt:lpstr>
      <vt:lpstr>Locatie1!CO2reductieperc_2037</vt:lpstr>
      <vt:lpstr>Locatie2!CO2reductieperc_2037</vt:lpstr>
      <vt:lpstr>Locatie3!CO2reductieperc_2037</vt:lpstr>
      <vt:lpstr>Blanco!CO2reductieperc_2038</vt:lpstr>
      <vt:lpstr>'cluster eigendom'!CO2reductieperc_2038</vt:lpstr>
      <vt:lpstr>'cluster huur'!CO2reductieperc_2038</vt:lpstr>
      <vt:lpstr>Locatie1!CO2reductieperc_2038</vt:lpstr>
      <vt:lpstr>Locatie2!CO2reductieperc_2038</vt:lpstr>
      <vt:lpstr>Locatie3!CO2reductieperc_2038</vt:lpstr>
      <vt:lpstr>Blanco!CO2reductieperc_2039</vt:lpstr>
      <vt:lpstr>'cluster eigendom'!CO2reductieperc_2039</vt:lpstr>
      <vt:lpstr>'cluster huur'!CO2reductieperc_2039</vt:lpstr>
      <vt:lpstr>Locatie1!CO2reductieperc_2039</vt:lpstr>
      <vt:lpstr>Locatie2!CO2reductieperc_2039</vt:lpstr>
      <vt:lpstr>Locatie3!CO2reductieperc_2039</vt:lpstr>
      <vt:lpstr>Blanco!CO2reductieperc_2040</vt:lpstr>
      <vt:lpstr>'cluster eigendom'!CO2reductieperc_2040</vt:lpstr>
      <vt:lpstr>'cluster huur'!CO2reductieperc_2040</vt:lpstr>
      <vt:lpstr>Locatie1!CO2reductieperc_2040</vt:lpstr>
      <vt:lpstr>Locatie2!CO2reductieperc_2040</vt:lpstr>
      <vt:lpstr>Locatie3!CO2reductieperc_2040</vt:lpstr>
      <vt:lpstr>Blanco!CO2reductieperc_2041</vt:lpstr>
      <vt:lpstr>'cluster eigendom'!CO2reductieperc_2041</vt:lpstr>
      <vt:lpstr>'cluster huur'!CO2reductieperc_2041</vt:lpstr>
      <vt:lpstr>Locatie1!CO2reductieperc_2041</vt:lpstr>
      <vt:lpstr>Locatie2!CO2reductieperc_2041</vt:lpstr>
      <vt:lpstr>Locatie3!CO2reductieperc_2041</vt:lpstr>
      <vt:lpstr>Blanco!CO2reductieperc_2042</vt:lpstr>
      <vt:lpstr>'cluster eigendom'!CO2reductieperc_2042</vt:lpstr>
      <vt:lpstr>'cluster huur'!CO2reductieperc_2042</vt:lpstr>
      <vt:lpstr>Locatie1!CO2reductieperc_2042</vt:lpstr>
      <vt:lpstr>Locatie2!CO2reductieperc_2042</vt:lpstr>
      <vt:lpstr>Locatie3!CO2reductieperc_2042</vt:lpstr>
      <vt:lpstr>Blanco!CO2reductieperc_2043</vt:lpstr>
      <vt:lpstr>'cluster eigendom'!CO2reductieperc_2043</vt:lpstr>
      <vt:lpstr>'cluster huur'!CO2reductieperc_2043</vt:lpstr>
      <vt:lpstr>Locatie1!CO2reductieperc_2043</vt:lpstr>
      <vt:lpstr>Locatie2!CO2reductieperc_2043</vt:lpstr>
      <vt:lpstr>Locatie3!CO2reductieperc_2043</vt:lpstr>
      <vt:lpstr>Blanco!CO2reductieperc_2044</vt:lpstr>
      <vt:lpstr>'cluster eigendom'!CO2reductieperc_2044</vt:lpstr>
      <vt:lpstr>'cluster huur'!CO2reductieperc_2044</vt:lpstr>
      <vt:lpstr>Locatie1!CO2reductieperc_2044</vt:lpstr>
      <vt:lpstr>Locatie2!CO2reductieperc_2044</vt:lpstr>
      <vt:lpstr>Locatie3!CO2reductieperc_2044</vt:lpstr>
      <vt:lpstr>Blanco!CO2reductieperc_2045</vt:lpstr>
      <vt:lpstr>'cluster eigendom'!CO2reductieperc_2045</vt:lpstr>
      <vt:lpstr>'cluster huur'!CO2reductieperc_2045</vt:lpstr>
      <vt:lpstr>Locatie1!CO2reductieperc_2045</vt:lpstr>
      <vt:lpstr>Locatie2!CO2reductieperc_2045</vt:lpstr>
      <vt:lpstr>Locatie3!CO2reductieperc_2045</vt:lpstr>
      <vt:lpstr>Blanco!CO2reductieperc_2046</vt:lpstr>
      <vt:lpstr>'cluster eigendom'!CO2reductieperc_2046</vt:lpstr>
      <vt:lpstr>'cluster huur'!CO2reductieperc_2046</vt:lpstr>
      <vt:lpstr>Locatie1!CO2reductieperc_2046</vt:lpstr>
      <vt:lpstr>Locatie2!CO2reductieperc_2046</vt:lpstr>
      <vt:lpstr>Locatie3!CO2reductieperc_2046</vt:lpstr>
      <vt:lpstr>Blanco!CO2reductieperc_2047</vt:lpstr>
      <vt:lpstr>'cluster eigendom'!CO2reductieperc_2047</vt:lpstr>
      <vt:lpstr>'cluster huur'!CO2reductieperc_2047</vt:lpstr>
      <vt:lpstr>Locatie1!CO2reductieperc_2047</vt:lpstr>
      <vt:lpstr>Locatie2!CO2reductieperc_2047</vt:lpstr>
      <vt:lpstr>Locatie3!CO2reductieperc_2047</vt:lpstr>
      <vt:lpstr>Blanco!CO2reductieperc_2048</vt:lpstr>
      <vt:lpstr>'cluster eigendom'!CO2reductieperc_2048</vt:lpstr>
      <vt:lpstr>'cluster huur'!CO2reductieperc_2048</vt:lpstr>
      <vt:lpstr>Locatie1!CO2reductieperc_2048</vt:lpstr>
      <vt:lpstr>Locatie2!CO2reductieperc_2048</vt:lpstr>
      <vt:lpstr>Locatie3!CO2reductieperc_2048</vt:lpstr>
      <vt:lpstr>Blanco!CO2reductieperc_2049</vt:lpstr>
      <vt:lpstr>'cluster eigendom'!CO2reductieperc_2049</vt:lpstr>
      <vt:lpstr>'cluster huur'!CO2reductieperc_2049</vt:lpstr>
      <vt:lpstr>Locatie1!CO2reductieperc_2049</vt:lpstr>
      <vt:lpstr>Locatie2!CO2reductieperc_2049</vt:lpstr>
      <vt:lpstr>Locatie3!CO2reductieperc_2049</vt:lpstr>
      <vt:lpstr>Blanco!CO2reductieperc_2050</vt:lpstr>
      <vt:lpstr>'cluster eigendom'!CO2reductieperc_2050</vt:lpstr>
      <vt:lpstr>'cluster huur'!CO2reductieperc_2050</vt:lpstr>
      <vt:lpstr>Locatie1!CO2reductieperc_2050</vt:lpstr>
      <vt:lpstr>Locatie2!CO2reductieperc_2050</vt:lpstr>
      <vt:lpstr>Locatie3!CO2reductieperc_2050</vt:lpstr>
      <vt:lpstr>Blanco!Duurzamewarmte_2018</vt:lpstr>
      <vt:lpstr>'cluster eigendom'!Duurzamewarmte_2018</vt:lpstr>
      <vt:lpstr>'cluster huur'!Duurzamewarmte_2018</vt:lpstr>
      <vt:lpstr>Locatie1!Duurzamewarmte_2018</vt:lpstr>
      <vt:lpstr>Locatie2!Duurzamewarmte_2018</vt:lpstr>
      <vt:lpstr>Locatie3!Duurzamewarmte_2018</vt:lpstr>
      <vt:lpstr>Blanco!Duurzamewarmte_2019</vt:lpstr>
      <vt:lpstr>'cluster eigendom'!Duurzamewarmte_2019</vt:lpstr>
      <vt:lpstr>'cluster huur'!Duurzamewarmte_2019</vt:lpstr>
      <vt:lpstr>Locatie1!Duurzamewarmte_2019</vt:lpstr>
      <vt:lpstr>Locatie2!Duurzamewarmte_2019</vt:lpstr>
      <vt:lpstr>Locatie3!Duurzamewarmte_2019</vt:lpstr>
      <vt:lpstr>Blanco!Duurzamewarmte_2020</vt:lpstr>
      <vt:lpstr>'cluster eigendom'!Duurzamewarmte_2020</vt:lpstr>
      <vt:lpstr>'cluster huur'!Duurzamewarmte_2020</vt:lpstr>
      <vt:lpstr>Locatie1!Duurzamewarmte_2020</vt:lpstr>
      <vt:lpstr>Locatie2!Duurzamewarmte_2020</vt:lpstr>
      <vt:lpstr>Locatie3!Duurzamewarmte_2020</vt:lpstr>
      <vt:lpstr>Blanco!Duurzamewarmte_2021</vt:lpstr>
      <vt:lpstr>'cluster eigendom'!Duurzamewarmte_2021</vt:lpstr>
      <vt:lpstr>'cluster huur'!Duurzamewarmte_2021</vt:lpstr>
      <vt:lpstr>Locatie1!Duurzamewarmte_2021</vt:lpstr>
      <vt:lpstr>Locatie2!Duurzamewarmte_2021</vt:lpstr>
      <vt:lpstr>Locatie3!Duurzamewarmte_2021</vt:lpstr>
      <vt:lpstr>Blanco!Duurzamewarmte_2022</vt:lpstr>
      <vt:lpstr>'cluster eigendom'!Duurzamewarmte_2022</vt:lpstr>
      <vt:lpstr>'cluster huur'!Duurzamewarmte_2022</vt:lpstr>
      <vt:lpstr>Locatie1!Duurzamewarmte_2022</vt:lpstr>
      <vt:lpstr>Locatie2!Duurzamewarmte_2022</vt:lpstr>
      <vt:lpstr>Locatie3!Duurzamewarmte_2022</vt:lpstr>
      <vt:lpstr>Blanco!Duurzamewarmte_2023</vt:lpstr>
      <vt:lpstr>'cluster eigendom'!Duurzamewarmte_2023</vt:lpstr>
      <vt:lpstr>'cluster huur'!Duurzamewarmte_2023</vt:lpstr>
      <vt:lpstr>Locatie1!Duurzamewarmte_2023</vt:lpstr>
      <vt:lpstr>Locatie2!Duurzamewarmte_2023</vt:lpstr>
      <vt:lpstr>Locatie3!Duurzamewarmte_2023</vt:lpstr>
      <vt:lpstr>Blanco!Duurzamewarmte_2024</vt:lpstr>
      <vt:lpstr>'cluster eigendom'!Duurzamewarmte_2024</vt:lpstr>
      <vt:lpstr>'cluster huur'!Duurzamewarmte_2024</vt:lpstr>
      <vt:lpstr>Locatie1!Duurzamewarmte_2024</vt:lpstr>
      <vt:lpstr>Locatie2!Duurzamewarmte_2024</vt:lpstr>
      <vt:lpstr>Locatie3!Duurzamewarmte_2024</vt:lpstr>
      <vt:lpstr>Blanco!Duurzamewarmte_2025</vt:lpstr>
      <vt:lpstr>'cluster eigendom'!Duurzamewarmte_2025</vt:lpstr>
      <vt:lpstr>'cluster huur'!Duurzamewarmte_2025</vt:lpstr>
      <vt:lpstr>Locatie1!Duurzamewarmte_2025</vt:lpstr>
      <vt:lpstr>Locatie2!Duurzamewarmte_2025</vt:lpstr>
      <vt:lpstr>Locatie3!Duurzamewarmte_2025</vt:lpstr>
      <vt:lpstr>Blanco!Duurzamewarmte_2026</vt:lpstr>
      <vt:lpstr>'cluster eigendom'!Duurzamewarmte_2026</vt:lpstr>
      <vt:lpstr>'cluster huur'!Duurzamewarmte_2026</vt:lpstr>
      <vt:lpstr>Locatie1!Duurzamewarmte_2026</vt:lpstr>
      <vt:lpstr>Locatie2!Duurzamewarmte_2026</vt:lpstr>
      <vt:lpstr>Locatie3!Duurzamewarmte_2026</vt:lpstr>
      <vt:lpstr>Blanco!Duurzamewarmte_2027</vt:lpstr>
      <vt:lpstr>'cluster eigendom'!Duurzamewarmte_2027</vt:lpstr>
      <vt:lpstr>'cluster huur'!Duurzamewarmte_2027</vt:lpstr>
      <vt:lpstr>Locatie1!Duurzamewarmte_2027</vt:lpstr>
      <vt:lpstr>Locatie2!Duurzamewarmte_2027</vt:lpstr>
      <vt:lpstr>Locatie3!Duurzamewarmte_2027</vt:lpstr>
      <vt:lpstr>Blanco!Duurzamewarmte_2028</vt:lpstr>
      <vt:lpstr>'cluster eigendom'!Duurzamewarmte_2028</vt:lpstr>
      <vt:lpstr>'cluster huur'!Duurzamewarmte_2028</vt:lpstr>
      <vt:lpstr>Locatie1!Duurzamewarmte_2028</vt:lpstr>
      <vt:lpstr>Locatie2!Duurzamewarmte_2028</vt:lpstr>
      <vt:lpstr>Locatie3!Duurzamewarmte_2028</vt:lpstr>
      <vt:lpstr>Blanco!Duurzamewarmte_2029</vt:lpstr>
      <vt:lpstr>'cluster eigendom'!Duurzamewarmte_2029</vt:lpstr>
      <vt:lpstr>'cluster huur'!Duurzamewarmte_2029</vt:lpstr>
      <vt:lpstr>Locatie1!Duurzamewarmte_2029</vt:lpstr>
      <vt:lpstr>Locatie2!Duurzamewarmte_2029</vt:lpstr>
      <vt:lpstr>Locatie3!Duurzamewarmte_2029</vt:lpstr>
      <vt:lpstr>Blanco!Duurzamewarmte_2030</vt:lpstr>
      <vt:lpstr>'cluster eigendom'!Duurzamewarmte_2030</vt:lpstr>
      <vt:lpstr>'cluster huur'!Duurzamewarmte_2030</vt:lpstr>
      <vt:lpstr>Locatie1!Duurzamewarmte_2030</vt:lpstr>
      <vt:lpstr>Locatie2!Duurzamewarmte_2030</vt:lpstr>
      <vt:lpstr>Locatie3!Duurzamewarmte_2030</vt:lpstr>
      <vt:lpstr>Blanco!Duurzamewarmte_2031</vt:lpstr>
      <vt:lpstr>'cluster eigendom'!Duurzamewarmte_2031</vt:lpstr>
      <vt:lpstr>'cluster huur'!Duurzamewarmte_2031</vt:lpstr>
      <vt:lpstr>Locatie1!Duurzamewarmte_2031</vt:lpstr>
      <vt:lpstr>Locatie2!Duurzamewarmte_2031</vt:lpstr>
      <vt:lpstr>Locatie3!Duurzamewarmte_2031</vt:lpstr>
      <vt:lpstr>Blanco!Duurzamewarmte_2032</vt:lpstr>
      <vt:lpstr>'cluster eigendom'!Duurzamewarmte_2032</vt:lpstr>
      <vt:lpstr>'cluster huur'!Duurzamewarmte_2032</vt:lpstr>
      <vt:lpstr>Locatie1!Duurzamewarmte_2032</vt:lpstr>
      <vt:lpstr>Locatie2!Duurzamewarmte_2032</vt:lpstr>
      <vt:lpstr>Locatie3!Duurzamewarmte_2032</vt:lpstr>
      <vt:lpstr>Blanco!Duurzamewarmte_2033</vt:lpstr>
      <vt:lpstr>'cluster eigendom'!Duurzamewarmte_2033</vt:lpstr>
      <vt:lpstr>'cluster huur'!Duurzamewarmte_2033</vt:lpstr>
      <vt:lpstr>Locatie1!Duurzamewarmte_2033</vt:lpstr>
      <vt:lpstr>Locatie2!Duurzamewarmte_2033</vt:lpstr>
      <vt:lpstr>Locatie3!Duurzamewarmte_2033</vt:lpstr>
      <vt:lpstr>Blanco!Duurzamewarmte_2034</vt:lpstr>
      <vt:lpstr>'cluster eigendom'!Duurzamewarmte_2034</vt:lpstr>
      <vt:lpstr>'cluster huur'!Duurzamewarmte_2034</vt:lpstr>
      <vt:lpstr>Locatie1!Duurzamewarmte_2034</vt:lpstr>
      <vt:lpstr>Locatie2!Duurzamewarmte_2034</vt:lpstr>
      <vt:lpstr>Locatie3!Duurzamewarmte_2034</vt:lpstr>
      <vt:lpstr>Blanco!Duurzamewarmte_2035</vt:lpstr>
      <vt:lpstr>'cluster eigendom'!Duurzamewarmte_2035</vt:lpstr>
      <vt:lpstr>'cluster huur'!Duurzamewarmte_2035</vt:lpstr>
      <vt:lpstr>Locatie1!Duurzamewarmte_2035</vt:lpstr>
      <vt:lpstr>Locatie2!Duurzamewarmte_2035</vt:lpstr>
      <vt:lpstr>Locatie3!Duurzamewarmte_2035</vt:lpstr>
      <vt:lpstr>Blanco!Duurzamewarmte_2036</vt:lpstr>
      <vt:lpstr>'cluster eigendom'!Duurzamewarmte_2036</vt:lpstr>
      <vt:lpstr>'cluster huur'!Duurzamewarmte_2036</vt:lpstr>
      <vt:lpstr>Locatie1!Duurzamewarmte_2036</vt:lpstr>
      <vt:lpstr>Locatie2!Duurzamewarmte_2036</vt:lpstr>
      <vt:lpstr>Locatie3!Duurzamewarmte_2036</vt:lpstr>
      <vt:lpstr>Blanco!Duurzamewarmte_2037</vt:lpstr>
      <vt:lpstr>'cluster eigendom'!Duurzamewarmte_2037</vt:lpstr>
      <vt:lpstr>'cluster huur'!Duurzamewarmte_2037</vt:lpstr>
      <vt:lpstr>Locatie1!Duurzamewarmte_2037</vt:lpstr>
      <vt:lpstr>Locatie2!Duurzamewarmte_2037</vt:lpstr>
      <vt:lpstr>Locatie3!Duurzamewarmte_2037</vt:lpstr>
      <vt:lpstr>Blanco!Duurzamewarmte_2038</vt:lpstr>
      <vt:lpstr>'cluster eigendom'!Duurzamewarmte_2038</vt:lpstr>
      <vt:lpstr>'cluster huur'!Duurzamewarmte_2038</vt:lpstr>
      <vt:lpstr>Locatie1!Duurzamewarmte_2038</vt:lpstr>
      <vt:lpstr>Locatie2!Duurzamewarmte_2038</vt:lpstr>
      <vt:lpstr>Locatie3!Duurzamewarmte_2038</vt:lpstr>
      <vt:lpstr>Blanco!Duurzamewarmte_2039</vt:lpstr>
      <vt:lpstr>'cluster eigendom'!Duurzamewarmte_2039</vt:lpstr>
      <vt:lpstr>'cluster huur'!Duurzamewarmte_2039</vt:lpstr>
      <vt:lpstr>Locatie1!Duurzamewarmte_2039</vt:lpstr>
      <vt:lpstr>Locatie2!Duurzamewarmte_2039</vt:lpstr>
      <vt:lpstr>Locatie3!Duurzamewarmte_2039</vt:lpstr>
      <vt:lpstr>Blanco!Duurzamewarmte_2040</vt:lpstr>
      <vt:lpstr>'cluster eigendom'!Duurzamewarmte_2040</vt:lpstr>
      <vt:lpstr>'cluster huur'!Duurzamewarmte_2040</vt:lpstr>
      <vt:lpstr>Locatie1!Duurzamewarmte_2040</vt:lpstr>
      <vt:lpstr>Locatie2!Duurzamewarmte_2040</vt:lpstr>
      <vt:lpstr>Locatie3!Duurzamewarmte_2040</vt:lpstr>
      <vt:lpstr>Blanco!Duurzamewarmte_2041</vt:lpstr>
      <vt:lpstr>'cluster eigendom'!Duurzamewarmte_2041</vt:lpstr>
      <vt:lpstr>'cluster huur'!Duurzamewarmte_2041</vt:lpstr>
      <vt:lpstr>Locatie1!Duurzamewarmte_2041</vt:lpstr>
      <vt:lpstr>Locatie2!Duurzamewarmte_2041</vt:lpstr>
      <vt:lpstr>Locatie3!Duurzamewarmte_2041</vt:lpstr>
      <vt:lpstr>Blanco!Duurzamewarmte_2042</vt:lpstr>
      <vt:lpstr>'cluster eigendom'!Duurzamewarmte_2042</vt:lpstr>
      <vt:lpstr>'cluster huur'!Duurzamewarmte_2042</vt:lpstr>
      <vt:lpstr>Locatie1!Duurzamewarmte_2042</vt:lpstr>
      <vt:lpstr>Locatie2!Duurzamewarmte_2042</vt:lpstr>
      <vt:lpstr>Locatie3!Duurzamewarmte_2042</vt:lpstr>
      <vt:lpstr>Blanco!Duurzamewarmte_2043</vt:lpstr>
      <vt:lpstr>'cluster eigendom'!Duurzamewarmte_2043</vt:lpstr>
      <vt:lpstr>'cluster huur'!Duurzamewarmte_2043</vt:lpstr>
      <vt:lpstr>Locatie1!Duurzamewarmte_2043</vt:lpstr>
      <vt:lpstr>Locatie2!Duurzamewarmte_2043</vt:lpstr>
      <vt:lpstr>Locatie3!Duurzamewarmte_2043</vt:lpstr>
      <vt:lpstr>Blanco!Duurzamewarmte_2044</vt:lpstr>
      <vt:lpstr>'cluster eigendom'!Duurzamewarmte_2044</vt:lpstr>
      <vt:lpstr>'cluster huur'!Duurzamewarmte_2044</vt:lpstr>
      <vt:lpstr>Locatie1!Duurzamewarmte_2044</vt:lpstr>
      <vt:lpstr>Locatie2!Duurzamewarmte_2044</vt:lpstr>
      <vt:lpstr>Locatie3!Duurzamewarmte_2044</vt:lpstr>
      <vt:lpstr>Blanco!Duurzamewarmte_2045</vt:lpstr>
      <vt:lpstr>'cluster eigendom'!Duurzamewarmte_2045</vt:lpstr>
      <vt:lpstr>'cluster huur'!Duurzamewarmte_2045</vt:lpstr>
      <vt:lpstr>Locatie1!Duurzamewarmte_2045</vt:lpstr>
      <vt:lpstr>Locatie2!Duurzamewarmte_2045</vt:lpstr>
      <vt:lpstr>Locatie3!Duurzamewarmte_2045</vt:lpstr>
      <vt:lpstr>Blanco!Duurzamewarmte_2046</vt:lpstr>
      <vt:lpstr>'cluster eigendom'!Duurzamewarmte_2046</vt:lpstr>
      <vt:lpstr>'cluster huur'!Duurzamewarmte_2046</vt:lpstr>
      <vt:lpstr>Locatie1!Duurzamewarmte_2046</vt:lpstr>
      <vt:lpstr>Locatie2!Duurzamewarmte_2046</vt:lpstr>
      <vt:lpstr>Locatie3!Duurzamewarmte_2046</vt:lpstr>
      <vt:lpstr>Blanco!Duurzamewarmte_2047</vt:lpstr>
      <vt:lpstr>'cluster eigendom'!Duurzamewarmte_2047</vt:lpstr>
      <vt:lpstr>'cluster huur'!Duurzamewarmte_2047</vt:lpstr>
      <vt:lpstr>Locatie1!Duurzamewarmte_2047</vt:lpstr>
      <vt:lpstr>Locatie2!Duurzamewarmte_2047</vt:lpstr>
      <vt:lpstr>Locatie3!Duurzamewarmte_2047</vt:lpstr>
      <vt:lpstr>Blanco!Duurzamewarmte_2048</vt:lpstr>
      <vt:lpstr>'cluster eigendom'!Duurzamewarmte_2048</vt:lpstr>
      <vt:lpstr>'cluster huur'!Duurzamewarmte_2048</vt:lpstr>
      <vt:lpstr>Locatie1!Duurzamewarmte_2048</vt:lpstr>
      <vt:lpstr>Locatie2!Duurzamewarmte_2048</vt:lpstr>
      <vt:lpstr>Locatie3!Duurzamewarmte_2048</vt:lpstr>
      <vt:lpstr>Blanco!Duurzamewarmte_2049</vt:lpstr>
      <vt:lpstr>'cluster eigendom'!Duurzamewarmte_2049</vt:lpstr>
      <vt:lpstr>'cluster huur'!Duurzamewarmte_2049</vt:lpstr>
      <vt:lpstr>Locatie1!Duurzamewarmte_2049</vt:lpstr>
      <vt:lpstr>Locatie2!Duurzamewarmte_2049</vt:lpstr>
      <vt:lpstr>Locatie3!Duurzamewarmte_2049</vt:lpstr>
      <vt:lpstr>Blanco!Duurzamewarmte_2050</vt:lpstr>
      <vt:lpstr>'cluster eigendom'!Duurzamewarmte_2050</vt:lpstr>
      <vt:lpstr>'cluster huur'!Duurzamewarmte_2050</vt:lpstr>
      <vt:lpstr>Locatie1!Duurzamewarmte_2050</vt:lpstr>
      <vt:lpstr>Locatie2!Duurzamewarmte_2050</vt:lpstr>
      <vt:lpstr>Locatie3!Duurzamewarmte_2050</vt:lpstr>
      <vt:lpstr>Blanco!Duurzamewarmtem2_2018</vt:lpstr>
      <vt:lpstr>'cluster eigendom'!Duurzamewarmtem2_2018</vt:lpstr>
      <vt:lpstr>'cluster huur'!Duurzamewarmtem2_2018</vt:lpstr>
      <vt:lpstr>Locatie1!Duurzamewarmtem2_2018</vt:lpstr>
      <vt:lpstr>Locatie2!Duurzamewarmtem2_2018</vt:lpstr>
      <vt:lpstr>Locatie3!Duurzamewarmtem2_2018</vt:lpstr>
      <vt:lpstr>Blanco!Duurzamewarmtem2_2019</vt:lpstr>
      <vt:lpstr>'cluster eigendom'!Duurzamewarmtem2_2019</vt:lpstr>
      <vt:lpstr>'cluster huur'!Duurzamewarmtem2_2019</vt:lpstr>
      <vt:lpstr>Locatie1!Duurzamewarmtem2_2019</vt:lpstr>
      <vt:lpstr>Locatie2!Duurzamewarmtem2_2019</vt:lpstr>
      <vt:lpstr>Locatie3!Duurzamewarmtem2_2019</vt:lpstr>
      <vt:lpstr>Blanco!Duurzamewarmtem2_2020</vt:lpstr>
      <vt:lpstr>'cluster eigendom'!Duurzamewarmtem2_2020</vt:lpstr>
      <vt:lpstr>'cluster huur'!Duurzamewarmtem2_2020</vt:lpstr>
      <vt:lpstr>Locatie1!Duurzamewarmtem2_2020</vt:lpstr>
      <vt:lpstr>Locatie2!Duurzamewarmtem2_2020</vt:lpstr>
      <vt:lpstr>Locatie3!Duurzamewarmtem2_2020</vt:lpstr>
      <vt:lpstr>Blanco!Duurzamewarmtem2_2021</vt:lpstr>
      <vt:lpstr>'cluster eigendom'!Duurzamewarmtem2_2021</vt:lpstr>
      <vt:lpstr>'cluster huur'!Duurzamewarmtem2_2021</vt:lpstr>
      <vt:lpstr>Locatie1!Duurzamewarmtem2_2021</vt:lpstr>
      <vt:lpstr>Locatie2!Duurzamewarmtem2_2021</vt:lpstr>
      <vt:lpstr>Locatie3!Duurzamewarmtem2_2021</vt:lpstr>
      <vt:lpstr>Blanco!Duurzamewarmtem2_2022</vt:lpstr>
      <vt:lpstr>'cluster eigendom'!Duurzamewarmtem2_2022</vt:lpstr>
      <vt:lpstr>'cluster huur'!Duurzamewarmtem2_2022</vt:lpstr>
      <vt:lpstr>Locatie1!Duurzamewarmtem2_2022</vt:lpstr>
      <vt:lpstr>Locatie2!Duurzamewarmtem2_2022</vt:lpstr>
      <vt:lpstr>Locatie3!Duurzamewarmtem2_2022</vt:lpstr>
      <vt:lpstr>Blanco!Duurzamewarmtem2_2023</vt:lpstr>
      <vt:lpstr>'cluster eigendom'!Duurzamewarmtem2_2023</vt:lpstr>
      <vt:lpstr>'cluster huur'!Duurzamewarmtem2_2023</vt:lpstr>
      <vt:lpstr>Locatie1!Duurzamewarmtem2_2023</vt:lpstr>
      <vt:lpstr>Locatie2!Duurzamewarmtem2_2023</vt:lpstr>
      <vt:lpstr>Locatie3!Duurzamewarmtem2_2023</vt:lpstr>
      <vt:lpstr>Blanco!Duurzamewarmtem2_2024</vt:lpstr>
      <vt:lpstr>'cluster eigendom'!Duurzamewarmtem2_2024</vt:lpstr>
      <vt:lpstr>'cluster huur'!Duurzamewarmtem2_2024</vt:lpstr>
      <vt:lpstr>Locatie1!Duurzamewarmtem2_2024</vt:lpstr>
      <vt:lpstr>Locatie2!Duurzamewarmtem2_2024</vt:lpstr>
      <vt:lpstr>Locatie3!Duurzamewarmtem2_2024</vt:lpstr>
      <vt:lpstr>Blanco!Duurzamewarmtem2_2025</vt:lpstr>
      <vt:lpstr>'cluster eigendom'!Duurzamewarmtem2_2025</vt:lpstr>
      <vt:lpstr>'cluster huur'!Duurzamewarmtem2_2025</vt:lpstr>
      <vt:lpstr>Locatie1!Duurzamewarmtem2_2025</vt:lpstr>
      <vt:lpstr>Locatie2!Duurzamewarmtem2_2025</vt:lpstr>
      <vt:lpstr>Locatie3!Duurzamewarmtem2_2025</vt:lpstr>
      <vt:lpstr>Blanco!Duurzamewarmtem2_2026</vt:lpstr>
      <vt:lpstr>'cluster eigendom'!Duurzamewarmtem2_2026</vt:lpstr>
      <vt:lpstr>'cluster huur'!Duurzamewarmtem2_2026</vt:lpstr>
      <vt:lpstr>Locatie1!Duurzamewarmtem2_2026</vt:lpstr>
      <vt:lpstr>Locatie2!Duurzamewarmtem2_2026</vt:lpstr>
      <vt:lpstr>Locatie3!Duurzamewarmtem2_2026</vt:lpstr>
      <vt:lpstr>Blanco!Duurzamewarmtem2_2027</vt:lpstr>
      <vt:lpstr>'cluster eigendom'!Duurzamewarmtem2_2027</vt:lpstr>
      <vt:lpstr>'cluster huur'!Duurzamewarmtem2_2027</vt:lpstr>
      <vt:lpstr>Locatie1!Duurzamewarmtem2_2027</vt:lpstr>
      <vt:lpstr>Locatie2!Duurzamewarmtem2_2027</vt:lpstr>
      <vt:lpstr>Locatie3!Duurzamewarmtem2_2027</vt:lpstr>
      <vt:lpstr>Blanco!Duurzamewarmtem2_2028</vt:lpstr>
      <vt:lpstr>'cluster eigendom'!Duurzamewarmtem2_2028</vt:lpstr>
      <vt:lpstr>'cluster huur'!Duurzamewarmtem2_2028</vt:lpstr>
      <vt:lpstr>Locatie1!Duurzamewarmtem2_2028</vt:lpstr>
      <vt:lpstr>Locatie2!Duurzamewarmtem2_2028</vt:lpstr>
      <vt:lpstr>Locatie3!Duurzamewarmtem2_2028</vt:lpstr>
      <vt:lpstr>Blanco!Duurzamewarmtem2_2029</vt:lpstr>
      <vt:lpstr>'cluster eigendom'!Duurzamewarmtem2_2029</vt:lpstr>
      <vt:lpstr>'cluster huur'!Duurzamewarmtem2_2029</vt:lpstr>
      <vt:lpstr>Locatie1!Duurzamewarmtem2_2029</vt:lpstr>
      <vt:lpstr>Locatie2!Duurzamewarmtem2_2029</vt:lpstr>
      <vt:lpstr>Locatie3!Duurzamewarmtem2_2029</vt:lpstr>
      <vt:lpstr>Blanco!Duurzamewarmtem2_2030</vt:lpstr>
      <vt:lpstr>'cluster eigendom'!Duurzamewarmtem2_2030</vt:lpstr>
      <vt:lpstr>'cluster huur'!Duurzamewarmtem2_2030</vt:lpstr>
      <vt:lpstr>Locatie1!Duurzamewarmtem2_2030</vt:lpstr>
      <vt:lpstr>Locatie2!Duurzamewarmtem2_2030</vt:lpstr>
      <vt:lpstr>Locatie3!Duurzamewarmtem2_2030</vt:lpstr>
      <vt:lpstr>Blanco!Duurzamewarmtem2_2031</vt:lpstr>
      <vt:lpstr>'cluster eigendom'!Duurzamewarmtem2_2031</vt:lpstr>
      <vt:lpstr>'cluster huur'!Duurzamewarmtem2_2031</vt:lpstr>
      <vt:lpstr>Locatie1!Duurzamewarmtem2_2031</vt:lpstr>
      <vt:lpstr>Locatie2!Duurzamewarmtem2_2031</vt:lpstr>
      <vt:lpstr>Locatie3!Duurzamewarmtem2_2031</vt:lpstr>
      <vt:lpstr>Blanco!Duurzamewarmtem2_2032</vt:lpstr>
      <vt:lpstr>'cluster eigendom'!Duurzamewarmtem2_2032</vt:lpstr>
      <vt:lpstr>'cluster huur'!Duurzamewarmtem2_2032</vt:lpstr>
      <vt:lpstr>Locatie1!Duurzamewarmtem2_2032</vt:lpstr>
      <vt:lpstr>Locatie2!Duurzamewarmtem2_2032</vt:lpstr>
      <vt:lpstr>Locatie3!Duurzamewarmtem2_2032</vt:lpstr>
      <vt:lpstr>Blanco!Duurzamewarmtem2_2033</vt:lpstr>
      <vt:lpstr>'cluster eigendom'!Duurzamewarmtem2_2033</vt:lpstr>
      <vt:lpstr>'cluster huur'!Duurzamewarmtem2_2033</vt:lpstr>
      <vt:lpstr>Locatie1!Duurzamewarmtem2_2033</vt:lpstr>
      <vt:lpstr>Locatie2!Duurzamewarmtem2_2033</vt:lpstr>
      <vt:lpstr>Locatie3!Duurzamewarmtem2_2033</vt:lpstr>
      <vt:lpstr>Blanco!Duurzamewarmtem2_2034</vt:lpstr>
      <vt:lpstr>'cluster eigendom'!Duurzamewarmtem2_2034</vt:lpstr>
      <vt:lpstr>'cluster huur'!Duurzamewarmtem2_2034</vt:lpstr>
      <vt:lpstr>Locatie1!Duurzamewarmtem2_2034</vt:lpstr>
      <vt:lpstr>Locatie2!Duurzamewarmtem2_2034</vt:lpstr>
      <vt:lpstr>Locatie3!Duurzamewarmtem2_2034</vt:lpstr>
      <vt:lpstr>Blanco!Duurzamewarmtem2_2035</vt:lpstr>
      <vt:lpstr>'cluster eigendom'!Duurzamewarmtem2_2035</vt:lpstr>
      <vt:lpstr>'cluster huur'!Duurzamewarmtem2_2035</vt:lpstr>
      <vt:lpstr>Locatie1!Duurzamewarmtem2_2035</vt:lpstr>
      <vt:lpstr>Locatie2!Duurzamewarmtem2_2035</vt:lpstr>
      <vt:lpstr>Locatie3!Duurzamewarmtem2_2035</vt:lpstr>
      <vt:lpstr>Blanco!Duurzamewarmtem2_2036</vt:lpstr>
      <vt:lpstr>'cluster eigendom'!Duurzamewarmtem2_2036</vt:lpstr>
      <vt:lpstr>'cluster huur'!Duurzamewarmtem2_2036</vt:lpstr>
      <vt:lpstr>Locatie1!Duurzamewarmtem2_2036</vt:lpstr>
      <vt:lpstr>Locatie2!Duurzamewarmtem2_2036</vt:lpstr>
      <vt:lpstr>Locatie3!Duurzamewarmtem2_2036</vt:lpstr>
      <vt:lpstr>Blanco!Duurzamewarmtem2_2037</vt:lpstr>
      <vt:lpstr>'cluster eigendom'!Duurzamewarmtem2_2037</vt:lpstr>
      <vt:lpstr>'cluster huur'!Duurzamewarmtem2_2037</vt:lpstr>
      <vt:lpstr>Locatie1!Duurzamewarmtem2_2037</vt:lpstr>
      <vt:lpstr>Locatie2!Duurzamewarmtem2_2037</vt:lpstr>
      <vt:lpstr>Locatie3!Duurzamewarmtem2_2037</vt:lpstr>
      <vt:lpstr>Blanco!Duurzamewarmtem2_2038</vt:lpstr>
      <vt:lpstr>'cluster eigendom'!Duurzamewarmtem2_2038</vt:lpstr>
      <vt:lpstr>'cluster huur'!Duurzamewarmtem2_2038</vt:lpstr>
      <vt:lpstr>Locatie1!Duurzamewarmtem2_2038</vt:lpstr>
      <vt:lpstr>Locatie2!Duurzamewarmtem2_2038</vt:lpstr>
      <vt:lpstr>Locatie3!Duurzamewarmtem2_2038</vt:lpstr>
      <vt:lpstr>Blanco!Duurzamewarmtem2_2039</vt:lpstr>
      <vt:lpstr>'cluster eigendom'!Duurzamewarmtem2_2039</vt:lpstr>
      <vt:lpstr>'cluster huur'!Duurzamewarmtem2_2039</vt:lpstr>
      <vt:lpstr>Locatie1!Duurzamewarmtem2_2039</vt:lpstr>
      <vt:lpstr>Locatie2!Duurzamewarmtem2_2039</vt:lpstr>
      <vt:lpstr>Locatie3!Duurzamewarmtem2_2039</vt:lpstr>
      <vt:lpstr>Blanco!Duurzamewarmtem2_2040</vt:lpstr>
      <vt:lpstr>'cluster eigendom'!Duurzamewarmtem2_2040</vt:lpstr>
      <vt:lpstr>'cluster huur'!Duurzamewarmtem2_2040</vt:lpstr>
      <vt:lpstr>Locatie1!Duurzamewarmtem2_2040</vt:lpstr>
      <vt:lpstr>Locatie2!Duurzamewarmtem2_2040</vt:lpstr>
      <vt:lpstr>Locatie3!Duurzamewarmtem2_2040</vt:lpstr>
      <vt:lpstr>Blanco!Duurzamewarmtem2_2041</vt:lpstr>
      <vt:lpstr>'cluster eigendom'!Duurzamewarmtem2_2041</vt:lpstr>
      <vt:lpstr>'cluster huur'!Duurzamewarmtem2_2041</vt:lpstr>
      <vt:lpstr>Locatie1!Duurzamewarmtem2_2041</vt:lpstr>
      <vt:lpstr>Locatie2!Duurzamewarmtem2_2041</vt:lpstr>
      <vt:lpstr>Locatie3!Duurzamewarmtem2_2041</vt:lpstr>
      <vt:lpstr>Blanco!Duurzamewarmtem2_2042</vt:lpstr>
      <vt:lpstr>'cluster eigendom'!Duurzamewarmtem2_2042</vt:lpstr>
      <vt:lpstr>'cluster huur'!Duurzamewarmtem2_2042</vt:lpstr>
      <vt:lpstr>Locatie1!Duurzamewarmtem2_2042</vt:lpstr>
      <vt:lpstr>Locatie2!Duurzamewarmtem2_2042</vt:lpstr>
      <vt:lpstr>Locatie3!Duurzamewarmtem2_2042</vt:lpstr>
      <vt:lpstr>Blanco!Duurzamewarmtem2_2043</vt:lpstr>
      <vt:lpstr>'cluster eigendom'!Duurzamewarmtem2_2043</vt:lpstr>
      <vt:lpstr>'cluster huur'!Duurzamewarmtem2_2043</vt:lpstr>
      <vt:lpstr>Locatie1!Duurzamewarmtem2_2043</vt:lpstr>
      <vt:lpstr>Locatie2!Duurzamewarmtem2_2043</vt:lpstr>
      <vt:lpstr>Locatie3!Duurzamewarmtem2_2043</vt:lpstr>
      <vt:lpstr>Blanco!Duurzamewarmtem2_2044</vt:lpstr>
      <vt:lpstr>'cluster eigendom'!Duurzamewarmtem2_2044</vt:lpstr>
      <vt:lpstr>'cluster huur'!Duurzamewarmtem2_2044</vt:lpstr>
      <vt:lpstr>Locatie1!Duurzamewarmtem2_2044</vt:lpstr>
      <vt:lpstr>Locatie2!Duurzamewarmtem2_2044</vt:lpstr>
      <vt:lpstr>Locatie3!Duurzamewarmtem2_2044</vt:lpstr>
      <vt:lpstr>Blanco!Duurzamewarmtem2_2045</vt:lpstr>
      <vt:lpstr>'cluster eigendom'!Duurzamewarmtem2_2045</vt:lpstr>
      <vt:lpstr>'cluster huur'!Duurzamewarmtem2_2045</vt:lpstr>
      <vt:lpstr>Locatie1!Duurzamewarmtem2_2045</vt:lpstr>
      <vt:lpstr>Locatie2!Duurzamewarmtem2_2045</vt:lpstr>
      <vt:lpstr>Locatie3!Duurzamewarmtem2_2045</vt:lpstr>
      <vt:lpstr>Blanco!Duurzamewarmtem2_2046</vt:lpstr>
      <vt:lpstr>'cluster eigendom'!Duurzamewarmtem2_2046</vt:lpstr>
      <vt:lpstr>'cluster huur'!Duurzamewarmtem2_2046</vt:lpstr>
      <vt:lpstr>Locatie1!Duurzamewarmtem2_2046</vt:lpstr>
      <vt:lpstr>Locatie2!Duurzamewarmtem2_2046</vt:lpstr>
      <vt:lpstr>Locatie3!Duurzamewarmtem2_2046</vt:lpstr>
      <vt:lpstr>Blanco!Duurzamewarmtem2_2047</vt:lpstr>
      <vt:lpstr>'cluster eigendom'!Duurzamewarmtem2_2047</vt:lpstr>
      <vt:lpstr>'cluster huur'!Duurzamewarmtem2_2047</vt:lpstr>
      <vt:lpstr>Locatie1!Duurzamewarmtem2_2047</vt:lpstr>
      <vt:lpstr>Locatie2!Duurzamewarmtem2_2047</vt:lpstr>
      <vt:lpstr>Locatie3!Duurzamewarmtem2_2047</vt:lpstr>
      <vt:lpstr>Blanco!Duurzamewarmtem2_2048</vt:lpstr>
      <vt:lpstr>'cluster eigendom'!Duurzamewarmtem2_2048</vt:lpstr>
      <vt:lpstr>'cluster huur'!Duurzamewarmtem2_2048</vt:lpstr>
      <vt:lpstr>Locatie1!Duurzamewarmtem2_2048</vt:lpstr>
      <vt:lpstr>Locatie2!Duurzamewarmtem2_2048</vt:lpstr>
      <vt:lpstr>Locatie3!Duurzamewarmtem2_2048</vt:lpstr>
      <vt:lpstr>Blanco!Duurzamewarmtem2_2049</vt:lpstr>
      <vt:lpstr>'cluster eigendom'!Duurzamewarmtem2_2049</vt:lpstr>
      <vt:lpstr>'cluster huur'!Duurzamewarmtem2_2049</vt:lpstr>
      <vt:lpstr>Locatie1!Duurzamewarmtem2_2049</vt:lpstr>
      <vt:lpstr>Locatie2!Duurzamewarmtem2_2049</vt:lpstr>
      <vt:lpstr>Locatie3!Duurzamewarmtem2_2049</vt:lpstr>
      <vt:lpstr>Blanco!Duurzamewarmtem2_2050</vt:lpstr>
      <vt:lpstr>'cluster eigendom'!Duurzamewarmtem2_2050</vt:lpstr>
      <vt:lpstr>'cluster huur'!Duurzamewarmtem2_2050</vt:lpstr>
      <vt:lpstr>Locatie1!Duurzamewarmtem2_2050</vt:lpstr>
      <vt:lpstr>Locatie2!Duurzamewarmtem2_2050</vt:lpstr>
      <vt:lpstr>Locatie3!Duurzamewarmtem2_2050</vt:lpstr>
      <vt:lpstr>Elektriciteitsprijs</vt:lpstr>
      <vt:lpstr>Blanco!Elekverbruik_2018</vt:lpstr>
      <vt:lpstr>'cluster eigendom'!Elekverbruik_2018</vt:lpstr>
      <vt:lpstr>'cluster huur'!Elekverbruik_2018</vt:lpstr>
      <vt:lpstr>Locatie1!Elekverbruik_2018</vt:lpstr>
      <vt:lpstr>Locatie2!Elekverbruik_2018</vt:lpstr>
      <vt:lpstr>Locatie3!Elekverbruik_2018</vt:lpstr>
      <vt:lpstr>Blanco!Elekverbruik_2019</vt:lpstr>
      <vt:lpstr>'cluster eigendom'!Elekverbruik_2019</vt:lpstr>
      <vt:lpstr>'cluster huur'!Elekverbruik_2019</vt:lpstr>
      <vt:lpstr>Locatie1!Elekverbruik_2019</vt:lpstr>
      <vt:lpstr>Locatie2!Elekverbruik_2019</vt:lpstr>
      <vt:lpstr>Locatie3!Elekverbruik_2019</vt:lpstr>
      <vt:lpstr>Blanco!Elekverbruik_2020</vt:lpstr>
      <vt:lpstr>'cluster eigendom'!Elekverbruik_2020</vt:lpstr>
      <vt:lpstr>'cluster huur'!Elekverbruik_2020</vt:lpstr>
      <vt:lpstr>Locatie1!Elekverbruik_2020</vt:lpstr>
      <vt:lpstr>Locatie2!Elekverbruik_2020</vt:lpstr>
      <vt:lpstr>Locatie3!Elekverbruik_2020</vt:lpstr>
      <vt:lpstr>Blanco!Elekverbruik_2021</vt:lpstr>
      <vt:lpstr>'cluster eigendom'!Elekverbruik_2021</vt:lpstr>
      <vt:lpstr>'cluster huur'!Elekverbruik_2021</vt:lpstr>
      <vt:lpstr>Locatie1!Elekverbruik_2021</vt:lpstr>
      <vt:lpstr>Locatie2!Elekverbruik_2021</vt:lpstr>
      <vt:lpstr>Locatie3!Elekverbruik_2021</vt:lpstr>
      <vt:lpstr>Blanco!Elekverbruik_2022</vt:lpstr>
      <vt:lpstr>'cluster eigendom'!Elekverbruik_2022</vt:lpstr>
      <vt:lpstr>'cluster huur'!Elekverbruik_2022</vt:lpstr>
      <vt:lpstr>Locatie1!Elekverbruik_2022</vt:lpstr>
      <vt:lpstr>Locatie2!Elekverbruik_2022</vt:lpstr>
      <vt:lpstr>Locatie3!Elekverbruik_2022</vt:lpstr>
      <vt:lpstr>Blanco!Elekverbruik_2023</vt:lpstr>
      <vt:lpstr>'cluster eigendom'!Elekverbruik_2023</vt:lpstr>
      <vt:lpstr>'cluster huur'!Elekverbruik_2023</vt:lpstr>
      <vt:lpstr>Locatie1!Elekverbruik_2023</vt:lpstr>
      <vt:lpstr>Locatie2!Elekverbruik_2023</vt:lpstr>
      <vt:lpstr>Locatie3!Elekverbruik_2023</vt:lpstr>
      <vt:lpstr>Blanco!Elekverbruik_2024</vt:lpstr>
      <vt:lpstr>'cluster eigendom'!Elekverbruik_2024</vt:lpstr>
      <vt:lpstr>'cluster huur'!Elekverbruik_2024</vt:lpstr>
      <vt:lpstr>Locatie1!Elekverbruik_2024</vt:lpstr>
      <vt:lpstr>Locatie2!Elekverbruik_2024</vt:lpstr>
      <vt:lpstr>Locatie3!Elekverbruik_2024</vt:lpstr>
      <vt:lpstr>Blanco!Elekverbruik_2025</vt:lpstr>
      <vt:lpstr>'cluster eigendom'!Elekverbruik_2025</vt:lpstr>
      <vt:lpstr>'cluster huur'!Elekverbruik_2025</vt:lpstr>
      <vt:lpstr>Locatie1!Elekverbruik_2025</vt:lpstr>
      <vt:lpstr>Locatie2!Elekverbruik_2025</vt:lpstr>
      <vt:lpstr>Locatie3!Elekverbruik_2025</vt:lpstr>
      <vt:lpstr>Blanco!Elekverbruik_2026</vt:lpstr>
      <vt:lpstr>'cluster eigendom'!Elekverbruik_2026</vt:lpstr>
      <vt:lpstr>'cluster huur'!Elekverbruik_2026</vt:lpstr>
      <vt:lpstr>Locatie1!Elekverbruik_2026</vt:lpstr>
      <vt:lpstr>Locatie2!Elekverbruik_2026</vt:lpstr>
      <vt:lpstr>Locatie3!Elekverbruik_2026</vt:lpstr>
      <vt:lpstr>Blanco!Elekverbruik_2027</vt:lpstr>
      <vt:lpstr>'cluster eigendom'!Elekverbruik_2027</vt:lpstr>
      <vt:lpstr>'cluster huur'!Elekverbruik_2027</vt:lpstr>
      <vt:lpstr>Locatie1!Elekverbruik_2027</vt:lpstr>
      <vt:lpstr>Locatie2!Elekverbruik_2027</vt:lpstr>
      <vt:lpstr>Locatie3!Elekverbruik_2027</vt:lpstr>
      <vt:lpstr>Blanco!Elekverbruik_2028</vt:lpstr>
      <vt:lpstr>'cluster eigendom'!Elekverbruik_2028</vt:lpstr>
      <vt:lpstr>'cluster huur'!Elekverbruik_2028</vt:lpstr>
      <vt:lpstr>Locatie1!Elekverbruik_2028</vt:lpstr>
      <vt:lpstr>Locatie2!Elekverbruik_2028</vt:lpstr>
      <vt:lpstr>Locatie3!Elekverbruik_2028</vt:lpstr>
      <vt:lpstr>Blanco!Elekverbruik_2029</vt:lpstr>
      <vt:lpstr>'cluster eigendom'!Elekverbruik_2029</vt:lpstr>
      <vt:lpstr>'cluster huur'!Elekverbruik_2029</vt:lpstr>
      <vt:lpstr>Locatie1!Elekverbruik_2029</vt:lpstr>
      <vt:lpstr>Locatie2!Elekverbruik_2029</vt:lpstr>
      <vt:lpstr>Locatie3!Elekverbruik_2029</vt:lpstr>
      <vt:lpstr>Blanco!Elekverbruik_2030</vt:lpstr>
      <vt:lpstr>'cluster eigendom'!Elekverbruik_2030</vt:lpstr>
      <vt:lpstr>'cluster huur'!Elekverbruik_2030</vt:lpstr>
      <vt:lpstr>Locatie1!Elekverbruik_2030</vt:lpstr>
      <vt:lpstr>Locatie2!Elekverbruik_2030</vt:lpstr>
      <vt:lpstr>Locatie3!Elekverbruik_2030</vt:lpstr>
      <vt:lpstr>Blanco!Elekverbruik_2031</vt:lpstr>
      <vt:lpstr>'cluster eigendom'!Elekverbruik_2031</vt:lpstr>
      <vt:lpstr>'cluster huur'!Elekverbruik_2031</vt:lpstr>
      <vt:lpstr>Locatie1!Elekverbruik_2031</vt:lpstr>
      <vt:lpstr>Locatie2!Elekverbruik_2031</vt:lpstr>
      <vt:lpstr>Locatie3!Elekverbruik_2031</vt:lpstr>
      <vt:lpstr>Blanco!Elekverbruik_2032</vt:lpstr>
      <vt:lpstr>'cluster eigendom'!Elekverbruik_2032</vt:lpstr>
      <vt:lpstr>'cluster huur'!Elekverbruik_2032</vt:lpstr>
      <vt:lpstr>Locatie1!Elekverbruik_2032</vt:lpstr>
      <vt:lpstr>Locatie2!Elekverbruik_2032</vt:lpstr>
      <vt:lpstr>Locatie3!Elekverbruik_2032</vt:lpstr>
      <vt:lpstr>Blanco!Elekverbruik_2033</vt:lpstr>
      <vt:lpstr>'cluster eigendom'!Elekverbruik_2033</vt:lpstr>
      <vt:lpstr>'cluster huur'!Elekverbruik_2033</vt:lpstr>
      <vt:lpstr>Locatie1!Elekverbruik_2033</vt:lpstr>
      <vt:lpstr>Locatie2!Elekverbruik_2033</vt:lpstr>
      <vt:lpstr>Locatie3!Elekverbruik_2033</vt:lpstr>
      <vt:lpstr>Blanco!Elekverbruik_2034</vt:lpstr>
      <vt:lpstr>'cluster eigendom'!Elekverbruik_2034</vt:lpstr>
      <vt:lpstr>'cluster huur'!Elekverbruik_2034</vt:lpstr>
      <vt:lpstr>Locatie1!Elekverbruik_2034</vt:lpstr>
      <vt:lpstr>Locatie2!Elekverbruik_2034</vt:lpstr>
      <vt:lpstr>Locatie3!Elekverbruik_2034</vt:lpstr>
      <vt:lpstr>Blanco!Elekverbruik_2035</vt:lpstr>
      <vt:lpstr>'cluster eigendom'!Elekverbruik_2035</vt:lpstr>
      <vt:lpstr>'cluster huur'!Elekverbruik_2035</vt:lpstr>
      <vt:lpstr>Locatie1!Elekverbruik_2035</vt:lpstr>
      <vt:lpstr>Locatie2!Elekverbruik_2035</vt:lpstr>
      <vt:lpstr>Locatie3!Elekverbruik_2035</vt:lpstr>
      <vt:lpstr>Blanco!Elekverbruik_2036</vt:lpstr>
      <vt:lpstr>'cluster eigendom'!Elekverbruik_2036</vt:lpstr>
      <vt:lpstr>'cluster huur'!Elekverbruik_2036</vt:lpstr>
      <vt:lpstr>Locatie1!Elekverbruik_2036</vt:lpstr>
      <vt:lpstr>Locatie2!Elekverbruik_2036</vt:lpstr>
      <vt:lpstr>Locatie3!Elekverbruik_2036</vt:lpstr>
      <vt:lpstr>Blanco!Elekverbruik_2037</vt:lpstr>
      <vt:lpstr>'cluster eigendom'!Elekverbruik_2037</vt:lpstr>
      <vt:lpstr>'cluster huur'!Elekverbruik_2037</vt:lpstr>
      <vt:lpstr>Locatie1!Elekverbruik_2037</vt:lpstr>
      <vt:lpstr>Locatie2!Elekverbruik_2037</vt:lpstr>
      <vt:lpstr>Locatie3!Elekverbruik_2037</vt:lpstr>
      <vt:lpstr>Blanco!Elekverbruik_2038</vt:lpstr>
      <vt:lpstr>'cluster eigendom'!Elekverbruik_2038</vt:lpstr>
      <vt:lpstr>'cluster huur'!Elekverbruik_2038</vt:lpstr>
      <vt:lpstr>Locatie1!Elekverbruik_2038</vt:lpstr>
      <vt:lpstr>Locatie2!Elekverbruik_2038</vt:lpstr>
      <vt:lpstr>Locatie3!Elekverbruik_2038</vt:lpstr>
      <vt:lpstr>Blanco!Elekverbruik_2039</vt:lpstr>
      <vt:lpstr>'cluster eigendom'!Elekverbruik_2039</vt:lpstr>
      <vt:lpstr>'cluster huur'!Elekverbruik_2039</vt:lpstr>
      <vt:lpstr>Locatie1!Elekverbruik_2039</vt:lpstr>
      <vt:lpstr>Locatie2!Elekverbruik_2039</vt:lpstr>
      <vt:lpstr>Locatie3!Elekverbruik_2039</vt:lpstr>
      <vt:lpstr>Blanco!Elekverbruik_2040</vt:lpstr>
      <vt:lpstr>'cluster eigendom'!Elekverbruik_2040</vt:lpstr>
      <vt:lpstr>'cluster huur'!Elekverbruik_2040</vt:lpstr>
      <vt:lpstr>Locatie1!Elekverbruik_2040</vt:lpstr>
      <vt:lpstr>Locatie2!Elekverbruik_2040</vt:lpstr>
      <vt:lpstr>Locatie3!Elekverbruik_2040</vt:lpstr>
      <vt:lpstr>Blanco!Elekverbruik_2041</vt:lpstr>
      <vt:lpstr>'cluster eigendom'!Elekverbruik_2041</vt:lpstr>
      <vt:lpstr>'cluster huur'!Elekverbruik_2041</vt:lpstr>
      <vt:lpstr>Locatie1!Elekverbruik_2041</vt:lpstr>
      <vt:lpstr>Locatie2!Elekverbruik_2041</vt:lpstr>
      <vt:lpstr>Locatie3!Elekverbruik_2041</vt:lpstr>
      <vt:lpstr>Blanco!Elekverbruik_2042</vt:lpstr>
      <vt:lpstr>'cluster eigendom'!Elekverbruik_2042</vt:lpstr>
      <vt:lpstr>'cluster huur'!Elekverbruik_2042</vt:lpstr>
      <vt:lpstr>Locatie1!Elekverbruik_2042</vt:lpstr>
      <vt:lpstr>Locatie2!Elekverbruik_2042</vt:lpstr>
      <vt:lpstr>Locatie3!Elekverbruik_2042</vt:lpstr>
      <vt:lpstr>Blanco!Elekverbruik_2043</vt:lpstr>
      <vt:lpstr>'cluster eigendom'!Elekverbruik_2043</vt:lpstr>
      <vt:lpstr>'cluster huur'!Elekverbruik_2043</vt:lpstr>
      <vt:lpstr>Locatie1!Elekverbruik_2043</vt:lpstr>
      <vt:lpstr>Locatie2!Elekverbruik_2043</vt:lpstr>
      <vt:lpstr>Locatie3!Elekverbruik_2043</vt:lpstr>
      <vt:lpstr>Blanco!Elekverbruik_2044</vt:lpstr>
      <vt:lpstr>'cluster eigendom'!Elekverbruik_2044</vt:lpstr>
      <vt:lpstr>'cluster huur'!Elekverbruik_2044</vt:lpstr>
      <vt:lpstr>Locatie1!Elekverbruik_2044</vt:lpstr>
      <vt:lpstr>Locatie2!Elekverbruik_2044</vt:lpstr>
      <vt:lpstr>Locatie3!Elekverbruik_2044</vt:lpstr>
      <vt:lpstr>Blanco!Elekverbruik_2045</vt:lpstr>
      <vt:lpstr>'cluster eigendom'!Elekverbruik_2045</vt:lpstr>
      <vt:lpstr>'cluster huur'!Elekverbruik_2045</vt:lpstr>
      <vt:lpstr>Locatie1!Elekverbruik_2045</vt:lpstr>
      <vt:lpstr>Locatie2!Elekverbruik_2045</vt:lpstr>
      <vt:lpstr>Locatie3!Elekverbruik_2045</vt:lpstr>
      <vt:lpstr>Blanco!Elekverbruik_2046</vt:lpstr>
      <vt:lpstr>'cluster eigendom'!Elekverbruik_2046</vt:lpstr>
      <vt:lpstr>'cluster huur'!Elekverbruik_2046</vt:lpstr>
      <vt:lpstr>Locatie1!Elekverbruik_2046</vt:lpstr>
      <vt:lpstr>Locatie2!Elekverbruik_2046</vt:lpstr>
      <vt:lpstr>Locatie3!Elekverbruik_2046</vt:lpstr>
      <vt:lpstr>Blanco!Elekverbruik_2047</vt:lpstr>
      <vt:lpstr>'cluster eigendom'!Elekverbruik_2047</vt:lpstr>
      <vt:lpstr>'cluster huur'!Elekverbruik_2047</vt:lpstr>
      <vt:lpstr>Locatie1!Elekverbruik_2047</vt:lpstr>
      <vt:lpstr>Locatie2!Elekverbruik_2047</vt:lpstr>
      <vt:lpstr>Locatie3!Elekverbruik_2047</vt:lpstr>
      <vt:lpstr>Blanco!Elekverbruik_2048</vt:lpstr>
      <vt:lpstr>'cluster eigendom'!Elekverbruik_2048</vt:lpstr>
      <vt:lpstr>'cluster huur'!Elekverbruik_2048</vt:lpstr>
      <vt:lpstr>Locatie1!Elekverbruik_2048</vt:lpstr>
      <vt:lpstr>Locatie2!Elekverbruik_2048</vt:lpstr>
      <vt:lpstr>Locatie3!Elekverbruik_2048</vt:lpstr>
      <vt:lpstr>Blanco!Elekverbruik_2049</vt:lpstr>
      <vt:lpstr>'cluster eigendom'!Elekverbruik_2049</vt:lpstr>
      <vt:lpstr>'cluster huur'!Elekverbruik_2049</vt:lpstr>
      <vt:lpstr>Locatie1!Elekverbruik_2049</vt:lpstr>
      <vt:lpstr>Locatie2!Elekverbruik_2049</vt:lpstr>
      <vt:lpstr>Locatie3!Elekverbruik_2049</vt:lpstr>
      <vt:lpstr>Blanco!Elekverbruik_2050</vt:lpstr>
      <vt:lpstr>'cluster eigendom'!Elekverbruik_2050</vt:lpstr>
      <vt:lpstr>'cluster huur'!Elekverbruik_2050</vt:lpstr>
      <vt:lpstr>Locatie1!Elekverbruik_2050</vt:lpstr>
      <vt:lpstr>Locatie2!Elekverbruik_2050</vt:lpstr>
      <vt:lpstr>Locatie3!Elekverbruik_2050</vt:lpstr>
      <vt:lpstr>Blanco!Elekverbruikm2_2018</vt:lpstr>
      <vt:lpstr>'cluster eigendom'!Elekverbruikm2_2018</vt:lpstr>
      <vt:lpstr>'cluster huur'!Elekverbruikm2_2018</vt:lpstr>
      <vt:lpstr>Locatie1!Elekverbruikm2_2018</vt:lpstr>
      <vt:lpstr>Locatie2!Elekverbruikm2_2018</vt:lpstr>
      <vt:lpstr>Locatie3!Elekverbruikm2_2018</vt:lpstr>
      <vt:lpstr>Blanco!Elekverbruikm2_2019</vt:lpstr>
      <vt:lpstr>'cluster eigendom'!Elekverbruikm2_2019</vt:lpstr>
      <vt:lpstr>'cluster huur'!Elekverbruikm2_2019</vt:lpstr>
      <vt:lpstr>Locatie1!Elekverbruikm2_2019</vt:lpstr>
      <vt:lpstr>Locatie2!Elekverbruikm2_2019</vt:lpstr>
      <vt:lpstr>Locatie3!Elekverbruikm2_2019</vt:lpstr>
      <vt:lpstr>Blanco!Elekverbruikm2_2020</vt:lpstr>
      <vt:lpstr>'cluster eigendom'!Elekverbruikm2_2020</vt:lpstr>
      <vt:lpstr>'cluster huur'!Elekverbruikm2_2020</vt:lpstr>
      <vt:lpstr>Locatie1!Elekverbruikm2_2020</vt:lpstr>
      <vt:lpstr>Locatie2!Elekverbruikm2_2020</vt:lpstr>
      <vt:lpstr>Locatie3!Elekverbruikm2_2020</vt:lpstr>
      <vt:lpstr>Blanco!Elekverbruikm2_2021</vt:lpstr>
      <vt:lpstr>'cluster eigendom'!Elekverbruikm2_2021</vt:lpstr>
      <vt:lpstr>'cluster huur'!Elekverbruikm2_2021</vt:lpstr>
      <vt:lpstr>Locatie1!Elekverbruikm2_2021</vt:lpstr>
      <vt:lpstr>Locatie2!Elekverbruikm2_2021</vt:lpstr>
      <vt:lpstr>Locatie3!Elekverbruikm2_2021</vt:lpstr>
      <vt:lpstr>Blanco!Elekverbruikm2_2022</vt:lpstr>
      <vt:lpstr>'cluster eigendom'!Elekverbruikm2_2022</vt:lpstr>
      <vt:lpstr>'cluster huur'!Elekverbruikm2_2022</vt:lpstr>
      <vt:lpstr>Locatie1!Elekverbruikm2_2022</vt:lpstr>
      <vt:lpstr>Locatie2!Elekverbruikm2_2022</vt:lpstr>
      <vt:lpstr>Locatie3!Elekverbruikm2_2022</vt:lpstr>
      <vt:lpstr>Blanco!Elekverbruikm2_2023</vt:lpstr>
      <vt:lpstr>'cluster eigendom'!Elekverbruikm2_2023</vt:lpstr>
      <vt:lpstr>'cluster huur'!Elekverbruikm2_2023</vt:lpstr>
      <vt:lpstr>Locatie1!Elekverbruikm2_2023</vt:lpstr>
      <vt:lpstr>Locatie2!Elekverbruikm2_2023</vt:lpstr>
      <vt:lpstr>Locatie3!Elekverbruikm2_2023</vt:lpstr>
      <vt:lpstr>Blanco!Elekverbruikm2_2024</vt:lpstr>
      <vt:lpstr>'cluster eigendom'!Elekverbruikm2_2024</vt:lpstr>
      <vt:lpstr>'cluster huur'!Elekverbruikm2_2024</vt:lpstr>
      <vt:lpstr>Locatie1!Elekverbruikm2_2024</vt:lpstr>
      <vt:lpstr>Locatie2!Elekverbruikm2_2024</vt:lpstr>
      <vt:lpstr>Locatie3!Elekverbruikm2_2024</vt:lpstr>
      <vt:lpstr>Blanco!Elekverbruikm2_2025</vt:lpstr>
      <vt:lpstr>'cluster eigendom'!Elekverbruikm2_2025</vt:lpstr>
      <vt:lpstr>'cluster huur'!Elekverbruikm2_2025</vt:lpstr>
      <vt:lpstr>Locatie1!Elekverbruikm2_2025</vt:lpstr>
      <vt:lpstr>Locatie2!Elekverbruikm2_2025</vt:lpstr>
      <vt:lpstr>Locatie3!Elekverbruikm2_2025</vt:lpstr>
      <vt:lpstr>Blanco!Elekverbruikm2_2026</vt:lpstr>
      <vt:lpstr>'cluster eigendom'!Elekverbruikm2_2026</vt:lpstr>
      <vt:lpstr>'cluster huur'!Elekverbruikm2_2026</vt:lpstr>
      <vt:lpstr>Locatie1!Elekverbruikm2_2026</vt:lpstr>
      <vt:lpstr>Locatie2!Elekverbruikm2_2026</vt:lpstr>
      <vt:lpstr>Locatie3!Elekverbruikm2_2026</vt:lpstr>
      <vt:lpstr>Blanco!Elekverbruikm2_2027</vt:lpstr>
      <vt:lpstr>'cluster eigendom'!Elekverbruikm2_2027</vt:lpstr>
      <vt:lpstr>'cluster huur'!Elekverbruikm2_2027</vt:lpstr>
      <vt:lpstr>Locatie1!Elekverbruikm2_2027</vt:lpstr>
      <vt:lpstr>Locatie2!Elekverbruikm2_2027</vt:lpstr>
      <vt:lpstr>Locatie3!Elekverbruikm2_2027</vt:lpstr>
      <vt:lpstr>Blanco!Elekverbruikm2_2028</vt:lpstr>
      <vt:lpstr>'cluster eigendom'!Elekverbruikm2_2028</vt:lpstr>
      <vt:lpstr>'cluster huur'!Elekverbruikm2_2028</vt:lpstr>
      <vt:lpstr>Locatie1!Elekverbruikm2_2028</vt:lpstr>
      <vt:lpstr>Locatie2!Elekverbruikm2_2028</vt:lpstr>
      <vt:lpstr>Locatie3!Elekverbruikm2_2028</vt:lpstr>
      <vt:lpstr>Blanco!Elekverbruikm2_2029</vt:lpstr>
      <vt:lpstr>'cluster eigendom'!Elekverbruikm2_2029</vt:lpstr>
      <vt:lpstr>'cluster huur'!Elekverbruikm2_2029</vt:lpstr>
      <vt:lpstr>Locatie1!Elekverbruikm2_2029</vt:lpstr>
      <vt:lpstr>Locatie2!Elekverbruikm2_2029</vt:lpstr>
      <vt:lpstr>Locatie3!Elekverbruikm2_2029</vt:lpstr>
      <vt:lpstr>Blanco!Elekverbruikm2_2030</vt:lpstr>
      <vt:lpstr>'cluster eigendom'!Elekverbruikm2_2030</vt:lpstr>
      <vt:lpstr>'cluster huur'!Elekverbruikm2_2030</vt:lpstr>
      <vt:lpstr>Locatie1!Elekverbruikm2_2030</vt:lpstr>
      <vt:lpstr>Locatie2!Elekverbruikm2_2030</vt:lpstr>
      <vt:lpstr>Locatie3!Elekverbruikm2_2030</vt:lpstr>
      <vt:lpstr>Blanco!Elekverbruikm2_2031</vt:lpstr>
      <vt:lpstr>'cluster eigendom'!Elekverbruikm2_2031</vt:lpstr>
      <vt:lpstr>'cluster huur'!Elekverbruikm2_2031</vt:lpstr>
      <vt:lpstr>Locatie1!Elekverbruikm2_2031</vt:lpstr>
      <vt:lpstr>Locatie2!Elekverbruikm2_2031</vt:lpstr>
      <vt:lpstr>Locatie3!Elekverbruikm2_2031</vt:lpstr>
      <vt:lpstr>Blanco!Elekverbruikm2_2032</vt:lpstr>
      <vt:lpstr>'cluster eigendom'!Elekverbruikm2_2032</vt:lpstr>
      <vt:lpstr>'cluster huur'!Elekverbruikm2_2032</vt:lpstr>
      <vt:lpstr>Locatie1!Elekverbruikm2_2032</vt:lpstr>
      <vt:lpstr>Locatie2!Elekverbruikm2_2032</vt:lpstr>
      <vt:lpstr>Locatie3!Elekverbruikm2_2032</vt:lpstr>
      <vt:lpstr>Blanco!Elekverbruikm2_2033</vt:lpstr>
      <vt:lpstr>'cluster eigendom'!Elekverbruikm2_2033</vt:lpstr>
      <vt:lpstr>'cluster huur'!Elekverbruikm2_2033</vt:lpstr>
      <vt:lpstr>Locatie1!Elekverbruikm2_2033</vt:lpstr>
      <vt:lpstr>Locatie2!Elekverbruikm2_2033</vt:lpstr>
      <vt:lpstr>Locatie3!Elekverbruikm2_2033</vt:lpstr>
      <vt:lpstr>Blanco!Elekverbruikm2_2034</vt:lpstr>
      <vt:lpstr>'cluster eigendom'!Elekverbruikm2_2034</vt:lpstr>
      <vt:lpstr>'cluster huur'!Elekverbruikm2_2034</vt:lpstr>
      <vt:lpstr>Locatie1!Elekverbruikm2_2034</vt:lpstr>
      <vt:lpstr>Locatie2!Elekverbruikm2_2034</vt:lpstr>
      <vt:lpstr>Locatie3!Elekverbruikm2_2034</vt:lpstr>
      <vt:lpstr>Blanco!Elekverbruikm2_2035</vt:lpstr>
      <vt:lpstr>'cluster eigendom'!Elekverbruikm2_2035</vt:lpstr>
      <vt:lpstr>'cluster huur'!Elekverbruikm2_2035</vt:lpstr>
      <vt:lpstr>Locatie1!Elekverbruikm2_2035</vt:lpstr>
      <vt:lpstr>Locatie2!Elekverbruikm2_2035</vt:lpstr>
      <vt:lpstr>Locatie3!Elekverbruikm2_2035</vt:lpstr>
      <vt:lpstr>Blanco!Elekverbruikm2_2036</vt:lpstr>
      <vt:lpstr>'cluster eigendom'!Elekverbruikm2_2036</vt:lpstr>
      <vt:lpstr>'cluster huur'!Elekverbruikm2_2036</vt:lpstr>
      <vt:lpstr>Locatie1!Elekverbruikm2_2036</vt:lpstr>
      <vt:lpstr>Locatie2!Elekverbruikm2_2036</vt:lpstr>
      <vt:lpstr>Locatie3!Elekverbruikm2_2036</vt:lpstr>
      <vt:lpstr>Blanco!Elekverbruikm2_2037</vt:lpstr>
      <vt:lpstr>'cluster eigendom'!Elekverbruikm2_2037</vt:lpstr>
      <vt:lpstr>'cluster huur'!Elekverbruikm2_2037</vt:lpstr>
      <vt:lpstr>Locatie1!Elekverbruikm2_2037</vt:lpstr>
      <vt:lpstr>Locatie2!Elekverbruikm2_2037</vt:lpstr>
      <vt:lpstr>Locatie3!Elekverbruikm2_2037</vt:lpstr>
      <vt:lpstr>Blanco!Elekverbruikm2_2038</vt:lpstr>
      <vt:lpstr>'cluster eigendom'!Elekverbruikm2_2038</vt:lpstr>
      <vt:lpstr>'cluster huur'!Elekverbruikm2_2038</vt:lpstr>
      <vt:lpstr>Locatie1!Elekverbruikm2_2038</vt:lpstr>
      <vt:lpstr>Locatie2!Elekverbruikm2_2038</vt:lpstr>
      <vt:lpstr>Locatie3!Elekverbruikm2_2038</vt:lpstr>
      <vt:lpstr>Blanco!Elekverbruikm2_2039</vt:lpstr>
      <vt:lpstr>'cluster eigendom'!Elekverbruikm2_2039</vt:lpstr>
      <vt:lpstr>'cluster huur'!Elekverbruikm2_2039</vt:lpstr>
      <vt:lpstr>Locatie1!Elekverbruikm2_2039</vt:lpstr>
      <vt:lpstr>Locatie2!Elekverbruikm2_2039</vt:lpstr>
      <vt:lpstr>Locatie3!Elekverbruikm2_2039</vt:lpstr>
      <vt:lpstr>Blanco!Elekverbruikm2_2040</vt:lpstr>
      <vt:lpstr>'cluster eigendom'!Elekverbruikm2_2040</vt:lpstr>
      <vt:lpstr>'cluster huur'!Elekverbruikm2_2040</vt:lpstr>
      <vt:lpstr>Locatie1!Elekverbruikm2_2040</vt:lpstr>
      <vt:lpstr>Locatie2!Elekverbruikm2_2040</vt:lpstr>
      <vt:lpstr>Locatie3!Elekverbruikm2_2040</vt:lpstr>
      <vt:lpstr>Blanco!Elekverbruikm2_2041</vt:lpstr>
      <vt:lpstr>'cluster eigendom'!Elekverbruikm2_2041</vt:lpstr>
      <vt:lpstr>'cluster huur'!Elekverbruikm2_2041</vt:lpstr>
      <vt:lpstr>Locatie1!Elekverbruikm2_2041</vt:lpstr>
      <vt:lpstr>Locatie2!Elekverbruikm2_2041</vt:lpstr>
      <vt:lpstr>Locatie3!Elekverbruikm2_2041</vt:lpstr>
      <vt:lpstr>Blanco!Elekverbruikm2_2042</vt:lpstr>
      <vt:lpstr>'cluster eigendom'!Elekverbruikm2_2042</vt:lpstr>
      <vt:lpstr>'cluster huur'!Elekverbruikm2_2042</vt:lpstr>
      <vt:lpstr>Locatie1!Elekverbruikm2_2042</vt:lpstr>
      <vt:lpstr>Locatie2!Elekverbruikm2_2042</vt:lpstr>
      <vt:lpstr>Locatie3!Elekverbruikm2_2042</vt:lpstr>
      <vt:lpstr>Blanco!Elekverbruikm2_2043</vt:lpstr>
      <vt:lpstr>'cluster eigendom'!Elekverbruikm2_2043</vt:lpstr>
      <vt:lpstr>'cluster huur'!Elekverbruikm2_2043</vt:lpstr>
      <vt:lpstr>Locatie1!Elekverbruikm2_2043</vt:lpstr>
      <vt:lpstr>Locatie2!Elekverbruikm2_2043</vt:lpstr>
      <vt:lpstr>Locatie3!Elekverbruikm2_2043</vt:lpstr>
      <vt:lpstr>Blanco!Elekverbruikm2_2044</vt:lpstr>
      <vt:lpstr>'cluster eigendom'!Elekverbruikm2_2044</vt:lpstr>
      <vt:lpstr>'cluster huur'!Elekverbruikm2_2044</vt:lpstr>
      <vt:lpstr>Locatie1!Elekverbruikm2_2044</vt:lpstr>
      <vt:lpstr>Locatie2!Elekverbruikm2_2044</vt:lpstr>
      <vt:lpstr>Locatie3!Elekverbruikm2_2044</vt:lpstr>
      <vt:lpstr>Blanco!Elekverbruikm2_2045</vt:lpstr>
      <vt:lpstr>'cluster eigendom'!Elekverbruikm2_2045</vt:lpstr>
      <vt:lpstr>'cluster huur'!Elekverbruikm2_2045</vt:lpstr>
      <vt:lpstr>Locatie1!Elekverbruikm2_2045</vt:lpstr>
      <vt:lpstr>Locatie2!Elekverbruikm2_2045</vt:lpstr>
      <vt:lpstr>Locatie3!Elekverbruikm2_2045</vt:lpstr>
      <vt:lpstr>Blanco!Elekverbruikm2_2046</vt:lpstr>
      <vt:lpstr>'cluster eigendom'!Elekverbruikm2_2046</vt:lpstr>
      <vt:lpstr>'cluster huur'!Elekverbruikm2_2046</vt:lpstr>
      <vt:lpstr>Locatie1!Elekverbruikm2_2046</vt:lpstr>
      <vt:lpstr>Locatie2!Elekverbruikm2_2046</vt:lpstr>
      <vt:lpstr>Locatie3!Elekverbruikm2_2046</vt:lpstr>
      <vt:lpstr>Blanco!Elekverbruikm2_2047</vt:lpstr>
      <vt:lpstr>'cluster eigendom'!Elekverbruikm2_2047</vt:lpstr>
      <vt:lpstr>'cluster huur'!Elekverbruikm2_2047</vt:lpstr>
      <vt:lpstr>Locatie1!Elekverbruikm2_2047</vt:lpstr>
      <vt:lpstr>Locatie2!Elekverbruikm2_2047</vt:lpstr>
      <vt:lpstr>Locatie3!Elekverbruikm2_2047</vt:lpstr>
      <vt:lpstr>Blanco!Elekverbruikm2_2048</vt:lpstr>
      <vt:lpstr>'cluster eigendom'!Elekverbruikm2_2048</vt:lpstr>
      <vt:lpstr>'cluster huur'!Elekverbruikm2_2048</vt:lpstr>
      <vt:lpstr>Locatie1!Elekverbruikm2_2048</vt:lpstr>
      <vt:lpstr>Locatie2!Elekverbruikm2_2048</vt:lpstr>
      <vt:lpstr>Locatie3!Elekverbruikm2_2048</vt:lpstr>
      <vt:lpstr>Blanco!Elekverbruikm2_2049</vt:lpstr>
      <vt:lpstr>'cluster eigendom'!Elekverbruikm2_2049</vt:lpstr>
      <vt:lpstr>'cluster huur'!Elekverbruikm2_2049</vt:lpstr>
      <vt:lpstr>Locatie1!Elekverbruikm2_2049</vt:lpstr>
      <vt:lpstr>Locatie2!Elekverbruikm2_2049</vt:lpstr>
      <vt:lpstr>Locatie3!Elekverbruikm2_2049</vt:lpstr>
      <vt:lpstr>Blanco!Elekverbruikm2_2050</vt:lpstr>
      <vt:lpstr>'cluster eigendom'!Elekverbruikm2_2050</vt:lpstr>
      <vt:lpstr>'cluster huur'!Elekverbruikm2_2050</vt:lpstr>
      <vt:lpstr>Locatie1!Elekverbruikm2_2050</vt:lpstr>
      <vt:lpstr>Locatie2!Elekverbruikm2_2050</vt:lpstr>
      <vt:lpstr>Locatie3!Elekverbruikm2_2050</vt:lpstr>
      <vt:lpstr>Blanco!Energieverbruikm2_2050</vt:lpstr>
      <vt:lpstr>'cluster eigendom'!Energieverbruikm2_2050</vt:lpstr>
      <vt:lpstr>'cluster huur'!Energieverbruikm2_2050</vt:lpstr>
      <vt:lpstr>Locatie1!Energieverbruikm2_2050</vt:lpstr>
      <vt:lpstr>Locatie2!Energieverbruikm2_2050</vt:lpstr>
      <vt:lpstr>Locatie3!Energieverbruikm2_2050</vt:lpstr>
      <vt:lpstr>Blanco!GO_2018</vt:lpstr>
      <vt:lpstr>'cluster eigendom'!GO_2018</vt:lpstr>
      <vt:lpstr>'cluster huur'!GO_2018</vt:lpstr>
      <vt:lpstr>Locatie1!GO_2018</vt:lpstr>
      <vt:lpstr>Locatie2!GO_2018</vt:lpstr>
      <vt:lpstr>Locatie3!GO_2018</vt:lpstr>
      <vt:lpstr>Blanco!GO_2019</vt:lpstr>
      <vt:lpstr>'cluster eigendom'!GO_2019</vt:lpstr>
      <vt:lpstr>'cluster huur'!GO_2019</vt:lpstr>
      <vt:lpstr>Locatie1!GO_2019</vt:lpstr>
      <vt:lpstr>Locatie2!GO_2019</vt:lpstr>
      <vt:lpstr>Locatie3!GO_2019</vt:lpstr>
      <vt:lpstr>Blanco!GO_2020</vt:lpstr>
      <vt:lpstr>'cluster eigendom'!GO_2020</vt:lpstr>
      <vt:lpstr>'cluster huur'!GO_2020</vt:lpstr>
      <vt:lpstr>Locatie1!GO_2020</vt:lpstr>
      <vt:lpstr>Locatie2!GO_2020</vt:lpstr>
      <vt:lpstr>Locatie3!GO_2020</vt:lpstr>
      <vt:lpstr>Blanco!GO_2021</vt:lpstr>
      <vt:lpstr>'cluster eigendom'!GO_2021</vt:lpstr>
      <vt:lpstr>'cluster huur'!GO_2021</vt:lpstr>
      <vt:lpstr>Locatie1!GO_2021</vt:lpstr>
      <vt:lpstr>Locatie2!GO_2021</vt:lpstr>
      <vt:lpstr>Locatie3!GO_2021</vt:lpstr>
      <vt:lpstr>Blanco!GO_2022</vt:lpstr>
      <vt:lpstr>'cluster eigendom'!GO_2022</vt:lpstr>
      <vt:lpstr>'cluster huur'!GO_2022</vt:lpstr>
      <vt:lpstr>Locatie1!GO_2022</vt:lpstr>
      <vt:lpstr>Locatie2!GO_2022</vt:lpstr>
      <vt:lpstr>Locatie3!GO_2022</vt:lpstr>
      <vt:lpstr>Blanco!GO_2023</vt:lpstr>
      <vt:lpstr>'cluster eigendom'!GO_2023</vt:lpstr>
      <vt:lpstr>'cluster huur'!GO_2023</vt:lpstr>
      <vt:lpstr>Locatie1!GO_2023</vt:lpstr>
      <vt:lpstr>Locatie2!GO_2023</vt:lpstr>
      <vt:lpstr>Locatie3!GO_2023</vt:lpstr>
      <vt:lpstr>Blanco!GO_2024</vt:lpstr>
      <vt:lpstr>'cluster eigendom'!GO_2024</vt:lpstr>
      <vt:lpstr>'cluster huur'!GO_2024</vt:lpstr>
      <vt:lpstr>Locatie1!GO_2024</vt:lpstr>
      <vt:lpstr>Locatie2!GO_2024</vt:lpstr>
      <vt:lpstr>Locatie3!GO_2024</vt:lpstr>
      <vt:lpstr>Blanco!GO_2025</vt:lpstr>
      <vt:lpstr>'cluster eigendom'!GO_2025</vt:lpstr>
      <vt:lpstr>'cluster huur'!GO_2025</vt:lpstr>
      <vt:lpstr>Locatie1!GO_2025</vt:lpstr>
      <vt:lpstr>Locatie2!GO_2025</vt:lpstr>
      <vt:lpstr>Locatie3!GO_2025</vt:lpstr>
      <vt:lpstr>Blanco!GO_2026</vt:lpstr>
      <vt:lpstr>'cluster eigendom'!GO_2026</vt:lpstr>
      <vt:lpstr>'cluster huur'!GO_2026</vt:lpstr>
      <vt:lpstr>Locatie1!GO_2026</vt:lpstr>
      <vt:lpstr>Locatie2!GO_2026</vt:lpstr>
      <vt:lpstr>Locatie3!GO_2026</vt:lpstr>
      <vt:lpstr>Blanco!GO_2027</vt:lpstr>
      <vt:lpstr>'cluster eigendom'!GO_2027</vt:lpstr>
      <vt:lpstr>'cluster huur'!GO_2027</vt:lpstr>
      <vt:lpstr>Locatie1!GO_2027</vt:lpstr>
      <vt:lpstr>Locatie2!GO_2027</vt:lpstr>
      <vt:lpstr>Locatie3!GO_2027</vt:lpstr>
      <vt:lpstr>Blanco!GO_2028</vt:lpstr>
      <vt:lpstr>'cluster eigendom'!GO_2028</vt:lpstr>
      <vt:lpstr>'cluster huur'!GO_2028</vt:lpstr>
      <vt:lpstr>Locatie1!GO_2028</vt:lpstr>
      <vt:lpstr>Locatie2!GO_2028</vt:lpstr>
      <vt:lpstr>Locatie3!GO_2028</vt:lpstr>
      <vt:lpstr>Blanco!GO_2029</vt:lpstr>
      <vt:lpstr>'cluster eigendom'!GO_2029</vt:lpstr>
      <vt:lpstr>'cluster huur'!GO_2029</vt:lpstr>
      <vt:lpstr>Locatie1!GO_2029</vt:lpstr>
      <vt:lpstr>Locatie2!GO_2029</vt:lpstr>
      <vt:lpstr>Locatie3!GO_2029</vt:lpstr>
      <vt:lpstr>Blanco!GO_2030</vt:lpstr>
      <vt:lpstr>'cluster eigendom'!GO_2030</vt:lpstr>
      <vt:lpstr>'cluster huur'!GO_2030</vt:lpstr>
      <vt:lpstr>Locatie1!GO_2030</vt:lpstr>
      <vt:lpstr>Locatie2!GO_2030</vt:lpstr>
      <vt:lpstr>Locatie3!GO_2030</vt:lpstr>
      <vt:lpstr>Blanco!GO_2031</vt:lpstr>
      <vt:lpstr>'cluster eigendom'!GO_2031</vt:lpstr>
      <vt:lpstr>'cluster huur'!GO_2031</vt:lpstr>
      <vt:lpstr>Locatie1!GO_2031</vt:lpstr>
      <vt:lpstr>Locatie2!GO_2031</vt:lpstr>
      <vt:lpstr>Locatie3!GO_2031</vt:lpstr>
      <vt:lpstr>Blanco!GO_2032</vt:lpstr>
      <vt:lpstr>'cluster eigendom'!GO_2032</vt:lpstr>
      <vt:lpstr>'cluster huur'!GO_2032</vt:lpstr>
      <vt:lpstr>Locatie1!GO_2032</vt:lpstr>
      <vt:lpstr>Locatie2!GO_2032</vt:lpstr>
      <vt:lpstr>Locatie3!GO_2032</vt:lpstr>
      <vt:lpstr>Blanco!GO_2033</vt:lpstr>
      <vt:lpstr>'cluster eigendom'!GO_2033</vt:lpstr>
      <vt:lpstr>'cluster huur'!GO_2033</vt:lpstr>
      <vt:lpstr>Locatie1!GO_2033</vt:lpstr>
      <vt:lpstr>Locatie2!GO_2033</vt:lpstr>
      <vt:lpstr>Locatie3!GO_2033</vt:lpstr>
      <vt:lpstr>Blanco!GO_2034</vt:lpstr>
      <vt:lpstr>'cluster eigendom'!GO_2034</vt:lpstr>
      <vt:lpstr>'cluster huur'!GO_2034</vt:lpstr>
      <vt:lpstr>Locatie1!GO_2034</vt:lpstr>
      <vt:lpstr>Locatie2!GO_2034</vt:lpstr>
      <vt:lpstr>Locatie3!GO_2034</vt:lpstr>
      <vt:lpstr>Blanco!GO_2035</vt:lpstr>
      <vt:lpstr>'cluster eigendom'!GO_2035</vt:lpstr>
      <vt:lpstr>'cluster huur'!GO_2035</vt:lpstr>
      <vt:lpstr>Locatie1!GO_2035</vt:lpstr>
      <vt:lpstr>Locatie2!GO_2035</vt:lpstr>
      <vt:lpstr>Locatie3!GO_2035</vt:lpstr>
      <vt:lpstr>Blanco!GO_2036</vt:lpstr>
      <vt:lpstr>'cluster eigendom'!GO_2036</vt:lpstr>
      <vt:lpstr>'cluster huur'!GO_2036</vt:lpstr>
      <vt:lpstr>Locatie1!GO_2036</vt:lpstr>
      <vt:lpstr>Locatie2!GO_2036</vt:lpstr>
      <vt:lpstr>Locatie3!GO_2036</vt:lpstr>
      <vt:lpstr>Blanco!GO_2037</vt:lpstr>
      <vt:lpstr>'cluster eigendom'!GO_2037</vt:lpstr>
      <vt:lpstr>'cluster huur'!GO_2037</vt:lpstr>
      <vt:lpstr>Locatie1!GO_2037</vt:lpstr>
      <vt:lpstr>Locatie2!GO_2037</vt:lpstr>
      <vt:lpstr>Locatie3!GO_2037</vt:lpstr>
      <vt:lpstr>Blanco!GO_2038</vt:lpstr>
      <vt:lpstr>'cluster eigendom'!GO_2038</vt:lpstr>
      <vt:lpstr>'cluster huur'!GO_2038</vt:lpstr>
      <vt:lpstr>Locatie1!GO_2038</vt:lpstr>
      <vt:lpstr>Locatie2!GO_2038</vt:lpstr>
      <vt:lpstr>Locatie3!GO_2038</vt:lpstr>
      <vt:lpstr>Blanco!GO_2039</vt:lpstr>
      <vt:lpstr>'cluster eigendom'!GO_2039</vt:lpstr>
      <vt:lpstr>'cluster huur'!GO_2039</vt:lpstr>
      <vt:lpstr>Locatie1!GO_2039</vt:lpstr>
      <vt:lpstr>Locatie2!GO_2039</vt:lpstr>
      <vt:lpstr>Locatie3!GO_2039</vt:lpstr>
      <vt:lpstr>Blanco!GO_2040</vt:lpstr>
      <vt:lpstr>'cluster eigendom'!GO_2040</vt:lpstr>
      <vt:lpstr>'cluster huur'!GO_2040</vt:lpstr>
      <vt:lpstr>Locatie1!GO_2040</vt:lpstr>
      <vt:lpstr>Locatie2!GO_2040</vt:lpstr>
      <vt:lpstr>Locatie3!GO_2040</vt:lpstr>
      <vt:lpstr>Blanco!GO_2041</vt:lpstr>
      <vt:lpstr>'cluster eigendom'!GO_2041</vt:lpstr>
      <vt:lpstr>'cluster huur'!GO_2041</vt:lpstr>
      <vt:lpstr>Locatie1!GO_2041</vt:lpstr>
      <vt:lpstr>Locatie2!GO_2041</vt:lpstr>
      <vt:lpstr>Locatie3!GO_2041</vt:lpstr>
      <vt:lpstr>Blanco!GO_2042</vt:lpstr>
      <vt:lpstr>'cluster eigendom'!GO_2042</vt:lpstr>
      <vt:lpstr>'cluster huur'!GO_2042</vt:lpstr>
      <vt:lpstr>Locatie1!GO_2042</vt:lpstr>
      <vt:lpstr>Locatie2!GO_2042</vt:lpstr>
      <vt:lpstr>Locatie3!GO_2042</vt:lpstr>
      <vt:lpstr>Blanco!GO_2043</vt:lpstr>
      <vt:lpstr>'cluster eigendom'!GO_2043</vt:lpstr>
      <vt:lpstr>'cluster huur'!GO_2043</vt:lpstr>
      <vt:lpstr>Locatie1!GO_2043</vt:lpstr>
      <vt:lpstr>Locatie2!GO_2043</vt:lpstr>
      <vt:lpstr>Locatie3!GO_2043</vt:lpstr>
      <vt:lpstr>Blanco!GO_2044</vt:lpstr>
      <vt:lpstr>'cluster eigendom'!GO_2044</vt:lpstr>
      <vt:lpstr>'cluster huur'!GO_2044</vt:lpstr>
      <vt:lpstr>Locatie1!GO_2044</vt:lpstr>
      <vt:lpstr>Locatie2!GO_2044</vt:lpstr>
      <vt:lpstr>Locatie3!GO_2044</vt:lpstr>
      <vt:lpstr>Blanco!GO_2045</vt:lpstr>
      <vt:lpstr>'cluster eigendom'!GO_2045</vt:lpstr>
      <vt:lpstr>'cluster huur'!GO_2045</vt:lpstr>
      <vt:lpstr>Locatie1!GO_2045</vt:lpstr>
      <vt:lpstr>Locatie2!GO_2045</vt:lpstr>
      <vt:lpstr>Locatie3!GO_2045</vt:lpstr>
      <vt:lpstr>Blanco!GO_2046</vt:lpstr>
      <vt:lpstr>'cluster eigendom'!GO_2046</vt:lpstr>
      <vt:lpstr>'cluster huur'!GO_2046</vt:lpstr>
      <vt:lpstr>Locatie1!GO_2046</vt:lpstr>
      <vt:lpstr>Locatie2!GO_2046</vt:lpstr>
      <vt:lpstr>Locatie3!GO_2046</vt:lpstr>
      <vt:lpstr>Blanco!GO_2047</vt:lpstr>
      <vt:lpstr>'cluster eigendom'!GO_2047</vt:lpstr>
      <vt:lpstr>'cluster huur'!GO_2047</vt:lpstr>
      <vt:lpstr>Locatie1!GO_2047</vt:lpstr>
      <vt:lpstr>Locatie2!GO_2047</vt:lpstr>
      <vt:lpstr>Locatie3!GO_2047</vt:lpstr>
      <vt:lpstr>Blanco!GO_2048</vt:lpstr>
      <vt:lpstr>'cluster eigendom'!GO_2048</vt:lpstr>
      <vt:lpstr>'cluster huur'!GO_2048</vt:lpstr>
      <vt:lpstr>Locatie1!GO_2048</vt:lpstr>
      <vt:lpstr>Locatie2!GO_2048</vt:lpstr>
      <vt:lpstr>Locatie3!GO_2048</vt:lpstr>
      <vt:lpstr>Blanco!GO_2049</vt:lpstr>
      <vt:lpstr>'cluster eigendom'!GO_2049</vt:lpstr>
      <vt:lpstr>'cluster huur'!GO_2049</vt:lpstr>
      <vt:lpstr>Locatie1!GO_2049</vt:lpstr>
      <vt:lpstr>Locatie2!GO_2049</vt:lpstr>
      <vt:lpstr>Locatie3!GO_2049</vt:lpstr>
      <vt:lpstr>Blanco!GO_2050</vt:lpstr>
      <vt:lpstr>'cluster eigendom'!GO_2050</vt:lpstr>
      <vt:lpstr>'cluster huur'!GO_2050</vt:lpstr>
      <vt:lpstr>Locatie1!GO_2050</vt:lpstr>
      <vt:lpstr>Locatie2!GO_2050</vt:lpstr>
      <vt:lpstr>Locatie3!GO_2050</vt:lpstr>
      <vt:lpstr>Blanco!invest_2018</vt:lpstr>
      <vt:lpstr>'cluster eigendom'!invest_2018</vt:lpstr>
      <vt:lpstr>'cluster huur'!invest_2018</vt:lpstr>
      <vt:lpstr>Locatie1!invest_2018</vt:lpstr>
      <vt:lpstr>Locatie2!invest_2018</vt:lpstr>
      <vt:lpstr>Locatie3!invest_2018</vt:lpstr>
      <vt:lpstr>Blanco!invest_2019</vt:lpstr>
      <vt:lpstr>'cluster eigendom'!invest_2019</vt:lpstr>
      <vt:lpstr>'cluster huur'!invest_2019</vt:lpstr>
      <vt:lpstr>Locatie1!invest_2019</vt:lpstr>
      <vt:lpstr>Locatie2!invest_2019</vt:lpstr>
      <vt:lpstr>Locatie3!invest_2019</vt:lpstr>
      <vt:lpstr>Blanco!invest_2020</vt:lpstr>
      <vt:lpstr>'cluster eigendom'!invest_2020</vt:lpstr>
      <vt:lpstr>'cluster huur'!invest_2020</vt:lpstr>
      <vt:lpstr>Locatie1!invest_2020</vt:lpstr>
      <vt:lpstr>Locatie2!invest_2020</vt:lpstr>
      <vt:lpstr>Locatie3!invest_2020</vt:lpstr>
      <vt:lpstr>Blanco!invest_2021</vt:lpstr>
      <vt:lpstr>'cluster eigendom'!invest_2021</vt:lpstr>
      <vt:lpstr>'cluster huur'!invest_2021</vt:lpstr>
      <vt:lpstr>Locatie1!invest_2021</vt:lpstr>
      <vt:lpstr>Locatie2!invest_2021</vt:lpstr>
      <vt:lpstr>Locatie3!invest_2021</vt:lpstr>
      <vt:lpstr>Blanco!invest_2022</vt:lpstr>
      <vt:lpstr>'cluster eigendom'!invest_2022</vt:lpstr>
      <vt:lpstr>'cluster huur'!invest_2022</vt:lpstr>
      <vt:lpstr>Locatie1!invest_2022</vt:lpstr>
      <vt:lpstr>Locatie2!invest_2022</vt:lpstr>
      <vt:lpstr>Locatie3!invest_2022</vt:lpstr>
      <vt:lpstr>Blanco!invest_2023</vt:lpstr>
      <vt:lpstr>'cluster eigendom'!invest_2023</vt:lpstr>
      <vt:lpstr>'cluster huur'!invest_2023</vt:lpstr>
      <vt:lpstr>Locatie1!invest_2023</vt:lpstr>
      <vt:lpstr>Locatie2!invest_2023</vt:lpstr>
      <vt:lpstr>Locatie3!invest_2023</vt:lpstr>
      <vt:lpstr>Blanco!invest_2024</vt:lpstr>
      <vt:lpstr>'cluster eigendom'!invest_2024</vt:lpstr>
      <vt:lpstr>'cluster huur'!invest_2024</vt:lpstr>
      <vt:lpstr>Locatie1!invest_2024</vt:lpstr>
      <vt:lpstr>Locatie2!invest_2024</vt:lpstr>
      <vt:lpstr>Locatie3!invest_2024</vt:lpstr>
      <vt:lpstr>Blanco!invest_2025</vt:lpstr>
      <vt:lpstr>'cluster eigendom'!invest_2025</vt:lpstr>
      <vt:lpstr>'cluster huur'!invest_2025</vt:lpstr>
      <vt:lpstr>Locatie1!invest_2025</vt:lpstr>
      <vt:lpstr>Locatie2!invest_2025</vt:lpstr>
      <vt:lpstr>Locatie3!invest_2025</vt:lpstr>
      <vt:lpstr>Blanco!invest_2026</vt:lpstr>
      <vt:lpstr>'cluster eigendom'!invest_2026</vt:lpstr>
      <vt:lpstr>'cluster huur'!invest_2026</vt:lpstr>
      <vt:lpstr>Locatie1!invest_2026</vt:lpstr>
      <vt:lpstr>Locatie2!invest_2026</vt:lpstr>
      <vt:lpstr>Locatie3!invest_2026</vt:lpstr>
      <vt:lpstr>Blanco!invest_2027</vt:lpstr>
      <vt:lpstr>'cluster eigendom'!invest_2027</vt:lpstr>
      <vt:lpstr>'cluster huur'!invest_2027</vt:lpstr>
      <vt:lpstr>Locatie1!invest_2027</vt:lpstr>
      <vt:lpstr>Locatie2!invest_2027</vt:lpstr>
      <vt:lpstr>Locatie3!invest_2027</vt:lpstr>
      <vt:lpstr>Blanco!invest_2028</vt:lpstr>
      <vt:lpstr>'cluster eigendom'!invest_2028</vt:lpstr>
      <vt:lpstr>'cluster huur'!invest_2028</vt:lpstr>
      <vt:lpstr>Locatie1!invest_2028</vt:lpstr>
      <vt:lpstr>Locatie2!invest_2028</vt:lpstr>
      <vt:lpstr>Locatie3!invest_2028</vt:lpstr>
      <vt:lpstr>Blanco!invest_2029</vt:lpstr>
      <vt:lpstr>'cluster eigendom'!invest_2029</vt:lpstr>
      <vt:lpstr>'cluster huur'!invest_2029</vt:lpstr>
      <vt:lpstr>Locatie1!invest_2029</vt:lpstr>
      <vt:lpstr>Locatie2!invest_2029</vt:lpstr>
      <vt:lpstr>Locatie3!invest_2029</vt:lpstr>
      <vt:lpstr>Blanco!invest_2030</vt:lpstr>
      <vt:lpstr>'cluster eigendom'!invest_2030</vt:lpstr>
      <vt:lpstr>'cluster huur'!invest_2030</vt:lpstr>
      <vt:lpstr>Locatie1!invest_2030</vt:lpstr>
      <vt:lpstr>Locatie2!invest_2030</vt:lpstr>
      <vt:lpstr>Locatie3!invest_2030</vt:lpstr>
      <vt:lpstr>Blanco!invest_2031</vt:lpstr>
      <vt:lpstr>'cluster eigendom'!invest_2031</vt:lpstr>
      <vt:lpstr>'cluster huur'!invest_2031</vt:lpstr>
      <vt:lpstr>Locatie1!invest_2031</vt:lpstr>
      <vt:lpstr>Locatie2!invest_2031</vt:lpstr>
      <vt:lpstr>Locatie3!invest_2031</vt:lpstr>
      <vt:lpstr>Blanco!invest_2032</vt:lpstr>
      <vt:lpstr>'cluster eigendom'!invest_2032</vt:lpstr>
      <vt:lpstr>'cluster huur'!invest_2032</vt:lpstr>
      <vt:lpstr>Locatie1!invest_2032</vt:lpstr>
      <vt:lpstr>Locatie2!invest_2032</vt:lpstr>
      <vt:lpstr>Locatie3!invest_2032</vt:lpstr>
      <vt:lpstr>Blanco!invest_2033</vt:lpstr>
      <vt:lpstr>'cluster eigendom'!invest_2033</vt:lpstr>
      <vt:lpstr>'cluster huur'!invest_2033</vt:lpstr>
      <vt:lpstr>Locatie1!invest_2033</vt:lpstr>
      <vt:lpstr>Locatie2!invest_2033</vt:lpstr>
      <vt:lpstr>Locatie3!invest_2033</vt:lpstr>
      <vt:lpstr>Blanco!invest_2034</vt:lpstr>
      <vt:lpstr>'cluster eigendom'!invest_2034</vt:lpstr>
      <vt:lpstr>'cluster huur'!invest_2034</vt:lpstr>
      <vt:lpstr>Locatie1!invest_2034</vt:lpstr>
      <vt:lpstr>Locatie2!invest_2034</vt:lpstr>
      <vt:lpstr>Locatie3!invest_2034</vt:lpstr>
      <vt:lpstr>Blanco!invest_2035</vt:lpstr>
      <vt:lpstr>'cluster eigendom'!invest_2035</vt:lpstr>
      <vt:lpstr>'cluster huur'!invest_2035</vt:lpstr>
      <vt:lpstr>Locatie1!invest_2035</vt:lpstr>
      <vt:lpstr>Locatie2!invest_2035</vt:lpstr>
      <vt:lpstr>Locatie3!invest_2035</vt:lpstr>
      <vt:lpstr>Blanco!invest_2036</vt:lpstr>
      <vt:lpstr>'cluster eigendom'!invest_2036</vt:lpstr>
      <vt:lpstr>'cluster huur'!invest_2036</vt:lpstr>
      <vt:lpstr>Locatie1!invest_2036</vt:lpstr>
      <vt:lpstr>Locatie2!invest_2036</vt:lpstr>
      <vt:lpstr>Locatie3!invest_2036</vt:lpstr>
      <vt:lpstr>Blanco!invest_2037</vt:lpstr>
      <vt:lpstr>'cluster eigendom'!invest_2037</vt:lpstr>
      <vt:lpstr>'cluster huur'!invest_2037</vt:lpstr>
      <vt:lpstr>Locatie1!invest_2037</vt:lpstr>
      <vt:lpstr>Locatie2!invest_2037</vt:lpstr>
      <vt:lpstr>Locatie3!invest_2037</vt:lpstr>
      <vt:lpstr>Blanco!invest_2038</vt:lpstr>
      <vt:lpstr>'cluster eigendom'!invest_2038</vt:lpstr>
      <vt:lpstr>'cluster huur'!invest_2038</vt:lpstr>
      <vt:lpstr>Locatie1!invest_2038</vt:lpstr>
      <vt:lpstr>Locatie2!invest_2038</vt:lpstr>
      <vt:lpstr>Locatie3!invest_2038</vt:lpstr>
      <vt:lpstr>Blanco!invest_2039</vt:lpstr>
      <vt:lpstr>'cluster eigendom'!invest_2039</vt:lpstr>
      <vt:lpstr>'cluster huur'!invest_2039</vt:lpstr>
      <vt:lpstr>Locatie1!invest_2039</vt:lpstr>
      <vt:lpstr>Locatie2!invest_2039</vt:lpstr>
      <vt:lpstr>Locatie3!invest_2039</vt:lpstr>
      <vt:lpstr>Blanco!invest_2040</vt:lpstr>
      <vt:lpstr>'cluster eigendom'!invest_2040</vt:lpstr>
      <vt:lpstr>'cluster huur'!invest_2040</vt:lpstr>
      <vt:lpstr>Locatie1!invest_2040</vt:lpstr>
      <vt:lpstr>Locatie2!invest_2040</vt:lpstr>
      <vt:lpstr>Locatie3!invest_2040</vt:lpstr>
      <vt:lpstr>Blanco!invest_2041</vt:lpstr>
      <vt:lpstr>'cluster eigendom'!invest_2041</vt:lpstr>
      <vt:lpstr>'cluster huur'!invest_2041</vt:lpstr>
      <vt:lpstr>Locatie1!invest_2041</vt:lpstr>
      <vt:lpstr>Locatie2!invest_2041</vt:lpstr>
      <vt:lpstr>Locatie3!invest_2041</vt:lpstr>
      <vt:lpstr>Blanco!invest_2042</vt:lpstr>
      <vt:lpstr>'cluster eigendom'!invest_2042</vt:lpstr>
      <vt:lpstr>'cluster huur'!invest_2042</vt:lpstr>
      <vt:lpstr>Locatie1!invest_2042</vt:lpstr>
      <vt:lpstr>Locatie2!invest_2042</vt:lpstr>
      <vt:lpstr>Locatie3!invest_2042</vt:lpstr>
      <vt:lpstr>Blanco!invest_2043</vt:lpstr>
      <vt:lpstr>'cluster eigendom'!invest_2043</vt:lpstr>
      <vt:lpstr>'cluster huur'!invest_2043</vt:lpstr>
      <vt:lpstr>Locatie1!invest_2043</vt:lpstr>
      <vt:lpstr>Locatie2!invest_2043</vt:lpstr>
      <vt:lpstr>Locatie3!invest_2043</vt:lpstr>
      <vt:lpstr>Blanco!invest_2044</vt:lpstr>
      <vt:lpstr>'cluster eigendom'!invest_2044</vt:lpstr>
      <vt:lpstr>'cluster huur'!invest_2044</vt:lpstr>
      <vt:lpstr>Locatie1!invest_2044</vt:lpstr>
      <vt:lpstr>Locatie2!invest_2044</vt:lpstr>
      <vt:lpstr>Locatie3!invest_2044</vt:lpstr>
      <vt:lpstr>Blanco!invest_2045</vt:lpstr>
      <vt:lpstr>'cluster eigendom'!invest_2045</vt:lpstr>
      <vt:lpstr>'cluster huur'!invest_2045</vt:lpstr>
      <vt:lpstr>Locatie1!invest_2045</vt:lpstr>
      <vt:lpstr>Locatie2!invest_2045</vt:lpstr>
      <vt:lpstr>Locatie3!invest_2045</vt:lpstr>
      <vt:lpstr>Blanco!invest_2046</vt:lpstr>
      <vt:lpstr>'cluster eigendom'!invest_2046</vt:lpstr>
      <vt:lpstr>'cluster huur'!invest_2046</vt:lpstr>
      <vt:lpstr>Locatie1!invest_2046</vt:lpstr>
      <vt:lpstr>Locatie2!invest_2046</vt:lpstr>
      <vt:lpstr>Locatie3!invest_2046</vt:lpstr>
      <vt:lpstr>Blanco!invest_2047</vt:lpstr>
      <vt:lpstr>'cluster eigendom'!invest_2047</vt:lpstr>
      <vt:lpstr>'cluster huur'!invest_2047</vt:lpstr>
      <vt:lpstr>Locatie1!invest_2047</vt:lpstr>
      <vt:lpstr>Locatie2!invest_2047</vt:lpstr>
      <vt:lpstr>Locatie3!invest_2047</vt:lpstr>
      <vt:lpstr>Blanco!invest_2048</vt:lpstr>
      <vt:lpstr>'cluster eigendom'!invest_2048</vt:lpstr>
      <vt:lpstr>'cluster huur'!invest_2048</vt:lpstr>
      <vt:lpstr>Locatie1!invest_2048</vt:lpstr>
      <vt:lpstr>Locatie2!invest_2048</vt:lpstr>
      <vt:lpstr>Locatie3!invest_2048</vt:lpstr>
      <vt:lpstr>Blanco!invest_2049</vt:lpstr>
      <vt:lpstr>'cluster eigendom'!invest_2049</vt:lpstr>
      <vt:lpstr>'cluster huur'!invest_2049</vt:lpstr>
      <vt:lpstr>Locatie1!invest_2049</vt:lpstr>
      <vt:lpstr>Locatie2!invest_2049</vt:lpstr>
      <vt:lpstr>Locatie3!invest_2049</vt:lpstr>
      <vt:lpstr>Blanco!invest_2050</vt:lpstr>
      <vt:lpstr>'cluster eigendom'!invest_2050</vt:lpstr>
      <vt:lpstr>'cluster huur'!invest_2050</vt:lpstr>
      <vt:lpstr>Locatie1!invest_2050</vt:lpstr>
      <vt:lpstr>Locatie2!invest_2050</vt:lpstr>
      <vt:lpstr>Locatie3!invest_2050</vt:lpstr>
      <vt:lpstr>Blanco!investcum_2018</vt:lpstr>
      <vt:lpstr>'cluster eigendom'!investcum_2018</vt:lpstr>
      <vt:lpstr>'cluster huur'!investcum_2018</vt:lpstr>
      <vt:lpstr>Locatie1!investcum_2018</vt:lpstr>
      <vt:lpstr>Locatie2!investcum_2018</vt:lpstr>
      <vt:lpstr>Locatie3!investcum_2018</vt:lpstr>
      <vt:lpstr>Blanco!investcum_2019</vt:lpstr>
      <vt:lpstr>'cluster eigendom'!investcum_2019</vt:lpstr>
      <vt:lpstr>'cluster huur'!investcum_2019</vt:lpstr>
      <vt:lpstr>Locatie1!investcum_2019</vt:lpstr>
      <vt:lpstr>Locatie2!investcum_2019</vt:lpstr>
      <vt:lpstr>Locatie3!investcum_2019</vt:lpstr>
      <vt:lpstr>Blanco!investcum_2020</vt:lpstr>
      <vt:lpstr>'cluster eigendom'!investcum_2020</vt:lpstr>
      <vt:lpstr>'cluster huur'!investcum_2020</vt:lpstr>
      <vt:lpstr>Locatie1!investcum_2020</vt:lpstr>
      <vt:lpstr>Locatie2!investcum_2020</vt:lpstr>
      <vt:lpstr>Locatie3!investcum_2020</vt:lpstr>
      <vt:lpstr>Blanco!investcum_2021</vt:lpstr>
      <vt:lpstr>'cluster eigendom'!investcum_2021</vt:lpstr>
      <vt:lpstr>'cluster huur'!investcum_2021</vt:lpstr>
      <vt:lpstr>Locatie1!investcum_2021</vt:lpstr>
      <vt:lpstr>Locatie2!investcum_2021</vt:lpstr>
      <vt:lpstr>Locatie3!investcum_2021</vt:lpstr>
      <vt:lpstr>Blanco!investcum_2022</vt:lpstr>
      <vt:lpstr>'cluster eigendom'!investcum_2022</vt:lpstr>
      <vt:lpstr>'cluster huur'!investcum_2022</vt:lpstr>
      <vt:lpstr>Locatie1!investcum_2022</vt:lpstr>
      <vt:lpstr>Locatie2!investcum_2022</vt:lpstr>
      <vt:lpstr>Locatie3!investcum_2022</vt:lpstr>
      <vt:lpstr>Blanco!investcum_2023</vt:lpstr>
      <vt:lpstr>'cluster eigendom'!investcum_2023</vt:lpstr>
      <vt:lpstr>'cluster huur'!investcum_2023</vt:lpstr>
      <vt:lpstr>Locatie1!investcum_2023</vt:lpstr>
      <vt:lpstr>Locatie2!investcum_2023</vt:lpstr>
      <vt:lpstr>Locatie3!investcum_2023</vt:lpstr>
      <vt:lpstr>Blanco!investcum_2024</vt:lpstr>
      <vt:lpstr>'cluster eigendom'!investcum_2024</vt:lpstr>
      <vt:lpstr>'cluster huur'!investcum_2024</vt:lpstr>
      <vt:lpstr>Locatie1!investcum_2024</vt:lpstr>
      <vt:lpstr>Locatie2!investcum_2024</vt:lpstr>
      <vt:lpstr>Locatie3!investcum_2024</vt:lpstr>
      <vt:lpstr>Blanco!investcum_2025</vt:lpstr>
      <vt:lpstr>'cluster eigendom'!investcum_2025</vt:lpstr>
      <vt:lpstr>'cluster huur'!investcum_2025</vt:lpstr>
      <vt:lpstr>Locatie1!investcum_2025</vt:lpstr>
      <vt:lpstr>Locatie2!investcum_2025</vt:lpstr>
      <vt:lpstr>Locatie3!investcum_2025</vt:lpstr>
      <vt:lpstr>Blanco!investcum_2026</vt:lpstr>
      <vt:lpstr>'cluster eigendom'!investcum_2026</vt:lpstr>
      <vt:lpstr>'cluster huur'!investcum_2026</vt:lpstr>
      <vt:lpstr>Locatie1!investcum_2026</vt:lpstr>
      <vt:lpstr>Locatie2!investcum_2026</vt:lpstr>
      <vt:lpstr>Locatie3!investcum_2026</vt:lpstr>
      <vt:lpstr>Blanco!investcum_2027</vt:lpstr>
      <vt:lpstr>'cluster eigendom'!investcum_2027</vt:lpstr>
      <vt:lpstr>'cluster huur'!investcum_2027</vt:lpstr>
      <vt:lpstr>Locatie1!investcum_2027</vt:lpstr>
      <vt:lpstr>Locatie2!investcum_2027</vt:lpstr>
      <vt:lpstr>Locatie3!investcum_2027</vt:lpstr>
      <vt:lpstr>Blanco!investcum_2028</vt:lpstr>
      <vt:lpstr>'cluster eigendom'!investcum_2028</vt:lpstr>
      <vt:lpstr>'cluster huur'!investcum_2028</vt:lpstr>
      <vt:lpstr>Locatie1!investcum_2028</vt:lpstr>
      <vt:lpstr>Locatie2!investcum_2028</vt:lpstr>
      <vt:lpstr>Locatie3!investcum_2028</vt:lpstr>
      <vt:lpstr>Blanco!investcum_2029</vt:lpstr>
      <vt:lpstr>'cluster eigendom'!investcum_2029</vt:lpstr>
      <vt:lpstr>'cluster huur'!investcum_2029</vt:lpstr>
      <vt:lpstr>Locatie1!investcum_2029</vt:lpstr>
      <vt:lpstr>Locatie2!investcum_2029</vt:lpstr>
      <vt:lpstr>Locatie3!investcum_2029</vt:lpstr>
      <vt:lpstr>Blanco!investcum_2030</vt:lpstr>
      <vt:lpstr>'cluster eigendom'!investcum_2030</vt:lpstr>
      <vt:lpstr>'cluster huur'!investcum_2030</vt:lpstr>
      <vt:lpstr>Locatie1!investcum_2030</vt:lpstr>
      <vt:lpstr>Locatie2!investcum_2030</vt:lpstr>
      <vt:lpstr>Locatie3!investcum_2030</vt:lpstr>
      <vt:lpstr>Blanco!investcum_2031</vt:lpstr>
      <vt:lpstr>'cluster eigendom'!investcum_2031</vt:lpstr>
      <vt:lpstr>'cluster huur'!investcum_2031</vt:lpstr>
      <vt:lpstr>Locatie1!investcum_2031</vt:lpstr>
      <vt:lpstr>Locatie2!investcum_2031</vt:lpstr>
      <vt:lpstr>Locatie3!investcum_2031</vt:lpstr>
      <vt:lpstr>Blanco!investcum_2032</vt:lpstr>
      <vt:lpstr>'cluster eigendom'!investcum_2032</vt:lpstr>
      <vt:lpstr>'cluster huur'!investcum_2032</vt:lpstr>
      <vt:lpstr>Locatie1!investcum_2032</vt:lpstr>
      <vt:lpstr>Locatie2!investcum_2032</vt:lpstr>
      <vt:lpstr>Locatie3!investcum_2032</vt:lpstr>
      <vt:lpstr>Blanco!investcum_2033</vt:lpstr>
      <vt:lpstr>'cluster eigendom'!investcum_2033</vt:lpstr>
      <vt:lpstr>'cluster huur'!investcum_2033</vt:lpstr>
      <vt:lpstr>Locatie1!investcum_2033</vt:lpstr>
      <vt:lpstr>Locatie2!investcum_2033</vt:lpstr>
      <vt:lpstr>Locatie3!investcum_2033</vt:lpstr>
      <vt:lpstr>Blanco!investcum_2034</vt:lpstr>
      <vt:lpstr>'cluster eigendom'!investcum_2034</vt:lpstr>
      <vt:lpstr>'cluster huur'!investcum_2034</vt:lpstr>
      <vt:lpstr>Locatie1!investcum_2034</vt:lpstr>
      <vt:lpstr>Locatie2!investcum_2034</vt:lpstr>
      <vt:lpstr>Locatie3!investcum_2034</vt:lpstr>
      <vt:lpstr>Blanco!investcum_2035</vt:lpstr>
      <vt:lpstr>'cluster eigendom'!investcum_2035</vt:lpstr>
      <vt:lpstr>'cluster huur'!investcum_2035</vt:lpstr>
      <vt:lpstr>Locatie1!investcum_2035</vt:lpstr>
      <vt:lpstr>Locatie2!investcum_2035</vt:lpstr>
      <vt:lpstr>Locatie3!investcum_2035</vt:lpstr>
      <vt:lpstr>Blanco!investcum_2036</vt:lpstr>
      <vt:lpstr>'cluster eigendom'!investcum_2036</vt:lpstr>
      <vt:lpstr>'cluster huur'!investcum_2036</vt:lpstr>
      <vt:lpstr>Locatie1!investcum_2036</vt:lpstr>
      <vt:lpstr>Locatie2!investcum_2036</vt:lpstr>
      <vt:lpstr>Locatie3!investcum_2036</vt:lpstr>
      <vt:lpstr>Blanco!investcum_2037</vt:lpstr>
      <vt:lpstr>'cluster eigendom'!investcum_2037</vt:lpstr>
      <vt:lpstr>'cluster huur'!investcum_2037</vt:lpstr>
      <vt:lpstr>Locatie1!investcum_2037</vt:lpstr>
      <vt:lpstr>Locatie2!investcum_2037</vt:lpstr>
      <vt:lpstr>Locatie3!investcum_2037</vt:lpstr>
      <vt:lpstr>Blanco!investcum_2038</vt:lpstr>
      <vt:lpstr>'cluster eigendom'!investcum_2038</vt:lpstr>
      <vt:lpstr>'cluster huur'!investcum_2038</vt:lpstr>
      <vt:lpstr>Locatie1!investcum_2038</vt:lpstr>
      <vt:lpstr>Locatie2!investcum_2038</vt:lpstr>
      <vt:lpstr>Locatie3!investcum_2038</vt:lpstr>
      <vt:lpstr>Blanco!investcum_2039</vt:lpstr>
      <vt:lpstr>'cluster eigendom'!investcum_2039</vt:lpstr>
      <vt:lpstr>'cluster huur'!investcum_2039</vt:lpstr>
      <vt:lpstr>Locatie1!investcum_2039</vt:lpstr>
      <vt:lpstr>Locatie2!investcum_2039</vt:lpstr>
      <vt:lpstr>Locatie3!investcum_2039</vt:lpstr>
      <vt:lpstr>Blanco!investcum_2040</vt:lpstr>
      <vt:lpstr>'cluster eigendom'!investcum_2040</vt:lpstr>
      <vt:lpstr>'cluster huur'!investcum_2040</vt:lpstr>
      <vt:lpstr>Locatie1!investcum_2040</vt:lpstr>
      <vt:lpstr>Locatie2!investcum_2040</vt:lpstr>
      <vt:lpstr>Locatie3!investcum_2040</vt:lpstr>
      <vt:lpstr>Blanco!investcum_2041</vt:lpstr>
      <vt:lpstr>'cluster eigendom'!investcum_2041</vt:lpstr>
      <vt:lpstr>'cluster huur'!investcum_2041</vt:lpstr>
      <vt:lpstr>Locatie1!investcum_2041</vt:lpstr>
      <vt:lpstr>Locatie2!investcum_2041</vt:lpstr>
      <vt:lpstr>Locatie3!investcum_2041</vt:lpstr>
      <vt:lpstr>Blanco!investcum_2042</vt:lpstr>
      <vt:lpstr>'cluster eigendom'!investcum_2042</vt:lpstr>
      <vt:lpstr>'cluster huur'!investcum_2042</vt:lpstr>
      <vt:lpstr>Locatie1!investcum_2042</vt:lpstr>
      <vt:lpstr>Locatie2!investcum_2042</vt:lpstr>
      <vt:lpstr>Locatie3!investcum_2042</vt:lpstr>
      <vt:lpstr>Blanco!investcum_2043</vt:lpstr>
      <vt:lpstr>'cluster eigendom'!investcum_2043</vt:lpstr>
      <vt:lpstr>'cluster huur'!investcum_2043</vt:lpstr>
      <vt:lpstr>Locatie1!investcum_2043</vt:lpstr>
      <vt:lpstr>Locatie2!investcum_2043</vt:lpstr>
      <vt:lpstr>Locatie3!investcum_2043</vt:lpstr>
      <vt:lpstr>Blanco!investcum_2044</vt:lpstr>
      <vt:lpstr>'cluster eigendom'!investcum_2044</vt:lpstr>
      <vt:lpstr>'cluster huur'!investcum_2044</vt:lpstr>
      <vt:lpstr>Locatie1!investcum_2044</vt:lpstr>
      <vt:lpstr>Locatie2!investcum_2044</vt:lpstr>
      <vt:lpstr>Locatie3!investcum_2044</vt:lpstr>
      <vt:lpstr>Blanco!investcum_2045</vt:lpstr>
      <vt:lpstr>'cluster eigendom'!investcum_2045</vt:lpstr>
      <vt:lpstr>'cluster huur'!investcum_2045</vt:lpstr>
      <vt:lpstr>Locatie1!investcum_2045</vt:lpstr>
      <vt:lpstr>Locatie2!investcum_2045</vt:lpstr>
      <vt:lpstr>Locatie3!investcum_2045</vt:lpstr>
      <vt:lpstr>Blanco!investcum_2046</vt:lpstr>
      <vt:lpstr>'cluster eigendom'!investcum_2046</vt:lpstr>
      <vt:lpstr>'cluster huur'!investcum_2046</vt:lpstr>
      <vt:lpstr>Locatie1!investcum_2046</vt:lpstr>
      <vt:lpstr>Locatie2!investcum_2046</vt:lpstr>
      <vt:lpstr>Locatie3!investcum_2046</vt:lpstr>
      <vt:lpstr>Blanco!investcum_2047</vt:lpstr>
      <vt:lpstr>'cluster eigendom'!investcum_2047</vt:lpstr>
      <vt:lpstr>'cluster huur'!investcum_2047</vt:lpstr>
      <vt:lpstr>Locatie1!investcum_2047</vt:lpstr>
      <vt:lpstr>Locatie2!investcum_2047</vt:lpstr>
      <vt:lpstr>Locatie3!investcum_2047</vt:lpstr>
      <vt:lpstr>Blanco!investcum_2048</vt:lpstr>
      <vt:lpstr>'cluster eigendom'!investcum_2048</vt:lpstr>
      <vt:lpstr>'cluster huur'!investcum_2048</vt:lpstr>
      <vt:lpstr>Locatie1!investcum_2048</vt:lpstr>
      <vt:lpstr>Locatie2!investcum_2048</vt:lpstr>
      <vt:lpstr>Locatie3!investcum_2048</vt:lpstr>
      <vt:lpstr>Blanco!investcum_2049</vt:lpstr>
      <vt:lpstr>'cluster eigendom'!investcum_2049</vt:lpstr>
      <vt:lpstr>'cluster huur'!investcum_2049</vt:lpstr>
      <vt:lpstr>Locatie1!investcum_2049</vt:lpstr>
      <vt:lpstr>Locatie2!investcum_2049</vt:lpstr>
      <vt:lpstr>Locatie3!investcum_2049</vt:lpstr>
      <vt:lpstr>Blanco!investcum_2050</vt:lpstr>
      <vt:lpstr>'cluster eigendom'!investcum_2050</vt:lpstr>
      <vt:lpstr>'cluster huur'!investcum_2050</vt:lpstr>
      <vt:lpstr>Locatie1!investcum_2050</vt:lpstr>
      <vt:lpstr>Locatie2!investcum_2050</vt:lpstr>
      <vt:lpstr>Locatie3!investcum_2050</vt:lpstr>
      <vt:lpstr>Blanco!kostenbespaard_2018</vt:lpstr>
      <vt:lpstr>'cluster eigendom'!kostenbespaard_2018</vt:lpstr>
      <vt:lpstr>'cluster huur'!kostenbespaard_2018</vt:lpstr>
      <vt:lpstr>Locatie1!kostenbespaard_2018</vt:lpstr>
      <vt:lpstr>Locatie2!kostenbespaard_2018</vt:lpstr>
      <vt:lpstr>Locatie3!kostenbespaard_2018</vt:lpstr>
      <vt:lpstr>Blanco!kostenbespaard_2019</vt:lpstr>
      <vt:lpstr>'cluster eigendom'!kostenbespaard_2019</vt:lpstr>
      <vt:lpstr>'cluster huur'!kostenbespaard_2019</vt:lpstr>
      <vt:lpstr>Locatie1!kostenbespaard_2019</vt:lpstr>
      <vt:lpstr>Locatie2!kostenbespaard_2019</vt:lpstr>
      <vt:lpstr>Locatie3!kostenbespaard_2019</vt:lpstr>
      <vt:lpstr>Blanco!kostenbespaard_2020</vt:lpstr>
      <vt:lpstr>'cluster eigendom'!kostenbespaard_2020</vt:lpstr>
      <vt:lpstr>'cluster huur'!kostenbespaard_2020</vt:lpstr>
      <vt:lpstr>Locatie1!kostenbespaard_2020</vt:lpstr>
      <vt:lpstr>Locatie2!kostenbespaard_2020</vt:lpstr>
      <vt:lpstr>Locatie3!kostenbespaard_2020</vt:lpstr>
      <vt:lpstr>Blanco!kostenbespaard_2021</vt:lpstr>
      <vt:lpstr>'cluster eigendom'!kostenbespaard_2021</vt:lpstr>
      <vt:lpstr>'cluster huur'!kostenbespaard_2021</vt:lpstr>
      <vt:lpstr>Locatie1!kostenbespaard_2021</vt:lpstr>
      <vt:lpstr>Locatie2!kostenbespaard_2021</vt:lpstr>
      <vt:lpstr>Locatie3!kostenbespaard_2021</vt:lpstr>
      <vt:lpstr>Blanco!kostenbespaard_2022</vt:lpstr>
      <vt:lpstr>'cluster eigendom'!kostenbespaard_2022</vt:lpstr>
      <vt:lpstr>'cluster huur'!kostenbespaard_2022</vt:lpstr>
      <vt:lpstr>Locatie1!kostenbespaard_2022</vt:lpstr>
      <vt:lpstr>Locatie2!kostenbespaard_2022</vt:lpstr>
      <vt:lpstr>Locatie3!kostenbespaard_2022</vt:lpstr>
      <vt:lpstr>Blanco!kostenbespaard_2023</vt:lpstr>
      <vt:lpstr>'cluster eigendom'!kostenbespaard_2023</vt:lpstr>
      <vt:lpstr>'cluster huur'!kostenbespaard_2023</vt:lpstr>
      <vt:lpstr>Locatie1!kostenbespaard_2023</vt:lpstr>
      <vt:lpstr>Locatie2!kostenbespaard_2023</vt:lpstr>
      <vt:lpstr>Locatie3!kostenbespaard_2023</vt:lpstr>
      <vt:lpstr>Blanco!kostenbespaard_2024</vt:lpstr>
      <vt:lpstr>'cluster eigendom'!kostenbespaard_2024</vt:lpstr>
      <vt:lpstr>'cluster huur'!kostenbespaard_2024</vt:lpstr>
      <vt:lpstr>Locatie1!kostenbespaard_2024</vt:lpstr>
      <vt:lpstr>Locatie2!kostenbespaard_2024</vt:lpstr>
      <vt:lpstr>Locatie3!kostenbespaard_2024</vt:lpstr>
      <vt:lpstr>Blanco!kostenbespaard_2025</vt:lpstr>
      <vt:lpstr>'cluster eigendom'!kostenbespaard_2025</vt:lpstr>
      <vt:lpstr>'cluster huur'!kostenbespaard_2025</vt:lpstr>
      <vt:lpstr>Locatie1!kostenbespaard_2025</vt:lpstr>
      <vt:lpstr>Locatie2!kostenbespaard_2025</vt:lpstr>
      <vt:lpstr>Locatie3!kostenbespaard_2025</vt:lpstr>
      <vt:lpstr>Blanco!kostenbespaard_2026</vt:lpstr>
      <vt:lpstr>'cluster eigendom'!kostenbespaard_2026</vt:lpstr>
      <vt:lpstr>'cluster huur'!kostenbespaard_2026</vt:lpstr>
      <vt:lpstr>Locatie1!kostenbespaard_2026</vt:lpstr>
      <vt:lpstr>Locatie2!kostenbespaard_2026</vt:lpstr>
      <vt:lpstr>Locatie3!kostenbespaard_2026</vt:lpstr>
      <vt:lpstr>Blanco!kostenbespaard_2027</vt:lpstr>
      <vt:lpstr>'cluster eigendom'!kostenbespaard_2027</vt:lpstr>
      <vt:lpstr>'cluster huur'!kostenbespaard_2027</vt:lpstr>
      <vt:lpstr>Locatie1!kostenbespaard_2027</vt:lpstr>
      <vt:lpstr>Locatie2!kostenbespaard_2027</vt:lpstr>
      <vt:lpstr>Locatie3!kostenbespaard_2027</vt:lpstr>
      <vt:lpstr>Blanco!kostenbespaard_2028</vt:lpstr>
      <vt:lpstr>'cluster eigendom'!kostenbespaard_2028</vt:lpstr>
      <vt:lpstr>'cluster huur'!kostenbespaard_2028</vt:lpstr>
      <vt:lpstr>Locatie1!kostenbespaard_2028</vt:lpstr>
      <vt:lpstr>Locatie2!kostenbespaard_2028</vt:lpstr>
      <vt:lpstr>Locatie3!kostenbespaard_2028</vt:lpstr>
      <vt:lpstr>Blanco!kostenbespaard_2029</vt:lpstr>
      <vt:lpstr>'cluster eigendom'!kostenbespaard_2029</vt:lpstr>
      <vt:lpstr>'cluster huur'!kostenbespaard_2029</vt:lpstr>
      <vt:lpstr>Locatie1!kostenbespaard_2029</vt:lpstr>
      <vt:lpstr>Locatie2!kostenbespaard_2029</vt:lpstr>
      <vt:lpstr>Locatie3!kostenbespaard_2029</vt:lpstr>
      <vt:lpstr>Blanco!kostenbespaard_2030</vt:lpstr>
      <vt:lpstr>'cluster eigendom'!kostenbespaard_2030</vt:lpstr>
      <vt:lpstr>'cluster huur'!kostenbespaard_2030</vt:lpstr>
      <vt:lpstr>Locatie1!kostenbespaard_2030</vt:lpstr>
      <vt:lpstr>Locatie2!kostenbespaard_2030</vt:lpstr>
      <vt:lpstr>Locatie3!kostenbespaard_2030</vt:lpstr>
      <vt:lpstr>Blanco!kostenbespaard_2031</vt:lpstr>
      <vt:lpstr>'cluster eigendom'!kostenbespaard_2031</vt:lpstr>
      <vt:lpstr>'cluster huur'!kostenbespaard_2031</vt:lpstr>
      <vt:lpstr>Locatie1!kostenbespaard_2031</vt:lpstr>
      <vt:lpstr>Locatie2!kostenbespaard_2031</vt:lpstr>
      <vt:lpstr>Locatie3!kostenbespaard_2031</vt:lpstr>
      <vt:lpstr>Blanco!kostenbespaard_2032</vt:lpstr>
      <vt:lpstr>'cluster eigendom'!kostenbespaard_2032</vt:lpstr>
      <vt:lpstr>'cluster huur'!kostenbespaard_2032</vt:lpstr>
      <vt:lpstr>Locatie1!kostenbespaard_2032</vt:lpstr>
      <vt:lpstr>Locatie2!kostenbespaard_2032</vt:lpstr>
      <vt:lpstr>Locatie3!kostenbespaard_2032</vt:lpstr>
      <vt:lpstr>Blanco!kostenbespaard_2033</vt:lpstr>
      <vt:lpstr>'cluster eigendom'!kostenbespaard_2033</vt:lpstr>
      <vt:lpstr>'cluster huur'!kostenbespaard_2033</vt:lpstr>
      <vt:lpstr>Locatie1!kostenbespaard_2033</vt:lpstr>
      <vt:lpstr>Locatie2!kostenbespaard_2033</vt:lpstr>
      <vt:lpstr>Locatie3!kostenbespaard_2033</vt:lpstr>
      <vt:lpstr>Blanco!kostenbespaard_2034</vt:lpstr>
      <vt:lpstr>'cluster eigendom'!kostenbespaard_2034</vt:lpstr>
      <vt:lpstr>'cluster huur'!kostenbespaard_2034</vt:lpstr>
      <vt:lpstr>Locatie1!kostenbespaard_2034</vt:lpstr>
      <vt:lpstr>Locatie2!kostenbespaard_2034</vt:lpstr>
      <vt:lpstr>Locatie3!kostenbespaard_2034</vt:lpstr>
      <vt:lpstr>Blanco!kostenbespaard_2035</vt:lpstr>
      <vt:lpstr>'cluster eigendom'!kostenbespaard_2035</vt:lpstr>
      <vt:lpstr>'cluster huur'!kostenbespaard_2035</vt:lpstr>
      <vt:lpstr>Locatie1!kostenbespaard_2035</vt:lpstr>
      <vt:lpstr>Locatie2!kostenbespaard_2035</vt:lpstr>
      <vt:lpstr>Locatie3!kostenbespaard_2035</vt:lpstr>
      <vt:lpstr>Blanco!kostenbespaard_2036</vt:lpstr>
      <vt:lpstr>'cluster eigendom'!kostenbespaard_2036</vt:lpstr>
      <vt:lpstr>'cluster huur'!kostenbespaard_2036</vt:lpstr>
      <vt:lpstr>Locatie1!kostenbespaard_2036</vt:lpstr>
      <vt:lpstr>Locatie2!kostenbespaard_2036</vt:lpstr>
      <vt:lpstr>Locatie3!kostenbespaard_2036</vt:lpstr>
      <vt:lpstr>Blanco!kostenbespaard_2037</vt:lpstr>
      <vt:lpstr>'cluster eigendom'!kostenbespaard_2037</vt:lpstr>
      <vt:lpstr>'cluster huur'!kostenbespaard_2037</vt:lpstr>
      <vt:lpstr>Locatie1!kostenbespaard_2037</vt:lpstr>
      <vt:lpstr>Locatie2!kostenbespaard_2037</vt:lpstr>
      <vt:lpstr>Locatie3!kostenbespaard_2037</vt:lpstr>
      <vt:lpstr>Blanco!kostenbespaard_2038</vt:lpstr>
      <vt:lpstr>'cluster eigendom'!kostenbespaard_2038</vt:lpstr>
      <vt:lpstr>'cluster huur'!kostenbespaard_2038</vt:lpstr>
      <vt:lpstr>Locatie1!kostenbespaard_2038</vt:lpstr>
      <vt:lpstr>Locatie2!kostenbespaard_2038</vt:lpstr>
      <vt:lpstr>Locatie3!kostenbespaard_2038</vt:lpstr>
      <vt:lpstr>Blanco!kostenbespaard_2039</vt:lpstr>
      <vt:lpstr>'cluster eigendom'!kostenbespaard_2039</vt:lpstr>
      <vt:lpstr>'cluster huur'!kostenbespaard_2039</vt:lpstr>
      <vt:lpstr>Locatie1!kostenbespaard_2039</vt:lpstr>
      <vt:lpstr>Locatie2!kostenbespaard_2039</vt:lpstr>
      <vt:lpstr>Locatie3!kostenbespaard_2039</vt:lpstr>
      <vt:lpstr>Blanco!kostenbespaard_2040</vt:lpstr>
      <vt:lpstr>'cluster eigendom'!kostenbespaard_2040</vt:lpstr>
      <vt:lpstr>'cluster huur'!kostenbespaard_2040</vt:lpstr>
      <vt:lpstr>Locatie1!kostenbespaard_2040</vt:lpstr>
      <vt:lpstr>Locatie2!kostenbespaard_2040</vt:lpstr>
      <vt:lpstr>Locatie3!kostenbespaard_2040</vt:lpstr>
      <vt:lpstr>Blanco!kostenbespaard_2041</vt:lpstr>
      <vt:lpstr>'cluster eigendom'!kostenbespaard_2041</vt:lpstr>
      <vt:lpstr>'cluster huur'!kostenbespaard_2041</vt:lpstr>
      <vt:lpstr>Locatie1!kostenbespaard_2041</vt:lpstr>
      <vt:lpstr>Locatie2!kostenbespaard_2041</vt:lpstr>
      <vt:lpstr>Locatie3!kostenbespaard_2041</vt:lpstr>
      <vt:lpstr>Blanco!kostenbespaard_2042</vt:lpstr>
      <vt:lpstr>'cluster eigendom'!kostenbespaard_2042</vt:lpstr>
      <vt:lpstr>'cluster huur'!kostenbespaard_2042</vt:lpstr>
      <vt:lpstr>Locatie1!kostenbespaard_2042</vt:lpstr>
      <vt:lpstr>Locatie2!kostenbespaard_2042</vt:lpstr>
      <vt:lpstr>Locatie3!kostenbespaard_2042</vt:lpstr>
      <vt:lpstr>Blanco!kostenbespaard_2043</vt:lpstr>
      <vt:lpstr>'cluster eigendom'!kostenbespaard_2043</vt:lpstr>
      <vt:lpstr>'cluster huur'!kostenbespaard_2043</vt:lpstr>
      <vt:lpstr>Locatie1!kostenbespaard_2043</vt:lpstr>
      <vt:lpstr>Locatie2!kostenbespaard_2043</vt:lpstr>
      <vt:lpstr>Locatie3!kostenbespaard_2043</vt:lpstr>
      <vt:lpstr>Blanco!kostenbespaard_2044</vt:lpstr>
      <vt:lpstr>'cluster eigendom'!kostenbespaard_2044</vt:lpstr>
      <vt:lpstr>'cluster huur'!kostenbespaard_2044</vt:lpstr>
      <vt:lpstr>Locatie1!kostenbespaard_2044</vt:lpstr>
      <vt:lpstr>Locatie2!kostenbespaard_2044</vt:lpstr>
      <vt:lpstr>Locatie3!kostenbespaard_2044</vt:lpstr>
      <vt:lpstr>Blanco!kostenbespaard_2045</vt:lpstr>
      <vt:lpstr>'cluster eigendom'!kostenbespaard_2045</vt:lpstr>
      <vt:lpstr>'cluster huur'!kostenbespaard_2045</vt:lpstr>
      <vt:lpstr>Locatie1!kostenbespaard_2045</vt:lpstr>
      <vt:lpstr>Locatie2!kostenbespaard_2045</vt:lpstr>
      <vt:lpstr>Locatie3!kostenbespaard_2045</vt:lpstr>
      <vt:lpstr>Blanco!kostenbespaard_2046</vt:lpstr>
      <vt:lpstr>'cluster eigendom'!kostenbespaard_2046</vt:lpstr>
      <vt:lpstr>'cluster huur'!kostenbespaard_2046</vt:lpstr>
      <vt:lpstr>Locatie1!kostenbespaard_2046</vt:lpstr>
      <vt:lpstr>Locatie2!kostenbespaard_2046</vt:lpstr>
      <vt:lpstr>Locatie3!kostenbespaard_2046</vt:lpstr>
      <vt:lpstr>Blanco!kostenbespaard_2047</vt:lpstr>
      <vt:lpstr>'cluster eigendom'!kostenbespaard_2047</vt:lpstr>
      <vt:lpstr>'cluster huur'!kostenbespaard_2047</vt:lpstr>
      <vt:lpstr>Locatie1!kostenbespaard_2047</vt:lpstr>
      <vt:lpstr>Locatie2!kostenbespaard_2047</vt:lpstr>
      <vt:lpstr>Locatie3!kostenbespaard_2047</vt:lpstr>
      <vt:lpstr>Blanco!kostenbespaard_2048</vt:lpstr>
      <vt:lpstr>'cluster eigendom'!kostenbespaard_2048</vt:lpstr>
      <vt:lpstr>'cluster huur'!kostenbespaard_2048</vt:lpstr>
      <vt:lpstr>Locatie1!kostenbespaard_2048</vt:lpstr>
      <vt:lpstr>Locatie2!kostenbespaard_2048</vt:lpstr>
      <vt:lpstr>Locatie3!kostenbespaard_2048</vt:lpstr>
      <vt:lpstr>Blanco!kostenbespaard_2049</vt:lpstr>
      <vt:lpstr>'cluster eigendom'!kostenbespaard_2049</vt:lpstr>
      <vt:lpstr>'cluster huur'!kostenbespaard_2049</vt:lpstr>
      <vt:lpstr>Locatie1!kostenbespaard_2049</vt:lpstr>
      <vt:lpstr>Locatie2!kostenbespaard_2049</vt:lpstr>
      <vt:lpstr>Locatie3!kostenbespaard_2049</vt:lpstr>
      <vt:lpstr>Blanco!kostenbespaard_2050</vt:lpstr>
      <vt:lpstr>'cluster eigendom'!kostenbespaard_2050</vt:lpstr>
      <vt:lpstr>'cluster huur'!kostenbespaard_2050</vt:lpstr>
      <vt:lpstr>Locatie1!kostenbespaard_2050</vt:lpstr>
      <vt:lpstr>Locatie2!kostenbespaard_2050</vt:lpstr>
      <vt:lpstr>Locatie3!kostenbespaard_2050</vt:lpstr>
      <vt:lpstr>Blanco!kostenelek_2018</vt:lpstr>
      <vt:lpstr>'cluster eigendom'!kostenelek_2018</vt:lpstr>
      <vt:lpstr>'cluster huur'!kostenelek_2018</vt:lpstr>
      <vt:lpstr>Locatie1!kostenelek_2018</vt:lpstr>
      <vt:lpstr>Locatie2!kostenelek_2018</vt:lpstr>
      <vt:lpstr>Locatie3!kostenelek_2018</vt:lpstr>
      <vt:lpstr>Blanco!kostenelek_2019</vt:lpstr>
      <vt:lpstr>'cluster eigendom'!kostenelek_2019</vt:lpstr>
      <vt:lpstr>'cluster huur'!kostenelek_2019</vt:lpstr>
      <vt:lpstr>Locatie1!kostenelek_2019</vt:lpstr>
      <vt:lpstr>Locatie2!kostenelek_2019</vt:lpstr>
      <vt:lpstr>Locatie3!kostenelek_2019</vt:lpstr>
      <vt:lpstr>Blanco!kostenelek_2020</vt:lpstr>
      <vt:lpstr>'cluster eigendom'!kostenelek_2020</vt:lpstr>
      <vt:lpstr>'cluster huur'!kostenelek_2020</vt:lpstr>
      <vt:lpstr>Locatie1!kostenelek_2020</vt:lpstr>
      <vt:lpstr>Locatie2!kostenelek_2020</vt:lpstr>
      <vt:lpstr>Locatie3!kostenelek_2020</vt:lpstr>
      <vt:lpstr>Blanco!kostenelek_2021</vt:lpstr>
      <vt:lpstr>'cluster eigendom'!kostenelek_2021</vt:lpstr>
      <vt:lpstr>'cluster huur'!kostenelek_2021</vt:lpstr>
      <vt:lpstr>Locatie1!kostenelek_2021</vt:lpstr>
      <vt:lpstr>Locatie2!kostenelek_2021</vt:lpstr>
      <vt:lpstr>Locatie3!kostenelek_2021</vt:lpstr>
      <vt:lpstr>Blanco!kostenelek_2022</vt:lpstr>
      <vt:lpstr>'cluster eigendom'!kostenelek_2022</vt:lpstr>
      <vt:lpstr>'cluster huur'!kostenelek_2022</vt:lpstr>
      <vt:lpstr>Locatie1!kostenelek_2022</vt:lpstr>
      <vt:lpstr>Locatie2!kostenelek_2022</vt:lpstr>
      <vt:lpstr>Locatie3!kostenelek_2022</vt:lpstr>
      <vt:lpstr>Blanco!kostenelek_2023</vt:lpstr>
      <vt:lpstr>'cluster eigendom'!kostenelek_2023</vt:lpstr>
      <vt:lpstr>'cluster huur'!kostenelek_2023</vt:lpstr>
      <vt:lpstr>Locatie1!kostenelek_2023</vt:lpstr>
      <vt:lpstr>Locatie2!kostenelek_2023</vt:lpstr>
      <vt:lpstr>Locatie3!kostenelek_2023</vt:lpstr>
      <vt:lpstr>Blanco!kostenelek_2024</vt:lpstr>
      <vt:lpstr>'cluster eigendom'!kostenelek_2024</vt:lpstr>
      <vt:lpstr>'cluster huur'!kostenelek_2024</vt:lpstr>
      <vt:lpstr>Locatie1!kostenelek_2024</vt:lpstr>
      <vt:lpstr>Locatie2!kostenelek_2024</vt:lpstr>
      <vt:lpstr>Locatie3!kostenelek_2024</vt:lpstr>
      <vt:lpstr>Blanco!kostenelek_2025</vt:lpstr>
      <vt:lpstr>'cluster eigendom'!kostenelek_2025</vt:lpstr>
      <vt:lpstr>'cluster huur'!kostenelek_2025</vt:lpstr>
      <vt:lpstr>Locatie1!kostenelek_2025</vt:lpstr>
      <vt:lpstr>Locatie2!kostenelek_2025</vt:lpstr>
      <vt:lpstr>Locatie3!kostenelek_2025</vt:lpstr>
      <vt:lpstr>Blanco!kostenelek_2026</vt:lpstr>
      <vt:lpstr>'cluster eigendom'!kostenelek_2026</vt:lpstr>
      <vt:lpstr>'cluster huur'!kostenelek_2026</vt:lpstr>
      <vt:lpstr>Locatie1!kostenelek_2026</vt:lpstr>
      <vt:lpstr>Locatie2!kostenelek_2026</vt:lpstr>
      <vt:lpstr>Locatie3!kostenelek_2026</vt:lpstr>
      <vt:lpstr>Blanco!kostenelek_2027</vt:lpstr>
      <vt:lpstr>'cluster eigendom'!kostenelek_2027</vt:lpstr>
      <vt:lpstr>'cluster huur'!kostenelek_2027</vt:lpstr>
      <vt:lpstr>Locatie1!kostenelek_2027</vt:lpstr>
      <vt:lpstr>Locatie2!kostenelek_2027</vt:lpstr>
      <vt:lpstr>Locatie3!kostenelek_2027</vt:lpstr>
      <vt:lpstr>Blanco!kostenelek_2028</vt:lpstr>
      <vt:lpstr>'cluster eigendom'!kostenelek_2028</vt:lpstr>
      <vt:lpstr>'cluster huur'!kostenelek_2028</vt:lpstr>
      <vt:lpstr>Locatie1!kostenelek_2028</vt:lpstr>
      <vt:lpstr>Locatie2!kostenelek_2028</vt:lpstr>
      <vt:lpstr>Locatie3!kostenelek_2028</vt:lpstr>
      <vt:lpstr>Blanco!kostenelek_2029</vt:lpstr>
      <vt:lpstr>'cluster eigendom'!kostenelek_2029</vt:lpstr>
      <vt:lpstr>'cluster huur'!kostenelek_2029</vt:lpstr>
      <vt:lpstr>Locatie1!kostenelek_2029</vt:lpstr>
      <vt:lpstr>Locatie2!kostenelek_2029</vt:lpstr>
      <vt:lpstr>Locatie3!kostenelek_2029</vt:lpstr>
      <vt:lpstr>Blanco!kostenelek_2030</vt:lpstr>
      <vt:lpstr>'cluster eigendom'!kostenelek_2030</vt:lpstr>
      <vt:lpstr>'cluster huur'!kostenelek_2030</vt:lpstr>
      <vt:lpstr>Locatie1!kostenelek_2030</vt:lpstr>
      <vt:lpstr>Locatie2!kostenelek_2030</vt:lpstr>
      <vt:lpstr>Locatie3!kostenelek_2030</vt:lpstr>
      <vt:lpstr>Blanco!kostenelek_2031</vt:lpstr>
      <vt:lpstr>'cluster eigendom'!kostenelek_2031</vt:lpstr>
      <vt:lpstr>'cluster huur'!kostenelek_2031</vt:lpstr>
      <vt:lpstr>Locatie1!kostenelek_2031</vt:lpstr>
      <vt:lpstr>Locatie2!kostenelek_2031</vt:lpstr>
      <vt:lpstr>Locatie3!kostenelek_2031</vt:lpstr>
      <vt:lpstr>Blanco!kostenelek_2032</vt:lpstr>
      <vt:lpstr>'cluster eigendom'!kostenelek_2032</vt:lpstr>
      <vt:lpstr>'cluster huur'!kostenelek_2032</vt:lpstr>
      <vt:lpstr>Locatie1!kostenelek_2032</vt:lpstr>
      <vt:lpstr>Locatie2!kostenelek_2032</vt:lpstr>
      <vt:lpstr>Locatie3!kostenelek_2032</vt:lpstr>
      <vt:lpstr>Blanco!kostenelek_2033</vt:lpstr>
      <vt:lpstr>'cluster eigendom'!kostenelek_2033</vt:lpstr>
      <vt:lpstr>'cluster huur'!kostenelek_2033</vt:lpstr>
      <vt:lpstr>Locatie1!kostenelek_2033</vt:lpstr>
      <vt:lpstr>Locatie2!kostenelek_2033</vt:lpstr>
      <vt:lpstr>Locatie3!kostenelek_2033</vt:lpstr>
      <vt:lpstr>Blanco!kostenelek_2034</vt:lpstr>
      <vt:lpstr>'cluster eigendom'!kostenelek_2034</vt:lpstr>
      <vt:lpstr>'cluster huur'!kostenelek_2034</vt:lpstr>
      <vt:lpstr>Locatie1!kostenelek_2034</vt:lpstr>
      <vt:lpstr>Locatie2!kostenelek_2034</vt:lpstr>
      <vt:lpstr>Locatie3!kostenelek_2034</vt:lpstr>
      <vt:lpstr>Blanco!kostenelek_2035</vt:lpstr>
      <vt:lpstr>'cluster eigendom'!kostenelek_2035</vt:lpstr>
      <vt:lpstr>'cluster huur'!kostenelek_2035</vt:lpstr>
      <vt:lpstr>Locatie1!kostenelek_2035</vt:lpstr>
      <vt:lpstr>Locatie2!kostenelek_2035</vt:lpstr>
      <vt:lpstr>Locatie3!kostenelek_2035</vt:lpstr>
      <vt:lpstr>Blanco!kostenelek_2036</vt:lpstr>
      <vt:lpstr>'cluster eigendom'!kostenelek_2036</vt:lpstr>
      <vt:lpstr>'cluster huur'!kostenelek_2036</vt:lpstr>
      <vt:lpstr>Locatie1!kostenelek_2036</vt:lpstr>
      <vt:lpstr>Locatie2!kostenelek_2036</vt:lpstr>
      <vt:lpstr>Locatie3!kostenelek_2036</vt:lpstr>
      <vt:lpstr>Blanco!kostenelek_2037</vt:lpstr>
      <vt:lpstr>'cluster eigendom'!kostenelek_2037</vt:lpstr>
      <vt:lpstr>'cluster huur'!kostenelek_2037</vt:lpstr>
      <vt:lpstr>Locatie1!kostenelek_2037</vt:lpstr>
      <vt:lpstr>Locatie2!kostenelek_2037</vt:lpstr>
      <vt:lpstr>Locatie3!kostenelek_2037</vt:lpstr>
      <vt:lpstr>Blanco!kostenelek_2038</vt:lpstr>
      <vt:lpstr>'cluster eigendom'!kostenelek_2038</vt:lpstr>
      <vt:lpstr>'cluster huur'!kostenelek_2038</vt:lpstr>
      <vt:lpstr>Locatie1!kostenelek_2038</vt:lpstr>
      <vt:lpstr>Locatie2!kostenelek_2038</vt:lpstr>
      <vt:lpstr>Locatie3!kostenelek_2038</vt:lpstr>
      <vt:lpstr>Blanco!kostenelek_2039</vt:lpstr>
      <vt:lpstr>'cluster eigendom'!kostenelek_2039</vt:lpstr>
      <vt:lpstr>'cluster huur'!kostenelek_2039</vt:lpstr>
      <vt:lpstr>Locatie1!kostenelek_2039</vt:lpstr>
      <vt:lpstr>Locatie2!kostenelek_2039</vt:lpstr>
      <vt:lpstr>Locatie3!kostenelek_2039</vt:lpstr>
      <vt:lpstr>Blanco!kostenelek_2040</vt:lpstr>
      <vt:lpstr>'cluster eigendom'!kostenelek_2040</vt:lpstr>
      <vt:lpstr>'cluster huur'!kostenelek_2040</vt:lpstr>
      <vt:lpstr>Locatie1!kostenelek_2040</vt:lpstr>
      <vt:lpstr>Locatie2!kostenelek_2040</vt:lpstr>
      <vt:lpstr>Locatie3!kostenelek_2040</vt:lpstr>
      <vt:lpstr>Blanco!kostenelek_2041</vt:lpstr>
      <vt:lpstr>'cluster eigendom'!kostenelek_2041</vt:lpstr>
      <vt:lpstr>'cluster huur'!kostenelek_2041</vt:lpstr>
      <vt:lpstr>Locatie1!kostenelek_2041</vt:lpstr>
      <vt:lpstr>Locatie2!kostenelek_2041</vt:lpstr>
      <vt:lpstr>Locatie3!kostenelek_2041</vt:lpstr>
      <vt:lpstr>Blanco!kostenelek_2042</vt:lpstr>
      <vt:lpstr>'cluster eigendom'!kostenelek_2042</vt:lpstr>
      <vt:lpstr>'cluster huur'!kostenelek_2042</vt:lpstr>
      <vt:lpstr>Locatie1!kostenelek_2042</vt:lpstr>
      <vt:lpstr>Locatie2!kostenelek_2042</vt:lpstr>
      <vt:lpstr>Locatie3!kostenelek_2042</vt:lpstr>
      <vt:lpstr>Blanco!kostenelek_2043</vt:lpstr>
      <vt:lpstr>'cluster eigendom'!kostenelek_2043</vt:lpstr>
      <vt:lpstr>'cluster huur'!kostenelek_2043</vt:lpstr>
      <vt:lpstr>Locatie1!kostenelek_2043</vt:lpstr>
      <vt:lpstr>Locatie2!kostenelek_2043</vt:lpstr>
      <vt:lpstr>Locatie3!kostenelek_2043</vt:lpstr>
      <vt:lpstr>Blanco!kostenelek_2044</vt:lpstr>
      <vt:lpstr>'cluster eigendom'!kostenelek_2044</vt:lpstr>
      <vt:lpstr>'cluster huur'!kostenelek_2044</vt:lpstr>
      <vt:lpstr>Locatie1!kostenelek_2044</vt:lpstr>
      <vt:lpstr>Locatie2!kostenelek_2044</vt:lpstr>
      <vt:lpstr>Locatie3!kostenelek_2044</vt:lpstr>
      <vt:lpstr>Blanco!kostenelek_2045</vt:lpstr>
      <vt:lpstr>'cluster eigendom'!kostenelek_2045</vt:lpstr>
      <vt:lpstr>'cluster huur'!kostenelek_2045</vt:lpstr>
      <vt:lpstr>Locatie1!kostenelek_2045</vt:lpstr>
      <vt:lpstr>Locatie2!kostenelek_2045</vt:lpstr>
      <vt:lpstr>Locatie3!kostenelek_2045</vt:lpstr>
      <vt:lpstr>Blanco!kostenelek_2046</vt:lpstr>
      <vt:lpstr>'cluster eigendom'!kostenelek_2046</vt:lpstr>
      <vt:lpstr>'cluster huur'!kostenelek_2046</vt:lpstr>
      <vt:lpstr>Locatie1!kostenelek_2046</vt:lpstr>
      <vt:lpstr>Locatie2!kostenelek_2046</vt:lpstr>
      <vt:lpstr>Locatie3!kostenelek_2046</vt:lpstr>
      <vt:lpstr>Blanco!kostenelek_2047</vt:lpstr>
      <vt:lpstr>'cluster eigendom'!kostenelek_2047</vt:lpstr>
      <vt:lpstr>'cluster huur'!kostenelek_2047</vt:lpstr>
      <vt:lpstr>Locatie1!kostenelek_2047</vt:lpstr>
      <vt:lpstr>Locatie2!kostenelek_2047</vt:lpstr>
      <vt:lpstr>Locatie3!kostenelek_2047</vt:lpstr>
      <vt:lpstr>Blanco!kostenelek_2048</vt:lpstr>
      <vt:lpstr>'cluster eigendom'!kostenelek_2048</vt:lpstr>
      <vt:lpstr>'cluster huur'!kostenelek_2048</vt:lpstr>
      <vt:lpstr>Locatie1!kostenelek_2048</vt:lpstr>
      <vt:lpstr>Locatie2!kostenelek_2048</vt:lpstr>
      <vt:lpstr>Locatie3!kostenelek_2048</vt:lpstr>
      <vt:lpstr>Blanco!kostenelek_2049</vt:lpstr>
      <vt:lpstr>'cluster eigendom'!kostenelek_2049</vt:lpstr>
      <vt:lpstr>'cluster huur'!kostenelek_2049</vt:lpstr>
      <vt:lpstr>Locatie1!kostenelek_2049</vt:lpstr>
      <vt:lpstr>Locatie2!kostenelek_2049</vt:lpstr>
      <vt:lpstr>Locatie3!kostenelek_2049</vt:lpstr>
      <vt:lpstr>Blanco!kostenelek_2050</vt:lpstr>
      <vt:lpstr>'cluster eigendom'!kostenelek_2050</vt:lpstr>
      <vt:lpstr>'cluster huur'!kostenelek_2050</vt:lpstr>
      <vt:lpstr>Locatie1!kostenelek_2050</vt:lpstr>
      <vt:lpstr>Locatie2!kostenelek_2050</vt:lpstr>
      <vt:lpstr>Locatie3!kostenelek_2050</vt:lpstr>
      <vt:lpstr>Blanco!kostengas_2018</vt:lpstr>
      <vt:lpstr>'cluster eigendom'!kostengas_2018</vt:lpstr>
      <vt:lpstr>'cluster huur'!kostengas_2018</vt:lpstr>
      <vt:lpstr>Locatie1!kostengas_2018</vt:lpstr>
      <vt:lpstr>Locatie2!kostengas_2018</vt:lpstr>
      <vt:lpstr>Locatie3!kostengas_2018</vt:lpstr>
      <vt:lpstr>Blanco!kostengas_2019</vt:lpstr>
      <vt:lpstr>'cluster eigendom'!kostengas_2019</vt:lpstr>
      <vt:lpstr>'cluster huur'!kostengas_2019</vt:lpstr>
      <vt:lpstr>Locatie1!kostengas_2019</vt:lpstr>
      <vt:lpstr>Locatie2!kostengas_2019</vt:lpstr>
      <vt:lpstr>Locatie3!kostengas_2019</vt:lpstr>
      <vt:lpstr>Blanco!kostengas_2020</vt:lpstr>
      <vt:lpstr>'cluster eigendom'!kostengas_2020</vt:lpstr>
      <vt:lpstr>'cluster huur'!kostengas_2020</vt:lpstr>
      <vt:lpstr>Locatie1!kostengas_2020</vt:lpstr>
      <vt:lpstr>Locatie2!kostengas_2020</vt:lpstr>
      <vt:lpstr>Locatie3!kostengas_2020</vt:lpstr>
      <vt:lpstr>Blanco!kostengas_2021</vt:lpstr>
      <vt:lpstr>'cluster eigendom'!kostengas_2021</vt:lpstr>
      <vt:lpstr>'cluster huur'!kostengas_2021</vt:lpstr>
      <vt:lpstr>Locatie1!kostengas_2021</vt:lpstr>
      <vt:lpstr>Locatie2!kostengas_2021</vt:lpstr>
      <vt:lpstr>Locatie3!kostengas_2021</vt:lpstr>
      <vt:lpstr>Blanco!kostengas_2022</vt:lpstr>
      <vt:lpstr>'cluster eigendom'!kostengas_2022</vt:lpstr>
      <vt:lpstr>'cluster huur'!kostengas_2022</vt:lpstr>
      <vt:lpstr>Locatie1!kostengas_2022</vt:lpstr>
      <vt:lpstr>Locatie2!kostengas_2022</vt:lpstr>
      <vt:lpstr>Locatie3!kostengas_2022</vt:lpstr>
      <vt:lpstr>Blanco!kostengas_2023</vt:lpstr>
      <vt:lpstr>'cluster eigendom'!kostengas_2023</vt:lpstr>
      <vt:lpstr>'cluster huur'!kostengas_2023</vt:lpstr>
      <vt:lpstr>Locatie1!kostengas_2023</vt:lpstr>
      <vt:lpstr>Locatie2!kostengas_2023</vt:lpstr>
      <vt:lpstr>Locatie3!kostengas_2023</vt:lpstr>
      <vt:lpstr>Blanco!kostengas_2024</vt:lpstr>
      <vt:lpstr>'cluster eigendom'!kostengas_2024</vt:lpstr>
      <vt:lpstr>'cluster huur'!kostengas_2024</vt:lpstr>
      <vt:lpstr>Locatie1!kostengas_2024</vt:lpstr>
      <vt:lpstr>Locatie2!kostengas_2024</vt:lpstr>
      <vt:lpstr>Locatie3!kostengas_2024</vt:lpstr>
      <vt:lpstr>Blanco!kostengas_2025</vt:lpstr>
      <vt:lpstr>'cluster eigendom'!kostengas_2025</vt:lpstr>
      <vt:lpstr>'cluster huur'!kostengas_2025</vt:lpstr>
      <vt:lpstr>Locatie1!kostengas_2025</vt:lpstr>
      <vt:lpstr>Locatie2!kostengas_2025</vt:lpstr>
      <vt:lpstr>Locatie3!kostengas_2025</vt:lpstr>
      <vt:lpstr>Blanco!kostengas_2026</vt:lpstr>
      <vt:lpstr>'cluster eigendom'!kostengas_2026</vt:lpstr>
      <vt:lpstr>'cluster huur'!kostengas_2026</vt:lpstr>
      <vt:lpstr>Locatie1!kostengas_2026</vt:lpstr>
      <vt:lpstr>Locatie2!kostengas_2026</vt:lpstr>
      <vt:lpstr>Locatie3!kostengas_2026</vt:lpstr>
      <vt:lpstr>Blanco!kostengas_2027</vt:lpstr>
      <vt:lpstr>'cluster eigendom'!kostengas_2027</vt:lpstr>
      <vt:lpstr>'cluster huur'!kostengas_2027</vt:lpstr>
      <vt:lpstr>Locatie1!kostengas_2027</vt:lpstr>
      <vt:lpstr>Locatie2!kostengas_2027</vt:lpstr>
      <vt:lpstr>Locatie3!kostengas_2027</vt:lpstr>
      <vt:lpstr>Blanco!kostengas_2028</vt:lpstr>
      <vt:lpstr>'cluster eigendom'!kostengas_2028</vt:lpstr>
      <vt:lpstr>'cluster huur'!kostengas_2028</vt:lpstr>
      <vt:lpstr>Locatie1!kostengas_2028</vt:lpstr>
      <vt:lpstr>Locatie2!kostengas_2028</vt:lpstr>
      <vt:lpstr>Locatie3!kostengas_2028</vt:lpstr>
      <vt:lpstr>Blanco!kostengas_2029</vt:lpstr>
      <vt:lpstr>'cluster eigendom'!kostengas_2029</vt:lpstr>
      <vt:lpstr>'cluster huur'!kostengas_2029</vt:lpstr>
      <vt:lpstr>Locatie1!kostengas_2029</vt:lpstr>
      <vt:lpstr>Locatie2!kostengas_2029</vt:lpstr>
      <vt:lpstr>Locatie3!kostengas_2029</vt:lpstr>
      <vt:lpstr>Blanco!kostengas_2030</vt:lpstr>
      <vt:lpstr>'cluster eigendom'!kostengas_2030</vt:lpstr>
      <vt:lpstr>'cluster huur'!kostengas_2030</vt:lpstr>
      <vt:lpstr>Locatie1!kostengas_2030</vt:lpstr>
      <vt:lpstr>Locatie2!kostengas_2030</vt:lpstr>
      <vt:lpstr>Locatie3!kostengas_2030</vt:lpstr>
      <vt:lpstr>Blanco!kostengas_2031</vt:lpstr>
      <vt:lpstr>'cluster eigendom'!kostengas_2031</vt:lpstr>
      <vt:lpstr>'cluster huur'!kostengas_2031</vt:lpstr>
      <vt:lpstr>Locatie1!kostengas_2031</vt:lpstr>
      <vt:lpstr>Locatie2!kostengas_2031</vt:lpstr>
      <vt:lpstr>Locatie3!kostengas_2031</vt:lpstr>
      <vt:lpstr>Blanco!kostengas_2032</vt:lpstr>
      <vt:lpstr>'cluster eigendom'!kostengas_2032</vt:lpstr>
      <vt:lpstr>'cluster huur'!kostengas_2032</vt:lpstr>
      <vt:lpstr>Locatie1!kostengas_2032</vt:lpstr>
      <vt:lpstr>Locatie2!kostengas_2032</vt:lpstr>
      <vt:lpstr>Locatie3!kostengas_2032</vt:lpstr>
      <vt:lpstr>Blanco!kostengas_2033</vt:lpstr>
      <vt:lpstr>'cluster eigendom'!kostengas_2033</vt:lpstr>
      <vt:lpstr>'cluster huur'!kostengas_2033</vt:lpstr>
      <vt:lpstr>Locatie1!kostengas_2033</vt:lpstr>
      <vt:lpstr>Locatie2!kostengas_2033</vt:lpstr>
      <vt:lpstr>Locatie3!kostengas_2033</vt:lpstr>
      <vt:lpstr>Blanco!kostengas_2034</vt:lpstr>
      <vt:lpstr>'cluster eigendom'!kostengas_2034</vt:lpstr>
      <vt:lpstr>'cluster huur'!kostengas_2034</vt:lpstr>
      <vt:lpstr>Locatie1!kostengas_2034</vt:lpstr>
      <vt:lpstr>Locatie2!kostengas_2034</vt:lpstr>
      <vt:lpstr>Locatie3!kostengas_2034</vt:lpstr>
      <vt:lpstr>Blanco!kostengas_2035</vt:lpstr>
      <vt:lpstr>'cluster eigendom'!kostengas_2035</vt:lpstr>
      <vt:lpstr>'cluster huur'!kostengas_2035</vt:lpstr>
      <vt:lpstr>Locatie1!kostengas_2035</vt:lpstr>
      <vt:lpstr>Locatie2!kostengas_2035</vt:lpstr>
      <vt:lpstr>Locatie3!kostengas_2035</vt:lpstr>
      <vt:lpstr>Blanco!kostengas_2036</vt:lpstr>
      <vt:lpstr>'cluster eigendom'!kostengas_2036</vt:lpstr>
      <vt:lpstr>'cluster huur'!kostengas_2036</vt:lpstr>
      <vt:lpstr>Locatie1!kostengas_2036</vt:lpstr>
      <vt:lpstr>Locatie2!kostengas_2036</vt:lpstr>
      <vt:lpstr>Locatie3!kostengas_2036</vt:lpstr>
      <vt:lpstr>Blanco!kostengas_2037</vt:lpstr>
      <vt:lpstr>'cluster eigendom'!kostengas_2037</vt:lpstr>
      <vt:lpstr>'cluster huur'!kostengas_2037</vt:lpstr>
      <vt:lpstr>Locatie1!kostengas_2037</vt:lpstr>
      <vt:lpstr>Locatie2!kostengas_2037</vt:lpstr>
      <vt:lpstr>Locatie3!kostengas_2037</vt:lpstr>
      <vt:lpstr>Blanco!kostengas_2038</vt:lpstr>
      <vt:lpstr>'cluster eigendom'!kostengas_2038</vt:lpstr>
      <vt:lpstr>'cluster huur'!kostengas_2038</vt:lpstr>
      <vt:lpstr>Locatie1!kostengas_2038</vt:lpstr>
      <vt:lpstr>Locatie2!kostengas_2038</vt:lpstr>
      <vt:lpstr>Locatie3!kostengas_2038</vt:lpstr>
      <vt:lpstr>Blanco!kostengas_2039</vt:lpstr>
      <vt:lpstr>'cluster eigendom'!kostengas_2039</vt:lpstr>
      <vt:lpstr>'cluster huur'!kostengas_2039</vt:lpstr>
      <vt:lpstr>Locatie1!kostengas_2039</vt:lpstr>
      <vt:lpstr>Locatie2!kostengas_2039</vt:lpstr>
      <vt:lpstr>Locatie3!kostengas_2039</vt:lpstr>
      <vt:lpstr>Blanco!kostengas_2040</vt:lpstr>
      <vt:lpstr>'cluster eigendom'!kostengas_2040</vt:lpstr>
      <vt:lpstr>'cluster huur'!kostengas_2040</vt:lpstr>
      <vt:lpstr>Locatie1!kostengas_2040</vt:lpstr>
      <vt:lpstr>Locatie2!kostengas_2040</vt:lpstr>
      <vt:lpstr>Locatie3!kostengas_2040</vt:lpstr>
      <vt:lpstr>Blanco!kostengas_2041</vt:lpstr>
      <vt:lpstr>'cluster eigendom'!kostengas_2041</vt:lpstr>
      <vt:lpstr>'cluster huur'!kostengas_2041</vt:lpstr>
      <vt:lpstr>Locatie1!kostengas_2041</vt:lpstr>
      <vt:lpstr>Locatie2!kostengas_2041</vt:lpstr>
      <vt:lpstr>Locatie3!kostengas_2041</vt:lpstr>
      <vt:lpstr>Blanco!kostengas_2042</vt:lpstr>
      <vt:lpstr>'cluster eigendom'!kostengas_2042</vt:lpstr>
      <vt:lpstr>'cluster huur'!kostengas_2042</vt:lpstr>
      <vt:lpstr>Locatie1!kostengas_2042</vt:lpstr>
      <vt:lpstr>Locatie2!kostengas_2042</vt:lpstr>
      <vt:lpstr>Locatie3!kostengas_2042</vt:lpstr>
      <vt:lpstr>Blanco!kostengas_2043</vt:lpstr>
      <vt:lpstr>'cluster eigendom'!kostengas_2043</vt:lpstr>
      <vt:lpstr>'cluster huur'!kostengas_2043</vt:lpstr>
      <vt:lpstr>Locatie1!kostengas_2043</vt:lpstr>
      <vt:lpstr>Locatie2!kostengas_2043</vt:lpstr>
      <vt:lpstr>Locatie3!kostengas_2043</vt:lpstr>
      <vt:lpstr>Blanco!kostengas_2044</vt:lpstr>
      <vt:lpstr>'cluster eigendom'!kostengas_2044</vt:lpstr>
      <vt:lpstr>'cluster huur'!kostengas_2044</vt:lpstr>
      <vt:lpstr>Locatie1!kostengas_2044</vt:lpstr>
      <vt:lpstr>Locatie2!kostengas_2044</vt:lpstr>
      <vt:lpstr>Locatie3!kostengas_2044</vt:lpstr>
      <vt:lpstr>Blanco!kostengas_2045</vt:lpstr>
      <vt:lpstr>'cluster eigendom'!kostengas_2045</vt:lpstr>
      <vt:lpstr>'cluster huur'!kostengas_2045</vt:lpstr>
      <vt:lpstr>Locatie1!kostengas_2045</vt:lpstr>
      <vt:lpstr>Locatie2!kostengas_2045</vt:lpstr>
      <vt:lpstr>Locatie3!kostengas_2045</vt:lpstr>
      <vt:lpstr>Blanco!kostengas_2046</vt:lpstr>
      <vt:lpstr>'cluster eigendom'!kostengas_2046</vt:lpstr>
      <vt:lpstr>'cluster huur'!kostengas_2046</vt:lpstr>
      <vt:lpstr>Locatie1!kostengas_2046</vt:lpstr>
      <vt:lpstr>Locatie2!kostengas_2046</vt:lpstr>
      <vt:lpstr>Locatie3!kostengas_2046</vt:lpstr>
      <vt:lpstr>Blanco!kostengas_2047</vt:lpstr>
      <vt:lpstr>'cluster eigendom'!kostengas_2047</vt:lpstr>
      <vt:lpstr>'cluster huur'!kostengas_2047</vt:lpstr>
      <vt:lpstr>Locatie1!kostengas_2047</vt:lpstr>
      <vt:lpstr>Locatie2!kostengas_2047</vt:lpstr>
      <vt:lpstr>Locatie3!kostengas_2047</vt:lpstr>
      <vt:lpstr>Blanco!kostengas_2048</vt:lpstr>
      <vt:lpstr>'cluster eigendom'!kostengas_2048</vt:lpstr>
      <vt:lpstr>'cluster huur'!kostengas_2048</vt:lpstr>
      <vt:lpstr>Locatie1!kostengas_2048</vt:lpstr>
      <vt:lpstr>Locatie2!kostengas_2048</vt:lpstr>
      <vt:lpstr>Locatie3!kostengas_2048</vt:lpstr>
      <vt:lpstr>Blanco!kostengas_2049</vt:lpstr>
      <vt:lpstr>'cluster eigendom'!kostengas_2049</vt:lpstr>
      <vt:lpstr>'cluster huur'!kostengas_2049</vt:lpstr>
      <vt:lpstr>Locatie1!kostengas_2049</vt:lpstr>
      <vt:lpstr>Locatie2!kostengas_2049</vt:lpstr>
      <vt:lpstr>Locatie3!kostengas_2049</vt:lpstr>
      <vt:lpstr>Blanco!kostengas_2050</vt:lpstr>
      <vt:lpstr>'cluster eigendom'!kostengas_2050</vt:lpstr>
      <vt:lpstr>'cluster huur'!kostengas_2050</vt:lpstr>
      <vt:lpstr>Locatie1!kostengas_2050</vt:lpstr>
      <vt:lpstr>Locatie2!kostengas_2050</vt:lpstr>
      <vt:lpstr>Locatie3!kostengas_2050</vt:lpstr>
      <vt:lpstr>Blanco!kostentotaal_2018</vt:lpstr>
      <vt:lpstr>'cluster eigendom'!kostentotaal_2018</vt:lpstr>
      <vt:lpstr>'cluster huur'!kostentotaal_2018</vt:lpstr>
      <vt:lpstr>Locatie1!kostentotaal_2018</vt:lpstr>
      <vt:lpstr>Locatie2!kostentotaal_2018</vt:lpstr>
      <vt:lpstr>Locatie3!kostentotaal_2018</vt:lpstr>
      <vt:lpstr>Blanco!kostentotaal_2019</vt:lpstr>
      <vt:lpstr>'cluster eigendom'!kostentotaal_2019</vt:lpstr>
      <vt:lpstr>'cluster huur'!kostentotaal_2019</vt:lpstr>
      <vt:lpstr>Locatie1!kostentotaal_2019</vt:lpstr>
      <vt:lpstr>Locatie2!kostentotaal_2019</vt:lpstr>
      <vt:lpstr>Locatie3!kostentotaal_2019</vt:lpstr>
      <vt:lpstr>Blanco!kostentotaal_2020</vt:lpstr>
      <vt:lpstr>'cluster eigendom'!kostentotaal_2020</vt:lpstr>
      <vt:lpstr>'cluster huur'!kostentotaal_2020</vt:lpstr>
      <vt:lpstr>Locatie1!kostentotaal_2020</vt:lpstr>
      <vt:lpstr>Locatie2!kostentotaal_2020</vt:lpstr>
      <vt:lpstr>Locatie3!kostentotaal_2020</vt:lpstr>
      <vt:lpstr>Blanco!kostentotaal_2021</vt:lpstr>
      <vt:lpstr>'cluster eigendom'!kostentotaal_2021</vt:lpstr>
      <vt:lpstr>'cluster huur'!kostentotaal_2021</vt:lpstr>
      <vt:lpstr>Locatie1!kostentotaal_2021</vt:lpstr>
      <vt:lpstr>Locatie2!kostentotaal_2021</vt:lpstr>
      <vt:lpstr>Locatie3!kostentotaal_2021</vt:lpstr>
      <vt:lpstr>Blanco!kostentotaal_2022</vt:lpstr>
      <vt:lpstr>'cluster eigendom'!kostentotaal_2022</vt:lpstr>
      <vt:lpstr>'cluster huur'!kostentotaal_2022</vt:lpstr>
      <vt:lpstr>Locatie1!kostentotaal_2022</vt:lpstr>
      <vt:lpstr>Locatie2!kostentotaal_2022</vt:lpstr>
      <vt:lpstr>Locatie3!kostentotaal_2022</vt:lpstr>
      <vt:lpstr>Blanco!kostentotaal_2023</vt:lpstr>
      <vt:lpstr>'cluster eigendom'!kostentotaal_2023</vt:lpstr>
      <vt:lpstr>'cluster huur'!kostentotaal_2023</vt:lpstr>
      <vt:lpstr>Locatie1!kostentotaal_2023</vt:lpstr>
      <vt:lpstr>Locatie2!kostentotaal_2023</vt:lpstr>
      <vt:lpstr>Locatie3!kostentotaal_2023</vt:lpstr>
      <vt:lpstr>Blanco!kostentotaal_2024</vt:lpstr>
      <vt:lpstr>'cluster eigendom'!kostentotaal_2024</vt:lpstr>
      <vt:lpstr>'cluster huur'!kostentotaal_2024</vt:lpstr>
      <vt:lpstr>Locatie1!kostentotaal_2024</vt:lpstr>
      <vt:lpstr>Locatie2!kostentotaal_2024</vt:lpstr>
      <vt:lpstr>Locatie3!kostentotaal_2024</vt:lpstr>
      <vt:lpstr>Blanco!kostentotaal_2025</vt:lpstr>
      <vt:lpstr>'cluster eigendom'!kostentotaal_2025</vt:lpstr>
      <vt:lpstr>'cluster huur'!kostentotaal_2025</vt:lpstr>
      <vt:lpstr>Locatie1!kostentotaal_2025</vt:lpstr>
      <vt:lpstr>Locatie2!kostentotaal_2025</vt:lpstr>
      <vt:lpstr>Locatie3!kostentotaal_2025</vt:lpstr>
      <vt:lpstr>Blanco!kostentotaal_2026</vt:lpstr>
      <vt:lpstr>'cluster eigendom'!kostentotaal_2026</vt:lpstr>
      <vt:lpstr>'cluster huur'!kostentotaal_2026</vt:lpstr>
      <vt:lpstr>Locatie1!kostentotaal_2026</vt:lpstr>
      <vt:lpstr>Locatie2!kostentotaal_2026</vt:lpstr>
      <vt:lpstr>Locatie3!kostentotaal_2026</vt:lpstr>
      <vt:lpstr>Blanco!kostentotaal_2027</vt:lpstr>
      <vt:lpstr>'cluster eigendom'!kostentotaal_2027</vt:lpstr>
      <vt:lpstr>'cluster huur'!kostentotaal_2027</vt:lpstr>
      <vt:lpstr>Locatie1!kostentotaal_2027</vt:lpstr>
      <vt:lpstr>Locatie2!kostentotaal_2027</vt:lpstr>
      <vt:lpstr>Locatie3!kostentotaal_2027</vt:lpstr>
      <vt:lpstr>Blanco!kostentotaal_2028</vt:lpstr>
      <vt:lpstr>'cluster eigendom'!kostentotaal_2028</vt:lpstr>
      <vt:lpstr>'cluster huur'!kostentotaal_2028</vt:lpstr>
      <vt:lpstr>Locatie1!kostentotaal_2028</vt:lpstr>
      <vt:lpstr>Locatie2!kostentotaal_2028</vt:lpstr>
      <vt:lpstr>Locatie3!kostentotaal_2028</vt:lpstr>
      <vt:lpstr>Blanco!kostentotaal_2029</vt:lpstr>
      <vt:lpstr>'cluster eigendom'!kostentotaal_2029</vt:lpstr>
      <vt:lpstr>'cluster huur'!kostentotaal_2029</vt:lpstr>
      <vt:lpstr>Locatie1!kostentotaal_2029</vt:lpstr>
      <vt:lpstr>Locatie2!kostentotaal_2029</vt:lpstr>
      <vt:lpstr>Locatie3!kostentotaal_2029</vt:lpstr>
      <vt:lpstr>Blanco!kostentotaal_2030</vt:lpstr>
      <vt:lpstr>'cluster eigendom'!kostentotaal_2030</vt:lpstr>
      <vt:lpstr>'cluster huur'!kostentotaal_2030</vt:lpstr>
      <vt:lpstr>Locatie1!kostentotaal_2030</vt:lpstr>
      <vt:lpstr>Locatie2!kostentotaal_2030</vt:lpstr>
      <vt:lpstr>Locatie3!kostentotaal_2030</vt:lpstr>
      <vt:lpstr>Blanco!kostentotaal_2031</vt:lpstr>
      <vt:lpstr>'cluster eigendom'!kostentotaal_2031</vt:lpstr>
      <vt:lpstr>'cluster huur'!kostentotaal_2031</vt:lpstr>
      <vt:lpstr>Locatie1!kostentotaal_2031</vt:lpstr>
      <vt:lpstr>Locatie2!kostentotaal_2031</vt:lpstr>
      <vt:lpstr>Locatie3!kostentotaal_2031</vt:lpstr>
      <vt:lpstr>Blanco!kostentotaal_2032</vt:lpstr>
      <vt:lpstr>'cluster eigendom'!kostentotaal_2032</vt:lpstr>
      <vt:lpstr>'cluster huur'!kostentotaal_2032</vt:lpstr>
      <vt:lpstr>Locatie1!kostentotaal_2032</vt:lpstr>
      <vt:lpstr>Locatie2!kostentotaal_2032</vt:lpstr>
      <vt:lpstr>Locatie3!kostentotaal_2032</vt:lpstr>
      <vt:lpstr>Blanco!kostentotaal_2033</vt:lpstr>
      <vt:lpstr>'cluster eigendom'!kostentotaal_2033</vt:lpstr>
      <vt:lpstr>'cluster huur'!kostentotaal_2033</vt:lpstr>
      <vt:lpstr>Locatie1!kostentotaal_2033</vt:lpstr>
      <vt:lpstr>Locatie2!kostentotaal_2033</vt:lpstr>
      <vt:lpstr>Locatie3!kostentotaal_2033</vt:lpstr>
      <vt:lpstr>Blanco!kostentotaal_2034</vt:lpstr>
      <vt:lpstr>'cluster eigendom'!kostentotaal_2034</vt:lpstr>
      <vt:lpstr>'cluster huur'!kostentotaal_2034</vt:lpstr>
      <vt:lpstr>Locatie1!kostentotaal_2034</vt:lpstr>
      <vt:lpstr>Locatie2!kostentotaal_2034</vt:lpstr>
      <vt:lpstr>Locatie3!kostentotaal_2034</vt:lpstr>
      <vt:lpstr>Blanco!kostentotaal_2035</vt:lpstr>
      <vt:lpstr>'cluster eigendom'!kostentotaal_2035</vt:lpstr>
      <vt:lpstr>'cluster huur'!kostentotaal_2035</vt:lpstr>
      <vt:lpstr>Locatie1!kostentotaal_2035</vt:lpstr>
      <vt:lpstr>Locatie2!kostentotaal_2035</vt:lpstr>
      <vt:lpstr>Locatie3!kostentotaal_2035</vt:lpstr>
      <vt:lpstr>Blanco!kostentotaal_2036</vt:lpstr>
      <vt:lpstr>'cluster eigendom'!kostentotaal_2036</vt:lpstr>
      <vt:lpstr>'cluster huur'!kostentotaal_2036</vt:lpstr>
      <vt:lpstr>Locatie1!kostentotaal_2036</vt:lpstr>
      <vt:lpstr>Locatie2!kostentotaal_2036</vt:lpstr>
      <vt:lpstr>Locatie3!kostentotaal_2036</vt:lpstr>
      <vt:lpstr>Blanco!kostentotaal_2037</vt:lpstr>
      <vt:lpstr>'cluster eigendom'!kostentotaal_2037</vt:lpstr>
      <vt:lpstr>'cluster huur'!kostentotaal_2037</vt:lpstr>
      <vt:lpstr>Locatie1!kostentotaal_2037</vt:lpstr>
      <vt:lpstr>Locatie2!kostentotaal_2037</vt:lpstr>
      <vt:lpstr>Locatie3!kostentotaal_2037</vt:lpstr>
      <vt:lpstr>Blanco!kostentotaal_2038</vt:lpstr>
      <vt:lpstr>'cluster eigendom'!kostentotaal_2038</vt:lpstr>
      <vt:lpstr>'cluster huur'!kostentotaal_2038</vt:lpstr>
      <vt:lpstr>Locatie1!kostentotaal_2038</vt:lpstr>
      <vt:lpstr>Locatie2!kostentotaal_2038</vt:lpstr>
      <vt:lpstr>Locatie3!kostentotaal_2038</vt:lpstr>
      <vt:lpstr>Blanco!kostentotaal_2039</vt:lpstr>
      <vt:lpstr>'cluster eigendom'!kostentotaal_2039</vt:lpstr>
      <vt:lpstr>'cluster huur'!kostentotaal_2039</vt:lpstr>
      <vt:lpstr>Locatie1!kostentotaal_2039</vt:lpstr>
      <vt:lpstr>Locatie2!kostentotaal_2039</vt:lpstr>
      <vt:lpstr>Locatie3!kostentotaal_2039</vt:lpstr>
      <vt:lpstr>Blanco!kostentotaal_2040</vt:lpstr>
      <vt:lpstr>'cluster eigendom'!kostentotaal_2040</vt:lpstr>
      <vt:lpstr>'cluster huur'!kostentotaal_2040</vt:lpstr>
      <vt:lpstr>Locatie1!kostentotaal_2040</vt:lpstr>
      <vt:lpstr>Locatie2!kostentotaal_2040</vt:lpstr>
      <vt:lpstr>Locatie3!kostentotaal_2040</vt:lpstr>
      <vt:lpstr>Blanco!kostentotaal_2041</vt:lpstr>
      <vt:lpstr>'cluster eigendom'!kostentotaal_2041</vt:lpstr>
      <vt:lpstr>'cluster huur'!kostentotaal_2041</vt:lpstr>
      <vt:lpstr>Locatie1!kostentotaal_2041</vt:lpstr>
      <vt:lpstr>Locatie2!kostentotaal_2041</vt:lpstr>
      <vt:lpstr>Locatie3!kostentotaal_2041</vt:lpstr>
      <vt:lpstr>Blanco!kostentotaal_2042</vt:lpstr>
      <vt:lpstr>'cluster eigendom'!kostentotaal_2042</vt:lpstr>
      <vt:lpstr>'cluster huur'!kostentotaal_2042</vt:lpstr>
      <vt:lpstr>Locatie1!kostentotaal_2042</vt:lpstr>
      <vt:lpstr>Locatie2!kostentotaal_2042</vt:lpstr>
      <vt:lpstr>Locatie3!kostentotaal_2042</vt:lpstr>
      <vt:lpstr>Blanco!kostentotaal_2043</vt:lpstr>
      <vt:lpstr>'cluster eigendom'!kostentotaal_2043</vt:lpstr>
      <vt:lpstr>'cluster huur'!kostentotaal_2043</vt:lpstr>
      <vt:lpstr>Locatie1!kostentotaal_2043</vt:lpstr>
      <vt:lpstr>Locatie2!kostentotaal_2043</vt:lpstr>
      <vt:lpstr>Locatie3!kostentotaal_2043</vt:lpstr>
      <vt:lpstr>Blanco!kostentotaal_2044</vt:lpstr>
      <vt:lpstr>'cluster eigendom'!kostentotaal_2044</vt:lpstr>
      <vt:lpstr>'cluster huur'!kostentotaal_2044</vt:lpstr>
      <vt:lpstr>Locatie1!kostentotaal_2044</vt:lpstr>
      <vt:lpstr>Locatie2!kostentotaal_2044</vt:lpstr>
      <vt:lpstr>Locatie3!kostentotaal_2044</vt:lpstr>
      <vt:lpstr>Blanco!kostentotaal_2045</vt:lpstr>
      <vt:lpstr>'cluster eigendom'!kostentotaal_2045</vt:lpstr>
      <vt:lpstr>'cluster huur'!kostentotaal_2045</vt:lpstr>
      <vt:lpstr>Locatie1!kostentotaal_2045</vt:lpstr>
      <vt:lpstr>Locatie2!kostentotaal_2045</vt:lpstr>
      <vt:lpstr>Locatie3!kostentotaal_2045</vt:lpstr>
      <vt:lpstr>Blanco!kostentotaal_2046</vt:lpstr>
      <vt:lpstr>'cluster eigendom'!kostentotaal_2046</vt:lpstr>
      <vt:lpstr>'cluster huur'!kostentotaal_2046</vt:lpstr>
      <vt:lpstr>Locatie1!kostentotaal_2046</vt:lpstr>
      <vt:lpstr>Locatie2!kostentotaal_2046</vt:lpstr>
      <vt:lpstr>Locatie3!kostentotaal_2046</vt:lpstr>
      <vt:lpstr>Blanco!kostentotaal_2047</vt:lpstr>
      <vt:lpstr>'cluster eigendom'!kostentotaal_2047</vt:lpstr>
      <vt:lpstr>'cluster huur'!kostentotaal_2047</vt:lpstr>
      <vt:lpstr>Locatie1!kostentotaal_2047</vt:lpstr>
      <vt:lpstr>Locatie2!kostentotaal_2047</vt:lpstr>
      <vt:lpstr>Locatie3!kostentotaal_2047</vt:lpstr>
      <vt:lpstr>Blanco!kostentotaal_2048</vt:lpstr>
      <vt:lpstr>'cluster eigendom'!kostentotaal_2048</vt:lpstr>
      <vt:lpstr>'cluster huur'!kostentotaal_2048</vt:lpstr>
      <vt:lpstr>Locatie1!kostentotaal_2048</vt:lpstr>
      <vt:lpstr>Locatie2!kostentotaal_2048</vt:lpstr>
      <vt:lpstr>Locatie3!kostentotaal_2048</vt:lpstr>
      <vt:lpstr>Blanco!kostentotaal_2049</vt:lpstr>
      <vt:lpstr>'cluster eigendom'!kostentotaal_2049</vt:lpstr>
      <vt:lpstr>'cluster huur'!kostentotaal_2049</vt:lpstr>
      <vt:lpstr>Locatie1!kostentotaal_2049</vt:lpstr>
      <vt:lpstr>Locatie2!kostentotaal_2049</vt:lpstr>
      <vt:lpstr>Locatie3!kostentotaal_2049</vt:lpstr>
      <vt:lpstr>Blanco!kostentotaal_2050</vt:lpstr>
      <vt:lpstr>'cluster eigendom'!kostentotaal_2050</vt:lpstr>
      <vt:lpstr>'cluster huur'!kostentotaal_2050</vt:lpstr>
      <vt:lpstr>Locatie1!kostentotaal_2050</vt:lpstr>
      <vt:lpstr>Locatie2!kostentotaal_2050</vt:lpstr>
      <vt:lpstr>Locatie3!kostentotaal_2050</vt:lpstr>
      <vt:lpstr>Blanco!kostenwarmte_2018</vt:lpstr>
      <vt:lpstr>'cluster eigendom'!kostenwarmte_2018</vt:lpstr>
      <vt:lpstr>'cluster huur'!kostenwarmte_2018</vt:lpstr>
      <vt:lpstr>Locatie1!kostenwarmte_2018</vt:lpstr>
      <vt:lpstr>Locatie2!kostenwarmte_2018</vt:lpstr>
      <vt:lpstr>Locatie3!kostenwarmte_2018</vt:lpstr>
      <vt:lpstr>Blanco!kostenwarmte_2019</vt:lpstr>
      <vt:lpstr>'cluster eigendom'!kostenwarmte_2019</vt:lpstr>
      <vt:lpstr>'cluster huur'!kostenwarmte_2019</vt:lpstr>
      <vt:lpstr>Locatie1!kostenwarmte_2019</vt:lpstr>
      <vt:lpstr>Locatie2!kostenwarmte_2019</vt:lpstr>
      <vt:lpstr>Locatie3!kostenwarmte_2019</vt:lpstr>
      <vt:lpstr>Blanco!kostenwarmte_2020</vt:lpstr>
      <vt:lpstr>'cluster eigendom'!kostenwarmte_2020</vt:lpstr>
      <vt:lpstr>'cluster huur'!kostenwarmte_2020</vt:lpstr>
      <vt:lpstr>Locatie1!kostenwarmte_2020</vt:lpstr>
      <vt:lpstr>Locatie2!kostenwarmte_2020</vt:lpstr>
      <vt:lpstr>Locatie3!kostenwarmte_2020</vt:lpstr>
      <vt:lpstr>Blanco!kostenwarmte_2021</vt:lpstr>
      <vt:lpstr>'cluster eigendom'!kostenwarmte_2021</vt:lpstr>
      <vt:lpstr>'cluster huur'!kostenwarmte_2021</vt:lpstr>
      <vt:lpstr>Locatie1!kostenwarmte_2021</vt:lpstr>
      <vt:lpstr>Locatie2!kostenwarmte_2021</vt:lpstr>
      <vt:lpstr>Locatie3!kostenwarmte_2021</vt:lpstr>
      <vt:lpstr>Blanco!kostenwarmte_2022</vt:lpstr>
      <vt:lpstr>'cluster eigendom'!kostenwarmte_2022</vt:lpstr>
      <vt:lpstr>'cluster huur'!kostenwarmte_2022</vt:lpstr>
      <vt:lpstr>Locatie1!kostenwarmte_2022</vt:lpstr>
      <vt:lpstr>Locatie2!kostenwarmte_2022</vt:lpstr>
      <vt:lpstr>Locatie3!kostenwarmte_2022</vt:lpstr>
      <vt:lpstr>Blanco!kostenwarmte_2023</vt:lpstr>
      <vt:lpstr>'cluster eigendom'!kostenwarmte_2023</vt:lpstr>
      <vt:lpstr>'cluster huur'!kostenwarmte_2023</vt:lpstr>
      <vt:lpstr>Locatie1!kostenwarmte_2023</vt:lpstr>
      <vt:lpstr>Locatie2!kostenwarmte_2023</vt:lpstr>
      <vt:lpstr>Locatie3!kostenwarmte_2023</vt:lpstr>
      <vt:lpstr>Blanco!kostenwarmte_2024</vt:lpstr>
      <vt:lpstr>'cluster eigendom'!kostenwarmte_2024</vt:lpstr>
      <vt:lpstr>'cluster huur'!kostenwarmte_2024</vt:lpstr>
      <vt:lpstr>Locatie1!kostenwarmte_2024</vt:lpstr>
      <vt:lpstr>Locatie2!kostenwarmte_2024</vt:lpstr>
      <vt:lpstr>Locatie3!kostenwarmte_2024</vt:lpstr>
      <vt:lpstr>Blanco!kostenwarmte_2025</vt:lpstr>
      <vt:lpstr>'cluster eigendom'!kostenwarmte_2025</vt:lpstr>
      <vt:lpstr>'cluster huur'!kostenwarmte_2025</vt:lpstr>
      <vt:lpstr>Locatie1!kostenwarmte_2025</vt:lpstr>
      <vt:lpstr>Locatie2!kostenwarmte_2025</vt:lpstr>
      <vt:lpstr>Locatie3!kostenwarmte_2025</vt:lpstr>
      <vt:lpstr>Blanco!kostenwarmte_2026</vt:lpstr>
      <vt:lpstr>'cluster eigendom'!kostenwarmte_2026</vt:lpstr>
      <vt:lpstr>'cluster huur'!kostenwarmte_2026</vt:lpstr>
      <vt:lpstr>Locatie1!kostenwarmte_2026</vt:lpstr>
      <vt:lpstr>Locatie2!kostenwarmte_2026</vt:lpstr>
      <vt:lpstr>Locatie3!kostenwarmte_2026</vt:lpstr>
      <vt:lpstr>Blanco!kostenwarmte_2027</vt:lpstr>
      <vt:lpstr>'cluster eigendom'!kostenwarmte_2027</vt:lpstr>
      <vt:lpstr>'cluster huur'!kostenwarmte_2027</vt:lpstr>
      <vt:lpstr>Locatie1!kostenwarmte_2027</vt:lpstr>
      <vt:lpstr>Locatie2!kostenwarmte_2027</vt:lpstr>
      <vt:lpstr>Locatie3!kostenwarmte_2027</vt:lpstr>
      <vt:lpstr>Blanco!kostenwarmte_2028</vt:lpstr>
      <vt:lpstr>'cluster eigendom'!kostenwarmte_2028</vt:lpstr>
      <vt:lpstr>'cluster huur'!kostenwarmte_2028</vt:lpstr>
      <vt:lpstr>Locatie1!kostenwarmte_2028</vt:lpstr>
      <vt:lpstr>Locatie2!kostenwarmte_2028</vt:lpstr>
      <vt:lpstr>Locatie3!kostenwarmte_2028</vt:lpstr>
      <vt:lpstr>Blanco!kostenwarmte_2029</vt:lpstr>
      <vt:lpstr>'cluster eigendom'!kostenwarmte_2029</vt:lpstr>
      <vt:lpstr>'cluster huur'!kostenwarmte_2029</vt:lpstr>
      <vt:lpstr>Locatie1!kostenwarmte_2029</vt:lpstr>
      <vt:lpstr>Locatie2!kostenwarmte_2029</vt:lpstr>
      <vt:lpstr>Locatie3!kostenwarmte_2029</vt:lpstr>
      <vt:lpstr>Blanco!kostenwarmte_2030</vt:lpstr>
      <vt:lpstr>'cluster eigendom'!kostenwarmte_2030</vt:lpstr>
      <vt:lpstr>'cluster huur'!kostenwarmte_2030</vt:lpstr>
      <vt:lpstr>Locatie1!kostenwarmte_2030</vt:lpstr>
      <vt:lpstr>Locatie2!kostenwarmte_2030</vt:lpstr>
      <vt:lpstr>Locatie3!kostenwarmte_2030</vt:lpstr>
      <vt:lpstr>Blanco!kostenwarmte_2031</vt:lpstr>
      <vt:lpstr>'cluster eigendom'!kostenwarmte_2031</vt:lpstr>
      <vt:lpstr>'cluster huur'!kostenwarmte_2031</vt:lpstr>
      <vt:lpstr>Locatie1!kostenwarmte_2031</vt:lpstr>
      <vt:lpstr>Locatie2!kostenwarmte_2031</vt:lpstr>
      <vt:lpstr>Locatie3!kostenwarmte_2031</vt:lpstr>
      <vt:lpstr>Blanco!kostenwarmte_2032</vt:lpstr>
      <vt:lpstr>'cluster eigendom'!kostenwarmte_2032</vt:lpstr>
      <vt:lpstr>'cluster huur'!kostenwarmte_2032</vt:lpstr>
      <vt:lpstr>Locatie1!kostenwarmte_2032</vt:lpstr>
      <vt:lpstr>Locatie2!kostenwarmte_2032</vt:lpstr>
      <vt:lpstr>Locatie3!kostenwarmte_2032</vt:lpstr>
      <vt:lpstr>Blanco!kostenwarmte_2033</vt:lpstr>
      <vt:lpstr>'cluster eigendom'!kostenwarmte_2033</vt:lpstr>
      <vt:lpstr>'cluster huur'!kostenwarmte_2033</vt:lpstr>
      <vt:lpstr>Locatie1!kostenwarmte_2033</vt:lpstr>
      <vt:lpstr>Locatie2!kostenwarmte_2033</vt:lpstr>
      <vt:lpstr>Locatie3!kostenwarmte_2033</vt:lpstr>
      <vt:lpstr>Blanco!kostenwarmte_2034</vt:lpstr>
      <vt:lpstr>'cluster eigendom'!kostenwarmte_2034</vt:lpstr>
      <vt:lpstr>'cluster huur'!kostenwarmte_2034</vt:lpstr>
      <vt:lpstr>Locatie1!kostenwarmte_2034</vt:lpstr>
      <vt:lpstr>Locatie2!kostenwarmte_2034</vt:lpstr>
      <vt:lpstr>Locatie3!kostenwarmte_2034</vt:lpstr>
      <vt:lpstr>Blanco!kostenwarmte_2035</vt:lpstr>
      <vt:lpstr>'cluster eigendom'!kostenwarmte_2035</vt:lpstr>
      <vt:lpstr>'cluster huur'!kostenwarmte_2035</vt:lpstr>
      <vt:lpstr>Locatie1!kostenwarmte_2035</vt:lpstr>
      <vt:lpstr>Locatie2!kostenwarmte_2035</vt:lpstr>
      <vt:lpstr>Locatie3!kostenwarmte_2035</vt:lpstr>
      <vt:lpstr>Blanco!kostenwarmte_2036</vt:lpstr>
      <vt:lpstr>'cluster eigendom'!kostenwarmte_2036</vt:lpstr>
      <vt:lpstr>'cluster huur'!kostenwarmte_2036</vt:lpstr>
      <vt:lpstr>Locatie1!kostenwarmte_2036</vt:lpstr>
      <vt:lpstr>Locatie2!kostenwarmte_2036</vt:lpstr>
      <vt:lpstr>Locatie3!kostenwarmte_2036</vt:lpstr>
      <vt:lpstr>Blanco!kostenwarmte_2037</vt:lpstr>
      <vt:lpstr>'cluster eigendom'!kostenwarmte_2037</vt:lpstr>
      <vt:lpstr>'cluster huur'!kostenwarmte_2037</vt:lpstr>
      <vt:lpstr>Locatie1!kostenwarmte_2037</vt:lpstr>
      <vt:lpstr>Locatie2!kostenwarmte_2037</vt:lpstr>
      <vt:lpstr>Locatie3!kostenwarmte_2037</vt:lpstr>
      <vt:lpstr>Blanco!kostenwarmte_2038</vt:lpstr>
      <vt:lpstr>'cluster eigendom'!kostenwarmte_2038</vt:lpstr>
      <vt:lpstr>'cluster huur'!kostenwarmte_2038</vt:lpstr>
      <vt:lpstr>Locatie1!kostenwarmte_2038</vt:lpstr>
      <vt:lpstr>Locatie2!kostenwarmte_2038</vt:lpstr>
      <vt:lpstr>Locatie3!kostenwarmte_2038</vt:lpstr>
      <vt:lpstr>Blanco!kostenwarmte_2039</vt:lpstr>
      <vt:lpstr>'cluster eigendom'!kostenwarmte_2039</vt:lpstr>
      <vt:lpstr>'cluster huur'!kostenwarmte_2039</vt:lpstr>
      <vt:lpstr>Locatie1!kostenwarmte_2039</vt:lpstr>
      <vt:lpstr>Locatie2!kostenwarmte_2039</vt:lpstr>
      <vt:lpstr>Locatie3!kostenwarmte_2039</vt:lpstr>
      <vt:lpstr>Blanco!kostenwarmte_2040</vt:lpstr>
      <vt:lpstr>'cluster eigendom'!kostenwarmte_2040</vt:lpstr>
      <vt:lpstr>'cluster huur'!kostenwarmte_2040</vt:lpstr>
      <vt:lpstr>Locatie1!kostenwarmte_2040</vt:lpstr>
      <vt:lpstr>Locatie2!kostenwarmte_2040</vt:lpstr>
      <vt:lpstr>Locatie3!kostenwarmte_2040</vt:lpstr>
      <vt:lpstr>Blanco!kostenwarmte_2041</vt:lpstr>
      <vt:lpstr>'cluster eigendom'!kostenwarmte_2041</vt:lpstr>
      <vt:lpstr>'cluster huur'!kostenwarmte_2041</vt:lpstr>
      <vt:lpstr>Locatie1!kostenwarmte_2041</vt:lpstr>
      <vt:lpstr>Locatie2!kostenwarmte_2041</vt:lpstr>
      <vt:lpstr>Locatie3!kostenwarmte_2041</vt:lpstr>
      <vt:lpstr>Blanco!kostenwarmte_2042</vt:lpstr>
      <vt:lpstr>'cluster eigendom'!kostenwarmte_2042</vt:lpstr>
      <vt:lpstr>'cluster huur'!kostenwarmte_2042</vt:lpstr>
      <vt:lpstr>Locatie1!kostenwarmte_2042</vt:lpstr>
      <vt:lpstr>Locatie2!kostenwarmte_2042</vt:lpstr>
      <vt:lpstr>Locatie3!kostenwarmte_2042</vt:lpstr>
      <vt:lpstr>Blanco!kostenwarmte_2043</vt:lpstr>
      <vt:lpstr>'cluster eigendom'!kostenwarmte_2043</vt:lpstr>
      <vt:lpstr>'cluster huur'!kostenwarmte_2043</vt:lpstr>
      <vt:lpstr>Locatie1!kostenwarmte_2043</vt:lpstr>
      <vt:lpstr>Locatie2!kostenwarmte_2043</vt:lpstr>
      <vt:lpstr>Locatie3!kostenwarmte_2043</vt:lpstr>
      <vt:lpstr>Blanco!kostenwarmte_2044</vt:lpstr>
      <vt:lpstr>'cluster eigendom'!kostenwarmte_2044</vt:lpstr>
      <vt:lpstr>'cluster huur'!kostenwarmte_2044</vt:lpstr>
      <vt:lpstr>Locatie1!kostenwarmte_2044</vt:lpstr>
      <vt:lpstr>Locatie2!kostenwarmte_2044</vt:lpstr>
      <vt:lpstr>Locatie3!kostenwarmte_2044</vt:lpstr>
      <vt:lpstr>Blanco!kostenwarmte_2045</vt:lpstr>
      <vt:lpstr>'cluster eigendom'!kostenwarmte_2045</vt:lpstr>
      <vt:lpstr>'cluster huur'!kostenwarmte_2045</vt:lpstr>
      <vt:lpstr>Locatie1!kostenwarmte_2045</vt:lpstr>
      <vt:lpstr>Locatie2!kostenwarmte_2045</vt:lpstr>
      <vt:lpstr>Locatie3!kostenwarmte_2045</vt:lpstr>
      <vt:lpstr>Blanco!kostenwarmte_2046</vt:lpstr>
      <vt:lpstr>'cluster eigendom'!kostenwarmte_2046</vt:lpstr>
      <vt:lpstr>'cluster huur'!kostenwarmte_2046</vt:lpstr>
      <vt:lpstr>Locatie1!kostenwarmte_2046</vt:lpstr>
      <vt:lpstr>Locatie2!kostenwarmte_2046</vt:lpstr>
      <vt:lpstr>Locatie3!kostenwarmte_2046</vt:lpstr>
      <vt:lpstr>Blanco!kostenwarmte_2047</vt:lpstr>
      <vt:lpstr>'cluster eigendom'!kostenwarmte_2047</vt:lpstr>
      <vt:lpstr>'cluster huur'!kostenwarmte_2047</vt:lpstr>
      <vt:lpstr>Locatie1!kostenwarmte_2047</vt:lpstr>
      <vt:lpstr>Locatie2!kostenwarmte_2047</vt:lpstr>
      <vt:lpstr>Locatie3!kostenwarmte_2047</vt:lpstr>
      <vt:lpstr>Blanco!kostenwarmte_2048</vt:lpstr>
      <vt:lpstr>'cluster eigendom'!kostenwarmte_2048</vt:lpstr>
      <vt:lpstr>'cluster huur'!kostenwarmte_2048</vt:lpstr>
      <vt:lpstr>Locatie1!kostenwarmte_2048</vt:lpstr>
      <vt:lpstr>Locatie2!kostenwarmte_2048</vt:lpstr>
      <vt:lpstr>Locatie3!kostenwarmte_2048</vt:lpstr>
      <vt:lpstr>Blanco!kostenwarmte_2049</vt:lpstr>
      <vt:lpstr>'cluster eigendom'!kostenwarmte_2049</vt:lpstr>
      <vt:lpstr>'cluster huur'!kostenwarmte_2049</vt:lpstr>
      <vt:lpstr>Locatie1!kostenwarmte_2049</vt:lpstr>
      <vt:lpstr>Locatie2!kostenwarmte_2049</vt:lpstr>
      <vt:lpstr>Locatie3!kostenwarmte_2049</vt:lpstr>
      <vt:lpstr>Blanco!kostenwarmte_2050</vt:lpstr>
      <vt:lpstr>'cluster eigendom'!kostenwarmte_2050</vt:lpstr>
      <vt:lpstr>'cluster huur'!kostenwarmte_2050</vt:lpstr>
      <vt:lpstr>Locatie1!kostenwarmte_2050</vt:lpstr>
      <vt:lpstr>Locatie2!kostenwarmte_2050</vt:lpstr>
      <vt:lpstr>Locatie3!kostenwarmte_2050</vt:lpstr>
      <vt:lpstr>Blanco!OpwekPV_2018</vt:lpstr>
      <vt:lpstr>'cluster eigendom'!OpwekPV_2018</vt:lpstr>
      <vt:lpstr>'cluster huur'!OpwekPV_2018</vt:lpstr>
      <vt:lpstr>Locatie1!OpwekPV_2018</vt:lpstr>
      <vt:lpstr>Locatie2!OpwekPV_2018</vt:lpstr>
      <vt:lpstr>Locatie3!OpwekPV_2018</vt:lpstr>
      <vt:lpstr>Blanco!OpwekPV_2019</vt:lpstr>
      <vt:lpstr>'cluster eigendom'!OpwekPV_2019</vt:lpstr>
      <vt:lpstr>'cluster huur'!OpwekPV_2019</vt:lpstr>
      <vt:lpstr>Locatie1!OpwekPV_2019</vt:lpstr>
      <vt:lpstr>Locatie2!OpwekPV_2019</vt:lpstr>
      <vt:lpstr>Locatie3!OpwekPV_2019</vt:lpstr>
      <vt:lpstr>Blanco!OpwekPV_2020</vt:lpstr>
      <vt:lpstr>'cluster eigendom'!OpwekPV_2020</vt:lpstr>
      <vt:lpstr>'cluster huur'!OpwekPV_2020</vt:lpstr>
      <vt:lpstr>Locatie1!OpwekPV_2020</vt:lpstr>
      <vt:lpstr>Locatie2!OpwekPV_2020</vt:lpstr>
      <vt:lpstr>Locatie3!OpwekPV_2020</vt:lpstr>
      <vt:lpstr>Blanco!OpwekPV_2021</vt:lpstr>
      <vt:lpstr>'cluster eigendom'!OpwekPV_2021</vt:lpstr>
      <vt:lpstr>'cluster huur'!OpwekPV_2021</vt:lpstr>
      <vt:lpstr>Locatie1!OpwekPV_2021</vt:lpstr>
      <vt:lpstr>Locatie2!OpwekPV_2021</vt:lpstr>
      <vt:lpstr>Locatie3!OpwekPV_2021</vt:lpstr>
      <vt:lpstr>Blanco!OpwekPV_2022</vt:lpstr>
      <vt:lpstr>'cluster eigendom'!OpwekPV_2022</vt:lpstr>
      <vt:lpstr>'cluster huur'!OpwekPV_2022</vt:lpstr>
      <vt:lpstr>Locatie1!OpwekPV_2022</vt:lpstr>
      <vt:lpstr>Locatie2!OpwekPV_2022</vt:lpstr>
      <vt:lpstr>Locatie3!OpwekPV_2022</vt:lpstr>
      <vt:lpstr>Blanco!OpwekPV_2023</vt:lpstr>
      <vt:lpstr>'cluster eigendom'!OpwekPV_2023</vt:lpstr>
      <vt:lpstr>'cluster huur'!OpwekPV_2023</vt:lpstr>
      <vt:lpstr>Locatie1!OpwekPV_2023</vt:lpstr>
      <vt:lpstr>Locatie2!OpwekPV_2023</vt:lpstr>
      <vt:lpstr>Locatie3!OpwekPV_2023</vt:lpstr>
      <vt:lpstr>Blanco!OpwekPV_2024</vt:lpstr>
      <vt:lpstr>'cluster eigendom'!OpwekPV_2024</vt:lpstr>
      <vt:lpstr>'cluster huur'!OpwekPV_2024</vt:lpstr>
      <vt:lpstr>Locatie1!OpwekPV_2024</vt:lpstr>
      <vt:lpstr>Locatie2!OpwekPV_2024</vt:lpstr>
      <vt:lpstr>Locatie3!OpwekPV_2024</vt:lpstr>
      <vt:lpstr>Blanco!OpwekPV_2025</vt:lpstr>
      <vt:lpstr>'cluster eigendom'!OpwekPV_2025</vt:lpstr>
      <vt:lpstr>'cluster huur'!OpwekPV_2025</vt:lpstr>
      <vt:lpstr>Locatie1!OpwekPV_2025</vt:lpstr>
      <vt:lpstr>Locatie2!OpwekPV_2025</vt:lpstr>
      <vt:lpstr>Locatie3!OpwekPV_2025</vt:lpstr>
      <vt:lpstr>Blanco!OpwekPV_2026</vt:lpstr>
      <vt:lpstr>'cluster eigendom'!OpwekPV_2026</vt:lpstr>
      <vt:lpstr>'cluster huur'!OpwekPV_2026</vt:lpstr>
      <vt:lpstr>Locatie1!OpwekPV_2026</vt:lpstr>
      <vt:lpstr>Locatie2!OpwekPV_2026</vt:lpstr>
      <vt:lpstr>Locatie3!OpwekPV_2026</vt:lpstr>
      <vt:lpstr>Blanco!OpwekPV_2027</vt:lpstr>
      <vt:lpstr>'cluster eigendom'!OpwekPV_2027</vt:lpstr>
      <vt:lpstr>'cluster huur'!OpwekPV_2027</vt:lpstr>
      <vt:lpstr>Locatie1!OpwekPV_2027</vt:lpstr>
      <vt:lpstr>Locatie2!OpwekPV_2027</vt:lpstr>
      <vt:lpstr>Locatie3!OpwekPV_2027</vt:lpstr>
      <vt:lpstr>Blanco!OpwekPV_2028</vt:lpstr>
      <vt:lpstr>'cluster eigendom'!OpwekPV_2028</vt:lpstr>
      <vt:lpstr>'cluster huur'!OpwekPV_2028</vt:lpstr>
      <vt:lpstr>Locatie1!OpwekPV_2028</vt:lpstr>
      <vt:lpstr>Locatie2!OpwekPV_2028</vt:lpstr>
      <vt:lpstr>Locatie3!OpwekPV_2028</vt:lpstr>
      <vt:lpstr>Blanco!OpwekPV_2029</vt:lpstr>
      <vt:lpstr>'cluster eigendom'!OpwekPV_2029</vt:lpstr>
      <vt:lpstr>'cluster huur'!OpwekPV_2029</vt:lpstr>
      <vt:lpstr>Locatie1!OpwekPV_2029</vt:lpstr>
      <vt:lpstr>Locatie2!OpwekPV_2029</vt:lpstr>
      <vt:lpstr>Locatie3!OpwekPV_2029</vt:lpstr>
      <vt:lpstr>Blanco!OpwekPV_2030</vt:lpstr>
      <vt:lpstr>'cluster eigendom'!OpwekPV_2030</vt:lpstr>
      <vt:lpstr>'cluster huur'!OpwekPV_2030</vt:lpstr>
      <vt:lpstr>Locatie1!OpwekPV_2030</vt:lpstr>
      <vt:lpstr>Locatie2!OpwekPV_2030</vt:lpstr>
      <vt:lpstr>Locatie3!OpwekPV_2030</vt:lpstr>
      <vt:lpstr>Blanco!OpwekPV_2031</vt:lpstr>
      <vt:lpstr>'cluster eigendom'!OpwekPV_2031</vt:lpstr>
      <vt:lpstr>'cluster huur'!OpwekPV_2031</vt:lpstr>
      <vt:lpstr>Locatie1!OpwekPV_2031</vt:lpstr>
      <vt:lpstr>Locatie2!OpwekPV_2031</vt:lpstr>
      <vt:lpstr>Locatie3!OpwekPV_2031</vt:lpstr>
      <vt:lpstr>Blanco!OpwekPV_2032</vt:lpstr>
      <vt:lpstr>'cluster eigendom'!OpwekPV_2032</vt:lpstr>
      <vt:lpstr>'cluster huur'!OpwekPV_2032</vt:lpstr>
      <vt:lpstr>Locatie1!OpwekPV_2032</vt:lpstr>
      <vt:lpstr>Locatie2!OpwekPV_2032</vt:lpstr>
      <vt:lpstr>Locatie3!OpwekPV_2032</vt:lpstr>
      <vt:lpstr>Blanco!OpwekPV_2033</vt:lpstr>
      <vt:lpstr>'cluster eigendom'!OpwekPV_2033</vt:lpstr>
      <vt:lpstr>'cluster huur'!OpwekPV_2033</vt:lpstr>
      <vt:lpstr>Locatie1!OpwekPV_2033</vt:lpstr>
      <vt:lpstr>Locatie2!OpwekPV_2033</vt:lpstr>
      <vt:lpstr>Locatie3!OpwekPV_2033</vt:lpstr>
      <vt:lpstr>Blanco!OpwekPV_2034</vt:lpstr>
      <vt:lpstr>'cluster eigendom'!OpwekPV_2034</vt:lpstr>
      <vt:lpstr>'cluster huur'!OpwekPV_2034</vt:lpstr>
      <vt:lpstr>Locatie1!OpwekPV_2034</vt:lpstr>
      <vt:lpstr>Locatie2!OpwekPV_2034</vt:lpstr>
      <vt:lpstr>Locatie3!OpwekPV_2034</vt:lpstr>
      <vt:lpstr>Blanco!OpwekPV_2035</vt:lpstr>
      <vt:lpstr>'cluster eigendom'!OpwekPV_2035</vt:lpstr>
      <vt:lpstr>'cluster huur'!OpwekPV_2035</vt:lpstr>
      <vt:lpstr>Locatie1!OpwekPV_2035</vt:lpstr>
      <vt:lpstr>Locatie2!OpwekPV_2035</vt:lpstr>
      <vt:lpstr>Locatie3!OpwekPV_2035</vt:lpstr>
      <vt:lpstr>Blanco!OpwekPV_2036</vt:lpstr>
      <vt:lpstr>'cluster eigendom'!OpwekPV_2036</vt:lpstr>
      <vt:lpstr>'cluster huur'!OpwekPV_2036</vt:lpstr>
      <vt:lpstr>Locatie1!OpwekPV_2036</vt:lpstr>
      <vt:lpstr>Locatie2!OpwekPV_2036</vt:lpstr>
      <vt:lpstr>Locatie3!OpwekPV_2036</vt:lpstr>
      <vt:lpstr>Blanco!OpwekPV_2037</vt:lpstr>
      <vt:lpstr>'cluster eigendom'!OpwekPV_2037</vt:lpstr>
      <vt:lpstr>'cluster huur'!OpwekPV_2037</vt:lpstr>
      <vt:lpstr>Locatie1!OpwekPV_2037</vt:lpstr>
      <vt:lpstr>Locatie2!OpwekPV_2037</vt:lpstr>
      <vt:lpstr>Locatie3!OpwekPV_2037</vt:lpstr>
      <vt:lpstr>Blanco!OpwekPV_2038</vt:lpstr>
      <vt:lpstr>'cluster eigendom'!OpwekPV_2038</vt:lpstr>
      <vt:lpstr>'cluster huur'!OpwekPV_2038</vt:lpstr>
      <vt:lpstr>Locatie1!OpwekPV_2038</vt:lpstr>
      <vt:lpstr>Locatie2!OpwekPV_2038</vt:lpstr>
      <vt:lpstr>Locatie3!OpwekPV_2038</vt:lpstr>
      <vt:lpstr>Blanco!OpwekPV_2039</vt:lpstr>
      <vt:lpstr>'cluster eigendom'!OpwekPV_2039</vt:lpstr>
      <vt:lpstr>'cluster huur'!OpwekPV_2039</vt:lpstr>
      <vt:lpstr>Locatie1!OpwekPV_2039</vt:lpstr>
      <vt:lpstr>Locatie2!OpwekPV_2039</vt:lpstr>
      <vt:lpstr>Locatie3!OpwekPV_2039</vt:lpstr>
      <vt:lpstr>Blanco!OpwekPV_2040</vt:lpstr>
      <vt:lpstr>'cluster eigendom'!OpwekPV_2040</vt:lpstr>
      <vt:lpstr>'cluster huur'!OpwekPV_2040</vt:lpstr>
      <vt:lpstr>Locatie1!OpwekPV_2040</vt:lpstr>
      <vt:lpstr>Locatie2!OpwekPV_2040</vt:lpstr>
      <vt:lpstr>Locatie3!OpwekPV_2040</vt:lpstr>
      <vt:lpstr>Blanco!OpwekPV_2041</vt:lpstr>
      <vt:lpstr>'cluster eigendom'!OpwekPV_2041</vt:lpstr>
      <vt:lpstr>'cluster huur'!OpwekPV_2041</vt:lpstr>
      <vt:lpstr>Locatie1!OpwekPV_2041</vt:lpstr>
      <vt:lpstr>Locatie2!OpwekPV_2041</vt:lpstr>
      <vt:lpstr>Locatie3!OpwekPV_2041</vt:lpstr>
      <vt:lpstr>Blanco!OpwekPV_2042</vt:lpstr>
      <vt:lpstr>'cluster eigendom'!OpwekPV_2042</vt:lpstr>
      <vt:lpstr>'cluster huur'!OpwekPV_2042</vt:lpstr>
      <vt:lpstr>Locatie1!OpwekPV_2042</vt:lpstr>
      <vt:lpstr>Locatie2!OpwekPV_2042</vt:lpstr>
      <vt:lpstr>Locatie3!OpwekPV_2042</vt:lpstr>
      <vt:lpstr>Blanco!OpwekPV_2043</vt:lpstr>
      <vt:lpstr>'cluster eigendom'!OpwekPV_2043</vt:lpstr>
      <vt:lpstr>'cluster huur'!OpwekPV_2043</vt:lpstr>
      <vt:lpstr>Locatie1!OpwekPV_2043</vt:lpstr>
      <vt:lpstr>Locatie2!OpwekPV_2043</vt:lpstr>
      <vt:lpstr>Locatie3!OpwekPV_2043</vt:lpstr>
      <vt:lpstr>Blanco!OpwekPV_2044</vt:lpstr>
      <vt:lpstr>'cluster eigendom'!OpwekPV_2044</vt:lpstr>
      <vt:lpstr>'cluster huur'!OpwekPV_2044</vt:lpstr>
      <vt:lpstr>Locatie1!OpwekPV_2044</vt:lpstr>
      <vt:lpstr>Locatie2!OpwekPV_2044</vt:lpstr>
      <vt:lpstr>Locatie3!OpwekPV_2044</vt:lpstr>
      <vt:lpstr>Blanco!OpwekPV_2045</vt:lpstr>
      <vt:lpstr>'cluster eigendom'!OpwekPV_2045</vt:lpstr>
      <vt:lpstr>'cluster huur'!OpwekPV_2045</vt:lpstr>
      <vt:lpstr>Locatie1!OpwekPV_2045</vt:lpstr>
      <vt:lpstr>Locatie2!OpwekPV_2045</vt:lpstr>
      <vt:lpstr>Locatie3!OpwekPV_2045</vt:lpstr>
      <vt:lpstr>Blanco!OpwekPV_2046</vt:lpstr>
      <vt:lpstr>'cluster eigendom'!OpwekPV_2046</vt:lpstr>
      <vt:lpstr>'cluster huur'!OpwekPV_2046</vt:lpstr>
      <vt:lpstr>Locatie1!OpwekPV_2046</vt:lpstr>
      <vt:lpstr>Locatie2!OpwekPV_2046</vt:lpstr>
      <vt:lpstr>Locatie3!OpwekPV_2046</vt:lpstr>
      <vt:lpstr>Blanco!OpwekPV_2047</vt:lpstr>
      <vt:lpstr>'cluster eigendom'!OpwekPV_2047</vt:lpstr>
      <vt:lpstr>'cluster huur'!OpwekPV_2047</vt:lpstr>
      <vt:lpstr>Locatie1!OpwekPV_2047</vt:lpstr>
      <vt:lpstr>Locatie2!OpwekPV_2047</vt:lpstr>
      <vt:lpstr>Locatie3!OpwekPV_2047</vt:lpstr>
      <vt:lpstr>Blanco!OpwekPV_2048</vt:lpstr>
      <vt:lpstr>'cluster eigendom'!OpwekPV_2048</vt:lpstr>
      <vt:lpstr>'cluster huur'!OpwekPV_2048</vt:lpstr>
      <vt:lpstr>Locatie1!OpwekPV_2048</vt:lpstr>
      <vt:lpstr>Locatie2!OpwekPV_2048</vt:lpstr>
      <vt:lpstr>Locatie3!OpwekPV_2048</vt:lpstr>
      <vt:lpstr>Blanco!OpwekPV_2049</vt:lpstr>
      <vt:lpstr>'cluster eigendom'!OpwekPV_2049</vt:lpstr>
      <vt:lpstr>'cluster huur'!OpwekPV_2049</vt:lpstr>
      <vt:lpstr>Locatie1!OpwekPV_2049</vt:lpstr>
      <vt:lpstr>Locatie2!OpwekPV_2049</vt:lpstr>
      <vt:lpstr>Locatie3!OpwekPV_2049</vt:lpstr>
      <vt:lpstr>Blanco!OpwekPV_2050</vt:lpstr>
      <vt:lpstr>'cluster eigendom'!OpwekPV_2050</vt:lpstr>
      <vt:lpstr>'cluster huur'!OpwekPV_2050</vt:lpstr>
      <vt:lpstr>Locatie1!OpwekPV_2050</vt:lpstr>
      <vt:lpstr>Locatie2!OpwekPV_2050</vt:lpstr>
      <vt:lpstr>Locatie3!OpwekPV_2050</vt:lpstr>
      <vt:lpstr>Blanco!OpwekPVm2_2018</vt:lpstr>
      <vt:lpstr>'cluster eigendom'!OpwekPVm2_2018</vt:lpstr>
      <vt:lpstr>'cluster huur'!OpwekPVm2_2018</vt:lpstr>
      <vt:lpstr>Locatie1!OpwekPVm2_2018</vt:lpstr>
      <vt:lpstr>Locatie2!OpwekPVm2_2018</vt:lpstr>
      <vt:lpstr>Locatie3!OpwekPVm2_2018</vt:lpstr>
      <vt:lpstr>Blanco!OpwekPVm2_2019</vt:lpstr>
      <vt:lpstr>'cluster eigendom'!OpwekPVm2_2019</vt:lpstr>
      <vt:lpstr>'cluster huur'!OpwekPVm2_2019</vt:lpstr>
      <vt:lpstr>Locatie1!OpwekPVm2_2019</vt:lpstr>
      <vt:lpstr>Locatie2!OpwekPVm2_2019</vt:lpstr>
      <vt:lpstr>Locatie3!OpwekPVm2_2019</vt:lpstr>
      <vt:lpstr>Blanco!OpwekPVm2_2020</vt:lpstr>
      <vt:lpstr>'cluster eigendom'!OpwekPVm2_2020</vt:lpstr>
      <vt:lpstr>'cluster huur'!OpwekPVm2_2020</vt:lpstr>
      <vt:lpstr>Locatie1!OpwekPVm2_2020</vt:lpstr>
      <vt:lpstr>Locatie2!OpwekPVm2_2020</vt:lpstr>
      <vt:lpstr>Locatie3!OpwekPVm2_2020</vt:lpstr>
      <vt:lpstr>Blanco!OpwekPVm2_2021</vt:lpstr>
      <vt:lpstr>'cluster eigendom'!OpwekPVm2_2021</vt:lpstr>
      <vt:lpstr>'cluster huur'!OpwekPVm2_2021</vt:lpstr>
      <vt:lpstr>Locatie1!OpwekPVm2_2021</vt:lpstr>
      <vt:lpstr>Locatie2!OpwekPVm2_2021</vt:lpstr>
      <vt:lpstr>Locatie3!OpwekPVm2_2021</vt:lpstr>
      <vt:lpstr>Blanco!OpwekPVm2_2022</vt:lpstr>
      <vt:lpstr>'cluster eigendom'!OpwekPVm2_2022</vt:lpstr>
      <vt:lpstr>'cluster huur'!OpwekPVm2_2022</vt:lpstr>
      <vt:lpstr>Locatie1!OpwekPVm2_2022</vt:lpstr>
      <vt:lpstr>Locatie2!OpwekPVm2_2022</vt:lpstr>
      <vt:lpstr>Locatie3!OpwekPVm2_2022</vt:lpstr>
      <vt:lpstr>Blanco!OpwekPVm2_2023</vt:lpstr>
      <vt:lpstr>'cluster eigendom'!OpwekPVm2_2023</vt:lpstr>
      <vt:lpstr>'cluster huur'!OpwekPVm2_2023</vt:lpstr>
      <vt:lpstr>Locatie1!OpwekPVm2_2023</vt:lpstr>
      <vt:lpstr>Locatie2!OpwekPVm2_2023</vt:lpstr>
      <vt:lpstr>Locatie3!OpwekPVm2_2023</vt:lpstr>
      <vt:lpstr>Blanco!OpwekPVm2_2024</vt:lpstr>
      <vt:lpstr>'cluster eigendom'!OpwekPVm2_2024</vt:lpstr>
      <vt:lpstr>'cluster huur'!OpwekPVm2_2024</vt:lpstr>
      <vt:lpstr>Locatie1!OpwekPVm2_2024</vt:lpstr>
      <vt:lpstr>Locatie2!OpwekPVm2_2024</vt:lpstr>
      <vt:lpstr>Locatie3!OpwekPVm2_2024</vt:lpstr>
      <vt:lpstr>Blanco!OpwekPVm2_2025</vt:lpstr>
      <vt:lpstr>'cluster eigendom'!OpwekPVm2_2025</vt:lpstr>
      <vt:lpstr>'cluster huur'!OpwekPVm2_2025</vt:lpstr>
      <vt:lpstr>Locatie1!OpwekPVm2_2025</vt:lpstr>
      <vt:lpstr>Locatie2!OpwekPVm2_2025</vt:lpstr>
      <vt:lpstr>Locatie3!OpwekPVm2_2025</vt:lpstr>
      <vt:lpstr>Blanco!OpwekPVm2_2026</vt:lpstr>
      <vt:lpstr>'cluster eigendom'!OpwekPVm2_2026</vt:lpstr>
      <vt:lpstr>'cluster huur'!OpwekPVm2_2026</vt:lpstr>
      <vt:lpstr>Locatie1!OpwekPVm2_2026</vt:lpstr>
      <vt:lpstr>Locatie2!OpwekPVm2_2026</vt:lpstr>
      <vt:lpstr>Locatie3!OpwekPVm2_2026</vt:lpstr>
      <vt:lpstr>Blanco!OpwekPVm2_2027</vt:lpstr>
      <vt:lpstr>'cluster eigendom'!OpwekPVm2_2027</vt:lpstr>
      <vt:lpstr>'cluster huur'!OpwekPVm2_2027</vt:lpstr>
      <vt:lpstr>Locatie1!OpwekPVm2_2027</vt:lpstr>
      <vt:lpstr>Locatie2!OpwekPVm2_2027</vt:lpstr>
      <vt:lpstr>Locatie3!OpwekPVm2_2027</vt:lpstr>
      <vt:lpstr>Blanco!OpwekPVm2_2028</vt:lpstr>
      <vt:lpstr>'cluster eigendom'!OpwekPVm2_2028</vt:lpstr>
      <vt:lpstr>'cluster huur'!OpwekPVm2_2028</vt:lpstr>
      <vt:lpstr>Locatie1!OpwekPVm2_2028</vt:lpstr>
      <vt:lpstr>Locatie2!OpwekPVm2_2028</vt:lpstr>
      <vt:lpstr>Locatie3!OpwekPVm2_2028</vt:lpstr>
      <vt:lpstr>Blanco!OpwekPVm2_2029</vt:lpstr>
      <vt:lpstr>'cluster eigendom'!OpwekPVm2_2029</vt:lpstr>
      <vt:lpstr>'cluster huur'!OpwekPVm2_2029</vt:lpstr>
      <vt:lpstr>Locatie1!OpwekPVm2_2029</vt:lpstr>
      <vt:lpstr>Locatie2!OpwekPVm2_2029</vt:lpstr>
      <vt:lpstr>Locatie3!OpwekPVm2_2029</vt:lpstr>
      <vt:lpstr>Blanco!OpwekPVm2_2030</vt:lpstr>
      <vt:lpstr>'cluster eigendom'!OpwekPVm2_2030</vt:lpstr>
      <vt:lpstr>'cluster huur'!OpwekPVm2_2030</vt:lpstr>
      <vt:lpstr>Locatie1!OpwekPVm2_2030</vt:lpstr>
      <vt:lpstr>Locatie2!OpwekPVm2_2030</vt:lpstr>
      <vt:lpstr>Locatie3!OpwekPVm2_2030</vt:lpstr>
      <vt:lpstr>Blanco!OpwekPVm2_2031</vt:lpstr>
      <vt:lpstr>'cluster eigendom'!OpwekPVm2_2031</vt:lpstr>
      <vt:lpstr>'cluster huur'!OpwekPVm2_2031</vt:lpstr>
      <vt:lpstr>Locatie1!OpwekPVm2_2031</vt:lpstr>
      <vt:lpstr>Locatie2!OpwekPVm2_2031</vt:lpstr>
      <vt:lpstr>Locatie3!OpwekPVm2_2031</vt:lpstr>
      <vt:lpstr>Blanco!OpwekPVm2_2032</vt:lpstr>
      <vt:lpstr>'cluster eigendom'!OpwekPVm2_2032</vt:lpstr>
      <vt:lpstr>'cluster huur'!OpwekPVm2_2032</vt:lpstr>
      <vt:lpstr>Locatie1!OpwekPVm2_2032</vt:lpstr>
      <vt:lpstr>Locatie2!OpwekPVm2_2032</vt:lpstr>
      <vt:lpstr>Locatie3!OpwekPVm2_2032</vt:lpstr>
      <vt:lpstr>Blanco!OpwekPVm2_2033</vt:lpstr>
      <vt:lpstr>'cluster eigendom'!OpwekPVm2_2033</vt:lpstr>
      <vt:lpstr>'cluster huur'!OpwekPVm2_2033</vt:lpstr>
      <vt:lpstr>Locatie1!OpwekPVm2_2033</vt:lpstr>
      <vt:lpstr>Locatie2!OpwekPVm2_2033</vt:lpstr>
      <vt:lpstr>Locatie3!OpwekPVm2_2033</vt:lpstr>
      <vt:lpstr>Blanco!OpwekPVm2_2034</vt:lpstr>
      <vt:lpstr>'cluster eigendom'!OpwekPVm2_2034</vt:lpstr>
      <vt:lpstr>'cluster huur'!OpwekPVm2_2034</vt:lpstr>
      <vt:lpstr>Locatie1!OpwekPVm2_2034</vt:lpstr>
      <vt:lpstr>Locatie2!OpwekPVm2_2034</vt:lpstr>
      <vt:lpstr>Locatie3!OpwekPVm2_2034</vt:lpstr>
      <vt:lpstr>Blanco!OpwekPVm2_2035</vt:lpstr>
      <vt:lpstr>'cluster eigendom'!OpwekPVm2_2035</vt:lpstr>
      <vt:lpstr>'cluster huur'!OpwekPVm2_2035</vt:lpstr>
      <vt:lpstr>Locatie1!OpwekPVm2_2035</vt:lpstr>
      <vt:lpstr>Locatie2!OpwekPVm2_2035</vt:lpstr>
      <vt:lpstr>Locatie3!OpwekPVm2_2035</vt:lpstr>
      <vt:lpstr>Blanco!OpwekPVm2_2036</vt:lpstr>
      <vt:lpstr>'cluster eigendom'!OpwekPVm2_2036</vt:lpstr>
      <vt:lpstr>'cluster huur'!OpwekPVm2_2036</vt:lpstr>
      <vt:lpstr>Locatie1!OpwekPVm2_2036</vt:lpstr>
      <vt:lpstr>Locatie2!OpwekPVm2_2036</vt:lpstr>
      <vt:lpstr>Locatie3!OpwekPVm2_2036</vt:lpstr>
      <vt:lpstr>Blanco!OpwekPVm2_2037</vt:lpstr>
      <vt:lpstr>'cluster eigendom'!OpwekPVm2_2037</vt:lpstr>
      <vt:lpstr>'cluster huur'!OpwekPVm2_2037</vt:lpstr>
      <vt:lpstr>Locatie1!OpwekPVm2_2037</vt:lpstr>
      <vt:lpstr>Locatie2!OpwekPVm2_2037</vt:lpstr>
      <vt:lpstr>Locatie3!OpwekPVm2_2037</vt:lpstr>
      <vt:lpstr>Blanco!OpwekPVm2_2038</vt:lpstr>
      <vt:lpstr>'cluster eigendom'!OpwekPVm2_2038</vt:lpstr>
      <vt:lpstr>'cluster huur'!OpwekPVm2_2038</vt:lpstr>
      <vt:lpstr>Locatie1!OpwekPVm2_2038</vt:lpstr>
      <vt:lpstr>Locatie2!OpwekPVm2_2038</vt:lpstr>
      <vt:lpstr>Locatie3!OpwekPVm2_2038</vt:lpstr>
      <vt:lpstr>Blanco!OpwekPVm2_2039</vt:lpstr>
      <vt:lpstr>'cluster eigendom'!OpwekPVm2_2039</vt:lpstr>
      <vt:lpstr>'cluster huur'!OpwekPVm2_2039</vt:lpstr>
      <vt:lpstr>Locatie1!OpwekPVm2_2039</vt:lpstr>
      <vt:lpstr>Locatie2!OpwekPVm2_2039</vt:lpstr>
      <vt:lpstr>Locatie3!OpwekPVm2_2039</vt:lpstr>
      <vt:lpstr>Blanco!OpwekPVm2_2040</vt:lpstr>
      <vt:lpstr>'cluster eigendom'!OpwekPVm2_2040</vt:lpstr>
      <vt:lpstr>'cluster huur'!OpwekPVm2_2040</vt:lpstr>
      <vt:lpstr>Locatie1!OpwekPVm2_2040</vt:lpstr>
      <vt:lpstr>Locatie2!OpwekPVm2_2040</vt:lpstr>
      <vt:lpstr>Locatie3!OpwekPVm2_2040</vt:lpstr>
      <vt:lpstr>Blanco!OpwekPVm2_2041</vt:lpstr>
      <vt:lpstr>'cluster eigendom'!OpwekPVm2_2041</vt:lpstr>
      <vt:lpstr>'cluster huur'!OpwekPVm2_2041</vt:lpstr>
      <vt:lpstr>Locatie1!OpwekPVm2_2041</vt:lpstr>
      <vt:lpstr>Locatie2!OpwekPVm2_2041</vt:lpstr>
      <vt:lpstr>Locatie3!OpwekPVm2_2041</vt:lpstr>
      <vt:lpstr>Blanco!OpwekPVm2_2042</vt:lpstr>
      <vt:lpstr>'cluster eigendom'!OpwekPVm2_2042</vt:lpstr>
      <vt:lpstr>'cluster huur'!OpwekPVm2_2042</vt:lpstr>
      <vt:lpstr>Locatie1!OpwekPVm2_2042</vt:lpstr>
      <vt:lpstr>Locatie2!OpwekPVm2_2042</vt:lpstr>
      <vt:lpstr>Locatie3!OpwekPVm2_2042</vt:lpstr>
      <vt:lpstr>Blanco!OpwekPVm2_2043</vt:lpstr>
      <vt:lpstr>'cluster eigendom'!OpwekPVm2_2043</vt:lpstr>
      <vt:lpstr>'cluster huur'!OpwekPVm2_2043</vt:lpstr>
      <vt:lpstr>Locatie1!OpwekPVm2_2043</vt:lpstr>
      <vt:lpstr>Locatie2!OpwekPVm2_2043</vt:lpstr>
      <vt:lpstr>Locatie3!OpwekPVm2_2043</vt:lpstr>
      <vt:lpstr>Blanco!OpwekPVm2_2044</vt:lpstr>
      <vt:lpstr>'cluster eigendom'!OpwekPVm2_2044</vt:lpstr>
      <vt:lpstr>'cluster huur'!OpwekPVm2_2044</vt:lpstr>
      <vt:lpstr>Locatie1!OpwekPVm2_2044</vt:lpstr>
      <vt:lpstr>Locatie2!OpwekPVm2_2044</vt:lpstr>
      <vt:lpstr>Locatie3!OpwekPVm2_2044</vt:lpstr>
      <vt:lpstr>Blanco!OpwekPVm2_2045</vt:lpstr>
      <vt:lpstr>'cluster eigendom'!OpwekPVm2_2045</vt:lpstr>
      <vt:lpstr>'cluster huur'!OpwekPVm2_2045</vt:lpstr>
      <vt:lpstr>Locatie1!OpwekPVm2_2045</vt:lpstr>
      <vt:lpstr>Locatie2!OpwekPVm2_2045</vt:lpstr>
      <vt:lpstr>Locatie3!OpwekPVm2_2045</vt:lpstr>
      <vt:lpstr>Blanco!OpwekPVm2_2046</vt:lpstr>
      <vt:lpstr>'cluster eigendom'!OpwekPVm2_2046</vt:lpstr>
      <vt:lpstr>'cluster huur'!OpwekPVm2_2046</vt:lpstr>
      <vt:lpstr>Locatie1!OpwekPVm2_2046</vt:lpstr>
      <vt:lpstr>Locatie2!OpwekPVm2_2046</vt:lpstr>
      <vt:lpstr>Locatie3!OpwekPVm2_2046</vt:lpstr>
      <vt:lpstr>Blanco!OpwekPVm2_2047</vt:lpstr>
      <vt:lpstr>'cluster eigendom'!OpwekPVm2_2047</vt:lpstr>
      <vt:lpstr>'cluster huur'!OpwekPVm2_2047</vt:lpstr>
      <vt:lpstr>Locatie1!OpwekPVm2_2047</vt:lpstr>
      <vt:lpstr>Locatie2!OpwekPVm2_2047</vt:lpstr>
      <vt:lpstr>Locatie3!OpwekPVm2_2047</vt:lpstr>
      <vt:lpstr>Blanco!OpwekPVm2_2048</vt:lpstr>
      <vt:lpstr>'cluster eigendom'!OpwekPVm2_2048</vt:lpstr>
      <vt:lpstr>'cluster huur'!OpwekPVm2_2048</vt:lpstr>
      <vt:lpstr>Locatie1!OpwekPVm2_2048</vt:lpstr>
      <vt:lpstr>Locatie2!OpwekPVm2_2048</vt:lpstr>
      <vt:lpstr>Locatie3!OpwekPVm2_2048</vt:lpstr>
      <vt:lpstr>Blanco!OpwekPVm2_2049</vt:lpstr>
      <vt:lpstr>'cluster eigendom'!OpwekPVm2_2049</vt:lpstr>
      <vt:lpstr>'cluster huur'!OpwekPVm2_2049</vt:lpstr>
      <vt:lpstr>Locatie1!OpwekPVm2_2049</vt:lpstr>
      <vt:lpstr>Locatie2!OpwekPVm2_2049</vt:lpstr>
      <vt:lpstr>Locatie3!OpwekPVm2_2049</vt:lpstr>
      <vt:lpstr>Blanco!OpwekPVm2_2050</vt:lpstr>
      <vt:lpstr>'cluster eigendom'!OpwekPVm2_2050</vt:lpstr>
      <vt:lpstr>'cluster huur'!OpwekPVm2_2050</vt:lpstr>
      <vt:lpstr>Locatie1!OpwekPVm2_2050</vt:lpstr>
      <vt:lpstr>Locatie2!OpwekPVm2_2050</vt:lpstr>
      <vt:lpstr>Locatie3!OpwekPVm2_2050</vt:lpstr>
      <vt:lpstr>Blanco!Totaalverbruik_2018</vt:lpstr>
      <vt:lpstr>'cluster eigendom'!Totaalverbruik_2018</vt:lpstr>
      <vt:lpstr>'cluster huur'!Totaalverbruik_2018</vt:lpstr>
      <vt:lpstr>Locatie1!Totaalverbruik_2018</vt:lpstr>
      <vt:lpstr>Locatie2!Totaalverbruik_2018</vt:lpstr>
      <vt:lpstr>Locatie3!Totaalverbruik_2018</vt:lpstr>
      <vt:lpstr>Blanco!Totaalverbruik_2019</vt:lpstr>
      <vt:lpstr>'cluster eigendom'!Totaalverbruik_2019</vt:lpstr>
      <vt:lpstr>'cluster huur'!Totaalverbruik_2019</vt:lpstr>
      <vt:lpstr>Locatie1!Totaalverbruik_2019</vt:lpstr>
      <vt:lpstr>Locatie2!Totaalverbruik_2019</vt:lpstr>
      <vt:lpstr>Locatie3!Totaalverbruik_2019</vt:lpstr>
      <vt:lpstr>Blanco!Totaalverbruik_2020</vt:lpstr>
      <vt:lpstr>'cluster eigendom'!Totaalverbruik_2020</vt:lpstr>
      <vt:lpstr>'cluster huur'!Totaalverbruik_2020</vt:lpstr>
      <vt:lpstr>Locatie1!Totaalverbruik_2020</vt:lpstr>
      <vt:lpstr>Locatie2!Totaalverbruik_2020</vt:lpstr>
      <vt:lpstr>Locatie3!Totaalverbruik_2020</vt:lpstr>
      <vt:lpstr>Blanco!Totaalverbruik_2021</vt:lpstr>
      <vt:lpstr>'cluster eigendom'!Totaalverbruik_2021</vt:lpstr>
      <vt:lpstr>'cluster huur'!Totaalverbruik_2021</vt:lpstr>
      <vt:lpstr>Locatie1!Totaalverbruik_2021</vt:lpstr>
      <vt:lpstr>Locatie2!Totaalverbruik_2021</vt:lpstr>
      <vt:lpstr>Locatie3!Totaalverbruik_2021</vt:lpstr>
      <vt:lpstr>Blanco!Totaalverbruik_2022</vt:lpstr>
      <vt:lpstr>'cluster eigendom'!Totaalverbruik_2022</vt:lpstr>
      <vt:lpstr>'cluster huur'!Totaalverbruik_2022</vt:lpstr>
      <vt:lpstr>Locatie1!Totaalverbruik_2022</vt:lpstr>
      <vt:lpstr>Locatie2!Totaalverbruik_2022</vt:lpstr>
      <vt:lpstr>Locatie3!Totaalverbruik_2022</vt:lpstr>
      <vt:lpstr>Blanco!Totaalverbruik_2023</vt:lpstr>
      <vt:lpstr>'cluster eigendom'!Totaalverbruik_2023</vt:lpstr>
      <vt:lpstr>'cluster huur'!Totaalverbruik_2023</vt:lpstr>
      <vt:lpstr>Locatie1!Totaalverbruik_2023</vt:lpstr>
      <vt:lpstr>Locatie2!Totaalverbruik_2023</vt:lpstr>
      <vt:lpstr>Locatie3!Totaalverbruik_2023</vt:lpstr>
      <vt:lpstr>Blanco!Totaalverbruik_2024</vt:lpstr>
      <vt:lpstr>'cluster eigendom'!Totaalverbruik_2024</vt:lpstr>
      <vt:lpstr>'cluster huur'!Totaalverbruik_2024</vt:lpstr>
      <vt:lpstr>Locatie1!Totaalverbruik_2024</vt:lpstr>
      <vt:lpstr>Locatie2!Totaalverbruik_2024</vt:lpstr>
      <vt:lpstr>Locatie3!Totaalverbruik_2024</vt:lpstr>
      <vt:lpstr>Blanco!Totaalverbruik_2025</vt:lpstr>
      <vt:lpstr>'cluster eigendom'!Totaalverbruik_2025</vt:lpstr>
      <vt:lpstr>'cluster huur'!Totaalverbruik_2025</vt:lpstr>
      <vt:lpstr>Locatie1!Totaalverbruik_2025</vt:lpstr>
      <vt:lpstr>Locatie2!Totaalverbruik_2025</vt:lpstr>
      <vt:lpstr>Locatie3!Totaalverbruik_2025</vt:lpstr>
      <vt:lpstr>Blanco!Totaalverbruik_2026</vt:lpstr>
      <vt:lpstr>'cluster eigendom'!Totaalverbruik_2026</vt:lpstr>
      <vt:lpstr>'cluster huur'!Totaalverbruik_2026</vt:lpstr>
      <vt:lpstr>Locatie1!Totaalverbruik_2026</vt:lpstr>
      <vt:lpstr>Locatie2!Totaalverbruik_2026</vt:lpstr>
      <vt:lpstr>Locatie3!Totaalverbruik_2026</vt:lpstr>
      <vt:lpstr>Blanco!Totaalverbruik_2027</vt:lpstr>
      <vt:lpstr>'cluster eigendom'!Totaalverbruik_2027</vt:lpstr>
      <vt:lpstr>'cluster huur'!Totaalverbruik_2027</vt:lpstr>
      <vt:lpstr>Locatie1!Totaalverbruik_2027</vt:lpstr>
      <vt:lpstr>Locatie2!Totaalverbruik_2027</vt:lpstr>
      <vt:lpstr>Locatie3!Totaalverbruik_2027</vt:lpstr>
      <vt:lpstr>Blanco!Totaalverbruik_2028</vt:lpstr>
      <vt:lpstr>'cluster eigendom'!Totaalverbruik_2028</vt:lpstr>
      <vt:lpstr>'cluster huur'!Totaalverbruik_2028</vt:lpstr>
      <vt:lpstr>Locatie1!Totaalverbruik_2028</vt:lpstr>
      <vt:lpstr>Locatie2!Totaalverbruik_2028</vt:lpstr>
      <vt:lpstr>Locatie3!Totaalverbruik_2028</vt:lpstr>
      <vt:lpstr>Blanco!Totaalverbruik_2029</vt:lpstr>
      <vt:lpstr>'cluster eigendom'!Totaalverbruik_2029</vt:lpstr>
      <vt:lpstr>'cluster huur'!Totaalverbruik_2029</vt:lpstr>
      <vt:lpstr>Locatie1!Totaalverbruik_2029</vt:lpstr>
      <vt:lpstr>Locatie2!Totaalverbruik_2029</vt:lpstr>
      <vt:lpstr>Locatie3!Totaalverbruik_2029</vt:lpstr>
      <vt:lpstr>Blanco!Totaalverbruik_2030</vt:lpstr>
      <vt:lpstr>'cluster eigendom'!Totaalverbruik_2030</vt:lpstr>
      <vt:lpstr>'cluster huur'!Totaalverbruik_2030</vt:lpstr>
      <vt:lpstr>Locatie1!Totaalverbruik_2030</vt:lpstr>
      <vt:lpstr>Locatie2!Totaalverbruik_2030</vt:lpstr>
      <vt:lpstr>Locatie3!Totaalverbruik_2030</vt:lpstr>
      <vt:lpstr>Blanco!Totaalverbruik_2031</vt:lpstr>
      <vt:lpstr>'cluster eigendom'!Totaalverbruik_2031</vt:lpstr>
      <vt:lpstr>'cluster huur'!Totaalverbruik_2031</vt:lpstr>
      <vt:lpstr>Locatie1!Totaalverbruik_2031</vt:lpstr>
      <vt:lpstr>Locatie2!Totaalverbruik_2031</vt:lpstr>
      <vt:lpstr>Locatie3!Totaalverbruik_2031</vt:lpstr>
      <vt:lpstr>Blanco!Totaalverbruik_2032</vt:lpstr>
      <vt:lpstr>'cluster eigendom'!Totaalverbruik_2032</vt:lpstr>
      <vt:lpstr>'cluster huur'!Totaalverbruik_2032</vt:lpstr>
      <vt:lpstr>Locatie1!Totaalverbruik_2032</vt:lpstr>
      <vt:lpstr>Locatie2!Totaalverbruik_2032</vt:lpstr>
      <vt:lpstr>Locatie3!Totaalverbruik_2032</vt:lpstr>
      <vt:lpstr>Blanco!Totaalverbruik_2033</vt:lpstr>
      <vt:lpstr>'cluster eigendom'!Totaalverbruik_2033</vt:lpstr>
      <vt:lpstr>'cluster huur'!Totaalverbruik_2033</vt:lpstr>
      <vt:lpstr>Locatie1!Totaalverbruik_2033</vt:lpstr>
      <vt:lpstr>Locatie2!Totaalverbruik_2033</vt:lpstr>
      <vt:lpstr>Locatie3!Totaalverbruik_2033</vt:lpstr>
      <vt:lpstr>Blanco!Totaalverbruik_2034</vt:lpstr>
      <vt:lpstr>'cluster eigendom'!Totaalverbruik_2034</vt:lpstr>
      <vt:lpstr>'cluster huur'!Totaalverbruik_2034</vt:lpstr>
      <vt:lpstr>Locatie1!Totaalverbruik_2034</vt:lpstr>
      <vt:lpstr>Locatie2!Totaalverbruik_2034</vt:lpstr>
      <vt:lpstr>Locatie3!Totaalverbruik_2034</vt:lpstr>
      <vt:lpstr>Blanco!Totaalverbruik_2035</vt:lpstr>
      <vt:lpstr>'cluster eigendom'!Totaalverbruik_2035</vt:lpstr>
      <vt:lpstr>'cluster huur'!Totaalverbruik_2035</vt:lpstr>
      <vt:lpstr>Locatie1!Totaalverbruik_2035</vt:lpstr>
      <vt:lpstr>Locatie2!Totaalverbruik_2035</vt:lpstr>
      <vt:lpstr>Locatie3!Totaalverbruik_2035</vt:lpstr>
      <vt:lpstr>Blanco!Totaalverbruik_2036</vt:lpstr>
      <vt:lpstr>'cluster eigendom'!Totaalverbruik_2036</vt:lpstr>
      <vt:lpstr>'cluster huur'!Totaalverbruik_2036</vt:lpstr>
      <vt:lpstr>Locatie1!Totaalverbruik_2036</vt:lpstr>
      <vt:lpstr>Locatie2!Totaalverbruik_2036</vt:lpstr>
      <vt:lpstr>Locatie3!Totaalverbruik_2036</vt:lpstr>
      <vt:lpstr>Blanco!Totaalverbruik_2037</vt:lpstr>
      <vt:lpstr>'cluster eigendom'!Totaalverbruik_2037</vt:lpstr>
      <vt:lpstr>'cluster huur'!Totaalverbruik_2037</vt:lpstr>
      <vt:lpstr>Locatie1!Totaalverbruik_2037</vt:lpstr>
      <vt:lpstr>Locatie2!Totaalverbruik_2037</vt:lpstr>
      <vt:lpstr>Locatie3!Totaalverbruik_2037</vt:lpstr>
      <vt:lpstr>Blanco!Totaalverbruik_2038</vt:lpstr>
      <vt:lpstr>'cluster eigendom'!Totaalverbruik_2038</vt:lpstr>
      <vt:lpstr>'cluster huur'!Totaalverbruik_2038</vt:lpstr>
      <vt:lpstr>Locatie1!Totaalverbruik_2038</vt:lpstr>
      <vt:lpstr>Locatie2!Totaalverbruik_2038</vt:lpstr>
      <vt:lpstr>Locatie3!Totaalverbruik_2038</vt:lpstr>
      <vt:lpstr>Blanco!Totaalverbruik_2039</vt:lpstr>
      <vt:lpstr>'cluster eigendom'!Totaalverbruik_2039</vt:lpstr>
      <vt:lpstr>'cluster huur'!Totaalverbruik_2039</vt:lpstr>
      <vt:lpstr>Locatie1!Totaalverbruik_2039</vt:lpstr>
      <vt:lpstr>Locatie2!Totaalverbruik_2039</vt:lpstr>
      <vt:lpstr>Locatie3!Totaalverbruik_2039</vt:lpstr>
      <vt:lpstr>Blanco!Totaalverbruik_2040</vt:lpstr>
      <vt:lpstr>'cluster eigendom'!Totaalverbruik_2040</vt:lpstr>
      <vt:lpstr>'cluster huur'!Totaalverbruik_2040</vt:lpstr>
      <vt:lpstr>Locatie1!Totaalverbruik_2040</vt:lpstr>
      <vt:lpstr>Locatie2!Totaalverbruik_2040</vt:lpstr>
      <vt:lpstr>Locatie3!Totaalverbruik_2040</vt:lpstr>
      <vt:lpstr>Blanco!Totaalverbruik_2041</vt:lpstr>
      <vt:lpstr>'cluster eigendom'!Totaalverbruik_2041</vt:lpstr>
      <vt:lpstr>'cluster huur'!Totaalverbruik_2041</vt:lpstr>
      <vt:lpstr>Locatie1!Totaalverbruik_2041</vt:lpstr>
      <vt:lpstr>Locatie2!Totaalverbruik_2041</vt:lpstr>
      <vt:lpstr>Locatie3!Totaalverbruik_2041</vt:lpstr>
      <vt:lpstr>Blanco!Totaalverbruik_2042</vt:lpstr>
      <vt:lpstr>'cluster eigendom'!Totaalverbruik_2042</vt:lpstr>
      <vt:lpstr>'cluster huur'!Totaalverbruik_2042</vt:lpstr>
      <vt:lpstr>Locatie1!Totaalverbruik_2042</vt:lpstr>
      <vt:lpstr>Locatie2!Totaalverbruik_2042</vt:lpstr>
      <vt:lpstr>Locatie3!Totaalverbruik_2042</vt:lpstr>
      <vt:lpstr>Blanco!Totaalverbruik_2043</vt:lpstr>
      <vt:lpstr>'cluster eigendom'!Totaalverbruik_2043</vt:lpstr>
      <vt:lpstr>'cluster huur'!Totaalverbruik_2043</vt:lpstr>
      <vt:lpstr>Locatie1!Totaalverbruik_2043</vt:lpstr>
      <vt:lpstr>Locatie2!Totaalverbruik_2043</vt:lpstr>
      <vt:lpstr>Locatie3!Totaalverbruik_2043</vt:lpstr>
      <vt:lpstr>Blanco!Totaalverbruik_2044</vt:lpstr>
      <vt:lpstr>'cluster eigendom'!Totaalverbruik_2044</vt:lpstr>
      <vt:lpstr>'cluster huur'!Totaalverbruik_2044</vt:lpstr>
      <vt:lpstr>Locatie1!Totaalverbruik_2044</vt:lpstr>
      <vt:lpstr>Locatie2!Totaalverbruik_2044</vt:lpstr>
      <vt:lpstr>Locatie3!Totaalverbruik_2044</vt:lpstr>
      <vt:lpstr>Blanco!Totaalverbruik_2045</vt:lpstr>
      <vt:lpstr>'cluster eigendom'!Totaalverbruik_2045</vt:lpstr>
      <vt:lpstr>'cluster huur'!Totaalverbruik_2045</vt:lpstr>
      <vt:lpstr>Locatie1!Totaalverbruik_2045</vt:lpstr>
      <vt:lpstr>Locatie2!Totaalverbruik_2045</vt:lpstr>
      <vt:lpstr>Locatie3!Totaalverbruik_2045</vt:lpstr>
      <vt:lpstr>Blanco!Totaalverbruik_2046</vt:lpstr>
      <vt:lpstr>'cluster eigendom'!Totaalverbruik_2046</vt:lpstr>
      <vt:lpstr>'cluster huur'!Totaalverbruik_2046</vt:lpstr>
      <vt:lpstr>Locatie1!Totaalverbruik_2046</vt:lpstr>
      <vt:lpstr>Locatie2!Totaalverbruik_2046</vt:lpstr>
      <vt:lpstr>Locatie3!Totaalverbruik_2046</vt:lpstr>
      <vt:lpstr>Blanco!Totaalverbruik_2047</vt:lpstr>
      <vt:lpstr>'cluster eigendom'!Totaalverbruik_2047</vt:lpstr>
      <vt:lpstr>'cluster huur'!Totaalverbruik_2047</vt:lpstr>
      <vt:lpstr>Locatie1!Totaalverbruik_2047</vt:lpstr>
      <vt:lpstr>Locatie2!Totaalverbruik_2047</vt:lpstr>
      <vt:lpstr>Locatie3!Totaalverbruik_2047</vt:lpstr>
      <vt:lpstr>Blanco!Totaalverbruik_2048</vt:lpstr>
      <vt:lpstr>'cluster eigendom'!Totaalverbruik_2048</vt:lpstr>
      <vt:lpstr>'cluster huur'!Totaalverbruik_2048</vt:lpstr>
      <vt:lpstr>Locatie1!Totaalverbruik_2048</vt:lpstr>
      <vt:lpstr>Locatie2!Totaalverbruik_2048</vt:lpstr>
      <vt:lpstr>Locatie3!Totaalverbruik_2048</vt:lpstr>
      <vt:lpstr>Blanco!Totaalverbruik_2049</vt:lpstr>
      <vt:lpstr>'cluster eigendom'!Totaalverbruik_2049</vt:lpstr>
      <vt:lpstr>'cluster huur'!Totaalverbruik_2049</vt:lpstr>
      <vt:lpstr>Locatie1!Totaalverbruik_2049</vt:lpstr>
      <vt:lpstr>Locatie2!Totaalverbruik_2049</vt:lpstr>
      <vt:lpstr>Locatie3!Totaalverbruik_2049</vt:lpstr>
      <vt:lpstr>Blanco!Totaalverbruik_2050</vt:lpstr>
      <vt:lpstr>'cluster eigendom'!Totaalverbruik_2050</vt:lpstr>
      <vt:lpstr>'cluster huur'!Totaalverbruik_2050</vt:lpstr>
      <vt:lpstr>Locatie1!Totaalverbruik_2050</vt:lpstr>
      <vt:lpstr>Locatie2!Totaalverbruik_2050</vt:lpstr>
      <vt:lpstr>Locatie3!Totaalverbruik_2050</vt:lpstr>
      <vt:lpstr>Blanco!Totaalverbruikm2_2018</vt:lpstr>
      <vt:lpstr>'cluster eigendom'!Totaalverbruikm2_2018</vt:lpstr>
      <vt:lpstr>'cluster huur'!Totaalverbruikm2_2018</vt:lpstr>
      <vt:lpstr>Locatie1!Totaalverbruikm2_2018</vt:lpstr>
      <vt:lpstr>Locatie2!Totaalverbruikm2_2018</vt:lpstr>
      <vt:lpstr>Locatie3!Totaalverbruikm2_2018</vt:lpstr>
      <vt:lpstr>Blanco!Totaalverbruikm2_2019</vt:lpstr>
      <vt:lpstr>'cluster eigendom'!Totaalverbruikm2_2019</vt:lpstr>
      <vt:lpstr>'cluster huur'!Totaalverbruikm2_2019</vt:lpstr>
      <vt:lpstr>Locatie1!Totaalverbruikm2_2019</vt:lpstr>
      <vt:lpstr>Locatie2!Totaalverbruikm2_2019</vt:lpstr>
      <vt:lpstr>Locatie3!Totaalverbruikm2_2019</vt:lpstr>
      <vt:lpstr>Blanco!Totaalverbruikm2_2020</vt:lpstr>
      <vt:lpstr>'cluster eigendom'!Totaalverbruikm2_2020</vt:lpstr>
      <vt:lpstr>'cluster huur'!Totaalverbruikm2_2020</vt:lpstr>
      <vt:lpstr>Locatie1!Totaalverbruikm2_2020</vt:lpstr>
      <vt:lpstr>Locatie2!Totaalverbruikm2_2020</vt:lpstr>
      <vt:lpstr>Locatie3!Totaalverbruikm2_2020</vt:lpstr>
      <vt:lpstr>Blanco!Totaalverbruikm2_2021</vt:lpstr>
      <vt:lpstr>'cluster eigendom'!Totaalverbruikm2_2021</vt:lpstr>
      <vt:lpstr>'cluster huur'!Totaalverbruikm2_2021</vt:lpstr>
      <vt:lpstr>Locatie1!Totaalverbruikm2_2021</vt:lpstr>
      <vt:lpstr>Locatie2!Totaalverbruikm2_2021</vt:lpstr>
      <vt:lpstr>Locatie3!Totaalverbruikm2_2021</vt:lpstr>
      <vt:lpstr>Blanco!Totaalverbruikm2_2022</vt:lpstr>
      <vt:lpstr>'cluster eigendom'!Totaalverbruikm2_2022</vt:lpstr>
      <vt:lpstr>'cluster huur'!Totaalverbruikm2_2022</vt:lpstr>
      <vt:lpstr>Locatie1!Totaalverbruikm2_2022</vt:lpstr>
      <vt:lpstr>Locatie2!Totaalverbruikm2_2022</vt:lpstr>
      <vt:lpstr>Locatie3!Totaalverbruikm2_2022</vt:lpstr>
      <vt:lpstr>Blanco!Totaalverbruikm2_2023</vt:lpstr>
      <vt:lpstr>'cluster eigendom'!Totaalverbruikm2_2023</vt:lpstr>
      <vt:lpstr>'cluster huur'!Totaalverbruikm2_2023</vt:lpstr>
      <vt:lpstr>Locatie1!Totaalverbruikm2_2023</vt:lpstr>
      <vt:lpstr>Locatie2!Totaalverbruikm2_2023</vt:lpstr>
      <vt:lpstr>Locatie3!Totaalverbruikm2_2023</vt:lpstr>
      <vt:lpstr>Blanco!Totaalverbruikm2_2024</vt:lpstr>
      <vt:lpstr>'cluster eigendom'!Totaalverbruikm2_2024</vt:lpstr>
      <vt:lpstr>'cluster huur'!Totaalverbruikm2_2024</vt:lpstr>
      <vt:lpstr>Locatie1!Totaalverbruikm2_2024</vt:lpstr>
      <vt:lpstr>Locatie2!Totaalverbruikm2_2024</vt:lpstr>
      <vt:lpstr>Locatie3!Totaalverbruikm2_2024</vt:lpstr>
      <vt:lpstr>Blanco!Totaalverbruikm2_2025</vt:lpstr>
      <vt:lpstr>'cluster eigendom'!Totaalverbruikm2_2025</vt:lpstr>
      <vt:lpstr>'cluster huur'!Totaalverbruikm2_2025</vt:lpstr>
      <vt:lpstr>Locatie1!Totaalverbruikm2_2025</vt:lpstr>
      <vt:lpstr>Locatie2!Totaalverbruikm2_2025</vt:lpstr>
      <vt:lpstr>Locatie3!Totaalverbruikm2_2025</vt:lpstr>
      <vt:lpstr>Blanco!Totaalverbruikm2_2026</vt:lpstr>
      <vt:lpstr>'cluster eigendom'!Totaalverbruikm2_2026</vt:lpstr>
      <vt:lpstr>'cluster huur'!Totaalverbruikm2_2026</vt:lpstr>
      <vt:lpstr>Locatie1!Totaalverbruikm2_2026</vt:lpstr>
      <vt:lpstr>Locatie2!Totaalverbruikm2_2026</vt:lpstr>
      <vt:lpstr>Locatie3!Totaalverbruikm2_2026</vt:lpstr>
      <vt:lpstr>Blanco!Totaalverbruikm2_2027</vt:lpstr>
      <vt:lpstr>'cluster eigendom'!Totaalverbruikm2_2027</vt:lpstr>
      <vt:lpstr>'cluster huur'!Totaalverbruikm2_2027</vt:lpstr>
      <vt:lpstr>Locatie1!Totaalverbruikm2_2027</vt:lpstr>
      <vt:lpstr>Locatie2!Totaalverbruikm2_2027</vt:lpstr>
      <vt:lpstr>Locatie3!Totaalverbruikm2_2027</vt:lpstr>
      <vt:lpstr>Blanco!Totaalverbruikm2_2028</vt:lpstr>
      <vt:lpstr>'cluster eigendom'!Totaalverbruikm2_2028</vt:lpstr>
      <vt:lpstr>'cluster huur'!Totaalverbruikm2_2028</vt:lpstr>
      <vt:lpstr>Locatie1!Totaalverbruikm2_2028</vt:lpstr>
      <vt:lpstr>Locatie2!Totaalverbruikm2_2028</vt:lpstr>
      <vt:lpstr>Locatie3!Totaalverbruikm2_2028</vt:lpstr>
      <vt:lpstr>Blanco!Totaalverbruikm2_2029</vt:lpstr>
      <vt:lpstr>'cluster eigendom'!Totaalverbruikm2_2029</vt:lpstr>
      <vt:lpstr>'cluster huur'!Totaalverbruikm2_2029</vt:lpstr>
      <vt:lpstr>Locatie1!Totaalverbruikm2_2029</vt:lpstr>
      <vt:lpstr>Locatie2!Totaalverbruikm2_2029</vt:lpstr>
      <vt:lpstr>Locatie3!Totaalverbruikm2_2029</vt:lpstr>
      <vt:lpstr>Blanco!Totaalverbruikm2_2030</vt:lpstr>
      <vt:lpstr>'cluster eigendom'!Totaalverbruikm2_2030</vt:lpstr>
      <vt:lpstr>'cluster huur'!Totaalverbruikm2_2030</vt:lpstr>
      <vt:lpstr>Locatie1!Totaalverbruikm2_2030</vt:lpstr>
      <vt:lpstr>Locatie2!Totaalverbruikm2_2030</vt:lpstr>
      <vt:lpstr>Locatie3!Totaalverbruikm2_2030</vt:lpstr>
      <vt:lpstr>Blanco!Totaalverbruikm2_2031</vt:lpstr>
      <vt:lpstr>'cluster eigendom'!Totaalverbruikm2_2031</vt:lpstr>
      <vt:lpstr>'cluster huur'!Totaalverbruikm2_2031</vt:lpstr>
      <vt:lpstr>Locatie1!Totaalverbruikm2_2031</vt:lpstr>
      <vt:lpstr>Locatie2!Totaalverbruikm2_2031</vt:lpstr>
      <vt:lpstr>Locatie3!Totaalverbruikm2_2031</vt:lpstr>
      <vt:lpstr>Blanco!Totaalverbruikm2_2032</vt:lpstr>
      <vt:lpstr>'cluster eigendom'!Totaalverbruikm2_2032</vt:lpstr>
      <vt:lpstr>'cluster huur'!Totaalverbruikm2_2032</vt:lpstr>
      <vt:lpstr>Locatie1!Totaalverbruikm2_2032</vt:lpstr>
      <vt:lpstr>Locatie2!Totaalverbruikm2_2032</vt:lpstr>
      <vt:lpstr>Locatie3!Totaalverbruikm2_2032</vt:lpstr>
      <vt:lpstr>Blanco!Totaalverbruikm2_2033</vt:lpstr>
      <vt:lpstr>'cluster eigendom'!Totaalverbruikm2_2033</vt:lpstr>
      <vt:lpstr>'cluster huur'!Totaalverbruikm2_2033</vt:lpstr>
      <vt:lpstr>Locatie1!Totaalverbruikm2_2033</vt:lpstr>
      <vt:lpstr>Locatie2!Totaalverbruikm2_2033</vt:lpstr>
      <vt:lpstr>Locatie3!Totaalverbruikm2_2033</vt:lpstr>
      <vt:lpstr>Blanco!Totaalverbruikm2_2034</vt:lpstr>
      <vt:lpstr>'cluster eigendom'!Totaalverbruikm2_2034</vt:lpstr>
      <vt:lpstr>'cluster huur'!Totaalverbruikm2_2034</vt:lpstr>
      <vt:lpstr>Locatie1!Totaalverbruikm2_2034</vt:lpstr>
      <vt:lpstr>Locatie2!Totaalverbruikm2_2034</vt:lpstr>
      <vt:lpstr>Locatie3!Totaalverbruikm2_2034</vt:lpstr>
      <vt:lpstr>Blanco!Totaalverbruikm2_2035</vt:lpstr>
      <vt:lpstr>'cluster eigendom'!Totaalverbruikm2_2035</vt:lpstr>
      <vt:lpstr>'cluster huur'!Totaalverbruikm2_2035</vt:lpstr>
      <vt:lpstr>Locatie1!Totaalverbruikm2_2035</vt:lpstr>
      <vt:lpstr>Locatie2!Totaalverbruikm2_2035</vt:lpstr>
      <vt:lpstr>Locatie3!Totaalverbruikm2_2035</vt:lpstr>
      <vt:lpstr>Blanco!Totaalverbruikm2_2036</vt:lpstr>
      <vt:lpstr>'cluster eigendom'!Totaalverbruikm2_2036</vt:lpstr>
      <vt:lpstr>'cluster huur'!Totaalverbruikm2_2036</vt:lpstr>
      <vt:lpstr>Locatie1!Totaalverbruikm2_2036</vt:lpstr>
      <vt:lpstr>Locatie2!Totaalverbruikm2_2036</vt:lpstr>
      <vt:lpstr>Locatie3!Totaalverbruikm2_2036</vt:lpstr>
      <vt:lpstr>Blanco!Totaalverbruikm2_2037</vt:lpstr>
      <vt:lpstr>'cluster eigendom'!Totaalverbruikm2_2037</vt:lpstr>
      <vt:lpstr>'cluster huur'!Totaalverbruikm2_2037</vt:lpstr>
      <vt:lpstr>Locatie1!Totaalverbruikm2_2037</vt:lpstr>
      <vt:lpstr>Locatie2!Totaalverbruikm2_2037</vt:lpstr>
      <vt:lpstr>Locatie3!Totaalverbruikm2_2037</vt:lpstr>
      <vt:lpstr>Blanco!Totaalverbruikm2_2038</vt:lpstr>
      <vt:lpstr>'cluster eigendom'!Totaalverbruikm2_2038</vt:lpstr>
      <vt:lpstr>'cluster huur'!Totaalverbruikm2_2038</vt:lpstr>
      <vt:lpstr>Locatie1!Totaalverbruikm2_2038</vt:lpstr>
      <vt:lpstr>Locatie2!Totaalverbruikm2_2038</vt:lpstr>
      <vt:lpstr>Locatie3!Totaalverbruikm2_2038</vt:lpstr>
      <vt:lpstr>Blanco!Totaalverbruikm2_2039</vt:lpstr>
      <vt:lpstr>'cluster eigendom'!Totaalverbruikm2_2039</vt:lpstr>
      <vt:lpstr>'cluster huur'!Totaalverbruikm2_2039</vt:lpstr>
      <vt:lpstr>Locatie1!Totaalverbruikm2_2039</vt:lpstr>
      <vt:lpstr>Locatie2!Totaalverbruikm2_2039</vt:lpstr>
      <vt:lpstr>Locatie3!Totaalverbruikm2_2039</vt:lpstr>
      <vt:lpstr>Blanco!Totaalverbruikm2_2040</vt:lpstr>
      <vt:lpstr>'cluster eigendom'!Totaalverbruikm2_2040</vt:lpstr>
      <vt:lpstr>'cluster huur'!Totaalverbruikm2_2040</vt:lpstr>
      <vt:lpstr>Locatie1!Totaalverbruikm2_2040</vt:lpstr>
      <vt:lpstr>Locatie2!Totaalverbruikm2_2040</vt:lpstr>
      <vt:lpstr>Locatie3!Totaalverbruikm2_2040</vt:lpstr>
      <vt:lpstr>Blanco!Totaalverbruikm2_2041</vt:lpstr>
      <vt:lpstr>'cluster eigendom'!Totaalverbruikm2_2041</vt:lpstr>
      <vt:lpstr>'cluster huur'!Totaalverbruikm2_2041</vt:lpstr>
      <vt:lpstr>Locatie1!Totaalverbruikm2_2041</vt:lpstr>
      <vt:lpstr>Locatie2!Totaalverbruikm2_2041</vt:lpstr>
      <vt:lpstr>Locatie3!Totaalverbruikm2_2041</vt:lpstr>
      <vt:lpstr>Blanco!Totaalverbruikm2_2042</vt:lpstr>
      <vt:lpstr>'cluster eigendom'!Totaalverbruikm2_2042</vt:lpstr>
      <vt:lpstr>'cluster huur'!Totaalverbruikm2_2042</vt:lpstr>
      <vt:lpstr>Locatie1!Totaalverbruikm2_2042</vt:lpstr>
      <vt:lpstr>Locatie2!Totaalverbruikm2_2042</vt:lpstr>
      <vt:lpstr>Locatie3!Totaalverbruikm2_2042</vt:lpstr>
      <vt:lpstr>Blanco!Totaalverbruikm2_2043</vt:lpstr>
      <vt:lpstr>'cluster eigendom'!Totaalverbruikm2_2043</vt:lpstr>
      <vt:lpstr>'cluster huur'!Totaalverbruikm2_2043</vt:lpstr>
      <vt:lpstr>Locatie1!Totaalverbruikm2_2043</vt:lpstr>
      <vt:lpstr>Locatie2!Totaalverbruikm2_2043</vt:lpstr>
      <vt:lpstr>Locatie3!Totaalverbruikm2_2043</vt:lpstr>
      <vt:lpstr>Blanco!Totaalverbruikm2_2044</vt:lpstr>
      <vt:lpstr>'cluster eigendom'!Totaalverbruikm2_2044</vt:lpstr>
      <vt:lpstr>'cluster huur'!Totaalverbruikm2_2044</vt:lpstr>
      <vt:lpstr>Locatie1!Totaalverbruikm2_2044</vt:lpstr>
      <vt:lpstr>Locatie2!Totaalverbruikm2_2044</vt:lpstr>
      <vt:lpstr>Locatie3!Totaalverbruikm2_2044</vt:lpstr>
      <vt:lpstr>Blanco!Totaalverbruikm2_2045</vt:lpstr>
      <vt:lpstr>'cluster eigendom'!Totaalverbruikm2_2045</vt:lpstr>
      <vt:lpstr>'cluster huur'!Totaalverbruikm2_2045</vt:lpstr>
      <vt:lpstr>Locatie1!Totaalverbruikm2_2045</vt:lpstr>
      <vt:lpstr>Locatie2!Totaalverbruikm2_2045</vt:lpstr>
      <vt:lpstr>Locatie3!Totaalverbruikm2_2045</vt:lpstr>
      <vt:lpstr>Blanco!Totaalverbruikm2_2046</vt:lpstr>
      <vt:lpstr>'cluster eigendom'!Totaalverbruikm2_2046</vt:lpstr>
      <vt:lpstr>'cluster huur'!Totaalverbruikm2_2046</vt:lpstr>
      <vt:lpstr>Locatie1!Totaalverbruikm2_2046</vt:lpstr>
      <vt:lpstr>Locatie2!Totaalverbruikm2_2046</vt:lpstr>
      <vt:lpstr>Locatie3!Totaalverbruikm2_2046</vt:lpstr>
      <vt:lpstr>Blanco!Totaalverbruikm2_2047</vt:lpstr>
      <vt:lpstr>'cluster eigendom'!Totaalverbruikm2_2047</vt:lpstr>
      <vt:lpstr>'cluster huur'!Totaalverbruikm2_2047</vt:lpstr>
      <vt:lpstr>Locatie1!Totaalverbruikm2_2047</vt:lpstr>
      <vt:lpstr>Locatie2!Totaalverbruikm2_2047</vt:lpstr>
      <vt:lpstr>Locatie3!Totaalverbruikm2_2047</vt:lpstr>
      <vt:lpstr>Blanco!Totaalverbruikm2_2048</vt:lpstr>
      <vt:lpstr>'cluster eigendom'!Totaalverbruikm2_2048</vt:lpstr>
      <vt:lpstr>'cluster huur'!Totaalverbruikm2_2048</vt:lpstr>
      <vt:lpstr>Locatie1!Totaalverbruikm2_2048</vt:lpstr>
      <vt:lpstr>Locatie2!Totaalverbruikm2_2048</vt:lpstr>
      <vt:lpstr>Locatie3!Totaalverbruikm2_2048</vt:lpstr>
      <vt:lpstr>Blanco!Totaalverbruikm2_2049</vt:lpstr>
      <vt:lpstr>'cluster eigendom'!Totaalverbruikm2_2049</vt:lpstr>
      <vt:lpstr>'cluster huur'!Totaalverbruikm2_2049</vt:lpstr>
      <vt:lpstr>Locatie1!Totaalverbruikm2_2049</vt:lpstr>
      <vt:lpstr>Locatie2!Totaalverbruikm2_2049</vt:lpstr>
      <vt:lpstr>Locatie3!Totaalverbruikm2_2049</vt:lpstr>
      <vt:lpstr>Blanco!Totaalverbruikm2_2050</vt:lpstr>
      <vt:lpstr>'cluster eigendom'!Totaalverbruikm2_2050</vt:lpstr>
      <vt:lpstr>'cluster huur'!Totaalverbruikm2_2050</vt:lpstr>
      <vt:lpstr>Locatie1!Totaalverbruikm2_2050</vt:lpstr>
      <vt:lpstr>Locatie2!Totaalverbruikm2_2050</vt:lpstr>
      <vt:lpstr>Locatie3!Totaalverbruikm2_2050</vt:lpstr>
      <vt:lpstr>Blanco!Totaleinkoop_2018</vt:lpstr>
      <vt:lpstr>'cluster eigendom'!Totaleinkoop_2018</vt:lpstr>
      <vt:lpstr>'cluster huur'!Totaleinkoop_2018</vt:lpstr>
      <vt:lpstr>Locatie1!Totaleinkoop_2018</vt:lpstr>
      <vt:lpstr>Locatie2!Totaleinkoop_2018</vt:lpstr>
      <vt:lpstr>Locatie3!Totaleinkoop_2018</vt:lpstr>
      <vt:lpstr>Blanco!Totaleinkoop_2019</vt:lpstr>
      <vt:lpstr>'cluster eigendom'!Totaleinkoop_2019</vt:lpstr>
      <vt:lpstr>'cluster huur'!Totaleinkoop_2019</vt:lpstr>
      <vt:lpstr>Locatie1!Totaleinkoop_2019</vt:lpstr>
      <vt:lpstr>Locatie2!Totaleinkoop_2019</vt:lpstr>
      <vt:lpstr>Locatie3!Totaleinkoop_2019</vt:lpstr>
      <vt:lpstr>Blanco!Totaleinkoop_2020</vt:lpstr>
      <vt:lpstr>'cluster eigendom'!Totaleinkoop_2020</vt:lpstr>
      <vt:lpstr>'cluster huur'!Totaleinkoop_2020</vt:lpstr>
      <vt:lpstr>Locatie1!Totaleinkoop_2020</vt:lpstr>
      <vt:lpstr>Locatie2!Totaleinkoop_2020</vt:lpstr>
      <vt:lpstr>Locatie3!Totaleinkoop_2020</vt:lpstr>
      <vt:lpstr>Blanco!Totaleinkoop_2021</vt:lpstr>
      <vt:lpstr>'cluster eigendom'!Totaleinkoop_2021</vt:lpstr>
      <vt:lpstr>'cluster huur'!Totaleinkoop_2021</vt:lpstr>
      <vt:lpstr>Locatie1!Totaleinkoop_2021</vt:lpstr>
      <vt:lpstr>Locatie2!Totaleinkoop_2021</vt:lpstr>
      <vt:lpstr>Locatie3!Totaleinkoop_2021</vt:lpstr>
      <vt:lpstr>Blanco!Totaleinkoop_2022</vt:lpstr>
      <vt:lpstr>'cluster eigendom'!Totaleinkoop_2022</vt:lpstr>
      <vt:lpstr>'cluster huur'!Totaleinkoop_2022</vt:lpstr>
      <vt:lpstr>Locatie1!Totaleinkoop_2022</vt:lpstr>
      <vt:lpstr>Locatie2!Totaleinkoop_2022</vt:lpstr>
      <vt:lpstr>Locatie3!Totaleinkoop_2022</vt:lpstr>
      <vt:lpstr>Blanco!Totaleinkoop_2023</vt:lpstr>
      <vt:lpstr>'cluster eigendom'!Totaleinkoop_2023</vt:lpstr>
      <vt:lpstr>'cluster huur'!Totaleinkoop_2023</vt:lpstr>
      <vt:lpstr>Locatie1!Totaleinkoop_2023</vt:lpstr>
      <vt:lpstr>Locatie2!Totaleinkoop_2023</vt:lpstr>
      <vt:lpstr>Locatie3!Totaleinkoop_2023</vt:lpstr>
      <vt:lpstr>Blanco!Totaleinkoop_2024</vt:lpstr>
      <vt:lpstr>'cluster eigendom'!Totaleinkoop_2024</vt:lpstr>
      <vt:lpstr>'cluster huur'!Totaleinkoop_2024</vt:lpstr>
      <vt:lpstr>Locatie1!Totaleinkoop_2024</vt:lpstr>
      <vt:lpstr>Locatie2!Totaleinkoop_2024</vt:lpstr>
      <vt:lpstr>Locatie3!Totaleinkoop_2024</vt:lpstr>
      <vt:lpstr>Blanco!Totaleinkoop_2025</vt:lpstr>
      <vt:lpstr>'cluster eigendom'!Totaleinkoop_2025</vt:lpstr>
      <vt:lpstr>'cluster huur'!Totaleinkoop_2025</vt:lpstr>
      <vt:lpstr>Locatie1!Totaleinkoop_2025</vt:lpstr>
      <vt:lpstr>Locatie2!Totaleinkoop_2025</vt:lpstr>
      <vt:lpstr>Locatie3!Totaleinkoop_2025</vt:lpstr>
      <vt:lpstr>Blanco!Totaleinkoop_2026</vt:lpstr>
      <vt:lpstr>'cluster eigendom'!Totaleinkoop_2026</vt:lpstr>
      <vt:lpstr>'cluster huur'!Totaleinkoop_2026</vt:lpstr>
      <vt:lpstr>Locatie1!Totaleinkoop_2026</vt:lpstr>
      <vt:lpstr>Locatie2!Totaleinkoop_2026</vt:lpstr>
      <vt:lpstr>Locatie3!Totaleinkoop_2026</vt:lpstr>
      <vt:lpstr>Blanco!Totaleinkoop_2027</vt:lpstr>
      <vt:lpstr>'cluster eigendom'!Totaleinkoop_2027</vt:lpstr>
      <vt:lpstr>'cluster huur'!Totaleinkoop_2027</vt:lpstr>
      <vt:lpstr>Locatie1!Totaleinkoop_2027</vt:lpstr>
      <vt:lpstr>Locatie2!Totaleinkoop_2027</vt:lpstr>
      <vt:lpstr>Locatie3!Totaleinkoop_2027</vt:lpstr>
      <vt:lpstr>Blanco!Totaleinkoop_2028</vt:lpstr>
      <vt:lpstr>'cluster eigendom'!Totaleinkoop_2028</vt:lpstr>
      <vt:lpstr>'cluster huur'!Totaleinkoop_2028</vt:lpstr>
      <vt:lpstr>Locatie1!Totaleinkoop_2028</vt:lpstr>
      <vt:lpstr>Locatie2!Totaleinkoop_2028</vt:lpstr>
      <vt:lpstr>Locatie3!Totaleinkoop_2028</vt:lpstr>
      <vt:lpstr>Blanco!Totaleinkoop_2029</vt:lpstr>
      <vt:lpstr>'cluster eigendom'!Totaleinkoop_2029</vt:lpstr>
      <vt:lpstr>'cluster huur'!Totaleinkoop_2029</vt:lpstr>
      <vt:lpstr>Locatie1!Totaleinkoop_2029</vt:lpstr>
      <vt:lpstr>Locatie2!Totaleinkoop_2029</vt:lpstr>
      <vt:lpstr>Locatie3!Totaleinkoop_2029</vt:lpstr>
      <vt:lpstr>Blanco!Totaleinkoop_2030</vt:lpstr>
      <vt:lpstr>'cluster eigendom'!Totaleinkoop_2030</vt:lpstr>
      <vt:lpstr>'cluster huur'!Totaleinkoop_2030</vt:lpstr>
      <vt:lpstr>Locatie1!Totaleinkoop_2030</vt:lpstr>
      <vt:lpstr>Locatie2!Totaleinkoop_2030</vt:lpstr>
      <vt:lpstr>Locatie3!Totaleinkoop_2030</vt:lpstr>
      <vt:lpstr>Blanco!Totaleinkoop_2031</vt:lpstr>
      <vt:lpstr>'cluster eigendom'!Totaleinkoop_2031</vt:lpstr>
      <vt:lpstr>'cluster huur'!Totaleinkoop_2031</vt:lpstr>
      <vt:lpstr>Locatie1!Totaleinkoop_2031</vt:lpstr>
      <vt:lpstr>Locatie2!Totaleinkoop_2031</vt:lpstr>
      <vt:lpstr>Locatie3!Totaleinkoop_2031</vt:lpstr>
      <vt:lpstr>Blanco!Totaleinkoop_2032</vt:lpstr>
      <vt:lpstr>'cluster eigendom'!Totaleinkoop_2032</vt:lpstr>
      <vt:lpstr>'cluster huur'!Totaleinkoop_2032</vt:lpstr>
      <vt:lpstr>Locatie1!Totaleinkoop_2032</vt:lpstr>
      <vt:lpstr>Locatie2!Totaleinkoop_2032</vt:lpstr>
      <vt:lpstr>Locatie3!Totaleinkoop_2032</vt:lpstr>
      <vt:lpstr>Blanco!Totaleinkoop_2033</vt:lpstr>
      <vt:lpstr>'cluster eigendom'!Totaleinkoop_2033</vt:lpstr>
      <vt:lpstr>'cluster huur'!Totaleinkoop_2033</vt:lpstr>
      <vt:lpstr>Locatie1!Totaleinkoop_2033</vt:lpstr>
      <vt:lpstr>Locatie2!Totaleinkoop_2033</vt:lpstr>
      <vt:lpstr>Locatie3!Totaleinkoop_2033</vt:lpstr>
      <vt:lpstr>Blanco!Totaleinkoop_2034</vt:lpstr>
      <vt:lpstr>'cluster eigendom'!Totaleinkoop_2034</vt:lpstr>
      <vt:lpstr>'cluster huur'!Totaleinkoop_2034</vt:lpstr>
      <vt:lpstr>Locatie1!Totaleinkoop_2034</vt:lpstr>
      <vt:lpstr>Locatie2!Totaleinkoop_2034</vt:lpstr>
      <vt:lpstr>Locatie3!Totaleinkoop_2034</vt:lpstr>
      <vt:lpstr>Blanco!Totaleinkoop_2035</vt:lpstr>
      <vt:lpstr>'cluster eigendom'!Totaleinkoop_2035</vt:lpstr>
      <vt:lpstr>'cluster huur'!Totaleinkoop_2035</vt:lpstr>
      <vt:lpstr>Locatie1!Totaleinkoop_2035</vt:lpstr>
      <vt:lpstr>Locatie2!Totaleinkoop_2035</vt:lpstr>
      <vt:lpstr>Locatie3!Totaleinkoop_2035</vt:lpstr>
      <vt:lpstr>Blanco!Totaleinkoop_2036</vt:lpstr>
      <vt:lpstr>'cluster eigendom'!Totaleinkoop_2036</vt:lpstr>
      <vt:lpstr>'cluster huur'!Totaleinkoop_2036</vt:lpstr>
      <vt:lpstr>Locatie1!Totaleinkoop_2036</vt:lpstr>
      <vt:lpstr>Locatie2!Totaleinkoop_2036</vt:lpstr>
      <vt:lpstr>Locatie3!Totaleinkoop_2036</vt:lpstr>
      <vt:lpstr>Blanco!Totaleinkoop_2037</vt:lpstr>
      <vt:lpstr>'cluster eigendom'!Totaleinkoop_2037</vt:lpstr>
      <vt:lpstr>'cluster huur'!Totaleinkoop_2037</vt:lpstr>
      <vt:lpstr>Locatie1!Totaleinkoop_2037</vt:lpstr>
      <vt:lpstr>Locatie2!Totaleinkoop_2037</vt:lpstr>
      <vt:lpstr>Locatie3!Totaleinkoop_2037</vt:lpstr>
      <vt:lpstr>Blanco!Totaleinkoop_2038</vt:lpstr>
      <vt:lpstr>'cluster eigendom'!Totaleinkoop_2038</vt:lpstr>
      <vt:lpstr>'cluster huur'!Totaleinkoop_2038</vt:lpstr>
      <vt:lpstr>Locatie1!Totaleinkoop_2038</vt:lpstr>
      <vt:lpstr>Locatie2!Totaleinkoop_2038</vt:lpstr>
      <vt:lpstr>Locatie3!Totaleinkoop_2038</vt:lpstr>
      <vt:lpstr>Blanco!Totaleinkoop_2039</vt:lpstr>
      <vt:lpstr>'cluster eigendom'!Totaleinkoop_2039</vt:lpstr>
      <vt:lpstr>'cluster huur'!Totaleinkoop_2039</vt:lpstr>
      <vt:lpstr>Locatie1!Totaleinkoop_2039</vt:lpstr>
      <vt:lpstr>Locatie2!Totaleinkoop_2039</vt:lpstr>
      <vt:lpstr>Locatie3!Totaleinkoop_2039</vt:lpstr>
      <vt:lpstr>Blanco!Totaleinkoop_2040</vt:lpstr>
      <vt:lpstr>'cluster eigendom'!Totaleinkoop_2040</vt:lpstr>
      <vt:lpstr>'cluster huur'!Totaleinkoop_2040</vt:lpstr>
      <vt:lpstr>Locatie1!Totaleinkoop_2040</vt:lpstr>
      <vt:lpstr>Locatie2!Totaleinkoop_2040</vt:lpstr>
      <vt:lpstr>Locatie3!Totaleinkoop_2040</vt:lpstr>
      <vt:lpstr>Blanco!Totaleinkoop_2041</vt:lpstr>
      <vt:lpstr>'cluster eigendom'!Totaleinkoop_2041</vt:lpstr>
      <vt:lpstr>'cluster huur'!Totaleinkoop_2041</vt:lpstr>
      <vt:lpstr>Locatie1!Totaleinkoop_2041</vt:lpstr>
      <vt:lpstr>Locatie2!Totaleinkoop_2041</vt:lpstr>
      <vt:lpstr>Locatie3!Totaleinkoop_2041</vt:lpstr>
      <vt:lpstr>Blanco!Totaleinkoop_2042</vt:lpstr>
      <vt:lpstr>'cluster eigendom'!Totaleinkoop_2042</vt:lpstr>
      <vt:lpstr>'cluster huur'!Totaleinkoop_2042</vt:lpstr>
      <vt:lpstr>Locatie1!Totaleinkoop_2042</vt:lpstr>
      <vt:lpstr>Locatie2!Totaleinkoop_2042</vt:lpstr>
      <vt:lpstr>Locatie3!Totaleinkoop_2042</vt:lpstr>
      <vt:lpstr>Blanco!Totaleinkoop_2043</vt:lpstr>
      <vt:lpstr>'cluster eigendom'!Totaleinkoop_2043</vt:lpstr>
      <vt:lpstr>'cluster huur'!Totaleinkoop_2043</vt:lpstr>
      <vt:lpstr>Locatie1!Totaleinkoop_2043</vt:lpstr>
      <vt:lpstr>Locatie2!Totaleinkoop_2043</vt:lpstr>
      <vt:lpstr>Locatie3!Totaleinkoop_2043</vt:lpstr>
      <vt:lpstr>Blanco!Totaleinkoop_2044</vt:lpstr>
      <vt:lpstr>'cluster eigendom'!Totaleinkoop_2044</vt:lpstr>
      <vt:lpstr>'cluster huur'!Totaleinkoop_2044</vt:lpstr>
      <vt:lpstr>Locatie1!Totaleinkoop_2044</vt:lpstr>
      <vt:lpstr>Locatie2!Totaleinkoop_2044</vt:lpstr>
      <vt:lpstr>Locatie3!Totaleinkoop_2044</vt:lpstr>
      <vt:lpstr>Blanco!Totaleinkoop_2045</vt:lpstr>
      <vt:lpstr>'cluster eigendom'!Totaleinkoop_2045</vt:lpstr>
      <vt:lpstr>'cluster huur'!Totaleinkoop_2045</vt:lpstr>
      <vt:lpstr>Locatie1!Totaleinkoop_2045</vt:lpstr>
      <vt:lpstr>Locatie2!Totaleinkoop_2045</vt:lpstr>
      <vt:lpstr>Locatie3!Totaleinkoop_2045</vt:lpstr>
      <vt:lpstr>Blanco!Totaleinkoop_2046</vt:lpstr>
      <vt:lpstr>'cluster eigendom'!Totaleinkoop_2046</vt:lpstr>
      <vt:lpstr>'cluster huur'!Totaleinkoop_2046</vt:lpstr>
      <vt:lpstr>Locatie1!Totaleinkoop_2046</vt:lpstr>
      <vt:lpstr>Locatie2!Totaleinkoop_2046</vt:lpstr>
      <vt:lpstr>Locatie3!Totaleinkoop_2046</vt:lpstr>
      <vt:lpstr>Blanco!Totaleinkoop_2047</vt:lpstr>
      <vt:lpstr>'cluster eigendom'!Totaleinkoop_2047</vt:lpstr>
      <vt:lpstr>'cluster huur'!Totaleinkoop_2047</vt:lpstr>
      <vt:lpstr>Locatie1!Totaleinkoop_2047</vt:lpstr>
      <vt:lpstr>Locatie2!Totaleinkoop_2047</vt:lpstr>
      <vt:lpstr>Locatie3!Totaleinkoop_2047</vt:lpstr>
      <vt:lpstr>Blanco!Totaleinkoop_2048</vt:lpstr>
      <vt:lpstr>'cluster eigendom'!Totaleinkoop_2048</vt:lpstr>
      <vt:lpstr>'cluster huur'!Totaleinkoop_2048</vt:lpstr>
      <vt:lpstr>Locatie1!Totaleinkoop_2048</vt:lpstr>
      <vt:lpstr>Locatie2!Totaleinkoop_2048</vt:lpstr>
      <vt:lpstr>Locatie3!Totaleinkoop_2048</vt:lpstr>
      <vt:lpstr>Blanco!Totaleinkoop_2049</vt:lpstr>
      <vt:lpstr>'cluster eigendom'!Totaleinkoop_2049</vt:lpstr>
      <vt:lpstr>'cluster huur'!Totaleinkoop_2049</vt:lpstr>
      <vt:lpstr>Locatie1!Totaleinkoop_2049</vt:lpstr>
      <vt:lpstr>Locatie2!Totaleinkoop_2049</vt:lpstr>
      <vt:lpstr>Locatie3!Totaleinkoop_2049</vt:lpstr>
      <vt:lpstr>Blanco!Totaleinkoop_2050</vt:lpstr>
      <vt:lpstr>'cluster eigendom'!Totaleinkoop_2050</vt:lpstr>
      <vt:lpstr>'cluster huur'!Totaleinkoop_2050</vt:lpstr>
      <vt:lpstr>Locatie1!Totaleinkoop_2050</vt:lpstr>
      <vt:lpstr>Locatie2!Totaleinkoop_2050</vt:lpstr>
      <vt:lpstr>Locatie3!Totaleinkoop_2050</vt:lpstr>
      <vt:lpstr>Blanco!Totaleinkoopm2_2018</vt:lpstr>
      <vt:lpstr>'cluster eigendom'!Totaleinkoopm2_2018</vt:lpstr>
      <vt:lpstr>'cluster huur'!Totaleinkoopm2_2018</vt:lpstr>
      <vt:lpstr>Locatie1!Totaleinkoopm2_2018</vt:lpstr>
      <vt:lpstr>Locatie2!Totaleinkoopm2_2018</vt:lpstr>
      <vt:lpstr>Locatie3!Totaleinkoopm2_2018</vt:lpstr>
      <vt:lpstr>Blanco!Totaleinkoopm2_2019</vt:lpstr>
      <vt:lpstr>'cluster eigendom'!Totaleinkoopm2_2019</vt:lpstr>
      <vt:lpstr>'cluster huur'!Totaleinkoopm2_2019</vt:lpstr>
      <vt:lpstr>Locatie1!Totaleinkoopm2_2019</vt:lpstr>
      <vt:lpstr>Locatie2!Totaleinkoopm2_2019</vt:lpstr>
      <vt:lpstr>Locatie3!Totaleinkoopm2_2019</vt:lpstr>
      <vt:lpstr>Blanco!Totaleinkoopm2_2020</vt:lpstr>
      <vt:lpstr>'cluster eigendom'!Totaleinkoopm2_2020</vt:lpstr>
      <vt:lpstr>'cluster huur'!Totaleinkoopm2_2020</vt:lpstr>
      <vt:lpstr>Locatie1!Totaleinkoopm2_2020</vt:lpstr>
      <vt:lpstr>Locatie2!Totaleinkoopm2_2020</vt:lpstr>
      <vt:lpstr>Locatie3!Totaleinkoopm2_2020</vt:lpstr>
      <vt:lpstr>Blanco!Totaleinkoopm2_2021</vt:lpstr>
      <vt:lpstr>'cluster eigendom'!Totaleinkoopm2_2021</vt:lpstr>
      <vt:lpstr>'cluster huur'!Totaleinkoopm2_2021</vt:lpstr>
      <vt:lpstr>Locatie1!Totaleinkoopm2_2021</vt:lpstr>
      <vt:lpstr>Locatie2!Totaleinkoopm2_2021</vt:lpstr>
      <vt:lpstr>Locatie3!Totaleinkoopm2_2021</vt:lpstr>
      <vt:lpstr>Blanco!Totaleinkoopm2_2022</vt:lpstr>
      <vt:lpstr>'cluster eigendom'!Totaleinkoopm2_2022</vt:lpstr>
      <vt:lpstr>'cluster huur'!Totaleinkoopm2_2022</vt:lpstr>
      <vt:lpstr>Locatie1!Totaleinkoopm2_2022</vt:lpstr>
      <vt:lpstr>Locatie2!Totaleinkoopm2_2022</vt:lpstr>
      <vt:lpstr>Locatie3!Totaleinkoopm2_2022</vt:lpstr>
      <vt:lpstr>Blanco!Totaleinkoopm2_2023</vt:lpstr>
      <vt:lpstr>'cluster eigendom'!Totaleinkoopm2_2023</vt:lpstr>
      <vt:lpstr>'cluster huur'!Totaleinkoopm2_2023</vt:lpstr>
      <vt:lpstr>Locatie1!Totaleinkoopm2_2023</vt:lpstr>
      <vt:lpstr>Locatie2!Totaleinkoopm2_2023</vt:lpstr>
      <vt:lpstr>Locatie3!Totaleinkoopm2_2023</vt:lpstr>
      <vt:lpstr>Blanco!Totaleinkoopm2_2024</vt:lpstr>
      <vt:lpstr>'cluster eigendom'!Totaleinkoopm2_2024</vt:lpstr>
      <vt:lpstr>'cluster huur'!Totaleinkoopm2_2024</vt:lpstr>
      <vt:lpstr>Locatie1!Totaleinkoopm2_2024</vt:lpstr>
      <vt:lpstr>Locatie2!Totaleinkoopm2_2024</vt:lpstr>
      <vt:lpstr>Locatie3!Totaleinkoopm2_2024</vt:lpstr>
      <vt:lpstr>Blanco!Totaleinkoopm2_2025</vt:lpstr>
      <vt:lpstr>'cluster eigendom'!Totaleinkoopm2_2025</vt:lpstr>
      <vt:lpstr>'cluster huur'!Totaleinkoopm2_2025</vt:lpstr>
      <vt:lpstr>Locatie1!Totaleinkoopm2_2025</vt:lpstr>
      <vt:lpstr>Locatie2!Totaleinkoopm2_2025</vt:lpstr>
      <vt:lpstr>Locatie3!Totaleinkoopm2_2025</vt:lpstr>
      <vt:lpstr>Blanco!Totaleinkoopm2_2026</vt:lpstr>
      <vt:lpstr>'cluster eigendom'!Totaleinkoopm2_2026</vt:lpstr>
      <vt:lpstr>'cluster huur'!Totaleinkoopm2_2026</vt:lpstr>
      <vt:lpstr>Locatie1!Totaleinkoopm2_2026</vt:lpstr>
      <vt:lpstr>Locatie2!Totaleinkoopm2_2026</vt:lpstr>
      <vt:lpstr>Locatie3!Totaleinkoopm2_2026</vt:lpstr>
      <vt:lpstr>Blanco!Totaleinkoopm2_2027</vt:lpstr>
      <vt:lpstr>'cluster eigendom'!Totaleinkoopm2_2027</vt:lpstr>
      <vt:lpstr>'cluster huur'!Totaleinkoopm2_2027</vt:lpstr>
      <vt:lpstr>Locatie1!Totaleinkoopm2_2027</vt:lpstr>
      <vt:lpstr>Locatie2!Totaleinkoopm2_2027</vt:lpstr>
      <vt:lpstr>Locatie3!Totaleinkoopm2_2027</vt:lpstr>
      <vt:lpstr>Blanco!Totaleinkoopm2_2028</vt:lpstr>
      <vt:lpstr>'cluster eigendom'!Totaleinkoopm2_2028</vt:lpstr>
      <vt:lpstr>'cluster huur'!Totaleinkoopm2_2028</vt:lpstr>
      <vt:lpstr>Locatie1!Totaleinkoopm2_2028</vt:lpstr>
      <vt:lpstr>Locatie2!Totaleinkoopm2_2028</vt:lpstr>
      <vt:lpstr>Locatie3!Totaleinkoopm2_2028</vt:lpstr>
      <vt:lpstr>Blanco!Totaleinkoopm2_2029</vt:lpstr>
      <vt:lpstr>'cluster eigendom'!Totaleinkoopm2_2029</vt:lpstr>
      <vt:lpstr>'cluster huur'!Totaleinkoopm2_2029</vt:lpstr>
      <vt:lpstr>Locatie1!Totaleinkoopm2_2029</vt:lpstr>
      <vt:lpstr>Locatie2!Totaleinkoopm2_2029</vt:lpstr>
      <vt:lpstr>Locatie3!Totaleinkoopm2_2029</vt:lpstr>
      <vt:lpstr>Blanco!Totaleinkoopm2_2030</vt:lpstr>
      <vt:lpstr>'cluster eigendom'!Totaleinkoopm2_2030</vt:lpstr>
      <vt:lpstr>'cluster huur'!Totaleinkoopm2_2030</vt:lpstr>
      <vt:lpstr>Locatie1!Totaleinkoopm2_2030</vt:lpstr>
      <vt:lpstr>Locatie2!Totaleinkoopm2_2030</vt:lpstr>
      <vt:lpstr>Locatie3!Totaleinkoopm2_2030</vt:lpstr>
      <vt:lpstr>Blanco!Totaleinkoopm2_2031</vt:lpstr>
      <vt:lpstr>'cluster eigendom'!Totaleinkoopm2_2031</vt:lpstr>
      <vt:lpstr>'cluster huur'!Totaleinkoopm2_2031</vt:lpstr>
      <vt:lpstr>Locatie1!Totaleinkoopm2_2031</vt:lpstr>
      <vt:lpstr>Locatie2!Totaleinkoopm2_2031</vt:lpstr>
      <vt:lpstr>Locatie3!Totaleinkoopm2_2031</vt:lpstr>
      <vt:lpstr>Blanco!Totaleinkoopm2_2032</vt:lpstr>
      <vt:lpstr>'cluster eigendom'!Totaleinkoopm2_2032</vt:lpstr>
      <vt:lpstr>'cluster huur'!Totaleinkoopm2_2032</vt:lpstr>
      <vt:lpstr>Locatie1!Totaleinkoopm2_2032</vt:lpstr>
      <vt:lpstr>Locatie2!Totaleinkoopm2_2032</vt:lpstr>
      <vt:lpstr>Locatie3!Totaleinkoopm2_2032</vt:lpstr>
      <vt:lpstr>Blanco!Totaleinkoopm2_2033</vt:lpstr>
      <vt:lpstr>'cluster eigendom'!Totaleinkoopm2_2033</vt:lpstr>
      <vt:lpstr>'cluster huur'!Totaleinkoopm2_2033</vt:lpstr>
      <vt:lpstr>Locatie1!Totaleinkoopm2_2033</vt:lpstr>
      <vt:lpstr>Locatie2!Totaleinkoopm2_2033</vt:lpstr>
      <vt:lpstr>Locatie3!Totaleinkoopm2_2033</vt:lpstr>
      <vt:lpstr>Blanco!Totaleinkoopm2_2034</vt:lpstr>
      <vt:lpstr>'cluster eigendom'!Totaleinkoopm2_2034</vt:lpstr>
      <vt:lpstr>'cluster huur'!Totaleinkoopm2_2034</vt:lpstr>
      <vt:lpstr>Locatie1!Totaleinkoopm2_2034</vt:lpstr>
      <vt:lpstr>Locatie2!Totaleinkoopm2_2034</vt:lpstr>
      <vt:lpstr>Locatie3!Totaleinkoopm2_2034</vt:lpstr>
      <vt:lpstr>Blanco!Totaleinkoopm2_2035</vt:lpstr>
      <vt:lpstr>'cluster eigendom'!Totaleinkoopm2_2035</vt:lpstr>
      <vt:lpstr>'cluster huur'!Totaleinkoopm2_2035</vt:lpstr>
      <vt:lpstr>Locatie1!Totaleinkoopm2_2035</vt:lpstr>
      <vt:lpstr>Locatie2!Totaleinkoopm2_2035</vt:lpstr>
      <vt:lpstr>Locatie3!Totaleinkoopm2_2035</vt:lpstr>
      <vt:lpstr>Blanco!Totaleinkoopm2_2036</vt:lpstr>
      <vt:lpstr>'cluster eigendom'!Totaleinkoopm2_2036</vt:lpstr>
      <vt:lpstr>'cluster huur'!Totaleinkoopm2_2036</vt:lpstr>
      <vt:lpstr>Locatie1!Totaleinkoopm2_2036</vt:lpstr>
      <vt:lpstr>Locatie2!Totaleinkoopm2_2036</vt:lpstr>
      <vt:lpstr>Locatie3!Totaleinkoopm2_2036</vt:lpstr>
      <vt:lpstr>Blanco!Totaleinkoopm2_2037</vt:lpstr>
      <vt:lpstr>'cluster eigendom'!Totaleinkoopm2_2037</vt:lpstr>
      <vt:lpstr>'cluster huur'!Totaleinkoopm2_2037</vt:lpstr>
      <vt:lpstr>Locatie1!Totaleinkoopm2_2037</vt:lpstr>
      <vt:lpstr>Locatie2!Totaleinkoopm2_2037</vt:lpstr>
      <vt:lpstr>Locatie3!Totaleinkoopm2_2037</vt:lpstr>
      <vt:lpstr>Blanco!Totaleinkoopm2_2038</vt:lpstr>
      <vt:lpstr>'cluster eigendom'!Totaleinkoopm2_2038</vt:lpstr>
      <vt:lpstr>'cluster huur'!Totaleinkoopm2_2038</vt:lpstr>
      <vt:lpstr>Locatie1!Totaleinkoopm2_2038</vt:lpstr>
      <vt:lpstr>Locatie2!Totaleinkoopm2_2038</vt:lpstr>
      <vt:lpstr>Locatie3!Totaleinkoopm2_2038</vt:lpstr>
      <vt:lpstr>Blanco!Totaleinkoopm2_2039</vt:lpstr>
      <vt:lpstr>'cluster eigendom'!Totaleinkoopm2_2039</vt:lpstr>
      <vt:lpstr>'cluster huur'!Totaleinkoopm2_2039</vt:lpstr>
      <vt:lpstr>Locatie1!Totaleinkoopm2_2039</vt:lpstr>
      <vt:lpstr>Locatie2!Totaleinkoopm2_2039</vt:lpstr>
      <vt:lpstr>Locatie3!Totaleinkoopm2_2039</vt:lpstr>
      <vt:lpstr>Blanco!Totaleinkoopm2_2040</vt:lpstr>
      <vt:lpstr>'cluster eigendom'!Totaleinkoopm2_2040</vt:lpstr>
      <vt:lpstr>'cluster huur'!Totaleinkoopm2_2040</vt:lpstr>
      <vt:lpstr>Locatie1!Totaleinkoopm2_2040</vt:lpstr>
      <vt:lpstr>Locatie2!Totaleinkoopm2_2040</vt:lpstr>
      <vt:lpstr>Locatie3!Totaleinkoopm2_2040</vt:lpstr>
      <vt:lpstr>Blanco!Totaleinkoopm2_2041</vt:lpstr>
      <vt:lpstr>'cluster eigendom'!Totaleinkoopm2_2041</vt:lpstr>
      <vt:lpstr>'cluster huur'!Totaleinkoopm2_2041</vt:lpstr>
      <vt:lpstr>Locatie1!Totaleinkoopm2_2041</vt:lpstr>
      <vt:lpstr>Locatie2!Totaleinkoopm2_2041</vt:lpstr>
      <vt:lpstr>Locatie3!Totaleinkoopm2_2041</vt:lpstr>
      <vt:lpstr>Blanco!Totaleinkoopm2_2042</vt:lpstr>
      <vt:lpstr>'cluster eigendom'!Totaleinkoopm2_2042</vt:lpstr>
      <vt:lpstr>'cluster huur'!Totaleinkoopm2_2042</vt:lpstr>
      <vt:lpstr>Locatie1!Totaleinkoopm2_2042</vt:lpstr>
      <vt:lpstr>Locatie2!Totaleinkoopm2_2042</vt:lpstr>
      <vt:lpstr>Locatie3!Totaleinkoopm2_2042</vt:lpstr>
      <vt:lpstr>Blanco!Totaleinkoopm2_2043</vt:lpstr>
      <vt:lpstr>'cluster eigendom'!Totaleinkoopm2_2043</vt:lpstr>
      <vt:lpstr>'cluster huur'!Totaleinkoopm2_2043</vt:lpstr>
      <vt:lpstr>Locatie1!Totaleinkoopm2_2043</vt:lpstr>
      <vt:lpstr>Locatie2!Totaleinkoopm2_2043</vt:lpstr>
      <vt:lpstr>Locatie3!Totaleinkoopm2_2043</vt:lpstr>
      <vt:lpstr>Blanco!Totaleinkoopm2_2044</vt:lpstr>
      <vt:lpstr>'cluster eigendom'!Totaleinkoopm2_2044</vt:lpstr>
      <vt:lpstr>'cluster huur'!Totaleinkoopm2_2044</vt:lpstr>
      <vt:lpstr>Locatie1!Totaleinkoopm2_2044</vt:lpstr>
      <vt:lpstr>Locatie2!Totaleinkoopm2_2044</vt:lpstr>
      <vt:lpstr>Locatie3!Totaleinkoopm2_2044</vt:lpstr>
      <vt:lpstr>Blanco!Totaleinkoopm2_2045</vt:lpstr>
      <vt:lpstr>'cluster eigendom'!Totaleinkoopm2_2045</vt:lpstr>
      <vt:lpstr>'cluster huur'!Totaleinkoopm2_2045</vt:lpstr>
      <vt:lpstr>Locatie1!Totaleinkoopm2_2045</vt:lpstr>
      <vt:lpstr>Locatie2!Totaleinkoopm2_2045</vt:lpstr>
      <vt:lpstr>Locatie3!Totaleinkoopm2_2045</vt:lpstr>
      <vt:lpstr>Blanco!Totaleinkoopm2_2046</vt:lpstr>
      <vt:lpstr>'cluster eigendom'!Totaleinkoopm2_2046</vt:lpstr>
      <vt:lpstr>'cluster huur'!Totaleinkoopm2_2046</vt:lpstr>
      <vt:lpstr>Locatie1!Totaleinkoopm2_2046</vt:lpstr>
      <vt:lpstr>Locatie2!Totaleinkoopm2_2046</vt:lpstr>
      <vt:lpstr>Locatie3!Totaleinkoopm2_2046</vt:lpstr>
      <vt:lpstr>Blanco!Totaleinkoopm2_2047</vt:lpstr>
      <vt:lpstr>'cluster eigendom'!Totaleinkoopm2_2047</vt:lpstr>
      <vt:lpstr>'cluster huur'!Totaleinkoopm2_2047</vt:lpstr>
      <vt:lpstr>Locatie1!Totaleinkoopm2_2047</vt:lpstr>
      <vt:lpstr>Locatie2!Totaleinkoopm2_2047</vt:lpstr>
      <vt:lpstr>Locatie3!Totaleinkoopm2_2047</vt:lpstr>
      <vt:lpstr>Blanco!Totaleinkoopm2_2048</vt:lpstr>
      <vt:lpstr>'cluster eigendom'!Totaleinkoopm2_2048</vt:lpstr>
      <vt:lpstr>'cluster huur'!Totaleinkoopm2_2048</vt:lpstr>
      <vt:lpstr>Locatie1!Totaleinkoopm2_2048</vt:lpstr>
      <vt:lpstr>Locatie2!Totaleinkoopm2_2048</vt:lpstr>
      <vt:lpstr>Locatie3!Totaleinkoopm2_2048</vt:lpstr>
      <vt:lpstr>Blanco!Totaleinkoopm2_2049</vt:lpstr>
      <vt:lpstr>'cluster eigendom'!Totaleinkoopm2_2049</vt:lpstr>
      <vt:lpstr>'cluster huur'!Totaleinkoopm2_2049</vt:lpstr>
      <vt:lpstr>Locatie1!Totaleinkoopm2_2049</vt:lpstr>
      <vt:lpstr>Locatie2!Totaleinkoopm2_2049</vt:lpstr>
      <vt:lpstr>Locatie3!Totaleinkoopm2_2049</vt:lpstr>
      <vt:lpstr>Blanco!Totaleinkoopm2_2050</vt:lpstr>
      <vt:lpstr>'cluster eigendom'!Totaleinkoopm2_2050</vt:lpstr>
      <vt:lpstr>'cluster huur'!Totaleinkoopm2_2050</vt:lpstr>
      <vt:lpstr>Locatie1!Totaleinkoopm2_2050</vt:lpstr>
      <vt:lpstr>Locatie2!Totaleinkoopm2_2050</vt:lpstr>
      <vt:lpstr>Locatie3!Totaleinkoopm2_2050</vt:lpstr>
      <vt:lpstr>Blanco!Warmteinkoop_2018</vt:lpstr>
      <vt:lpstr>'cluster eigendom'!Warmteinkoop_2018</vt:lpstr>
      <vt:lpstr>'cluster huur'!Warmteinkoop_2018</vt:lpstr>
      <vt:lpstr>Locatie1!Warmteinkoop_2018</vt:lpstr>
      <vt:lpstr>Locatie2!Warmteinkoop_2018</vt:lpstr>
      <vt:lpstr>Locatie3!Warmteinkoop_2018</vt:lpstr>
      <vt:lpstr>Blanco!Warmteinkoop_2019</vt:lpstr>
      <vt:lpstr>'cluster eigendom'!Warmteinkoop_2019</vt:lpstr>
      <vt:lpstr>'cluster huur'!Warmteinkoop_2019</vt:lpstr>
      <vt:lpstr>Locatie1!Warmteinkoop_2019</vt:lpstr>
      <vt:lpstr>Locatie2!Warmteinkoop_2019</vt:lpstr>
      <vt:lpstr>Locatie3!Warmteinkoop_2019</vt:lpstr>
      <vt:lpstr>Blanco!Warmteinkoop_2020</vt:lpstr>
      <vt:lpstr>'cluster eigendom'!Warmteinkoop_2020</vt:lpstr>
      <vt:lpstr>'cluster huur'!Warmteinkoop_2020</vt:lpstr>
      <vt:lpstr>Locatie1!Warmteinkoop_2020</vt:lpstr>
      <vt:lpstr>Locatie2!Warmteinkoop_2020</vt:lpstr>
      <vt:lpstr>Locatie3!Warmteinkoop_2020</vt:lpstr>
      <vt:lpstr>Blanco!Warmteinkoop_2021</vt:lpstr>
      <vt:lpstr>'cluster eigendom'!Warmteinkoop_2021</vt:lpstr>
      <vt:lpstr>'cluster huur'!Warmteinkoop_2021</vt:lpstr>
      <vt:lpstr>Locatie1!Warmteinkoop_2021</vt:lpstr>
      <vt:lpstr>Locatie2!Warmteinkoop_2021</vt:lpstr>
      <vt:lpstr>Locatie3!Warmteinkoop_2021</vt:lpstr>
      <vt:lpstr>Blanco!Warmteinkoop_2022</vt:lpstr>
      <vt:lpstr>'cluster eigendom'!Warmteinkoop_2022</vt:lpstr>
      <vt:lpstr>'cluster huur'!Warmteinkoop_2022</vt:lpstr>
      <vt:lpstr>Locatie1!Warmteinkoop_2022</vt:lpstr>
      <vt:lpstr>Locatie2!Warmteinkoop_2022</vt:lpstr>
      <vt:lpstr>Locatie3!Warmteinkoop_2022</vt:lpstr>
      <vt:lpstr>Blanco!Warmteinkoop_2023</vt:lpstr>
      <vt:lpstr>'cluster eigendom'!Warmteinkoop_2023</vt:lpstr>
      <vt:lpstr>'cluster huur'!Warmteinkoop_2023</vt:lpstr>
      <vt:lpstr>Locatie1!Warmteinkoop_2023</vt:lpstr>
      <vt:lpstr>Locatie2!Warmteinkoop_2023</vt:lpstr>
      <vt:lpstr>Locatie3!Warmteinkoop_2023</vt:lpstr>
      <vt:lpstr>Blanco!Warmteinkoop_2024</vt:lpstr>
      <vt:lpstr>'cluster eigendom'!Warmteinkoop_2024</vt:lpstr>
      <vt:lpstr>'cluster huur'!Warmteinkoop_2024</vt:lpstr>
      <vt:lpstr>Locatie1!Warmteinkoop_2024</vt:lpstr>
      <vt:lpstr>Locatie2!Warmteinkoop_2024</vt:lpstr>
      <vt:lpstr>Locatie3!Warmteinkoop_2024</vt:lpstr>
      <vt:lpstr>Blanco!Warmteinkoop_2025</vt:lpstr>
      <vt:lpstr>'cluster eigendom'!Warmteinkoop_2025</vt:lpstr>
      <vt:lpstr>'cluster huur'!Warmteinkoop_2025</vt:lpstr>
      <vt:lpstr>Locatie1!Warmteinkoop_2025</vt:lpstr>
      <vt:lpstr>Locatie2!Warmteinkoop_2025</vt:lpstr>
      <vt:lpstr>Locatie3!Warmteinkoop_2025</vt:lpstr>
      <vt:lpstr>Blanco!Warmteinkoop_2026</vt:lpstr>
      <vt:lpstr>'cluster eigendom'!Warmteinkoop_2026</vt:lpstr>
      <vt:lpstr>'cluster huur'!Warmteinkoop_2026</vt:lpstr>
      <vt:lpstr>Locatie1!Warmteinkoop_2026</vt:lpstr>
      <vt:lpstr>Locatie2!Warmteinkoop_2026</vt:lpstr>
      <vt:lpstr>Locatie3!Warmteinkoop_2026</vt:lpstr>
      <vt:lpstr>Blanco!Warmteinkoop_2027</vt:lpstr>
      <vt:lpstr>'cluster eigendom'!Warmteinkoop_2027</vt:lpstr>
      <vt:lpstr>'cluster huur'!Warmteinkoop_2027</vt:lpstr>
      <vt:lpstr>Locatie1!Warmteinkoop_2027</vt:lpstr>
      <vt:lpstr>Locatie2!Warmteinkoop_2027</vt:lpstr>
      <vt:lpstr>Locatie3!Warmteinkoop_2027</vt:lpstr>
      <vt:lpstr>Blanco!Warmteinkoop_2028</vt:lpstr>
      <vt:lpstr>'cluster eigendom'!Warmteinkoop_2028</vt:lpstr>
      <vt:lpstr>'cluster huur'!Warmteinkoop_2028</vt:lpstr>
      <vt:lpstr>Locatie1!Warmteinkoop_2028</vt:lpstr>
      <vt:lpstr>Locatie2!Warmteinkoop_2028</vt:lpstr>
      <vt:lpstr>Locatie3!Warmteinkoop_2028</vt:lpstr>
      <vt:lpstr>Blanco!Warmteinkoop_2029</vt:lpstr>
      <vt:lpstr>'cluster eigendom'!Warmteinkoop_2029</vt:lpstr>
      <vt:lpstr>'cluster huur'!Warmteinkoop_2029</vt:lpstr>
      <vt:lpstr>Locatie1!Warmteinkoop_2029</vt:lpstr>
      <vt:lpstr>Locatie2!Warmteinkoop_2029</vt:lpstr>
      <vt:lpstr>Locatie3!Warmteinkoop_2029</vt:lpstr>
      <vt:lpstr>Blanco!Warmteinkoop_2030</vt:lpstr>
      <vt:lpstr>'cluster eigendom'!Warmteinkoop_2030</vt:lpstr>
      <vt:lpstr>'cluster huur'!Warmteinkoop_2030</vt:lpstr>
      <vt:lpstr>Locatie1!Warmteinkoop_2030</vt:lpstr>
      <vt:lpstr>Locatie2!Warmteinkoop_2030</vt:lpstr>
      <vt:lpstr>Locatie3!Warmteinkoop_2030</vt:lpstr>
      <vt:lpstr>Blanco!Warmteinkoop_2031</vt:lpstr>
      <vt:lpstr>'cluster eigendom'!Warmteinkoop_2031</vt:lpstr>
      <vt:lpstr>'cluster huur'!Warmteinkoop_2031</vt:lpstr>
      <vt:lpstr>Locatie1!Warmteinkoop_2031</vt:lpstr>
      <vt:lpstr>Locatie2!Warmteinkoop_2031</vt:lpstr>
      <vt:lpstr>Locatie3!Warmteinkoop_2031</vt:lpstr>
      <vt:lpstr>Blanco!Warmteinkoop_2032</vt:lpstr>
      <vt:lpstr>'cluster eigendom'!Warmteinkoop_2032</vt:lpstr>
      <vt:lpstr>'cluster huur'!Warmteinkoop_2032</vt:lpstr>
      <vt:lpstr>Locatie1!Warmteinkoop_2032</vt:lpstr>
      <vt:lpstr>Locatie2!Warmteinkoop_2032</vt:lpstr>
      <vt:lpstr>Locatie3!Warmteinkoop_2032</vt:lpstr>
      <vt:lpstr>Blanco!Warmteinkoop_2033</vt:lpstr>
      <vt:lpstr>'cluster eigendom'!Warmteinkoop_2033</vt:lpstr>
      <vt:lpstr>'cluster huur'!Warmteinkoop_2033</vt:lpstr>
      <vt:lpstr>Locatie1!Warmteinkoop_2033</vt:lpstr>
      <vt:lpstr>Locatie2!Warmteinkoop_2033</vt:lpstr>
      <vt:lpstr>Locatie3!Warmteinkoop_2033</vt:lpstr>
      <vt:lpstr>Blanco!Warmteinkoop_2034</vt:lpstr>
      <vt:lpstr>'cluster eigendom'!Warmteinkoop_2034</vt:lpstr>
      <vt:lpstr>'cluster huur'!Warmteinkoop_2034</vt:lpstr>
      <vt:lpstr>Locatie1!Warmteinkoop_2034</vt:lpstr>
      <vt:lpstr>Locatie2!Warmteinkoop_2034</vt:lpstr>
      <vt:lpstr>Locatie3!Warmteinkoop_2034</vt:lpstr>
      <vt:lpstr>Blanco!Warmteinkoop_2035</vt:lpstr>
      <vt:lpstr>'cluster eigendom'!Warmteinkoop_2035</vt:lpstr>
      <vt:lpstr>'cluster huur'!Warmteinkoop_2035</vt:lpstr>
      <vt:lpstr>Locatie1!Warmteinkoop_2035</vt:lpstr>
      <vt:lpstr>Locatie2!Warmteinkoop_2035</vt:lpstr>
      <vt:lpstr>Locatie3!Warmteinkoop_2035</vt:lpstr>
      <vt:lpstr>Blanco!Warmteinkoop_2036</vt:lpstr>
      <vt:lpstr>'cluster eigendom'!Warmteinkoop_2036</vt:lpstr>
      <vt:lpstr>'cluster huur'!Warmteinkoop_2036</vt:lpstr>
      <vt:lpstr>Locatie1!Warmteinkoop_2036</vt:lpstr>
      <vt:lpstr>Locatie2!Warmteinkoop_2036</vt:lpstr>
      <vt:lpstr>Locatie3!Warmteinkoop_2036</vt:lpstr>
      <vt:lpstr>Blanco!Warmteinkoop_2037</vt:lpstr>
      <vt:lpstr>'cluster eigendom'!Warmteinkoop_2037</vt:lpstr>
      <vt:lpstr>'cluster huur'!Warmteinkoop_2037</vt:lpstr>
      <vt:lpstr>Locatie1!Warmteinkoop_2037</vt:lpstr>
      <vt:lpstr>Locatie2!Warmteinkoop_2037</vt:lpstr>
      <vt:lpstr>Locatie3!Warmteinkoop_2037</vt:lpstr>
      <vt:lpstr>Blanco!Warmteinkoop_2038</vt:lpstr>
      <vt:lpstr>'cluster eigendom'!Warmteinkoop_2038</vt:lpstr>
      <vt:lpstr>'cluster huur'!Warmteinkoop_2038</vt:lpstr>
      <vt:lpstr>Locatie1!Warmteinkoop_2038</vt:lpstr>
      <vt:lpstr>Locatie2!Warmteinkoop_2038</vt:lpstr>
      <vt:lpstr>Locatie3!Warmteinkoop_2038</vt:lpstr>
      <vt:lpstr>Blanco!Warmteinkoop_2039</vt:lpstr>
      <vt:lpstr>'cluster eigendom'!Warmteinkoop_2039</vt:lpstr>
      <vt:lpstr>'cluster huur'!Warmteinkoop_2039</vt:lpstr>
      <vt:lpstr>Locatie1!Warmteinkoop_2039</vt:lpstr>
      <vt:lpstr>Locatie2!Warmteinkoop_2039</vt:lpstr>
      <vt:lpstr>Locatie3!Warmteinkoop_2039</vt:lpstr>
      <vt:lpstr>Blanco!Warmteinkoop_2040</vt:lpstr>
      <vt:lpstr>'cluster eigendom'!Warmteinkoop_2040</vt:lpstr>
      <vt:lpstr>'cluster huur'!Warmteinkoop_2040</vt:lpstr>
      <vt:lpstr>Locatie1!Warmteinkoop_2040</vt:lpstr>
      <vt:lpstr>Locatie2!Warmteinkoop_2040</vt:lpstr>
      <vt:lpstr>Locatie3!Warmteinkoop_2040</vt:lpstr>
      <vt:lpstr>Blanco!Warmteinkoop_2041</vt:lpstr>
      <vt:lpstr>'cluster eigendom'!Warmteinkoop_2041</vt:lpstr>
      <vt:lpstr>'cluster huur'!Warmteinkoop_2041</vt:lpstr>
      <vt:lpstr>Locatie1!Warmteinkoop_2041</vt:lpstr>
      <vt:lpstr>Locatie2!Warmteinkoop_2041</vt:lpstr>
      <vt:lpstr>Locatie3!Warmteinkoop_2041</vt:lpstr>
      <vt:lpstr>Blanco!Warmteinkoop_2042</vt:lpstr>
      <vt:lpstr>'cluster eigendom'!Warmteinkoop_2042</vt:lpstr>
      <vt:lpstr>'cluster huur'!Warmteinkoop_2042</vt:lpstr>
      <vt:lpstr>Locatie1!Warmteinkoop_2042</vt:lpstr>
      <vt:lpstr>Locatie2!Warmteinkoop_2042</vt:lpstr>
      <vt:lpstr>Locatie3!Warmteinkoop_2042</vt:lpstr>
      <vt:lpstr>Blanco!Warmteinkoop_2043</vt:lpstr>
      <vt:lpstr>'cluster eigendom'!Warmteinkoop_2043</vt:lpstr>
      <vt:lpstr>'cluster huur'!Warmteinkoop_2043</vt:lpstr>
      <vt:lpstr>Locatie1!Warmteinkoop_2043</vt:lpstr>
      <vt:lpstr>Locatie2!Warmteinkoop_2043</vt:lpstr>
      <vt:lpstr>Locatie3!Warmteinkoop_2043</vt:lpstr>
      <vt:lpstr>Blanco!Warmteinkoop_2044</vt:lpstr>
      <vt:lpstr>'cluster eigendom'!Warmteinkoop_2044</vt:lpstr>
      <vt:lpstr>'cluster huur'!Warmteinkoop_2044</vt:lpstr>
      <vt:lpstr>Locatie1!Warmteinkoop_2044</vt:lpstr>
      <vt:lpstr>Locatie2!Warmteinkoop_2044</vt:lpstr>
      <vt:lpstr>Locatie3!Warmteinkoop_2044</vt:lpstr>
      <vt:lpstr>Blanco!Warmteinkoop_2045</vt:lpstr>
      <vt:lpstr>'cluster eigendom'!Warmteinkoop_2045</vt:lpstr>
      <vt:lpstr>'cluster huur'!Warmteinkoop_2045</vt:lpstr>
      <vt:lpstr>Locatie1!Warmteinkoop_2045</vt:lpstr>
      <vt:lpstr>Locatie2!Warmteinkoop_2045</vt:lpstr>
      <vt:lpstr>Locatie3!Warmteinkoop_2045</vt:lpstr>
      <vt:lpstr>Blanco!Warmteinkoop_2046</vt:lpstr>
      <vt:lpstr>'cluster eigendom'!Warmteinkoop_2046</vt:lpstr>
      <vt:lpstr>'cluster huur'!Warmteinkoop_2046</vt:lpstr>
      <vt:lpstr>Locatie1!Warmteinkoop_2046</vt:lpstr>
      <vt:lpstr>Locatie2!Warmteinkoop_2046</vt:lpstr>
      <vt:lpstr>Locatie3!Warmteinkoop_2046</vt:lpstr>
      <vt:lpstr>Blanco!Warmteinkoop_2047</vt:lpstr>
      <vt:lpstr>'cluster eigendom'!Warmteinkoop_2047</vt:lpstr>
      <vt:lpstr>'cluster huur'!Warmteinkoop_2047</vt:lpstr>
      <vt:lpstr>Locatie1!Warmteinkoop_2047</vt:lpstr>
      <vt:lpstr>Locatie2!Warmteinkoop_2047</vt:lpstr>
      <vt:lpstr>Locatie3!Warmteinkoop_2047</vt:lpstr>
      <vt:lpstr>Blanco!Warmteinkoop_2048</vt:lpstr>
      <vt:lpstr>'cluster eigendom'!Warmteinkoop_2048</vt:lpstr>
      <vt:lpstr>'cluster huur'!Warmteinkoop_2048</vt:lpstr>
      <vt:lpstr>Locatie1!Warmteinkoop_2048</vt:lpstr>
      <vt:lpstr>Locatie2!Warmteinkoop_2048</vt:lpstr>
      <vt:lpstr>Locatie3!Warmteinkoop_2048</vt:lpstr>
      <vt:lpstr>Blanco!Warmteinkoop_2049</vt:lpstr>
      <vt:lpstr>'cluster eigendom'!Warmteinkoop_2049</vt:lpstr>
      <vt:lpstr>'cluster huur'!Warmteinkoop_2049</vt:lpstr>
      <vt:lpstr>Locatie1!Warmteinkoop_2049</vt:lpstr>
      <vt:lpstr>Locatie2!Warmteinkoop_2049</vt:lpstr>
      <vt:lpstr>Locatie3!Warmteinkoop_2049</vt:lpstr>
      <vt:lpstr>Blanco!Warmteinkoop_2050</vt:lpstr>
      <vt:lpstr>'cluster eigendom'!Warmteinkoop_2050</vt:lpstr>
      <vt:lpstr>'cluster huur'!Warmteinkoop_2050</vt:lpstr>
      <vt:lpstr>Locatie1!Warmteinkoop_2050</vt:lpstr>
      <vt:lpstr>Locatie2!Warmteinkoop_2050</vt:lpstr>
      <vt:lpstr>Locatie3!Warmteinkoop_2050</vt:lpstr>
      <vt:lpstr>Warmteprijs</vt:lpstr>
    </vt:vector>
  </TitlesOfParts>
  <Company>Stichting Stimular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de Bree (Stimular)</dc:creator>
  <cp:lastModifiedBy>Froukje Stoffelsma (Stimular)</cp:lastModifiedBy>
  <cp:lastPrinted>2026-05-22T12:19:30Z</cp:lastPrinted>
  <dcterms:created xsi:type="dcterms:W3CDTF">2018-10-23T08:50:27Z</dcterms:created>
  <dcterms:modified xsi:type="dcterms:W3CDTF">2026-05-22T12:20:49Z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0x010100FC31FF76EB96914B9FDB055D1D7EC1F1</vt:lpwstr>
  </property>
</Properties>
</file>